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3600"/>
  </bookViews>
  <sheets>
    <sheet name="20231203" sheetId="1" r:id="rId1"/>
  </sheets>
  <calcPr calcId="144525"/>
</workbook>
</file>

<file path=xl/sharedStrings.xml><?xml version="1.0" encoding="utf-8"?>
<sst xmlns="http://schemas.openxmlformats.org/spreadsheetml/2006/main" count="56374" uniqueCount="23496">
  <si>
    <t>序</t>
  </si>
  <si>
    <t>代码</t>
  </si>
  <si>
    <t>名称</t>
  </si>
  <si>
    <t>最新</t>
  </si>
  <si>
    <t>涨幅%</t>
  </si>
  <si>
    <t>涨跌</t>
  </si>
  <si>
    <t>总量</t>
  </si>
  <si>
    <t>现量</t>
  </si>
  <si>
    <t>买入价</t>
  </si>
  <si>
    <t>卖出价</t>
  </si>
  <si>
    <t>金额</t>
  </si>
  <si>
    <t>换手%</t>
  </si>
  <si>
    <t>更新日期</t>
  </si>
  <si>
    <t>营业总收入</t>
  </si>
  <si>
    <t>最高</t>
  </si>
  <si>
    <t>最低</t>
  </si>
  <si>
    <t>开盘</t>
  </si>
  <si>
    <t>昨收</t>
  </si>
  <si>
    <t>振幅%</t>
  </si>
  <si>
    <t>量比</t>
  </si>
  <si>
    <t>委比%</t>
  </si>
  <si>
    <t>委差</t>
  </si>
  <si>
    <t>均价</t>
  </si>
  <si>
    <t>内盘</t>
  </si>
  <si>
    <t>外盘</t>
  </si>
  <si>
    <t>内外比</t>
  </si>
  <si>
    <t>买一量</t>
  </si>
  <si>
    <t>卖一量</t>
  </si>
  <si>
    <t>市净率</t>
  </si>
  <si>
    <t>总股本</t>
  </si>
  <si>
    <t>总市值</t>
  </si>
  <si>
    <t>流通股本</t>
  </si>
  <si>
    <t>流通市值</t>
  </si>
  <si>
    <t>3日涨幅%</t>
  </si>
  <si>
    <t>6日涨幅%</t>
  </si>
  <si>
    <t>3日换手%</t>
  </si>
  <si>
    <t>6日换手%</t>
  </si>
  <si>
    <t>连涨天数</t>
  </si>
  <si>
    <t>本月涨幅%</t>
  </si>
  <si>
    <t>今年涨幅%</t>
  </si>
  <si>
    <t>近一月涨幅%</t>
  </si>
  <si>
    <t>近一年涨幅%</t>
  </si>
  <si>
    <t xml:space="preserve"> 长安汽车</t>
  </si>
  <si>
    <t xml:space="preserve"> 569万</t>
  </si>
  <si>
    <t xml:space="preserve"> 14.4万</t>
  </si>
  <si>
    <t xml:space="preserve"> 110.33亿</t>
  </si>
  <si>
    <t xml:space="preserve"> 2023/09/30</t>
  </si>
  <si>
    <t xml:space="preserve"> 1082亿</t>
  </si>
  <si>
    <t xml:space="preserve"> 2.49万</t>
  </si>
  <si>
    <t xml:space="preserve"> 304万</t>
  </si>
  <si>
    <t xml:space="preserve"> 265万</t>
  </si>
  <si>
    <t xml:space="preserve"> 1.09万</t>
  </si>
  <si>
    <t xml:space="preserve"> 99.19亿</t>
  </si>
  <si>
    <t xml:space="preserve"> 1903亿</t>
  </si>
  <si>
    <t xml:space="preserve"> 81.63亿</t>
  </si>
  <si>
    <t xml:space="preserve"> 1566亿</t>
  </si>
  <si>
    <t xml:space="preserve"> 贵州茅台</t>
  </si>
  <si>
    <t xml:space="preserve"> 3.31万</t>
  </si>
  <si>
    <t xml:space="preserve"> 58.31亿</t>
  </si>
  <si>
    <t xml:space="preserve"> 1053亿</t>
  </si>
  <si>
    <t xml:space="preserve"> 1.78万</t>
  </si>
  <si>
    <t xml:space="preserve"> 1.52万</t>
  </si>
  <si>
    <t xml:space="preserve"> 12.56亿</t>
  </si>
  <si>
    <t xml:space="preserve"> 2.21万亿</t>
  </si>
  <si>
    <t xml:space="preserve"> 新易盛</t>
  </si>
  <si>
    <t xml:space="preserve"> 106万</t>
  </si>
  <si>
    <t xml:space="preserve"> 51.77亿</t>
  </si>
  <si>
    <t xml:space="preserve"> 20.9亿</t>
  </si>
  <si>
    <t xml:space="preserve"> 45.4万</t>
  </si>
  <si>
    <t xml:space="preserve"> 60.4万</t>
  </si>
  <si>
    <t xml:space="preserve"> 7.099亿</t>
  </si>
  <si>
    <t xml:space="preserve"> 353.8亿</t>
  </si>
  <si>
    <t xml:space="preserve"> 6.176亿</t>
  </si>
  <si>
    <t xml:space="preserve"> 307.8亿</t>
  </si>
  <si>
    <t xml:space="preserve"> 昆仑万维</t>
  </si>
  <si>
    <t xml:space="preserve"> 139万</t>
  </si>
  <si>
    <t xml:space="preserve"> —</t>
  </si>
  <si>
    <t xml:space="preserve"> 49.90亿</t>
  </si>
  <si>
    <t xml:space="preserve"> 36.8亿</t>
  </si>
  <si>
    <t xml:space="preserve"> 9.19万</t>
  </si>
  <si>
    <t xml:space="preserve"> 54.4万</t>
  </si>
  <si>
    <t xml:space="preserve"> 84.3万</t>
  </si>
  <si>
    <t xml:space="preserve"> 9.17万</t>
  </si>
  <si>
    <t xml:space="preserve"> 12.15亿</t>
  </si>
  <si>
    <t xml:space="preserve"> 471.7亿</t>
  </si>
  <si>
    <t xml:space="preserve"> 11.06亿</t>
  </si>
  <si>
    <t xml:space="preserve"> 429.5亿</t>
  </si>
  <si>
    <t xml:space="preserve"> 赛力斯</t>
  </si>
  <si>
    <t xml:space="preserve"> 55.4万</t>
  </si>
  <si>
    <t xml:space="preserve"> 42.57亿</t>
  </si>
  <si>
    <t xml:space="preserve"> 167亿</t>
  </si>
  <si>
    <t xml:space="preserve"> 27.2万</t>
  </si>
  <si>
    <t xml:space="preserve"> 28.2万</t>
  </si>
  <si>
    <t xml:space="preserve"> 15.07亿</t>
  </si>
  <si>
    <t xml:space="preserve"> 1166亿</t>
  </si>
  <si>
    <t xml:space="preserve"> 中际旭创</t>
  </si>
  <si>
    <t xml:space="preserve"> 41.0万</t>
  </si>
  <si>
    <t xml:space="preserve"> 40.08亿</t>
  </si>
  <si>
    <t xml:space="preserve"> 70.3亿</t>
  </si>
  <si>
    <t xml:space="preserve"> 18.5万</t>
  </si>
  <si>
    <t xml:space="preserve"> 22.6万</t>
  </si>
  <si>
    <t xml:space="preserve"> 8.028亿</t>
  </si>
  <si>
    <t xml:space="preserve"> 802.8亿</t>
  </si>
  <si>
    <t xml:space="preserve"> 7.502亿</t>
  </si>
  <si>
    <t xml:space="preserve"> 750.2亿</t>
  </si>
  <si>
    <t xml:space="preserve"> 比亚迪</t>
  </si>
  <si>
    <t xml:space="preserve"> 19.4万</t>
  </si>
  <si>
    <t xml:space="preserve"> 37.99亿</t>
  </si>
  <si>
    <t xml:space="preserve"> 4223亿</t>
  </si>
  <si>
    <t xml:space="preserve"> 9.31万</t>
  </si>
  <si>
    <t xml:space="preserve"> 10.1万</t>
  </si>
  <si>
    <t xml:space="preserve"> 29.11亿</t>
  </si>
  <si>
    <t xml:space="preserve"> 5736亿</t>
  </si>
  <si>
    <t xml:space="preserve"> 11.65亿</t>
  </si>
  <si>
    <t xml:space="preserve"> 2295亿</t>
  </si>
  <si>
    <t xml:space="preserve"> 中文在线</t>
  </si>
  <si>
    <t xml:space="preserve"> 120万</t>
  </si>
  <si>
    <t xml:space="preserve"> 2.60万</t>
  </si>
  <si>
    <t xml:space="preserve"> 36.25亿</t>
  </si>
  <si>
    <t xml:space="preserve"> 10.2亿</t>
  </si>
  <si>
    <t xml:space="preserve"> 57.8万</t>
  </si>
  <si>
    <t xml:space="preserve"> 62.6万</t>
  </si>
  <si>
    <t xml:space="preserve"> 7.299亿</t>
  </si>
  <si>
    <t xml:space="preserve"> 218.3亿</t>
  </si>
  <si>
    <t xml:space="preserve"> 6.598亿</t>
  </si>
  <si>
    <t xml:space="preserve"> 197.3亿</t>
  </si>
  <si>
    <t xml:space="preserve"> 浪潮信息</t>
  </si>
  <si>
    <t xml:space="preserve"> 96.8万</t>
  </si>
  <si>
    <t xml:space="preserve"> 1.85万</t>
  </si>
  <si>
    <t xml:space="preserve"> 34.81亿</t>
  </si>
  <si>
    <t xml:space="preserve"> 481亿</t>
  </si>
  <si>
    <t xml:space="preserve"> 40.3万</t>
  </si>
  <si>
    <t xml:space="preserve"> 56.6万</t>
  </si>
  <si>
    <t xml:space="preserve"> 14.72亿</t>
  </si>
  <si>
    <t xml:space="preserve"> 537.6亿</t>
  </si>
  <si>
    <t xml:space="preserve"> 14.70亿</t>
  </si>
  <si>
    <t xml:space="preserve"> 536.8亿</t>
  </si>
  <si>
    <t xml:space="preserve"> 高新发展</t>
  </si>
  <si>
    <t xml:space="preserve"> 54.7万</t>
  </si>
  <si>
    <t xml:space="preserve"> 34.11亿</t>
  </si>
  <si>
    <t xml:space="preserve"> 45.1亿</t>
  </si>
  <si>
    <t xml:space="preserve"> 1.58万</t>
  </si>
  <si>
    <t xml:space="preserve"> 24.2万</t>
  </si>
  <si>
    <t xml:space="preserve"> 30.6万</t>
  </si>
  <si>
    <t xml:space="preserve"> 1.57万</t>
  </si>
  <si>
    <t xml:space="preserve"> 3.523亿</t>
  </si>
  <si>
    <t xml:space="preserve"> 229.4亿</t>
  </si>
  <si>
    <t xml:space="preserve"> 1.921亿</t>
  </si>
  <si>
    <t xml:space="preserve"> 125.1亿</t>
  </si>
  <si>
    <t xml:space="preserve"> 光迅科技</t>
  </si>
  <si>
    <t xml:space="preserve"> 104万</t>
  </si>
  <si>
    <t xml:space="preserve"> 30.69亿</t>
  </si>
  <si>
    <t xml:space="preserve"> 43.3亿</t>
  </si>
  <si>
    <t xml:space="preserve"> 2.11万</t>
  </si>
  <si>
    <t xml:space="preserve"> 51.6万</t>
  </si>
  <si>
    <t xml:space="preserve"> 52.9万</t>
  </si>
  <si>
    <t xml:space="preserve"> 2.09万</t>
  </si>
  <si>
    <t xml:space="preserve"> 7.952亿</t>
  </si>
  <si>
    <t xml:space="preserve"> 239.1亿</t>
  </si>
  <si>
    <t xml:space="preserve"> 7.558亿</t>
  </si>
  <si>
    <t xml:space="preserve"> 227.3亿</t>
  </si>
  <si>
    <t xml:space="preserve"> 科大讯飞</t>
  </si>
  <si>
    <t xml:space="preserve"> 66.2万</t>
  </si>
  <si>
    <t xml:space="preserve"> 30.66亿</t>
  </si>
  <si>
    <t xml:space="preserve"> 126亿</t>
  </si>
  <si>
    <t xml:space="preserve"> 28.5万</t>
  </si>
  <si>
    <t xml:space="preserve"> 37.8万</t>
  </si>
  <si>
    <t xml:space="preserve"> 23.16亿</t>
  </si>
  <si>
    <t xml:space="preserve"> 1093亿</t>
  </si>
  <si>
    <t xml:space="preserve"> 21.45亿</t>
  </si>
  <si>
    <t xml:space="preserve"> 1012亿</t>
  </si>
  <si>
    <t xml:space="preserve"> 宁德时代</t>
  </si>
  <si>
    <t xml:space="preserve"> 17.0万</t>
  </si>
  <si>
    <t xml:space="preserve"> 28.16亿</t>
  </si>
  <si>
    <t xml:space="preserve"> 2947亿</t>
  </si>
  <si>
    <t xml:space="preserve"> 8.70万</t>
  </si>
  <si>
    <t xml:space="preserve"> 8.26万</t>
  </si>
  <si>
    <t xml:space="preserve"> 43.99亿</t>
  </si>
  <si>
    <t xml:space="preserve"> 7280亿</t>
  </si>
  <si>
    <t xml:space="preserve"> 38.95亿</t>
  </si>
  <si>
    <t xml:space="preserve"> 6446亿</t>
  </si>
  <si>
    <t xml:space="preserve"> 汤姆猫</t>
  </si>
  <si>
    <t xml:space="preserve"> 489万</t>
  </si>
  <si>
    <t xml:space="preserve"> 7.30万</t>
  </si>
  <si>
    <t xml:space="preserve"> 26.10亿</t>
  </si>
  <si>
    <t xml:space="preserve"> 10.3亿</t>
  </si>
  <si>
    <t xml:space="preserve"> -7.29万</t>
  </si>
  <si>
    <t xml:space="preserve"> 163万</t>
  </si>
  <si>
    <t xml:space="preserve"> 326万</t>
  </si>
  <si>
    <t xml:space="preserve"> 1.17万</t>
  </si>
  <si>
    <t xml:space="preserve"> 35.16亿</t>
  </si>
  <si>
    <t xml:space="preserve"> 195.5亿</t>
  </si>
  <si>
    <t xml:space="preserve"> 30.61亿</t>
  </si>
  <si>
    <t xml:space="preserve"> 170.2亿</t>
  </si>
  <si>
    <t xml:space="preserve"> 招商银行</t>
  </si>
  <si>
    <t xml:space="preserve"> 88.3万</t>
  </si>
  <si>
    <t xml:space="preserve"> 24.97亿</t>
  </si>
  <si>
    <t xml:space="preserve"> 2603亿</t>
  </si>
  <si>
    <t xml:space="preserve"> 46.3万</t>
  </si>
  <si>
    <t xml:space="preserve"> 42.0万</t>
  </si>
  <si>
    <t xml:space="preserve"> 252.2亿</t>
  </si>
  <si>
    <t xml:space="preserve"> 7127亿</t>
  </si>
  <si>
    <t xml:space="preserve"> 206.3亿</t>
  </si>
  <si>
    <t xml:space="preserve"> 5830亿</t>
  </si>
  <si>
    <t xml:space="preserve"> 亚威股份</t>
  </si>
  <si>
    <t xml:space="preserve"> 178万</t>
  </si>
  <si>
    <t xml:space="preserve"> 3.14万</t>
  </si>
  <si>
    <t xml:space="preserve"> 22.73亿</t>
  </si>
  <si>
    <t xml:space="preserve"> 15.2亿</t>
  </si>
  <si>
    <t xml:space="preserve"> 1.28万</t>
  </si>
  <si>
    <t xml:space="preserve"> 91.3万</t>
  </si>
  <si>
    <t xml:space="preserve"> 86.3万</t>
  </si>
  <si>
    <t xml:space="preserve"> 5.551亿</t>
  </si>
  <si>
    <t xml:space="preserve"> 71.28亿</t>
  </si>
  <si>
    <t xml:space="preserve"> 4.804亿</t>
  </si>
  <si>
    <t xml:space="preserve"> 61.68亿</t>
  </si>
  <si>
    <t xml:space="preserve"> 润和软件</t>
  </si>
  <si>
    <t xml:space="preserve"> 80.2万</t>
  </si>
  <si>
    <t xml:space="preserve"> 1.06万</t>
  </si>
  <si>
    <t xml:space="preserve"> 22.63亿</t>
  </si>
  <si>
    <t xml:space="preserve"> 21.6亿</t>
  </si>
  <si>
    <t xml:space="preserve"> 36.9万</t>
  </si>
  <si>
    <t xml:space="preserve"> 43.3万</t>
  </si>
  <si>
    <t xml:space="preserve"> 7.964亿</t>
  </si>
  <si>
    <t xml:space="preserve"> 224.8亿</t>
  </si>
  <si>
    <t xml:space="preserve"> 7.735亿</t>
  </si>
  <si>
    <t xml:space="preserve"> 218.4亿</t>
  </si>
  <si>
    <t xml:space="preserve"> 潍柴动力</t>
  </si>
  <si>
    <t xml:space="preserve"> 156万</t>
  </si>
  <si>
    <t xml:space="preserve"> 22.27亿</t>
  </si>
  <si>
    <t xml:space="preserve"> 1604亿</t>
  </si>
  <si>
    <t xml:space="preserve"> 85.8万</t>
  </si>
  <si>
    <t xml:space="preserve"> 70.7万</t>
  </si>
  <si>
    <t xml:space="preserve"> 87.27亿</t>
  </si>
  <si>
    <t xml:space="preserve"> 1213亿</t>
  </si>
  <si>
    <t xml:space="preserve"> 50.50亿</t>
  </si>
  <si>
    <t xml:space="preserve"> 701.9亿</t>
  </si>
  <si>
    <t xml:space="preserve"> 永贵电器</t>
  </si>
  <si>
    <t xml:space="preserve"> 90.0万</t>
  </si>
  <si>
    <t xml:space="preserve"> 1.04万</t>
  </si>
  <si>
    <t xml:space="preserve"> 22.03亿</t>
  </si>
  <si>
    <t xml:space="preserve"> 10.1亿</t>
  </si>
  <si>
    <t xml:space="preserve"> 47.2万</t>
  </si>
  <si>
    <t xml:space="preserve"> 42.8万</t>
  </si>
  <si>
    <t xml:space="preserve"> 3.868亿</t>
  </si>
  <si>
    <t xml:space="preserve"> 91.59亿</t>
  </si>
  <si>
    <t xml:space="preserve"> 2.603亿</t>
  </si>
  <si>
    <t xml:space="preserve"> 61.63亿</t>
  </si>
  <si>
    <t xml:space="preserve"> 特一药业</t>
  </si>
  <si>
    <t xml:space="preserve"> 94.7万</t>
  </si>
  <si>
    <t xml:space="preserve"> 21.61亿</t>
  </si>
  <si>
    <t xml:space="preserve"> 7.45亿</t>
  </si>
  <si>
    <t xml:space="preserve"> 50.8万</t>
  </si>
  <si>
    <t xml:space="preserve"> 44.0万</t>
  </si>
  <si>
    <t xml:space="preserve"> 3.539亿</t>
  </si>
  <si>
    <t xml:space="preserve"> 79.53亿</t>
  </si>
  <si>
    <t xml:space="preserve"> 2.366亿</t>
  </si>
  <si>
    <t xml:space="preserve"> 53.16亿</t>
  </si>
  <si>
    <t xml:space="preserve"> 万兴科技</t>
  </si>
  <si>
    <t xml:space="preserve"> 24.5万</t>
  </si>
  <si>
    <t xml:space="preserve"> 21.51亿</t>
  </si>
  <si>
    <t xml:space="preserve"> 11.0亿</t>
  </si>
  <si>
    <t xml:space="preserve"> 11.3万</t>
  </si>
  <si>
    <t xml:space="preserve"> 13.2万</t>
  </si>
  <si>
    <t xml:space="preserve"> 1.377亿</t>
  </si>
  <si>
    <t xml:space="preserve"> 130.1亿</t>
  </si>
  <si>
    <t xml:space="preserve"> 1.204亿</t>
  </si>
  <si>
    <t xml:space="preserve"> 113.7亿</t>
  </si>
  <si>
    <t xml:space="preserve"> 软通动力</t>
  </si>
  <si>
    <t xml:space="preserve"> 51.1万</t>
  </si>
  <si>
    <t xml:space="preserve"> 20.77亿</t>
  </si>
  <si>
    <t xml:space="preserve"> 128亿</t>
  </si>
  <si>
    <t xml:space="preserve"> 25.8万</t>
  </si>
  <si>
    <t xml:space="preserve"> 25.3万</t>
  </si>
  <si>
    <t xml:space="preserve"> 9.529亿</t>
  </si>
  <si>
    <t xml:space="preserve"> 388.5亿</t>
  </si>
  <si>
    <t xml:space="preserve"> 6.803亿</t>
  </si>
  <si>
    <t xml:space="preserve"> 277.4亿</t>
  </si>
  <si>
    <t xml:space="preserve"> 恒为科技</t>
  </si>
  <si>
    <t xml:space="preserve"> 55.5万</t>
  </si>
  <si>
    <t xml:space="preserve"> 20.44亿</t>
  </si>
  <si>
    <t xml:space="preserve"> 4.98亿</t>
  </si>
  <si>
    <t xml:space="preserve"> 27.7万</t>
  </si>
  <si>
    <t xml:space="preserve"> 27.8万</t>
  </si>
  <si>
    <t xml:space="preserve"> 3.202亿</t>
  </si>
  <si>
    <t xml:space="preserve"> 120.6亿</t>
  </si>
  <si>
    <t xml:space="preserve"> 圣龙股份</t>
  </si>
  <si>
    <t xml:space="preserve"> 46.9万</t>
  </si>
  <si>
    <t xml:space="preserve"> 20.22亿</t>
  </si>
  <si>
    <t xml:space="preserve"> 10.5亿</t>
  </si>
  <si>
    <t xml:space="preserve"> 24.0万</t>
  </si>
  <si>
    <t xml:space="preserve"> 22.9万</t>
  </si>
  <si>
    <t xml:space="preserve"> 2.364亿</t>
  </si>
  <si>
    <t xml:space="preserve"> 102.6亿</t>
  </si>
  <si>
    <t xml:space="preserve"> 英唐智控</t>
  </si>
  <si>
    <t xml:space="preserve"> 280万</t>
  </si>
  <si>
    <t xml:space="preserve"> 5.64万</t>
  </si>
  <si>
    <t xml:space="preserve"> 20.20亿</t>
  </si>
  <si>
    <t xml:space="preserve"> 36.1亿</t>
  </si>
  <si>
    <t xml:space="preserve"> 2.40万</t>
  </si>
  <si>
    <t xml:space="preserve"> 142万</t>
  </si>
  <si>
    <t xml:space="preserve"> 138万</t>
  </si>
  <si>
    <t xml:space="preserve"> 11.38亿</t>
  </si>
  <si>
    <t xml:space="preserve"> 82.48亿</t>
  </si>
  <si>
    <t xml:space="preserve"> 10.28亿</t>
  </si>
  <si>
    <t xml:space="preserve"> 74.56亿</t>
  </si>
  <si>
    <t xml:space="preserve"> 四川长虹</t>
  </si>
  <si>
    <t xml:space="preserve"> 341万</t>
  </si>
  <si>
    <t xml:space="preserve"> 5.34万</t>
  </si>
  <si>
    <t xml:space="preserve"> 20.07亿</t>
  </si>
  <si>
    <t xml:space="preserve"> 701亿</t>
  </si>
  <si>
    <t xml:space="preserve"> -6.51万</t>
  </si>
  <si>
    <t xml:space="preserve"> 147万</t>
  </si>
  <si>
    <t xml:space="preserve"> 194万</t>
  </si>
  <si>
    <t xml:space="preserve"> 2.34万</t>
  </si>
  <si>
    <t xml:space="preserve"> 46.16亿</t>
  </si>
  <si>
    <t xml:space="preserve"> 275.1亿</t>
  </si>
  <si>
    <t xml:space="preserve"> 46.15亿</t>
  </si>
  <si>
    <t xml:space="preserve"> 捷成股份</t>
  </si>
  <si>
    <t xml:space="preserve"> 350万</t>
  </si>
  <si>
    <t xml:space="preserve"> 4.42万</t>
  </si>
  <si>
    <t xml:space="preserve"> 20.01亿</t>
  </si>
  <si>
    <t xml:space="preserve"> 20.1亿</t>
  </si>
  <si>
    <t xml:space="preserve"> -3.42万</t>
  </si>
  <si>
    <t xml:space="preserve"> 230万</t>
  </si>
  <si>
    <t xml:space="preserve"> 1.83万</t>
  </si>
  <si>
    <t xml:space="preserve"> 26.64亿</t>
  </si>
  <si>
    <t xml:space="preserve"> 158.0亿</t>
  </si>
  <si>
    <t xml:space="preserve"> 22.39亿</t>
  </si>
  <si>
    <t xml:space="preserve"> 132.8亿</t>
  </si>
  <si>
    <t xml:space="preserve"> 中兴通讯</t>
  </si>
  <si>
    <t xml:space="preserve"> 77.1万</t>
  </si>
  <si>
    <t xml:space="preserve"> 19.97亿</t>
  </si>
  <si>
    <t xml:space="preserve"> 894亿</t>
  </si>
  <si>
    <t xml:space="preserve"> 37.2万</t>
  </si>
  <si>
    <t xml:space="preserve"> 40.0万</t>
  </si>
  <si>
    <t xml:space="preserve"> 47.83亿</t>
  </si>
  <si>
    <t xml:space="preserve"> 1250亿</t>
  </si>
  <si>
    <t xml:space="preserve"> 40.27亿</t>
  </si>
  <si>
    <t xml:space="preserve"> 隆基绿能</t>
  </si>
  <si>
    <t xml:space="preserve"> 94.3万</t>
  </si>
  <si>
    <t xml:space="preserve"> 19.88亿</t>
  </si>
  <si>
    <t xml:space="preserve"> 941亿</t>
  </si>
  <si>
    <t xml:space="preserve"> 48.6万</t>
  </si>
  <si>
    <t xml:space="preserve"> 45.6万</t>
  </si>
  <si>
    <t xml:space="preserve"> 75.78亿</t>
  </si>
  <si>
    <t xml:space="preserve"> 1607亿</t>
  </si>
  <si>
    <t xml:space="preserve"> 中国平安</t>
  </si>
  <si>
    <t xml:space="preserve"> 48.7万</t>
  </si>
  <si>
    <t xml:space="preserve"> 19.86亿</t>
  </si>
  <si>
    <t xml:space="preserve"> 7049亿</t>
  </si>
  <si>
    <t xml:space="preserve"> 23.3万</t>
  </si>
  <si>
    <t xml:space="preserve"> 25.4万</t>
  </si>
  <si>
    <t xml:space="preserve"> 182.1亿</t>
  </si>
  <si>
    <t xml:space="preserve"> 7470亿</t>
  </si>
  <si>
    <t xml:space="preserve"> 107.6亿</t>
  </si>
  <si>
    <t xml:space="preserve"> 4415亿</t>
  </si>
  <si>
    <t xml:space="preserve"> 南京熊猫</t>
  </si>
  <si>
    <t xml:space="preserve"> 128万</t>
  </si>
  <si>
    <t xml:space="preserve"> 19.83亿</t>
  </si>
  <si>
    <t xml:space="preserve"> 19.5亿</t>
  </si>
  <si>
    <t xml:space="preserve"> 57.4万</t>
  </si>
  <si>
    <t xml:space="preserve"> 70.9万</t>
  </si>
  <si>
    <t xml:space="preserve"> 9.138亿</t>
  </si>
  <si>
    <t xml:space="preserve"> 144.4亿</t>
  </si>
  <si>
    <t xml:space="preserve"> 6.718亿</t>
  </si>
  <si>
    <t xml:space="preserve"> 106.2亿</t>
  </si>
  <si>
    <t xml:space="preserve"> 五 粮 液</t>
  </si>
  <si>
    <t xml:space="preserve"> 13.4万</t>
  </si>
  <si>
    <t xml:space="preserve"> 19.77亿</t>
  </si>
  <si>
    <t xml:space="preserve"> 625亿</t>
  </si>
  <si>
    <t xml:space="preserve"> 8.10万</t>
  </si>
  <si>
    <t xml:space="preserve"> 5.33万</t>
  </si>
  <si>
    <t xml:space="preserve"> 38.82亿</t>
  </si>
  <si>
    <t xml:space="preserve"> 5714亿</t>
  </si>
  <si>
    <t xml:space="preserve"> 欧菲光</t>
  </si>
  <si>
    <t xml:space="preserve"> 190万</t>
  </si>
  <si>
    <t xml:space="preserve"> 2.20万</t>
  </si>
  <si>
    <t xml:space="preserve"> 19.34亿</t>
  </si>
  <si>
    <t xml:space="preserve"> 108亿</t>
  </si>
  <si>
    <t xml:space="preserve"> -1.89万</t>
  </si>
  <si>
    <t xml:space="preserve"> 85.2万</t>
  </si>
  <si>
    <t xml:space="preserve"> 105万</t>
  </si>
  <si>
    <t xml:space="preserve"> 1.33万</t>
  </si>
  <si>
    <t xml:space="preserve"> 32.58亿</t>
  </si>
  <si>
    <t xml:space="preserve"> 332.9亿</t>
  </si>
  <si>
    <t xml:space="preserve"> 32.39亿</t>
  </si>
  <si>
    <t xml:space="preserve"> 331.0亿</t>
  </si>
  <si>
    <t xml:space="preserve"> 银宝山新</t>
  </si>
  <si>
    <t xml:space="preserve"> 141万</t>
  </si>
  <si>
    <t xml:space="preserve"> 1.66万</t>
  </si>
  <si>
    <t xml:space="preserve"> 19.20亿</t>
  </si>
  <si>
    <t xml:space="preserve"> 17.2亿</t>
  </si>
  <si>
    <t xml:space="preserve"> 75.0万</t>
  </si>
  <si>
    <t xml:space="preserve"> 66.4万</t>
  </si>
  <si>
    <t xml:space="preserve"> 4.956亿</t>
  </si>
  <si>
    <t xml:space="preserve"> 67.06亿</t>
  </si>
  <si>
    <t xml:space="preserve"> 4.941亿</t>
  </si>
  <si>
    <t xml:space="preserve"> 66.85亿</t>
  </si>
  <si>
    <t xml:space="preserve"> 蓝色光标</t>
  </si>
  <si>
    <t xml:space="preserve"> 243万</t>
  </si>
  <si>
    <t xml:space="preserve"> 3.06万</t>
  </si>
  <si>
    <t xml:space="preserve"> 19.09亿</t>
  </si>
  <si>
    <t xml:space="preserve"> 363亿</t>
  </si>
  <si>
    <t xml:space="preserve"> -2.92万</t>
  </si>
  <si>
    <t xml:space="preserve"> 88.5万</t>
  </si>
  <si>
    <t xml:space="preserve"> 155万</t>
  </si>
  <si>
    <t xml:space="preserve"> 24.88亿</t>
  </si>
  <si>
    <t xml:space="preserve"> 202.7亿</t>
  </si>
  <si>
    <t xml:space="preserve"> 23.04亿</t>
  </si>
  <si>
    <t xml:space="preserve"> 187.8亿</t>
  </si>
  <si>
    <t xml:space="preserve"> 恒瑞医药</t>
  </si>
  <si>
    <t xml:space="preserve"> 40.8万</t>
  </si>
  <si>
    <t xml:space="preserve"> 19.05亿</t>
  </si>
  <si>
    <t xml:space="preserve"> 170亿</t>
  </si>
  <si>
    <t xml:space="preserve"> 20.9万</t>
  </si>
  <si>
    <t xml:space="preserve"> 19.9万</t>
  </si>
  <si>
    <t xml:space="preserve"> 63.79亿</t>
  </si>
  <si>
    <t xml:space="preserve"> 2971亿</t>
  </si>
  <si>
    <t xml:space="preserve"> 63.74亿</t>
  </si>
  <si>
    <t xml:space="preserve"> 2969亿</t>
  </si>
  <si>
    <t xml:space="preserve"> 寒武纪-U</t>
  </si>
  <si>
    <t xml:space="preserve"> 12.3万</t>
  </si>
  <si>
    <t xml:space="preserve"> 18.82亿</t>
  </si>
  <si>
    <t xml:space="preserve"> 1.46亿</t>
  </si>
  <si>
    <t xml:space="preserve"> 5.68万</t>
  </si>
  <si>
    <t xml:space="preserve"> 6.65万</t>
  </si>
  <si>
    <t xml:space="preserve"> 4.166亿</t>
  </si>
  <si>
    <t xml:space="preserve"> 645.7亿</t>
  </si>
  <si>
    <t xml:space="preserve"> 2.665亿</t>
  </si>
  <si>
    <t xml:space="preserve"> 413.0亿</t>
  </si>
  <si>
    <t xml:space="preserve"> 东方财富</t>
  </si>
  <si>
    <t xml:space="preserve"> 1.80万</t>
  </si>
  <si>
    <t xml:space="preserve"> 18.74亿</t>
  </si>
  <si>
    <t xml:space="preserve"> 84.9亿</t>
  </si>
  <si>
    <t xml:space="preserve"> -1.74万</t>
  </si>
  <si>
    <t xml:space="preserve"> 63.1万</t>
  </si>
  <si>
    <t xml:space="preserve"> 65.0万</t>
  </si>
  <si>
    <t xml:space="preserve"> 158.6亿</t>
  </si>
  <si>
    <t xml:space="preserve"> 2334亿</t>
  </si>
  <si>
    <t xml:space="preserve"> 134.3亿</t>
  </si>
  <si>
    <t xml:space="preserve"> 1977亿</t>
  </si>
  <si>
    <t xml:space="preserve"> 海光信息</t>
  </si>
  <si>
    <t xml:space="preserve"> 25.0万</t>
  </si>
  <si>
    <t xml:space="preserve"> 18.04亿</t>
  </si>
  <si>
    <t xml:space="preserve"> 39.4亿</t>
  </si>
  <si>
    <t xml:space="preserve"> 12.8万</t>
  </si>
  <si>
    <t xml:space="preserve"> 12.2万</t>
  </si>
  <si>
    <t xml:space="preserve"> 23.24亿</t>
  </si>
  <si>
    <t xml:space="preserve"> 1671亿</t>
  </si>
  <si>
    <t xml:space="preserve"> 8.806亿</t>
  </si>
  <si>
    <t xml:space="preserve"> 633.1亿</t>
  </si>
  <si>
    <t xml:space="preserve"> 东安动力</t>
  </si>
  <si>
    <t xml:space="preserve"> 133万</t>
  </si>
  <si>
    <t xml:space="preserve"> 18.00亿</t>
  </si>
  <si>
    <t xml:space="preserve"> 38.5亿</t>
  </si>
  <si>
    <t xml:space="preserve"> 4.38万</t>
  </si>
  <si>
    <t xml:space="preserve"> 74.6万</t>
  </si>
  <si>
    <t xml:space="preserve"> 58.0万</t>
  </si>
  <si>
    <t xml:space="preserve"> 4.35万</t>
  </si>
  <si>
    <t xml:space="preserve"> 4.755亿</t>
  </si>
  <si>
    <t xml:space="preserve"> 72.27亿</t>
  </si>
  <si>
    <t xml:space="preserve"> 4.621亿</t>
  </si>
  <si>
    <t xml:space="preserve"> 70.24亿</t>
  </si>
  <si>
    <t xml:space="preserve"> 真视通</t>
  </si>
  <si>
    <t xml:space="preserve"> 65.2万</t>
  </si>
  <si>
    <t xml:space="preserve"> 17.62亿</t>
  </si>
  <si>
    <t xml:space="preserve"> 2.21亿</t>
  </si>
  <si>
    <t xml:space="preserve"> 35.6万</t>
  </si>
  <si>
    <t xml:space="preserve"> 29.7万</t>
  </si>
  <si>
    <t xml:space="preserve"> 2.098亿</t>
  </si>
  <si>
    <t xml:space="preserve"> 55.63亿</t>
  </si>
  <si>
    <t xml:space="preserve"> 1.708亿</t>
  </si>
  <si>
    <t xml:space="preserve"> 45.30亿</t>
  </si>
  <si>
    <t xml:space="preserve"> 润达医疗</t>
  </si>
  <si>
    <t xml:space="preserve"> </t>
  </si>
  <si>
    <t xml:space="preserve"> 17.52亿</t>
  </si>
  <si>
    <t xml:space="preserve"> 68.9亿</t>
  </si>
  <si>
    <t xml:space="preserve"> 33.7万</t>
  </si>
  <si>
    <t xml:space="preserve"> 40.6万</t>
  </si>
  <si>
    <t xml:space="preserve"> 5.859亿</t>
  </si>
  <si>
    <t xml:space="preserve"> 141.3亿</t>
  </si>
  <si>
    <t xml:space="preserve"> 万集科技</t>
  </si>
  <si>
    <t xml:space="preserve"> 43.6万</t>
  </si>
  <si>
    <t xml:space="preserve"> 17.32亿</t>
  </si>
  <si>
    <t xml:space="preserve"> 5.41亿</t>
  </si>
  <si>
    <t xml:space="preserve"> 20.2万</t>
  </si>
  <si>
    <t xml:space="preserve"> 23.4万</t>
  </si>
  <si>
    <t xml:space="preserve"> 2.131亿</t>
  </si>
  <si>
    <t xml:space="preserve"> 87.38亿</t>
  </si>
  <si>
    <t xml:space="preserve"> 1.259亿</t>
  </si>
  <si>
    <t xml:space="preserve"> 51.61亿</t>
  </si>
  <si>
    <t xml:space="preserve"> 巨轮智能</t>
  </si>
  <si>
    <t xml:space="preserve"> 435万</t>
  </si>
  <si>
    <t xml:space="preserve"> 7.63万</t>
  </si>
  <si>
    <t xml:space="preserve"> 17.30亿</t>
  </si>
  <si>
    <t xml:space="preserve"> 5.39亿</t>
  </si>
  <si>
    <t xml:space="preserve"> -3.04万</t>
  </si>
  <si>
    <t xml:space="preserve"> 211万</t>
  </si>
  <si>
    <t xml:space="preserve"> 224万</t>
  </si>
  <si>
    <t xml:space="preserve"> 21.99亿</t>
  </si>
  <si>
    <t xml:space="preserve"> 86.66亿</t>
  </si>
  <si>
    <t xml:space="preserve"> 19.72亿</t>
  </si>
  <si>
    <t xml:space="preserve"> 77.68亿</t>
  </si>
  <si>
    <t xml:space="preserve"> 中贝通信</t>
  </si>
  <si>
    <t xml:space="preserve"> 42.6万</t>
  </si>
  <si>
    <t xml:space="preserve"> 17.18亿</t>
  </si>
  <si>
    <t xml:space="preserve"> 19.9亿</t>
  </si>
  <si>
    <t xml:space="preserve"> 22.2万</t>
  </si>
  <si>
    <t xml:space="preserve"> 20.5万</t>
  </si>
  <si>
    <t xml:space="preserve"> 3.364亿</t>
  </si>
  <si>
    <t xml:space="preserve"> 135.8亿</t>
  </si>
  <si>
    <t xml:space="preserve"> 3.338亿</t>
  </si>
  <si>
    <t xml:space="preserve"> 134.8亿</t>
  </si>
  <si>
    <t xml:space="preserve"> 人民网</t>
  </si>
  <si>
    <t xml:space="preserve"> 48.9万</t>
  </si>
  <si>
    <t xml:space="preserve"> 16.86亿</t>
  </si>
  <si>
    <t xml:space="preserve"> 11.9亿</t>
  </si>
  <si>
    <t xml:space="preserve"> 21.7万</t>
  </si>
  <si>
    <t xml:space="preserve"> 382.0亿</t>
  </si>
  <si>
    <t xml:space="preserve"> 盛天网络</t>
  </si>
  <si>
    <t xml:space="preserve"> 16.57亿</t>
  </si>
  <si>
    <t xml:space="preserve"> 10.8亿</t>
  </si>
  <si>
    <t xml:space="preserve"> 5.96万</t>
  </si>
  <si>
    <t xml:space="preserve"> 61.0万</t>
  </si>
  <si>
    <t xml:space="preserve"> 5.84万</t>
  </si>
  <si>
    <t xml:space="preserve"> 4.898亿</t>
  </si>
  <si>
    <t xml:space="preserve"> 84.53亿</t>
  </si>
  <si>
    <t xml:space="preserve"> 3.996亿</t>
  </si>
  <si>
    <t xml:space="preserve"> 68.98亿</t>
  </si>
  <si>
    <t xml:space="preserve"> 北方华创</t>
  </si>
  <si>
    <t xml:space="preserve"> 7.04万</t>
  </si>
  <si>
    <t xml:space="preserve"> 16.25亿</t>
  </si>
  <si>
    <t xml:space="preserve"> 146亿</t>
  </si>
  <si>
    <t xml:space="preserve"> 3.98万</t>
  </si>
  <si>
    <t xml:space="preserve"> 5.301亿</t>
  </si>
  <si>
    <t xml:space="preserve"> 1234亿</t>
  </si>
  <si>
    <t xml:space="preserve"> 5.285亿</t>
  </si>
  <si>
    <t xml:space="preserve"> 1231亿</t>
  </si>
  <si>
    <t xml:space="preserve"> 神州泰岳</t>
  </si>
  <si>
    <t xml:space="preserve"> 179万</t>
  </si>
  <si>
    <t xml:space="preserve"> 2.89万</t>
  </si>
  <si>
    <t xml:space="preserve"> 16.22亿</t>
  </si>
  <si>
    <t xml:space="preserve"> 40.5亿</t>
  </si>
  <si>
    <t xml:space="preserve"> 67.8万</t>
  </si>
  <si>
    <t xml:space="preserve"> 111万</t>
  </si>
  <si>
    <t xml:space="preserve"> 19.61亿</t>
  </si>
  <si>
    <t xml:space="preserve"> 184.9亿</t>
  </si>
  <si>
    <t xml:space="preserve"> 18.19亿</t>
  </si>
  <si>
    <t xml:space="preserve"> 171.6亿</t>
  </si>
  <si>
    <t xml:space="preserve"> 华工科技</t>
  </si>
  <si>
    <t xml:space="preserve"> 16.05亿</t>
  </si>
  <si>
    <t xml:space="preserve"> 72.1亿</t>
  </si>
  <si>
    <t xml:space="preserve"> 21.3万</t>
  </si>
  <si>
    <t xml:space="preserve"> 31.6万</t>
  </si>
  <si>
    <t xml:space="preserve"> 10.06亿</t>
  </si>
  <si>
    <t xml:space="preserve"> 309.4亿</t>
  </si>
  <si>
    <t xml:space="preserve"> 10.05亿</t>
  </si>
  <si>
    <t xml:space="preserve"> 309.2亿</t>
  </si>
  <si>
    <t xml:space="preserve"> 美的集团</t>
  </si>
  <si>
    <t xml:space="preserve"> 2924亿</t>
  </si>
  <si>
    <t xml:space="preserve"> 16.1万</t>
  </si>
  <si>
    <t xml:space="preserve"> 15.5万</t>
  </si>
  <si>
    <t xml:space="preserve"> 70.25亿</t>
  </si>
  <si>
    <t xml:space="preserve"> 3551亿</t>
  </si>
  <si>
    <t xml:space="preserve"> 68.91亿</t>
  </si>
  <si>
    <t xml:space="preserve"> 3483亿</t>
  </si>
  <si>
    <t xml:space="preserve"> 剑桥科技</t>
  </si>
  <si>
    <t xml:space="preserve"> 39.8万</t>
  </si>
  <si>
    <t xml:space="preserve"> 16.04亿</t>
  </si>
  <si>
    <t xml:space="preserve"> 23.3亿</t>
  </si>
  <si>
    <t xml:space="preserve"> 16.0万</t>
  </si>
  <si>
    <t xml:space="preserve"> 23.9万</t>
  </si>
  <si>
    <t xml:space="preserve"> 2.681亿</t>
  </si>
  <si>
    <t xml:space="preserve"> 110.7亿</t>
  </si>
  <si>
    <t xml:space="preserve"> 2.605亿</t>
  </si>
  <si>
    <t xml:space="preserve"> 江淮汽车</t>
  </si>
  <si>
    <t xml:space="preserve"> 91.0万</t>
  </si>
  <si>
    <t xml:space="preserve"> 1.53万</t>
  </si>
  <si>
    <t xml:space="preserve"> 15.74亿</t>
  </si>
  <si>
    <t xml:space="preserve"> 340亿</t>
  </si>
  <si>
    <t xml:space="preserve"> 50.6万</t>
  </si>
  <si>
    <t xml:space="preserve"> 40.4万</t>
  </si>
  <si>
    <t xml:space="preserve"> 21.84亿</t>
  </si>
  <si>
    <t xml:space="preserve"> 377.2亿</t>
  </si>
  <si>
    <t xml:space="preserve"> 方正证券</t>
  </si>
  <si>
    <t xml:space="preserve"> 170万</t>
  </si>
  <si>
    <t xml:space="preserve"> 2.29万</t>
  </si>
  <si>
    <t xml:space="preserve"> 15.01亿</t>
  </si>
  <si>
    <t xml:space="preserve"> 56.7亿</t>
  </si>
  <si>
    <t xml:space="preserve"> 79.4万</t>
  </si>
  <si>
    <t xml:space="preserve"> 90.7万</t>
  </si>
  <si>
    <t xml:space="preserve"> 82.32亿</t>
  </si>
  <si>
    <t xml:space="preserve"> 725.2亿</t>
  </si>
  <si>
    <t xml:space="preserve"> 光库科技</t>
  </si>
  <si>
    <t xml:space="preserve"> 29.6万</t>
  </si>
  <si>
    <t xml:space="preserve"> 14.96亿</t>
  </si>
  <si>
    <t xml:space="preserve"> 5.24亿</t>
  </si>
  <si>
    <t xml:space="preserve"> 14.8万</t>
  </si>
  <si>
    <t xml:space="preserve"> 2.453亿</t>
  </si>
  <si>
    <t xml:space="preserve"> 126.8亿</t>
  </si>
  <si>
    <t xml:space="preserve"> 2.423亿</t>
  </si>
  <si>
    <t xml:space="preserve"> 125.2亿</t>
  </si>
  <si>
    <t xml:space="preserve"> 天音控股</t>
  </si>
  <si>
    <t xml:space="preserve"> 14.93亿</t>
  </si>
  <si>
    <t xml:space="preserve"> 693亿</t>
  </si>
  <si>
    <t xml:space="preserve"> 60.5万</t>
  </si>
  <si>
    <t xml:space="preserve"> 59.7万</t>
  </si>
  <si>
    <t xml:space="preserve"> 10.25亿</t>
  </si>
  <si>
    <t xml:space="preserve"> 126.1亿</t>
  </si>
  <si>
    <t xml:space="preserve"> 10.24亿</t>
  </si>
  <si>
    <t xml:space="preserve"> 126.0亿</t>
  </si>
  <si>
    <t xml:space="preserve"> 泸州老窖</t>
  </si>
  <si>
    <t xml:space="preserve"> 7.35万</t>
  </si>
  <si>
    <t xml:space="preserve"> 14.92亿</t>
  </si>
  <si>
    <t xml:space="preserve"> 219亿</t>
  </si>
  <si>
    <t xml:space="preserve"> 4.34万</t>
  </si>
  <si>
    <t xml:space="preserve"> 3.01万</t>
  </si>
  <si>
    <t xml:space="preserve"> 2973亿</t>
  </si>
  <si>
    <t xml:space="preserve"> 14.65亿</t>
  </si>
  <si>
    <t xml:space="preserve"> 2958亿</t>
  </si>
  <si>
    <t xml:space="preserve"> 紫天科技</t>
  </si>
  <si>
    <t xml:space="preserve"> 33.6万</t>
  </si>
  <si>
    <t xml:space="preserve"> 14.81亿</t>
  </si>
  <si>
    <t xml:space="preserve"> 22.9亿</t>
  </si>
  <si>
    <t xml:space="preserve"> 17.7万</t>
  </si>
  <si>
    <t xml:space="preserve"> 1.621亿</t>
  </si>
  <si>
    <t xml:space="preserve"> 73.43亿</t>
  </si>
  <si>
    <t xml:space="preserve"> 1.605亿</t>
  </si>
  <si>
    <t xml:space="preserve"> 72.71亿</t>
  </si>
  <si>
    <t xml:space="preserve"> 东航物流</t>
  </si>
  <si>
    <t xml:space="preserve"> 14.60亿</t>
  </si>
  <si>
    <t xml:space="preserve"> 142亿</t>
  </si>
  <si>
    <t xml:space="preserve"> 39.9万</t>
  </si>
  <si>
    <t xml:space="preserve"> 63.9万</t>
  </si>
  <si>
    <t xml:space="preserve"> 15.88亿</t>
  </si>
  <si>
    <t xml:space="preserve"> 225.9亿</t>
  </si>
  <si>
    <t xml:space="preserve"> 8.017亿</t>
  </si>
  <si>
    <t xml:space="preserve"> 114.1亿</t>
  </si>
  <si>
    <t xml:space="preserve"> 高鸿股份</t>
  </si>
  <si>
    <t xml:space="preserve"> 204万</t>
  </si>
  <si>
    <t xml:space="preserve"> 14.47亿</t>
  </si>
  <si>
    <t xml:space="preserve"> 40.6亿</t>
  </si>
  <si>
    <t xml:space="preserve"> 9.44万</t>
  </si>
  <si>
    <t xml:space="preserve"> 124万</t>
  </si>
  <si>
    <t xml:space="preserve"> 80.4万</t>
  </si>
  <si>
    <t xml:space="preserve"> 8.92万</t>
  </si>
  <si>
    <t xml:space="preserve"> 11.58亿</t>
  </si>
  <si>
    <t xml:space="preserve"> 83.25亿</t>
  </si>
  <si>
    <t xml:space="preserve"> 11.32亿</t>
  </si>
  <si>
    <t xml:space="preserve"> 81.37亿</t>
  </si>
  <si>
    <t xml:space="preserve"> 天孚通信</t>
  </si>
  <si>
    <t xml:space="preserve"> 19.2万</t>
  </si>
  <si>
    <t xml:space="preserve"> 14.46亿</t>
  </si>
  <si>
    <t xml:space="preserve"> 12.1亿</t>
  </si>
  <si>
    <t xml:space="preserve"> 7.98万</t>
  </si>
  <si>
    <t xml:space="preserve"> 11.2万</t>
  </si>
  <si>
    <t xml:space="preserve"> 3.949亿</t>
  </si>
  <si>
    <t xml:space="preserve"> 302.8亿</t>
  </si>
  <si>
    <t xml:space="preserve"> 3.615亿</t>
  </si>
  <si>
    <t xml:space="preserve"> 277.2亿</t>
  </si>
  <si>
    <t xml:space="preserve"> N中机</t>
  </si>
  <si>
    <t xml:space="preserve"> 33.9万</t>
  </si>
  <si>
    <t xml:space="preserve"> 14.21亿</t>
  </si>
  <si>
    <t xml:space="preserve"> 5.42亿</t>
  </si>
  <si>
    <t xml:space="preserve"> 16.2万</t>
  </si>
  <si>
    <t xml:space="preserve"> 2.261亿</t>
  </si>
  <si>
    <t xml:space="preserve"> 110.9亿</t>
  </si>
  <si>
    <t xml:space="preserve"> 4295万</t>
  </si>
  <si>
    <t xml:space="preserve"> 21.08亿</t>
  </si>
  <si>
    <t xml:space="preserve"> 三七互娱</t>
  </si>
  <si>
    <t xml:space="preserve"> 61.9万</t>
  </si>
  <si>
    <t xml:space="preserve"> 14.13亿</t>
  </si>
  <si>
    <t xml:space="preserve"> 120亿</t>
  </si>
  <si>
    <t xml:space="preserve"> 30.4万</t>
  </si>
  <si>
    <t xml:space="preserve"> 31.5万</t>
  </si>
  <si>
    <t xml:space="preserve"> 22.18亿</t>
  </si>
  <si>
    <t xml:space="preserve"> 516.5亿</t>
  </si>
  <si>
    <t xml:space="preserve"> 16.08亿</t>
  </si>
  <si>
    <t xml:space="preserve"> 374.5亿</t>
  </si>
  <si>
    <t xml:space="preserve"> 分众传媒</t>
  </si>
  <si>
    <t xml:space="preserve"> 216万</t>
  </si>
  <si>
    <t xml:space="preserve"> 1.26万</t>
  </si>
  <si>
    <t xml:space="preserve"> 13.55亿</t>
  </si>
  <si>
    <t xml:space="preserve"> 86.8亿</t>
  </si>
  <si>
    <t xml:space="preserve"> 909.9亿</t>
  </si>
  <si>
    <t xml:space="preserve"> 智度股份</t>
  </si>
  <si>
    <t xml:space="preserve"> 158万</t>
  </si>
  <si>
    <t xml:space="preserve"> 2.63万</t>
  </si>
  <si>
    <t xml:space="preserve"> 13.30亿</t>
  </si>
  <si>
    <t xml:space="preserve"> 21.0亿</t>
  </si>
  <si>
    <t xml:space="preserve"> 57.3万</t>
  </si>
  <si>
    <t xml:space="preserve"> 101万</t>
  </si>
  <si>
    <t xml:space="preserve"> 12.77亿</t>
  </si>
  <si>
    <t xml:space="preserve"> 110.0亿</t>
  </si>
  <si>
    <t xml:space="preserve"> 12.75亿</t>
  </si>
  <si>
    <t xml:space="preserve"> 109.9亿</t>
  </si>
  <si>
    <t xml:space="preserve"> 药明康德</t>
  </si>
  <si>
    <t xml:space="preserve"> 13.18亿</t>
  </si>
  <si>
    <t xml:space="preserve"> 295亿</t>
  </si>
  <si>
    <t xml:space="preserve"> 7.64万</t>
  </si>
  <si>
    <t xml:space="preserve"> 8.39万</t>
  </si>
  <si>
    <t xml:space="preserve"> 29.69亿</t>
  </si>
  <si>
    <t xml:space="preserve"> 2464亿</t>
  </si>
  <si>
    <t xml:space="preserve"> 25.66亿</t>
  </si>
  <si>
    <t xml:space="preserve"> 2130亿</t>
  </si>
  <si>
    <t xml:space="preserve"> 长江电力</t>
  </si>
  <si>
    <t xml:space="preserve"> 57.7万</t>
  </si>
  <si>
    <t xml:space="preserve"> 13.10亿</t>
  </si>
  <si>
    <t xml:space="preserve"> 579亿</t>
  </si>
  <si>
    <t xml:space="preserve"> 29.1万</t>
  </si>
  <si>
    <t xml:space="preserve"> 28.6万</t>
  </si>
  <si>
    <t xml:space="preserve"> 244.7亿</t>
  </si>
  <si>
    <t xml:space="preserve"> 5562亿</t>
  </si>
  <si>
    <t xml:space="preserve"> 235.5亿</t>
  </si>
  <si>
    <t xml:space="preserve"> 5352亿</t>
  </si>
  <si>
    <t xml:space="preserve"> 易点天下</t>
  </si>
  <si>
    <t xml:space="preserve"> 60.7万</t>
  </si>
  <si>
    <t xml:space="preserve"> 1.19万</t>
  </si>
  <si>
    <t xml:space="preserve"> 13.00亿</t>
  </si>
  <si>
    <t xml:space="preserve"> 15.8亿</t>
  </si>
  <si>
    <t xml:space="preserve"> 26.2万</t>
  </si>
  <si>
    <t xml:space="preserve"> 34.5万</t>
  </si>
  <si>
    <t xml:space="preserve"> 4.719亿</t>
  </si>
  <si>
    <t xml:space="preserve"> 104.8亿</t>
  </si>
  <si>
    <t xml:space="preserve"> 3.088亿</t>
  </si>
  <si>
    <t xml:space="preserve"> 68.55亿</t>
  </si>
  <si>
    <t xml:space="preserve"> 国联水产</t>
  </si>
  <si>
    <t xml:space="preserve"> 232万</t>
  </si>
  <si>
    <t xml:space="preserve"> 3.39万</t>
  </si>
  <si>
    <t xml:space="preserve"> 39.7亿</t>
  </si>
  <si>
    <t xml:space="preserve"> 2.21万</t>
  </si>
  <si>
    <t xml:space="preserve"> 143万</t>
  </si>
  <si>
    <t xml:space="preserve"> 89.2万</t>
  </si>
  <si>
    <t xml:space="preserve"> 1.12万</t>
  </si>
  <si>
    <t xml:space="preserve"> 11.28亿</t>
  </si>
  <si>
    <t xml:space="preserve"> 60.47亿</t>
  </si>
  <si>
    <t xml:space="preserve"> 11.05亿</t>
  </si>
  <si>
    <t xml:space="preserve"> 59.23亿</t>
  </si>
  <si>
    <t xml:space="preserve"> 联特科技</t>
  </si>
  <si>
    <t xml:space="preserve"> 10.4万</t>
  </si>
  <si>
    <t xml:space="preserve"> 12.99亿</t>
  </si>
  <si>
    <t xml:space="preserve"> 4.41亿</t>
  </si>
  <si>
    <t xml:space="preserve"> 4.96万</t>
  </si>
  <si>
    <t xml:space="preserve"> 5.41万</t>
  </si>
  <si>
    <t xml:space="preserve"> 1.297亿</t>
  </si>
  <si>
    <t xml:space="preserve"> 165.8亿</t>
  </si>
  <si>
    <t xml:space="preserve"> 6796万</t>
  </si>
  <si>
    <t xml:space="preserve"> 86.84亿</t>
  </si>
  <si>
    <t xml:space="preserve"> 中国中免</t>
  </si>
  <si>
    <t xml:space="preserve"> 12.97亿</t>
  </si>
  <si>
    <t xml:space="preserve"> 508亿</t>
  </si>
  <si>
    <t xml:space="preserve"> 8.40万</t>
  </si>
  <si>
    <t xml:space="preserve"> 6.41万</t>
  </si>
  <si>
    <t xml:space="preserve"> 20.69亿</t>
  </si>
  <si>
    <t xml:space="preserve"> 1819亿</t>
  </si>
  <si>
    <t xml:space="preserve"> 19.52亿</t>
  </si>
  <si>
    <t xml:space="preserve"> 1716亿</t>
  </si>
  <si>
    <t xml:space="preserve"> 同花顺</t>
  </si>
  <si>
    <t xml:space="preserve"> 8.90万</t>
  </si>
  <si>
    <t xml:space="preserve"> 12.88亿</t>
  </si>
  <si>
    <t xml:space="preserve"> 23.7亿</t>
  </si>
  <si>
    <t xml:space="preserve"> 3.49万</t>
  </si>
  <si>
    <t xml:space="preserve"> 5.376亿</t>
  </si>
  <si>
    <t xml:space="preserve"> 790.3亿</t>
  </si>
  <si>
    <t xml:space="preserve"> 2.715亿</t>
  </si>
  <si>
    <t xml:space="preserve"> 399.2亿</t>
  </si>
  <si>
    <t xml:space="preserve"> 万华化学</t>
  </si>
  <si>
    <t xml:space="preserve"> 12.80亿</t>
  </si>
  <si>
    <t xml:space="preserve"> 1326亿</t>
  </si>
  <si>
    <t xml:space="preserve"> 8.43万</t>
  </si>
  <si>
    <t xml:space="preserve"> 7.74万</t>
  </si>
  <si>
    <t xml:space="preserve"> 31.40亿</t>
  </si>
  <si>
    <t xml:space="preserve"> 2477亿</t>
  </si>
  <si>
    <t xml:space="preserve"> 联影医疗</t>
  </si>
  <si>
    <t xml:space="preserve"> 9.01万</t>
  </si>
  <si>
    <t xml:space="preserve"> 74.3亿</t>
  </si>
  <si>
    <t xml:space="preserve"> 4.29万</t>
  </si>
  <si>
    <t xml:space="preserve"> 4.72万</t>
  </si>
  <si>
    <t xml:space="preserve"> 8.242亿</t>
  </si>
  <si>
    <t xml:space="preserve"> 1183亿</t>
  </si>
  <si>
    <t xml:space="preserve"> 5.893亿</t>
  </si>
  <si>
    <t xml:space="preserve"> 846.2亿</t>
  </si>
  <si>
    <t xml:space="preserve"> 中国移动</t>
  </si>
  <si>
    <t xml:space="preserve"> 13.8万</t>
  </si>
  <si>
    <t xml:space="preserve"> 12.70亿</t>
  </si>
  <si>
    <t xml:space="preserve"> 7756亿</t>
  </si>
  <si>
    <t xml:space="preserve"> 5.58万</t>
  </si>
  <si>
    <t xml:space="preserve"> 8.21万</t>
  </si>
  <si>
    <t xml:space="preserve"> 213.9亿</t>
  </si>
  <si>
    <t xml:space="preserve"> 1.98万亿</t>
  </si>
  <si>
    <t xml:space="preserve"> 7.586亿</t>
  </si>
  <si>
    <t xml:space="preserve"> 703.1亿</t>
  </si>
  <si>
    <t xml:space="preserve"> 中科曙光</t>
  </si>
  <si>
    <t xml:space="preserve"> 12.68亿</t>
  </si>
  <si>
    <t xml:space="preserve"> 77.6亿</t>
  </si>
  <si>
    <t xml:space="preserve"> 15.6万</t>
  </si>
  <si>
    <t xml:space="preserve"> 18.0万</t>
  </si>
  <si>
    <t xml:space="preserve"> 14.64亿</t>
  </si>
  <si>
    <t xml:space="preserve"> 558.1亿</t>
  </si>
  <si>
    <t xml:space="preserve"> 14.55亿</t>
  </si>
  <si>
    <t xml:space="preserve"> 554.6亿</t>
  </si>
  <si>
    <t xml:space="preserve"> 徐家汇</t>
  </si>
  <si>
    <t xml:space="preserve"> 12.45亿</t>
  </si>
  <si>
    <t xml:space="preserve"> 4.01亿</t>
  </si>
  <si>
    <t xml:space="preserve"> 56.8万</t>
  </si>
  <si>
    <t xml:space="preserve"> 49.1万</t>
  </si>
  <si>
    <t xml:space="preserve"> 4.158亿</t>
  </si>
  <si>
    <t xml:space="preserve"> 45.03亿</t>
  </si>
  <si>
    <t xml:space="preserve"> 4.116亿</t>
  </si>
  <si>
    <t xml:space="preserve"> 44.57亿</t>
  </si>
  <si>
    <t xml:space="preserve"> 紫金矿业</t>
  </si>
  <si>
    <t xml:space="preserve"> 102万</t>
  </si>
  <si>
    <t xml:space="preserve"> 12.28亿</t>
  </si>
  <si>
    <t xml:space="preserve"> 2250亿</t>
  </si>
  <si>
    <t xml:space="preserve"> 53.4万</t>
  </si>
  <si>
    <t xml:space="preserve"> 48.3万</t>
  </si>
  <si>
    <t xml:space="preserve"> 263.3亿</t>
  </si>
  <si>
    <t xml:space="preserve"> 3170亿</t>
  </si>
  <si>
    <t xml:space="preserve"> 205.3亿</t>
  </si>
  <si>
    <t xml:space="preserve"> 2471亿</t>
  </si>
  <si>
    <t xml:space="preserve"> 张江高科</t>
  </si>
  <si>
    <t xml:space="preserve"> 53.9万</t>
  </si>
  <si>
    <t xml:space="preserve"> 17.5亿</t>
  </si>
  <si>
    <t xml:space="preserve"> 15.49亿</t>
  </si>
  <si>
    <t xml:space="preserve"> 355.0亿</t>
  </si>
  <si>
    <t xml:space="preserve"> 天齐锂业</t>
  </si>
  <si>
    <t xml:space="preserve"> 12.05亿</t>
  </si>
  <si>
    <t xml:space="preserve"> 334亿</t>
  </si>
  <si>
    <t xml:space="preserve"> 11.1万</t>
  </si>
  <si>
    <t xml:space="preserve"> 13.0万</t>
  </si>
  <si>
    <t xml:space="preserve"> 16.41亿</t>
  </si>
  <si>
    <t xml:space="preserve"> 822.6亿</t>
  </si>
  <si>
    <t xml:space="preserve"> 14.75亿</t>
  </si>
  <si>
    <t xml:space="preserve"> 739.2亿</t>
  </si>
  <si>
    <t xml:space="preserve"> 工商银行</t>
  </si>
  <si>
    <t xml:space="preserve"> 250万</t>
  </si>
  <si>
    <t xml:space="preserve"> 3.46万</t>
  </si>
  <si>
    <t xml:space="preserve"> 12.02亿</t>
  </si>
  <si>
    <t xml:space="preserve"> 6513亿</t>
  </si>
  <si>
    <t xml:space="preserve"> 50.7万</t>
  </si>
  <si>
    <t xml:space="preserve"> 144万</t>
  </si>
  <si>
    <t xml:space="preserve"> 17.5万</t>
  </si>
  <si>
    <t xml:space="preserve"> 4.48万</t>
  </si>
  <si>
    <t xml:space="preserve"> 3564亿</t>
  </si>
  <si>
    <t xml:space="preserve"> 1.71万亿</t>
  </si>
  <si>
    <t xml:space="preserve"> 2696亿</t>
  </si>
  <si>
    <t xml:space="preserve"> 1.30万亿</t>
  </si>
  <si>
    <t xml:space="preserve"> 紫光股份</t>
  </si>
  <si>
    <t xml:space="preserve"> 11.86亿</t>
  </si>
  <si>
    <t xml:space="preserve"> 552亿</t>
  </si>
  <si>
    <t xml:space="preserve"> 24.6万</t>
  </si>
  <si>
    <t xml:space="preserve"> 32.7万</t>
  </si>
  <si>
    <t xml:space="preserve"> 28.60亿</t>
  </si>
  <si>
    <t xml:space="preserve"> 600.0亿</t>
  </si>
  <si>
    <t xml:space="preserve"> 易华录</t>
  </si>
  <si>
    <t xml:space="preserve"> 34.2万</t>
  </si>
  <si>
    <t xml:space="preserve"> 11.84亿</t>
  </si>
  <si>
    <t xml:space="preserve"> 7.03亿</t>
  </si>
  <si>
    <t xml:space="preserve"> 18.2万</t>
  </si>
  <si>
    <t xml:space="preserve"> 7.233亿</t>
  </si>
  <si>
    <t xml:space="preserve"> 252.6亿</t>
  </si>
  <si>
    <t xml:space="preserve"> 6.407亿</t>
  </si>
  <si>
    <t xml:space="preserve"> 223.8亿</t>
  </si>
  <si>
    <t xml:space="preserve"> 立讯精密</t>
  </si>
  <si>
    <t xml:space="preserve"> 37.6万</t>
  </si>
  <si>
    <t xml:space="preserve"> 11.82亿</t>
  </si>
  <si>
    <t xml:space="preserve"> 1559亿</t>
  </si>
  <si>
    <t xml:space="preserve"> 18.4万</t>
  </si>
  <si>
    <t xml:space="preserve"> 19.3万</t>
  </si>
  <si>
    <t xml:space="preserve"> 71.48亿</t>
  </si>
  <si>
    <t xml:space="preserve"> 2242亿</t>
  </si>
  <si>
    <t xml:space="preserve"> 71.36亿</t>
  </si>
  <si>
    <t xml:space="preserve"> 2238亿</t>
  </si>
  <si>
    <t xml:space="preserve"> 农业银行</t>
  </si>
  <si>
    <t xml:space="preserve"> 319万</t>
  </si>
  <si>
    <t xml:space="preserve"> 1.74万</t>
  </si>
  <si>
    <t xml:space="preserve"> 11.69亿</t>
  </si>
  <si>
    <t xml:space="preserve"> 5334亿</t>
  </si>
  <si>
    <t xml:space="preserve"> -29.0万</t>
  </si>
  <si>
    <t xml:space="preserve"> 176万</t>
  </si>
  <si>
    <t xml:space="preserve"> 10.5万</t>
  </si>
  <si>
    <t xml:space="preserve"> 1.92万</t>
  </si>
  <si>
    <t xml:space="preserve"> 3500亿</t>
  </si>
  <si>
    <t xml:space="preserve"> 1.28万亿</t>
  </si>
  <si>
    <t xml:space="preserve"> 3192亿</t>
  </si>
  <si>
    <t xml:space="preserve"> 1.17万亿</t>
  </si>
  <si>
    <t xml:space="preserve"> 工业富联</t>
  </si>
  <si>
    <t xml:space="preserve"> 77.3万</t>
  </si>
  <si>
    <t xml:space="preserve"> 3288亿</t>
  </si>
  <si>
    <t xml:space="preserve"> 37.5万</t>
  </si>
  <si>
    <t xml:space="preserve"> 198.7亿</t>
  </si>
  <si>
    <t xml:space="preserve"> 3010亿</t>
  </si>
  <si>
    <t xml:space="preserve"> 198.3亿</t>
  </si>
  <si>
    <t xml:space="preserve"> 3005亿</t>
  </si>
  <si>
    <t xml:space="preserve"> 利和兴</t>
  </si>
  <si>
    <t xml:space="preserve"> 11.52亿</t>
  </si>
  <si>
    <t xml:space="preserve"> 2.92亿</t>
  </si>
  <si>
    <t xml:space="preserve"> 34.7万</t>
  </si>
  <si>
    <t xml:space="preserve"> 2.337亿</t>
  </si>
  <si>
    <t xml:space="preserve"> 40.69亿</t>
  </si>
  <si>
    <t xml:space="preserve"> 1.664亿</t>
  </si>
  <si>
    <t xml:space="preserve"> 28.97亿</t>
  </si>
  <si>
    <t xml:space="preserve"> 联创电子</t>
  </si>
  <si>
    <t xml:space="preserve"> 99.2万</t>
  </si>
  <si>
    <t xml:space="preserve"> 1.24万</t>
  </si>
  <si>
    <t xml:space="preserve"> 11.51亿</t>
  </si>
  <si>
    <t xml:space="preserve"> 70.9亿</t>
  </si>
  <si>
    <t xml:space="preserve"> 10.69亿</t>
  </si>
  <si>
    <t xml:space="preserve"> 123.9亿</t>
  </si>
  <si>
    <t xml:space="preserve"> 10.54亿</t>
  </si>
  <si>
    <t xml:space="preserve"> 122.1亿</t>
  </si>
  <si>
    <t xml:space="preserve"> 省广集团</t>
  </si>
  <si>
    <t xml:space="preserve"> 186万</t>
  </si>
  <si>
    <t xml:space="preserve"> 2.66万</t>
  </si>
  <si>
    <t xml:space="preserve"> 11.50亿</t>
  </si>
  <si>
    <t xml:space="preserve"> 105亿</t>
  </si>
  <si>
    <t xml:space="preserve"> 72.8万</t>
  </si>
  <si>
    <t xml:space="preserve"> 113万</t>
  </si>
  <si>
    <t xml:space="preserve"> 1.60万</t>
  </si>
  <si>
    <t xml:space="preserve"> 17.43亿</t>
  </si>
  <si>
    <t xml:space="preserve"> 109.1亿</t>
  </si>
  <si>
    <t xml:space="preserve"> 16.74亿</t>
  </si>
  <si>
    <t xml:space="preserve"> 掌趣科技</t>
  </si>
  <si>
    <t xml:space="preserve"> 227万</t>
  </si>
  <si>
    <t xml:space="preserve"> 3.08万</t>
  </si>
  <si>
    <t xml:space="preserve"> 11.44亿</t>
  </si>
  <si>
    <t xml:space="preserve"> 7.05亿</t>
  </si>
  <si>
    <t xml:space="preserve"> -2.53万</t>
  </si>
  <si>
    <t xml:space="preserve"> 84.8万</t>
  </si>
  <si>
    <t xml:space="preserve"> 27.57亿</t>
  </si>
  <si>
    <t xml:space="preserve"> 144.2亿</t>
  </si>
  <si>
    <t xml:space="preserve"> 26.08亿</t>
  </si>
  <si>
    <t xml:space="preserve"> 136.4亿</t>
  </si>
  <si>
    <t xml:space="preserve"> 文一科技</t>
  </si>
  <si>
    <t xml:space="preserve"> 34.8万</t>
  </si>
  <si>
    <t xml:space="preserve"> 2.58亿</t>
  </si>
  <si>
    <t xml:space="preserve"> 17.1万</t>
  </si>
  <si>
    <t xml:space="preserve"> 1.584亿</t>
  </si>
  <si>
    <t xml:space="preserve"> 52.42亿</t>
  </si>
  <si>
    <t xml:space="preserve"> 龙芯中科</t>
  </si>
  <si>
    <t xml:space="preserve"> 9.97万</t>
  </si>
  <si>
    <t xml:space="preserve"> 11.29亿</t>
  </si>
  <si>
    <t xml:space="preserve"> 3.94亿</t>
  </si>
  <si>
    <t xml:space="preserve"> 4.63万</t>
  </si>
  <si>
    <t xml:space="preserve"> 4.010亿</t>
  </si>
  <si>
    <t xml:space="preserve"> 457.5亿</t>
  </si>
  <si>
    <t xml:space="preserve"> 2.784亿</t>
  </si>
  <si>
    <t xml:space="preserve"> 317.7亿</t>
  </si>
  <si>
    <t xml:space="preserve"> 格力电器</t>
  </si>
  <si>
    <t xml:space="preserve"> 1558亿</t>
  </si>
  <si>
    <t xml:space="preserve"> 56.31亿</t>
  </si>
  <si>
    <t xml:space="preserve"> 1830亿</t>
  </si>
  <si>
    <t xml:space="preserve"> 55.92亿</t>
  </si>
  <si>
    <t xml:space="preserve"> 1817亿</t>
  </si>
  <si>
    <t xml:space="preserve"> 恒润股份</t>
  </si>
  <si>
    <t xml:space="preserve"> 28.9万</t>
  </si>
  <si>
    <t xml:space="preserve"> 11.22亿</t>
  </si>
  <si>
    <t xml:space="preserve"> 12.5亿</t>
  </si>
  <si>
    <t xml:space="preserve"> 14.9万</t>
  </si>
  <si>
    <t xml:space="preserve"> 14.0万</t>
  </si>
  <si>
    <t xml:space="preserve"> 4.409亿</t>
  </si>
  <si>
    <t xml:space="preserve"> 172.1亿</t>
  </si>
  <si>
    <t xml:space="preserve"> 游族网络</t>
  </si>
  <si>
    <t xml:space="preserve"> 89.9万</t>
  </si>
  <si>
    <t xml:space="preserve"> 11.19亿</t>
  </si>
  <si>
    <t xml:space="preserve"> 11.8亿</t>
  </si>
  <si>
    <t xml:space="preserve"> 7.77万</t>
  </si>
  <si>
    <t xml:space="preserve"> 52.0万</t>
  </si>
  <si>
    <t xml:space="preserve"> 38.0万</t>
  </si>
  <si>
    <t xml:space="preserve"> 7.42万</t>
  </si>
  <si>
    <t xml:space="preserve"> 9.159亿</t>
  </si>
  <si>
    <t xml:space="preserve"> 115.8亿</t>
  </si>
  <si>
    <t xml:space="preserve"> 9.142亿</t>
  </si>
  <si>
    <t xml:space="preserve"> 115.6亿</t>
  </si>
  <si>
    <t xml:space="preserve"> 赣锋锂业</t>
  </si>
  <si>
    <t xml:space="preserve"> 11.18亿</t>
  </si>
  <si>
    <t xml:space="preserve"> 257亿</t>
  </si>
  <si>
    <t xml:space="preserve"> 15.3万</t>
  </si>
  <si>
    <t xml:space="preserve"> 20.17亿</t>
  </si>
  <si>
    <t xml:space="preserve"> 782.3亿</t>
  </si>
  <si>
    <t xml:space="preserve"> 12.07亿</t>
  </si>
  <si>
    <t xml:space="preserve"> 468.1亿</t>
  </si>
  <si>
    <t xml:space="preserve"> 百纳千成</t>
  </si>
  <si>
    <t xml:space="preserve"> 131万</t>
  </si>
  <si>
    <t xml:space="preserve"> 2.03万</t>
  </si>
  <si>
    <t xml:space="preserve"> 10.99亿</t>
  </si>
  <si>
    <t xml:space="preserve"> 1.84亿</t>
  </si>
  <si>
    <t xml:space="preserve"> 53.7万</t>
  </si>
  <si>
    <t xml:space="preserve"> 77.2万</t>
  </si>
  <si>
    <t xml:space="preserve"> 9.419亿</t>
  </si>
  <si>
    <t xml:space="preserve"> 80.15亿</t>
  </si>
  <si>
    <t xml:space="preserve"> 8.272亿</t>
  </si>
  <si>
    <t xml:space="preserve"> 70.40亿</t>
  </si>
  <si>
    <t xml:space="preserve"> 云从科技-UW</t>
  </si>
  <si>
    <t xml:space="preserve"> 62.1万</t>
  </si>
  <si>
    <t xml:space="preserve"> 10.97亿</t>
  </si>
  <si>
    <t xml:space="preserve"> 3.46亿</t>
  </si>
  <si>
    <t xml:space="preserve"> 26.1万</t>
  </si>
  <si>
    <t xml:space="preserve"> 36.0万</t>
  </si>
  <si>
    <t xml:space="preserve"> 10.37亿</t>
  </si>
  <si>
    <t xml:space="preserve"> 187.1亿</t>
  </si>
  <si>
    <t xml:space="preserve"> 7.512亿</t>
  </si>
  <si>
    <t xml:space="preserve"> 135.5亿</t>
  </si>
  <si>
    <t xml:space="preserve"> 中国船舶</t>
  </si>
  <si>
    <t xml:space="preserve"> 10.94亿</t>
  </si>
  <si>
    <t xml:space="preserve"> 497亿</t>
  </si>
  <si>
    <t xml:space="preserve"> 21.2万</t>
  </si>
  <si>
    <t xml:space="preserve"> 18.7万</t>
  </si>
  <si>
    <t xml:space="preserve"> 44.72亿</t>
  </si>
  <si>
    <t xml:space="preserve"> 1233亿</t>
  </si>
  <si>
    <t xml:space="preserve"> 贝瑞基因</t>
  </si>
  <si>
    <t xml:space="preserve"> 73.3万</t>
  </si>
  <si>
    <t xml:space="preserve"> 10.73亿</t>
  </si>
  <si>
    <t xml:space="preserve"> 8.66亿</t>
  </si>
  <si>
    <t xml:space="preserve"> 26.4万</t>
  </si>
  <si>
    <t xml:space="preserve"> 3.535亿</t>
  </si>
  <si>
    <t xml:space="preserve"> 51.26亿</t>
  </si>
  <si>
    <t xml:space="preserve"> 3.047亿</t>
  </si>
  <si>
    <t xml:space="preserve"> 44.18亿</t>
  </si>
  <si>
    <t xml:space="preserve"> 康泰生物</t>
  </si>
  <si>
    <t xml:space="preserve"> 32.3万</t>
  </si>
  <si>
    <t xml:space="preserve"> 10.72亿</t>
  </si>
  <si>
    <t xml:space="preserve"> 24.6亿</t>
  </si>
  <si>
    <t xml:space="preserve"> 11.17亿</t>
  </si>
  <si>
    <t xml:space="preserve"> 8.814亿</t>
  </si>
  <si>
    <t xml:space="preserve"> 295.5亿</t>
  </si>
  <si>
    <t xml:space="preserve"> 中信证券</t>
  </si>
  <si>
    <t xml:space="preserve"> 49.4万</t>
  </si>
  <si>
    <t xml:space="preserve"> 10.62亿</t>
  </si>
  <si>
    <t xml:space="preserve"> 458亿</t>
  </si>
  <si>
    <t xml:space="preserve"> 23.2万</t>
  </si>
  <si>
    <t xml:space="preserve"> 26.3万</t>
  </si>
  <si>
    <t xml:space="preserve"> 148.2亿</t>
  </si>
  <si>
    <t xml:space="preserve"> 3195亿</t>
  </si>
  <si>
    <t xml:space="preserve"> 2451亿</t>
  </si>
  <si>
    <t xml:space="preserve"> 金科股份</t>
  </si>
  <si>
    <t xml:space="preserve"> 567万</t>
  </si>
  <si>
    <t xml:space="preserve"> 5.54万</t>
  </si>
  <si>
    <t xml:space="preserve"> 10.50亿</t>
  </si>
  <si>
    <t xml:space="preserve"> 431亿</t>
  </si>
  <si>
    <t xml:space="preserve"> -14.8万</t>
  </si>
  <si>
    <t xml:space="preserve"> 239万</t>
  </si>
  <si>
    <t xml:space="preserve"> 328万</t>
  </si>
  <si>
    <t xml:space="preserve"> 3.78万</t>
  </si>
  <si>
    <t xml:space="preserve"> 8.18万</t>
  </si>
  <si>
    <t xml:space="preserve"> 53.40亿</t>
  </si>
  <si>
    <t xml:space="preserve"> 99.32亿</t>
  </si>
  <si>
    <t xml:space="preserve"> 53.08亿</t>
  </si>
  <si>
    <t xml:space="preserve"> 98.74亿</t>
  </si>
  <si>
    <t xml:space="preserve"> 天威视讯</t>
  </si>
  <si>
    <t xml:space="preserve"> 81.2万</t>
  </si>
  <si>
    <t xml:space="preserve"> 1.21万</t>
  </si>
  <si>
    <t xml:space="preserve"> 10.41亿</t>
  </si>
  <si>
    <t xml:space="preserve"> 9.30亿</t>
  </si>
  <si>
    <t xml:space="preserve"> 40.7万</t>
  </si>
  <si>
    <t xml:space="preserve"> 40.5万</t>
  </si>
  <si>
    <t xml:space="preserve"> 8.026亿</t>
  </si>
  <si>
    <t xml:space="preserve"> 101.7亿</t>
  </si>
  <si>
    <t xml:space="preserve"> 威帝股份</t>
  </si>
  <si>
    <t xml:space="preserve"> 150万</t>
  </si>
  <si>
    <t xml:space="preserve"> 10.32亿</t>
  </si>
  <si>
    <t xml:space="preserve"> 4498万</t>
  </si>
  <si>
    <t xml:space="preserve"> 8.86万</t>
  </si>
  <si>
    <t xml:space="preserve"> 109万</t>
  </si>
  <si>
    <t xml:space="preserve"> 8.69万</t>
  </si>
  <si>
    <t xml:space="preserve"> 5.621亿</t>
  </si>
  <si>
    <t xml:space="preserve"> 39.01亿</t>
  </si>
  <si>
    <t xml:space="preserve"> 迈瑞医疗</t>
  </si>
  <si>
    <t xml:space="preserve"> 3.54万</t>
  </si>
  <si>
    <t xml:space="preserve"> 10.23亿</t>
  </si>
  <si>
    <t xml:space="preserve"> 273亿</t>
  </si>
  <si>
    <t xml:space="preserve"> 1.87万</t>
  </si>
  <si>
    <t xml:space="preserve"> 12.12亿</t>
  </si>
  <si>
    <t xml:space="preserve"> 3517亿</t>
  </si>
  <si>
    <t xml:space="preserve"> 北汽蓝谷</t>
  </si>
  <si>
    <t xml:space="preserve"> 160万</t>
  </si>
  <si>
    <t xml:space="preserve"> 2.58万</t>
  </si>
  <si>
    <t xml:space="preserve"> 10.21亿</t>
  </si>
  <si>
    <t xml:space="preserve"> 93.1亿</t>
  </si>
  <si>
    <t xml:space="preserve"> 2.92万</t>
  </si>
  <si>
    <t xml:space="preserve"> 92.2万</t>
  </si>
  <si>
    <t xml:space="preserve"> 67.6万</t>
  </si>
  <si>
    <t xml:space="preserve"> 1.18万</t>
  </si>
  <si>
    <t xml:space="preserve"> 55.74亿</t>
  </si>
  <si>
    <t xml:space="preserve"> 356.1亿</t>
  </si>
  <si>
    <t xml:space="preserve"> 45.35亿</t>
  </si>
  <si>
    <t xml:space="preserve"> 289.8亿</t>
  </si>
  <si>
    <t xml:space="preserve"> 日盈电子</t>
  </si>
  <si>
    <t xml:space="preserve"> 31.9万</t>
  </si>
  <si>
    <t xml:space="preserve"> 10.19亿</t>
  </si>
  <si>
    <t xml:space="preserve"> 5.97亿</t>
  </si>
  <si>
    <t xml:space="preserve"> 18.1万</t>
  </si>
  <si>
    <t xml:space="preserve"> 1.143亿</t>
  </si>
  <si>
    <t xml:space="preserve"> 35.39亿</t>
  </si>
  <si>
    <t xml:space="preserve"> 8808万</t>
  </si>
  <si>
    <t xml:space="preserve"> 27.27亿</t>
  </si>
  <si>
    <t xml:space="preserve"> 科力尔</t>
  </si>
  <si>
    <t xml:space="preserve"> 56.1万</t>
  </si>
  <si>
    <t xml:space="preserve"> 10.16亿</t>
  </si>
  <si>
    <t xml:space="preserve"> 9.69亿</t>
  </si>
  <si>
    <t xml:space="preserve"> 27.6万</t>
  </si>
  <si>
    <t xml:space="preserve"> 4.441亿</t>
  </si>
  <si>
    <t xml:space="preserve"> 79.72亿</t>
  </si>
  <si>
    <t xml:space="preserve"> 2.755亿</t>
  </si>
  <si>
    <t xml:space="preserve"> 49.46亿</t>
  </si>
  <si>
    <t xml:space="preserve"> 金桥信息</t>
  </si>
  <si>
    <t xml:space="preserve"> 46.5万</t>
  </si>
  <si>
    <t xml:space="preserve"> 10.12亿</t>
  </si>
  <si>
    <t xml:space="preserve"> 6.03亿</t>
  </si>
  <si>
    <t xml:space="preserve"> 1.69万</t>
  </si>
  <si>
    <t xml:space="preserve"> 26.6万</t>
  </si>
  <si>
    <t xml:space="preserve"> 1.67万</t>
  </si>
  <si>
    <t xml:space="preserve"> 3.668亿</t>
  </si>
  <si>
    <t xml:space="preserve"> 82.47亿</t>
  </si>
  <si>
    <t xml:space="preserve"> 3.662亿</t>
  </si>
  <si>
    <t xml:space="preserve"> 82.33亿</t>
  </si>
  <si>
    <t xml:space="preserve"> 三六零</t>
  </si>
  <si>
    <t xml:space="preserve"> 1.62万</t>
  </si>
  <si>
    <t xml:space="preserve"> 10.07亿</t>
  </si>
  <si>
    <t xml:space="preserve"> 67.4亿</t>
  </si>
  <si>
    <t xml:space="preserve"> 46.8万</t>
  </si>
  <si>
    <t xml:space="preserve"> 71.45亿</t>
  </si>
  <si>
    <t xml:space="preserve"> 644.5亿</t>
  </si>
  <si>
    <t xml:space="preserve"> 润建股份</t>
  </si>
  <si>
    <t xml:space="preserve"> 21.1万</t>
  </si>
  <si>
    <t xml:space="preserve"> 9.91亿</t>
  </si>
  <si>
    <t xml:space="preserve"> 67.5亿</t>
  </si>
  <si>
    <t xml:space="preserve"> 10.6万</t>
  </si>
  <si>
    <t xml:space="preserve"> 2.763亿</t>
  </si>
  <si>
    <t xml:space="preserve"> 131.1亿</t>
  </si>
  <si>
    <t xml:space="preserve"> 2.047亿</t>
  </si>
  <si>
    <t xml:space="preserve"> 97.10亿</t>
  </si>
  <si>
    <t xml:space="preserve"> 泰永长征</t>
  </si>
  <si>
    <t xml:space="preserve"> 55.1万</t>
  </si>
  <si>
    <t xml:space="preserve"> 9.86亿</t>
  </si>
  <si>
    <t xml:space="preserve"> 8.10亿</t>
  </si>
  <si>
    <t xml:space="preserve"> 27.9万</t>
  </si>
  <si>
    <t xml:space="preserve"> 2.232亿</t>
  </si>
  <si>
    <t xml:space="preserve"> 36.94亿</t>
  </si>
  <si>
    <t xml:space="preserve"> 2.206亿</t>
  </si>
  <si>
    <t xml:space="preserve"> 36.52亿</t>
  </si>
  <si>
    <t xml:space="preserve"> 西陇科学</t>
  </si>
  <si>
    <t xml:space="preserve"> 100万</t>
  </si>
  <si>
    <t xml:space="preserve"> 9.81亿</t>
  </si>
  <si>
    <t xml:space="preserve"> 57.9亿</t>
  </si>
  <si>
    <t xml:space="preserve"> 56.9万</t>
  </si>
  <si>
    <t xml:space="preserve"> 43.4万</t>
  </si>
  <si>
    <t xml:space="preserve"> 5.852亿</t>
  </si>
  <si>
    <t xml:space="preserve"> 56.30亿</t>
  </si>
  <si>
    <t xml:space="preserve"> 4.325亿</t>
  </si>
  <si>
    <t xml:space="preserve"> 41.61亿</t>
  </si>
  <si>
    <t xml:space="preserve"> 中国银河</t>
  </si>
  <si>
    <t xml:space="preserve"> 77.8万</t>
  </si>
  <si>
    <t xml:space="preserve"> 1.03万</t>
  </si>
  <si>
    <t xml:space="preserve"> 9.77亿</t>
  </si>
  <si>
    <t xml:space="preserve"> 255亿</t>
  </si>
  <si>
    <t xml:space="preserve"> 35.2万</t>
  </si>
  <si>
    <t xml:space="preserve"> 42.5万</t>
  </si>
  <si>
    <t xml:space="preserve"> 105.5亿</t>
  </si>
  <si>
    <t xml:space="preserve"> 1329亿</t>
  </si>
  <si>
    <t xml:space="preserve"> 68.61亿</t>
  </si>
  <si>
    <t xml:space="preserve"> 863.8亿</t>
  </si>
  <si>
    <t xml:space="preserve"> 中国银行</t>
  </si>
  <si>
    <t xml:space="preserve"> 241万</t>
  </si>
  <si>
    <t xml:space="preserve"> 4.44万</t>
  </si>
  <si>
    <t xml:space="preserve"> 9.72亿</t>
  </si>
  <si>
    <t xml:space="preserve"> 4706亿</t>
  </si>
  <si>
    <t xml:space="preserve"> -10.8万</t>
  </si>
  <si>
    <t xml:space="preserve"> 91.2万</t>
  </si>
  <si>
    <t xml:space="preserve"> 1.31万</t>
  </si>
  <si>
    <t xml:space="preserve"> 2944亿</t>
  </si>
  <si>
    <t xml:space="preserve"> 1.19万亿</t>
  </si>
  <si>
    <t xml:space="preserve"> 2108亿</t>
  </si>
  <si>
    <t xml:space="preserve"> 8515亿</t>
  </si>
  <si>
    <t xml:space="preserve"> 中公教育</t>
  </si>
  <si>
    <t xml:space="preserve"> 197万</t>
  </si>
  <si>
    <t xml:space="preserve"> 1.76万</t>
  </si>
  <si>
    <t xml:space="preserve"> 9.71亿</t>
  </si>
  <si>
    <t xml:space="preserve"> 26.7亿</t>
  </si>
  <si>
    <t xml:space="preserve"> -6.38万</t>
  </si>
  <si>
    <t xml:space="preserve"> 84.7万</t>
  </si>
  <si>
    <t xml:space="preserve"> 112万</t>
  </si>
  <si>
    <t xml:space="preserve"> 61.67亿</t>
  </si>
  <si>
    <t xml:space="preserve"> 305.9亿</t>
  </si>
  <si>
    <t xml:space="preserve"> 48.67亿</t>
  </si>
  <si>
    <t xml:space="preserve"> 241.4亿</t>
  </si>
  <si>
    <t xml:space="preserve"> 硕贝德</t>
  </si>
  <si>
    <t xml:space="preserve"> 75.8万</t>
  </si>
  <si>
    <t xml:space="preserve"> 9.65亿</t>
  </si>
  <si>
    <t xml:space="preserve"> 12.2亿</t>
  </si>
  <si>
    <t xml:space="preserve"> 4.657亿</t>
  </si>
  <si>
    <t xml:space="preserve"> 60.45亿</t>
  </si>
  <si>
    <t xml:space="preserve"> 4.435亿</t>
  </si>
  <si>
    <t xml:space="preserve"> 57.57亿</t>
  </si>
  <si>
    <t xml:space="preserve"> 中芯国际</t>
  </si>
  <si>
    <t xml:space="preserve"> 17.9万</t>
  </si>
  <si>
    <t xml:space="preserve"> 9.60亿</t>
  </si>
  <si>
    <t xml:space="preserve"> 331亿</t>
  </si>
  <si>
    <t xml:space="preserve"> 8.56万</t>
  </si>
  <si>
    <t xml:space="preserve"> 79.47亿</t>
  </si>
  <si>
    <t xml:space="preserve"> 4303亿</t>
  </si>
  <si>
    <t xml:space="preserve"> 19.74亿</t>
  </si>
  <si>
    <t xml:space="preserve"> 1069亿</t>
  </si>
  <si>
    <t xml:space="preserve"> 中国科传</t>
  </si>
  <si>
    <t xml:space="preserve"> 9.55亿</t>
  </si>
  <si>
    <t xml:space="preserve"> 18.7亿</t>
  </si>
  <si>
    <t xml:space="preserve"> 13.9万</t>
  </si>
  <si>
    <t xml:space="preserve"> 7.905亿</t>
  </si>
  <si>
    <t xml:space="preserve"> 237.5亿</t>
  </si>
  <si>
    <t xml:space="preserve"> 皖通科技</t>
  </si>
  <si>
    <t xml:space="preserve"> 99.0万</t>
  </si>
  <si>
    <t xml:space="preserve"> 2.25万</t>
  </si>
  <si>
    <t xml:space="preserve"> 9.54亿</t>
  </si>
  <si>
    <t xml:space="preserve"> 4.73亿</t>
  </si>
  <si>
    <t xml:space="preserve"> 56.7万</t>
  </si>
  <si>
    <t xml:space="preserve"> 42.2万</t>
  </si>
  <si>
    <t xml:space="preserve"> 4.102亿</t>
  </si>
  <si>
    <t xml:space="preserve"> 39.42亿</t>
  </si>
  <si>
    <t xml:space="preserve"> 3.895亿</t>
  </si>
  <si>
    <t xml:space="preserve"> 37.43亿</t>
  </si>
  <si>
    <t xml:space="preserve"> 拓维信息</t>
  </si>
  <si>
    <t xml:space="preserve"> 56.4万</t>
  </si>
  <si>
    <t xml:space="preserve"> 9.48亿</t>
  </si>
  <si>
    <t xml:space="preserve"> -1.56万</t>
  </si>
  <si>
    <t xml:space="preserve"> 21.8万</t>
  </si>
  <si>
    <t xml:space="preserve"> 34.6万</t>
  </si>
  <si>
    <t xml:space="preserve"> 12.54亿</t>
  </si>
  <si>
    <t xml:space="preserve"> 212.4亿</t>
  </si>
  <si>
    <t xml:space="preserve"> 11.21亿</t>
  </si>
  <si>
    <t xml:space="preserve"> 190.0亿</t>
  </si>
  <si>
    <t xml:space="preserve"> 兆易创新</t>
  </si>
  <si>
    <t xml:space="preserve"> 10.0万</t>
  </si>
  <si>
    <t xml:space="preserve"> 9.41亿</t>
  </si>
  <si>
    <t xml:space="preserve"> 43.9亿</t>
  </si>
  <si>
    <t xml:space="preserve"> 5.35万</t>
  </si>
  <si>
    <t xml:space="preserve"> 4.70万</t>
  </si>
  <si>
    <t xml:space="preserve"> 6.669亿</t>
  </si>
  <si>
    <t xml:space="preserve"> 634.6亿</t>
  </si>
  <si>
    <t xml:space="preserve"> 6.644亿</t>
  </si>
  <si>
    <t xml:space="preserve"> 632.2亿</t>
  </si>
  <si>
    <t xml:space="preserve"> 西藏矿业</t>
  </si>
  <si>
    <t xml:space="preserve"> 37.7万</t>
  </si>
  <si>
    <t xml:space="preserve"> 9.33亿</t>
  </si>
  <si>
    <t xml:space="preserve"> 5.59亿</t>
  </si>
  <si>
    <t xml:space="preserve"> 16.8万</t>
  </si>
  <si>
    <t xml:space="preserve"> 5.212亿</t>
  </si>
  <si>
    <t xml:space="preserve"> 128.5亿</t>
  </si>
  <si>
    <t xml:space="preserve"> 5.208亿</t>
  </si>
  <si>
    <t xml:space="preserve"> 128.4亿</t>
  </si>
  <si>
    <t xml:space="preserve"> 金山办公</t>
  </si>
  <si>
    <t xml:space="preserve"> 3.00万</t>
  </si>
  <si>
    <t xml:space="preserve"> 9.28亿</t>
  </si>
  <si>
    <t xml:space="preserve"> 32.7亿</t>
  </si>
  <si>
    <t xml:space="preserve"> 1.22万</t>
  </si>
  <si>
    <t xml:space="preserve"> 1.79万</t>
  </si>
  <si>
    <t xml:space="preserve"> 4.617亿</t>
  </si>
  <si>
    <t xml:space="preserve"> 1441亿</t>
  </si>
  <si>
    <t xml:space="preserve"> 神州数码</t>
  </si>
  <si>
    <t xml:space="preserve"> 9.22亿</t>
  </si>
  <si>
    <t xml:space="preserve"> 842亿</t>
  </si>
  <si>
    <t xml:space="preserve"> 12.4万</t>
  </si>
  <si>
    <t xml:space="preserve"> 6.696亿</t>
  </si>
  <si>
    <t xml:space="preserve"> 217.9亿</t>
  </si>
  <si>
    <t xml:space="preserve"> 5.501亿</t>
  </si>
  <si>
    <t xml:space="preserve"> 179.0亿</t>
  </si>
  <si>
    <t xml:space="preserve"> 伊利股份</t>
  </si>
  <si>
    <t xml:space="preserve"> 9.21亿</t>
  </si>
  <si>
    <t xml:space="preserve"> 974亿</t>
  </si>
  <si>
    <t xml:space="preserve"> 63.66亿</t>
  </si>
  <si>
    <t xml:space="preserve"> 1722亿</t>
  </si>
  <si>
    <t xml:space="preserve"> 63.05亿</t>
  </si>
  <si>
    <t xml:space="preserve"> 1706亿</t>
  </si>
  <si>
    <t xml:space="preserve"> 中国电信</t>
  </si>
  <si>
    <t xml:space="preserve"> 175万</t>
  </si>
  <si>
    <t xml:space="preserve"> 9.17亿</t>
  </si>
  <si>
    <t xml:space="preserve"> 3811亿</t>
  </si>
  <si>
    <t xml:space="preserve"> -13.8万</t>
  </si>
  <si>
    <t xml:space="preserve"> 60.8万</t>
  </si>
  <si>
    <t xml:space="preserve"> 114万</t>
  </si>
  <si>
    <t xml:space="preserve"> 2.00万</t>
  </si>
  <si>
    <t xml:space="preserve"> 915.1亿</t>
  </si>
  <si>
    <t xml:space="preserve"> 4822亿</t>
  </si>
  <si>
    <t xml:space="preserve"> 195.9亿</t>
  </si>
  <si>
    <t xml:space="preserve"> 1032亿</t>
  </si>
  <si>
    <t xml:space="preserve"> 元成股份</t>
  </si>
  <si>
    <t xml:space="preserve"> 76.7万</t>
  </si>
  <si>
    <t xml:space="preserve"> 9.13亿</t>
  </si>
  <si>
    <t xml:space="preserve"> 2.83亿</t>
  </si>
  <si>
    <t xml:space="preserve"> 39.2万</t>
  </si>
  <si>
    <t xml:space="preserve"> 3.257亿</t>
  </si>
  <si>
    <t xml:space="preserve"> 37.72亿</t>
  </si>
  <si>
    <t xml:space="preserve"> 鸿博股份</t>
  </si>
  <si>
    <t xml:space="preserve"> 27.1万</t>
  </si>
  <si>
    <t xml:space="preserve"> 9.05亿</t>
  </si>
  <si>
    <t xml:space="preserve"> 4.61亿</t>
  </si>
  <si>
    <t xml:space="preserve"> 14.1万</t>
  </si>
  <si>
    <t xml:space="preserve"> 4.983亿</t>
  </si>
  <si>
    <t xml:space="preserve"> 167.6亿</t>
  </si>
  <si>
    <t xml:space="preserve"> 4.932亿</t>
  </si>
  <si>
    <t xml:space="preserve"> 165.9亿</t>
  </si>
  <si>
    <t xml:space="preserve"> TCL中环</t>
  </si>
  <si>
    <t xml:space="preserve"> 55.3万</t>
  </si>
  <si>
    <t xml:space="preserve"> 487亿</t>
  </si>
  <si>
    <t xml:space="preserve"> 31.8万</t>
  </si>
  <si>
    <t xml:space="preserve"> 40.43亿</t>
  </si>
  <si>
    <t xml:space="preserve"> 660.2亿</t>
  </si>
  <si>
    <t xml:space="preserve"> 40.40亿</t>
  </si>
  <si>
    <t xml:space="preserve"> 659.7亿</t>
  </si>
  <si>
    <t xml:space="preserve"> 引力传媒</t>
  </si>
  <si>
    <t xml:space="preserve"> 9.04亿</t>
  </si>
  <si>
    <t xml:space="preserve"> 34.5亿</t>
  </si>
  <si>
    <t xml:space="preserve"> 3.71万</t>
  </si>
  <si>
    <t xml:space="preserve"> 3.66万</t>
  </si>
  <si>
    <t xml:space="preserve"> 2.679亿</t>
  </si>
  <si>
    <t xml:space="preserve"> 44.17亿</t>
  </si>
  <si>
    <t xml:space="preserve"> 韦尔股份</t>
  </si>
  <si>
    <t xml:space="preserve"> 8.33万</t>
  </si>
  <si>
    <t xml:space="preserve"> 9.01亿</t>
  </si>
  <si>
    <t xml:space="preserve"> 151亿</t>
  </si>
  <si>
    <t xml:space="preserve"> 4.07万</t>
  </si>
  <si>
    <t xml:space="preserve"> 4.26万</t>
  </si>
  <si>
    <t xml:space="preserve"> 12.16亿</t>
  </si>
  <si>
    <t xml:space="preserve"> 1331亿</t>
  </si>
  <si>
    <t xml:space="preserve"> 12.14亿</t>
  </si>
  <si>
    <t xml:space="preserve"> 弘信电子</t>
  </si>
  <si>
    <t xml:space="preserve"> 38.2万</t>
  </si>
  <si>
    <t xml:space="preserve"> 9.00亿</t>
  </si>
  <si>
    <t xml:space="preserve"> 19.5万</t>
  </si>
  <si>
    <t xml:space="preserve"> 4.884亿</t>
  </si>
  <si>
    <t xml:space="preserve"> 112.7亿</t>
  </si>
  <si>
    <t xml:space="preserve"> 4.634亿</t>
  </si>
  <si>
    <t xml:space="preserve"> 106.9亿</t>
  </si>
  <si>
    <t xml:space="preserve"> 中国建筑</t>
  </si>
  <si>
    <t xml:space="preserve"> 181万</t>
  </si>
  <si>
    <t xml:space="preserve"> 2.27万</t>
  </si>
  <si>
    <t xml:space="preserve"> 8.97亿</t>
  </si>
  <si>
    <t xml:space="preserve"> 1.67万亿</t>
  </si>
  <si>
    <t xml:space="preserve"> -4.23万</t>
  </si>
  <si>
    <t xml:space="preserve"> 76.9万</t>
  </si>
  <si>
    <t xml:space="preserve"> 419.2亿</t>
  </si>
  <si>
    <t xml:space="preserve"> 2075亿</t>
  </si>
  <si>
    <t xml:space="preserve"> 413.2亿</t>
  </si>
  <si>
    <t xml:space="preserve"> 2045亿</t>
  </si>
  <si>
    <t xml:space="preserve"> 传智教育</t>
  </si>
  <si>
    <t xml:space="preserve"> 8.96亿</t>
  </si>
  <si>
    <t xml:space="preserve"> 4.46亿</t>
  </si>
  <si>
    <t xml:space="preserve"> 25.2万</t>
  </si>
  <si>
    <t xml:space="preserve"> 30.2万</t>
  </si>
  <si>
    <t xml:space="preserve"> 4.024亿</t>
  </si>
  <si>
    <t xml:space="preserve"> 65.20亿</t>
  </si>
  <si>
    <t xml:space="preserve"> 27.67亿</t>
  </si>
  <si>
    <t xml:space="preserve"> 新 希 望</t>
  </si>
  <si>
    <t xml:space="preserve"> 97.2万</t>
  </si>
  <si>
    <t xml:space="preserve"> 8.95亿</t>
  </si>
  <si>
    <t xml:space="preserve"> 1067亿</t>
  </si>
  <si>
    <t xml:space="preserve"> 59.1万</t>
  </si>
  <si>
    <t xml:space="preserve"> 38.1万</t>
  </si>
  <si>
    <t xml:space="preserve"> 45.46亿</t>
  </si>
  <si>
    <t xml:space="preserve"> 414.6亿</t>
  </si>
  <si>
    <t xml:space="preserve"> 45.12亿</t>
  </si>
  <si>
    <t xml:space="preserve"> 411.5亿</t>
  </si>
  <si>
    <t xml:space="preserve"> 晋拓股份</t>
  </si>
  <si>
    <t xml:space="preserve"> 40.9万</t>
  </si>
  <si>
    <t xml:space="preserve"> 8.93亿</t>
  </si>
  <si>
    <t xml:space="preserve"> 7.29亿</t>
  </si>
  <si>
    <t xml:space="preserve"> 23.6万</t>
  </si>
  <si>
    <t xml:space="preserve"> 17.3万</t>
  </si>
  <si>
    <t xml:space="preserve"> 2.718亿</t>
  </si>
  <si>
    <t xml:space="preserve"> 64.69亿</t>
  </si>
  <si>
    <t xml:space="preserve"> 6795万</t>
  </si>
  <si>
    <t xml:space="preserve"> 16.17亿</t>
  </si>
  <si>
    <t xml:space="preserve"> 冰川网络</t>
  </si>
  <si>
    <t xml:space="preserve"> 28.7万</t>
  </si>
  <si>
    <t xml:space="preserve"> 8.92亿</t>
  </si>
  <si>
    <t xml:space="preserve"> 21.1亿</t>
  </si>
  <si>
    <t xml:space="preserve"> 13.6万</t>
  </si>
  <si>
    <t xml:space="preserve"> 15.1万</t>
  </si>
  <si>
    <t xml:space="preserve"> 2.311亿</t>
  </si>
  <si>
    <t xml:space="preserve"> 74.80亿</t>
  </si>
  <si>
    <t xml:space="preserve"> 1.618亿</t>
  </si>
  <si>
    <t xml:space="preserve"> 52.35亿</t>
  </si>
  <si>
    <t xml:space="preserve"> 大恒科技</t>
  </si>
  <si>
    <t xml:space="preserve"> 65.8万</t>
  </si>
  <si>
    <t xml:space="preserve"> 1.35万</t>
  </si>
  <si>
    <t xml:space="preserve"> 8.87亿</t>
  </si>
  <si>
    <t xml:space="preserve"> 15.6亿</t>
  </si>
  <si>
    <t xml:space="preserve"> 37.3万</t>
  </si>
  <si>
    <t xml:space="preserve"> 4.368亿</t>
  </si>
  <si>
    <t xml:space="preserve"> 59.32亿</t>
  </si>
  <si>
    <t xml:space="preserve"> 协鑫能科</t>
  </si>
  <si>
    <t xml:space="preserve"> 68.0万</t>
  </si>
  <si>
    <t xml:space="preserve"> 8.85亿</t>
  </si>
  <si>
    <t xml:space="preserve"> 85.9亿</t>
  </si>
  <si>
    <t xml:space="preserve"> 28.3万</t>
  </si>
  <si>
    <t xml:space="preserve"> 39.7万</t>
  </si>
  <si>
    <t xml:space="preserve"> 16.23亿</t>
  </si>
  <si>
    <t xml:space="preserve"> 213.5亿</t>
  </si>
  <si>
    <t xml:space="preserve"> 光弘科技</t>
  </si>
  <si>
    <t xml:space="preserve"> 35.9万</t>
  </si>
  <si>
    <t xml:space="preserve"> 1.05万</t>
  </si>
  <si>
    <t xml:space="preserve"> 8.83亿</t>
  </si>
  <si>
    <t xml:space="preserve"> 18.3万</t>
  </si>
  <si>
    <t xml:space="preserve"> 17.6万</t>
  </si>
  <si>
    <t xml:space="preserve"> 7.675亿</t>
  </si>
  <si>
    <t xml:space="preserve"> 190.3亿</t>
  </si>
  <si>
    <t xml:space="preserve"> 7.531亿</t>
  </si>
  <si>
    <t xml:space="preserve"> 186.8亿</t>
  </si>
  <si>
    <t xml:space="preserve"> 海尔智家</t>
  </si>
  <si>
    <t xml:space="preserve"> 8.78亿</t>
  </si>
  <si>
    <t xml:space="preserve"> 1987亿</t>
  </si>
  <si>
    <t xml:space="preserve"> 25.5万</t>
  </si>
  <si>
    <t xml:space="preserve"> 15.2万</t>
  </si>
  <si>
    <t xml:space="preserve"> 94.38亿</t>
  </si>
  <si>
    <t xml:space="preserve"> 2024亿</t>
  </si>
  <si>
    <t xml:space="preserve"> 63.09亿</t>
  </si>
  <si>
    <t xml:space="preserve"> 1353亿</t>
  </si>
  <si>
    <t xml:space="preserve"> 通化金马</t>
  </si>
  <si>
    <t xml:space="preserve"> 50.4万</t>
  </si>
  <si>
    <t xml:space="preserve"> 10.4亿</t>
  </si>
  <si>
    <t xml:space="preserve"> 25.9万</t>
  </si>
  <si>
    <t xml:space="preserve"> 9.665亿</t>
  </si>
  <si>
    <t xml:space="preserve"> 168.7亿</t>
  </si>
  <si>
    <t xml:space="preserve"> 9.660亿</t>
  </si>
  <si>
    <t xml:space="preserve"> 168.6亿</t>
  </si>
  <si>
    <t xml:space="preserve"> 天龙集团</t>
  </si>
  <si>
    <t xml:space="preserve"> 127万</t>
  </si>
  <si>
    <t xml:space="preserve"> 1.29万</t>
  </si>
  <si>
    <t xml:space="preserve"> 8.76亿</t>
  </si>
  <si>
    <t xml:space="preserve"> 66.7亿</t>
  </si>
  <si>
    <t xml:space="preserve"> 66.5万</t>
  </si>
  <si>
    <t xml:space="preserve"> 7.539亿</t>
  </si>
  <si>
    <t xml:space="preserve"> 52.40亿</t>
  </si>
  <si>
    <t xml:space="preserve"> 6.207亿</t>
  </si>
  <si>
    <t xml:space="preserve"> 43.14亿</t>
  </si>
  <si>
    <t xml:space="preserve"> 中国神华</t>
  </si>
  <si>
    <t xml:space="preserve"> 8.74亿</t>
  </si>
  <si>
    <t xml:space="preserve"> 2525亿</t>
  </si>
  <si>
    <t xml:space="preserve"> 11.0万</t>
  </si>
  <si>
    <t xml:space="preserve"> 16.7万</t>
  </si>
  <si>
    <t xml:space="preserve"> 6261亿</t>
  </si>
  <si>
    <t xml:space="preserve"> 164.9亿</t>
  </si>
  <si>
    <t xml:space="preserve"> 5196亿</t>
  </si>
  <si>
    <t xml:space="preserve"> 信达证券</t>
  </si>
  <si>
    <t xml:space="preserve"> 44.7万</t>
  </si>
  <si>
    <t xml:space="preserve"> 8.73亿</t>
  </si>
  <si>
    <t xml:space="preserve"> 27.4亿</t>
  </si>
  <si>
    <t xml:space="preserve"> 22.1万</t>
  </si>
  <si>
    <t xml:space="preserve"> 32.43亿</t>
  </si>
  <si>
    <t xml:space="preserve"> 635.6亿</t>
  </si>
  <si>
    <t xml:space="preserve"> 3.243亿</t>
  </si>
  <si>
    <t xml:space="preserve"> 63.56亿</t>
  </si>
  <si>
    <t xml:space="preserve"> 山西汾酒</t>
  </si>
  <si>
    <t xml:space="preserve"> 3.68万</t>
  </si>
  <si>
    <t xml:space="preserve"> 267亿</t>
  </si>
  <si>
    <t xml:space="preserve"> 1.96万</t>
  </si>
  <si>
    <t xml:space="preserve"> 1.72万</t>
  </si>
  <si>
    <t xml:space="preserve"> 12.20亿</t>
  </si>
  <si>
    <t xml:space="preserve"> 2877亿</t>
  </si>
  <si>
    <t xml:space="preserve"> 拓尔思</t>
  </si>
  <si>
    <t xml:space="preserve"> 8.72亿</t>
  </si>
  <si>
    <t xml:space="preserve"> 6.01亿</t>
  </si>
  <si>
    <t xml:space="preserve"> 19.7万</t>
  </si>
  <si>
    <t xml:space="preserve"> 29.8万</t>
  </si>
  <si>
    <t xml:space="preserve"> 7.953亿</t>
  </si>
  <si>
    <t xml:space="preserve"> 143.9亿</t>
  </si>
  <si>
    <t xml:space="preserve"> 7.947亿</t>
  </si>
  <si>
    <t xml:space="preserve"> 143.8亿</t>
  </si>
  <si>
    <t xml:space="preserve"> 值得买</t>
  </si>
  <si>
    <t xml:space="preserve"> 9.59亿</t>
  </si>
  <si>
    <t xml:space="preserve"> 17.4万</t>
  </si>
  <si>
    <t xml:space="preserve"> 1.989亿</t>
  </si>
  <si>
    <t xml:space="preserve"> 49.42亿</t>
  </si>
  <si>
    <t xml:space="preserve"> 1.138亿</t>
  </si>
  <si>
    <t xml:space="preserve"> 28.28亿</t>
  </si>
  <si>
    <t xml:space="preserve"> 若羽臣</t>
  </si>
  <si>
    <t xml:space="preserve"> 8.63亿</t>
  </si>
  <si>
    <t xml:space="preserve"> 8.29亿</t>
  </si>
  <si>
    <t xml:space="preserve"> 1.223亿</t>
  </si>
  <si>
    <t xml:space="preserve"> 30.77亿</t>
  </si>
  <si>
    <t xml:space="preserve"> 9165万</t>
  </si>
  <si>
    <t xml:space="preserve"> 23.05亿</t>
  </si>
  <si>
    <t xml:space="preserve"> 鲁抗医药</t>
  </si>
  <si>
    <t xml:space="preserve"> 107万</t>
  </si>
  <si>
    <t xml:space="preserve"> 8.62亿</t>
  </si>
  <si>
    <t xml:space="preserve"> 47.3亿</t>
  </si>
  <si>
    <t xml:space="preserve"> 63.7万</t>
  </si>
  <si>
    <t xml:space="preserve"> 43.7万</t>
  </si>
  <si>
    <t xml:space="preserve"> 8.909亿</t>
  </si>
  <si>
    <t xml:space="preserve"> 71.27亿</t>
  </si>
  <si>
    <t xml:space="preserve"> 宁波银行</t>
  </si>
  <si>
    <t xml:space="preserve"> 8.59亿</t>
  </si>
  <si>
    <t xml:space="preserve"> 472亿</t>
  </si>
  <si>
    <t xml:space="preserve"> 14.6万</t>
  </si>
  <si>
    <t xml:space="preserve"> 66.04亿</t>
  </si>
  <si>
    <t xml:space="preserve"> 1494亿</t>
  </si>
  <si>
    <t xml:space="preserve"> 65.24亿</t>
  </si>
  <si>
    <t xml:space="preserve"> 1476亿</t>
  </si>
  <si>
    <t xml:space="preserve"> 景嘉微</t>
  </si>
  <si>
    <t xml:space="preserve"> 10.2万</t>
  </si>
  <si>
    <t xml:space="preserve"> 8.57亿</t>
  </si>
  <si>
    <t xml:space="preserve"> 4.69亿</t>
  </si>
  <si>
    <t xml:space="preserve"> 4.51万</t>
  </si>
  <si>
    <t xml:space="preserve"> 5.69万</t>
  </si>
  <si>
    <t xml:space="preserve"> 4.574亿</t>
  </si>
  <si>
    <t xml:space="preserve"> 388.2亿</t>
  </si>
  <si>
    <t xml:space="preserve"> 3.289亿</t>
  </si>
  <si>
    <t xml:space="preserve"> 279.2亿</t>
  </si>
  <si>
    <t xml:space="preserve"> 新诺威</t>
  </si>
  <si>
    <t xml:space="preserve"> 19.6万</t>
  </si>
  <si>
    <t xml:space="preserve"> 8.55亿</t>
  </si>
  <si>
    <t xml:space="preserve"> 19.0亿</t>
  </si>
  <si>
    <t xml:space="preserve"> 9.81万</t>
  </si>
  <si>
    <t xml:space="preserve"> 9.82万</t>
  </si>
  <si>
    <t xml:space="preserve"> 11.71亿</t>
  </si>
  <si>
    <t xml:space="preserve"> 515.7亿</t>
  </si>
  <si>
    <t xml:space="preserve"> 10.39亿</t>
  </si>
  <si>
    <t xml:space="preserve"> 457.9亿</t>
  </si>
  <si>
    <t xml:space="preserve"> 中国联通</t>
  </si>
  <si>
    <t xml:space="preserve"> 192万</t>
  </si>
  <si>
    <t xml:space="preserve"> 2.16万</t>
  </si>
  <si>
    <t xml:space="preserve"> 8.52亿</t>
  </si>
  <si>
    <t xml:space="preserve"> 2817亿</t>
  </si>
  <si>
    <t xml:space="preserve"> -11.3万</t>
  </si>
  <si>
    <t xml:space="preserve"> 122万</t>
  </si>
  <si>
    <t xml:space="preserve"> 1.89万</t>
  </si>
  <si>
    <t xml:space="preserve"> 318.0亿</t>
  </si>
  <si>
    <t xml:space="preserve"> 1418亿</t>
  </si>
  <si>
    <t xml:space="preserve"> 309.7亿</t>
  </si>
  <si>
    <t xml:space="preserve"> 1381亿</t>
  </si>
  <si>
    <t xml:space="preserve"> 华力创通</t>
  </si>
  <si>
    <t xml:space="preserve"> 4.18亿</t>
  </si>
  <si>
    <t xml:space="preserve"> 6.627亿</t>
  </si>
  <si>
    <t xml:space="preserve"> 157.8亿</t>
  </si>
  <si>
    <t xml:space="preserve"> 4.928亿</t>
  </si>
  <si>
    <t xml:space="preserve"> 117.3亿</t>
  </si>
  <si>
    <t xml:space="preserve"> 香农芯创</t>
  </si>
  <si>
    <t xml:space="preserve"> 24.1万</t>
  </si>
  <si>
    <t xml:space="preserve"> 8.51亿</t>
  </si>
  <si>
    <t xml:space="preserve"> 76.3亿</t>
  </si>
  <si>
    <t xml:space="preserve"> 11.8万</t>
  </si>
  <si>
    <t xml:space="preserve"> 4.576亿</t>
  </si>
  <si>
    <t xml:space="preserve"> 165.1亿</t>
  </si>
  <si>
    <t xml:space="preserve"> 4.402亿</t>
  </si>
  <si>
    <t xml:space="preserve"> 158.9亿</t>
  </si>
  <si>
    <t xml:space="preserve"> 世纪华通</t>
  </si>
  <si>
    <t xml:space="preserve"> 8.50亿</t>
  </si>
  <si>
    <t xml:space="preserve"> 97.9亿</t>
  </si>
  <si>
    <t xml:space="preserve"> -1.14万</t>
  </si>
  <si>
    <t xml:space="preserve"> 64.1万</t>
  </si>
  <si>
    <t xml:space="preserve"> 85.6万</t>
  </si>
  <si>
    <t xml:space="preserve"> 74.53亿</t>
  </si>
  <si>
    <t xml:space="preserve"> 430.0亿</t>
  </si>
  <si>
    <t xml:space="preserve"> 68.81亿</t>
  </si>
  <si>
    <t xml:space="preserve"> 397.0亿</t>
  </si>
  <si>
    <t xml:space="preserve"> 贵航股份</t>
  </si>
  <si>
    <t xml:space="preserve"> 8.46亿</t>
  </si>
  <si>
    <t xml:space="preserve"> 16.9亿</t>
  </si>
  <si>
    <t xml:space="preserve"> -3.84万</t>
  </si>
  <si>
    <t xml:space="preserve"> 3.70万</t>
  </si>
  <si>
    <t xml:space="preserve"> 4.043亿</t>
  </si>
  <si>
    <t xml:space="preserve"> 65.26亿</t>
  </si>
  <si>
    <t xml:space="preserve"> 4.040亿</t>
  </si>
  <si>
    <t xml:space="preserve"> 65.21亿</t>
  </si>
  <si>
    <t xml:space="preserve"> 吉视传媒</t>
  </si>
  <si>
    <t xml:space="preserve"> 395万</t>
  </si>
  <si>
    <t xml:space="preserve"> 3.80万</t>
  </si>
  <si>
    <t xml:space="preserve"> 8.45亿</t>
  </si>
  <si>
    <t xml:space="preserve"> 12.0亿</t>
  </si>
  <si>
    <t xml:space="preserve"> -4.06万</t>
  </si>
  <si>
    <t xml:space="preserve"> 165万</t>
  </si>
  <si>
    <t xml:space="preserve"> 229万</t>
  </si>
  <si>
    <t xml:space="preserve"> 33.01亿</t>
  </si>
  <si>
    <t xml:space="preserve"> 70.98亿</t>
  </si>
  <si>
    <t xml:space="preserve"> 阳光电源</t>
  </si>
  <si>
    <t xml:space="preserve"> 8.44亿</t>
  </si>
  <si>
    <t xml:space="preserve"> 464亿</t>
  </si>
  <si>
    <t xml:space="preserve"> 5.82万</t>
  </si>
  <si>
    <t xml:space="preserve"> 4.40万</t>
  </si>
  <si>
    <t xml:space="preserve"> 14.85亿</t>
  </si>
  <si>
    <t xml:space="preserve"> 1236亿</t>
  </si>
  <si>
    <t xml:space="preserve"> 11.26亿</t>
  </si>
  <si>
    <t xml:space="preserve"> 937.4亿</t>
  </si>
  <si>
    <t xml:space="preserve"> 通威股份</t>
  </si>
  <si>
    <t xml:space="preserve"> 34.9万</t>
  </si>
  <si>
    <t xml:space="preserve"> 8.43亿</t>
  </si>
  <si>
    <t xml:space="preserve"> 1114亿</t>
  </si>
  <si>
    <t xml:space="preserve"> 45.02亿</t>
  </si>
  <si>
    <t xml:space="preserve"> 1094亿</t>
  </si>
  <si>
    <t xml:space="preserve"> 华策影视</t>
  </si>
  <si>
    <t xml:space="preserve"> 1.99万</t>
  </si>
  <si>
    <t xml:space="preserve"> 8.42亿</t>
  </si>
  <si>
    <t xml:space="preserve"> 14.6亿</t>
  </si>
  <si>
    <t xml:space="preserve"> 51.7万</t>
  </si>
  <si>
    <t xml:space="preserve"> 76.1万</t>
  </si>
  <si>
    <t xml:space="preserve"> 19.01亿</t>
  </si>
  <si>
    <t xml:space="preserve"> 129.3亿</t>
  </si>
  <si>
    <t xml:space="preserve"> 16.28亿</t>
  </si>
  <si>
    <t xml:space="preserve"> 京东方Ａ</t>
  </si>
  <si>
    <t xml:space="preserve"> 217万</t>
  </si>
  <si>
    <t xml:space="preserve"> 3.27万</t>
  </si>
  <si>
    <t xml:space="preserve"> 8.36亿</t>
  </si>
  <si>
    <t xml:space="preserve"> 1265亿</t>
  </si>
  <si>
    <t xml:space="preserve"> 110万</t>
  </si>
  <si>
    <t xml:space="preserve"> 3.44万</t>
  </si>
  <si>
    <t xml:space="preserve"> 6.50万</t>
  </si>
  <si>
    <t xml:space="preserve"> 381.6亿</t>
  </si>
  <si>
    <t xml:space="preserve"> 1477亿</t>
  </si>
  <si>
    <t xml:space="preserve"> 372.6亿</t>
  </si>
  <si>
    <t xml:space="preserve"> 1442亿</t>
  </si>
  <si>
    <t xml:space="preserve"> 三柏硕</t>
  </si>
  <si>
    <t xml:space="preserve"> 37.1万</t>
  </si>
  <si>
    <t xml:space="preserve"> 8.31亿</t>
  </si>
  <si>
    <t xml:space="preserve"> 2.90亿</t>
  </si>
  <si>
    <t xml:space="preserve"> 2.438亿</t>
  </si>
  <si>
    <t xml:space="preserve"> 53.48亿</t>
  </si>
  <si>
    <t xml:space="preserve"> 6622万</t>
  </si>
  <si>
    <t xml:space="preserve"> 14.53亿</t>
  </si>
  <si>
    <t xml:space="preserve"> 上海莱士</t>
  </si>
  <si>
    <t xml:space="preserve"> 8.23亿</t>
  </si>
  <si>
    <t xml:space="preserve"> 59.4亿</t>
  </si>
  <si>
    <t xml:space="preserve"> 45.0万</t>
  </si>
  <si>
    <t xml:space="preserve"> 57.0万</t>
  </si>
  <si>
    <t xml:space="preserve"> 66.45亿</t>
  </si>
  <si>
    <t xml:space="preserve"> 542.3亿</t>
  </si>
  <si>
    <t xml:space="preserve"> 66.43亿</t>
  </si>
  <si>
    <t xml:space="preserve"> 542.1亿</t>
  </si>
  <si>
    <t xml:space="preserve"> 东方雨虹</t>
  </si>
  <si>
    <t xml:space="preserve"> 39.0万</t>
  </si>
  <si>
    <t xml:space="preserve"> 8.22亿</t>
  </si>
  <si>
    <t xml:space="preserve"> 254亿</t>
  </si>
  <si>
    <t xml:space="preserve"> 25.18亿</t>
  </si>
  <si>
    <t xml:space="preserve"> 533.7亿</t>
  </si>
  <si>
    <t xml:space="preserve"> 19.95亿</t>
  </si>
  <si>
    <t xml:space="preserve"> 422.8亿</t>
  </si>
  <si>
    <t xml:space="preserve"> 惠发食品</t>
  </si>
  <si>
    <t xml:space="preserve"> 55.0万</t>
  </si>
  <si>
    <t xml:space="preserve"> 8.19亿</t>
  </si>
  <si>
    <t xml:space="preserve"> 13.0亿</t>
  </si>
  <si>
    <t xml:space="preserve"> 2.62万</t>
  </si>
  <si>
    <t xml:space="preserve"> 35.8万</t>
  </si>
  <si>
    <t xml:space="preserve"> 2.446亿</t>
  </si>
  <si>
    <t xml:space="preserve"> 37.16亿</t>
  </si>
  <si>
    <t xml:space="preserve"> 焦点科技</t>
  </si>
  <si>
    <t xml:space="preserve"> 24.9万</t>
  </si>
  <si>
    <t xml:space="preserve"> 11.2亿</t>
  </si>
  <si>
    <t xml:space="preserve"> 1.02万</t>
  </si>
  <si>
    <t xml:space="preserve"> 3.130亿</t>
  </si>
  <si>
    <t xml:space="preserve"> 105.0亿</t>
  </si>
  <si>
    <t xml:space="preserve"> 1.983亿</t>
  </si>
  <si>
    <t xml:space="preserve"> 66.53亿</t>
  </si>
  <si>
    <t xml:space="preserve"> 遥望科技</t>
  </si>
  <si>
    <t xml:space="preserve"> 77.7万</t>
  </si>
  <si>
    <t xml:space="preserve"> 8.07亿</t>
  </si>
  <si>
    <t xml:space="preserve"> 34.4亿</t>
  </si>
  <si>
    <t xml:space="preserve"> 9.307亿</t>
  </si>
  <si>
    <t xml:space="preserve"> 98.09亿</t>
  </si>
  <si>
    <t xml:space="preserve"> 8.775亿</t>
  </si>
  <si>
    <t xml:space="preserve"> 92.49亿</t>
  </si>
  <si>
    <t xml:space="preserve"> 完美世界</t>
  </si>
  <si>
    <t xml:space="preserve"> 61.7万</t>
  </si>
  <si>
    <t xml:space="preserve"> 8.05亿</t>
  </si>
  <si>
    <t xml:space="preserve"> 62.0亿</t>
  </si>
  <si>
    <t xml:space="preserve"> 19.40亿</t>
  </si>
  <si>
    <t xml:space="preserve"> 257.6亿</t>
  </si>
  <si>
    <t xml:space="preserve"> 18.27亿</t>
  </si>
  <si>
    <t xml:space="preserve"> 242.7亿</t>
  </si>
  <si>
    <t xml:space="preserve"> 以岭药业</t>
  </si>
  <si>
    <t xml:space="preserve"> 8.04亿</t>
  </si>
  <si>
    <t xml:space="preserve"> 85.7亿</t>
  </si>
  <si>
    <t xml:space="preserve"> 16.71亿</t>
  </si>
  <si>
    <t xml:space="preserve"> 415.7亿</t>
  </si>
  <si>
    <t xml:space="preserve"> 13.76亿</t>
  </si>
  <si>
    <t xml:space="preserve"> 342.4亿</t>
  </si>
  <si>
    <t xml:space="preserve"> 翰宇药业</t>
  </si>
  <si>
    <t xml:space="preserve"> 56.0万</t>
  </si>
  <si>
    <t xml:space="preserve"> 8.00亿</t>
  </si>
  <si>
    <t xml:space="preserve"> 4.02亿</t>
  </si>
  <si>
    <t xml:space="preserve"> 27.4万</t>
  </si>
  <si>
    <t xml:space="preserve"> 8.832亿</t>
  </si>
  <si>
    <t xml:space="preserve"> 125.3亿</t>
  </si>
  <si>
    <t xml:space="preserve"> 6.660亿</t>
  </si>
  <si>
    <t xml:space="preserve"> 94.51亿</t>
  </si>
  <si>
    <t xml:space="preserve"> 启明信息</t>
  </si>
  <si>
    <t xml:space="preserve"> 39.6万</t>
  </si>
  <si>
    <t xml:space="preserve"> 7.99亿</t>
  </si>
  <si>
    <t xml:space="preserve"> 7.97亿</t>
  </si>
  <si>
    <t xml:space="preserve"> 3.34万</t>
  </si>
  <si>
    <t xml:space="preserve"> 4.085亿</t>
  </si>
  <si>
    <t xml:space="preserve"> 83.26亿</t>
  </si>
  <si>
    <t xml:space="preserve"> 森远股份</t>
  </si>
  <si>
    <t xml:space="preserve"> 73.5万</t>
  </si>
  <si>
    <t xml:space="preserve"> 1.64万</t>
  </si>
  <si>
    <t xml:space="preserve"> 7.98亿</t>
  </si>
  <si>
    <t xml:space="preserve"> 1.20亿</t>
  </si>
  <si>
    <t xml:space="preserve"> 38.8万</t>
  </si>
  <si>
    <t xml:space="preserve"> 4.842亿</t>
  </si>
  <si>
    <t xml:space="preserve"> 52.68亿</t>
  </si>
  <si>
    <t xml:space="preserve"> 4.837亿</t>
  </si>
  <si>
    <t xml:space="preserve"> 52.62亿</t>
  </si>
  <si>
    <t xml:space="preserve"> 太平洋</t>
  </si>
  <si>
    <t xml:space="preserve"> 209万</t>
  </si>
  <si>
    <t xml:space="preserve"> -2.25万</t>
  </si>
  <si>
    <t xml:space="preserve"> 96.7万</t>
  </si>
  <si>
    <t xml:space="preserve"> 3.30万</t>
  </si>
  <si>
    <t xml:space="preserve"> 68.16亿</t>
  </si>
  <si>
    <t xml:space="preserve"> 261.1亿</t>
  </si>
  <si>
    <t xml:space="preserve"> 兴齐眼药</t>
  </si>
  <si>
    <t xml:space="preserve"> 5.06万</t>
  </si>
  <si>
    <t xml:space="preserve"> 7.96亿</t>
  </si>
  <si>
    <t xml:space="preserve"> 2.30万</t>
  </si>
  <si>
    <t xml:space="preserve"> 2.76万</t>
  </si>
  <si>
    <t xml:space="preserve"> 1.246亿</t>
  </si>
  <si>
    <t xml:space="preserve"> 204.2亿</t>
  </si>
  <si>
    <t xml:space="preserve"> 9585万</t>
  </si>
  <si>
    <t xml:space="preserve"> 157.1亿</t>
  </si>
  <si>
    <t xml:space="preserve"> 云内动力</t>
  </si>
  <si>
    <t xml:space="preserve"> 268万</t>
  </si>
  <si>
    <t xml:space="preserve"> 3.74万</t>
  </si>
  <si>
    <t xml:space="preserve"> 7.95亿</t>
  </si>
  <si>
    <t xml:space="preserve"> 40.9亿</t>
  </si>
  <si>
    <t xml:space="preserve"> 6.69万</t>
  </si>
  <si>
    <t xml:space="preserve"> 162万</t>
  </si>
  <si>
    <t xml:space="preserve"> 19.70亿</t>
  </si>
  <si>
    <t xml:space="preserve"> 57.93亿</t>
  </si>
  <si>
    <t xml:space="preserve"> 56.46亿</t>
  </si>
  <si>
    <t xml:space="preserve"> 常山药业</t>
  </si>
  <si>
    <t xml:space="preserve"> 61.2万</t>
  </si>
  <si>
    <t xml:space="preserve"> 7.87亿</t>
  </si>
  <si>
    <t xml:space="preserve"> 11.4亿</t>
  </si>
  <si>
    <t xml:space="preserve"> 33.5万</t>
  </si>
  <si>
    <t xml:space="preserve"> 9.191亿</t>
  </si>
  <si>
    <t xml:space="preserve"> 117.4亿</t>
  </si>
  <si>
    <t xml:space="preserve"> 9.158亿</t>
  </si>
  <si>
    <t xml:space="preserve"> 117.0亿</t>
  </si>
  <si>
    <t xml:space="preserve"> 英利汽车</t>
  </si>
  <si>
    <t xml:space="preserve"> 39.0亿</t>
  </si>
  <si>
    <t xml:space="preserve"> 55.6万</t>
  </si>
  <si>
    <t xml:space="preserve"> 14.94亿</t>
  </si>
  <si>
    <t xml:space="preserve"> 108.2亿</t>
  </si>
  <si>
    <t xml:space="preserve"> 1.954亿</t>
  </si>
  <si>
    <t xml:space="preserve"> 14.15亿</t>
  </si>
  <si>
    <t xml:space="preserve"> 恺英网络</t>
  </si>
  <si>
    <t xml:space="preserve"> 1.16万</t>
  </si>
  <si>
    <t xml:space="preserve"> 7.82亿</t>
  </si>
  <si>
    <t xml:space="preserve"> 30.3亿</t>
  </si>
  <si>
    <t xml:space="preserve"> 21.53亿</t>
  </si>
  <si>
    <t xml:space="preserve"> 265.6亿</t>
  </si>
  <si>
    <t xml:space="preserve"> 19.06亿</t>
  </si>
  <si>
    <t xml:space="preserve"> 235.1亿</t>
  </si>
  <si>
    <t xml:space="preserve"> 中科信息</t>
  </si>
  <si>
    <t xml:space="preserve"> 7.80亿</t>
  </si>
  <si>
    <t xml:space="preserve"> 1.96亿</t>
  </si>
  <si>
    <t xml:space="preserve"> 9.85万</t>
  </si>
  <si>
    <t xml:space="preserve"> 2.964亿</t>
  </si>
  <si>
    <t xml:space="preserve"> 98.64亿</t>
  </si>
  <si>
    <t xml:space="preserve"> 2.840亿</t>
  </si>
  <si>
    <t xml:space="preserve"> 94.52亿</t>
  </si>
  <si>
    <t xml:space="preserve"> 恩捷股份</t>
  </si>
  <si>
    <t xml:space="preserve"> 13.3万</t>
  </si>
  <si>
    <t xml:space="preserve"> 7.77亿</t>
  </si>
  <si>
    <t xml:space="preserve"> 90.9亿</t>
  </si>
  <si>
    <t xml:space="preserve"> 6.63万</t>
  </si>
  <si>
    <t xml:space="preserve"> 9.778亿</t>
  </si>
  <si>
    <t xml:space="preserve"> 568.4亿</t>
  </si>
  <si>
    <t xml:space="preserve"> 7.450亿</t>
  </si>
  <si>
    <t xml:space="preserve"> 433.1亿</t>
  </si>
  <si>
    <t xml:space="preserve"> 一汽富维</t>
  </si>
  <si>
    <t xml:space="preserve"> 67.1万</t>
  </si>
  <si>
    <t xml:space="preserve"> 1.45万</t>
  </si>
  <si>
    <t xml:space="preserve"> 35.3万</t>
  </si>
  <si>
    <t xml:space="preserve"> 7.431亿</t>
  </si>
  <si>
    <t xml:space="preserve"> 86.49亿</t>
  </si>
  <si>
    <t xml:space="preserve"> 6.836亿</t>
  </si>
  <si>
    <t xml:space="preserve"> 79.57亿</t>
  </si>
  <si>
    <t xml:space="preserve"> 海欣食品</t>
  </si>
  <si>
    <t xml:space="preserve"> 116万</t>
  </si>
  <si>
    <t xml:space="preserve"> 1.34万</t>
  </si>
  <si>
    <t xml:space="preserve"> 11.3亿</t>
  </si>
  <si>
    <t xml:space="preserve"> 58.3万</t>
  </si>
  <si>
    <t xml:space="preserve"> 57.5万</t>
  </si>
  <si>
    <t xml:space="preserve"> 5.558亿</t>
  </si>
  <si>
    <t xml:space="preserve"> 35.90亿</t>
  </si>
  <si>
    <t xml:space="preserve"> 3.894亿</t>
  </si>
  <si>
    <t xml:space="preserve"> 25.16亿</t>
  </si>
  <si>
    <t xml:space="preserve"> 太辰光</t>
  </si>
  <si>
    <t xml:space="preserve"> 21.6万</t>
  </si>
  <si>
    <t xml:space="preserve"> 7.71亿</t>
  </si>
  <si>
    <t xml:space="preserve"> 6.23亿</t>
  </si>
  <si>
    <t xml:space="preserve"> 9.50万</t>
  </si>
  <si>
    <t xml:space="preserve"> 12.1万</t>
  </si>
  <si>
    <t xml:space="preserve"> 2.300亿</t>
  </si>
  <si>
    <t xml:space="preserve"> 83.63亿</t>
  </si>
  <si>
    <t xml:space="preserve"> 1.938亿</t>
  </si>
  <si>
    <t xml:space="preserve"> 70.48亿</t>
  </si>
  <si>
    <t xml:space="preserve"> 中科金财</t>
  </si>
  <si>
    <t xml:space="preserve"> 7.70亿</t>
  </si>
  <si>
    <t xml:space="preserve"> 6.64亿</t>
  </si>
  <si>
    <t xml:space="preserve"> 3.401亿</t>
  </si>
  <si>
    <t xml:space="preserve"> 71.38亿</t>
  </si>
  <si>
    <t xml:space="preserve"> 3.351亿</t>
  </si>
  <si>
    <t xml:space="preserve"> 70.34亿</t>
  </si>
  <si>
    <t xml:space="preserve"> 姚记科技</t>
  </si>
  <si>
    <t xml:space="preserve"> 30.9万</t>
  </si>
  <si>
    <t xml:space="preserve"> 7.69亿</t>
  </si>
  <si>
    <t xml:space="preserve"> 35.7亿</t>
  </si>
  <si>
    <t xml:space="preserve"> 3.43万</t>
  </si>
  <si>
    <t xml:space="preserve"> 11.7万</t>
  </si>
  <si>
    <t xml:space="preserve"> 4.122亿</t>
  </si>
  <si>
    <t xml:space="preserve"> 106.6亿</t>
  </si>
  <si>
    <t xml:space="preserve"> 3.295亿</t>
  </si>
  <si>
    <t xml:space="preserve"> 85.18亿</t>
  </si>
  <si>
    <t xml:space="preserve"> 海能达</t>
  </si>
  <si>
    <t xml:space="preserve"> 7.61亿</t>
  </si>
  <si>
    <t xml:space="preserve"> 36.0亿</t>
  </si>
  <si>
    <t xml:space="preserve"> 47.0万</t>
  </si>
  <si>
    <t xml:space="preserve"> 64.0万</t>
  </si>
  <si>
    <t xml:space="preserve"> 18.16亿</t>
  </si>
  <si>
    <t xml:space="preserve"> 124.8亿</t>
  </si>
  <si>
    <t xml:space="preserve"> 87.93亿</t>
  </si>
  <si>
    <t xml:space="preserve"> 万  科Ａ</t>
  </si>
  <si>
    <t xml:space="preserve"> 7.57亿</t>
  </si>
  <si>
    <t xml:space="preserve"> 2903亿</t>
  </si>
  <si>
    <t xml:space="preserve"> 35.1万</t>
  </si>
  <si>
    <t xml:space="preserve"> 119.3亿</t>
  </si>
  <si>
    <t xml:space="preserve"> 1360亿</t>
  </si>
  <si>
    <t xml:space="preserve"> 97.17亿</t>
  </si>
  <si>
    <t xml:space="preserve"> 1108亿</t>
  </si>
  <si>
    <t xml:space="preserve"> 西安饮食</t>
  </si>
  <si>
    <t xml:space="preserve"> 60.3万</t>
  </si>
  <si>
    <t xml:space="preserve"> 7.56亿</t>
  </si>
  <si>
    <t xml:space="preserve"> 5.86亿</t>
  </si>
  <si>
    <t xml:space="preserve"> 34.3万</t>
  </si>
  <si>
    <t xml:space="preserve"> 26.0万</t>
  </si>
  <si>
    <t xml:space="preserve"> 5.739亿</t>
  </si>
  <si>
    <t xml:space="preserve"> 71.05亿</t>
  </si>
  <si>
    <t xml:space="preserve"> 4.375亿</t>
  </si>
  <si>
    <t xml:space="preserve"> 54.16亿</t>
  </si>
  <si>
    <t xml:space="preserve"> 平安银行</t>
  </si>
  <si>
    <t xml:space="preserve"> 7.50亿</t>
  </si>
  <si>
    <t xml:space="preserve"> 1276亿</t>
  </si>
  <si>
    <t xml:space="preserve"> -2.33万</t>
  </si>
  <si>
    <t xml:space="preserve"> 34.1万</t>
  </si>
  <si>
    <t xml:space="preserve"> 194.1亿</t>
  </si>
  <si>
    <t xml:space="preserve"> 1875亿</t>
  </si>
  <si>
    <t xml:space="preserve"> 中金公司</t>
  </si>
  <si>
    <t xml:space="preserve"> 7.40亿</t>
  </si>
  <si>
    <t xml:space="preserve"> 175亿</t>
  </si>
  <si>
    <t xml:space="preserve"> 9.25万</t>
  </si>
  <si>
    <t xml:space="preserve"> 9.07万</t>
  </si>
  <si>
    <t xml:space="preserve"> 48.27亿</t>
  </si>
  <si>
    <t xml:space="preserve"> 1955亿</t>
  </si>
  <si>
    <t xml:space="preserve"> 29.24亿</t>
  </si>
  <si>
    <t xml:space="preserve"> 1184亿</t>
  </si>
  <si>
    <t xml:space="preserve"> 视觉中国</t>
  </si>
  <si>
    <t xml:space="preserve"> 46.6万</t>
  </si>
  <si>
    <t xml:space="preserve"> 7.38亿</t>
  </si>
  <si>
    <t xml:space="preserve"> 5.74亿</t>
  </si>
  <si>
    <t xml:space="preserve"> 7.006亿</t>
  </si>
  <si>
    <t xml:space="preserve"> 6.749亿</t>
  </si>
  <si>
    <t xml:space="preserve"> 108.5亿</t>
  </si>
  <si>
    <t xml:space="preserve"> 华阳股份</t>
  </si>
  <si>
    <t xml:space="preserve"> 81.7万</t>
  </si>
  <si>
    <t xml:space="preserve"> 7.36亿</t>
  </si>
  <si>
    <t xml:space="preserve"> 217亿</t>
  </si>
  <si>
    <t xml:space="preserve"> 37.4万</t>
  </si>
  <si>
    <t xml:space="preserve"> 44.3万</t>
  </si>
  <si>
    <t xml:space="preserve"> 36.08亿</t>
  </si>
  <si>
    <t xml:space="preserve"> 325.8亿</t>
  </si>
  <si>
    <t xml:space="preserve"> 歌尔股份</t>
  </si>
  <si>
    <t xml:space="preserve"> 7.27亿</t>
  </si>
  <si>
    <t xml:space="preserve"> 739亿</t>
  </si>
  <si>
    <t xml:space="preserve"> 34.20亿</t>
  </si>
  <si>
    <t xml:space="preserve"> 624.9亿</t>
  </si>
  <si>
    <t xml:space="preserve"> 30.13亿</t>
  </si>
  <si>
    <t xml:space="preserve"> 550.5亿</t>
  </si>
  <si>
    <t xml:space="preserve"> 广誉远</t>
  </si>
  <si>
    <t xml:space="preserve"> 7.23亿</t>
  </si>
  <si>
    <t xml:space="preserve"> 9.38亿</t>
  </si>
  <si>
    <t xml:space="preserve"> 4.895亿</t>
  </si>
  <si>
    <t xml:space="preserve"> 153.9亿</t>
  </si>
  <si>
    <t xml:space="preserve"> 华泰证券</t>
  </si>
  <si>
    <t xml:space="preserve"> 50.0万</t>
  </si>
  <si>
    <t xml:space="preserve"> 7.22亿</t>
  </si>
  <si>
    <t xml:space="preserve"> 272亿</t>
  </si>
  <si>
    <t xml:space="preserve"> 26.7万</t>
  </si>
  <si>
    <t xml:space="preserve"> 90.75亿</t>
  </si>
  <si>
    <t xml:space="preserve"> 1313亿</t>
  </si>
  <si>
    <t xml:space="preserve"> 73.26亿</t>
  </si>
  <si>
    <t xml:space="preserve"> 1060亿</t>
  </si>
  <si>
    <t xml:space="preserve"> 长川科技</t>
  </si>
  <si>
    <t xml:space="preserve"> 7.18亿</t>
  </si>
  <si>
    <t xml:space="preserve"> 6.84万</t>
  </si>
  <si>
    <t xml:space="preserve"> 6.232亿</t>
  </si>
  <si>
    <t xml:space="preserve"> 262.5亿</t>
  </si>
  <si>
    <t xml:space="preserve"> 4.511亿</t>
  </si>
  <si>
    <t xml:space="preserve"> 佰维存储</t>
  </si>
  <si>
    <t xml:space="preserve"> 7.17亿</t>
  </si>
  <si>
    <t xml:space="preserve"> 21.2亿</t>
  </si>
  <si>
    <t xml:space="preserve"> 3.64万</t>
  </si>
  <si>
    <t xml:space="preserve"> 6.44万</t>
  </si>
  <si>
    <t xml:space="preserve"> 4.303亿</t>
  </si>
  <si>
    <t xml:space="preserve"> 316.0亿</t>
  </si>
  <si>
    <t xml:space="preserve"> 3873万</t>
  </si>
  <si>
    <t xml:space="preserve"> 28.44亿</t>
  </si>
  <si>
    <t xml:space="preserve"> 捷荣技术</t>
  </si>
  <si>
    <t xml:space="preserve"> 7.14亿</t>
  </si>
  <si>
    <t xml:space="preserve"> 13.8亿</t>
  </si>
  <si>
    <t xml:space="preserve"> 11.9万</t>
  </si>
  <si>
    <t xml:space="preserve"> 10.7万</t>
  </si>
  <si>
    <t xml:space="preserve"> 2.464亿</t>
  </si>
  <si>
    <t xml:space="preserve"> 78.36亿</t>
  </si>
  <si>
    <t xml:space="preserve"> 2.461亿</t>
  </si>
  <si>
    <t xml:space="preserve"> 78.27亿</t>
  </si>
  <si>
    <t xml:space="preserve"> C思泰克</t>
  </si>
  <si>
    <t xml:space="preserve"> 12.9万</t>
  </si>
  <si>
    <t xml:space="preserve"> 7.13亿</t>
  </si>
  <si>
    <t xml:space="preserve"> 2.72亿</t>
  </si>
  <si>
    <t xml:space="preserve"> 7.14万</t>
  </si>
  <si>
    <t xml:space="preserve"> 5.77万</t>
  </si>
  <si>
    <t xml:space="preserve"> 1.033亿</t>
  </si>
  <si>
    <t xml:space="preserve"> 55.68亿</t>
  </si>
  <si>
    <t xml:space="preserve"> 2449万</t>
  </si>
  <si>
    <t xml:space="preserve"> 13.20亿</t>
  </si>
  <si>
    <t xml:space="preserve"> 海康威视</t>
  </si>
  <si>
    <t xml:space="preserve"> 20.3万</t>
  </si>
  <si>
    <t xml:space="preserve"> 7.09亿</t>
  </si>
  <si>
    <t xml:space="preserve"> 613亿</t>
  </si>
  <si>
    <t xml:space="preserve"> 9.14万</t>
  </si>
  <si>
    <t xml:space="preserve"> 93.31亿</t>
  </si>
  <si>
    <t xml:space="preserve"> 3312亿</t>
  </si>
  <si>
    <t xml:space="preserve"> 91.08亿</t>
  </si>
  <si>
    <t xml:space="preserve"> 3233亿</t>
  </si>
  <si>
    <t xml:space="preserve"> 天龙股份</t>
  </si>
  <si>
    <t xml:space="preserve"> 23.1万</t>
  </si>
  <si>
    <t xml:space="preserve"> 7.06亿</t>
  </si>
  <si>
    <t xml:space="preserve"> 9.51亿</t>
  </si>
  <si>
    <t xml:space="preserve"> 12.0万</t>
  </si>
  <si>
    <t xml:space="preserve"> 61.00亿</t>
  </si>
  <si>
    <t xml:space="preserve"> 中国石油</t>
  </si>
  <si>
    <t xml:space="preserve"> 98.2万</t>
  </si>
  <si>
    <t xml:space="preserve"> 7.04亿</t>
  </si>
  <si>
    <t xml:space="preserve"> 2.28万亿</t>
  </si>
  <si>
    <t xml:space="preserve"> 38.5万</t>
  </si>
  <si>
    <t xml:space="preserve"> 59.6万</t>
  </si>
  <si>
    <t xml:space="preserve"> 1.31万亿</t>
  </si>
  <si>
    <t xml:space="preserve"> 1619亿</t>
  </si>
  <si>
    <t xml:space="preserve"> 1.16万亿</t>
  </si>
  <si>
    <t xml:space="preserve"> 智飞生物</t>
  </si>
  <si>
    <t xml:space="preserve"> 10.9万</t>
  </si>
  <si>
    <t xml:space="preserve"> 393亿</t>
  </si>
  <si>
    <t xml:space="preserve"> 5.16万</t>
  </si>
  <si>
    <t xml:space="preserve"> 24.00亿</t>
  </si>
  <si>
    <t xml:space="preserve"> 1544亿</t>
  </si>
  <si>
    <t xml:space="preserve"> 913.7亿</t>
  </si>
  <si>
    <t xml:space="preserve"> 深科技</t>
  </si>
  <si>
    <t xml:space="preserve"> 41.4万</t>
  </si>
  <si>
    <t xml:space="preserve"> 6.98亿</t>
  </si>
  <si>
    <t xml:space="preserve"> 110亿</t>
  </si>
  <si>
    <t xml:space="preserve"> 22.4万</t>
  </si>
  <si>
    <t xml:space="preserve"> 19.1万</t>
  </si>
  <si>
    <t xml:space="preserve"> 15.61亿</t>
  </si>
  <si>
    <t xml:space="preserve"> 266.1亿</t>
  </si>
  <si>
    <t xml:space="preserve"> 15.60亿</t>
  </si>
  <si>
    <t xml:space="preserve"> 266.0亿</t>
  </si>
  <si>
    <t xml:space="preserve"> TCL科技</t>
  </si>
  <si>
    <t xml:space="preserve"> 167万</t>
  </si>
  <si>
    <t xml:space="preserve"> 1.32万</t>
  </si>
  <si>
    <t xml:space="preserve"> 6.97亿</t>
  </si>
  <si>
    <t xml:space="preserve"> 1332亿</t>
  </si>
  <si>
    <t xml:space="preserve"> -7.00万</t>
  </si>
  <si>
    <t xml:space="preserve"> 76.8万</t>
  </si>
  <si>
    <t xml:space="preserve"> 785.0亿</t>
  </si>
  <si>
    <t xml:space="preserve"> 181.0亿</t>
  </si>
  <si>
    <t xml:space="preserve"> 756.5亿</t>
  </si>
  <si>
    <t xml:space="preserve"> 华友钴业</t>
  </si>
  <si>
    <t xml:space="preserve"> 6.96亿</t>
  </si>
  <si>
    <t xml:space="preserve"> 511亿</t>
  </si>
  <si>
    <t xml:space="preserve"> 9.61万</t>
  </si>
  <si>
    <t xml:space="preserve"> 17.10亿</t>
  </si>
  <si>
    <t xml:space="preserve"> 546.4亿</t>
  </si>
  <si>
    <t xml:space="preserve"> 538.8亿</t>
  </si>
  <si>
    <t xml:space="preserve"> 伟时电子</t>
  </si>
  <si>
    <t xml:space="preserve"> 25.6万</t>
  </si>
  <si>
    <t xml:space="preserve"> 6.90亿</t>
  </si>
  <si>
    <t xml:space="preserve"> 5.30万</t>
  </si>
  <si>
    <t xml:space="preserve"> 12.5万</t>
  </si>
  <si>
    <t xml:space="preserve"> 13.1万</t>
  </si>
  <si>
    <t xml:space="preserve"> 5.25万</t>
  </si>
  <si>
    <t xml:space="preserve"> 2.128亿</t>
  </si>
  <si>
    <t xml:space="preserve"> 61.27亿</t>
  </si>
  <si>
    <t xml:space="preserve"> 朗玛信息</t>
  </si>
  <si>
    <t xml:space="preserve"> 6.88亿</t>
  </si>
  <si>
    <t xml:space="preserve"> 3.48亿</t>
  </si>
  <si>
    <t xml:space="preserve"> 3.379亿</t>
  </si>
  <si>
    <t xml:space="preserve"> 64.14亿</t>
  </si>
  <si>
    <t xml:space="preserve"> 2.560亿</t>
  </si>
  <si>
    <t xml:space="preserve"> 48.60亿</t>
  </si>
  <si>
    <t xml:space="preserve"> 安妮股份</t>
  </si>
  <si>
    <t xml:space="preserve"> 80.5万</t>
  </si>
  <si>
    <t xml:space="preserve"> 6.87亿</t>
  </si>
  <si>
    <t xml:space="preserve"> 2.73亿</t>
  </si>
  <si>
    <t xml:space="preserve"> 40.2万</t>
  </si>
  <si>
    <t xml:space="preserve"> 5.796亿</t>
  </si>
  <si>
    <t xml:space="preserve"> 49.44亿</t>
  </si>
  <si>
    <t xml:space="preserve"> 5.482亿</t>
  </si>
  <si>
    <t xml:space="preserve"> 46.76亿</t>
  </si>
  <si>
    <t xml:space="preserve"> 爱尔眼科</t>
  </si>
  <si>
    <t xml:space="preserve"> 40.1万</t>
  </si>
  <si>
    <t xml:space="preserve"> 6.82亿</t>
  </si>
  <si>
    <t xml:space="preserve"> 160亿</t>
  </si>
  <si>
    <t xml:space="preserve"> 20.1万</t>
  </si>
  <si>
    <t xml:space="preserve"> 20.0万</t>
  </si>
  <si>
    <t xml:space="preserve"> 93.28亿</t>
  </si>
  <si>
    <t xml:space="preserve"> 1586亿</t>
  </si>
  <si>
    <t xml:space="preserve"> 78.85亿</t>
  </si>
  <si>
    <t xml:space="preserve"> 1340亿</t>
  </si>
  <si>
    <t xml:space="preserve"> 中国太保</t>
  </si>
  <si>
    <t xml:space="preserve"> 6.81亿</t>
  </si>
  <si>
    <t xml:space="preserve"> 2559亿</t>
  </si>
  <si>
    <t xml:space="preserve"> 96.20亿</t>
  </si>
  <si>
    <t xml:space="preserve"> 2300亿</t>
  </si>
  <si>
    <t xml:space="preserve"> 68.45亿</t>
  </si>
  <si>
    <t xml:space="preserve"> 1637亿</t>
  </si>
  <si>
    <t xml:space="preserve"> 甘李药业</t>
  </si>
  <si>
    <t xml:space="preserve"> 12.6万</t>
  </si>
  <si>
    <t xml:space="preserve"> 6.78亿</t>
  </si>
  <si>
    <t xml:space="preserve"> 19.1亿</t>
  </si>
  <si>
    <t xml:space="preserve"> 6.08万</t>
  </si>
  <si>
    <t xml:space="preserve"> 5.942亿</t>
  </si>
  <si>
    <t xml:space="preserve"> 327.5亿</t>
  </si>
  <si>
    <t xml:space="preserve"> 5.311亿</t>
  </si>
  <si>
    <t xml:space="preserve"> 292.7亿</t>
  </si>
  <si>
    <t xml:space="preserve"> 江特电机</t>
  </si>
  <si>
    <t xml:space="preserve"> 6.77亿</t>
  </si>
  <si>
    <t xml:space="preserve"> 25.2亿</t>
  </si>
  <si>
    <t xml:space="preserve"> 17.06亿</t>
  </si>
  <si>
    <t xml:space="preserve"> 181.4亿</t>
  </si>
  <si>
    <t xml:space="preserve"> 181.3亿</t>
  </si>
  <si>
    <t xml:space="preserve"> 兴业银行</t>
  </si>
  <si>
    <t xml:space="preserve"> 46.4万</t>
  </si>
  <si>
    <t xml:space="preserve"> 1613亿</t>
  </si>
  <si>
    <t xml:space="preserve"> 207.7亿</t>
  </si>
  <si>
    <t xml:space="preserve"> 3035亿</t>
  </si>
  <si>
    <t xml:space="preserve"> 晶澳科技</t>
  </si>
  <si>
    <t xml:space="preserve"> 6.72亿</t>
  </si>
  <si>
    <t xml:space="preserve"> 600亿</t>
  </si>
  <si>
    <t xml:space="preserve"> 16.5万</t>
  </si>
  <si>
    <t xml:space="preserve"> 33.16亿</t>
  </si>
  <si>
    <t xml:space="preserve"> 653.3亿</t>
  </si>
  <si>
    <t xml:space="preserve"> 33.05亿</t>
  </si>
  <si>
    <t xml:space="preserve"> 651.0亿</t>
  </si>
  <si>
    <t xml:space="preserve"> 金龙汽车</t>
  </si>
  <si>
    <t xml:space="preserve"> 78.6万</t>
  </si>
  <si>
    <t xml:space="preserve"> 6.69亿</t>
  </si>
  <si>
    <t xml:space="preserve"> 141亿</t>
  </si>
  <si>
    <t xml:space="preserve"> 36.7万</t>
  </si>
  <si>
    <t xml:space="preserve"> 41.9万</t>
  </si>
  <si>
    <t xml:space="preserve"> 9.75万</t>
  </si>
  <si>
    <t xml:space="preserve"> 7.170亿</t>
  </si>
  <si>
    <t xml:space="preserve"> 63.03亿</t>
  </si>
  <si>
    <t xml:space="preserve"> 宝馨科技</t>
  </si>
  <si>
    <t xml:space="preserve"> 69.7万</t>
  </si>
  <si>
    <t xml:space="preserve"> 6.61亿</t>
  </si>
  <si>
    <t xml:space="preserve"> 4.93亿</t>
  </si>
  <si>
    <t xml:space="preserve"> 38.3万</t>
  </si>
  <si>
    <t xml:space="preserve"> 31.4万</t>
  </si>
  <si>
    <t xml:space="preserve"> 7.200亿</t>
  </si>
  <si>
    <t xml:space="preserve"> 67.32亿</t>
  </si>
  <si>
    <t xml:space="preserve"> 5.540亿</t>
  </si>
  <si>
    <t xml:space="preserve"> 51.80亿</t>
  </si>
  <si>
    <t xml:space="preserve"> 大湖股份</t>
  </si>
  <si>
    <t xml:space="preserve"> 88.1万</t>
  </si>
  <si>
    <t xml:space="preserve"> 6.56亿</t>
  </si>
  <si>
    <t xml:space="preserve"> 1.01万</t>
  </si>
  <si>
    <t xml:space="preserve"> 53.3万</t>
  </si>
  <si>
    <t xml:space="preserve"> 4.812亿</t>
  </si>
  <si>
    <t xml:space="preserve"> 35.08亿</t>
  </si>
  <si>
    <t xml:space="preserve"> 沃森生物</t>
  </si>
  <si>
    <t xml:space="preserve"> 6.53亿</t>
  </si>
  <si>
    <t xml:space="preserve"> 31.6亿</t>
  </si>
  <si>
    <t xml:space="preserve"> 14.3万</t>
  </si>
  <si>
    <t xml:space="preserve"> 16.07亿</t>
  </si>
  <si>
    <t xml:space="preserve"> 398.3亿</t>
  </si>
  <si>
    <t xml:space="preserve"> 15.68亿</t>
  </si>
  <si>
    <t xml:space="preserve"> 388.4亿</t>
  </si>
  <si>
    <t xml:space="preserve"> 海马汽车</t>
  </si>
  <si>
    <t xml:space="preserve"> 108万</t>
  </si>
  <si>
    <t xml:space="preserve"> 19.4亿</t>
  </si>
  <si>
    <t xml:space="preserve"> 63.4万</t>
  </si>
  <si>
    <t xml:space="preserve"> 16.45亿</t>
  </si>
  <si>
    <t xml:space="preserve"> 98.84亿</t>
  </si>
  <si>
    <t xml:space="preserve"> 16.42亿</t>
  </si>
  <si>
    <t xml:space="preserve"> 98.69亿</t>
  </si>
  <si>
    <t xml:space="preserve"> 万润科技</t>
  </si>
  <si>
    <t xml:space="preserve"> 48.1万</t>
  </si>
  <si>
    <t xml:space="preserve"> 24.8万</t>
  </si>
  <si>
    <t xml:space="preserve"> 8.453亿</t>
  </si>
  <si>
    <t xml:space="preserve"> 116.1亿</t>
  </si>
  <si>
    <t xml:space="preserve"> 7.841亿</t>
  </si>
  <si>
    <t xml:space="preserve"> 107.7亿</t>
  </si>
  <si>
    <t xml:space="preserve"> 爱美客</t>
  </si>
  <si>
    <t xml:space="preserve"> 2.19万</t>
  </si>
  <si>
    <t xml:space="preserve"> 6.52亿</t>
  </si>
  <si>
    <t xml:space="preserve"> 21.7亿</t>
  </si>
  <si>
    <t xml:space="preserve"> 2.164亿</t>
  </si>
  <si>
    <t xml:space="preserve"> 644.8亿</t>
  </si>
  <si>
    <t xml:space="preserve"> 1.494亿</t>
  </si>
  <si>
    <t xml:space="preserve"> 445.2亿</t>
  </si>
  <si>
    <t xml:space="preserve"> 天娱数科</t>
  </si>
  <si>
    <t xml:space="preserve"> 115万</t>
  </si>
  <si>
    <t xml:space="preserve"> 1.70万</t>
  </si>
  <si>
    <t xml:space="preserve"> 6.48亿</t>
  </si>
  <si>
    <t xml:space="preserve"> 13.6亿</t>
  </si>
  <si>
    <t xml:space="preserve"> -1.60万</t>
  </si>
  <si>
    <t xml:space="preserve"> 76.3万</t>
  </si>
  <si>
    <t xml:space="preserve"> 16.55亿</t>
  </si>
  <si>
    <t xml:space="preserve"> 94.31亿</t>
  </si>
  <si>
    <t xml:space="preserve"> 16.18亿</t>
  </si>
  <si>
    <t xml:space="preserve"> 92.25亿</t>
  </si>
  <si>
    <t xml:space="preserve"> 万通发展</t>
  </si>
  <si>
    <t xml:space="preserve"> 83.9万</t>
  </si>
  <si>
    <t xml:space="preserve"> 6.46亿</t>
  </si>
  <si>
    <t xml:space="preserve"> 3.61亿</t>
  </si>
  <si>
    <t xml:space="preserve"> 3.59万</t>
  </si>
  <si>
    <t xml:space="preserve"> 2.97万</t>
  </si>
  <si>
    <t xml:space="preserve"> 20.54亿</t>
  </si>
  <si>
    <t xml:space="preserve"> 163.1亿</t>
  </si>
  <si>
    <t xml:space="preserve"> 顺丰控股</t>
  </si>
  <si>
    <t xml:space="preserve"> 6.45亿</t>
  </si>
  <si>
    <t xml:space="preserve"> 1890亿</t>
  </si>
  <si>
    <t xml:space="preserve"> 8.98万</t>
  </si>
  <si>
    <t xml:space="preserve"> 6.52万</t>
  </si>
  <si>
    <t xml:space="preserve"> 48.95亿</t>
  </si>
  <si>
    <t xml:space="preserve"> 2040亿</t>
  </si>
  <si>
    <t xml:space="preserve"> 48.61亿</t>
  </si>
  <si>
    <t xml:space="preserve"> 2026亿</t>
  </si>
  <si>
    <t xml:space="preserve"> 太阳电缆</t>
  </si>
  <si>
    <t xml:space="preserve"> 71.9万</t>
  </si>
  <si>
    <t xml:space="preserve"> 6.42亿</t>
  </si>
  <si>
    <t xml:space="preserve"> 97.0亿</t>
  </si>
  <si>
    <t xml:space="preserve"> 46.0万</t>
  </si>
  <si>
    <t xml:space="preserve"> 7.223亿</t>
  </si>
  <si>
    <t xml:space="preserve"> 65.30亿</t>
  </si>
  <si>
    <t xml:space="preserve"> 65.29亿</t>
  </si>
  <si>
    <t xml:space="preserve"> 思美传媒</t>
  </si>
  <si>
    <t xml:space="preserve"> 98.6万</t>
  </si>
  <si>
    <t xml:space="preserve"> 1.07万</t>
  </si>
  <si>
    <t xml:space="preserve"> 6.41亿</t>
  </si>
  <si>
    <t xml:space="preserve"> 41.4亿</t>
  </si>
  <si>
    <t xml:space="preserve"> 39.3万</t>
  </si>
  <si>
    <t xml:space="preserve"> 59.2万</t>
  </si>
  <si>
    <t xml:space="preserve"> 5.443亿</t>
  </si>
  <si>
    <t xml:space="preserve"> 36.14亿</t>
  </si>
  <si>
    <t xml:space="preserve"> 5.409亿</t>
  </si>
  <si>
    <t xml:space="preserve"> 35.92亿</t>
  </si>
  <si>
    <t xml:space="preserve"> 高斯贝尔</t>
  </si>
  <si>
    <t xml:space="preserve"> 44.8万</t>
  </si>
  <si>
    <t xml:space="preserve"> 6.37亿</t>
  </si>
  <si>
    <t xml:space="preserve"> 2.25亿</t>
  </si>
  <si>
    <t xml:space="preserve"> 20.4万</t>
  </si>
  <si>
    <t xml:space="preserve"> 1.671亿</t>
  </si>
  <si>
    <t xml:space="preserve"> 23.30亿</t>
  </si>
  <si>
    <t xml:space="preserve"> 22.60亿</t>
  </si>
  <si>
    <t xml:space="preserve"> 闻泰科技</t>
  </si>
  <si>
    <t xml:space="preserve"> 6.36亿</t>
  </si>
  <si>
    <t xml:space="preserve"> 444亿</t>
  </si>
  <si>
    <t xml:space="preserve"> 6.55万</t>
  </si>
  <si>
    <t xml:space="preserve"> 6.74万</t>
  </si>
  <si>
    <t xml:space="preserve"> 12.43亿</t>
  </si>
  <si>
    <t xml:space="preserve"> 601.8亿</t>
  </si>
  <si>
    <t xml:space="preserve"> 芒果超媒</t>
  </si>
  <si>
    <t xml:space="preserve"> 102亿</t>
  </si>
  <si>
    <t xml:space="preserve"> 18.71亿</t>
  </si>
  <si>
    <t xml:space="preserve"> 503.2亿</t>
  </si>
  <si>
    <t xml:space="preserve"> 10.22亿</t>
  </si>
  <si>
    <t xml:space="preserve"> 274.8亿</t>
  </si>
  <si>
    <t xml:space="preserve"> 双环传动</t>
  </si>
  <si>
    <t xml:space="preserve"> 23.7万</t>
  </si>
  <si>
    <t xml:space="preserve"> 6.34亿</t>
  </si>
  <si>
    <t xml:space="preserve"> 58.7亿</t>
  </si>
  <si>
    <t xml:space="preserve"> 8.529亿</t>
  </si>
  <si>
    <t xml:space="preserve"> 228.6亿</t>
  </si>
  <si>
    <t xml:space="preserve"> 7.573亿</t>
  </si>
  <si>
    <t xml:space="preserve"> 202.9亿</t>
  </si>
  <si>
    <t xml:space="preserve"> 紫光国微</t>
  </si>
  <si>
    <t xml:space="preserve"> 8.75万</t>
  </si>
  <si>
    <t xml:space="preserve"> 6.31亿</t>
  </si>
  <si>
    <t xml:space="preserve"> 56.4亿</t>
  </si>
  <si>
    <t xml:space="preserve"> 3.69万</t>
  </si>
  <si>
    <t xml:space="preserve"> 8.496亿</t>
  </si>
  <si>
    <t xml:space="preserve"> 615.3亿</t>
  </si>
  <si>
    <t xml:space="preserve"> 8.495亿</t>
  </si>
  <si>
    <t xml:space="preserve"> 615.2亿</t>
  </si>
  <si>
    <t xml:space="preserve"> 双成药业</t>
  </si>
  <si>
    <t xml:space="preserve"> 6.29亿</t>
  </si>
  <si>
    <t xml:space="preserve"> 1.82亿</t>
  </si>
  <si>
    <t xml:space="preserve"> 41.1万</t>
  </si>
  <si>
    <t xml:space="preserve"> 36.2万</t>
  </si>
  <si>
    <t xml:space="preserve"> 33.29亿</t>
  </si>
  <si>
    <t xml:space="preserve"> 4.108亿</t>
  </si>
  <si>
    <t xml:space="preserve"> 32.83亿</t>
  </si>
  <si>
    <t xml:space="preserve"> 汉王科技</t>
  </si>
  <si>
    <t xml:space="preserve"> 6.26亿</t>
  </si>
  <si>
    <t xml:space="preserve"> 9.73亿</t>
  </si>
  <si>
    <t xml:space="preserve"> 9.87万</t>
  </si>
  <si>
    <t xml:space="preserve"> 2.445亿</t>
  </si>
  <si>
    <t xml:space="preserve"> 58.06亿</t>
  </si>
  <si>
    <t xml:space="preserve"> 2.070亿</t>
  </si>
  <si>
    <t xml:space="preserve"> 49.17亿</t>
  </si>
  <si>
    <t xml:space="preserve"> 巨人网络</t>
  </si>
  <si>
    <t xml:space="preserve"> 50.1万</t>
  </si>
  <si>
    <t xml:space="preserve"> 22.7亿</t>
  </si>
  <si>
    <t xml:space="preserve"> 28.4万</t>
  </si>
  <si>
    <t xml:space="preserve"> 252.8亿</t>
  </si>
  <si>
    <t xml:space="preserve"> 通富微电</t>
  </si>
  <si>
    <t xml:space="preserve"> 159亿</t>
  </si>
  <si>
    <t xml:space="preserve"> 14.7万</t>
  </si>
  <si>
    <t xml:space="preserve"> 15.16亿</t>
  </si>
  <si>
    <t xml:space="preserve"> 340.6亿</t>
  </si>
  <si>
    <t xml:space="preserve"> 340.5亿</t>
  </si>
  <si>
    <t xml:space="preserve"> 亿纬锂能</t>
  </si>
  <si>
    <t xml:space="preserve"> 15.0万</t>
  </si>
  <si>
    <t xml:space="preserve"> 355亿</t>
  </si>
  <si>
    <t xml:space="preserve"> 8.44万</t>
  </si>
  <si>
    <t xml:space="preserve"> 20.46亿</t>
  </si>
  <si>
    <t xml:space="preserve"> 851.0亿</t>
  </si>
  <si>
    <t xml:space="preserve"> 18.62亿</t>
  </si>
  <si>
    <t xml:space="preserve"> 774.4亿</t>
  </si>
  <si>
    <t xml:space="preserve"> 太极实业</t>
  </si>
  <si>
    <t xml:space="preserve"> 81.4万</t>
  </si>
  <si>
    <t xml:space="preserve"> 264亿</t>
  </si>
  <si>
    <t xml:space="preserve"> -1.05万</t>
  </si>
  <si>
    <t xml:space="preserve"> 41.2万</t>
  </si>
  <si>
    <t xml:space="preserve"> 21.06亿</t>
  </si>
  <si>
    <t xml:space="preserve"> 161.8亿</t>
  </si>
  <si>
    <t xml:space="preserve"> 康龙化成</t>
  </si>
  <si>
    <t xml:space="preserve"> 6.19亿</t>
  </si>
  <si>
    <t xml:space="preserve"> 85.6亿</t>
  </si>
  <si>
    <t xml:space="preserve"> 7.84万</t>
  </si>
  <si>
    <t xml:space="preserve"> 17.87亿</t>
  </si>
  <si>
    <t xml:space="preserve"> 592.1亿</t>
  </si>
  <si>
    <t xml:space="preserve"> 470.9亿</t>
  </si>
  <si>
    <t xml:space="preserve"> 万安科技</t>
  </si>
  <si>
    <t xml:space="preserve"> 44.1万</t>
  </si>
  <si>
    <t xml:space="preserve"> 6.16亿</t>
  </si>
  <si>
    <t xml:space="preserve"> 27.5亿</t>
  </si>
  <si>
    <t xml:space="preserve"> 23.0万</t>
  </si>
  <si>
    <t xml:space="preserve"> 4.796亿</t>
  </si>
  <si>
    <t xml:space="preserve"> 67.10亿</t>
  </si>
  <si>
    <t xml:space="preserve"> 4.556亿</t>
  </si>
  <si>
    <t xml:space="preserve"> 63.73亿</t>
  </si>
  <si>
    <t xml:space="preserve"> 浙数文化</t>
  </si>
  <si>
    <t xml:space="preserve"> 47.6万</t>
  </si>
  <si>
    <t xml:space="preserve"> 6.14亿</t>
  </si>
  <si>
    <t xml:space="preserve"> 12.66亿</t>
  </si>
  <si>
    <t xml:space="preserve"> 166.3亿</t>
  </si>
  <si>
    <t xml:space="preserve"> 湖南天雁</t>
  </si>
  <si>
    <t xml:space="preserve"> 6.10亿</t>
  </si>
  <si>
    <t xml:space="preserve"> 3.59亿</t>
  </si>
  <si>
    <t xml:space="preserve"> 58.6万</t>
  </si>
  <si>
    <t xml:space="preserve"> 64.58亿</t>
  </si>
  <si>
    <t xml:space="preserve"> 8.302亿</t>
  </si>
  <si>
    <t xml:space="preserve"> 49.98亿</t>
  </si>
  <si>
    <t xml:space="preserve"> 中国石化</t>
  </si>
  <si>
    <t xml:space="preserve"> 6.09亿</t>
  </si>
  <si>
    <t xml:space="preserve"> 2.47万亿</t>
  </si>
  <si>
    <t xml:space="preserve"> 58.8万</t>
  </si>
  <si>
    <t xml:space="preserve"> 53.6万</t>
  </si>
  <si>
    <t xml:space="preserve"> 1199亿</t>
  </si>
  <si>
    <t xml:space="preserve"> 6521亿</t>
  </si>
  <si>
    <t xml:space="preserve"> 951.2亿</t>
  </si>
  <si>
    <t xml:space="preserve"> 5174亿</t>
  </si>
  <si>
    <t xml:space="preserve"> 陕西煤业</t>
  </si>
  <si>
    <t xml:space="preserve"> 31.1万</t>
  </si>
  <si>
    <t xml:space="preserve"> 6.07亿</t>
  </si>
  <si>
    <t xml:space="preserve"> 1274亿</t>
  </si>
  <si>
    <t xml:space="preserve"> 96.95亿</t>
  </si>
  <si>
    <t xml:space="preserve"> 1895亿</t>
  </si>
  <si>
    <t xml:space="preserve"> 岩山科技</t>
  </si>
  <si>
    <t xml:space="preserve"> 187万</t>
  </si>
  <si>
    <t xml:space="preserve"> 4.31亿</t>
  </si>
  <si>
    <t xml:space="preserve"> -3.27万</t>
  </si>
  <si>
    <t xml:space="preserve"> 71.3万</t>
  </si>
  <si>
    <t xml:space="preserve"> 1.15万</t>
  </si>
  <si>
    <t xml:space="preserve"> 57.25亿</t>
  </si>
  <si>
    <t xml:space="preserve"> 187.2亿</t>
  </si>
  <si>
    <t xml:space="preserve"> 56.56亿</t>
  </si>
  <si>
    <t xml:space="preserve"> 185.0亿</t>
  </si>
  <si>
    <t xml:space="preserve"> 威唐工业</t>
  </si>
  <si>
    <t xml:space="preserve"> 5.90亿</t>
  </si>
  <si>
    <t xml:space="preserve"> 15.4万</t>
  </si>
  <si>
    <t xml:space="preserve"> 1.570亿</t>
  </si>
  <si>
    <t xml:space="preserve"> 29.51亿</t>
  </si>
  <si>
    <t xml:space="preserve"> 1.238亿</t>
  </si>
  <si>
    <t xml:space="preserve"> 23.28亿</t>
  </si>
  <si>
    <t xml:space="preserve"> 汇川技术</t>
  </si>
  <si>
    <t xml:space="preserve"> 9.24万</t>
  </si>
  <si>
    <t xml:space="preserve"> 201亿</t>
  </si>
  <si>
    <t xml:space="preserve"> 4.64万</t>
  </si>
  <si>
    <t xml:space="preserve"> 4.60万</t>
  </si>
  <si>
    <t xml:space="preserve"> 26.65亿</t>
  </si>
  <si>
    <t xml:space="preserve"> 1751亿</t>
  </si>
  <si>
    <t xml:space="preserve"> 23.20亿</t>
  </si>
  <si>
    <t xml:space="preserve"> 1524亿</t>
  </si>
  <si>
    <t xml:space="preserve"> 首都在线</t>
  </si>
  <si>
    <t xml:space="preserve"> 4.668亿</t>
  </si>
  <si>
    <t xml:space="preserve"> 75.91亿</t>
  </si>
  <si>
    <t xml:space="preserve"> 3.564亿</t>
  </si>
  <si>
    <t xml:space="preserve"> 57.95亿</t>
  </si>
  <si>
    <t xml:space="preserve"> 大华股份</t>
  </si>
  <si>
    <t xml:space="preserve"> 6.02亿</t>
  </si>
  <si>
    <t xml:space="preserve"> 223亿</t>
  </si>
  <si>
    <t xml:space="preserve"> 32.94亿</t>
  </si>
  <si>
    <t xml:space="preserve"> 654.6亿</t>
  </si>
  <si>
    <t xml:space="preserve"> 19.59亿</t>
  </si>
  <si>
    <t xml:space="preserve"> 389.3亿</t>
  </si>
  <si>
    <t xml:space="preserve"> 中国长城</t>
  </si>
  <si>
    <t xml:space="preserve"> 53.5万</t>
  </si>
  <si>
    <t xml:space="preserve"> 6.00亿</t>
  </si>
  <si>
    <t xml:space="preserve"> 80.5亿</t>
  </si>
  <si>
    <t xml:space="preserve"> -1.09万</t>
  </si>
  <si>
    <t xml:space="preserve"> 32.26亿</t>
  </si>
  <si>
    <t xml:space="preserve"> 364.2亿</t>
  </si>
  <si>
    <t xml:space="preserve"> 31.47亿</t>
  </si>
  <si>
    <t xml:space="preserve"> 355.3亿</t>
  </si>
  <si>
    <t xml:space="preserve"> 中微公司</t>
  </si>
  <si>
    <t xml:space="preserve"> 3.55万</t>
  </si>
  <si>
    <t xml:space="preserve"> 40.4亿</t>
  </si>
  <si>
    <t xml:space="preserve"> 1.91万</t>
  </si>
  <si>
    <t xml:space="preserve"> 6.193亿</t>
  </si>
  <si>
    <t xml:space="preserve"> 1047亿</t>
  </si>
  <si>
    <t xml:space="preserve"> 交通银行</t>
  </si>
  <si>
    <t xml:space="preserve"> 103万</t>
  </si>
  <si>
    <t xml:space="preserve"> 1989亿</t>
  </si>
  <si>
    <t xml:space="preserve"> 8.81万</t>
  </si>
  <si>
    <t xml:space="preserve"> 47.8万</t>
  </si>
  <si>
    <t xml:space="preserve"> 4.18万</t>
  </si>
  <si>
    <t xml:space="preserve"> 742.6亿</t>
  </si>
  <si>
    <t xml:space="preserve"> 4292亿</t>
  </si>
  <si>
    <t xml:space="preserve"> 392.5亿</t>
  </si>
  <si>
    <t xml:space="preserve"> 2269亿</t>
  </si>
  <si>
    <t xml:space="preserve"> 中远海控</t>
  </si>
  <si>
    <t xml:space="preserve"> 60.2万</t>
  </si>
  <si>
    <t xml:space="preserve"> 1346亿</t>
  </si>
  <si>
    <t xml:space="preserve"> 160.7亿</t>
  </si>
  <si>
    <t xml:space="preserve"> 127.6亿</t>
  </si>
  <si>
    <t xml:space="preserve"> 1259亿</t>
  </si>
  <si>
    <t xml:space="preserve"> 捷顺科技</t>
  </si>
  <si>
    <t xml:space="preserve"> 47.7万</t>
  </si>
  <si>
    <t xml:space="preserve"> 5.95亿</t>
  </si>
  <si>
    <t xml:space="preserve"> 22.7万</t>
  </si>
  <si>
    <t xml:space="preserve"> 6.474亿</t>
  </si>
  <si>
    <t xml:space="preserve"> 79.63亿</t>
  </si>
  <si>
    <t xml:space="preserve"> 4.563亿</t>
  </si>
  <si>
    <t xml:space="preserve"> 56.12亿</t>
  </si>
  <si>
    <t xml:space="preserve"> 中矿资源</t>
  </si>
  <si>
    <t xml:space="preserve"> 5.94亿</t>
  </si>
  <si>
    <t xml:space="preserve"> 50.1亿</t>
  </si>
  <si>
    <t xml:space="preserve"> 6.72万</t>
  </si>
  <si>
    <t xml:space="preserve"> 7.240亿</t>
  </si>
  <si>
    <t xml:space="preserve"> 257.8亿</t>
  </si>
  <si>
    <t xml:space="preserve"> 6.833亿</t>
  </si>
  <si>
    <t xml:space="preserve"> 243.3亿</t>
  </si>
  <si>
    <t xml:space="preserve"> 海天味业</t>
  </si>
  <si>
    <t xml:space="preserve"> 187亿</t>
  </si>
  <si>
    <t xml:space="preserve"> 9.08万</t>
  </si>
  <si>
    <t xml:space="preserve"> 6.87万</t>
  </si>
  <si>
    <t xml:space="preserve"> 55.61亿</t>
  </si>
  <si>
    <t xml:space="preserve"> 赛为智能</t>
  </si>
  <si>
    <t xml:space="preserve"> 89.1万</t>
  </si>
  <si>
    <t xml:space="preserve"> 1.51万</t>
  </si>
  <si>
    <t xml:space="preserve"> 5.91亿</t>
  </si>
  <si>
    <t xml:space="preserve"> 3.26亿</t>
  </si>
  <si>
    <t xml:space="preserve"> 43.1万</t>
  </si>
  <si>
    <t xml:space="preserve"> 7.639亿</t>
  </si>
  <si>
    <t xml:space="preserve"> 51.18亿</t>
  </si>
  <si>
    <t xml:space="preserve"> 6.848亿</t>
  </si>
  <si>
    <t xml:space="preserve"> 45.88亿</t>
  </si>
  <si>
    <t xml:space="preserve"> 中天科技</t>
  </si>
  <si>
    <t xml:space="preserve"> 328亿</t>
  </si>
  <si>
    <t xml:space="preserve"> 27.0万</t>
  </si>
  <si>
    <t xml:space="preserve"> 19.0万</t>
  </si>
  <si>
    <t xml:space="preserve"> 34.13亿</t>
  </si>
  <si>
    <t xml:space="preserve"> 439.9亿</t>
  </si>
  <si>
    <t xml:space="preserve"> 传音控股</t>
  </si>
  <si>
    <t xml:space="preserve"> 5.18万</t>
  </si>
  <si>
    <t xml:space="preserve"> 430亿</t>
  </si>
  <si>
    <t xml:space="preserve"> 2.71万</t>
  </si>
  <si>
    <t xml:space="preserve"> 2.47万</t>
  </si>
  <si>
    <t xml:space="preserve"> 8.066亿</t>
  </si>
  <si>
    <t xml:space="preserve"> 928.9亿</t>
  </si>
  <si>
    <t xml:space="preserve"> 江苏银行</t>
  </si>
  <si>
    <t xml:space="preserve"> 88.4万</t>
  </si>
  <si>
    <t xml:space="preserve"> 587亿</t>
  </si>
  <si>
    <t xml:space="preserve"> -2.24万</t>
  </si>
  <si>
    <t xml:space="preserve"> 42.7万</t>
  </si>
  <si>
    <t xml:space="preserve"> 1.71万</t>
  </si>
  <si>
    <t xml:space="preserve"> 183.5亿</t>
  </si>
  <si>
    <t xml:space="preserve"> 1219亿</t>
  </si>
  <si>
    <t xml:space="preserve"> 182.7亿</t>
  </si>
  <si>
    <t xml:space="preserve"> 协创数据</t>
  </si>
  <si>
    <t xml:space="preserve"> 10.8万</t>
  </si>
  <si>
    <t xml:space="preserve"> 5.85亿</t>
  </si>
  <si>
    <t xml:space="preserve"> 32.3亿</t>
  </si>
  <si>
    <t xml:space="preserve"> 5.51万</t>
  </si>
  <si>
    <t xml:space="preserve"> 131.6亿</t>
  </si>
  <si>
    <t xml:space="preserve"> 新国都</t>
  </si>
  <si>
    <t xml:space="preserve"> 24.4万</t>
  </si>
  <si>
    <t xml:space="preserve"> 5.84亿</t>
  </si>
  <si>
    <t xml:space="preserve"> 28.9亿</t>
  </si>
  <si>
    <t xml:space="preserve"> 9.15万</t>
  </si>
  <si>
    <t xml:space="preserve"> 5.450亿</t>
  </si>
  <si>
    <t xml:space="preserve"> 134.2亿</t>
  </si>
  <si>
    <t xml:space="preserve"> 4.106亿</t>
  </si>
  <si>
    <t xml:space="preserve"> 101.1亿</t>
  </si>
  <si>
    <t xml:space="preserve"> 三一重工</t>
  </si>
  <si>
    <t xml:space="preserve"> 43.0万</t>
  </si>
  <si>
    <t xml:space="preserve"> 561亿</t>
  </si>
  <si>
    <t xml:space="preserve"> 21.4万</t>
  </si>
  <si>
    <t xml:space="preserve"> 84.86亿</t>
  </si>
  <si>
    <t xml:space="preserve"> 1164亿</t>
  </si>
  <si>
    <t xml:space="preserve"> 84.64亿</t>
  </si>
  <si>
    <t xml:space="preserve"> 1161亿</t>
  </si>
  <si>
    <t xml:space="preserve"> 昊志机电</t>
  </si>
  <si>
    <t xml:space="preserve"> 33.4万</t>
  </si>
  <si>
    <t xml:space="preserve"> 5.82亿</t>
  </si>
  <si>
    <t xml:space="preserve"> 7.02亿</t>
  </si>
  <si>
    <t xml:space="preserve"> 3.061亿</t>
  </si>
  <si>
    <t xml:space="preserve"> 54.08亿</t>
  </si>
  <si>
    <t xml:space="preserve"> 2.107亿</t>
  </si>
  <si>
    <t xml:space="preserve"> 37.23亿</t>
  </si>
  <si>
    <t xml:space="preserve"> 保利发展</t>
  </si>
  <si>
    <t xml:space="preserve"> 5.81亿</t>
  </si>
  <si>
    <t xml:space="preserve"> 1926亿</t>
  </si>
  <si>
    <t xml:space="preserve"> 28.0万</t>
  </si>
  <si>
    <t xml:space="preserve"> 28.8万</t>
  </si>
  <si>
    <t xml:space="preserve"> 119.7亿</t>
  </si>
  <si>
    <t xml:space="preserve"> 1227亿</t>
  </si>
  <si>
    <t xml:space="preserve"> 中百集团</t>
  </si>
  <si>
    <t xml:space="preserve"> 117万</t>
  </si>
  <si>
    <t xml:space="preserve"> 5.79亿</t>
  </si>
  <si>
    <t xml:space="preserve"> 91.9亿</t>
  </si>
  <si>
    <t xml:space="preserve"> 67.5万</t>
  </si>
  <si>
    <t xml:space="preserve"> 49.2万</t>
  </si>
  <si>
    <t xml:space="preserve"> 6.810亿</t>
  </si>
  <si>
    <t xml:space="preserve"> 32.96亿</t>
  </si>
  <si>
    <t xml:space="preserve"> 6.557亿</t>
  </si>
  <si>
    <t xml:space="preserve"> 31.74亿</t>
  </si>
  <si>
    <t xml:space="preserve"> 漫步者</t>
  </si>
  <si>
    <t xml:space="preserve"> 31.7万</t>
  </si>
  <si>
    <t xml:space="preserve"> 5.78亿</t>
  </si>
  <si>
    <t xml:space="preserve"> 18.6亿</t>
  </si>
  <si>
    <t xml:space="preserve"> 8.891亿</t>
  </si>
  <si>
    <t xml:space="preserve"> 166.1亿</t>
  </si>
  <si>
    <t xml:space="preserve"> 5.001亿</t>
  </si>
  <si>
    <t xml:space="preserve"> 93.42亿</t>
  </si>
  <si>
    <t xml:space="preserve"> 华润双鹤</t>
  </si>
  <si>
    <t xml:space="preserve"> 30.0万</t>
  </si>
  <si>
    <t xml:space="preserve"> 75.5亿</t>
  </si>
  <si>
    <t xml:space="preserve"> 10.40亿</t>
  </si>
  <si>
    <t xml:space="preserve"> 200.7亿</t>
  </si>
  <si>
    <t xml:space="preserve"> 197.1亿</t>
  </si>
  <si>
    <t xml:space="preserve"> 长春高新</t>
  </si>
  <si>
    <t xml:space="preserve"> 3.63万</t>
  </si>
  <si>
    <t xml:space="preserve"> 5.77亿</t>
  </si>
  <si>
    <t xml:space="preserve"> 107亿</t>
  </si>
  <si>
    <t xml:space="preserve"> 4.047亿</t>
  </si>
  <si>
    <t xml:space="preserve"> 643.0亿</t>
  </si>
  <si>
    <t xml:space="preserve"> 4.020亿</t>
  </si>
  <si>
    <t xml:space="preserve"> 638.7亿</t>
  </si>
  <si>
    <t xml:space="preserve"> 众生药业</t>
  </si>
  <si>
    <t xml:space="preserve"> 32.5万</t>
  </si>
  <si>
    <t xml:space="preserve"> 5.76亿</t>
  </si>
  <si>
    <t xml:space="preserve"> 20.7亿</t>
  </si>
  <si>
    <t xml:space="preserve"> 8.534亿</t>
  </si>
  <si>
    <t xml:space="preserve"> 150.6亿</t>
  </si>
  <si>
    <t xml:space="preserve"> 7.228亿</t>
  </si>
  <si>
    <t xml:space="preserve"> 中远海科</t>
  </si>
  <si>
    <t xml:space="preserve"> 5.75亿</t>
  </si>
  <si>
    <t xml:space="preserve"> 13.4亿</t>
  </si>
  <si>
    <t xml:space="preserve"> 3.719亿</t>
  </si>
  <si>
    <t xml:space="preserve"> 76.72亿</t>
  </si>
  <si>
    <t xml:space="preserve"> 3.679亿</t>
  </si>
  <si>
    <t xml:space="preserve"> 75.89亿</t>
  </si>
  <si>
    <t xml:space="preserve"> 中央商场</t>
  </si>
  <si>
    <t xml:space="preserve"> 126万</t>
  </si>
  <si>
    <t xml:space="preserve"> 5.73亿</t>
  </si>
  <si>
    <t xml:space="preserve"> 18.1亿</t>
  </si>
  <si>
    <t xml:space="preserve"> 49.5万</t>
  </si>
  <si>
    <t xml:space="preserve"> 49.99亿</t>
  </si>
  <si>
    <t xml:space="preserve"> 一汽解放</t>
  </si>
  <si>
    <t xml:space="preserve"> 59.0万</t>
  </si>
  <si>
    <t xml:space="preserve"> 5.69亿</t>
  </si>
  <si>
    <t xml:space="preserve"> 33.1万</t>
  </si>
  <si>
    <t xml:space="preserve"> 46.37亿</t>
  </si>
  <si>
    <t xml:space="preserve"> 446.1亿</t>
  </si>
  <si>
    <t xml:space="preserve"> 46.23亿</t>
  </si>
  <si>
    <t xml:space="preserve"> 444.7亿</t>
  </si>
  <si>
    <t xml:space="preserve"> 恒生电子</t>
  </si>
  <si>
    <t xml:space="preserve"> 5.68亿</t>
  </si>
  <si>
    <t xml:space="preserve"> 43.7亿</t>
  </si>
  <si>
    <t xml:space="preserve"> 8.55万</t>
  </si>
  <si>
    <t xml:space="preserve"> 19.00亿</t>
  </si>
  <si>
    <t xml:space="preserve"> 584.4亿</t>
  </si>
  <si>
    <t xml:space="preserve"> 创新医疗</t>
  </si>
  <si>
    <t xml:space="preserve"> 5.62亿</t>
  </si>
  <si>
    <t xml:space="preserve"> 26.8万</t>
  </si>
  <si>
    <t xml:space="preserve"> 4.490亿</t>
  </si>
  <si>
    <t xml:space="preserve"> 45.40亿</t>
  </si>
  <si>
    <t xml:space="preserve"> 4.234亿</t>
  </si>
  <si>
    <t xml:space="preserve"> 42.81亿</t>
  </si>
  <si>
    <t xml:space="preserve"> 天坛生物</t>
  </si>
  <si>
    <t xml:space="preserve"> 40.2亿</t>
  </si>
  <si>
    <t xml:space="preserve"> 8.82万</t>
  </si>
  <si>
    <t xml:space="preserve"> 16.48亿</t>
  </si>
  <si>
    <t xml:space="preserve"> 521.7亿</t>
  </si>
  <si>
    <t xml:space="preserve"> 粤万年青</t>
  </si>
  <si>
    <t xml:space="preserve"> 5.60亿</t>
  </si>
  <si>
    <t xml:space="preserve"> 2.06亿</t>
  </si>
  <si>
    <t xml:space="preserve"> 9.86万</t>
  </si>
  <si>
    <t xml:space="preserve"> 1.600亿</t>
  </si>
  <si>
    <t xml:space="preserve"> 44.34亿</t>
  </si>
  <si>
    <t xml:space="preserve"> 7014万</t>
  </si>
  <si>
    <t xml:space="preserve"> 19.44亿</t>
  </si>
  <si>
    <t xml:space="preserve"> 创意信息</t>
  </si>
  <si>
    <t xml:space="preserve"> 5.58亿</t>
  </si>
  <si>
    <t xml:space="preserve"> 6.076亿</t>
  </si>
  <si>
    <t xml:space="preserve"> 94.42亿</t>
  </si>
  <si>
    <t xml:space="preserve"> 5.022亿</t>
  </si>
  <si>
    <t xml:space="preserve"> 78.04亿</t>
  </si>
  <si>
    <t xml:space="preserve"> 利通电子</t>
  </si>
  <si>
    <t xml:space="preserve"> 5.56亿</t>
  </si>
  <si>
    <t xml:space="preserve"> 14.4亿</t>
  </si>
  <si>
    <t xml:space="preserve"> 7.71万</t>
  </si>
  <si>
    <t xml:space="preserve"> 2.548亿</t>
  </si>
  <si>
    <t xml:space="preserve"> 77.33亿</t>
  </si>
  <si>
    <t xml:space="preserve"> 常山北明</t>
  </si>
  <si>
    <t xml:space="preserve"> 5.52亿</t>
  </si>
  <si>
    <t xml:space="preserve"> 46.5亿</t>
  </si>
  <si>
    <t xml:space="preserve"> -1.08万</t>
  </si>
  <si>
    <t xml:space="preserve"> 32.2万</t>
  </si>
  <si>
    <t xml:space="preserve"> 15.99亿</t>
  </si>
  <si>
    <t xml:space="preserve"> 152.5亿</t>
  </si>
  <si>
    <t xml:space="preserve"> 15.84亿</t>
  </si>
  <si>
    <t xml:space="preserve"> 151.1亿</t>
  </si>
  <si>
    <t xml:space="preserve"> 四环生物</t>
  </si>
  <si>
    <t xml:space="preserve"> 1.25万</t>
  </si>
  <si>
    <t xml:space="preserve"> 5.51亿</t>
  </si>
  <si>
    <t xml:space="preserve"> 1.80亿</t>
  </si>
  <si>
    <t xml:space="preserve"> 3.47万</t>
  </si>
  <si>
    <t xml:space="preserve"> 89.5万</t>
  </si>
  <si>
    <t xml:space="preserve"> 60.9万</t>
  </si>
  <si>
    <t xml:space="preserve"> 10.30亿</t>
  </si>
  <si>
    <t xml:space="preserve"> 37.37亿</t>
  </si>
  <si>
    <t xml:space="preserve"> 零点有数</t>
  </si>
  <si>
    <t xml:space="preserve"> 9.33万</t>
  </si>
  <si>
    <t xml:space="preserve"> 5.50亿</t>
  </si>
  <si>
    <t xml:space="preserve"> 1.68亿</t>
  </si>
  <si>
    <t xml:space="preserve"> 4.46万</t>
  </si>
  <si>
    <t xml:space="preserve"> 4.87万</t>
  </si>
  <si>
    <t xml:space="preserve"> 7224万</t>
  </si>
  <si>
    <t xml:space="preserve"> 43.13亿</t>
  </si>
  <si>
    <t xml:space="preserve"> 2812万</t>
  </si>
  <si>
    <t xml:space="preserve"> 16.79亿</t>
  </si>
  <si>
    <t xml:space="preserve"> 日海智能</t>
  </si>
  <si>
    <t xml:space="preserve"> 5.48亿</t>
  </si>
  <si>
    <t xml:space="preserve"> 6.83万</t>
  </si>
  <si>
    <t xml:space="preserve"> 6.81万</t>
  </si>
  <si>
    <t xml:space="preserve"> 3.744亿</t>
  </si>
  <si>
    <t xml:space="preserve"> 39.99亿</t>
  </si>
  <si>
    <t xml:space="preserve"> 3.742亿</t>
  </si>
  <si>
    <t xml:space="preserve"> 39.97亿</t>
  </si>
  <si>
    <t xml:space="preserve"> 电广传媒</t>
  </si>
  <si>
    <t xml:space="preserve"> 86.5万</t>
  </si>
  <si>
    <t xml:space="preserve"> 1.75万</t>
  </si>
  <si>
    <t xml:space="preserve"> 5.47亿</t>
  </si>
  <si>
    <t xml:space="preserve"> 29.2亿</t>
  </si>
  <si>
    <t xml:space="preserve"> 30.3万</t>
  </si>
  <si>
    <t xml:space="preserve"> 56.2万</t>
  </si>
  <si>
    <t xml:space="preserve"> 14.18亿</t>
  </si>
  <si>
    <t xml:space="preserve"> 91.57亿</t>
  </si>
  <si>
    <t xml:space="preserve"> 14.17亿</t>
  </si>
  <si>
    <t xml:space="preserve"> 91.56亿</t>
  </si>
  <si>
    <t xml:space="preserve"> 掌阅科技</t>
  </si>
  <si>
    <t xml:space="preserve"> 5.44亿</t>
  </si>
  <si>
    <t xml:space="preserve"> 19.6亿</t>
  </si>
  <si>
    <t xml:space="preserve"> 9.37万</t>
  </si>
  <si>
    <t xml:space="preserve"> 4.389亿</t>
  </si>
  <si>
    <t xml:space="preserve"> 104.0亿</t>
  </si>
  <si>
    <t xml:space="preserve"> 联环药业</t>
  </si>
  <si>
    <t xml:space="preserve"> 14.8亿</t>
  </si>
  <si>
    <t xml:space="preserve"> 2.855亿</t>
  </si>
  <si>
    <t xml:space="preserve"> 35.60亿</t>
  </si>
  <si>
    <t xml:space="preserve"> 奥飞娱乐</t>
  </si>
  <si>
    <t xml:space="preserve"> 68.5万</t>
  </si>
  <si>
    <t xml:space="preserve"> 20.2亿</t>
  </si>
  <si>
    <t xml:space="preserve"> 14.79亿</t>
  </si>
  <si>
    <t xml:space="preserve"> 118.6亿</t>
  </si>
  <si>
    <t xml:space="preserve"> 9.753亿</t>
  </si>
  <si>
    <t xml:space="preserve"> 78.22亿</t>
  </si>
  <si>
    <t xml:space="preserve"> 中国卫通</t>
  </si>
  <si>
    <t xml:space="preserve"> 29.9万</t>
  </si>
  <si>
    <t xml:space="preserve"> 5.36亿</t>
  </si>
  <si>
    <t xml:space="preserve"> 42.24亿</t>
  </si>
  <si>
    <t xml:space="preserve"> 765.5亿</t>
  </si>
  <si>
    <t xml:space="preserve"> 南方传媒</t>
  </si>
  <si>
    <t xml:space="preserve"> 5.33亿</t>
  </si>
  <si>
    <t xml:space="preserve"> 64.5亿</t>
  </si>
  <si>
    <t xml:space="preserve"> 21.9万</t>
  </si>
  <si>
    <t xml:space="preserve"> 8.959亿</t>
  </si>
  <si>
    <t xml:space="preserve"> 141.0亿</t>
  </si>
  <si>
    <t xml:space="preserve"> 石头科技</t>
  </si>
  <si>
    <t xml:space="preserve"> 5.29亿</t>
  </si>
  <si>
    <t xml:space="preserve"> 56.9亿</t>
  </si>
  <si>
    <t xml:space="preserve"> 1.00万</t>
  </si>
  <si>
    <t xml:space="preserve"> 1.315亿</t>
  </si>
  <si>
    <t xml:space="preserve"> 371.4亿</t>
  </si>
  <si>
    <t xml:space="preserve"> 泰格医药</t>
  </si>
  <si>
    <t xml:space="preserve"> 8.58万</t>
  </si>
  <si>
    <t xml:space="preserve"> 56.5亿</t>
  </si>
  <si>
    <t xml:space="preserve"> 4.19万</t>
  </si>
  <si>
    <t xml:space="preserve"> 8.724亿</t>
  </si>
  <si>
    <t xml:space="preserve"> 544.0亿</t>
  </si>
  <si>
    <t xml:space="preserve"> 5.674亿</t>
  </si>
  <si>
    <t xml:space="preserve"> 指南针</t>
  </si>
  <si>
    <t xml:space="preserve"> 5.27亿</t>
  </si>
  <si>
    <t xml:space="preserve"> 6.83亿</t>
  </si>
  <si>
    <t xml:space="preserve"> 3.13万</t>
  </si>
  <si>
    <t xml:space="preserve"> 5.85万</t>
  </si>
  <si>
    <t xml:space="preserve"> 4.089亿</t>
  </si>
  <si>
    <t xml:space="preserve"> 242.0亿</t>
  </si>
  <si>
    <t xml:space="preserve"> 4.041亿</t>
  </si>
  <si>
    <t xml:space="preserve"> 239.2亿</t>
  </si>
  <si>
    <t xml:space="preserve"> 三态股份</t>
  </si>
  <si>
    <t xml:space="preserve"> 5.26亿</t>
  </si>
  <si>
    <t xml:space="preserve"> 12.9亿</t>
  </si>
  <si>
    <t xml:space="preserve"> 7.889亿</t>
  </si>
  <si>
    <t xml:space="preserve"> 1.112亿</t>
  </si>
  <si>
    <t xml:space="preserve"> 17.22亿</t>
  </si>
  <si>
    <t xml:space="preserve"> 大秦铁路</t>
  </si>
  <si>
    <t xml:space="preserve"> 5.21亿</t>
  </si>
  <si>
    <t xml:space="preserve"> 608亿</t>
  </si>
  <si>
    <t xml:space="preserve"> -3.58万</t>
  </si>
  <si>
    <t xml:space="preserve"> 153.7亿</t>
  </si>
  <si>
    <t xml:space="preserve"> 1122亿</t>
  </si>
  <si>
    <t xml:space="preserve"> C京仪</t>
  </si>
  <si>
    <t xml:space="preserve"> 5.20亿</t>
  </si>
  <si>
    <t xml:space="preserve"> 6.04亿</t>
  </si>
  <si>
    <t xml:space="preserve"> 5.38万</t>
  </si>
  <si>
    <t xml:space="preserve"> 4.82万</t>
  </si>
  <si>
    <t xml:space="preserve"> 1.680亿</t>
  </si>
  <si>
    <t xml:space="preserve"> 84.92亿</t>
  </si>
  <si>
    <t xml:space="preserve"> 3789万</t>
  </si>
  <si>
    <t xml:space="preserve"> 19.15亿</t>
  </si>
  <si>
    <t xml:space="preserve"> 佳云科技</t>
  </si>
  <si>
    <t xml:space="preserve"> 5.93亿</t>
  </si>
  <si>
    <t xml:space="preserve"> 48.2万</t>
  </si>
  <si>
    <t xml:space="preserve"> 62.9万</t>
  </si>
  <si>
    <t xml:space="preserve"> 6.346亿</t>
  </si>
  <si>
    <t xml:space="preserve"> 30.27亿</t>
  </si>
  <si>
    <t xml:space="preserve"> 6.296亿</t>
  </si>
  <si>
    <t xml:space="preserve"> 30.03亿</t>
  </si>
  <si>
    <t xml:space="preserve"> 中集车辆</t>
  </si>
  <si>
    <t xml:space="preserve"> 48.0万</t>
  </si>
  <si>
    <t xml:space="preserve"> 5.17亿</t>
  </si>
  <si>
    <t xml:space="preserve"> 196亿</t>
  </si>
  <si>
    <t xml:space="preserve"> 1.14万</t>
  </si>
  <si>
    <t xml:space="preserve"> 30.1万</t>
  </si>
  <si>
    <t xml:space="preserve"> 20.18亿</t>
  </si>
  <si>
    <t xml:space="preserve"> 216.1亿</t>
  </si>
  <si>
    <t xml:space="preserve"> 7.252亿</t>
  </si>
  <si>
    <t xml:space="preserve"> 77.67亿</t>
  </si>
  <si>
    <t xml:space="preserve"> 海看股份</t>
  </si>
  <si>
    <t xml:space="preserve"> 6.85万</t>
  </si>
  <si>
    <t xml:space="preserve"> 7.12万</t>
  </si>
  <si>
    <t xml:space="preserve"> 4.170亿</t>
  </si>
  <si>
    <t xml:space="preserve"> 154.4亿</t>
  </si>
  <si>
    <t xml:space="preserve"> 3915万</t>
  </si>
  <si>
    <t xml:space="preserve"> 14.49亿</t>
  </si>
  <si>
    <t xml:space="preserve"> 融捷股份</t>
  </si>
  <si>
    <t xml:space="preserve"> 10.00万</t>
  </si>
  <si>
    <t xml:space="preserve"> 5.14亿</t>
  </si>
  <si>
    <t xml:space="preserve"> 8.38亿</t>
  </si>
  <si>
    <t xml:space="preserve"> 4.30万</t>
  </si>
  <si>
    <t xml:space="preserve"> 5.70万</t>
  </si>
  <si>
    <t xml:space="preserve"> 2.597亿</t>
  </si>
  <si>
    <t xml:space="preserve"> 135.7亿</t>
  </si>
  <si>
    <t xml:space="preserve"> 2.591亿</t>
  </si>
  <si>
    <t xml:space="preserve"> 135.4亿</t>
  </si>
  <si>
    <t xml:space="preserve"> 卓胜微</t>
  </si>
  <si>
    <t xml:space="preserve"> 3.73万</t>
  </si>
  <si>
    <t xml:space="preserve"> 5.12亿</t>
  </si>
  <si>
    <t xml:space="preserve"> 30.7亿</t>
  </si>
  <si>
    <t xml:space="preserve"> 1.90万</t>
  </si>
  <si>
    <t xml:space="preserve"> 5.338亿</t>
  </si>
  <si>
    <t xml:space="preserve"> 736.9亿</t>
  </si>
  <si>
    <t xml:space="preserve"> 4.448亿</t>
  </si>
  <si>
    <t xml:space="preserve"> 614.1亿</t>
  </si>
  <si>
    <t xml:space="preserve"> 华创云信</t>
  </si>
  <si>
    <t xml:space="preserve"> 5.08亿</t>
  </si>
  <si>
    <t xml:space="preserve"> -1.19万</t>
  </si>
  <si>
    <t xml:space="preserve"> 22.61亿</t>
  </si>
  <si>
    <t xml:space="preserve"> 牧原股份</t>
  </si>
  <si>
    <t xml:space="preserve"> 830亿</t>
  </si>
  <si>
    <t xml:space="preserve"> 6.30万</t>
  </si>
  <si>
    <t xml:space="preserve"> 54.65亿</t>
  </si>
  <si>
    <t xml:space="preserve"> 2109亿</t>
  </si>
  <si>
    <t xml:space="preserve"> 36.36亿</t>
  </si>
  <si>
    <t xml:space="preserve"> 1403亿</t>
  </si>
  <si>
    <t xml:space="preserve"> 利欧股份</t>
  </si>
  <si>
    <t xml:space="preserve"> 5.07亿</t>
  </si>
  <si>
    <t xml:space="preserve"> 157亿</t>
  </si>
  <si>
    <t xml:space="preserve"> -4.81万</t>
  </si>
  <si>
    <t xml:space="preserve"> 64.6万</t>
  </si>
  <si>
    <t xml:space="preserve"> 151万</t>
  </si>
  <si>
    <t xml:space="preserve"> 2.14万</t>
  </si>
  <si>
    <t xml:space="preserve"> 67.65亿</t>
  </si>
  <si>
    <t xml:space="preserve"> 161.7亿</t>
  </si>
  <si>
    <t xml:space="preserve"> 58.45亿</t>
  </si>
  <si>
    <t xml:space="preserve"> 139.7亿</t>
  </si>
  <si>
    <t xml:space="preserve"> 华映科技</t>
  </si>
  <si>
    <t xml:space="preserve"> 137万</t>
  </si>
  <si>
    <t xml:space="preserve"> 1.86万</t>
  </si>
  <si>
    <t xml:space="preserve"> 5.06亿</t>
  </si>
  <si>
    <t xml:space="preserve"> 8.09亿</t>
  </si>
  <si>
    <t xml:space="preserve"> 68.7万</t>
  </si>
  <si>
    <t xml:space="preserve"> 2.88万</t>
  </si>
  <si>
    <t xml:space="preserve"> 27.66亿</t>
  </si>
  <si>
    <t xml:space="preserve"> 103.4亿</t>
  </si>
  <si>
    <t xml:space="preserve"> 27.63亿</t>
  </si>
  <si>
    <t xml:space="preserve"> 103.3亿</t>
  </si>
  <si>
    <t xml:space="preserve"> 太极集团</t>
  </si>
  <si>
    <t xml:space="preserve"> 5.05亿</t>
  </si>
  <si>
    <t xml:space="preserve"> 122亿</t>
  </si>
  <si>
    <t xml:space="preserve"> 5.53万</t>
  </si>
  <si>
    <t xml:space="preserve"> 5.569亿</t>
  </si>
  <si>
    <t xml:space="preserve"> 283.2亿</t>
  </si>
  <si>
    <t xml:space="preserve"> 上海电影</t>
  </si>
  <si>
    <t xml:space="preserve"> 5.04亿</t>
  </si>
  <si>
    <t xml:space="preserve"> 4.482亿</t>
  </si>
  <si>
    <t xml:space="preserve"> 97.57亿</t>
  </si>
  <si>
    <t xml:space="preserve"> 广博股份</t>
  </si>
  <si>
    <t xml:space="preserve"> 67.4万</t>
  </si>
  <si>
    <t xml:space="preserve"> 17.8亿</t>
  </si>
  <si>
    <t xml:space="preserve"> 33.2万</t>
  </si>
  <si>
    <t xml:space="preserve"> 5.343亿</t>
  </si>
  <si>
    <t xml:space="preserve"> 40.02亿</t>
  </si>
  <si>
    <t xml:space="preserve"> 3.771亿</t>
  </si>
  <si>
    <t xml:space="preserve"> 28.24亿</t>
  </si>
  <si>
    <t xml:space="preserve"> 龙版传媒</t>
  </si>
  <si>
    <t xml:space="preserve"> 16.4亿</t>
  </si>
  <si>
    <t xml:space="preserve"> 4.09万</t>
  </si>
  <si>
    <t xml:space="preserve"> 13.7万</t>
  </si>
  <si>
    <t xml:space="preserve"> 4.08万</t>
  </si>
  <si>
    <t xml:space="preserve"> 4.444亿</t>
  </si>
  <si>
    <t xml:space="preserve"> 76.44亿</t>
  </si>
  <si>
    <t xml:space="preserve"> 1.884亿</t>
  </si>
  <si>
    <t xml:space="preserve"> 32.40亿</t>
  </si>
  <si>
    <t xml:space="preserve"> 中国海油</t>
  </si>
  <si>
    <t xml:space="preserve"> 5.02亿</t>
  </si>
  <si>
    <t xml:space="preserve"> 3068亿</t>
  </si>
  <si>
    <t xml:space="preserve"> 475.7亿</t>
  </si>
  <si>
    <t xml:space="preserve"> 9494亿</t>
  </si>
  <si>
    <t xml:space="preserve"> 28.42亿</t>
  </si>
  <si>
    <t xml:space="preserve"> 567.2亿</t>
  </si>
  <si>
    <t xml:space="preserve"> 同有科技</t>
  </si>
  <si>
    <t xml:space="preserve"> 5.01亿</t>
  </si>
  <si>
    <t xml:space="preserve"> 2.48亿</t>
  </si>
  <si>
    <t xml:space="preserve"> 4.817亿</t>
  </si>
  <si>
    <t xml:space="preserve"> 71.15亿</t>
  </si>
  <si>
    <t xml:space="preserve"> 54.17亿</t>
  </si>
  <si>
    <t xml:space="preserve"> 晶方科技</t>
  </si>
  <si>
    <t xml:space="preserve"> 6.526亿</t>
  </si>
  <si>
    <t xml:space="preserve"> 154.0亿</t>
  </si>
  <si>
    <t xml:space="preserve"> 6.522亿</t>
  </si>
  <si>
    <t xml:space="preserve"> 153.8亿</t>
  </si>
  <si>
    <t xml:space="preserve"> 福晶科技</t>
  </si>
  <si>
    <t xml:space="preserve"> 16.6万</t>
  </si>
  <si>
    <t xml:space="preserve"> 5.00亿</t>
  </si>
  <si>
    <t xml:space="preserve"> 5.96亿</t>
  </si>
  <si>
    <t xml:space="preserve"> 8.54万</t>
  </si>
  <si>
    <t xml:space="preserve"> 8.03万</t>
  </si>
  <si>
    <t xml:space="preserve"> 4.275亿</t>
  </si>
  <si>
    <t xml:space="preserve"> 129.5亿</t>
  </si>
  <si>
    <t xml:space="preserve"> 4.256亿</t>
  </si>
  <si>
    <t xml:space="preserve"> 128.9亿</t>
  </si>
  <si>
    <t xml:space="preserve"> 国机汽车</t>
  </si>
  <si>
    <t xml:space="preserve"> 53.8万</t>
  </si>
  <si>
    <t xml:space="preserve"> 4.99亿</t>
  </si>
  <si>
    <t xml:space="preserve"> 329亿</t>
  </si>
  <si>
    <t xml:space="preserve"> 26.9万</t>
  </si>
  <si>
    <t xml:space="preserve"> 139.3亿</t>
  </si>
  <si>
    <t xml:space="preserve"> 信维通信</t>
  </si>
  <si>
    <t xml:space="preserve"> 4.96亿</t>
  </si>
  <si>
    <t xml:space="preserve"> 55.9亿</t>
  </si>
  <si>
    <t xml:space="preserve"> 9.676亿</t>
  </si>
  <si>
    <t xml:space="preserve"> 227.4亿</t>
  </si>
  <si>
    <t xml:space="preserve"> 8.245亿</t>
  </si>
  <si>
    <t xml:space="preserve"> 193.7亿</t>
  </si>
  <si>
    <t xml:space="preserve"> 益客食品</t>
  </si>
  <si>
    <t xml:space="preserve"> 166亿</t>
  </si>
  <si>
    <t xml:space="preserve"> 67.03亿</t>
  </si>
  <si>
    <t xml:space="preserve"> 1.165亿</t>
  </si>
  <si>
    <t xml:space="preserve"> 17.39亿</t>
  </si>
  <si>
    <t xml:space="preserve"> 中迪投资</t>
  </si>
  <si>
    <t xml:space="preserve"> 68.3万</t>
  </si>
  <si>
    <t xml:space="preserve"> 1.11万</t>
  </si>
  <si>
    <t xml:space="preserve"> 4.94亿</t>
  </si>
  <si>
    <t xml:space="preserve"> 504万</t>
  </si>
  <si>
    <t xml:space="preserve"> 39.1万</t>
  </si>
  <si>
    <t xml:space="preserve"> 29.2万</t>
  </si>
  <si>
    <t xml:space="preserve"> 2.993亿</t>
  </si>
  <si>
    <t xml:space="preserve"> 21.64亿</t>
  </si>
  <si>
    <t xml:space="preserve"> 2.921亿</t>
  </si>
  <si>
    <t xml:space="preserve"> 21.12亿</t>
  </si>
  <si>
    <t xml:space="preserve"> 大龙地产</t>
  </si>
  <si>
    <t xml:space="preserve"> 130万</t>
  </si>
  <si>
    <t xml:space="preserve"> 2.36万</t>
  </si>
  <si>
    <t xml:space="preserve"> 5.32亿</t>
  </si>
  <si>
    <t xml:space="preserve"> 56.5万</t>
  </si>
  <si>
    <t xml:space="preserve"> 73.2万</t>
  </si>
  <si>
    <t xml:space="preserve"> 8.300亿</t>
  </si>
  <si>
    <t xml:space="preserve"> 31.87亿</t>
  </si>
  <si>
    <t xml:space="preserve"> 中国铁建</t>
  </si>
  <si>
    <t xml:space="preserve"> 4.92亿</t>
  </si>
  <si>
    <t xml:space="preserve"> 8065亿</t>
  </si>
  <si>
    <t xml:space="preserve"> -2.39万</t>
  </si>
  <si>
    <t xml:space="preserve"> 22.5万</t>
  </si>
  <si>
    <t xml:space="preserve"> 41.3万</t>
  </si>
  <si>
    <t xml:space="preserve"> 1054亿</t>
  </si>
  <si>
    <t xml:space="preserve"> 115.0亿</t>
  </si>
  <si>
    <t xml:space="preserve"> 892.7亿</t>
  </si>
  <si>
    <t xml:space="preserve"> 锦江酒店</t>
  </si>
  <si>
    <t xml:space="preserve"> 4.91亿</t>
  </si>
  <si>
    <t xml:space="preserve"> 7.70万</t>
  </si>
  <si>
    <t xml:space="preserve"> 6.92万</t>
  </si>
  <si>
    <t xml:space="preserve"> 10.70亿</t>
  </si>
  <si>
    <t xml:space="preserve"> 358.4亿</t>
  </si>
  <si>
    <t xml:space="preserve"> 9.140亿</t>
  </si>
  <si>
    <t xml:space="preserve"> 306.1亿</t>
  </si>
  <si>
    <t xml:space="preserve"> 科德教育</t>
  </si>
  <si>
    <t xml:space="preserve"> 45.9万</t>
  </si>
  <si>
    <t xml:space="preserve"> 4.89亿</t>
  </si>
  <si>
    <t xml:space="preserve"> 5.61亿</t>
  </si>
  <si>
    <t xml:space="preserve"> 3.291亿</t>
  </si>
  <si>
    <t xml:space="preserve"> 36.44亿</t>
  </si>
  <si>
    <t xml:space="preserve"> 2.221亿</t>
  </si>
  <si>
    <t xml:space="preserve"> 24.59亿</t>
  </si>
  <si>
    <t xml:space="preserve"> 沪电股份</t>
  </si>
  <si>
    <t xml:space="preserve"> 23.5万</t>
  </si>
  <si>
    <t xml:space="preserve"> 60.8亿</t>
  </si>
  <si>
    <t xml:space="preserve"> 19.08亿</t>
  </si>
  <si>
    <t xml:space="preserve"> 401.1亿</t>
  </si>
  <si>
    <t xml:space="preserve"> 19.07亿</t>
  </si>
  <si>
    <t xml:space="preserve"> 400.8亿</t>
  </si>
  <si>
    <t xml:space="preserve"> 优博讯</t>
  </si>
  <si>
    <t xml:space="preserve"> 29.0万</t>
  </si>
  <si>
    <t xml:space="preserve"> 4.88亿</t>
  </si>
  <si>
    <t xml:space="preserve"> 16.9万</t>
  </si>
  <si>
    <t xml:space="preserve"> 3.282亿</t>
  </si>
  <si>
    <t xml:space="preserve"> 55.67亿</t>
  </si>
  <si>
    <t xml:space="preserve"> 3.154亿</t>
  </si>
  <si>
    <t xml:space="preserve"> 53.50亿</t>
  </si>
  <si>
    <t xml:space="preserve"> 中国中铁</t>
  </si>
  <si>
    <t xml:space="preserve"> 8845亿</t>
  </si>
  <si>
    <t xml:space="preserve"> -4.38万</t>
  </si>
  <si>
    <t xml:space="preserve"> 55.7万</t>
  </si>
  <si>
    <t xml:space="preserve"> 247.5亿</t>
  </si>
  <si>
    <t xml:space="preserve"> 203.6亿</t>
  </si>
  <si>
    <t xml:space="preserve"> 1167亿</t>
  </si>
  <si>
    <t xml:space="preserve"> 中船科技</t>
  </si>
  <si>
    <t xml:space="preserve"> 273.9亿</t>
  </si>
  <si>
    <t xml:space="preserve"> 7.362亿</t>
  </si>
  <si>
    <t xml:space="preserve"> 133.9亿</t>
  </si>
  <si>
    <t xml:space="preserve"> 德赛西威</t>
  </si>
  <si>
    <t xml:space="preserve"> 145亿</t>
  </si>
  <si>
    <t xml:space="preserve"> 1.98万</t>
  </si>
  <si>
    <t xml:space="preserve"> 1.82万</t>
  </si>
  <si>
    <t xml:space="preserve"> 5.550亿</t>
  </si>
  <si>
    <t xml:space="preserve"> 715.1亿</t>
  </si>
  <si>
    <t xml:space="preserve"> 5.498亿</t>
  </si>
  <si>
    <t xml:space="preserve"> 708.4亿</t>
  </si>
  <si>
    <t xml:space="preserve"> 爱旭股份</t>
  </si>
  <si>
    <t xml:space="preserve"> 30.7万</t>
  </si>
  <si>
    <t xml:space="preserve"> 226亿</t>
  </si>
  <si>
    <t xml:space="preserve"> 18.28亿</t>
  </si>
  <si>
    <t xml:space="preserve"> 290.7亿</t>
  </si>
  <si>
    <t xml:space="preserve"> 15.95亿</t>
  </si>
  <si>
    <t xml:space="preserve"> 253.7亿</t>
  </si>
  <si>
    <t xml:space="preserve"> 神通科技</t>
  </si>
  <si>
    <t xml:space="preserve"> 36.5万</t>
  </si>
  <si>
    <t xml:space="preserve"> 4.86亿</t>
  </si>
  <si>
    <t xml:space="preserve"> 21.5万</t>
  </si>
  <si>
    <t xml:space="preserve"> 4.249亿</t>
  </si>
  <si>
    <t xml:space="preserve"> 55.87亿</t>
  </si>
  <si>
    <t xml:space="preserve"> 9838万</t>
  </si>
  <si>
    <t xml:space="preserve"> 12.94亿</t>
  </si>
  <si>
    <t xml:space="preserve"> 众合科技</t>
  </si>
  <si>
    <t xml:space="preserve"> 51.2万</t>
  </si>
  <si>
    <t xml:space="preserve"> 13.5亿</t>
  </si>
  <si>
    <t xml:space="preserve"> 27.5万</t>
  </si>
  <si>
    <t xml:space="preserve"> 5.563亿</t>
  </si>
  <si>
    <t xml:space="preserve"> 53.30亿</t>
  </si>
  <si>
    <t xml:space="preserve"> 5.485亿</t>
  </si>
  <si>
    <t xml:space="preserve"> 52.55亿</t>
  </si>
  <si>
    <t xml:space="preserve"> 振东制药</t>
  </si>
  <si>
    <t xml:space="preserve"> 70.3万</t>
  </si>
  <si>
    <t xml:space="preserve"> 4.84亿</t>
  </si>
  <si>
    <t xml:space="preserve"> 27.8亿</t>
  </si>
  <si>
    <t xml:space="preserve"> 46.1万</t>
  </si>
  <si>
    <t xml:space="preserve"> 10.27亿</t>
  </si>
  <si>
    <t xml:space="preserve"> 72.54亿</t>
  </si>
  <si>
    <t xml:space="preserve"> 72.30亿</t>
  </si>
  <si>
    <t xml:space="preserve"> 浙江世宝</t>
  </si>
  <si>
    <t xml:space="preserve"> 17.2万</t>
  </si>
  <si>
    <t xml:space="preserve"> 7.896亿</t>
  </si>
  <si>
    <t xml:space="preserve"> 122.6亿</t>
  </si>
  <si>
    <t xml:space="preserve"> 5.531亿</t>
  </si>
  <si>
    <t xml:space="preserve"> 85.89亿</t>
  </si>
  <si>
    <t xml:space="preserve"> 洋河股份</t>
  </si>
  <si>
    <t xml:space="preserve"> 4.17万</t>
  </si>
  <si>
    <t xml:space="preserve"> 4.83亿</t>
  </si>
  <si>
    <t xml:space="preserve"> 303亿</t>
  </si>
  <si>
    <t xml:space="preserve"> 1.97万</t>
  </si>
  <si>
    <t xml:space="preserve"> 15.06亿</t>
  </si>
  <si>
    <t xml:space="preserve"> 1746亿</t>
  </si>
  <si>
    <t xml:space="preserve"> 15.02亿</t>
  </si>
  <si>
    <t xml:space="preserve"> 1741亿</t>
  </si>
  <si>
    <t xml:space="preserve"> 海格通信</t>
  </si>
  <si>
    <t xml:space="preserve"> 20.8万</t>
  </si>
  <si>
    <t xml:space="preserve"> 24.82亿</t>
  </si>
  <si>
    <t xml:space="preserve"> 315.7亿</t>
  </si>
  <si>
    <t xml:space="preserve"> 23.01亿</t>
  </si>
  <si>
    <t xml:space="preserve"> 292.6亿</t>
  </si>
  <si>
    <t xml:space="preserve"> 国电南瑞</t>
  </si>
  <si>
    <t xml:space="preserve"> 286亿</t>
  </si>
  <si>
    <t xml:space="preserve"> 80.33亿</t>
  </si>
  <si>
    <t xml:space="preserve"> 1766亿</t>
  </si>
  <si>
    <t xml:space="preserve"> 79.69亿</t>
  </si>
  <si>
    <t xml:space="preserve"> 1752亿</t>
  </si>
  <si>
    <t xml:space="preserve"> 兴民智通</t>
  </si>
  <si>
    <t xml:space="preserve"> 75.7万</t>
  </si>
  <si>
    <t xml:space="preserve"> 4.82亿</t>
  </si>
  <si>
    <t xml:space="preserve"> 35.5万</t>
  </si>
  <si>
    <t xml:space="preserve"> 6.206亿</t>
  </si>
  <si>
    <t xml:space="preserve"> 39.59亿</t>
  </si>
  <si>
    <t xml:space="preserve"> 6.172亿</t>
  </si>
  <si>
    <t xml:space="preserve"> 39.38亿</t>
  </si>
  <si>
    <t xml:space="preserve"> 大北农</t>
  </si>
  <si>
    <t xml:space="preserve"> 67.0万</t>
  </si>
  <si>
    <t xml:space="preserve"> 4.81亿</t>
  </si>
  <si>
    <t xml:space="preserve"> 239亿</t>
  </si>
  <si>
    <t xml:space="preserve"> 41.36亿</t>
  </si>
  <si>
    <t xml:space="preserve"> 296.6亿</t>
  </si>
  <si>
    <t xml:space="preserve"> 33.08亿</t>
  </si>
  <si>
    <t xml:space="preserve"> 237.2亿</t>
  </si>
  <si>
    <t xml:space="preserve"> 宇瞳光学</t>
  </si>
  <si>
    <t xml:space="preserve"> 4.80亿</t>
  </si>
  <si>
    <t xml:space="preserve"> 14.9亿</t>
  </si>
  <si>
    <t xml:space="preserve"> 11.6万</t>
  </si>
  <si>
    <t xml:space="preserve"> 3.355亿</t>
  </si>
  <si>
    <t xml:space="preserve"> 59.90亿</t>
  </si>
  <si>
    <t xml:space="preserve"> 2.476亿</t>
  </si>
  <si>
    <t xml:space="preserve"> 44.19亿</t>
  </si>
  <si>
    <t xml:space="preserve"> 宝通科技</t>
  </si>
  <si>
    <t xml:space="preserve"> 24.2亿</t>
  </si>
  <si>
    <t xml:space="preserve"> 8.49万</t>
  </si>
  <si>
    <t xml:space="preserve"> 4.125亿</t>
  </si>
  <si>
    <t xml:space="preserve"> 78.38亿</t>
  </si>
  <si>
    <t xml:space="preserve"> 3.458亿</t>
  </si>
  <si>
    <t xml:space="preserve"> 65.69亿</t>
  </si>
  <si>
    <t xml:space="preserve"> 炬光科技</t>
  </si>
  <si>
    <t xml:space="preserve"> 3.91万</t>
  </si>
  <si>
    <t xml:space="preserve"> 4.79亿</t>
  </si>
  <si>
    <t xml:space="preserve"> 3.84亿</t>
  </si>
  <si>
    <t xml:space="preserve"> 2.02万</t>
  </si>
  <si>
    <t xml:space="preserve"> 9036万</t>
  </si>
  <si>
    <t xml:space="preserve"> 110.5亿</t>
  </si>
  <si>
    <t xml:space="preserve"> 6836万</t>
  </si>
  <si>
    <t xml:space="preserve"> 83.56亿</t>
  </si>
  <si>
    <t xml:space="preserve"> 晶盛机电</t>
  </si>
  <si>
    <t xml:space="preserve"> 4.78亿</t>
  </si>
  <si>
    <t xml:space="preserve"> 135亿</t>
  </si>
  <si>
    <t xml:space="preserve"> 5.43万</t>
  </si>
  <si>
    <t xml:space="preserve"> 13.09亿</t>
  </si>
  <si>
    <t xml:space="preserve"> 559.7亿</t>
  </si>
  <si>
    <t xml:space="preserve"> 12.31亿</t>
  </si>
  <si>
    <t xml:space="preserve"> 526.4亿</t>
  </si>
  <si>
    <t xml:space="preserve"> 金地集团</t>
  </si>
  <si>
    <t xml:space="preserve"> 91.6万</t>
  </si>
  <si>
    <t xml:space="preserve"> 523亿</t>
  </si>
  <si>
    <t xml:space="preserve"> -1.82万</t>
  </si>
  <si>
    <t xml:space="preserve"> 51.4万</t>
  </si>
  <si>
    <t xml:space="preserve"> 45.15亿</t>
  </si>
  <si>
    <t xml:space="preserve"> 东湖高新</t>
  </si>
  <si>
    <t xml:space="preserve"> 4.77亿</t>
  </si>
  <si>
    <t xml:space="preserve"> 10.45亿</t>
  </si>
  <si>
    <t xml:space="preserve"> 102.5亿</t>
  </si>
  <si>
    <t xml:space="preserve"> 派林生物</t>
  </si>
  <si>
    <t xml:space="preserve"> 4.75亿</t>
  </si>
  <si>
    <t xml:space="preserve"> 13.7亿</t>
  </si>
  <si>
    <t xml:space="preserve"> 6.86万</t>
  </si>
  <si>
    <t xml:space="preserve"> 9.38万</t>
  </si>
  <si>
    <t xml:space="preserve"> 7.326亿</t>
  </si>
  <si>
    <t xml:space="preserve"> 214.7亿</t>
  </si>
  <si>
    <t xml:space="preserve"> 6.361亿</t>
  </si>
  <si>
    <t xml:space="preserve"> 186.4亿</t>
  </si>
  <si>
    <t xml:space="preserve"> 同方股份</t>
  </si>
  <si>
    <t xml:space="preserve"> 58.1万</t>
  </si>
  <si>
    <t xml:space="preserve"> 181亿</t>
  </si>
  <si>
    <t xml:space="preserve"> -2.45万</t>
  </si>
  <si>
    <t xml:space="preserve"> 33.50亿</t>
  </si>
  <si>
    <t xml:space="preserve"> 275.7亿</t>
  </si>
  <si>
    <t xml:space="preserve"> 29.64亿</t>
  </si>
  <si>
    <t xml:space="preserve"> 243.9亿</t>
  </si>
  <si>
    <t xml:space="preserve"> 中国汽研</t>
  </si>
  <si>
    <t xml:space="preserve"> 4.74亿</t>
  </si>
  <si>
    <t xml:space="preserve"> 9.60万</t>
  </si>
  <si>
    <t xml:space="preserve"> 10.04亿</t>
  </si>
  <si>
    <t xml:space="preserve"> 230.7亿</t>
  </si>
  <si>
    <t xml:space="preserve"> 9.824亿</t>
  </si>
  <si>
    <t xml:space="preserve"> 225.7亿</t>
  </si>
  <si>
    <t xml:space="preserve"> 长华集团</t>
  </si>
  <si>
    <t xml:space="preserve"> 16.0亿</t>
  </si>
  <si>
    <t xml:space="preserve"> 4.715亿</t>
  </si>
  <si>
    <t xml:space="preserve"> 61.24亿</t>
  </si>
  <si>
    <t xml:space="preserve"> 4.694亿</t>
  </si>
  <si>
    <t xml:space="preserve"> 60.97亿</t>
  </si>
  <si>
    <t xml:space="preserve"> 中科创达</t>
  </si>
  <si>
    <t xml:space="preserve"> 5.83万</t>
  </si>
  <si>
    <t xml:space="preserve"> 38.8亿</t>
  </si>
  <si>
    <t xml:space="preserve"> 2.79万</t>
  </si>
  <si>
    <t xml:space="preserve"> 3.04万</t>
  </si>
  <si>
    <t xml:space="preserve"> 4.599亿</t>
  </si>
  <si>
    <t xml:space="preserve"> 377.6亿</t>
  </si>
  <si>
    <t xml:space="preserve"> 301.1亿</t>
  </si>
  <si>
    <t xml:space="preserve"> 博雅生物</t>
  </si>
  <si>
    <t xml:space="preserve"> 4.71亿</t>
  </si>
  <si>
    <t xml:space="preserve"> 21.9亿</t>
  </si>
  <si>
    <t xml:space="preserve"> 5.60万</t>
  </si>
  <si>
    <t xml:space="preserve"> 7.40万</t>
  </si>
  <si>
    <t xml:space="preserve"> 5.042亿</t>
  </si>
  <si>
    <t xml:space="preserve"> 183.8亿</t>
  </si>
  <si>
    <t xml:space="preserve"> 4.259亿</t>
  </si>
  <si>
    <t xml:space="preserve"> 155.3亿</t>
  </si>
  <si>
    <t xml:space="preserve"> 皇庭国际</t>
  </si>
  <si>
    <t xml:space="preserve"> 47.9万</t>
  </si>
  <si>
    <t xml:space="preserve"> 63.8万</t>
  </si>
  <si>
    <t xml:space="preserve"> 12.10亿</t>
  </si>
  <si>
    <t xml:space="preserve"> 51.31亿</t>
  </si>
  <si>
    <t xml:space="preserve"> 9.037亿</t>
  </si>
  <si>
    <t xml:space="preserve"> 38.32亿</t>
  </si>
  <si>
    <t xml:space="preserve"> 华东医药</t>
  </si>
  <si>
    <t xml:space="preserve"> 304亿</t>
  </si>
  <si>
    <t xml:space="preserve"> 5.75万</t>
  </si>
  <si>
    <t xml:space="preserve"> 17.54亿</t>
  </si>
  <si>
    <t xml:space="preserve"> 723.0亿</t>
  </si>
  <si>
    <t xml:space="preserve"> 17.50亿</t>
  </si>
  <si>
    <t xml:space="preserve"> 721.1亿</t>
  </si>
  <si>
    <t xml:space="preserve"> 共进股份</t>
  </si>
  <si>
    <t xml:space="preserve"> 66.6亿</t>
  </si>
  <si>
    <t xml:space="preserve"> 7.915亿</t>
  </si>
  <si>
    <t xml:space="preserve"> 78.12亿</t>
  </si>
  <si>
    <t xml:space="preserve"> 7.873亿</t>
  </si>
  <si>
    <t xml:space="preserve"> 77.70亿</t>
  </si>
  <si>
    <t xml:space="preserve"> 源杰科技</t>
  </si>
  <si>
    <t xml:space="preserve"> 4.66亿</t>
  </si>
  <si>
    <t xml:space="preserve"> 9319万</t>
  </si>
  <si>
    <t xml:space="preserve"> 1.81万</t>
  </si>
  <si>
    <t xml:space="preserve"> 8484万</t>
  </si>
  <si>
    <t xml:space="preserve"> 137.9亿</t>
  </si>
  <si>
    <t xml:space="preserve"> 2026万</t>
  </si>
  <si>
    <t xml:space="preserve"> 32.92亿</t>
  </si>
  <si>
    <t xml:space="preserve"> 建设银行</t>
  </si>
  <si>
    <t xml:space="preserve"> 72.7万</t>
  </si>
  <si>
    <t xml:space="preserve"> 4.65亿</t>
  </si>
  <si>
    <t xml:space="preserve"> 5884亿</t>
  </si>
  <si>
    <t xml:space="preserve"> 2500亿</t>
  </si>
  <si>
    <t xml:space="preserve"> 1.60万亿</t>
  </si>
  <si>
    <t xml:space="preserve"> 95.94亿</t>
  </si>
  <si>
    <t xml:space="preserve"> 612.1亿</t>
  </si>
  <si>
    <t xml:space="preserve"> 均胜电子</t>
  </si>
  <si>
    <t xml:space="preserve"> 4.63亿</t>
  </si>
  <si>
    <t xml:space="preserve"> 413亿</t>
  </si>
  <si>
    <t xml:space="preserve"> 14.09亿</t>
  </si>
  <si>
    <t xml:space="preserve"> 13.68亿</t>
  </si>
  <si>
    <t xml:space="preserve"> 中国软件</t>
  </si>
  <si>
    <t xml:space="preserve"> 4.62亿</t>
  </si>
  <si>
    <t xml:space="preserve"> 41.6亿</t>
  </si>
  <si>
    <t xml:space="preserve"> 5.95万</t>
  </si>
  <si>
    <t xml:space="preserve"> 7.29万</t>
  </si>
  <si>
    <t xml:space="preserve"> 8.598亿</t>
  </si>
  <si>
    <t xml:space="preserve"> 303.9亿</t>
  </si>
  <si>
    <t xml:space="preserve"> 8.358亿</t>
  </si>
  <si>
    <t xml:space="preserve"> 吉比特</t>
  </si>
  <si>
    <t xml:space="preserve"> 33.1亿</t>
  </si>
  <si>
    <t xml:space="preserve"> 7204万</t>
  </si>
  <si>
    <t xml:space="preserve"> 193.5亿</t>
  </si>
  <si>
    <t xml:space="preserve"> 丰立智能</t>
  </si>
  <si>
    <t xml:space="preserve"> 4.60亿</t>
  </si>
  <si>
    <t xml:space="preserve"> 3.17亿</t>
  </si>
  <si>
    <t xml:space="preserve"> 6.20万</t>
  </si>
  <si>
    <t xml:space="preserve"> 4.39万</t>
  </si>
  <si>
    <t xml:space="preserve"> 1.201亿</t>
  </si>
  <si>
    <t xml:space="preserve"> 52.44亿</t>
  </si>
  <si>
    <t xml:space="preserve"> 3010万</t>
  </si>
  <si>
    <t xml:space="preserve"> 13.14亿</t>
  </si>
  <si>
    <t xml:space="preserve"> 舍得酒业</t>
  </si>
  <si>
    <t xml:space="preserve"> 52.5亿</t>
  </si>
  <si>
    <t xml:space="preserve"> 2.51万</t>
  </si>
  <si>
    <t xml:space="preserve"> 3.332亿</t>
  </si>
  <si>
    <t xml:space="preserve"> 333.2亿</t>
  </si>
  <si>
    <t xml:space="preserve"> 3.319亿</t>
  </si>
  <si>
    <t xml:space="preserve"> 331.9亿</t>
  </si>
  <si>
    <t xml:space="preserve"> 奥特佳</t>
  </si>
  <si>
    <t xml:space="preserve"> 2.13万</t>
  </si>
  <si>
    <t xml:space="preserve"> 49.7亿</t>
  </si>
  <si>
    <t xml:space="preserve"> -1.87万</t>
  </si>
  <si>
    <t xml:space="preserve"> 66.9万</t>
  </si>
  <si>
    <t xml:space="preserve"> 75.6万</t>
  </si>
  <si>
    <t xml:space="preserve"> 2.74万</t>
  </si>
  <si>
    <t xml:space="preserve"> 105.4亿</t>
  </si>
  <si>
    <t xml:space="preserve"> 合锻智能</t>
  </si>
  <si>
    <t xml:space="preserve"> 4.59亿</t>
  </si>
  <si>
    <t xml:space="preserve"> 12.3亿</t>
  </si>
  <si>
    <t xml:space="preserve"> 29.3万</t>
  </si>
  <si>
    <t xml:space="preserve"> 4.944亿</t>
  </si>
  <si>
    <t xml:space="preserve"> 39.11亿</t>
  </si>
  <si>
    <t xml:space="preserve"> 跨境通</t>
  </si>
  <si>
    <t xml:space="preserve"> 1.47万</t>
  </si>
  <si>
    <t xml:space="preserve"> 50.3亿</t>
  </si>
  <si>
    <t xml:space="preserve"> -3.79万</t>
  </si>
  <si>
    <t xml:space="preserve"> 43.5万</t>
  </si>
  <si>
    <t xml:space="preserve"> 15.58亿</t>
  </si>
  <si>
    <t xml:space="preserve"> 64.66亿</t>
  </si>
  <si>
    <t xml:space="preserve"> 58.82亿</t>
  </si>
  <si>
    <t xml:space="preserve"> 四川九洲</t>
  </si>
  <si>
    <t xml:space="preserve"> 28.3亿</t>
  </si>
  <si>
    <t xml:space="preserve"> 22.3万</t>
  </si>
  <si>
    <t xml:space="preserve"> 94.20亿</t>
  </si>
  <si>
    <t xml:space="preserve"> 强力新材</t>
  </si>
  <si>
    <t xml:space="preserve"> 4.56亿</t>
  </si>
  <si>
    <t xml:space="preserve"> 16.3万</t>
  </si>
  <si>
    <t xml:space="preserve"> 5.153亿</t>
  </si>
  <si>
    <t xml:space="preserve"> 75.54亿</t>
  </si>
  <si>
    <t xml:space="preserve"> 3.757亿</t>
  </si>
  <si>
    <t xml:space="preserve"> 55.08亿</t>
  </si>
  <si>
    <t xml:space="preserve"> 安井食品</t>
  </si>
  <si>
    <t xml:space="preserve"> 4.10万</t>
  </si>
  <si>
    <t xml:space="preserve"> 103亿</t>
  </si>
  <si>
    <t xml:space="preserve"> 2.35万</t>
  </si>
  <si>
    <t xml:space="preserve"> 2.933亿</t>
  </si>
  <si>
    <t xml:space="preserve"> 323.5亿</t>
  </si>
  <si>
    <t xml:space="preserve"> 华凯易佰</t>
  </si>
  <si>
    <t xml:space="preserve"> 16.4万</t>
  </si>
  <si>
    <t xml:space="preserve"> 4.55亿</t>
  </si>
  <si>
    <t xml:space="preserve"> 47.5亿</t>
  </si>
  <si>
    <t xml:space="preserve"> 7.37万</t>
  </si>
  <si>
    <t xml:space="preserve"> 9.05万</t>
  </si>
  <si>
    <t xml:space="preserve"> 2.892亿</t>
  </si>
  <si>
    <t xml:space="preserve"> 80.97亿</t>
  </si>
  <si>
    <t xml:space="preserve"> 1.576亿</t>
  </si>
  <si>
    <t xml:space="preserve"> 44.13亿</t>
  </si>
  <si>
    <t xml:space="preserve"> 拓荆科技</t>
  </si>
  <si>
    <t xml:space="preserve"> 1.77万</t>
  </si>
  <si>
    <t xml:space="preserve"> 4.54亿</t>
  </si>
  <si>
    <t xml:space="preserve"> 17.0亿</t>
  </si>
  <si>
    <t xml:space="preserve"> 1.872亿</t>
  </si>
  <si>
    <t xml:space="preserve"> 482.7亿</t>
  </si>
  <si>
    <t xml:space="preserve"> 1.031亿</t>
  </si>
  <si>
    <t xml:space="preserve"> 265.8亿</t>
  </si>
  <si>
    <t xml:space="preserve"> 中控技术</t>
  </si>
  <si>
    <t xml:space="preserve"> 4.52亿</t>
  </si>
  <si>
    <t xml:space="preserve"> 56.8亿</t>
  </si>
  <si>
    <t xml:space="preserve"> 6.31万</t>
  </si>
  <si>
    <t xml:space="preserve"> 4.36万</t>
  </si>
  <si>
    <t xml:space="preserve"> 7.859亿</t>
  </si>
  <si>
    <t xml:space="preserve"> 333.1亿</t>
  </si>
  <si>
    <t xml:space="preserve"> 7.739亿</t>
  </si>
  <si>
    <t xml:space="preserve"> 328.0亿</t>
  </si>
  <si>
    <t xml:space="preserve"> 中国铝业</t>
  </si>
  <si>
    <t xml:space="preserve"> 81.1万</t>
  </si>
  <si>
    <t xml:space="preserve"> 4.50亿</t>
  </si>
  <si>
    <t xml:space="preserve"> 1884亿</t>
  </si>
  <si>
    <t xml:space="preserve"> -3.08万</t>
  </si>
  <si>
    <t xml:space="preserve"> 959.3亿</t>
  </si>
  <si>
    <t xml:space="preserve"> 130.8亿</t>
  </si>
  <si>
    <t xml:space="preserve"> 731.1亿</t>
  </si>
  <si>
    <t xml:space="preserve"> 片仔癀</t>
  </si>
  <si>
    <t xml:space="preserve"> 76.0亿</t>
  </si>
  <si>
    <t xml:space="preserve"> 6.033亿</t>
  </si>
  <si>
    <t xml:space="preserve"> 1521亿</t>
  </si>
  <si>
    <t xml:space="preserve"> 盈方微</t>
  </si>
  <si>
    <t xml:space="preserve"> 62.3万</t>
  </si>
  <si>
    <t xml:space="preserve"> 23.6亿</t>
  </si>
  <si>
    <t xml:space="preserve"> 8.166亿</t>
  </si>
  <si>
    <t xml:space="preserve"> 59.53亿</t>
  </si>
  <si>
    <t xml:space="preserve"> 7.221亿</t>
  </si>
  <si>
    <t xml:space="preserve"> 52.64亿</t>
  </si>
  <si>
    <t xml:space="preserve"> 澜起科技</t>
  </si>
  <si>
    <t xml:space="preserve"> 7.62万</t>
  </si>
  <si>
    <t xml:space="preserve"> 4.49亿</t>
  </si>
  <si>
    <t xml:space="preserve"> 15.3亿</t>
  </si>
  <si>
    <t xml:space="preserve"> 4.54万</t>
  </si>
  <si>
    <t xml:space="preserve"> 683.8亿</t>
  </si>
  <si>
    <t xml:space="preserve"> 德方纳米</t>
  </si>
  <si>
    <t xml:space="preserve"> 7.13万</t>
  </si>
  <si>
    <t xml:space="preserve"> 4.48亿</t>
  </si>
  <si>
    <t xml:space="preserve"> 143亿</t>
  </si>
  <si>
    <t xml:space="preserve"> 3.75万</t>
  </si>
  <si>
    <t xml:space="preserve"> 3.38万</t>
  </si>
  <si>
    <t xml:space="preserve"> 2.792亿</t>
  </si>
  <si>
    <t xml:space="preserve"> 175.3亿</t>
  </si>
  <si>
    <t xml:space="preserve"> 2.485亿</t>
  </si>
  <si>
    <t xml:space="preserve"> 156.0亿</t>
  </si>
  <si>
    <t xml:space="preserve"> 亚世光电</t>
  </si>
  <si>
    <t xml:space="preserve"> 21.0万</t>
  </si>
  <si>
    <t xml:space="preserve"> 9.89万</t>
  </si>
  <si>
    <t xml:space="preserve"> 1.643亿</t>
  </si>
  <si>
    <t xml:space="preserve"> 34.28亿</t>
  </si>
  <si>
    <t xml:space="preserve"> 1.320亿</t>
  </si>
  <si>
    <t xml:space="preserve"> 27.54亿</t>
  </si>
  <si>
    <t xml:space="preserve"> 果麦文化</t>
  </si>
  <si>
    <t xml:space="preserve"> 7.20万</t>
  </si>
  <si>
    <t xml:space="preserve"> 4.44亿</t>
  </si>
  <si>
    <t xml:space="preserve"> 3.16万</t>
  </si>
  <si>
    <t xml:space="preserve"> 4.04万</t>
  </si>
  <si>
    <t xml:space="preserve"> 7276万</t>
  </si>
  <si>
    <t xml:space="preserve"> 48.43亿</t>
  </si>
  <si>
    <t xml:space="preserve"> 5513万</t>
  </si>
  <si>
    <t xml:space="preserve"> 36.70亿</t>
  </si>
  <si>
    <t xml:space="preserve"> 开普云</t>
  </si>
  <si>
    <t xml:space="preserve"> 7.82万</t>
  </si>
  <si>
    <t xml:space="preserve"> 1.65亿</t>
  </si>
  <si>
    <t xml:space="preserve"> 4.33万</t>
  </si>
  <si>
    <t xml:space="preserve"> 6752万</t>
  </si>
  <si>
    <t xml:space="preserve"> 40.45亿</t>
  </si>
  <si>
    <t xml:space="preserve"> 每日互动</t>
  </si>
  <si>
    <t xml:space="preserve"> 4.42亿</t>
  </si>
  <si>
    <t xml:space="preserve"> 3.10亿</t>
  </si>
  <si>
    <t xml:space="preserve"> 9.67万</t>
  </si>
  <si>
    <t xml:space="preserve"> 3.988亿</t>
  </si>
  <si>
    <t xml:space="preserve"> 68.39亿</t>
  </si>
  <si>
    <t xml:space="preserve"> 3.623亿</t>
  </si>
  <si>
    <t xml:space="preserve"> 62.13亿</t>
  </si>
  <si>
    <t xml:space="preserve"> 索菱股份</t>
  </si>
  <si>
    <t xml:space="preserve"> 71.1万</t>
  </si>
  <si>
    <t xml:space="preserve"> 7.30亿</t>
  </si>
  <si>
    <t xml:space="preserve"> 8.493亿</t>
  </si>
  <si>
    <t xml:space="preserve"> 52.91亿</t>
  </si>
  <si>
    <t xml:space="preserve"> 8.438亿</t>
  </si>
  <si>
    <t xml:space="preserve"> 52.57亿</t>
  </si>
  <si>
    <t xml:space="preserve"> 永兴材料</t>
  </si>
  <si>
    <t xml:space="preserve"> 9.96万</t>
  </si>
  <si>
    <t xml:space="preserve"> 4.98万</t>
  </si>
  <si>
    <t xml:space="preserve"> 5.391亿</t>
  </si>
  <si>
    <t xml:space="preserve"> 3.864亿</t>
  </si>
  <si>
    <t xml:space="preserve"> 170.0亿</t>
  </si>
  <si>
    <t xml:space="preserve"> 凯莱英</t>
  </si>
  <si>
    <t xml:space="preserve"> 3.12万</t>
  </si>
  <si>
    <t xml:space="preserve"> 63.8亿</t>
  </si>
  <si>
    <t xml:space="preserve"> 3.697亿</t>
  </si>
  <si>
    <t xml:space="preserve"> 521.2亿</t>
  </si>
  <si>
    <t xml:space="preserve"> 462.7亿</t>
  </si>
  <si>
    <t xml:space="preserve"> 如意集团</t>
  </si>
  <si>
    <t xml:space="preserve"> 3.09亿</t>
  </si>
  <si>
    <t xml:space="preserve"> 29.5万</t>
  </si>
  <si>
    <t xml:space="preserve"> 2.617亿</t>
  </si>
  <si>
    <t xml:space="preserve"> 2.607亿</t>
  </si>
  <si>
    <t xml:space="preserve"> 19.26亿</t>
  </si>
  <si>
    <t xml:space="preserve"> 壹网壹创</t>
  </si>
  <si>
    <t xml:space="preserve"> 4.40亿</t>
  </si>
  <si>
    <t xml:space="preserve"> 8.94亿</t>
  </si>
  <si>
    <t xml:space="preserve"> 7.86万</t>
  </si>
  <si>
    <t xml:space="preserve"> 9.02万</t>
  </si>
  <si>
    <t xml:space="preserve"> 2.385亿</t>
  </si>
  <si>
    <t xml:space="preserve"> 62.03亿</t>
  </si>
  <si>
    <t xml:space="preserve"> 2.087亿</t>
  </si>
  <si>
    <t xml:space="preserve"> 54.29亿</t>
  </si>
  <si>
    <t xml:space="preserve"> 京沪高铁</t>
  </si>
  <si>
    <t xml:space="preserve"> 86.0万</t>
  </si>
  <si>
    <t xml:space="preserve"> 4.38亿</t>
  </si>
  <si>
    <t xml:space="preserve"> 309亿</t>
  </si>
  <si>
    <t xml:space="preserve"> 1.37万</t>
  </si>
  <si>
    <t xml:space="preserve"> 48.4万</t>
  </si>
  <si>
    <t xml:space="preserve"> 491.1亿</t>
  </si>
  <si>
    <t xml:space="preserve"> 2490亿</t>
  </si>
  <si>
    <t xml:space="preserve"> 至正股份</t>
  </si>
  <si>
    <t xml:space="preserve"> 1.53亿</t>
  </si>
  <si>
    <t xml:space="preserve"> 4.45万</t>
  </si>
  <si>
    <t xml:space="preserve"> 3.88万</t>
  </si>
  <si>
    <t xml:space="preserve"> 7453万</t>
  </si>
  <si>
    <t xml:space="preserve"> 38.33亿</t>
  </si>
  <si>
    <t xml:space="preserve"> 普利制药</t>
  </si>
  <si>
    <t xml:space="preserve"> 9.22万</t>
  </si>
  <si>
    <t xml:space="preserve"> 8.48万</t>
  </si>
  <si>
    <t xml:space="preserve"> 4.518亿</t>
  </si>
  <si>
    <t xml:space="preserve"> 111.0亿</t>
  </si>
  <si>
    <t xml:space="preserve"> 3.382亿</t>
  </si>
  <si>
    <t xml:space="preserve"> 83.12亿</t>
  </si>
  <si>
    <t xml:space="preserve"> 鼎通科技</t>
  </si>
  <si>
    <t xml:space="preserve"> 7.51万</t>
  </si>
  <si>
    <t xml:space="preserve"> 4.37亿</t>
  </si>
  <si>
    <t xml:space="preserve"> 4.55万</t>
  </si>
  <si>
    <t xml:space="preserve"> 9884万</t>
  </si>
  <si>
    <t xml:space="preserve"> 56.99亿</t>
  </si>
  <si>
    <t xml:space="preserve"> 4656万</t>
  </si>
  <si>
    <t xml:space="preserve"> 26.85亿</t>
  </si>
  <si>
    <t xml:space="preserve"> 首创证券</t>
  </si>
  <si>
    <t xml:space="preserve"> 4.36亿</t>
  </si>
  <si>
    <t xml:space="preserve"> 8.60万</t>
  </si>
  <si>
    <t xml:space="preserve"> 27.33亿</t>
  </si>
  <si>
    <t xml:space="preserve"> 584.9亿</t>
  </si>
  <si>
    <t xml:space="preserve"> 2.733亿</t>
  </si>
  <si>
    <t xml:space="preserve"> 58.49亿</t>
  </si>
  <si>
    <t xml:space="preserve"> 华润三九</t>
  </si>
  <si>
    <t xml:space="preserve"> 186亿</t>
  </si>
  <si>
    <t xml:space="preserve"> 3.96万</t>
  </si>
  <si>
    <t xml:space="preserve"> 4.95万</t>
  </si>
  <si>
    <t xml:space="preserve"> 9.882亿</t>
  </si>
  <si>
    <t xml:space="preserve"> 484.9亿</t>
  </si>
  <si>
    <t xml:space="preserve"> 9.784亿</t>
  </si>
  <si>
    <t xml:space="preserve"> 480.1亿</t>
  </si>
  <si>
    <t xml:space="preserve"> 华大智造</t>
  </si>
  <si>
    <t xml:space="preserve"> 4.35亿</t>
  </si>
  <si>
    <t xml:space="preserve"> 22.0亿</t>
  </si>
  <si>
    <t xml:space="preserve"> 2.26万</t>
  </si>
  <si>
    <t xml:space="preserve"> 2.38万</t>
  </si>
  <si>
    <t xml:space="preserve"> 4.156亿</t>
  </si>
  <si>
    <t xml:space="preserve"> 390.7亿</t>
  </si>
  <si>
    <t xml:space="preserve"> 2.118亿</t>
  </si>
  <si>
    <t xml:space="preserve"> 199.1亿</t>
  </si>
  <si>
    <t xml:space="preserve"> 国联证券</t>
  </si>
  <si>
    <t xml:space="preserve"> 25.1亿</t>
  </si>
  <si>
    <t xml:space="preserve"> 28.32亿</t>
  </si>
  <si>
    <t xml:space="preserve"> 23.89亿</t>
  </si>
  <si>
    <t xml:space="preserve"> 279.3亿</t>
  </si>
  <si>
    <t xml:space="preserve"> 招商蛇口</t>
  </si>
  <si>
    <t xml:space="preserve"> 42.4万</t>
  </si>
  <si>
    <t xml:space="preserve"> 4.34亿</t>
  </si>
  <si>
    <t xml:space="preserve"> 758亿</t>
  </si>
  <si>
    <t xml:space="preserve"> 90.61亿</t>
  </si>
  <si>
    <t xml:space="preserve"> 929.6亿</t>
  </si>
  <si>
    <t xml:space="preserve"> 77.38亿</t>
  </si>
  <si>
    <t xml:space="preserve"> 793.9亿</t>
  </si>
  <si>
    <t xml:space="preserve"> 华兰生物</t>
  </si>
  <si>
    <t xml:space="preserve"> 17.8万</t>
  </si>
  <si>
    <t xml:space="preserve"> 4.33亿</t>
  </si>
  <si>
    <t xml:space="preserve"> 39.1亿</t>
  </si>
  <si>
    <t xml:space="preserve"> 7.45万</t>
  </si>
  <si>
    <t xml:space="preserve"> 18.29亿</t>
  </si>
  <si>
    <t xml:space="preserve"> 447.0亿</t>
  </si>
  <si>
    <t xml:space="preserve"> 384.6亿</t>
  </si>
  <si>
    <t xml:space="preserve"> 学大教育</t>
  </si>
  <si>
    <t xml:space="preserve"> 17.9亿</t>
  </si>
  <si>
    <t xml:space="preserve"> 4.97万</t>
  </si>
  <si>
    <t xml:space="preserve"> 4.85万</t>
  </si>
  <si>
    <t xml:space="preserve"> 1.221亿</t>
  </si>
  <si>
    <t xml:space="preserve"> 55.32亿</t>
  </si>
  <si>
    <t xml:space="preserve"> 1.178亿</t>
  </si>
  <si>
    <t xml:space="preserve"> 53.35亿</t>
  </si>
  <si>
    <t xml:space="preserve"> 三花智控</t>
  </si>
  <si>
    <t xml:space="preserve"> 4.27亿</t>
  </si>
  <si>
    <t xml:space="preserve"> 190亿</t>
  </si>
  <si>
    <t xml:space="preserve"> 6.23万</t>
  </si>
  <si>
    <t xml:space="preserve"> 37.33亿</t>
  </si>
  <si>
    <t xml:space="preserve"> 1063亿</t>
  </si>
  <si>
    <t xml:space="preserve"> 36.90亿</t>
  </si>
  <si>
    <t xml:space="preserve"> 1051亿</t>
  </si>
  <si>
    <t xml:space="preserve"> 因赛集团</t>
  </si>
  <si>
    <t xml:space="preserve"> 3.87亿</t>
  </si>
  <si>
    <t xml:space="preserve"> 2.05万</t>
  </si>
  <si>
    <t xml:space="preserve"> 4.05万</t>
  </si>
  <si>
    <t xml:space="preserve"> 1.100亿</t>
  </si>
  <si>
    <t xml:space="preserve"> 33.25亿</t>
  </si>
  <si>
    <t xml:space="preserve"> 8110万</t>
  </si>
  <si>
    <t xml:space="preserve"> 24.53亿</t>
  </si>
  <si>
    <t xml:space="preserve"> 中国核电</t>
  </si>
  <si>
    <t xml:space="preserve"> -1.30万</t>
  </si>
  <si>
    <t xml:space="preserve"> 188.8亿</t>
  </si>
  <si>
    <t xml:space="preserve"> 1341亿</t>
  </si>
  <si>
    <t xml:space="preserve"> 世嘉科技</t>
  </si>
  <si>
    <t xml:space="preserve"> 4.24亿</t>
  </si>
  <si>
    <t xml:space="preserve"> 7.59亿</t>
  </si>
  <si>
    <t xml:space="preserve"> 14.2万</t>
  </si>
  <si>
    <t xml:space="preserve"> 2.524亿</t>
  </si>
  <si>
    <t xml:space="preserve"> 35.31亿</t>
  </si>
  <si>
    <t xml:space="preserve"> 2.318亿</t>
  </si>
  <si>
    <t xml:space="preserve"> 拓斯达</t>
  </si>
  <si>
    <t xml:space="preserve"> 32.4亿</t>
  </si>
  <si>
    <t xml:space="preserve"> 4.248亿</t>
  </si>
  <si>
    <t xml:space="preserve"> 71.07亿</t>
  </si>
  <si>
    <t xml:space="preserve"> 2.852亿</t>
  </si>
  <si>
    <t xml:space="preserve"> 47.72亿</t>
  </si>
  <si>
    <t xml:space="preserve"> 通达动力</t>
  </si>
  <si>
    <t xml:space="preserve"> 4.22亿</t>
  </si>
  <si>
    <t xml:space="preserve"> 1.651亿</t>
  </si>
  <si>
    <t xml:space="preserve"> 31.75亿</t>
  </si>
  <si>
    <t xml:space="preserve"> 1.619亿</t>
  </si>
  <si>
    <t xml:space="preserve"> 31.13亿</t>
  </si>
  <si>
    <t xml:space="preserve"> 先锋电子</t>
  </si>
  <si>
    <t xml:space="preserve"> 10.3万</t>
  </si>
  <si>
    <t xml:space="preserve"> 1.500亿</t>
  </si>
  <si>
    <t xml:space="preserve"> 28.41亿</t>
  </si>
  <si>
    <t xml:space="preserve"> 1.302亿</t>
  </si>
  <si>
    <t xml:space="preserve"> 24.65亿</t>
  </si>
  <si>
    <t xml:space="preserve"> 银江技术</t>
  </si>
  <si>
    <t xml:space="preserve"> 46.2万</t>
  </si>
  <si>
    <t xml:space="preserve"> 15.4亿</t>
  </si>
  <si>
    <t xml:space="preserve"> 25.7万</t>
  </si>
  <si>
    <t xml:space="preserve"> 73.19亿</t>
  </si>
  <si>
    <t xml:space="preserve"> 7.666亿</t>
  </si>
  <si>
    <t xml:space="preserve"> 70.61亿</t>
  </si>
  <si>
    <t xml:space="preserve"> 三安光电</t>
  </si>
  <si>
    <t xml:space="preserve"> 30.5万</t>
  </si>
  <si>
    <t xml:space="preserve"> 4.20亿</t>
  </si>
  <si>
    <t xml:space="preserve"> 49.89亿</t>
  </si>
  <si>
    <t xml:space="preserve"> 690.5亿</t>
  </si>
  <si>
    <t xml:space="preserve"> 潞安环能</t>
  </si>
  <si>
    <t xml:space="preserve"> 4.19亿</t>
  </si>
  <si>
    <t xml:space="preserve"> 330亿</t>
  </si>
  <si>
    <t xml:space="preserve"> 29.91亿</t>
  </si>
  <si>
    <t xml:space="preserve"> 659.9亿</t>
  </si>
  <si>
    <t xml:space="preserve"> 瀛通通讯</t>
  </si>
  <si>
    <t xml:space="preserve"> 1.556亿</t>
  </si>
  <si>
    <t xml:space="preserve"> 21.79亿</t>
  </si>
  <si>
    <t xml:space="preserve"> 1.194亿</t>
  </si>
  <si>
    <t xml:space="preserve"> 16.73亿</t>
  </si>
  <si>
    <t xml:space="preserve"> 龙头股份</t>
  </si>
  <si>
    <t xml:space="preserve"> 51.3万</t>
  </si>
  <si>
    <t xml:space="preserve"> 4.17亿</t>
  </si>
  <si>
    <t xml:space="preserve"> 34.58亿</t>
  </si>
  <si>
    <t xml:space="preserve"> 彩讯股份</t>
  </si>
  <si>
    <t xml:space="preserve"> 18.9万</t>
  </si>
  <si>
    <t xml:space="preserve"> 4.16亿</t>
  </si>
  <si>
    <t xml:space="preserve"> 10.9亿</t>
  </si>
  <si>
    <t xml:space="preserve"> 8.30万</t>
  </si>
  <si>
    <t xml:space="preserve"> 4.477亿</t>
  </si>
  <si>
    <t xml:space="preserve"> 100.7亿</t>
  </si>
  <si>
    <t xml:space="preserve"> 4.313亿</t>
  </si>
  <si>
    <t xml:space="preserve"> 97.04亿</t>
  </si>
  <si>
    <t xml:space="preserve"> 天源迪科</t>
  </si>
  <si>
    <t xml:space="preserve"> 6.377亿</t>
  </si>
  <si>
    <t xml:space="preserve"> 63.33亿</t>
  </si>
  <si>
    <t xml:space="preserve"> 5.389亿</t>
  </si>
  <si>
    <t xml:space="preserve"> 53.51亿</t>
  </si>
  <si>
    <t xml:space="preserve"> 弘业期货</t>
  </si>
  <si>
    <t xml:space="preserve"> 32.4万</t>
  </si>
  <si>
    <t xml:space="preserve"> 10.08亿</t>
  </si>
  <si>
    <t xml:space="preserve"> 3.264亿</t>
  </si>
  <si>
    <t xml:space="preserve"> 41.95亿</t>
  </si>
  <si>
    <t xml:space="preserve"> 三人行</t>
  </si>
  <si>
    <t xml:space="preserve"> 6.03万</t>
  </si>
  <si>
    <t xml:space="preserve"> 4.15亿</t>
  </si>
  <si>
    <t xml:space="preserve"> 38.9亿</t>
  </si>
  <si>
    <t xml:space="preserve"> 2.70万</t>
  </si>
  <si>
    <t xml:space="preserve"> 3.33万</t>
  </si>
  <si>
    <t xml:space="preserve"> 1.478亿</t>
  </si>
  <si>
    <t xml:space="preserve"> 102.8亿</t>
  </si>
  <si>
    <t xml:space="preserve"> 1.462亿</t>
  </si>
  <si>
    <t xml:space="preserve"> 铭普光磁</t>
  </si>
  <si>
    <t xml:space="preserve"> 6.99万</t>
  </si>
  <si>
    <t xml:space="preserve"> 9.52万</t>
  </si>
  <si>
    <t xml:space="preserve"> 2.115亿</t>
  </si>
  <si>
    <t xml:space="preserve"> 53.70亿</t>
  </si>
  <si>
    <t xml:space="preserve"> 1.495亿</t>
  </si>
  <si>
    <t xml:space="preserve"> 37.96亿</t>
  </si>
  <si>
    <t xml:space="preserve"> 洛阳钼业</t>
  </si>
  <si>
    <t xml:space="preserve"> 79.0万</t>
  </si>
  <si>
    <t xml:space="preserve"> 1317亿</t>
  </si>
  <si>
    <t xml:space="preserve"> -3.38万</t>
  </si>
  <si>
    <t xml:space="preserve"> 216.0亿</t>
  </si>
  <si>
    <t xml:space="preserve"> 1140亿</t>
  </si>
  <si>
    <t xml:space="preserve"> 175.7亿</t>
  </si>
  <si>
    <t xml:space="preserve"> 927.5亿</t>
  </si>
  <si>
    <t xml:space="preserve"> 兴森科技</t>
  </si>
  <si>
    <t xml:space="preserve"> 4.13亿</t>
  </si>
  <si>
    <t xml:space="preserve"> 39.9亿</t>
  </si>
  <si>
    <t xml:space="preserve"> 16.90亿</t>
  </si>
  <si>
    <t xml:space="preserve"> 262.6亿</t>
  </si>
  <si>
    <t xml:space="preserve"> 15.00亿</t>
  </si>
  <si>
    <t xml:space="preserve"> 233.2亿</t>
  </si>
  <si>
    <t xml:space="preserve"> 航宇微</t>
  </si>
  <si>
    <t xml:space="preserve"> 4.12亿</t>
  </si>
  <si>
    <t xml:space="preserve"> 3.07亿</t>
  </si>
  <si>
    <t xml:space="preserve"> 6.969亿</t>
  </si>
  <si>
    <t xml:space="preserve"> 102.2亿</t>
  </si>
  <si>
    <t xml:space="preserve"> 6.435亿</t>
  </si>
  <si>
    <t xml:space="preserve"> 94.34亿</t>
  </si>
  <si>
    <t xml:space="preserve"> 实益达</t>
  </si>
  <si>
    <t xml:space="preserve"> 5.775亿</t>
  </si>
  <si>
    <t xml:space="preserve"> 42.33亿</t>
  </si>
  <si>
    <t xml:space="preserve"> 3.964亿</t>
  </si>
  <si>
    <t xml:space="preserve"> 29.06亿</t>
  </si>
  <si>
    <t xml:space="preserve"> 德生科技</t>
  </si>
  <si>
    <t xml:space="preserve"> 4.314亿</t>
  </si>
  <si>
    <t xml:space="preserve"> 57.29亿</t>
  </si>
  <si>
    <t xml:space="preserve"> 3.091亿</t>
  </si>
  <si>
    <t xml:space="preserve"> 41.05亿</t>
  </si>
  <si>
    <t xml:space="preserve"> 理工能科</t>
  </si>
  <si>
    <t xml:space="preserve"> 4.11亿</t>
  </si>
  <si>
    <t xml:space="preserve"> 6.12亿</t>
  </si>
  <si>
    <t xml:space="preserve"> 3.791亿</t>
  </si>
  <si>
    <t xml:space="preserve"> 50.39亿</t>
  </si>
  <si>
    <t xml:space="preserve"> 3.597亿</t>
  </si>
  <si>
    <t xml:space="preserve"> 47.81亿</t>
  </si>
  <si>
    <t xml:space="preserve"> 泉阳泉</t>
  </si>
  <si>
    <t xml:space="preserve"> 9.46亿</t>
  </si>
  <si>
    <t xml:space="preserve"> 7.152亿</t>
  </si>
  <si>
    <t xml:space="preserve"> 86.25亿</t>
  </si>
  <si>
    <t xml:space="preserve"> 美芝股份</t>
  </si>
  <si>
    <t xml:space="preserve"> 28.1万</t>
  </si>
  <si>
    <t xml:space="preserve"> 6.35亿</t>
  </si>
  <si>
    <t xml:space="preserve"> 1.353亿</t>
  </si>
  <si>
    <t xml:space="preserve"> 19.96亿</t>
  </si>
  <si>
    <t xml:space="preserve"> 华鲁恒升</t>
  </si>
  <si>
    <t xml:space="preserve"> 4.10亿</t>
  </si>
  <si>
    <t xml:space="preserve"> 193亿</t>
  </si>
  <si>
    <t xml:space="preserve"> 8.20万</t>
  </si>
  <si>
    <t xml:space="preserve"> 5.94万</t>
  </si>
  <si>
    <t xml:space="preserve"> 21.23亿</t>
  </si>
  <si>
    <t xml:space="preserve"> 609.4亿</t>
  </si>
  <si>
    <t xml:space="preserve"> 606.1亿</t>
  </si>
  <si>
    <t xml:space="preserve"> 群兴玩具</t>
  </si>
  <si>
    <t xml:space="preserve"> 62.2万</t>
  </si>
  <si>
    <t xml:space="preserve"> 3386万</t>
  </si>
  <si>
    <t xml:space="preserve"> 24.7万</t>
  </si>
  <si>
    <t xml:space="preserve"> 6.427亿</t>
  </si>
  <si>
    <t xml:space="preserve"> 43.51亿</t>
  </si>
  <si>
    <t xml:space="preserve"> 5.759亿</t>
  </si>
  <si>
    <t xml:space="preserve"> 38.99亿</t>
  </si>
  <si>
    <t xml:space="preserve"> 天通股份</t>
  </si>
  <si>
    <t xml:space="preserve"> 45.1万</t>
  </si>
  <si>
    <t xml:space="preserve"> 4.07亿</t>
  </si>
  <si>
    <t xml:space="preserve"> 12.33亿</t>
  </si>
  <si>
    <t xml:space="preserve"> 113.0亿</t>
  </si>
  <si>
    <t xml:space="preserve"> 天地在线</t>
  </si>
  <si>
    <t xml:space="preserve"> 13.2亿</t>
  </si>
  <si>
    <t xml:space="preserve"> 7.50万</t>
  </si>
  <si>
    <t xml:space="preserve"> 9.26万</t>
  </si>
  <si>
    <t xml:space="preserve"> 1.775亿</t>
  </si>
  <si>
    <t xml:space="preserve"> 43.69亿</t>
  </si>
  <si>
    <t xml:space="preserve"> 1.124亿</t>
  </si>
  <si>
    <t xml:space="preserve"> 27.68亿</t>
  </si>
  <si>
    <t xml:space="preserve"> 科瑞技术</t>
  </si>
  <si>
    <t xml:space="preserve"> 4.06亿</t>
  </si>
  <si>
    <t xml:space="preserve"> 19.8亿</t>
  </si>
  <si>
    <t xml:space="preserve"> 4.117亿</t>
  </si>
  <si>
    <t xml:space="preserve"> 75.05亿</t>
  </si>
  <si>
    <t xml:space="preserve"> 4.100亿</t>
  </si>
  <si>
    <t xml:space="preserve"> 74.75亿</t>
  </si>
  <si>
    <t xml:space="preserve"> 新媒股份</t>
  </si>
  <si>
    <t xml:space="preserve"> 11.1亿</t>
  </si>
  <si>
    <t xml:space="preserve"> 93.56亿</t>
  </si>
  <si>
    <t xml:space="preserve"> 今世缘</t>
  </si>
  <si>
    <t xml:space="preserve"> 4.05亿</t>
  </si>
  <si>
    <t xml:space="preserve"> 83.7亿</t>
  </si>
  <si>
    <t xml:space="preserve"> 3.17万</t>
  </si>
  <si>
    <t xml:space="preserve"> 661.2亿</t>
  </si>
  <si>
    <t xml:space="preserve"> 东风汽车</t>
  </si>
  <si>
    <t xml:space="preserve"> 4.04亿</t>
  </si>
  <si>
    <t xml:space="preserve"> 91.7亿</t>
  </si>
  <si>
    <t xml:space="preserve"> 20.00亿</t>
  </si>
  <si>
    <t xml:space="preserve"> 133.0亿</t>
  </si>
  <si>
    <t xml:space="preserve"> 天舟文化</t>
  </si>
  <si>
    <t xml:space="preserve"> 92.3万</t>
  </si>
  <si>
    <t xml:space="preserve"> 2.43亿</t>
  </si>
  <si>
    <t xml:space="preserve"> -1.51万</t>
  </si>
  <si>
    <t xml:space="preserve"> 59.9万</t>
  </si>
  <si>
    <t xml:space="preserve"> 8.353亿</t>
  </si>
  <si>
    <t xml:space="preserve"> 37.51亿</t>
  </si>
  <si>
    <t xml:space="preserve"> 35.49亿</t>
  </si>
  <si>
    <t xml:space="preserve"> 宁波韵升</t>
  </si>
  <si>
    <t xml:space="preserve"> 52.3万</t>
  </si>
  <si>
    <t xml:space="preserve"> 4.03亿</t>
  </si>
  <si>
    <t xml:space="preserve"> 31.0万</t>
  </si>
  <si>
    <t xml:space="preserve"> 11.12亿</t>
  </si>
  <si>
    <t xml:space="preserve"> 85.10亿</t>
  </si>
  <si>
    <t xml:space="preserve"> 10.64亿</t>
  </si>
  <si>
    <t xml:space="preserve"> 81.39亿</t>
  </si>
  <si>
    <t xml:space="preserve"> 恒信东方</t>
  </si>
  <si>
    <t xml:space="preserve"> 41.6万</t>
  </si>
  <si>
    <t xml:space="preserve"> 3.11亿</t>
  </si>
  <si>
    <t xml:space="preserve"> 15.9万</t>
  </si>
  <si>
    <t xml:space="preserve"> 6.048亿</t>
  </si>
  <si>
    <t xml:space="preserve"> 59.63亿</t>
  </si>
  <si>
    <t xml:space="preserve"> 5.068亿</t>
  </si>
  <si>
    <t xml:space="preserve"> 49.97亿</t>
  </si>
  <si>
    <t xml:space="preserve"> 泉峰汽车</t>
  </si>
  <si>
    <t xml:space="preserve"> 15.1亿</t>
  </si>
  <si>
    <t xml:space="preserve"> 2.614亿</t>
  </si>
  <si>
    <t xml:space="preserve"> 44.12亿</t>
  </si>
  <si>
    <t xml:space="preserve"> 2.433亿</t>
  </si>
  <si>
    <t xml:space="preserve"> 41.06亿</t>
  </si>
  <si>
    <t xml:space="preserve"> 山西焦煤</t>
  </si>
  <si>
    <t xml:space="preserve"> 407亿</t>
  </si>
  <si>
    <t xml:space="preserve"> -2.26万</t>
  </si>
  <si>
    <t xml:space="preserve"> 23.8万</t>
  </si>
  <si>
    <t xml:space="preserve"> 56.77亿</t>
  </si>
  <si>
    <t xml:space="preserve"> 560.9亿</t>
  </si>
  <si>
    <t xml:space="preserve"> 45.71亿</t>
  </si>
  <si>
    <t xml:space="preserve"> 451.6亿</t>
  </si>
  <si>
    <t xml:space="preserve"> 两面针</t>
  </si>
  <si>
    <t xml:space="preserve"> 64.8万</t>
  </si>
  <si>
    <t xml:space="preserve"> 4.00亿</t>
  </si>
  <si>
    <t xml:space="preserve"> 6.75亿</t>
  </si>
  <si>
    <t xml:space="preserve"> 5.500亿</t>
  </si>
  <si>
    <t xml:space="preserve"> 33.28亿</t>
  </si>
  <si>
    <t xml:space="preserve"> 恒帅股份</t>
  </si>
  <si>
    <t xml:space="preserve"> 6.62亿</t>
  </si>
  <si>
    <t xml:space="preserve"> 2.28万</t>
  </si>
  <si>
    <t xml:space="preserve"> 8000万</t>
  </si>
  <si>
    <t xml:space="preserve"> 78.00亿</t>
  </si>
  <si>
    <t xml:space="preserve"> 2000万</t>
  </si>
  <si>
    <t xml:space="preserve"> 19.50亿</t>
  </si>
  <si>
    <t xml:space="preserve"> 科大国创</t>
  </si>
  <si>
    <t xml:space="preserve"> 3.99亿</t>
  </si>
  <si>
    <t xml:space="preserve"> 7.33万</t>
  </si>
  <si>
    <t xml:space="preserve"> 2.474亿</t>
  </si>
  <si>
    <t xml:space="preserve"> 57.64亿</t>
  </si>
  <si>
    <t xml:space="preserve"> 2.328亿</t>
  </si>
  <si>
    <t xml:space="preserve"> 54.24亿</t>
  </si>
  <si>
    <t xml:space="preserve"> 平煤股份</t>
  </si>
  <si>
    <t xml:space="preserve"> 3.98亿</t>
  </si>
  <si>
    <t xml:space="preserve"> 231亿</t>
  </si>
  <si>
    <t xml:space="preserve"> 23.14亿</t>
  </si>
  <si>
    <t xml:space="preserve"> 270.3亿</t>
  </si>
  <si>
    <t xml:space="preserve"> 23.02亿</t>
  </si>
  <si>
    <t xml:space="preserve"> 268.8亿</t>
  </si>
  <si>
    <t xml:space="preserve"> 邮储银行</t>
  </si>
  <si>
    <t xml:space="preserve"> 3.97亿</t>
  </si>
  <si>
    <t xml:space="preserve"> 2601亿</t>
  </si>
  <si>
    <t xml:space="preserve"> -6.99万</t>
  </si>
  <si>
    <t xml:space="preserve"> 49.3万</t>
  </si>
  <si>
    <t xml:space="preserve"> 991.6亿</t>
  </si>
  <si>
    <t xml:space="preserve"> 4383亿</t>
  </si>
  <si>
    <t xml:space="preserve"> 671.2亿</t>
  </si>
  <si>
    <t xml:space="preserve"> 2967亿</t>
  </si>
  <si>
    <t xml:space="preserve"> 汇纳科技</t>
  </si>
  <si>
    <t xml:space="preserve"> 1.92亿</t>
  </si>
  <si>
    <t xml:space="preserve"> 6.18万</t>
  </si>
  <si>
    <t xml:space="preserve"> 6.34万</t>
  </si>
  <si>
    <t xml:space="preserve"> 1.219亿</t>
  </si>
  <si>
    <t xml:space="preserve"> 39.18亿</t>
  </si>
  <si>
    <t xml:space="preserve"> 9503万</t>
  </si>
  <si>
    <t xml:space="preserve"> 30.55亿</t>
  </si>
  <si>
    <t xml:space="preserve"> 美邦服饰</t>
  </si>
  <si>
    <t xml:space="preserve"> 205万</t>
  </si>
  <si>
    <t xml:space="preserve"> 3.96亿</t>
  </si>
  <si>
    <t xml:space="preserve"> 8.37亿</t>
  </si>
  <si>
    <t xml:space="preserve"> 119万</t>
  </si>
  <si>
    <t xml:space="preserve"> 25.13亿</t>
  </si>
  <si>
    <t xml:space="preserve"> 50.00亿</t>
  </si>
  <si>
    <t xml:space="preserve"> 上汽集团</t>
  </si>
  <si>
    <t xml:space="preserve"> 5233亿</t>
  </si>
  <si>
    <t xml:space="preserve"> 116.8亿</t>
  </si>
  <si>
    <t xml:space="preserve"> 1736亿</t>
  </si>
  <si>
    <t xml:space="preserve"> 赛腾股份</t>
  </si>
  <si>
    <t xml:space="preserve"> 5.17万</t>
  </si>
  <si>
    <t xml:space="preserve"> 3.95亿</t>
  </si>
  <si>
    <t xml:space="preserve"> 26.2亿</t>
  </si>
  <si>
    <t xml:space="preserve"> 2.46万</t>
  </si>
  <si>
    <t xml:space="preserve"> 2.003亿</t>
  </si>
  <si>
    <t xml:space="preserve"> 1.860亿</t>
  </si>
  <si>
    <t xml:space="preserve"> 142.9亿</t>
  </si>
  <si>
    <t xml:space="preserve"> 东箭科技</t>
  </si>
  <si>
    <t xml:space="preserve"> 4.227亿</t>
  </si>
  <si>
    <t xml:space="preserve"> 66.07亿</t>
  </si>
  <si>
    <t xml:space="preserve"> 1.319亿</t>
  </si>
  <si>
    <t xml:space="preserve"> 20.61亿</t>
  </si>
  <si>
    <t xml:space="preserve"> 莲花健康</t>
  </si>
  <si>
    <t xml:space="preserve"> 66.3万</t>
  </si>
  <si>
    <t xml:space="preserve"> 16.1亿</t>
  </si>
  <si>
    <t xml:space="preserve"> 36.3万</t>
  </si>
  <si>
    <t xml:space="preserve"> 17.94亿</t>
  </si>
  <si>
    <t xml:space="preserve"> 106.7亿</t>
  </si>
  <si>
    <t xml:space="preserve"> 17.86亿</t>
  </si>
  <si>
    <t xml:space="preserve"> 106.3亿</t>
  </si>
  <si>
    <t xml:space="preserve"> 富临精工</t>
  </si>
  <si>
    <t xml:space="preserve"> 3.93亿</t>
  </si>
  <si>
    <t xml:space="preserve"> 41.8亿</t>
  </si>
  <si>
    <t xml:space="preserve"> 12.23亿</t>
  </si>
  <si>
    <t xml:space="preserve"> 148.9亿</t>
  </si>
  <si>
    <t xml:space="preserve"> 12.03亿</t>
  </si>
  <si>
    <t xml:space="preserve"> 146.4亿</t>
  </si>
  <si>
    <t xml:space="preserve"> 凯华材料</t>
  </si>
  <si>
    <t xml:space="preserve"> 15.7万</t>
  </si>
  <si>
    <t xml:space="preserve"> 3.92亿</t>
  </si>
  <si>
    <t xml:space="preserve"> 7824万</t>
  </si>
  <si>
    <t xml:space="preserve"> 8.04万</t>
  </si>
  <si>
    <t xml:space="preserve"> 7.61万</t>
  </si>
  <si>
    <t xml:space="preserve"> 8270万</t>
  </si>
  <si>
    <t xml:space="preserve"> 2468万</t>
  </si>
  <si>
    <t xml:space="preserve"> 5.990亿</t>
  </si>
  <si>
    <t xml:space="preserve"> 中国交建</t>
  </si>
  <si>
    <t xml:space="preserve"> 5477亿</t>
  </si>
  <si>
    <t xml:space="preserve"> 162.6亿</t>
  </si>
  <si>
    <t xml:space="preserve"> 1283亿</t>
  </si>
  <si>
    <t xml:space="preserve"> 117.5亿</t>
  </si>
  <si>
    <t xml:space="preserve"> 926.9亿</t>
  </si>
  <si>
    <t xml:space="preserve"> 浩物股份</t>
  </si>
  <si>
    <t xml:space="preserve"> 72.2万</t>
  </si>
  <si>
    <t xml:space="preserve"> 27.2亿</t>
  </si>
  <si>
    <t xml:space="preserve"> 33.0万</t>
  </si>
  <si>
    <t xml:space="preserve"> 5.327亿</t>
  </si>
  <si>
    <t xml:space="preserve"> 29.14亿</t>
  </si>
  <si>
    <t xml:space="preserve"> 兖矿能源</t>
  </si>
  <si>
    <t xml:space="preserve"> 3.91亿</t>
  </si>
  <si>
    <t xml:space="preserve"> 1350亿</t>
  </si>
  <si>
    <t xml:space="preserve"> 8.47万</t>
  </si>
  <si>
    <t xml:space="preserve"> 74.39亿</t>
  </si>
  <si>
    <t xml:space="preserve"> 1538亿</t>
  </si>
  <si>
    <t xml:space="preserve"> 44.99亿</t>
  </si>
  <si>
    <t xml:space="preserve"> 930.0亿</t>
  </si>
  <si>
    <t xml:space="preserve"> 安图生物</t>
  </si>
  <si>
    <t xml:space="preserve"> 3.86万</t>
  </si>
  <si>
    <t xml:space="preserve"> 5.863亿</t>
  </si>
  <si>
    <t xml:space="preserve"> 313.5亿</t>
  </si>
  <si>
    <t xml:space="preserve"> 南兴股份</t>
  </si>
  <si>
    <t xml:space="preserve"> 3.90亿</t>
  </si>
  <si>
    <t xml:space="preserve"> 26.8亿</t>
  </si>
  <si>
    <t xml:space="preserve"> 5.05万</t>
  </si>
  <si>
    <t xml:space="preserve"> 2.955亿</t>
  </si>
  <si>
    <t xml:space="preserve"> 51.38亿</t>
  </si>
  <si>
    <t xml:space="preserve"> 2.821亿</t>
  </si>
  <si>
    <t xml:space="preserve"> 49.05亿</t>
  </si>
  <si>
    <t xml:space="preserve"> 水晶光电</t>
  </si>
  <si>
    <t xml:space="preserve"> 3.89亿</t>
  </si>
  <si>
    <t xml:space="preserve"> 35.5亿</t>
  </si>
  <si>
    <t xml:space="preserve"> 13.91亿</t>
  </si>
  <si>
    <t xml:space="preserve"> 179.8亿</t>
  </si>
  <si>
    <t xml:space="preserve"> 175.2亿</t>
  </si>
  <si>
    <t xml:space="preserve"> 朗科科技</t>
  </si>
  <si>
    <t xml:space="preserve"> 9.91万</t>
  </si>
  <si>
    <t xml:space="preserve"> 3.88亿</t>
  </si>
  <si>
    <t xml:space="preserve"> 5.03万</t>
  </si>
  <si>
    <t xml:space="preserve"> 4.88万</t>
  </si>
  <si>
    <t xml:space="preserve"> 2.004亿</t>
  </si>
  <si>
    <t xml:space="preserve"> 80.84亿</t>
  </si>
  <si>
    <t xml:space="preserve"> 1.816亿</t>
  </si>
  <si>
    <t xml:space="preserve"> 博创科技</t>
  </si>
  <si>
    <t xml:space="preserve"> 8.14亿</t>
  </si>
  <si>
    <t xml:space="preserve"> 8.37万</t>
  </si>
  <si>
    <t xml:space="preserve"> 2.860亿</t>
  </si>
  <si>
    <t xml:space="preserve"> 79.23亿</t>
  </si>
  <si>
    <t xml:space="preserve"> 2.289亿</t>
  </si>
  <si>
    <t xml:space="preserve"> 63.40亿</t>
  </si>
  <si>
    <t xml:space="preserve"> 长城汽车</t>
  </si>
  <si>
    <t xml:space="preserve"> 1195亿</t>
  </si>
  <si>
    <t xml:space="preserve"> 7.60万</t>
  </si>
  <si>
    <t xml:space="preserve"> 84.96亿</t>
  </si>
  <si>
    <t xml:space="preserve"> 2252亿</t>
  </si>
  <si>
    <t xml:space="preserve"> 61.66亿</t>
  </si>
  <si>
    <t xml:space="preserve"> 1635亿</t>
  </si>
  <si>
    <t xml:space="preserve"> 创业黑马</t>
  </si>
  <si>
    <t xml:space="preserve"> 3.86亿</t>
  </si>
  <si>
    <t xml:space="preserve"> 1.79亿</t>
  </si>
  <si>
    <t xml:space="preserve"> 4.32万</t>
  </si>
  <si>
    <t xml:space="preserve"> 7.95万</t>
  </si>
  <si>
    <t xml:space="preserve"> 1.674亿</t>
  </si>
  <si>
    <t xml:space="preserve"> 53.71亿</t>
  </si>
  <si>
    <t xml:space="preserve"> 1.419亿</t>
  </si>
  <si>
    <t xml:space="preserve"> 45.53亿</t>
  </si>
  <si>
    <t xml:space="preserve"> 人福医药</t>
  </si>
  <si>
    <t xml:space="preserve"> 7.94万</t>
  </si>
  <si>
    <t xml:space="preserve"> 16.32亿</t>
  </si>
  <si>
    <t xml:space="preserve"> 433.6亿</t>
  </si>
  <si>
    <t xml:space="preserve"> 15.36亿</t>
  </si>
  <si>
    <t xml:space="preserve"> 408.0亿</t>
  </si>
  <si>
    <t xml:space="preserve"> 渤海汽车</t>
  </si>
  <si>
    <t xml:space="preserve"> 83.6万</t>
  </si>
  <si>
    <t xml:space="preserve"> 35.1亿</t>
  </si>
  <si>
    <t xml:space="preserve"> 49.9万</t>
  </si>
  <si>
    <t xml:space="preserve"> 9.505亿</t>
  </si>
  <si>
    <t xml:space="preserve"> 43.82亿</t>
  </si>
  <si>
    <t xml:space="preserve"> 福瑞股份</t>
  </si>
  <si>
    <t xml:space="preserve"> 9.13万</t>
  </si>
  <si>
    <t xml:space="preserve"> 3.83亿</t>
  </si>
  <si>
    <t xml:space="preserve"> 4.49万</t>
  </si>
  <si>
    <t xml:space="preserve"> 2.631亿</t>
  </si>
  <si>
    <t xml:space="preserve"> 111.6亿</t>
  </si>
  <si>
    <t xml:space="preserve"> 2.305亿</t>
  </si>
  <si>
    <t xml:space="preserve"> 97.80亿</t>
  </si>
  <si>
    <t xml:space="preserve"> 多伦科技</t>
  </si>
  <si>
    <t xml:space="preserve"> 18.8万</t>
  </si>
  <si>
    <t xml:space="preserve"> 6.715亿</t>
  </si>
  <si>
    <t xml:space="preserve"> 70.37亿</t>
  </si>
  <si>
    <t xml:space="preserve"> 仁东控股</t>
  </si>
  <si>
    <t xml:space="preserve"> 3.82亿</t>
  </si>
  <si>
    <t xml:space="preserve"> 5.599亿</t>
  </si>
  <si>
    <t xml:space="preserve"> 37.74亿</t>
  </si>
  <si>
    <t xml:space="preserve"> 浙文互联</t>
  </si>
  <si>
    <t xml:space="preserve"> 1.50万</t>
  </si>
  <si>
    <t xml:space="preserve"> 82.4亿</t>
  </si>
  <si>
    <t xml:space="preserve"> -1.70万</t>
  </si>
  <si>
    <t xml:space="preserve"> 32.6万</t>
  </si>
  <si>
    <t xml:space="preserve"> 14.87亿</t>
  </si>
  <si>
    <t xml:space="preserve"> 102.3亿</t>
  </si>
  <si>
    <t xml:space="preserve"> 13.22亿</t>
  </si>
  <si>
    <t xml:space="preserve"> 90.98亿</t>
  </si>
  <si>
    <t xml:space="preserve"> 小商品城</t>
  </si>
  <si>
    <t xml:space="preserve"> 79.1亿</t>
  </si>
  <si>
    <t xml:space="preserve"> -1.64万</t>
  </si>
  <si>
    <t xml:space="preserve"> 54.84亿</t>
  </si>
  <si>
    <t xml:space="preserve"> 438.7亿</t>
  </si>
  <si>
    <t xml:space="preserve"> 54.57亿</t>
  </si>
  <si>
    <t xml:space="preserve"> 436.6亿</t>
  </si>
  <si>
    <t xml:space="preserve"> 惠威科技</t>
  </si>
  <si>
    <t xml:space="preserve"> 20.6万</t>
  </si>
  <si>
    <t xml:space="preserve"> 3.81亿</t>
  </si>
  <si>
    <t xml:space="preserve"> 1.59亿</t>
  </si>
  <si>
    <t xml:space="preserve"> 9.30万</t>
  </si>
  <si>
    <t xml:space="preserve"> 1.496亿</t>
  </si>
  <si>
    <t xml:space="preserve"> 28.22亿</t>
  </si>
  <si>
    <t xml:space="preserve"> 7560万</t>
  </si>
  <si>
    <t xml:space="preserve"> 14.26亿</t>
  </si>
  <si>
    <t xml:space="preserve"> 东方通</t>
  </si>
  <si>
    <t xml:space="preserve"> 2.75亿</t>
  </si>
  <si>
    <t xml:space="preserve"> 9.55万</t>
  </si>
  <si>
    <t xml:space="preserve"> 8.16万</t>
  </si>
  <si>
    <t xml:space="preserve"> 5.667亿</t>
  </si>
  <si>
    <t xml:space="preserve"> 121.7亿</t>
  </si>
  <si>
    <t xml:space="preserve"> 4.330亿</t>
  </si>
  <si>
    <t xml:space="preserve"> 92.96亿</t>
  </si>
  <si>
    <t xml:space="preserve"> 先导智能</t>
  </si>
  <si>
    <t xml:space="preserve"> 132亿</t>
  </si>
  <si>
    <t xml:space="preserve"> 8.07万</t>
  </si>
  <si>
    <t xml:space="preserve"> 6.61万</t>
  </si>
  <si>
    <t xml:space="preserve"> 15.66亿</t>
  </si>
  <si>
    <t xml:space="preserve"> 405.8亿</t>
  </si>
  <si>
    <t xml:space="preserve"> 14.52亿</t>
  </si>
  <si>
    <t xml:space="preserve"> 376.2亿</t>
  </si>
  <si>
    <t xml:space="preserve"> 浙文影业</t>
  </si>
  <si>
    <t xml:space="preserve"> 87.8万</t>
  </si>
  <si>
    <t xml:space="preserve"> 3.80亿</t>
  </si>
  <si>
    <t xml:space="preserve"> -1.29万</t>
  </si>
  <si>
    <t xml:space="preserve"> 37.0万</t>
  </si>
  <si>
    <t xml:space="preserve"> 11.61亿</t>
  </si>
  <si>
    <t xml:space="preserve"> 50.83亿</t>
  </si>
  <si>
    <t xml:space="preserve"> 8.927亿</t>
  </si>
  <si>
    <t xml:space="preserve"> 39.10亿</t>
  </si>
  <si>
    <t xml:space="preserve"> 国投电力</t>
  </si>
  <si>
    <t xml:space="preserve"> 425亿</t>
  </si>
  <si>
    <t xml:space="preserve"> 74.54亿</t>
  </si>
  <si>
    <t xml:space="preserve"> 936.2亿</t>
  </si>
  <si>
    <t xml:space="preserve"> 69.66亿</t>
  </si>
  <si>
    <t xml:space="preserve"> 874.9亿</t>
  </si>
  <si>
    <t xml:space="preserve"> 世纪天鸿</t>
  </si>
  <si>
    <t xml:space="preserve"> 32.1万</t>
  </si>
  <si>
    <t xml:space="preserve"> 3.69亿</t>
  </si>
  <si>
    <t xml:space="preserve"> 3.639亿</t>
  </si>
  <si>
    <t xml:space="preserve"> 44.03亿</t>
  </si>
  <si>
    <t xml:space="preserve"> 3.230亿</t>
  </si>
  <si>
    <t xml:space="preserve"> 39.09亿</t>
  </si>
  <si>
    <t xml:space="preserve"> 力源信息</t>
  </si>
  <si>
    <t xml:space="preserve"> 57.9万</t>
  </si>
  <si>
    <t xml:space="preserve"> 3.79亿</t>
  </si>
  <si>
    <t xml:space="preserve"> 11.54亿</t>
  </si>
  <si>
    <t xml:space="preserve"> 76.16亿</t>
  </si>
  <si>
    <t xml:space="preserve"> 10.48亿</t>
  </si>
  <si>
    <t xml:space="preserve"> 69.19亿</t>
  </si>
  <si>
    <t xml:space="preserve"> 宝钢股份</t>
  </si>
  <si>
    <t xml:space="preserve"> 2554亿</t>
  </si>
  <si>
    <t xml:space="preserve"> -4.29万</t>
  </si>
  <si>
    <t xml:space="preserve"> 221.2亿</t>
  </si>
  <si>
    <t xml:space="preserve"> 1382亿</t>
  </si>
  <si>
    <t xml:space="preserve"> 218.6亿</t>
  </si>
  <si>
    <t xml:space="preserve"> 1366亿</t>
  </si>
  <si>
    <t xml:space="preserve"> 华西股份</t>
  </si>
  <si>
    <t xml:space="preserve"> 8.860亿</t>
  </si>
  <si>
    <t xml:space="preserve"> 78.15亿</t>
  </si>
  <si>
    <t xml:space="preserve"> 8.858亿</t>
  </si>
  <si>
    <t xml:space="preserve"> 78.13亿</t>
  </si>
  <si>
    <t xml:space="preserve"> 苏常柴Ａ</t>
  </si>
  <si>
    <t xml:space="preserve"> 59.5万</t>
  </si>
  <si>
    <t xml:space="preserve"> 31.3万</t>
  </si>
  <si>
    <t xml:space="preserve"> 7.057亿</t>
  </si>
  <si>
    <t xml:space="preserve"> 4.989亿</t>
  </si>
  <si>
    <t xml:space="preserve"> 31.83亿</t>
  </si>
  <si>
    <t xml:space="preserve"> 金溢科技</t>
  </si>
  <si>
    <t xml:space="preserve"> 3.78亿</t>
  </si>
  <si>
    <t xml:space="preserve"> 3.50亿</t>
  </si>
  <si>
    <t xml:space="preserve"> 7.44万</t>
  </si>
  <si>
    <t xml:space="preserve"> 8.23万</t>
  </si>
  <si>
    <t xml:space="preserve"> 1.796亿</t>
  </si>
  <si>
    <t xml:space="preserve"> 43.31亿</t>
  </si>
  <si>
    <t xml:space="preserve"> 1.582亿</t>
  </si>
  <si>
    <t xml:space="preserve"> 38.15亿</t>
  </si>
  <si>
    <t xml:space="preserve"> 银泰黄金</t>
  </si>
  <si>
    <t xml:space="preserve"> 71.0亿</t>
  </si>
  <si>
    <t xml:space="preserve"> 27.77亿</t>
  </si>
  <si>
    <t xml:space="preserve"> 411.0亿</t>
  </si>
  <si>
    <t xml:space="preserve"> 24.87亿</t>
  </si>
  <si>
    <t xml:space="preserve"> 368.0亿</t>
  </si>
  <si>
    <t xml:space="preserve"> 双鹭药业</t>
  </si>
  <si>
    <t xml:space="preserve"> 32.9万</t>
  </si>
  <si>
    <t xml:space="preserve"> 117.9亿</t>
  </si>
  <si>
    <t xml:space="preserve"> 8.515亿</t>
  </si>
  <si>
    <t xml:space="preserve"> 97.75亿</t>
  </si>
  <si>
    <t xml:space="preserve"> 海螺水泥</t>
  </si>
  <si>
    <t xml:space="preserve"> 3.77亿</t>
  </si>
  <si>
    <t xml:space="preserve"> 990亿</t>
  </si>
  <si>
    <t xml:space="preserve"> 8.74万</t>
  </si>
  <si>
    <t xml:space="preserve"> 7.79万</t>
  </si>
  <si>
    <t xml:space="preserve"> 52.99亿</t>
  </si>
  <si>
    <t xml:space="preserve"> 1211亿</t>
  </si>
  <si>
    <t xml:space="preserve"> 40.00亿</t>
  </si>
  <si>
    <t xml:space="preserve"> 914.3亿</t>
  </si>
  <si>
    <t xml:space="preserve"> 深桑达Ａ</t>
  </si>
  <si>
    <t xml:space="preserve"> 3.76亿</t>
  </si>
  <si>
    <t xml:space="preserve"> 387亿</t>
  </si>
  <si>
    <t xml:space="preserve"> 6.448亿</t>
  </si>
  <si>
    <t xml:space="preserve"> 128.8亿</t>
  </si>
  <si>
    <t xml:space="preserve"> 中信出版</t>
  </si>
  <si>
    <t xml:space="preserve"> 5.21万</t>
  </si>
  <si>
    <t xml:space="preserve"> 1.902亿</t>
  </si>
  <si>
    <t xml:space="preserve"> 60.66亿</t>
  </si>
  <si>
    <t xml:space="preserve"> 金龙鱼</t>
  </si>
  <si>
    <t xml:space="preserve"> 1885亿</t>
  </si>
  <si>
    <t xml:space="preserve"> 54.22亿</t>
  </si>
  <si>
    <t xml:space="preserve"> 5.426亿</t>
  </si>
  <si>
    <t xml:space="preserve"> 183.2亿</t>
  </si>
  <si>
    <t xml:space="preserve"> 新洁能</t>
  </si>
  <si>
    <t xml:space="preserve"> 9.06万</t>
  </si>
  <si>
    <t xml:space="preserve"> 4.11万</t>
  </si>
  <si>
    <t xml:space="preserve"> 2.982亿</t>
  </si>
  <si>
    <t xml:space="preserve"> 123.7亿</t>
  </si>
  <si>
    <t xml:space="preserve"> 2.968亿</t>
  </si>
  <si>
    <t xml:space="preserve"> 123.2亿</t>
  </si>
  <si>
    <t xml:space="preserve"> 新华制药</t>
  </si>
  <si>
    <t xml:space="preserve"> 3.75亿</t>
  </si>
  <si>
    <t xml:space="preserve"> 65.0亿</t>
  </si>
  <si>
    <t xml:space="preserve"> 6.747亿</t>
  </si>
  <si>
    <t xml:space="preserve"> 146.1亿</t>
  </si>
  <si>
    <t xml:space="preserve"> 4.410亿</t>
  </si>
  <si>
    <t xml:space="preserve"> 95.52亿</t>
  </si>
  <si>
    <t xml:space="preserve"> 金信诺</t>
  </si>
  <si>
    <t xml:space="preserve"> 36.4万</t>
  </si>
  <si>
    <t xml:space="preserve"> 3.71亿</t>
  </si>
  <si>
    <t xml:space="preserve"> 6.622亿</t>
  </si>
  <si>
    <t xml:space="preserve"> 68.14亿</t>
  </si>
  <si>
    <t xml:space="preserve"> 5.332亿</t>
  </si>
  <si>
    <t xml:space="preserve"> 54.87亿</t>
  </si>
  <si>
    <t xml:space="preserve"> 精伦电子</t>
  </si>
  <si>
    <t xml:space="preserve"> 69.5万</t>
  </si>
  <si>
    <t xml:space="preserve"> 3.70亿</t>
  </si>
  <si>
    <t xml:space="preserve"> 1.03亿</t>
  </si>
  <si>
    <t xml:space="preserve"> 4.921亿</t>
  </si>
  <si>
    <t xml:space="preserve"> 26.23亿</t>
  </si>
  <si>
    <t xml:space="preserve"> 上海钢联</t>
  </si>
  <si>
    <t xml:space="preserve"> 665亿</t>
  </si>
  <si>
    <t xml:space="preserve"> 3.218亿</t>
  </si>
  <si>
    <t xml:space="preserve"> 87.21亿</t>
  </si>
  <si>
    <t xml:space="preserve"> 3.095亿</t>
  </si>
  <si>
    <t xml:space="preserve"> 83.88亿</t>
  </si>
  <si>
    <t xml:space="preserve"> 华阳集团</t>
  </si>
  <si>
    <t xml:space="preserve"> 48.0亿</t>
  </si>
  <si>
    <t xml:space="preserve"> 6.47万</t>
  </si>
  <si>
    <t xml:space="preserve"> 4.27万</t>
  </si>
  <si>
    <t xml:space="preserve"> 5.240亿</t>
  </si>
  <si>
    <t xml:space="preserve"> 180.8亿</t>
  </si>
  <si>
    <t xml:space="preserve"> 4.775亿</t>
  </si>
  <si>
    <t xml:space="preserve"> 164.7亿</t>
  </si>
  <si>
    <t xml:space="preserve"> 卧龙电驱</t>
  </si>
  <si>
    <t xml:space="preserve"> 124亿</t>
  </si>
  <si>
    <t xml:space="preserve"> 13.11亿</t>
  </si>
  <si>
    <t xml:space="preserve"> 158.7亿</t>
  </si>
  <si>
    <t xml:space="preserve"> 13.08亿</t>
  </si>
  <si>
    <t xml:space="preserve"> 158.3亿</t>
  </si>
  <si>
    <t xml:space="preserve"> 思特奇</t>
  </si>
  <si>
    <t xml:space="preserve"> 12.7万</t>
  </si>
  <si>
    <t xml:space="preserve"> 3.271亿</t>
  </si>
  <si>
    <t xml:space="preserve"> 49.14亿</t>
  </si>
  <si>
    <t xml:space="preserve"> 2.710亿</t>
  </si>
  <si>
    <t xml:space="preserve"> 40.71亿</t>
  </si>
  <si>
    <t xml:space="preserve"> 展鹏科技</t>
  </si>
  <si>
    <t xml:space="preserve"> 3.68亿</t>
  </si>
  <si>
    <t xml:space="preserve"> 2.920亿</t>
  </si>
  <si>
    <t xml:space="preserve"> 31.39亿</t>
  </si>
  <si>
    <t xml:space="preserve"> 中汽股份</t>
  </si>
  <si>
    <t xml:space="preserve"> 3.67亿</t>
  </si>
  <si>
    <t xml:space="preserve"> 2.62亿</t>
  </si>
  <si>
    <t xml:space="preserve"> 91.38亿</t>
  </si>
  <si>
    <t xml:space="preserve"> 7.674亿</t>
  </si>
  <si>
    <t xml:space="preserve"> 53.03亿</t>
  </si>
  <si>
    <t xml:space="preserve"> 联合光电</t>
  </si>
  <si>
    <t xml:space="preserve"> 3.65亿</t>
  </si>
  <si>
    <t xml:space="preserve"> 9.64万</t>
  </si>
  <si>
    <t xml:space="preserve"> 2.691亿</t>
  </si>
  <si>
    <t xml:space="preserve"> 55.71亿</t>
  </si>
  <si>
    <t xml:space="preserve"> 1.999亿</t>
  </si>
  <si>
    <t xml:space="preserve"> 41.37亿</t>
  </si>
  <si>
    <t xml:space="preserve"> 红日药业</t>
  </si>
  <si>
    <t xml:space="preserve"> 80.8万</t>
  </si>
  <si>
    <t xml:space="preserve"> 3.64亿</t>
  </si>
  <si>
    <t xml:space="preserve"> 49.2亿</t>
  </si>
  <si>
    <t xml:space="preserve"> -2.68万</t>
  </si>
  <si>
    <t xml:space="preserve"> 35.0万</t>
  </si>
  <si>
    <t xml:space="preserve"> 45.7万</t>
  </si>
  <si>
    <t xml:space="preserve"> 30.04亿</t>
  </si>
  <si>
    <t xml:space="preserve"> 27.52亿</t>
  </si>
  <si>
    <t xml:space="preserve"> 124.4亿</t>
  </si>
  <si>
    <t xml:space="preserve"> 摩恩电气</t>
  </si>
  <si>
    <t xml:space="preserve"> 49.7万</t>
  </si>
  <si>
    <t xml:space="preserve"> 4.392亿</t>
  </si>
  <si>
    <t xml:space="preserve"> 31.49亿</t>
  </si>
  <si>
    <t xml:space="preserve"> 4.391亿</t>
  </si>
  <si>
    <t xml:space="preserve"> 汇顶科技</t>
  </si>
  <si>
    <t xml:space="preserve"> 5.09万</t>
  </si>
  <si>
    <t xml:space="preserve"> 3.63亿</t>
  </si>
  <si>
    <t xml:space="preserve"> 32.0亿</t>
  </si>
  <si>
    <t xml:space="preserve"> 2.61万</t>
  </si>
  <si>
    <t xml:space="preserve"> 2.48万</t>
  </si>
  <si>
    <t xml:space="preserve"> 4.580亿</t>
  </si>
  <si>
    <t xml:space="preserve"> 326.5亿</t>
  </si>
  <si>
    <t xml:space="preserve"> 瑞丰光电</t>
  </si>
  <si>
    <t xml:space="preserve"> 2.39万</t>
  </si>
  <si>
    <t xml:space="preserve"> 6.851亿</t>
  </si>
  <si>
    <t xml:space="preserve"> 38.91亿</t>
  </si>
  <si>
    <t xml:space="preserve"> 5.719亿</t>
  </si>
  <si>
    <t xml:space="preserve"> 32.48亿</t>
  </si>
  <si>
    <t xml:space="preserve"> 盛弘股份</t>
  </si>
  <si>
    <t xml:space="preserve"> 3.62亿</t>
  </si>
  <si>
    <t xml:space="preserve"> 17.3亿</t>
  </si>
  <si>
    <t xml:space="preserve"> 3.093亿</t>
  </si>
  <si>
    <t xml:space="preserve"> 2.475亿</t>
  </si>
  <si>
    <t xml:space="preserve"> 68.74亿</t>
  </si>
  <si>
    <t xml:space="preserve"> 荣盛石化</t>
  </si>
  <si>
    <t xml:space="preserve"> 2390亿</t>
  </si>
  <si>
    <t xml:space="preserve"> 101.3亿</t>
  </si>
  <si>
    <t xml:space="preserve"> 1064亿</t>
  </si>
  <si>
    <t xml:space="preserve"> 94.98亿</t>
  </si>
  <si>
    <t xml:space="preserve"> 998.3亿</t>
  </si>
  <si>
    <t xml:space="preserve"> 拓普集团</t>
  </si>
  <si>
    <t xml:space="preserve"> 5.01万</t>
  </si>
  <si>
    <t xml:space="preserve"> 2.59万</t>
  </si>
  <si>
    <t xml:space="preserve"> 2.42万</t>
  </si>
  <si>
    <t xml:space="preserve"> 11.02亿</t>
  </si>
  <si>
    <t xml:space="preserve"> 798.4亿</t>
  </si>
  <si>
    <t xml:space="preserve"> 锦鸡股份</t>
  </si>
  <si>
    <t xml:space="preserve"> 7.10亿</t>
  </si>
  <si>
    <t xml:space="preserve"> 4.648亿</t>
  </si>
  <si>
    <t xml:space="preserve"> 56.98亿</t>
  </si>
  <si>
    <t xml:space="preserve"> 3.650亿</t>
  </si>
  <si>
    <t xml:space="preserve"> 44.75亿</t>
  </si>
  <si>
    <t xml:space="preserve"> 长电科技</t>
  </si>
  <si>
    <t xml:space="preserve"> 204亿</t>
  </si>
  <si>
    <t xml:space="preserve"> 6.07万</t>
  </si>
  <si>
    <t xml:space="preserve"> 5.74万</t>
  </si>
  <si>
    <t xml:space="preserve"> 17.89亿</t>
  </si>
  <si>
    <t xml:space="preserve"> 546.2亿</t>
  </si>
  <si>
    <t xml:space="preserve"> 罗博特科</t>
  </si>
  <si>
    <t xml:space="preserve"> 4.78万</t>
  </si>
  <si>
    <t xml:space="preserve"> 1.104亿</t>
  </si>
  <si>
    <t xml:space="preserve"> 83.82亿</t>
  </si>
  <si>
    <t xml:space="preserve"> 1.040亿</t>
  </si>
  <si>
    <t xml:space="preserve"> 78.97亿</t>
  </si>
  <si>
    <t xml:space="preserve"> 广汇能源</t>
  </si>
  <si>
    <t xml:space="preserve"> 496亿</t>
  </si>
  <si>
    <t xml:space="preserve"> 65.66亿</t>
  </si>
  <si>
    <t xml:space="preserve"> 483.2亿</t>
  </si>
  <si>
    <t xml:space="preserve"> 上海物贸</t>
  </si>
  <si>
    <t xml:space="preserve"> 57.7亿</t>
  </si>
  <si>
    <t xml:space="preserve"> 4.960亿</t>
  </si>
  <si>
    <t xml:space="preserve"> 60.56亿</t>
  </si>
  <si>
    <t xml:space="preserve"> 3.961亿</t>
  </si>
  <si>
    <t xml:space="preserve"> 48.37亿</t>
  </si>
  <si>
    <t xml:space="preserve"> 西藏珠峰</t>
  </si>
  <si>
    <t xml:space="preserve"> 13.1亿</t>
  </si>
  <si>
    <t xml:space="preserve"> 中光学</t>
  </si>
  <si>
    <t xml:space="preserve"> 16.6亿</t>
  </si>
  <si>
    <t xml:space="preserve"> 7.55万</t>
  </si>
  <si>
    <t xml:space="preserve"> 52.87亿</t>
  </si>
  <si>
    <t xml:space="preserve"> 2.612亿</t>
  </si>
  <si>
    <t xml:space="preserve"> 52.76亿</t>
  </si>
  <si>
    <t xml:space="preserve"> 智云股份</t>
  </si>
  <si>
    <t xml:space="preserve"> 29.4万</t>
  </si>
  <si>
    <t xml:space="preserve"> 3.57亿</t>
  </si>
  <si>
    <t xml:space="preserve"> 2.885亿</t>
  </si>
  <si>
    <t xml:space="preserve"> 34.97亿</t>
  </si>
  <si>
    <t xml:space="preserve"> 2.700亿</t>
  </si>
  <si>
    <t xml:space="preserve"> 32.73亿</t>
  </si>
  <si>
    <t xml:space="preserve"> 赛轮轮胎</t>
  </si>
  <si>
    <t xml:space="preserve"> 31.20亿</t>
  </si>
  <si>
    <t xml:space="preserve"> 333.8亿</t>
  </si>
  <si>
    <t xml:space="preserve"> 钧达股份</t>
  </si>
  <si>
    <t xml:space="preserve"> 4.23万</t>
  </si>
  <si>
    <t xml:space="preserve"> 144亿</t>
  </si>
  <si>
    <t xml:space="preserve"> 2.274亿</t>
  </si>
  <si>
    <t xml:space="preserve"> 193.8亿</t>
  </si>
  <si>
    <t xml:space="preserve"> 1.947亿</t>
  </si>
  <si>
    <t xml:space="preserve"> 166.0亿</t>
  </si>
  <si>
    <t xml:space="preserve"> 直真科技</t>
  </si>
  <si>
    <t xml:space="preserve"> 3.56亿</t>
  </si>
  <si>
    <t xml:space="preserve"> 1.98亿</t>
  </si>
  <si>
    <t xml:space="preserve"> 4.99万</t>
  </si>
  <si>
    <t xml:space="preserve"> 34.89亿</t>
  </si>
  <si>
    <t xml:space="preserve"> 1.028亿</t>
  </si>
  <si>
    <t xml:space="preserve"> 34.50亿</t>
  </si>
  <si>
    <t xml:space="preserve"> 国电电力</t>
  </si>
  <si>
    <t xml:space="preserve"> 89.3万</t>
  </si>
  <si>
    <t xml:space="preserve"> 3.55亿</t>
  </si>
  <si>
    <t xml:space="preserve"> 1377亿</t>
  </si>
  <si>
    <t xml:space="preserve"> -16.2万</t>
  </si>
  <si>
    <t xml:space="preserve"> 1.42万</t>
  </si>
  <si>
    <t xml:space="preserve"> 178.4亿</t>
  </si>
  <si>
    <t xml:space="preserve"> 709.9亿</t>
  </si>
  <si>
    <t xml:space="preserve"> 江苏舜天</t>
  </si>
  <si>
    <t xml:space="preserve"> 50.9万</t>
  </si>
  <si>
    <t xml:space="preserve"> 3.54亿</t>
  </si>
  <si>
    <t xml:space="preserve"> 25.8亿</t>
  </si>
  <si>
    <t xml:space="preserve"> 4.388亿</t>
  </si>
  <si>
    <t xml:space="preserve"> 29.71亿</t>
  </si>
  <si>
    <t xml:space="preserve"> 29.57亿</t>
  </si>
  <si>
    <t xml:space="preserve"> 宣亚国际</t>
  </si>
  <si>
    <t xml:space="preserve"> 6.54亿</t>
  </si>
  <si>
    <t xml:space="preserve"> 7.89万</t>
  </si>
  <si>
    <t xml:space="preserve"> 1.590亿</t>
  </si>
  <si>
    <t xml:space="preserve"> 33.24亿</t>
  </si>
  <si>
    <t xml:space="preserve"> 中远海特</t>
  </si>
  <si>
    <t xml:space="preserve"> 65.4万</t>
  </si>
  <si>
    <t xml:space="preserve"> 3.53亿</t>
  </si>
  <si>
    <t xml:space="preserve"> 89.1亿</t>
  </si>
  <si>
    <t xml:space="preserve"> 21.47亿</t>
  </si>
  <si>
    <t xml:space="preserve"> 115.5亿</t>
  </si>
  <si>
    <t xml:space="preserve"> 老板电器</t>
  </si>
  <si>
    <t xml:space="preserve"> 79.3亿</t>
  </si>
  <si>
    <t xml:space="preserve"> 9.84万</t>
  </si>
  <si>
    <t xml:space="preserve"> 9.490亿</t>
  </si>
  <si>
    <t xml:space="preserve"> 215.6亿</t>
  </si>
  <si>
    <t xml:space="preserve"> 9.370亿</t>
  </si>
  <si>
    <t xml:space="preserve"> 212.9亿</t>
  </si>
  <si>
    <t xml:space="preserve"> 雅克科技</t>
  </si>
  <si>
    <t xml:space="preserve"> 3.52亿</t>
  </si>
  <si>
    <t xml:space="preserve"> 35.4亿</t>
  </si>
  <si>
    <t xml:space="preserve"> 4.759亿</t>
  </si>
  <si>
    <t xml:space="preserve"> 289.5亿</t>
  </si>
  <si>
    <t xml:space="preserve"> 3.185亿</t>
  </si>
  <si>
    <t xml:space="preserve"> 华贸物流</t>
  </si>
  <si>
    <t xml:space="preserve"> 104亿</t>
  </si>
  <si>
    <t xml:space="preserve"> 13.19亿</t>
  </si>
  <si>
    <t xml:space="preserve"> 107.5亿</t>
  </si>
  <si>
    <t xml:space="preserve"> 葵花药业</t>
  </si>
  <si>
    <t xml:space="preserve"> 42.4亿</t>
  </si>
  <si>
    <t xml:space="preserve"> 5.56万</t>
  </si>
  <si>
    <t xml:space="preserve"> 5.840亿</t>
  </si>
  <si>
    <t xml:space="preserve"> 华海诚科</t>
  </si>
  <si>
    <t xml:space="preserve"> 3.57万</t>
  </si>
  <si>
    <t xml:space="preserve"> 3.49亿</t>
  </si>
  <si>
    <t xml:space="preserve"> 2.04亿</t>
  </si>
  <si>
    <t xml:space="preserve"> 8070万</t>
  </si>
  <si>
    <t xml:space="preserve"> 80.37亿</t>
  </si>
  <si>
    <t xml:space="preserve"> 1784万</t>
  </si>
  <si>
    <t xml:space="preserve"> 17.76亿</t>
  </si>
  <si>
    <t xml:space="preserve"> 云煤能源</t>
  </si>
  <si>
    <t xml:space="preserve"> 55.0亿</t>
  </si>
  <si>
    <t xml:space="preserve"> 9.899亿</t>
  </si>
  <si>
    <t xml:space="preserve"> 52.56亿</t>
  </si>
  <si>
    <t xml:space="preserve"> 晶科能源</t>
  </si>
  <si>
    <t xml:space="preserve"> 851亿</t>
  </si>
  <si>
    <t xml:space="preserve"> 18.6万</t>
  </si>
  <si>
    <t xml:space="preserve"> 100.0亿</t>
  </si>
  <si>
    <t xml:space="preserve"> 888.0亿</t>
  </si>
  <si>
    <t xml:space="preserve"> 30.81亿</t>
  </si>
  <si>
    <t xml:space="preserve"> 273.6亿</t>
  </si>
  <si>
    <t xml:space="preserve"> 太极股份</t>
  </si>
  <si>
    <t xml:space="preserve"> 52.2亿</t>
  </si>
  <si>
    <t xml:space="preserve"> 4.66万</t>
  </si>
  <si>
    <t xml:space="preserve"> 7.03万</t>
  </si>
  <si>
    <t xml:space="preserve"> 189.3亿</t>
  </si>
  <si>
    <t xml:space="preserve"> 6.199亿</t>
  </si>
  <si>
    <t xml:space="preserve"> 188.3亿</t>
  </si>
  <si>
    <t xml:space="preserve"> 金力永磁</t>
  </si>
  <si>
    <t xml:space="preserve"> 50.5亿</t>
  </si>
  <si>
    <t xml:space="preserve"> 7.87万</t>
  </si>
  <si>
    <t xml:space="preserve"> 13.43亿</t>
  </si>
  <si>
    <t xml:space="preserve"> 258.8亿</t>
  </si>
  <si>
    <t xml:space="preserve"> 11.31亿</t>
  </si>
  <si>
    <t xml:space="preserve"> 218.1亿</t>
  </si>
  <si>
    <t xml:space="preserve"> 久远银海</t>
  </si>
  <si>
    <t xml:space="preserve"> 3.47亿</t>
  </si>
  <si>
    <t xml:space="preserve"> 8.03亿</t>
  </si>
  <si>
    <t xml:space="preserve"> 7.66万</t>
  </si>
  <si>
    <t xml:space="preserve"> 4.082亿</t>
  </si>
  <si>
    <t xml:space="preserve"> 110.2亿</t>
  </si>
  <si>
    <t xml:space="preserve"> 3.994亿</t>
  </si>
  <si>
    <t xml:space="preserve"> 107.8亿</t>
  </si>
  <si>
    <t xml:space="preserve"> 华能水电</t>
  </si>
  <si>
    <t xml:space="preserve"> -1.03万</t>
  </si>
  <si>
    <t xml:space="preserve"> 180.0亿</t>
  </si>
  <si>
    <t xml:space="preserve"> 1505亿</t>
  </si>
  <si>
    <t xml:space="preserve"> 丽人丽妆</t>
  </si>
  <si>
    <t xml:space="preserve"> 19.3亿</t>
  </si>
  <si>
    <t xml:space="preserve"> 14.5万</t>
  </si>
  <si>
    <t xml:space="preserve"> 4.005亿</t>
  </si>
  <si>
    <t xml:space="preserve"> 46.85亿</t>
  </si>
  <si>
    <t xml:space="preserve"> 舒泰神</t>
  </si>
  <si>
    <t xml:space="preserve"> 2.74亿</t>
  </si>
  <si>
    <t xml:space="preserve"> 4.778亿</t>
  </si>
  <si>
    <t xml:space="preserve"> 55.99亿</t>
  </si>
  <si>
    <t xml:space="preserve"> 4.720亿</t>
  </si>
  <si>
    <t xml:space="preserve"> 胜通能源</t>
  </si>
  <si>
    <t xml:space="preserve"> 33.60亿</t>
  </si>
  <si>
    <t xml:space="preserve"> 4200万</t>
  </si>
  <si>
    <t xml:space="preserve"> 8.400亿</t>
  </si>
  <si>
    <t xml:space="preserve"> 云铝股份</t>
  </si>
  <si>
    <t xml:space="preserve"> 3.45亿</t>
  </si>
  <si>
    <t xml:space="preserve"> 298亿</t>
  </si>
  <si>
    <t xml:space="preserve"> 34.68亿</t>
  </si>
  <si>
    <t xml:space="preserve"> 442.9亿</t>
  </si>
  <si>
    <t xml:space="preserve"> 江波龙</t>
  </si>
  <si>
    <t xml:space="preserve"> 65.8亿</t>
  </si>
  <si>
    <t xml:space="preserve"> 4.129亿</t>
  </si>
  <si>
    <t xml:space="preserve"> 397.1亿</t>
  </si>
  <si>
    <t xml:space="preserve"> 1.129亿</t>
  </si>
  <si>
    <t xml:space="preserve"> 柏楚电子</t>
  </si>
  <si>
    <t xml:space="preserve"> 1.463亿</t>
  </si>
  <si>
    <t xml:space="preserve"> 336.6亿</t>
  </si>
  <si>
    <t xml:space="preserve"> 中青宝</t>
  </si>
  <si>
    <t xml:space="preserve"> 3.44亿</t>
  </si>
  <si>
    <t xml:space="preserve"> 7.48万</t>
  </si>
  <si>
    <t xml:space="preserve"> 2.619亿</t>
  </si>
  <si>
    <t xml:space="preserve"> 49.88亿</t>
  </si>
  <si>
    <t xml:space="preserve"> 49.76亿</t>
  </si>
  <si>
    <t xml:space="preserve"> 通宇通讯</t>
  </si>
  <si>
    <t xml:space="preserve"> 3.43亿</t>
  </si>
  <si>
    <t xml:space="preserve"> 8.58亿</t>
  </si>
  <si>
    <t xml:space="preserve"> 7.05万</t>
  </si>
  <si>
    <t xml:space="preserve"> 4.021亿</t>
  </si>
  <si>
    <t xml:space="preserve"> 72.41亿</t>
  </si>
  <si>
    <t xml:space="preserve"> 2.399亿</t>
  </si>
  <si>
    <t xml:space="preserve"> 43.21亿</t>
  </si>
  <si>
    <t xml:space="preserve"> 昆船智能</t>
  </si>
  <si>
    <t xml:space="preserve"> 3.42亿</t>
  </si>
  <si>
    <t xml:space="preserve"> 7.78万</t>
  </si>
  <si>
    <t xml:space="preserve"> 7.19万</t>
  </si>
  <si>
    <t xml:space="preserve"> 2.400亿</t>
  </si>
  <si>
    <t xml:space="preserve"> 55.44亿</t>
  </si>
  <si>
    <t xml:space="preserve"> 8724万</t>
  </si>
  <si>
    <t xml:space="preserve"> 20.15亿</t>
  </si>
  <si>
    <t xml:space="preserve"> 北方稀土</t>
  </si>
  <si>
    <t xml:space="preserve"> 249亿</t>
  </si>
  <si>
    <t xml:space="preserve"> 8.00万</t>
  </si>
  <si>
    <t xml:space="preserve"> 36.15亿</t>
  </si>
  <si>
    <t xml:space="preserve"> 718.7亿</t>
  </si>
  <si>
    <t xml:space="preserve"> 深城交</t>
  </si>
  <si>
    <t xml:space="preserve"> 13.5万</t>
  </si>
  <si>
    <t xml:space="preserve"> 3.40亿</t>
  </si>
  <si>
    <t xml:space="preserve"> 6.94万</t>
  </si>
  <si>
    <t xml:space="preserve"> 6.54万</t>
  </si>
  <si>
    <t xml:space="preserve"> 3.120亿</t>
  </si>
  <si>
    <t xml:space="preserve"> 79.06亿</t>
  </si>
  <si>
    <t xml:space="preserve"> 1.482亿</t>
  </si>
  <si>
    <t xml:space="preserve"> 37.55亿</t>
  </si>
  <si>
    <t xml:space="preserve"> 锦浪科技</t>
  </si>
  <si>
    <t xml:space="preserve"> 46.4亿</t>
  </si>
  <si>
    <t xml:space="preserve"> 2.55万</t>
  </si>
  <si>
    <t xml:space="preserve"> 4.008亿</t>
  </si>
  <si>
    <t xml:space="preserve"> 262.0亿</t>
  </si>
  <si>
    <t xml:space="preserve"> 3.214亿</t>
  </si>
  <si>
    <t xml:space="preserve"> 210.1亿</t>
  </si>
  <si>
    <t xml:space="preserve"> 九典制药</t>
  </si>
  <si>
    <t xml:space="preserve"> 18.9亿</t>
  </si>
  <si>
    <t xml:space="preserve"> 4.94万</t>
  </si>
  <si>
    <t xml:space="preserve"> 3.451亿</t>
  </si>
  <si>
    <t xml:space="preserve"> 2.150亿</t>
  </si>
  <si>
    <t xml:space="preserve"> 71.96亿</t>
  </si>
  <si>
    <t xml:space="preserve"> 荣盛发展</t>
  </si>
  <si>
    <t xml:space="preserve"> 2.43万</t>
  </si>
  <si>
    <t xml:space="preserve"> 3.39亿</t>
  </si>
  <si>
    <t xml:space="preserve"> -3.22万</t>
  </si>
  <si>
    <t xml:space="preserve"> 43.48亿</t>
  </si>
  <si>
    <t xml:space="preserve"> 83.92亿</t>
  </si>
  <si>
    <t xml:space="preserve"> 39.00亿</t>
  </si>
  <si>
    <t xml:space="preserve"> 75.28亿</t>
  </si>
  <si>
    <t xml:space="preserve"> 华海清科</t>
  </si>
  <si>
    <t xml:space="preserve"> 3.37亿</t>
  </si>
  <si>
    <t xml:space="preserve"> 18.4亿</t>
  </si>
  <si>
    <t xml:space="preserve"> 1.589亿</t>
  </si>
  <si>
    <t xml:space="preserve"> 352.3亿</t>
  </si>
  <si>
    <t xml:space="preserve"> 1.139亿</t>
  </si>
  <si>
    <t xml:space="preserve"> 252.3亿</t>
  </si>
  <si>
    <t xml:space="preserve"> 中金黄金</t>
  </si>
  <si>
    <t xml:space="preserve"> 3.36亿</t>
  </si>
  <si>
    <t xml:space="preserve"> 456亿</t>
  </si>
  <si>
    <t xml:space="preserve"> 48.47亿</t>
  </si>
  <si>
    <t xml:space="preserve"> 518.2亿</t>
  </si>
  <si>
    <t xml:space="preserve"> 春风动力</t>
  </si>
  <si>
    <t xml:space="preserve"> 3.34亿</t>
  </si>
  <si>
    <t xml:space="preserve"> 93.9亿</t>
  </si>
  <si>
    <t xml:space="preserve"> 1.505亿</t>
  </si>
  <si>
    <t xml:space="preserve"> 137.0亿</t>
  </si>
  <si>
    <t xml:space="preserve"> 温氏股份</t>
  </si>
  <si>
    <t xml:space="preserve"> 647亿</t>
  </si>
  <si>
    <t xml:space="preserve"> 8.88万</t>
  </si>
  <si>
    <t xml:space="preserve"> 66.46亿</t>
  </si>
  <si>
    <t xml:space="preserve"> 1271亿</t>
  </si>
  <si>
    <t xml:space="preserve"> 54.36亿</t>
  </si>
  <si>
    <t xml:space="preserve"> 1039亿</t>
  </si>
  <si>
    <t xml:space="preserve"> 淮北矿业</t>
  </si>
  <si>
    <t xml:space="preserve"> 20.7万</t>
  </si>
  <si>
    <t xml:space="preserve"> 557亿</t>
  </si>
  <si>
    <t xml:space="preserve"> 9.42万</t>
  </si>
  <si>
    <t xml:space="preserve"> 24.81亿</t>
  </si>
  <si>
    <t xml:space="preserve"> 401.2亿</t>
  </si>
  <si>
    <t xml:space="preserve"> 中持股份</t>
  </si>
  <si>
    <t xml:space="preserve"> 3.33亿</t>
  </si>
  <si>
    <t xml:space="preserve"> 2.553亿</t>
  </si>
  <si>
    <t xml:space="preserve"> 27.11亿</t>
  </si>
  <si>
    <t xml:space="preserve"> 2.023亿</t>
  </si>
  <si>
    <t xml:space="preserve"> 21.48亿</t>
  </si>
  <si>
    <t xml:space="preserve"> 朝阳科技</t>
  </si>
  <si>
    <t xml:space="preserve"> 3.32亿</t>
  </si>
  <si>
    <t xml:space="preserve"> 5.28万</t>
  </si>
  <si>
    <t xml:space="preserve"> 9600万</t>
  </si>
  <si>
    <t xml:space="preserve"> 33.22亿</t>
  </si>
  <si>
    <t xml:space="preserve"> 8475万</t>
  </si>
  <si>
    <t xml:space="preserve"> 29.32亿</t>
  </si>
  <si>
    <t xml:space="preserve"> 山东黄金</t>
  </si>
  <si>
    <t xml:space="preserve"> 7.32万</t>
  </si>
  <si>
    <t xml:space="preserve"> 44.73亿</t>
  </si>
  <si>
    <t xml:space="preserve"> 1036亿</t>
  </si>
  <si>
    <t xml:space="preserve"> 837.1亿</t>
  </si>
  <si>
    <t xml:space="preserve"> 东方国信</t>
  </si>
  <si>
    <t xml:space="preserve"> 3.31亿</t>
  </si>
  <si>
    <t xml:space="preserve"> 14.5亿</t>
  </si>
  <si>
    <t xml:space="preserve"> 120.2亿</t>
  </si>
  <si>
    <t xml:space="preserve"> 9.194亿</t>
  </si>
  <si>
    <t xml:space="preserve"> 95.89亿</t>
  </si>
  <si>
    <t xml:space="preserve"> 神火股份</t>
  </si>
  <si>
    <t xml:space="preserve"> 22.51亿</t>
  </si>
  <si>
    <t xml:space="preserve"> 349.8亿</t>
  </si>
  <si>
    <t xml:space="preserve"> 22.38亿</t>
  </si>
  <si>
    <t xml:space="preserve"> 347.8亿</t>
  </si>
  <si>
    <t xml:space="preserve"> 合兴股份</t>
  </si>
  <si>
    <t xml:space="preserve"> 11.6亿</t>
  </si>
  <si>
    <t xml:space="preserve"> 78.64亿</t>
  </si>
  <si>
    <t xml:space="preserve"> 5127万</t>
  </si>
  <si>
    <t xml:space="preserve"> 蓝科高新</t>
  </si>
  <si>
    <t xml:space="preserve"> 42.9万</t>
  </si>
  <si>
    <t xml:space="preserve"> 8.17亿</t>
  </si>
  <si>
    <t xml:space="preserve"> 3.545亿</t>
  </si>
  <si>
    <t xml:space="preserve"> 英诺特</t>
  </si>
  <si>
    <t xml:space="preserve"> 3.30亿</t>
  </si>
  <si>
    <t xml:space="preserve"> 2.78亿</t>
  </si>
  <si>
    <t xml:space="preserve"> 1.361亿</t>
  </si>
  <si>
    <t xml:space="preserve"> 47.92亿</t>
  </si>
  <si>
    <t xml:space="preserve"> 6688万</t>
  </si>
  <si>
    <t xml:space="preserve"> 23.55亿</t>
  </si>
  <si>
    <t xml:space="preserve"> 重庆路桥</t>
  </si>
  <si>
    <t xml:space="preserve"> 3.29亿</t>
  </si>
  <si>
    <t xml:space="preserve"> 8687万</t>
  </si>
  <si>
    <t xml:space="preserve"> 13.29亿</t>
  </si>
  <si>
    <t xml:space="preserve"> 86.79亿</t>
  </si>
  <si>
    <t xml:space="preserve"> 古鳌科技</t>
  </si>
  <si>
    <t xml:space="preserve"> 11.5万</t>
  </si>
  <si>
    <t xml:space="preserve"> 3.27亿</t>
  </si>
  <si>
    <t xml:space="preserve"> 4.43万</t>
  </si>
  <si>
    <t xml:space="preserve"> 7.08万</t>
  </si>
  <si>
    <t xml:space="preserve"> 100.2亿</t>
  </si>
  <si>
    <t xml:space="preserve"> 2.536亿</t>
  </si>
  <si>
    <t xml:space="preserve"> 73.52亿</t>
  </si>
  <si>
    <t xml:space="preserve"> 优刻得-W</t>
  </si>
  <si>
    <t xml:space="preserve"> 4.531亿</t>
  </si>
  <si>
    <t xml:space="preserve"> 82.10亿</t>
  </si>
  <si>
    <t xml:space="preserve"> 3.788亿</t>
  </si>
  <si>
    <t xml:space="preserve"> 68.64亿</t>
  </si>
  <si>
    <t xml:space="preserve"> 光大证券</t>
  </si>
  <si>
    <t xml:space="preserve"> 11.4万</t>
  </si>
  <si>
    <t xml:space="preserve"> 46.11亿</t>
  </si>
  <si>
    <t xml:space="preserve"> 751.1亿</t>
  </si>
  <si>
    <t xml:space="preserve"> 39.07亿</t>
  </si>
  <si>
    <t xml:space="preserve"> 636.4亿</t>
  </si>
  <si>
    <t xml:space="preserve"> 机科股份</t>
  </si>
  <si>
    <t xml:space="preserve"> 2.59亿</t>
  </si>
  <si>
    <t xml:space="preserve"> 7.28万</t>
  </si>
  <si>
    <t xml:space="preserve"> 1.248亿</t>
  </si>
  <si>
    <t xml:space="preserve"> 3464万</t>
  </si>
  <si>
    <t xml:space="preserve"> 6.155亿</t>
  </si>
  <si>
    <t xml:space="preserve"> 电科网安</t>
  </si>
  <si>
    <t xml:space="preserve"> 5.81万</t>
  </si>
  <si>
    <t xml:space="preserve"> 8.13万</t>
  </si>
  <si>
    <t xml:space="preserve"> 8.457亿</t>
  </si>
  <si>
    <t xml:space="preserve"> 200.9亿</t>
  </si>
  <si>
    <t xml:space="preserve"> 8.412亿</t>
  </si>
  <si>
    <t xml:space="preserve"> 199.9亿</t>
  </si>
  <si>
    <t xml:space="preserve"> 嘉诚国际</t>
  </si>
  <si>
    <t xml:space="preserve"> 9.67亿</t>
  </si>
  <si>
    <t xml:space="preserve"> 2.332亿</t>
  </si>
  <si>
    <t xml:space="preserve"> 45.74亿</t>
  </si>
  <si>
    <t xml:space="preserve"> 2.181亿</t>
  </si>
  <si>
    <t xml:space="preserve"> 42.77亿</t>
  </si>
  <si>
    <t xml:space="preserve"> 阿尔特</t>
  </si>
  <si>
    <t xml:space="preserve"> 4.980亿</t>
  </si>
  <si>
    <t xml:space="preserve"> 76.45亿</t>
  </si>
  <si>
    <t xml:space="preserve"> 4.725亿</t>
  </si>
  <si>
    <t xml:space="preserve"> 72.53亿</t>
  </si>
  <si>
    <t xml:space="preserve"> 北京君正</t>
  </si>
  <si>
    <t xml:space="preserve"> 4.76万</t>
  </si>
  <si>
    <t xml:space="preserve"> 3.25亿</t>
  </si>
  <si>
    <t xml:space="preserve"> 34.2亿</t>
  </si>
  <si>
    <t xml:space="preserve"> 4.816亿</t>
  </si>
  <si>
    <t xml:space="preserve"> 331.8亿</t>
  </si>
  <si>
    <t xml:space="preserve"> 286.5亿</t>
  </si>
  <si>
    <t xml:space="preserve"> 凤凰传媒</t>
  </si>
  <si>
    <t xml:space="preserve"> 96.5亿</t>
  </si>
  <si>
    <t xml:space="preserve"> 25.45亿</t>
  </si>
  <si>
    <t xml:space="preserve"> 255.5亿</t>
  </si>
  <si>
    <t xml:space="preserve"> 锦龙股份</t>
  </si>
  <si>
    <t xml:space="preserve"> 1.57亿</t>
  </si>
  <si>
    <t xml:space="preserve"> 8.960亿</t>
  </si>
  <si>
    <t xml:space="preserve"> 137.8亿</t>
  </si>
  <si>
    <t xml:space="preserve"> 8.952亿</t>
  </si>
  <si>
    <t xml:space="preserve"> 137.7亿</t>
  </si>
  <si>
    <t xml:space="preserve"> 骏亚科技</t>
  </si>
  <si>
    <t xml:space="preserve"> 3.24亿</t>
  </si>
  <si>
    <t xml:space="preserve"> 9.94万</t>
  </si>
  <si>
    <t xml:space="preserve"> 3.263亿</t>
  </si>
  <si>
    <t xml:space="preserve"> 44.87亿</t>
  </si>
  <si>
    <t xml:space="preserve"> 光庭信息</t>
  </si>
  <si>
    <t xml:space="preserve"> 4.91万</t>
  </si>
  <si>
    <t xml:space="preserve"> 2.56万</t>
  </si>
  <si>
    <t xml:space="preserve"> 9262万</t>
  </si>
  <si>
    <t xml:space="preserve"> 61.76亿</t>
  </si>
  <si>
    <t xml:space="preserve"> 4351万</t>
  </si>
  <si>
    <t xml:space="preserve"> 29.01亿</t>
  </si>
  <si>
    <t xml:space="preserve"> 黑芝麻</t>
  </si>
  <si>
    <t xml:space="preserve"> 19.2亿</t>
  </si>
  <si>
    <t xml:space="preserve"> 7.440亿</t>
  </si>
  <si>
    <t xml:space="preserve"> 49.33亿</t>
  </si>
  <si>
    <t xml:space="preserve"> 6.959亿</t>
  </si>
  <si>
    <t xml:space="preserve"> 46.14亿</t>
  </si>
  <si>
    <t xml:space="preserve"> 中国东航</t>
  </si>
  <si>
    <t xml:space="preserve"> 855亿</t>
  </si>
  <si>
    <t xml:space="preserve"> 54.5万</t>
  </si>
  <si>
    <t xml:space="preserve"> 222.9亿</t>
  </si>
  <si>
    <t xml:space="preserve"> 909.5亿</t>
  </si>
  <si>
    <t xml:space="preserve"> 550.0亿</t>
  </si>
  <si>
    <t xml:space="preserve"> 晋控煤业</t>
  </si>
  <si>
    <t xml:space="preserve"> 113亿</t>
  </si>
  <si>
    <t xml:space="preserve"> 9.36万</t>
  </si>
  <si>
    <t xml:space="preserve"> 富春股份</t>
  </si>
  <si>
    <t xml:space="preserve"> 1.10万</t>
  </si>
  <si>
    <t xml:space="preserve"> 2.45亿</t>
  </si>
  <si>
    <t xml:space="preserve"> 6.912亿</t>
  </si>
  <si>
    <t xml:space="preserve"> 47.69亿</t>
  </si>
  <si>
    <t xml:space="preserve"> 6.475亿</t>
  </si>
  <si>
    <t xml:space="preserve"> 44.68亿</t>
  </si>
  <si>
    <t xml:space="preserve"> 广汽集团</t>
  </si>
  <si>
    <t xml:space="preserve"> 3.23亿</t>
  </si>
  <si>
    <t xml:space="preserve"> 982亿</t>
  </si>
  <si>
    <t xml:space="preserve"> 104.9亿</t>
  </si>
  <si>
    <t xml:space="preserve"> 1033亿</t>
  </si>
  <si>
    <t xml:space="preserve"> 73.31亿</t>
  </si>
  <si>
    <t xml:space="preserve"> 722.1亿</t>
  </si>
  <si>
    <t xml:space="preserve"> 国科微</t>
  </si>
  <si>
    <t xml:space="preserve"> 31.9亿</t>
  </si>
  <si>
    <t xml:space="preserve"> 2.173亿</t>
  </si>
  <si>
    <t xml:space="preserve"> 137.4亿</t>
  </si>
  <si>
    <t xml:space="preserve"> 2.095亿</t>
  </si>
  <si>
    <t xml:space="preserve"> 132.5亿</t>
  </si>
  <si>
    <t xml:space="preserve"> 联诚精密</t>
  </si>
  <si>
    <t xml:space="preserve"> 8.49亿</t>
  </si>
  <si>
    <t xml:space="preserve"> 8.42万</t>
  </si>
  <si>
    <t xml:space="preserve"> 1.309亿</t>
  </si>
  <si>
    <t xml:space="preserve"> 1.109亿</t>
  </si>
  <si>
    <t xml:space="preserve"> 百洋股份</t>
  </si>
  <si>
    <t xml:space="preserve"> 3.22亿</t>
  </si>
  <si>
    <t xml:space="preserve"> 19.7亿</t>
  </si>
  <si>
    <t xml:space="preserve"> 3.464亿</t>
  </si>
  <si>
    <t xml:space="preserve"> 23.83亿</t>
  </si>
  <si>
    <t xml:space="preserve"> 3.435亿</t>
  </si>
  <si>
    <t xml:space="preserve"> 23.64亿</t>
  </si>
  <si>
    <t xml:space="preserve"> 胜宏科技</t>
  </si>
  <si>
    <t xml:space="preserve"> 57.4亿</t>
  </si>
  <si>
    <t xml:space="preserve"> 8.91万</t>
  </si>
  <si>
    <t xml:space="preserve"> 8.627亿</t>
  </si>
  <si>
    <t xml:space="preserve"> 169.9亿</t>
  </si>
  <si>
    <t xml:space="preserve"> 8.563亿</t>
  </si>
  <si>
    <t xml:space="preserve"> 中国国航</t>
  </si>
  <si>
    <t xml:space="preserve"> 1055亿</t>
  </si>
  <si>
    <t xml:space="preserve"> 162.0亿</t>
  </si>
  <si>
    <t xml:space="preserve"> 873.1亿</t>
  </si>
  <si>
    <t xml:space="preserve"> 大东方</t>
  </si>
  <si>
    <t xml:space="preserve"> 8.848亿</t>
  </si>
  <si>
    <t xml:space="preserve"> 50.43亿</t>
  </si>
  <si>
    <t xml:space="preserve"> 网宿科技</t>
  </si>
  <si>
    <t xml:space="preserve"> 45.5万</t>
  </si>
  <si>
    <t xml:space="preserve"> 3.21亿</t>
  </si>
  <si>
    <t xml:space="preserve"> 35.2亿</t>
  </si>
  <si>
    <t xml:space="preserve"> -1.06万</t>
  </si>
  <si>
    <t xml:space="preserve"> 24.37亿</t>
  </si>
  <si>
    <t xml:space="preserve"> 174.3亿</t>
  </si>
  <si>
    <t xml:space="preserve"> 22.74亿</t>
  </si>
  <si>
    <t xml:space="preserve"> 长春一东</t>
  </si>
  <si>
    <t xml:space="preserve"> 5.18亿</t>
  </si>
  <si>
    <t xml:space="preserve"> 9.16万</t>
  </si>
  <si>
    <t xml:space="preserve"> 1.415亿</t>
  </si>
  <si>
    <t xml:space="preserve"> 28.46亿</t>
  </si>
  <si>
    <t xml:space="preserve"> 天银机电</t>
  </si>
  <si>
    <t xml:space="preserve"> 3.20亿</t>
  </si>
  <si>
    <t xml:space="preserve"> 9.20万</t>
  </si>
  <si>
    <t xml:space="preserve"> 4.250亿</t>
  </si>
  <si>
    <t xml:space="preserve"> 67.41亿</t>
  </si>
  <si>
    <t xml:space="preserve"> 4.162亿</t>
  </si>
  <si>
    <t xml:space="preserve"> 66.02亿</t>
  </si>
  <si>
    <t xml:space="preserve"> 新产业</t>
  </si>
  <si>
    <t xml:space="preserve"> 29.1亿</t>
  </si>
  <si>
    <t xml:space="preserve"> 2.23万</t>
  </si>
  <si>
    <t xml:space="preserve"> 7.857亿</t>
  </si>
  <si>
    <t xml:space="preserve"> 570.5亿</t>
  </si>
  <si>
    <t xml:space="preserve"> 6.984亿</t>
  </si>
  <si>
    <t xml:space="preserve"> 507.1亿</t>
  </si>
  <si>
    <t xml:space="preserve"> 万孚生物</t>
  </si>
  <si>
    <t xml:space="preserve"> 3.19亿</t>
  </si>
  <si>
    <t xml:space="preserve"> 20.0亿</t>
  </si>
  <si>
    <t xml:space="preserve"> 6.15万</t>
  </si>
  <si>
    <t xml:space="preserve"> 4.445亿</t>
  </si>
  <si>
    <t xml:space="preserve"> 139.8亿</t>
  </si>
  <si>
    <t xml:space="preserve"> 3.326亿</t>
  </si>
  <si>
    <t xml:space="preserve"> 104.6亿</t>
  </si>
  <si>
    <t xml:space="preserve"> 天风证券</t>
  </si>
  <si>
    <t xml:space="preserve"> 99.8万</t>
  </si>
  <si>
    <t xml:space="preserve"> 26.0亿</t>
  </si>
  <si>
    <t xml:space="preserve"> 1.38万</t>
  </si>
  <si>
    <t xml:space="preserve"> 57.2万</t>
  </si>
  <si>
    <t xml:space="preserve"> 3.52万</t>
  </si>
  <si>
    <t xml:space="preserve"> 279.0亿</t>
  </si>
  <si>
    <t xml:space="preserve"> 九联科技</t>
  </si>
  <si>
    <t xml:space="preserve"> 3.18亿</t>
  </si>
  <si>
    <t xml:space="preserve"> 15.7亿</t>
  </si>
  <si>
    <t xml:space="preserve"> 5.000亿</t>
  </si>
  <si>
    <t xml:space="preserve"> 60.60亿</t>
  </si>
  <si>
    <t xml:space="preserve"> 3.288亿</t>
  </si>
  <si>
    <t xml:space="preserve"> 39.85亿</t>
  </si>
  <si>
    <t xml:space="preserve"> 天合光能</t>
  </si>
  <si>
    <t xml:space="preserve"> 811亿</t>
  </si>
  <si>
    <t xml:space="preserve"> 21.74亿</t>
  </si>
  <si>
    <t xml:space="preserve"> 581.9亿</t>
  </si>
  <si>
    <t xml:space="preserve"> 山煤国际</t>
  </si>
  <si>
    <t xml:space="preserve"> 289亿</t>
  </si>
  <si>
    <t xml:space="preserve"> 7.31万</t>
  </si>
  <si>
    <t xml:space="preserve"> 19.82亿</t>
  </si>
  <si>
    <t xml:space="preserve"> 365.2亿</t>
  </si>
  <si>
    <t xml:space="preserve"> 广联达</t>
  </si>
  <si>
    <t xml:space="preserve"> 47.8亿</t>
  </si>
  <si>
    <t xml:space="preserve"> 8.53万</t>
  </si>
  <si>
    <t xml:space="preserve"> 16.65亿</t>
  </si>
  <si>
    <t xml:space="preserve"> 329.0亿</t>
  </si>
  <si>
    <t xml:space="preserve"> 15.89亿</t>
  </si>
  <si>
    <t xml:space="preserve"> 314.0亿</t>
  </si>
  <si>
    <t xml:space="preserve"> 宝丰能源</t>
  </si>
  <si>
    <t xml:space="preserve"> 22.0万</t>
  </si>
  <si>
    <t xml:space="preserve"> 3.16亿</t>
  </si>
  <si>
    <t xml:space="preserve"> 7.99万</t>
  </si>
  <si>
    <t xml:space="preserve"> 73.33亿</t>
  </si>
  <si>
    <t xml:space="preserve"> 1040亿</t>
  </si>
  <si>
    <t xml:space="preserve"> 和顺石油</t>
  </si>
  <si>
    <t xml:space="preserve"> 4.62万</t>
  </si>
  <si>
    <t xml:space="preserve"> 1.734亿</t>
  </si>
  <si>
    <t xml:space="preserve"> 62.23亿</t>
  </si>
  <si>
    <t xml:space="preserve"> 宁波远洋</t>
  </si>
  <si>
    <t xml:space="preserve"> 3.15亿</t>
  </si>
  <si>
    <t xml:space="preserve"> 33.2亿</t>
  </si>
  <si>
    <t xml:space="preserve"> 142.2亿</t>
  </si>
  <si>
    <t xml:space="preserve"> 14.22亿</t>
  </si>
  <si>
    <t xml:space="preserve"> 宏微科技</t>
  </si>
  <si>
    <t xml:space="preserve"> 7.26万</t>
  </si>
  <si>
    <t xml:space="preserve"> 4.25万</t>
  </si>
  <si>
    <t xml:space="preserve"> 1.521亿</t>
  </si>
  <si>
    <t xml:space="preserve"> 65.68亿</t>
  </si>
  <si>
    <t xml:space="preserve"> 1.243亿</t>
  </si>
  <si>
    <t xml:space="preserve"> 53.66亿</t>
  </si>
  <si>
    <t xml:space="preserve"> 广发证券</t>
  </si>
  <si>
    <t xml:space="preserve"> 3.14亿</t>
  </si>
  <si>
    <t xml:space="preserve"> 180亿</t>
  </si>
  <si>
    <t xml:space="preserve"> 9.27万</t>
  </si>
  <si>
    <t xml:space="preserve"> 76.21亿</t>
  </si>
  <si>
    <t xml:space="preserve"> 1106亿</t>
  </si>
  <si>
    <t xml:space="preserve"> 59.19亿</t>
  </si>
  <si>
    <t xml:space="preserve"> 858.9亿</t>
  </si>
  <si>
    <t xml:space="preserve"> 天元智能</t>
  </si>
  <si>
    <t xml:space="preserve"> 6.11亿</t>
  </si>
  <si>
    <t xml:space="preserve"> 5.73万</t>
  </si>
  <si>
    <t xml:space="preserve"> 6.58万</t>
  </si>
  <si>
    <t xml:space="preserve"> 2.143亿</t>
  </si>
  <si>
    <t xml:space="preserve"> 54.91亿</t>
  </si>
  <si>
    <t xml:space="preserve"> 5250万</t>
  </si>
  <si>
    <t xml:space="preserve"> 13.45亿</t>
  </si>
  <si>
    <t xml:space="preserve"> 东山精密</t>
  </si>
  <si>
    <t xml:space="preserve"> 225亿</t>
  </si>
  <si>
    <t xml:space="preserve"> 317.2亿</t>
  </si>
  <si>
    <t xml:space="preserve"> 13.90亿</t>
  </si>
  <si>
    <t xml:space="preserve"> 257.9亿</t>
  </si>
  <si>
    <t xml:space="preserve"> 中国出版</t>
  </si>
  <si>
    <t xml:space="preserve"> 19.04亿</t>
  </si>
  <si>
    <t xml:space="preserve"> 171.9亿</t>
  </si>
  <si>
    <t xml:space="preserve"> 18.23亿</t>
  </si>
  <si>
    <t xml:space="preserve"> 164.6亿</t>
  </si>
  <si>
    <t xml:space="preserve"> 统一股份</t>
  </si>
  <si>
    <t xml:space="preserve"> 3.13亿</t>
  </si>
  <si>
    <t xml:space="preserve"> 17.7亿</t>
  </si>
  <si>
    <t xml:space="preserve"> 1.920亿</t>
  </si>
  <si>
    <t xml:space="preserve"> 26.69亿</t>
  </si>
  <si>
    <t xml:space="preserve"> 1.477亿</t>
  </si>
  <si>
    <t xml:space="preserve"> 20.53亿</t>
  </si>
  <si>
    <t xml:space="preserve"> 德科立</t>
  </si>
  <si>
    <t xml:space="preserve"> 3.12亿</t>
  </si>
  <si>
    <t xml:space="preserve"> 5.49亿</t>
  </si>
  <si>
    <t xml:space="preserve"> 2.85万</t>
  </si>
  <si>
    <t xml:space="preserve"> 1.007亿</t>
  </si>
  <si>
    <t xml:space="preserve"> 58.86亿</t>
  </si>
  <si>
    <t xml:space="preserve"> 4868万</t>
  </si>
  <si>
    <t xml:space="preserve"> 中国人寿</t>
  </si>
  <si>
    <t xml:space="preserve"> 7093亿</t>
  </si>
  <si>
    <t xml:space="preserve"> 5.22万</t>
  </si>
  <si>
    <t xml:space="preserve"> 282.6亿</t>
  </si>
  <si>
    <t xml:space="preserve"> 8536亿</t>
  </si>
  <si>
    <t xml:space="preserve"> 208.2亿</t>
  </si>
  <si>
    <t xml:space="preserve"> 6289亿</t>
  </si>
  <si>
    <t xml:space="preserve"> 银之杰</t>
  </si>
  <si>
    <t xml:space="preserve"> 7.62亿</t>
  </si>
  <si>
    <t xml:space="preserve"> 7.066亿</t>
  </si>
  <si>
    <t xml:space="preserve"> 99.42亿</t>
  </si>
  <si>
    <t xml:space="preserve"> 5.125亿</t>
  </si>
  <si>
    <t xml:space="preserve"> 72.11亿</t>
  </si>
  <si>
    <t xml:space="preserve"> 卫星化学</t>
  </si>
  <si>
    <t xml:space="preserve"> 19.8万</t>
  </si>
  <si>
    <t xml:space="preserve"> 33.69亿</t>
  </si>
  <si>
    <t xml:space="preserve"> 527.9亿</t>
  </si>
  <si>
    <t xml:space="preserve"> 33.65亿</t>
  </si>
  <si>
    <t xml:space="preserve"> 527.3亿</t>
  </si>
  <si>
    <t xml:space="preserve"> 盐湖股份</t>
  </si>
  <si>
    <t xml:space="preserve"> 158亿</t>
  </si>
  <si>
    <t xml:space="preserve"> 9.12万</t>
  </si>
  <si>
    <t xml:space="preserve"> 54.33亿</t>
  </si>
  <si>
    <t xml:space="preserve"> 868.7亿</t>
  </si>
  <si>
    <t xml:space="preserve"> 达仁堂</t>
  </si>
  <si>
    <t xml:space="preserve"> 5.00万</t>
  </si>
  <si>
    <t xml:space="preserve"> 7.703亿</t>
  </si>
  <si>
    <t xml:space="preserve"> 275.4亿</t>
  </si>
  <si>
    <t xml:space="preserve"> 5.659亿</t>
  </si>
  <si>
    <t xml:space="preserve"> 202.4亿</t>
  </si>
  <si>
    <t xml:space="preserve"> 风语筑</t>
  </si>
  <si>
    <t xml:space="preserve"> 9.76万</t>
  </si>
  <si>
    <t xml:space="preserve"> 5.948亿</t>
  </si>
  <si>
    <t xml:space="preserve"> 77.80亿</t>
  </si>
  <si>
    <t xml:space="preserve"> 安泰集团</t>
  </si>
  <si>
    <t xml:space="preserve"> 77.8亿</t>
  </si>
  <si>
    <t xml:space="preserve"> 61.6万</t>
  </si>
  <si>
    <t xml:space="preserve"> 50.5万</t>
  </si>
  <si>
    <t xml:space="preserve"> 28.39亿</t>
  </si>
  <si>
    <t xml:space="preserve"> 鼎智科技</t>
  </si>
  <si>
    <t xml:space="preserve"> 6.88万</t>
  </si>
  <si>
    <t xml:space="preserve"> 2.38亿</t>
  </si>
  <si>
    <t xml:space="preserve"> 9604万</t>
  </si>
  <si>
    <t xml:space="preserve"> 40.72亿</t>
  </si>
  <si>
    <t xml:space="preserve"> 4056万</t>
  </si>
  <si>
    <t xml:space="preserve"> 17.20亿</t>
  </si>
  <si>
    <t xml:space="preserve"> 京新药业</t>
  </si>
  <si>
    <t xml:space="preserve"> 29.3亿</t>
  </si>
  <si>
    <t xml:space="preserve"> 8.610亿</t>
  </si>
  <si>
    <t xml:space="preserve"> 6.564亿</t>
  </si>
  <si>
    <t xml:space="preserve"> 89.53亿</t>
  </si>
  <si>
    <t xml:space="preserve"> 达华智能</t>
  </si>
  <si>
    <t xml:space="preserve"> 11.47亿</t>
  </si>
  <si>
    <t xml:space="preserve"> 62.98亿</t>
  </si>
  <si>
    <t xml:space="preserve"> 57.56亿</t>
  </si>
  <si>
    <t xml:space="preserve"> 佳发教育</t>
  </si>
  <si>
    <t xml:space="preserve"> 8.22万</t>
  </si>
  <si>
    <t xml:space="preserve"> 3.995亿</t>
  </si>
  <si>
    <t xml:space="preserve"> 68.48亿</t>
  </si>
  <si>
    <t xml:space="preserve"> 3.111亿</t>
  </si>
  <si>
    <t xml:space="preserve"> 53.33亿</t>
  </si>
  <si>
    <t xml:space="preserve"> 人人乐</t>
  </si>
  <si>
    <t xml:space="preserve"> 3.08亿</t>
  </si>
  <si>
    <t xml:space="preserve"> 22.2亿</t>
  </si>
  <si>
    <t xml:space="preserve"> 4.400亿</t>
  </si>
  <si>
    <t xml:space="preserve"> 3.732亿</t>
  </si>
  <si>
    <t xml:space="preserve"> 57.10亿</t>
  </si>
  <si>
    <t xml:space="preserve"> 国泰君安</t>
  </si>
  <si>
    <t xml:space="preserve"> 270亿</t>
  </si>
  <si>
    <t xml:space="preserve"> 8.99万</t>
  </si>
  <si>
    <t xml:space="preserve"> 89.05亿</t>
  </si>
  <si>
    <t xml:space="preserve"> 1342亿</t>
  </si>
  <si>
    <t xml:space="preserve"> 1123亿</t>
  </si>
  <si>
    <t xml:space="preserve"> 宝利国际</t>
  </si>
  <si>
    <t xml:space="preserve"> 52.4万</t>
  </si>
  <si>
    <t xml:space="preserve"> 15.0亿</t>
  </si>
  <si>
    <t xml:space="preserve"> 9.216亿</t>
  </si>
  <si>
    <t xml:space="preserve"> 54.28亿</t>
  </si>
  <si>
    <t xml:space="preserve"> 领益智造</t>
  </si>
  <si>
    <t xml:space="preserve"> 246亿</t>
  </si>
  <si>
    <t xml:space="preserve"> -1.39万</t>
  </si>
  <si>
    <t xml:space="preserve"> 70.08亿</t>
  </si>
  <si>
    <t xml:space="preserve"> 472.4亿</t>
  </si>
  <si>
    <t xml:space="preserve"> 68.92亿</t>
  </si>
  <si>
    <t xml:space="preserve"> 464.5亿</t>
  </si>
  <si>
    <t xml:space="preserve"> 国新健康</t>
  </si>
  <si>
    <t xml:space="preserve"> 1.61亿</t>
  </si>
  <si>
    <t xml:space="preserve"> 9.038亿</t>
  </si>
  <si>
    <t xml:space="preserve"> 129.1亿</t>
  </si>
  <si>
    <t xml:space="preserve"> 8.988亿</t>
  </si>
  <si>
    <t xml:space="preserve"> 128.3亿</t>
  </si>
  <si>
    <t xml:space="preserve"> 九丰能源</t>
  </si>
  <si>
    <t xml:space="preserve"> 9.99万</t>
  </si>
  <si>
    <t xml:space="preserve"> 195亿</t>
  </si>
  <si>
    <t xml:space="preserve"> 4.93万</t>
  </si>
  <si>
    <t xml:space="preserve"> 6.254亿</t>
  </si>
  <si>
    <t xml:space="preserve"> 192.5亿</t>
  </si>
  <si>
    <t xml:space="preserve"> 2.598亿</t>
  </si>
  <si>
    <t xml:space="preserve"> 79.97亿</t>
  </si>
  <si>
    <t xml:space="preserve"> 中国能建</t>
  </si>
  <si>
    <t xml:space="preserve"> 3.06亿</t>
  </si>
  <si>
    <t xml:space="preserve"> 2853亿</t>
  </si>
  <si>
    <t xml:space="preserve"> -10.2万</t>
  </si>
  <si>
    <t xml:space="preserve"> 1.41万</t>
  </si>
  <si>
    <t xml:space="preserve"> 416.9亿</t>
  </si>
  <si>
    <t xml:space="preserve"> 896.4亿</t>
  </si>
  <si>
    <t xml:space="preserve"> 305.8亿</t>
  </si>
  <si>
    <t xml:space="preserve"> 贝斯特</t>
  </si>
  <si>
    <t xml:space="preserve"> 9.18万</t>
  </si>
  <si>
    <t xml:space="preserve"> 3.05亿</t>
  </si>
  <si>
    <t xml:space="preserve"> 4.03万</t>
  </si>
  <si>
    <t xml:space="preserve"> 3.388亿</t>
  </si>
  <si>
    <t xml:space="preserve"> 112.0亿</t>
  </si>
  <si>
    <t xml:space="preserve"> 3.186亿</t>
  </si>
  <si>
    <t xml:space="preserve"> 105.3亿</t>
  </si>
  <si>
    <t xml:space="preserve"> 金陵饭店</t>
  </si>
  <si>
    <t xml:space="preserve"> 3.900亿</t>
  </si>
  <si>
    <t xml:space="preserve"> 34.63亿</t>
  </si>
  <si>
    <t xml:space="preserve"> 菲菱科思</t>
  </si>
  <si>
    <t xml:space="preserve"> 3.15万</t>
  </si>
  <si>
    <t xml:space="preserve"> 6934万</t>
  </si>
  <si>
    <t xml:space="preserve"> 68.54亿</t>
  </si>
  <si>
    <t xml:space="preserve"> 2614万</t>
  </si>
  <si>
    <t xml:space="preserve"> 25.84亿</t>
  </si>
  <si>
    <t xml:space="preserve"> 雷赛智能</t>
  </si>
  <si>
    <t xml:space="preserve"> 3.04亿</t>
  </si>
  <si>
    <t xml:space="preserve"> 7.68万</t>
  </si>
  <si>
    <t xml:space="preserve"> 7.09万</t>
  </si>
  <si>
    <t xml:space="preserve"> 64.02亿</t>
  </si>
  <si>
    <t xml:space="preserve"> 2.149亿</t>
  </si>
  <si>
    <t xml:space="preserve"> 44.48亿</t>
  </si>
  <si>
    <t xml:space="preserve"> 豪美新材</t>
  </si>
  <si>
    <t xml:space="preserve"> 6.22万</t>
  </si>
  <si>
    <t xml:space="preserve"> 2.441亿</t>
  </si>
  <si>
    <t xml:space="preserve"> 61.39亿</t>
  </si>
  <si>
    <t xml:space="preserve"> 2.440亿</t>
  </si>
  <si>
    <t xml:space="preserve"> 61.35亿</t>
  </si>
  <si>
    <t xml:space="preserve"> 吉宏股份</t>
  </si>
  <si>
    <t xml:space="preserve"> 49.3亿</t>
  </si>
  <si>
    <t xml:space="preserve"> 5.92万</t>
  </si>
  <si>
    <t xml:space="preserve"> 3.850亿</t>
  </si>
  <si>
    <t xml:space="preserve"> 92.44亿</t>
  </si>
  <si>
    <t xml:space="preserve"> 2.845亿</t>
  </si>
  <si>
    <t xml:space="preserve"> 68.31亿</t>
  </si>
  <si>
    <t xml:space="preserve"> 中航电测</t>
  </si>
  <si>
    <t xml:space="preserve"> 6.77万</t>
  </si>
  <si>
    <t xml:space="preserve"> 3.02亿</t>
  </si>
  <si>
    <t xml:space="preserve"> 3.25万</t>
  </si>
  <si>
    <t xml:space="preserve"> 5.908亿</t>
  </si>
  <si>
    <t xml:space="preserve"> 263.7亿</t>
  </si>
  <si>
    <t xml:space="preserve"> 中大力德</t>
  </si>
  <si>
    <t xml:space="preserve"> 8.02万</t>
  </si>
  <si>
    <t xml:space="preserve"> 4.47万</t>
  </si>
  <si>
    <t xml:space="preserve"> 1.512亿</t>
  </si>
  <si>
    <t xml:space="preserve"> 天华新能</t>
  </si>
  <si>
    <t xml:space="preserve"> 8.375亿</t>
  </si>
  <si>
    <t xml:space="preserve"> 202.5亿</t>
  </si>
  <si>
    <t xml:space="preserve"> 6.792亿</t>
  </si>
  <si>
    <t xml:space="preserve"> 164.2亿</t>
  </si>
  <si>
    <t xml:space="preserve"> 明阳智能</t>
  </si>
  <si>
    <t xml:space="preserve"> 210亿</t>
  </si>
  <si>
    <t xml:space="preserve"> 9.66万</t>
  </si>
  <si>
    <t xml:space="preserve"> 22.72亿</t>
  </si>
  <si>
    <t xml:space="preserve"> 298.7亿</t>
  </si>
  <si>
    <t xml:space="preserve"> 297.5亿</t>
  </si>
  <si>
    <t xml:space="preserve"> 夏厦精密</t>
  </si>
  <si>
    <t xml:space="preserve"> 3.41万</t>
  </si>
  <si>
    <t xml:space="preserve"> 3.01亿</t>
  </si>
  <si>
    <t xml:space="preserve"> 6200万</t>
  </si>
  <si>
    <t xml:space="preserve"> 54.83亿</t>
  </si>
  <si>
    <t xml:space="preserve"> 1519万</t>
  </si>
  <si>
    <t xml:space="preserve"> 光线传媒</t>
  </si>
  <si>
    <t xml:space="preserve"> 9.40亿</t>
  </si>
  <si>
    <t xml:space="preserve"> 29.34亿</t>
  </si>
  <si>
    <t xml:space="preserve"> 239.4亿</t>
  </si>
  <si>
    <t xml:space="preserve"> 27.87亿</t>
  </si>
  <si>
    <t xml:space="preserve"> 中国高科</t>
  </si>
  <si>
    <t xml:space="preserve"> 9295万</t>
  </si>
  <si>
    <t xml:space="preserve"> 1.23万</t>
  </si>
  <si>
    <t xml:space="preserve"> 5.867亿</t>
  </si>
  <si>
    <t xml:space="preserve"> 传艺科技</t>
  </si>
  <si>
    <t xml:space="preserve"> 3.00亿</t>
  </si>
  <si>
    <t xml:space="preserve"> 12.7亿</t>
  </si>
  <si>
    <t xml:space="preserve"> 7.23万</t>
  </si>
  <si>
    <t xml:space="preserve"> 2.895亿</t>
  </si>
  <si>
    <t xml:space="preserve"> 64.94亿</t>
  </si>
  <si>
    <t xml:space="preserve"> 1.806亿</t>
  </si>
  <si>
    <t xml:space="preserve"> 40.51亿</t>
  </si>
  <si>
    <t xml:space="preserve"> 保税科技</t>
  </si>
  <si>
    <t xml:space="preserve"> 2.99亿</t>
  </si>
  <si>
    <t xml:space="preserve"> 54.06亿</t>
  </si>
  <si>
    <t xml:space="preserve"> 华能国际</t>
  </si>
  <si>
    <t xml:space="preserve"> 1913亿</t>
  </si>
  <si>
    <t xml:space="preserve"> 157.0亿</t>
  </si>
  <si>
    <t xml:space="preserve"> 1202亿</t>
  </si>
  <si>
    <t xml:space="preserve"> 842.4亿</t>
  </si>
  <si>
    <t xml:space="preserve"> 伯特利</t>
  </si>
  <si>
    <t xml:space="preserve"> 3.87万</t>
  </si>
  <si>
    <t xml:space="preserve"> 2.98亿</t>
  </si>
  <si>
    <t xml:space="preserve"> 51.1亿</t>
  </si>
  <si>
    <t xml:space="preserve"> 4.337亿</t>
  </si>
  <si>
    <t xml:space="preserve"> 4.320亿</t>
  </si>
  <si>
    <t xml:space="preserve"> 341.1亿</t>
  </si>
  <si>
    <t xml:space="preserve"> 永泰能源</t>
  </si>
  <si>
    <t xml:space="preserve"> 210万</t>
  </si>
  <si>
    <t xml:space="preserve"> 9.23万</t>
  </si>
  <si>
    <t xml:space="preserve"> 220亿</t>
  </si>
  <si>
    <t xml:space="preserve"> -19.8万</t>
  </si>
  <si>
    <t xml:space="preserve"> 129万</t>
  </si>
  <si>
    <t xml:space="preserve"> 222.2亿</t>
  </si>
  <si>
    <t xml:space="preserve"> 315.5亿</t>
  </si>
  <si>
    <t xml:space="preserve"> 中成股份</t>
  </si>
  <si>
    <t xml:space="preserve"> 22.5亿</t>
  </si>
  <si>
    <t xml:space="preserve"> 4.57万</t>
  </si>
  <si>
    <t xml:space="preserve"> 3.374亿</t>
  </si>
  <si>
    <t xml:space="preserve"> 42.68亿</t>
  </si>
  <si>
    <t xml:space="preserve"> 33.72亿</t>
  </si>
  <si>
    <t xml:space="preserve"> 天赐材料</t>
  </si>
  <si>
    <t xml:space="preserve"> 121亿</t>
  </si>
  <si>
    <t xml:space="preserve"> 6.78万</t>
  </si>
  <si>
    <t xml:space="preserve"> 19.24亿</t>
  </si>
  <si>
    <t xml:space="preserve"> 461.2亿</t>
  </si>
  <si>
    <t xml:space="preserve"> 13.85亿</t>
  </si>
  <si>
    <t xml:space="preserve"> 332.0亿</t>
  </si>
  <si>
    <t xml:space="preserve"> 东芯股份</t>
  </si>
  <si>
    <t xml:space="preserve"> 3.45万</t>
  </si>
  <si>
    <t xml:space="preserve"> 4.422亿</t>
  </si>
  <si>
    <t xml:space="preserve"> 177.7亿</t>
  </si>
  <si>
    <t xml:space="preserve"> 2.745亿</t>
  </si>
  <si>
    <t xml:space="preserve"> 110.3亿</t>
  </si>
  <si>
    <t xml:space="preserve"> 新华网</t>
  </si>
  <si>
    <t xml:space="preserve"> 2.97亿</t>
  </si>
  <si>
    <t xml:space="preserve"> 3.84万</t>
  </si>
  <si>
    <t xml:space="preserve"> 5.190亿</t>
  </si>
  <si>
    <t xml:space="preserve"> 138.1亿</t>
  </si>
  <si>
    <t xml:space="preserve"> 远东传动</t>
  </si>
  <si>
    <t xml:space="preserve"> 7.302亿</t>
  </si>
  <si>
    <t xml:space="preserve"> 52.65亿</t>
  </si>
  <si>
    <t xml:space="preserve"> 6.022亿</t>
  </si>
  <si>
    <t xml:space="preserve"> 43.42亿</t>
  </si>
  <si>
    <t xml:space="preserve"> 泰慕士</t>
  </si>
  <si>
    <t xml:space="preserve"> 7.39万</t>
  </si>
  <si>
    <t xml:space="preserve"> 1.067亿</t>
  </si>
  <si>
    <t xml:space="preserve"> 26.75亿</t>
  </si>
  <si>
    <t xml:space="preserve"> 2907万</t>
  </si>
  <si>
    <t xml:space="preserve"> 7.290亿</t>
  </si>
  <si>
    <t xml:space="preserve"> 中原传媒</t>
  </si>
  <si>
    <t xml:space="preserve"> 2.96亿</t>
  </si>
  <si>
    <t xml:space="preserve"> 66.3亿</t>
  </si>
  <si>
    <t xml:space="preserve"> 107.9亿</t>
  </si>
  <si>
    <t xml:space="preserve"> 6.671亿</t>
  </si>
  <si>
    <t xml:space="preserve"> 70.38亿</t>
  </si>
  <si>
    <t xml:space="preserve"> 英可瑞</t>
  </si>
  <si>
    <t xml:space="preserve"> 1.97亿</t>
  </si>
  <si>
    <t xml:space="preserve"> 7.07万</t>
  </si>
  <si>
    <t xml:space="preserve"> 1.587亿</t>
  </si>
  <si>
    <t xml:space="preserve"> 31.38亿</t>
  </si>
  <si>
    <t xml:space="preserve"> 8663万</t>
  </si>
  <si>
    <t xml:space="preserve"> 17.13亿</t>
  </si>
  <si>
    <t xml:space="preserve"> 康恩贝</t>
  </si>
  <si>
    <t xml:space="preserve"> 51.8亿</t>
  </si>
  <si>
    <t xml:space="preserve"> 25.70亿</t>
  </si>
  <si>
    <t xml:space="preserve"> 141.1亿</t>
  </si>
  <si>
    <t xml:space="preserve"> 25.63亿</t>
  </si>
  <si>
    <t xml:space="preserve"> 140.7亿</t>
  </si>
  <si>
    <t xml:space="preserve"> 光大银行</t>
  </si>
  <si>
    <t xml:space="preserve"> 68.1万</t>
  </si>
  <si>
    <t xml:space="preserve"> 7.38万</t>
  </si>
  <si>
    <t xml:space="preserve"> 590.9亿</t>
  </si>
  <si>
    <t xml:space="preserve"> 1719亿</t>
  </si>
  <si>
    <t xml:space="preserve"> 464.1亿</t>
  </si>
  <si>
    <t xml:space="preserve"> 富乐德</t>
  </si>
  <si>
    <t xml:space="preserve"> 9.69万</t>
  </si>
  <si>
    <t xml:space="preserve"> 2.95亿</t>
  </si>
  <si>
    <t xml:space="preserve"> 4.90万</t>
  </si>
  <si>
    <t xml:space="preserve"> 3.384亿</t>
  </si>
  <si>
    <t xml:space="preserve"> 104.7亿</t>
  </si>
  <si>
    <t xml:space="preserve"> 7523万</t>
  </si>
  <si>
    <t xml:space="preserve"> 鱼跃医疗</t>
  </si>
  <si>
    <t xml:space="preserve"> 8.71万</t>
  </si>
  <si>
    <t xml:space="preserve"> 2.94亿</t>
  </si>
  <si>
    <t xml:space="preserve"> 10.02亿</t>
  </si>
  <si>
    <t xml:space="preserve"> 338.7亿</t>
  </si>
  <si>
    <t xml:space="preserve"> 9.411亿</t>
  </si>
  <si>
    <t xml:space="preserve"> 大金重工</t>
  </si>
  <si>
    <t xml:space="preserve"> 33.3亿</t>
  </si>
  <si>
    <t xml:space="preserve"> 5.89万</t>
  </si>
  <si>
    <t xml:space="preserve"> 5.87万</t>
  </si>
  <si>
    <t xml:space="preserve"> 161.1亿</t>
  </si>
  <si>
    <t xml:space="preserve"> 6.306亿</t>
  </si>
  <si>
    <t xml:space="preserve"> 159.3亿</t>
  </si>
  <si>
    <t xml:space="preserve"> 七一二</t>
  </si>
  <si>
    <t xml:space="preserve"> 7.720亿</t>
  </si>
  <si>
    <t xml:space="preserve"> 240.6亿</t>
  </si>
  <si>
    <t xml:space="preserve"> 淳中科技</t>
  </si>
  <si>
    <t xml:space="preserve"> 6.26万</t>
  </si>
  <si>
    <t xml:space="preserve"> 1.852亿</t>
  </si>
  <si>
    <t xml:space="preserve"> 41.09亿</t>
  </si>
  <si>
    <t xml:space="preserve"> 君实生物-U</t>
  </si>
  <si>
    <t xml:space="preserve"> 6.48万</t>
  </si>
  <si>
    <t xml:space="preserve"> 3.10万</t>
  </si>
  <si>
    <t xml:space="preserve"> 3.37万</t>
  </si>
  <si>
    <t xml:space="preserve"> 9.857亿</t>
  </si>
  <si>
    <t xml:space="preserve"> 450.1亿</t>
  </si>
  <si>
    <t xml:space="preserve"> 5.038亿</t>
  </si>
  <si>
    <t xml:space="preserve"> 230.0亿</t>
  </si>
  <si>
    <t xml:space="preserve"> 盛路通信</t>
  </si>
  <si>
    <t xml:space="preserve"> 2.93亿</t>
  </si>
  <si>
    <t xml:space="preserve"> 9.75亿</t>
  </si>
  <si>
    <t xml:space="preserve"> 85.92亿</t>
  </si>
  <si>
    <t xml:space="preserve"> 8.441亿</t>
  </si>
  <si>
    <t xml:space="preserve"> 79.35亿</t>
  </si>
  <si>
    <t xml:space="preserve"> 泰嘉股份</t>
  </si>
  <si>
    <t xml:space="preserve"> 14.1亿</t>
  </si>
  <si>
    <t xml:space="preserve"> 4.80万</t>
  </si>
  <si>
    <t xml:space="preserve"> 5.62万</t>
  </si>
  <si>
    <t xml:space="preserve"> 2.516亿</t>
  </si>
  <si>
    <t xml:space="preserve"> 70.20亿</t>
  </si>
  <si>
    <t xml:space="preserve"> 2.117亿</t>
  </si>
  <si>
    <t xml:space="preserve"> 59.06亿</t>
  </si>
  <si>
    <t xml:space="preserve"> 中煤能源</t>
  </si>
  <si>
    <t xml:space="preserve"> 1562亿</t>
  </si>
  <si>
    <t xml:space="preserve"> 132.6亿</t>
  </si>
  <si>
    <t xml:space="preserve"> 1257亿</t>
  </si>
  <si>
    <t xml:space="preserve"> 91.52亿</t>
  </si>
  <si>
    <t xml:space="preserve"> 867.6亿</t>
  </si>
  <si>
    <t xml:space="preserve"> 青岛啤酒</t>
  </si>
  <si>
    <t xml:space="preserve"> 3.97万</t>
  </si>
  <si>
    <t xml:space="preserve"> 310亿</t>
  </si>
  <si>
    <t xml:space="preserve"> 1.63万</t>
  </si>
  <si>
    <t xml:space="preserve"> 13.64亿</t>
  </si>
  <si>
    <t xml:space="preserve"> 1011亿</t>
  </si>
  <si>
    <t xml:space="preserve"> 7.047亿</t>
  </si>
  <si>
    <t xml:space="preserve"> 522.1亿</t>
  </si>
  <si>
    <t xml:space="preserve"> 佳讯飞鸿</t>
  </si>
  <si>
    <t xml:space="preserve"> 5.937亿</t>
  </si>
  <si>
    <t xml:space="preserve"> 47.56亿</t>
  </si>
  <si>
    <t xml:space="preserve"> 5.509亿</t>
  </si>
  <si>
    <t xml:space="preserve"> 熊猫乳品</t>
  </si>
  <si>
    <t xml:space="preserve"> 5.04万</t>
  </si>
  <si>
    <t xml:space="preserve"> 1.240亿</t>
  </si>
  <si>
    <t xml:space="preserve"> 31.26亿</t>
  </si>
  <si>
    <t xml:space="preserve"> 1.098亿</t>
  </si>
  <si>
    <t xml:space="preserve"> 众泰汽车</t>
  </si>
  <si>
    <t xml:space="preserve"> 84.5万</t>
  </si>
  <si>
    <t xml:space="preserve"> 1.13万</t>
  </si>
  <si>
    <t xml:space="preserve"> 2.91亿</t>
  </si>
  <si>
    <t xml:space="preserve"> -4.20万</t>
  </si>
  <si>
    <t xml:space="preserve"> 36.1万</t>
  </si>
  <si>
    <t xml:space="preserve"> 2.17万</t>
  </si>
  <si>
    <t xml:space="preserve"> 174.5亿</t>
  </si>
  <si>
    <t xml:space="preserve"> 42.76亿</t>
  </si>
  <si>
    <t xml:space="preserve"> 148.0亿</t>
  </si>
  <si>
    <t xml:space="preserve"> 同仁堂</t>
  </si>
  <si>
    <t xml:space="preserve"> 5.52万</t>
  </si>
  <si>
    <t xml:space="preserve"> 137亿</t>
  </si>
  <si>
    <t xml:space="preserve"> 3.40万</t>
  </si>
  <si>
    <t xml:space="preserve"> 13.71亿</t>
  </si>
  <si>
    <t xml:space="preserve"> 723.6亿</t>
  </si>
  <si>
    <t xml:space="preserve"> 通策医疗</t>
  </si>
  <si>
    <t xml:space="preserve"> 3.60万</t>
  </si>
  <si>
    <t xml:space="preserve"> 21.8亿</t>
  </si>
  <si>
    <t xml:space="preserve"> 2.01万</t>
  </si>
  <si>
    <t xml:space="preserve"> 1.59万</t>
  </si>
  <si>
    <t xml:space="preserve"> 3.206亿</t>
  </si>
  <si>
    <t xml:space="preserve"> 259.5亿</t>
  </si>
  <si>
    <t xml:space="preserve"> 科伦药业</t>
  </si>
  <si>
    <t xml:space="preserve"> 5.39万</t>
  </si>
  <si>
    <t xml:space="preserve"> 14.83亿</t>
  </si>
  <si>
    <t xml:space="preserve"> 421.4亿</t>
  </si>
  <si>
    <t xml:space="preserve"> 11.88亿</t>
  </si>
  <si>
    <t xml:space="preserve"> 337.7亿</t>
  </si>
  <si>
    <t xml:space="preserve"> 易天股份</t>
  </si>
  <si>
    <t xml:space="preserve"> 9.70万</t>
  </si>
  <si>
    <t xml:space="preserve"> 4.84万</t>
  </si>
  <si>
    <t xml:space="preserve"> 1.403亿</t>
  </si>
  <si>
    <t xml:space="preserve"> 42.02亿</t>
  </si>
  <si>
    <t xml:space="preserve"> 8984万</t>
  </si>
  <si>
    <t xml:space="preserve"> 26.92亿</t>
  </si>
  <si>
    <t xml:space="preserve"> 阿特斯</t>
  </si>
  <si>
    <t xml:space="preserve"> 2.89亿</t>
  </si>
  <si>
    <t xml:space="preserve"> 391亿</t>
  </si>
  <si>
    <t xml:space="preserve"> 36.88亿</t>
  </si>
  <si>
    <t xml:space="preserve"> 432.3亿</t>
  </si>
  <si>
    <t xml:space="preserve"> 4.224亿</t>
  </si>
  <si>
    <t xml:space="preserve"> 49.51亿</t>
  </si>
  <si>
    <t xml:space="preserve"> 用友网络</t>
  </si>
  <si>
    <t xml:space="preserve"> 57.1亿</t>
  </si>
  <si>
    <t xml:space="preserve"> 8.85万</t>
  </si>
  <si>
    <t xml:space="preserve"> 34.19亿</t>
  </si>
  <si>
    <t xml:space="preserve"> 586.6亿</t>
  </si>
  <si>
    <t xml:space="preserve"> 34.17亿</t>
  </si>
  <si>
    <t xml:space="preserve"> 586.4亿</t>
  </si>
  <si>
    <t xml:space="preserve"> 京泉华</t>
  </si>
  <si>
    <t xml:space="preserve"> 2.88亿</t>
  </si>
  <si>
    <t xml:space="preserve"> 8.31万</t>
  </si>
  <si>
    <t xml:space="preserve"> 6.43万</t>
  </si>
  <si>
    <t xml:space="preserve"> 2.728亿</t>
  </si>
  <si>
    <t xml:space="preserve"> 53.77亿</t>
  </si>
  <si>
    <t xml:space="preserve"> 2.257亿</t>
  </si>
  <si>
    <t xml:space="preserve"> 44.49亿</t>
  </si>
  <si>
    <t xml:space="preserve"> 慈文传媒</t>
  </si>
  <si>
    <t xml:space="preserve"> 39.5万</t>
  </si>
  <si>
    <t xml:space="preserve"> 4.43亿</t>
  </si>
  <si>
    <t xml:space="preserve"> 4.749亿</t>
  </si>
  <si>
    <t xml:space="preserve"> 34.91亿</t>
  </si>
  <si>
    <t xml:space="preserve"> 葫芦娃</t>
  </si>
  <si>
    <t xml:space="preserve"> 15.8万</t>
  </si>
  <si>
    <t xml:space="preserve"> 12.8亿</t>
  </si>
  <si>
    <t xml:space="preserve"> 6.19万</t>
  </si>
  <si>
    <t xml:space="preserve"> 4.001亿</t>
  </si>
  <si>
    <t xml:space="preserve"> 71.82亿</t>
  </si>
  <si>
    <t xml:space="preserve"> 铭科精技</t>
  </si>
  <si>
    <t xml:space="preserve"> 5.55万</t>
  </si>
  <si>
    <t xml:space="preserve"> 4.89万</t>
  </si>
  <si>
    <t xml:space="preserve"> 1.414亿</t>
  </si>
  <si>
    <t xml:space="preserve"> 6097万</t>
  </si>
  <si>
    <t xml:space="preserve"> 17.00亿</t>
  </si>
  <si>
    <t xml:space="preserve"> 西藏天路</t>
  </si>
  <si>
    <t xml:space="preserve"> 2.87亿</t>
  </si>
  <si>
    <t xml:space="preserve"> 28.1亿</t>
  </si>
  <si>
    <t xml:space="preserve"> 11.96亿</t>
  </si>
  <si>
    <t xml:space="preserve"> 65.18亿</t>
  </si>
  <si>
    <t xml:space="preserve"> 11.94亿</t>
  </si>
  <si>
    <t xml:space="preserve"> 65.08亿</t>
  </si>
  <si>
    <t xml:space="preserve"> 东尼电子</t>
  </si>
  <si>
    <t xml:space="preserve"> 6.98万</t>
  </si>
  <si>
    <t xml:space="preserve"> 2.324亿</t>
  </si>
  <si>
    <t xml:space="preserve"> 95.53亿</t>
  </si>
  <si>
    <t xml:space="preserve"> 英飞拓</t>
  </si>
  <si>
    <t xml:space="preserve"> 9.87亿</t>
  </si>
  <si>
    <t xml:space="preserve"> 11.99亿</t>
  </si>
  <si>
    <t xml:space="preserve"> 10.46亿</t>
  </si>
  <si>
    <t xml:space="preserve"> 90.31亿</t>
  </si>
  <si>
    <t xml:space="preserve"> 卓翼科技</t>
  </si>
  <si>
    <t xml:space="preserve"> 13.9亿</t>
  </si>
  <si>
    <t xml:space="preserve"> 5.670亿</t>
  </si>
  <si>
    <t xml:space="preserve"> 37.42亿</t>
  </si>
  <si>
    <t xml:space="preserve"> 5.662亿</t>
  </si>
  <si>
    <t xml:space="preserve"> 东方材料</t>
  </si>
  <si>
    <t xml:space="preserve"> 2.86亿</t>
  </si>
  <si>
    <t xml:space="preserve"> 4.53万</t>
  </si>
  <si>
    <t xml:space="preserve"> 2.012亿</t>
  </si>
  <si>
    <t xml:space="preserve"> 63.04亿</t>
  </si>
  <si>
    <t xml:space="preserve"> 新华保险</t>
  </si>
  <si>
    <t xml:space="preserve"> 619亿</t>
  </si>
  <si>
    <t xml:space="preserve"> 982.3亿</t>
  </si>
  <si>
    <t xml:space="preserve"> 20.85亿</t>
  </si>
  <si>
    <t xml:space="preserve"> 656.7亿</t>
  </si>
  <si>
    <t xml:space="preserve"> 鹏辉能源</t>
  </si>
  <si>
    <t xml:space="preserve"> 5.61万</t>
  </si>
  <si>
    <t xml:space="preserve"> 5.034亿</t>
  </si>
  <si>
    <t xml:space="preserve"> 136.7亿</t>
  </si>
  <si>
    <t xml:space="preserve"> 3.591亿</t>
  </si>
  <si>
    <t xml:space="preserve"> 97.53亿</t>
  </si>
  <si>
    <t xml:space="preserve"> 申万宏源</t>
  </si>
  <si>
    <t xml:space="preserve"> 62.7万</t>
  </si>
  <si>
    <t xml:space="preserve"> 2.85亿</t>
  </si>
  <si>
    <t xml:space="preserve"> 163亿</t>
  </si>
  <si>
    <t xml:space="preserve"> -3.07万</t>
  </si>
  <si>
    <t xml:space="preserve"> 250.4亿</t>
  </si>
  <si>
    <t xml:space="preserve"> 1147亿</t>
  </si>
  <si>
    <t xml:space="preserve"> 225.4亿</t>
  </si>
  <si>
    <t xml:space="preserve"> 星辉娱乐</t>
  </si>
  <si>
    <t xml:space="preserve"> 14.7亿</t>
  </si>
  <si>
    <t xml:space="preserve"> 45.2万</t>
  </si>
  <si>
    <t xml:space="preserve"> 12.44亿</t>
  </si>
  <si>
    <t xml:space="preserve"> 33.52亿</t>
  </si>
  <si>
    <t xml:space="preserve"> 科大智能</t>
  </si>
  <si>
    <t xml:space="preserve"> 7.802亿</t>
  </si>
  <si>
    <t xml:space="preserve"> 60.70亿</t>
  </si>
  <si>
    <t xml:space="preserve"> 6.358亿</t>
  </si>
  <si>
    <t xml:space="preserve"> 盛通股份</t>
  </si>
  <si>
    <t xml:space="preserve"> 37.9万</t>
  </si>
  <si>
    <t xml:space="preserve"> 18.0亿</t>
  </si>
  <si>
    <t xml:space="preserve"> 40.80亿</t>
  </si>
  <si>
    <t xml:space="preserve"> 4.022亿</t>
  </si>
  <si>
    <t xml:space="preserve"> 30.52亿</t>
  </si>
  <si>
    <t xml:space="preserve"> 龙洲股份</t>
  </si>
  <si>
    <t xml:space="preserve"> 49.0万</t>
  </si>
  <si>
    <t xml:space="preserve"> 2.84亿</t>
  </si>
  <si>
    <t xml:space="preserve"> 5.624亿</t>
  </si>
  <si>
    <t xml:space="preserve"> 32.84亿</t>
  </si>
  <si>
    <t xml:space="preserve"> 中锐股份</t>
  </si>
  <si>
    <t xml:space="preserve"> 71.0万</t>
  </si>
  <si>
    <t xml:space="preserve"> 6.76万</t>
  </si>
  <si>
    <t xml:space="preserve"> 10.88亿</t>
  </si>
  <si>
    <t xml:space="preserve"> 44.50亿</t>
  </si>
  <si>
    <t xml:space="preserve"> 电子城</t>
  </si>
  <si>
    <t xml:space="preserve"> 25.6亿</t>
  </si>
  <si>
    <t xml:space="preserve"> 天源环保</t>
  </si>
  <si>
    <t xml:space="preserve"> 11.7亿</t>
  </si>
  <si>
    <t xml:space="preserve"> 4.202亿</t>
  </si>
  <si>
    <t xml:space="preserve"> 2.472亿</t>
  </si>
  <si>
    <t xml:space="preserve"> 斯达半导</t>
  </si>
  <si>
    <t xml:space="preserve"> 1.709亿</t>
  </si>
  <si>
    <t xml:space="preserve"> 316.4亿</t>
  </si>
  <si>
    <t xml:space="preserve"> 友阿股份</t>
  </si>
  <si>
    <t xml:space="preserve"> 62.8万</t>
  </si>
  <si>
    <t xml:space="preserve"> 13.94亿</t>
  </si>
  <si>
    <t xml:space="preserve"> 62.46亿</t>
  </si>
  <si>
    <t xml:space="preserve"> 内蒙华电</t>
  </si>
  <si>
    <t xml:space="preserve"> 73.4万</t>
  </si>
  <si>
    <t xml:space="preserve"> -2.30万</t>
  </si>
  <si>
    <t xml:space="preserve"> 48.5万</t>
  </si>
  <si>
    <t xml:space="preserve"> 65.27亿</t>
  </si>
  <si>
    <t xml:space="preserve"> 253.2亿</t>
  </si>
  <si>
    <t xml:space="preserve"> 中公高科</t>
  </si>
  <si>
    <t xml:space="preserve"> 8.45万</t>
  </si>
  <si>
    <t xml:space="preserve"> 1.08亿</t>
  </si>
  <si>
    <t xml:space="preserve"> 6.10万</t>
  </si>
  <si>
    <t xml:space="preserve"> 6668万</t>
  </si>
  <si>
    <t xml:space="preserve"> 23.56亿</t>
  </si>
  <si>
    <t xml:space="preserve"> 宇环数控</t>
  </si>
  <si>
    <t xml:space="preserve"> 6.75万</t>
  </si>
  <si>
    <t xml:space="preserve"> 1.522亿</t>
  </si>
  <si>
    <t xml:space="preserve"> 35.41亿</t>
  </si>
  <si>
    <t xml:space="preserve"> 9937万</t>
  </si>
  <si>
    <t xml:space="preserve"> 23.11亿</t>
  </si>
  <si>
    <t xml:space="preserve"> 亚太股份</t>
  </si>
  <si>
    <t xml:space="preserve"> 2.82亿</t>
  </si>
  <si>
    <t xml:space="preserve"> 7.377亿</t>
  </si>
  <si>
    <t xml:space="preserve"> 76.42亿</t>
  </si>
  <si>
    <t xml:space="preserve"> 7.298亿</t>
  </si>
  <si>
    <t xml:space="preserve"> 75.61亿</t>
  </si>
  <si>
    <t xml:space="preserve"> 青岛食品</t>
  </si>
  <si>
    <t xml:space="preserve"> 32.10亿</t>
  </si>
  <si>
    <t xml:space="preserve"> 7572万</t>
  </si>
  <si>
    <t xml:space="preserve"> 16.20亿</t>
  </si>
  <si>
    <t xml:space="preserve"> 华锋股份</t>
  </si>
  <si>
    <t xml:space="preserve"> 8.79万</t>
  </si>
  <si>
    <t xml:space="preserve"> 1.894亿</t>
  </si>
  <si>
    <t xml:space="preserve"> 24.89亿</t>
  </si>
  <si>
    <t xml:space="preserve"> 1.490亿</t>
  </si>
  <si>
    <t xml:space="preserve"> 19.58亿</t>
  </si>
  <si>
    <t xml:space="preserve"> 嵘泰股份</t>
  </si>
  <si>
    <t xml:space="preserve"> 9.10万</t>
  </si>
  <si>
    <t xml:space="preserve"> 1.862亿</t>
  </si>
  <si>
    <t xml:space="preserve"> 57.49亿</t>
  </si>
  <si>
    <t xml:space="preserve"> 6342万</t>
  </si>
  <si>
    <t xml:space="preserve"> 三维通信</t>
  </si>
  <si>
    <t xml:space="preserve"> 99.4亿</t>
  </si>
  <si>
    <t xml:space="preserve"> 8.110亿</t>
  </si>
  <si>
    <t xml:space="preserve"> 63.34亿</t>
  </si>
  <si>
    <t xml:space="preserve"> 7.522亿</t>
  </si>
  <si>
    <t xml:space="preserve"> 58.75亿</t>
  </si>
  <si>
    <t xml:space="preserve"> 宏辉果蔬</t>
  </si>
  <si>
    <t xml:space="preserve"> 2.81亿</t>
  </si>
  <si>
    <t xml:space="preserve"> 7.58亿</t>
  </si>
  <si>
    <t xml:space="preserve"> 26.5万</t>
  </si>
  <si>
    <t xml:space="preserve"> 5.704亿</t>
  </si>
  <si>
    <t xml:space="preserve"> 30.97亿</t>
  </si>
  <si>
    <t xml:space="preserve"> 中国稀土</t>
  </si>
  <si>
    <t xml:space="preserve"> 31.1亿</t>
  </si>
  <si>
    <t xml:space="preserve"> 9.809亿</t>
  </si>
  <si>
    <t xml:space="preserve"> 272.2亿</t>
  </si>
  <si>
    <t xml:space="preserve"> 兴业证券</t>
  </si>
  <si>
    <t xml:space="preserve"> 88.6亿</t>
  </si>
  <si>
    <t xml:space="preserve"> 86.36亿</t>
  </si>
  <si>
    <t xml:space="preserve"> 526.8亿</t>
  </si>
  <si>
    <t xml:space="preserve"> 江盐集团</t>
  </si>
  <si>
    <t xml:space="preserve"> 22.1亿</t>
  </si>
  <si>
    <t xml:space="preserve"> 6.428亿</t>
  </si>
  <si>
    <t xml:space="preserve"> 78.03亿</t>
  </si>
  <si>
    <t xml:space="preserve"> 19.42亿</t>
  </si>
  <si>
    <t xml:space="preserve"> 抚顺特钢</t>
  </si>
  <si>
    <t xml:space="preserve"> 62.7亿</t>
  </si>
  <si>
    <t xml:space="preserve"> 199.0亿</t>
  </si>
  <si>
    <t xml:space="preserve"> 心脉医疗</t>
  </si>
  <si>
    <t xml:space="preserve"> 1.36万</t>
  </si>
  <si>
    <t xml:space="preserve"> 2.80亿</t>
  </si>
  <si>
    <t xml:space="preserve"> 8.88亿</t>
  </si>
  <si>
    <t xml:space="preserve"> 7198万</t>
  </si>
  <si>
    <t xml:space="preserve"> 149.0亿</t>
  </si>
  <si>
    <t xml:space="preserve"> 中信建投</t>
  </si>
  <si>
    <t xml:space="preserve"> 2.79亿</t>
  </si>
  <si>
    <t xml:space="preserve"> 184亿</t>
  </si>
  <si>
    <t xml:space="preserve"> 5.19万</t>
  </si>
  <si>
    <t xml:space="preserve"> 5.71万</t>
  </si>
  <si>
    <t xml:space="preserve"> 77.57亿</t>
  </si>
  <si>
    <t xml:space="preserve"> 1994亿</t>
  </si>
  <si>
    <t xml:space="preserve"> 38.11亿</t>
  </si>
  <si>
    <t xml:space="preserve"> 979.9亿</t>
  </si>
  <si>
    <t xml:space="preserve"> 国金证券</t>
  </si>
  <si>
    <t xml:space="preserve"> 37.24亿</t>
  </si>
  <si>
    <t xml:space="preserve"> 355.7亿</t>
  </si>
  <si>
    <t xml:space="preserve"> 32.11亿</t>
  </si>
  <si>
    <t xml:space="preserve"> 306.7亿</t>
  </si>
  <si>
    <t xml:space="preserve"> 中炬高新</t>
  </si>
  <si>
    <t xml:space="preserve"> 8.65万</t>
  </si>
  <si>
    <t xml:space="preserve"> 39.5亿</t>
  </si>
  <si>
    <t xml:space="preserve"> 4.22万</t>
  </si>
  <si>
    <t xml:space="preserve"> 7.854亿</t>
  </si>
  <si>
    <t xml:space="preserve"> 254.2亿</t>
  </si>
  <si>
    <t xml:space="preserve"> 秋田微</t>
  </si>
  <si>
    <t xml:space="preserve"> 7.43亿</t>
  </si>
  <si>
    <t xml:space="preserve"> 1.200亿</t>
  </si>
  <si>
    <t xml:space="preserve"> 45.70亿</t>
  </si>
  <si>
    <t xml:space="preserve"> 6589万</t>
  </si>
  <si>
    <t xml:space="preserve"> 25.09亿</t>
  </si>
  <si>
    <t xml:space="preserve"> 五方光电</t>
  </si>
  <si>
    <t xml:space="preserve"> 8.78万</t>
  </si>
  <si>
    <t xml:space="preserve"> 2.929亿</t>
  </si>
  <si>
    <t xml:space="preserve"> 42.91亿</t>
  </si>
  <si>
    <t xml:space="preserve"> 2.092亿</t>
  </si>
  <si>
    <t xml:space="preserve"> 30.65亿</t>
  </si>
  <si>
    <t xml:space="preserve"> 特变电工</t>
  </si>
  <si>
    <t xml:space="preserve"> 737亿</t>
  </si>
  <si>
    <t xml:space="preserve"> 50.53亿</t>
  </si>
  <si>
    <t xml:space="preserve"> 706.9亿</t>
  </si>
  <si>
    <t xml:space="preserve"> 华微电子</t>
  </si>
  <si>
    <t xml:space="preserve"> 2.77亿</t>
  </si>
  <si>
    <t xml:space="preserve"> 9.603亿</t>
  </si>
  <si>
    <t xml:space="preserve"> 76.25亿</t>
  </si>
  <si>
    <t xml:space="preserve"> 浙商证券</t>
  </si>
  <si>
    <t xml:space="preserve"> 38.78亿</t>
  </si>
  <si>
    <t xml:space="preserve"> 409.9亿</t>
  </si>
  <si>
    <t xml:space="preserve"> 中文传媒</t>
  </si>
  <si>
    <t xml:space="preserve"> 70.6亿</t>
  </si>
  <si>
    <t xml:space="preserve"> 184.7亿</t>
  </si>
  <si>
    <t xml:space="preserve"> 亚康股份</t>
  </si>
  <si>
    <t xml:space="preserve"> 4.31万</t>
  </si>
  <si>
    <t xml:space="preserve"> 14.0亿</t>
  </si>
  <si>
    <t xml:space="preserve"> 2.04万</t>
  </si>
  <si>
    <t xml:space="preserve"> 8678万</t>
  </si>
  <si>
    <t xml:space="preserve"> 56.67亿</t>
  </si>
  <si>
    <t xml:space="preserve"> 3938万</t>
  </si>
  <si>
    <t xml:space="preserve"> 25.72亿</t>
  </si>
  <si>
    <t xml:space="preserve"> 烽火通信</t>
  </si>
  <si>
    <t xml:space="preserve"> 2.76亿</t>
  </si>
  <si>
    <t xml:space="preserve"> 11.85亿</t>
  </si>
  <si>
    <t xml:space="preserve"> 216.6亿</t>
  </si>
  <si>
    <t xml:space="preserve"> 11.49亿</t>
  </si>
  <si>
    <t xml:space="preserve"> 210.0亿</t>
  </si>
  <si>
    <t xml:space="preserve"> 威尔泰</t>
  </si>
  <si>
    <t xml:space="preserve"> 1.01亿</t>
  </si>
  <si>
    <t xml:space="preserve"> 8.57万</t>
  </si>
  <si>
    <t xml:space="preserve"> 1.434亿</t>
  </si>
  <si>
    <t xml:space="preserve"> 18.02亿</t>
  </si>
  <si>
    <t xml:space="preserve"> 1.431亿</t>
  </si>
  <si>
    <t xml:space="preserve"> 17.98亿</t>
  </si>
  <si>
    <t xml:space="preserve"> 唐德影视</t>
  </si>
  <si>
    <t xml:space="preserve"> 2.28亿</t>
  </si>
  <si>
    <t xml:space="preserve"> 4.049亿</t>
  </si>
  <si>
    <t xml:space="preserve"> 50.40亿</t>
  </si>
  <si>
    <t xml:space="preserve"> 49.35亿</t>
  </si>
  <si>
    <t xml:space="preserve"> 上海机场</t>
  </si>
  <si>
    <t xml:space="preserve"> 79.2亿</t>
  </si>
  <si>
    <t xml:space="preserve"> 894.9亿</t>
  </si>
  <si>
    <t xml:space="preserve"> 19.27亿</t>
  </si>
  <si>
    <t xml:space="preserve"> 692.9亿</t>
  </si>
  <si>
    <t xml:space="preserve"> 包钢股份</t>
  </si>
  <si>
    <t xml:space="preserve"> 3.11万</t>
  </si>
  <si>
    <t xml:space="preserve"> 536亿</t>
  </si>
  <si>
    <t xml:space="preserve"> 45.8万</t>
  </si>
  <si>
    <t xml:space="preserve"> 134万</t>
  </si>
  <si>
    <t xml:space="preserve"> 6.68万</t>
  </si>
  <si>
    <t xml:space="preserve"> 454.0亿</t>
  </si>
  <si>
    <t xml:space="preserve"> 703.8亿</t>
  </si>
  <si>
    <t xml:space="preserve"> 315.0亿</t>
  </si>
  <si>
    <t xml:space="preserve"> 488.2亿</t>
  </si>
  <si>
    <t xml:space="preserve"> 双杰电气</t>
  </si>
  <si>
    <t xml:space="preserve"> 25.5亿</t>
  </si>
  <si>
    <t xml:space="preserve"> 7.986亿</t>
  </si>
  <si>
    <t xml:space="preserve"> 57.34亿</t>
  </si>
  <si>
    <t xml:space="preserve"> 5.923亿</t>
  </si>
  <si>
    <t xml:space="preserve"> 42.53亿</t>
  </si>
  <si>
    <t xml:space="preserve"> 神奇制药</t>
  </si>
  <si>
    <t xml:space="preserve"> 17.1亿</t>
  </si>
  <si>
    <t xml:space="preserve"> 5.341亿</t>
  </si>
  <si>
    <t xml:space="preserve"> 46.52亿</t>
  </si>
  <si>
    <t xml:space="preserve"> 4.793亿</t>
  </si>
  <si>
    <t xml:space="preserve"> 41.75亿</t>
  </si>
  <si>
    <t xml:space="preserve"> 民德电子</t>
  </si>
  <si>
    <t xml:space="preserve"> 9.88万</t>
  </si>
  <si>
    <t xml:space="preserve"> 5.65万</t>
  </si>
  <si>
    <t xml:space="preserve"> 1.726亿</t>
  </si>
  <si>
    <t xml:space="preserve"> 47.84亿</t>
  </si>
  <si>
    <t xml:space="preserve"> 1.267亿</t>
  </si>
  <si>
    <t xml:space="preserve"> 35.12亿</t>
  </si>
  <si>
    <t xml:space="preserve"> 鼎捷软件</t>
  </si>
  <si>
    <t xml:space="preserve"> 2.693亿</t>
  </si>
  <si>
    <t xml:space="preserve"> 60.65亿</t>
  </si>
  <si>
    <t xml:space="preserve"> 2.675亿</t>
  </si>
  <si>
    <t xml:space="preserve"> 60.25亿</t>
  </si>
  <si>
    <t xml:space="preserve"> 虹软科技</t>
  </si>
  <si>
    <t xml:space="preserve"> 6.93万</t>
  </si>
  <si>
    <t xml:space="preserve"> 5.03亿</t>
  </si>
  <si>
    <t xml:space="preserve"> 3.05万</t>
  </si>
  <si>
    <t xml:space="preserve"> 4.060亿</t>
  </si>
  <si>
    <t xml:space="preserve"> 华铭智能</t>
  </si>
  <si>
    <t xml:space="preserve"> 4.47亿</t>
  </si>
  <si>
    <t xml:space="preserve"> 9.90万</t>
  </si>
  <si>
    <t xml:space="preserve"> 1.831亿</t>
  </si>
  <si>
    <t xml:space="preserve"> 23.48亿</t>
  </si>
  <si>
    <t xml:space="preserve"> 1.365亿</t>
  </si>
  <si>
    <t xml:space="preserve"> 17.51亿</t>
  </si>
  <si>
    <t xml:space="preserve"> 三 力 士</t>
  </si>
  <si>
    <t xml:space="preserve"> 7.296亿</t>
  </si>
  <si>
    <t xml:space="preserve"> 6.338亿</t>
  </si>
  <si>
    <t xml:space="preserve"> 37.08亿</t>
  </si>
  <si>
    <t xml:space="preserve"> 云南白药</t>
  </si>
  <si>
    <t xml:space="preserve"> 5.44万</t>
  </si>
  <si>
    <t xml:space="preserve"> 297亿</t>
  </si>
  <si>
    <t xml:space="preserve"> 17.97亿</t>
  </si>
  <si>
    <t xml:space="preserve"> 904.7亿</t>
  </si>
  <si>
    <t xml:space="preserve"> 17.85亿</t>
  </si>
  <si>
    <t xml:space="preserve"> 898.7亿</t>
  </si>
  <si>
    <t xml:space="preserve"> 海天瑞声</t>
  </si>
  <si>
    <t xml:space="preserve"> 3.61万</t>
  </si>
  <si>
    <t xml:space="preserve"> 6033万</t>
  </si>
  <si>
    <t xml:space="preserve"> 46.87亿</t>
  </si>
  <si>
    <t xml:space="preserve"> 4125万</t>
  </si>
  <si>
    <t xml:space="preserve"> 32.05亿</t>
  </si>
  <si>
    <t xml:space="preserve"> 雅化集团</t>
  </si>
  <si>
    <t xml:space="preserve"> 94.7亿</t>
  </si>
  <si>
    <t xml:space="preserve"> 11.53亿</t>
  </si>
  <si>
    <t xml:space="preserve"> 144.0亿</t>
  </si>
  <si>
    <t xml:space="preserve"> 10.52亿</t>
  </si>
  <si>
    <t xml:space="preserve"> 131.4亿</t>
  </si>
  <si>
    <t xml:space="preserve"> 延华智能</t>
  </si>
  <si>
    <t xml:space="preserve"> 7.122亿</t>
  </si>
  <si>
    <t xml:space="preserve"> 40.52亿</t>
  </si>
  <si>
    <t xml:space="preserve"> 7.117亿</t>
  </si>
  <si>
    <t xml:space="preserve"> 40.50亿</t>
  </si>
  <si>
    <t xml:space="preserve"> 宜通世纪</t>
  </si>
  <si>
    <t xml:space="preserve"> 18.8亿</t>
  </si>
  <si>
    <t xml:space="preserve"> -1.16万</t>
  </si>
  <si>
    <t xml:space="preserve"> 8.817亿</t>
  </si>
  <si>
    <t xml:space="preserve"> 43.20亿</t>
  </si>
  <si>
    <t xml:space="preserve"> 6.917亿</t>
  </si>
  <si>
    <t xml:space="preserve"> 33.90亿</t>
  </si>
  <si>
    <t xml:space="preserve"> 中国广核</t>
  </si>
  <si>
    <t xml:space="preserve"> 598亿</t>
  </si>
  <si>
    <t xml:space="preserve"> -1.15万</t>
  </si>
  <si>
    <t xml:space="preserve"> 505.0亿</t>
  </si>
  <si>
    <t xml:space="preserve"> 1525亿</t>
  </si>
  <si>
    <t xml:space="preserve"> 393.3亿</t>
  </si>
  <si>
    <t xml:space="preserve"> 1188亿</t>
  </si>
  <si>
    <t xml:space="preserve"> 博瑞医药</t>
  </si>
  <si>
    <t xml:space="preserve"> 9.15亿</t>
  </si>
  <si>
    <t xml:space="preserve"> 4.06万</t>
  </si>
  <si>
    <t xml:space="preserve"> 4.225亿</t>
  </si>
  <si>
    <t xml:space="preserve"> 150.5亿</t>
  </si>
  <si>
    <t xml:space="preserve"> 格林美</t>
  </si>
  <si>
    <t xml:space="preserve"> 2.71亿</t>
  </si>
  <si>
    <t xml:space="preserve"> 202亿</t>
  </si>
  <si>
    <t xml:space="preserve"> 31.2万</t>
  </si>
  <si>
    <t xml:space="preserve"> 51.36亿</t>
  </si>
  <si>
    <t xml:space="preserve"> 286.6亿</t>
  </si>
  <si>
    <t xml:space="preserve"> 50.78亿</t>
  </si>
  <si>
    <t xml:space="preserve"> 283.4亿</t>
  </si>
  <si>
    <t xml:space="preserve"> 全通教育</t>
  </si>
  <si>
    <t xml:space="preserve"> 6.333亿</t>
  </si>
  <si>
    <t xml:space="preserve"> 40.98亿</t>
  </si>
  <si>
    <t xml:space="preserve"> 40.97亿</t>
  </si>
  <si>
    <t xml:space="preserve"> 仙琚制药</t>
  </si>
  <si>
    <t xml:space="preserve"> 2.70亿</t>
  </si>
  <si>
    <t xml:space="preserve"> 9.892亿</t>
  </si>
  <si>
    <t xml:space="preserve"> 123.4亿</t>
  </si>
  <si>
    <t xml:space="preserve"> 9.846亿</t>
  </si>
  <si>
    <t xml:space="preserve"> 122.8亿</t>
  </si>
  <si>
    <t xml:space="preserve"> 汉得信息</t>
  </si>
  <si>
    <t xml:space="preserve"> 9.833亿</t>
  </si>
  <si>
    <t xml:space="preserve"> 88.79亿</t>
  </si>
  <si>
    <t xml:space="preserve"> 9.425亿</t>
  </si>
  <si>
    <t xml:space="preserve"> 85.11亿</t>
  </si>
  <si>
    <t xml:space="preserve"> 金钟股份</t>
  </si>
  <si>
    <t xml:space="preserve"> 2.69亿</t>
  </si>
  <si>
    <t xml:space="preserve"> 4.02万</t>
  </si>
  <si>
    <t xml:space="preserve"> 1.061亿</t>
  </si>
  <si>
    <t xml:space="preserve"> 33.91亿</t>
  </si>
  <si>
    <t xml:space="preserve"> 3110万</t>
  </si>
  <si>
    <t xml:space="preserve"> 9.938亿</t>
  </si>
  <si>
    <t xml:space="preserve"> 中国电建</t>
  </si>
  <si>
    <t xml:space="preserve"> 54.1万</t>
  </si>
  <si>
    <t xml:space="preserve"> 4214亿</t>
  </si>
  <si>
    <t xml:space="preserve"> -2.86万</t>
  </si>
  <si>
    <t xml:space="preserve"> 172.3亿</t>
  </si>
  <si>
    <t xml:space="preserve"> 859.6亿</t>
  </si>
  <si>
    <t xml:space="preserve"> 130.7亿</t>
  </si>
  <si>
    <t xml:space="preserve"> 652.3亿</t>
  </si>
  <si>
    <t xml:space="preserve"> 我乐家居</t>
  </si>
  <si>
    <t xml:space="preserve"> 12.4亿</t>
  </si>
  <si>
    <t xml:space="preserve"> 3.229亿</t>
  </si>
  <si>
    <t xml:space="preserve"> 33.58亿</t>
  </si>
  <si>
    <t xml:space="preserve"> 3.155亿</t>
  </si>
  <si>
    <t xml:space="preserve"> 32.81亿</t>
  </si>
  <si>
    <t xml:space="preserve"> 露笑科技</t>
  </si>
  <si>
    <t xml:space="preserve"> 20.8亿</t>
  </si>
  <si>
    <t xml:space="preserve"> 19.23亿</t>
  </si>
  <si>
    <t xml:space="preserve"> 18.91亿</t>
  </si>
  <si>
    <t xml:space="preserve"> 126.2亿</t>
  </si>
  <si>
    <t xml:space="preserve"> 恒源煤电</t>
  </si>
  <si>
    <t xml:space="preserve"> 24.3万</t>
  </si>
  <si>
    <t xml:space="preserve"> 59.7亿</t>
  </si>
  <si>
    <t xml:space="preserve"> 12.00亿</t>
  </si>
  <si>
    <t xml:space="preserve"> 133.4亿</t>
  </si>
  <si>
    <t xml:space="preserve"> 天富能源</t>
  </si>
  <si>
    <t xml:space="preserve"> 63.7亿</t>
  </si>
  <si>
    <t xml:space="preserve"> 13.79亿</t>
  </si>
  <si>
    <t xml:space="preserve"> 91.43亿</t>
  </si>
  <si>
    <t xml:space="preserve"> 76.34亿</t>
  </si>
  <si>
    <t xml:space="preserve"> 震裕科技</t>
  </si>
  <si>
    <t xml:space="preserve"> 2.68亿</t>
  </si>
  <si>
    <t xml:space="preserve"> 42.8亿</t>
  </si>
  <si>
    <t xml:space="preserve"> 2.73万</t>
  </si>
  <si>
    <t xml:space="preserve"> 64.01亿</t>
  </si>
  <si>
    <t xml:space="preserve"> 4558万</t>
  </si>
  <si>
    <t xml:space="preserve"> 天汽模</t>
  </si>
  <si>
    <t xml:space="preserve"> 9.416亿</t>
  </si>
  <si>
    <t xml:space="preserve"> 45.76亿</t>
  </si>
  <si>
    <t xml:space="preserve"> 9.314亿</t>
  </si>
  <si>
    <t xml:space="preserve"> 45.26亿</t>
  </si>
  <si>
    <t xml:space="preserve"> 荣联科技</t>
  </si>
  <si>
    <t xml:space="preserve"> 6.616亿</t>
  </si>
  <si>
    <t xml:space="preserve"> 59.21亿</t>
  </si>
  <si>
    <t xml:space="preserve"> 54.13亿</t>
  </si>
  <si>
    <t xml:space="preserve"> 圣泉集团</t>
  </si>
  <si>
    <t xml:space="preserve"> 2.67亿</t>
  </si>
  <si>
    <t xml:space="preserve"> 66.9亿</t>
  </si>
  <si>
    <t xml:space="preserve"> 4.68万</t>
  </si>
  <si>
    <t xml:space="preserve"> 7.843亿</t>
  </si>
  <si>
    <t xml:space="preserve"> 180.9亿</t>
  </si>
  <si>
    <t xml:space="preserve"> 6.152亿</t>
  </si>
  <si>
    <t xml:space="preserve"> 141.9亿</t>
  </si>
  <si>
    <t xml:space="preserve"> 中马传动</t>
  </si>
  <si>
    <t xml:space="preserve"> 3.086亿</t>
  </si>
  <si>
    <t xml:space="preserve"> 48.76亿</t>
  </si>
  <si>
    <t xml:space="preserve"> 东微半导</t>
  </si>
  <si>
    <t xml:space="preserve"> 2.69万</t>
  </si>
  <si>
    <t xml:space="preserve"> 2.66亿</t>
  </si>
  <si>
    <t xml:space="preserve"> 1.40万</t>
  </si>
  <si>
    <t xml:space="preserve"> 9433万</t>
  </si>
  <si>
    <t xml:space="preserve"> 93.05亿</t>
  </si>
  <si>
    <t xml:space="preserve"> 5906万</t>
  </si>
  <si>
    <t xml:space="preserve"> 58.26亿</t>
  </si>
  <si>
    <t xml:space="preserve"> 元道通信</t>
  </si>
  <si>
    <t xml:space="preserve"> 6.80万</t>
  </si>
  <si>
    <t xml:space="preserve"> 11.5亿</t>
  </si>
  <si>
    <t xml:space="preserve"> 3.36万</t>
  </si>
  <si>
    <t xml:space="preserve"> 1.216亿</t>
  </si>
  <si>
    <t xml:space="preserve"> 48.30亿</t>
  </si>
  <si>
    <t xml:space="preserve"> 6799万</t>
  </si>
  <si>
    <t xml:space="preserve"> 27.01亿</t>
  </si>
  <si>
    <t xml:space="preserve"> 冀中能源</t>
  </si>
  <si>
    <t xml:space="preserve"> 35.34亿</t>
  </si>
  <si>
    <t xml:space="preserve"> 249.1亿</t>
  </si>
  <si>
    <t xml:space="preserve"> 29.07亿</t>
  </si>
  <si>
    <t xml:space="preserve"> 204.9亿</t>
  </si>
  <si>
    <t xml:space="preserve"> 君亭酒店</t>
  </si>
  <si>
    <t xml:space="preserve"> 2.65亿</t>
  </si>
  <si>
    <t xml:space="preserve"> 5.49万</t>
  </si>
  <si>
    <t xml:space="preserve"> 1.945亿</t>
  </si>
  <si>
    <t xml:space="preserve"> 49.94亿</t>
  </si>
  <si>
    <t xml:space="preserve"> 8516万</t>
  </si>
  <si>
    <t xml:space="preserve"> 21.87亿</t>
  </si>
  <si>
    <t xml:space="preserve"> 新宙邦</t>
  </si>
  <si>
    <t xml:space="preserve"> 5.93万</t>
  </si>
  <si>
    <t xml:space="preserve"> 55.8亿</t>
  </si>
  <si>
    <t xml:space="preserve"> 7.496亿</t>
  </si>
  <si>
    <t xml:space="preserve"> 337.0亿</t>
  </si>
  <si>
    <t xml:space="preserve"> 5.422亿</t>
  </si>
  <si>
    <t xml:space="preserve"> 243.8亿</t>
  </si>
  <si>
    <t xml:space="preserve"> 财富趋势</t>
  </si>
  <si>
    <t xml:space="preserve"> 2.49亿</t>
  </si>
  <si>
    <t xml:space="preserve"> 1.307亿</t>
  </si>
  <si>
    <t xml:space="preserve"> 183.0亿</t>
  </si>
  <si>
    <t xml:space="preserve"> 京山轻机</t>
  </si>
  <si>
    <t xml:space="preserve"> 49.5亿</t>
  </si>
  <si>
    <t xml:space="preserve"> 6.229亿</t>
  </si>
  <si>
    <t xml:space="preserve"> 94.49亿</t>
  </si>
  <si>
    <t xml:space="preserve"> 5.803亿</t>
  </si>
  <si>
    <t xml:space="preserve"> 88.03亿</t>
  </si>
  <si>
    <t xml:space="preserve"> 高新兴</t>
  </si>
  <si>
    <t xml:space="preserve"> 58.9万</t>
  </si>
  <si>
    <t xml:space="preserve"> 2.64亿</t>
  </si>
  <si>
    <t xml:space="preserve"> 17.38亿</t>
  </si>
  <si>
    <t xml:space="preserve"> 79.07亿</t>
  </si>
  <si>
    <t xml:space="preserve"> 15.42亿</t>
  </si>
  <si>
    <t xml:space="preserve"> 70.15亿</t>
  </si>
  <si>
    <t xml:space="preserve"> 星环科技-U</t>
  </si>
  <si>
    <t xml:space="preserve"> 2.23亿</t>
  </si>
  <si>
    <t xml:space="preserve"> 1.208亿</t>
  </si>
  <si>
    <t xml:space="preserve"> 80.42亿</t>
  </si>
  <si>
    <t xml:space="preserve"> 8654万</t>
  </si>
  <si>
    <t xml:space="preserve"> 57.60亿</t>
  </si>
  <si>
    <t xml:space="preserve"> 中油资本</t>
  </si>
  <si>
    <t xml:space="preserve"> 282亿</t>
  </si>
  <si>
    <t xml:space="preserve"> 126.4亿</t>
  </si>
  <si>
    <t xml:space="preserve"> 719.3亿</t>
  </si>
  <si>
    <t xml:space="preserve"> 久其软件</t>
  </si>
  <si>
    <t xml:space="preserve"> 18.5亿</t>
  </si>
  <si>
    <t xml:space="preserve"> -1.49万</t>
  </si>
  <si>
    <t xml:space="preserve"> 8.658亿</t>
  </si>
  <si>
    <t xml:space="preserve"> 62.25亿</t>
  </si>
  <si>
    <t xml:space="preserve"> 7.950亿</t>
  </si>
  <si>
    <t xml:space="preserve"> 57.16亿</t>
  </si>
  <si>
    <t xml:space="preserve"> 梦网科技</t>
  </si>
  <si>
    <t xml:space="preserve"> 6.60万</t>
  </si>
  <si>
    <t xml:space="preserve"> 8.059亿</t>
  </si>
  <si>
    <t xml:space="preserve"> 126.5亿</t>
  </si>
  <si>
    <t xml:space="preserve"> 6.863亿</t>
  </si>
  <si>
    <t xml:space="preserve"> 太龙药业</t>
  </si>
  <si>
    <t xml:space="preserve"> 2.63亿</t>
  </si>
  <si>
    <t xml:space="preserve"> 22.8万</t>
  </si>
  <si>
    <t xml:space="preserve"> 星源材质</t>
  </si>
  <si>
    <t xml:space="preserve"> 12.82亿</t>
  </si>
  <si>
    <t xml:space="preserve"> 189.7亿</t>
  </si>
  <si>
    <t xml:space="preserve"> 170.1亿</t>
  </si>
  <si>
    <t xml:space="preserve"> 徕木股份</t>
  </si>
  <si>
    <t xml:space="preserve"> 7.78亿</t>
  </si>
  <si>
    <t xml:space="preserve"> 4.268亿</t>
  </si>
  <si>
    <t xml:space="preserve"> 中国中车</t>
  </si>
  <si>
    <t xml:space="preserve"> 50.2万</t>
  </si>
  <si>
    <t xml:space="preserve"> 1430亿</t>
  </si>
  <si>
    <t xml:space="preserve"> -2.46万</t>
  </si>
  <si>
    <t xml:space="preserve"> 287.0亿</t>
  </si>
  <si>
    <t xml:space="preserve"> 1510亿</t>
  </si>
  <si>
    <t xml:space="preserve"> 1280亿</t>
  </si>
  <si>
    <t xml:space="preserve"> 一彬科技</t>
  </si>
  <si>
    <t xml:space="preserve"> 14.2亿</t>
  </si>
  <si>
    <t xml:space="preserve"> 1.237亿</t>
  </si>
  <si>
    <t xml:space="preserve"> 34.00亿</t>
  </si>
  <si>
    <t xml:space="preserve"> 3093万</t>
  </si>
  <si>
    <t xml:space="preserve"> 8.500亿</t>
  </si>
  <si>
    <t xml:space="preserve"> 南京公用</t>
  </si>
  <si>
    <t xml:space="preserve"> 5.783亿</t>
  </si>
  <si>
    <t xml:space="preserve"> 5.726亿</t>
  </si>
  <si>
    <t xml:space="preserve"> 32.76亿</t>
  </si>
  <si>
    <t xml:space="preserve"> 华谊兄弟</t>
  </si>
  <si>
    <t xml:space="preserve"> 95.7万</t>
  </si>
  <si>
    <t xml:space="preserve"> -5.00万</t>
  </si>
  <si>
    <t xml:space="preserve"> 63.6万</t>
  </si>
  <si>
    <t xml:space="preserve"> 27.75亿</t>
  </si>
  <si>
    <t xml:space="preserve"> 77.41亿</t>
  </si>
  <si>
    <t xml:space="preserve"> 24.18亿</t>
  </si>
  <si>
    <t xml:space="preserve"> 67.46亿</t>
  </si>
  <si>
    <t xml:space="preserve"> 银河电子</t>
  </si>
  <si>
    <t xml:space="preserve"> 2.78万</t>
  </si>
  <si>
    <t xml:space="preserve"> 71.64亿</t>
  </si>
  <si>
    <t xml:space="preserve"> 11.16亿</t>
  </si>
  <si>
    <t xml:space="preserve"> 71.00亿</t>
  </si>
  <si>
    <t xml:space="preserve"> 天岳先进</t>
  </si>
  <si>
    <t xml:space="preserve"> 8.25亿</t>
  </si>
  <si>
    <t xml:space="preserve"> 4.297亿</t>
  </si>
  <si>
    <t xml:space="preserve"> 314.7亿</t>
  </si>
  <si>
    <t xml:space="preserve"> 2.620亿</t>
  </si>
  <si>
    <t xml:space="preserve"> 191.9亿</t>
  </si>
  <si>
    <t xml:space="preserve"> 先进数通</t>
  </si>
  <si>
    <t xml:space="preserve"> 7.96万</t>
  </si>
  <si>
    <t xml:space="preserve"> 3.308亿</t>
  </si>
  <si>
    <t xml:space="preserve"> 55.38亿</t>
  </si>
  <si>
    <t xml:space="preserve"> 2.571亿</t>
  </si>
  <si>
    <t xml:space="preserve"> 43.05亿</t>
  </si>
  <si>
    <t xml:space="preserve"> 陇神戎发</t>
  </si>
  <si>
    <t xml:space="preserve"> 2.61亿</t>
  </si>
  <si>
    <t xml:space="preserve"> 8.12亿</t>
  </si>
  <si>
    <t xml:space="preserve"> 3.033亿</t>
  </si>
  <si>
    <t xml:space="preserve"> 32.70亿</t>
  </si>
  <si>
    <t xml:space="preserve"> 3.009亿</t>
  </si>
  <si>
    <t xml:space="preserve"> 32.44亿</t>
  </si>
  <si>
    <t xml:space="preserve"> 酒鬼酒</t>
  </si>
  <si>
    <t xml:space="preserve"> 21.4亿</t>
  </si>
  <si>
    <t xml:space="preserve"> 1.88万</t>
  </si>
  <si>
    <t xml:space="preserve"> 3.249亿</t>
  </si>
  <si>
    <t xml:space="preserve"> 233.7亿</t>
  </si>
  <si>
    <t xml:space="preserve"> 铂科新材</t>
  </si>
  <si>
    <t xml:space="preserve"> 4.73万</t>
  </si>
  <si>
    <t xml:space="preserve"> 2.60亿</t>
  </si>
  <si>
    <t xml:space="preserve"> 8.54亿</t>
  </si>
  <si>
    <t xml:space="preserve"> 1.95万</t>
  </si>
  <si>
    <t xml:space="preserve"> 1.988亿</t>
  </si>
  <si>
    <t xml:space="preserve"> 109.5亿</t>
  </si>
  <si>
    <t xml:space="preserve"> 1.562亿</t>
  </si>
  <si>
    <t xml:space="preserve"> 86.06亿</t>
  </si>
  <si>
    <t xml:space="preserve"> 振华科技</t>
  </si>
  <si>
    <t xml:space="preserve"> 60.3亿</t>
  </si>
  <si>
    <t xml:space="preserve"> 2.10万</t>
  </si>
  <si>
    <t xml:space="preserve"> 5.522亿</t>
  </si>
  <si>
    <t xml:space="preserve"> 355.8亿</t>
  </si>
  <si>
    <t xml:space="preserve"> 5.201亿</t>
  </si>
  <si>
    <t xml:space="preserve"> 335.1亿</t>
  </si>
  <si>
    <t xml:space="preserve"> 三江购物</t>
  </si>
  <si>
    <t xml:space="preserve"> 5.477亿</t>
  </si>
  <si>
    <t xml:space="preserve"> 67.69亿</t>
  </si>
  <si>
    <t xml:space="preserve"> 飞龙股份</t>
  </si>
  <si>
    <t xml:space="preserve"> 5.748亿</t>
  </si>
  <si>
    <t xml:space="preserve"> 81.79亿</t>
  </si>
  <si>
    <t xml:space="preserve"> 66.80亿</t>
  </si>
  <si>
    <t xml:space="preserve"> 吉大正元</t>
  </si>
  <si>
    <t xml:space="preserve"> 1.845亿</t>
  </si>
  <si>
    <t xml:space="preserve"> 42.72亿</t>
  </si>
  <si>
    <t xml:space="preserve"> 1.137亿</t>
  </si>
  <si>
    <t xml:space="preserve"> 26.34亿</t>
  </si>
  <si>
    <t xml:space="preserve"> 顺鑫农业</t>
  </si>
  <si>
    <t xml:space="preserve"> 88.1亿</t>
  </si>
  <si>
    <t xml:space="preserve"> 5.86万</t>
  </si>
  <si>
    <t xml:space="preserve"> 4.86万</t>
  </si>
  <si>
    <t xml:space="preserve"> 7.418亿</t>
  </si>
  <si>
    <t xml:space="preserve"> 179.5亿</t>
  </si>
  <si>
    <t xml:space="preserve"> 旗滨集团</t>
  </si>
  <si>
    <t xml:space="preserve"> 112亿</t>
  </si>
  <si>
    <t xml:space="preserve"> 26.84亿</t>
  </si>
  <si>
    <t xml:space="preserve"> 208.5亿</t>
  </si>
  <si>
    <t xml:space="preserve"> 诚迈科技</t>
  </si>
  <si>
    <t xml:space="preserve"> 2.32万</t>
  </si>
  <si>
    <t xml:space="preserve"> 1.669亿</t>
  </si>
  <si>
    <t xml:space="preserve"> 79.26亿</t>
  </si>
  <si>
    <t xml:space="preserve"> 79.25亿</t>
  </si>
  <si>
    <t xml:space="preserve"> 万达电影</t>
  </si>
  <si>
    <t xml:space="preserve"> 275.9亿</t>
  </si>
  <si>
    <t xml:space="preserve"> 266.9亿</t>
  </si>
  <si>
    <t xml:space="preserve"> 模塑科技</t>
  </si>
  <si>
    <t xml:space="preserve"> 61.2亿</t>
  </si>
  <si>
    <t xml:space="preserve"> 9.180亿</t>
  </si>
  <si>
    <t xml:space="preserve"> 71.51亿</t>
  </si>
  <si>
    <t xml:space="preserve"> 仕佳光子</t>
  </si>
  <si>
    <t xml:space="preserve"> 2.57亿</t>
  </si>
  <si>
    <t xml:space="preserve"> 9.71万</t>
  </si>
  <si>
    <t xml:space="preserve"> 4.588亿</t>
  </si>
  <si>
    <t xml:space="preserve"> 62.67亿</t>
  </si>
  <si>
    <t xml:space="preserve"> 联明股份</t>
  </si>
  <si>
    <t xml:space="preserve"> 7.79亿</t>
  </si>
  <si>
    <t xml:space="preserve"> 9.95万</t>
  </si>
  <si>
    <t xml:space="preserve"> 2.543亿</t>
  </si>
  <si>
    <t xml:space="preserve"> 33.03亿</t>
  </si>
  <si>
    <t xml:space="preserve"> 1.911亿</t>
  </si>
  <si>
    <t xml:space="preserve"> 复星医药</t>
  </si>
  <si>
    <t xml:space="preserve"> 307亿</t>
  </si>
  <si>
    <t xml:space="preserve"> 4.65万</t>
  </si>
  <si>
    <t xml:space="preserve"> 4.58万</t>
  </si>
  <si>
    <t xml:space="preserve"> 26.72亿</t>
  </si>
  <si>
    <t xml:space="preserve"> 747.7亿</t>
  </si>
  <si>
    <t xml:space="preserve"> 21.18亿</t>
  </si>
  <si>
    <t xml:space="preserve"> 592.5亿</t>
  </si>
  <si>
    <t xml:space="preserve"> 赛微电子</t>
  </si>
  <si>
    <t xml:space="preserve"> 9.09亿</t>
  </si>
  <si>
    <t xml:space="preserve"> 7.335亿</t>
  </si>
  <si>
    <t xml:space="preserve"> 162.8亿</t>
  </si>
  <si>
    <t xml:space="preserve"> 129.7亿</t>
  </si>
  <si>
    <t xml:space="preserve"> 南方航空</t>
  </si>
  <si>
    <t xml:space="preserve"> 181.2亿</t>
  </si>
  <si>
    <t xml:space="preserve"> 1095亿</t>
  </si>
  <si>
    <t xml:space="preserve"> 126.7亿</t>
  </si>
  <si>
    <t xml:space="preserve"> 兆龙互连</t>
  </si>
  <si>
    <t xml:space="preserve"> 5.02万</t>
  </si>
  <si>
    <t xml:space="preserve"> 2.582亿</t>
  </si>
  <si>
    <t xml:space="preserve"> 80.14亿</t>
  </si>
  <si>
    <t xml:space="preserve"> 6523万</t>
  </si>
  <si>
    <t xml:space="preserve"> 20.25亿</t>
  </si>
  <si>
    <t xml:space="preserve"> 德业股份</t>
  </si>
  <si>
    <t xml:space="preserve"> 4.14万</t>
  </si>
  <si>
    <t xml:space="preserve"> 2.56亿</t>
  </si>
  <si>
    <t xml:space="preserve"> 63.3亿</t>
  </si>
  <si>
    <t xml:space="preserve"> 4.301亿</t>
  </si>
  <si>
    <t xml:space="preserve"> 266.3亿</t>
  </si>
  <si>
    <t xml:space="preserve"> 90.53亿</t>
  </si>
  <si>
    <t xml:space="preserve"> 联得装备</t>
  </si>
  <si>
    <t xml:space="preserve"> 8.86亿</t>
  </si>
  <si>
    <t xml:space="preserve"> 4.74万</t>
  </si>
  <si>
    <t xml:space="preserve"> 3.20万</t>
  </si>
  <si>
    <t xml:space="preserve"> 1.777亿</t>
  </si>
  <si>
    <t xml:space="preserve"> 56.97亿</t>
  </si>
  <si>
    <t xml:space="preserve"> 1.119亿</t>
  </si>
  <si>
    <t xml:space="preserve"> 35.87亿</t>
  </si>
  <si>
    <t xml:space="preserve"> 东方明珠</t>
  </si>
  <si>
    <t xml:space="preserve"> 2.55亿</t>
  </si>
  <si>
    <t xml:space="preserve"> 56.1亿</t>
  </si>
  <si>
    <t xml:space="preserve"> 34.15亿</t>
  </si>
  <si>
    <t xml:space="preserve"> 281.4亿</t>
  </si>
  <si>
    <t xml:space="preserve"> 云赛智联</t>
  </si>
  <si>
    <t xml:space="preserve"> 37.1亿</t>
  </si>
  <si>
    <t xml:space="preserve"> 174.1亿</t>
  </si>
  <si>
    <t xml:space="preserve"> 10.74亿</t>
  </si>
  <si>
    <t xml:space="preserve"> 136.8亿</t>
  </si>
  <si>
    <t xml:space="preserve"> 柯力传感</t>
  </si>
  <si>
    <t xml:space="preserve"> 8.06亿</t>
  </si>
  <si>
    <t xml:space="preserve"> 3.99万</t>
  </si>
  <si>
    <t xml:space="preserve"> 3.56万</t>
  </si>
  <si>
    <t xml:space="preserve"> 2.825亿</t>
  </si>
  <si>
    <t xml:space="preserve"> 96.19亿</t>
  </si>
  <si>
    <t xml:space="preserve"> 2.808亿</t>
  </si>
  <si>
    <t xml:space="preserve"> 95.62亿</t>
  </si>
  <si>
    <t xml:space="preserve"> 济川药业</t>
  </si>
  <si>
    <t xml:space="preserve"> 65.4亿</t>
  </si>
  <si>
    <t xml:space="preserve"> 3.85万</t>
  </si>
  <si>
    <t xml:space="preserve"> 9.218亿</t>
  </si>
  <si>
    <t xml:space="preserve"> 291.8亿</t>
  </si>
  <si>
    <t xml:space="preserve"> 9.157亿</t>
  </si>
  <si>
    <t xml:space="preserve"> 289.9亿</t>
  </si>
  <si>
    <t xml:space="preserve"> *ST泛海</t>
  </si>
  <si>
    <t xml:space="preserve"> 3.95万</t>
  </si>
  <si>
    <t xml:space="preserve"> 2.54亿</t>
  </si>
  <si>
    <t xml:space="preserve"> 65.6亿</t>
  </si>
  <si>
    <t xml:space="preserve"> 154万</t>
  </si>
  <si>
    <t xml:space="preserve"> 2.33万</t>
  </si>
  <si>
    <t xml:space="preserve"> 51.96亿</t>
  </si>
  <si>
    <t xml:space="preserve"> 48.32亿</t>
  </si>
  <si>
    <t xml:space="preserve"> 51.74亿</t>
  </si>
  <si>
    <t xml:space="preserve"> 48.11亿</t>
  </si>
  <si>
    <t xml:space="preserve"> 三湘印象</t>
  </si>
  <si>
    <t xml:space="preserve"> 61.1万</t>
  </si>
  <si>
    <t xml:space="preserve"> 2.53亿</t>
  </si>
  <si>
    <t xml:space="preserve"> 8.89亿</t>
  </si>
  <si>
    <t xml:space="preserve"> 32.0万</t>
  </si>
  <si>
    <t xml:space="preserve"> 11.81亿</t>
  </si>
  <si>
    <t xml:space="preserve"> 48.88亿</t>
  </si>
  <si>
    <t xml:space="preserve"> 11.64亿</t>
  </si>
  <si>
    <t xml:space="preserve"> 48.17亿</t>
  </si>
  <si>
    <t xml:space="preserve"> 顺网科技</t>
  </si>
  <si>
    <t xml:space="preserve"> 6.90万</t>
  </si>
  <si>
    <t xml:space="preserve"> 9.59万</t>
  </si>
  <si>
    <t xml:space="preserve"> 6.943亿</t>
  </si>
  <si>
    <t xml:space="preserve"> 5.289亿</t>
  </si>
  <si>
    <t xml:space="preserve"> 82.13亿</t>
  </si>
  <si>
    <t xml:space="preserve"> 芯源微</t>
  </si>
  <si>
    <t xml:space="preserve"> 1.378亿</t>
  </si>
  <si>
    <t xml:space="preserve"> 210.5亿</t>
  </si>
  <si>
    <t xml:space="preserve"> 盟固利</t>
  </si>
  <si>
    <t xml:space="preserve"> 5.47万</t>
  </si>
  <si>
    <t xml:space="preserve"> 2.52亿</t>
  </si>
  <si>
    <t xml:space="preserve"> 4.596亿</t>
  </si>
  <si>
    <t xml:space="preserve"> 215.4亿</t>
  </si>
  <si>
    <t xml:space="preserve"> 5446万</t>
  </si>
  <si>
    <t xml:space="preserve"> 25.52亿</t>
  </si>
  <si>
    <t xml:space="preserve"> 南威软件</t>
  </si>
  <si>
    <t xml:space="preserve"> 8.28万</t>
  </si>
  <si>
    <t xml:space="preserve"> 9.73万</t>
  </si>
  <si>
    <t xml:space="preserve"> 83.01亿</t>
  </si>
  <si>
    <t xml:space="preserve"> 通力科技</t>
  </si>
  <si>
    <t xml:space="preserve"> 3.41亿</t>
  </si>
  <si>
    <t xml:space="preserve"> 2.65万</t>
  </si>
  <si>
    <t xml:space="preserve"> 1.088亿</t>
  </si>
  <si>
    <t xml:space="preserve"> 48.64亿</t>
  </si>
  <si>
    <t xml:space="preserve"> 2720万</t>
  </si>
  <si>
    <t xml:space="preserve"> 中国宝安</t>
  </si>
  <si>
    <t xml:space="preserve"> 2.51亿</t>
  </si>
  <si>
    <t xml:space="preserve"> 245亿</t>
  </si>
  <si>
    <t xml:space="preserve"> 25.79亿</t>
  </si>
  <si>
    <t xml:space="preserve"> 25.51亿</t>
  </si>
  <si>
    <t xml:space="preserve"> 293.4亿</t>
  </si>
  <si>
    <t xml:space="preserve"> 捷佳伟创</t>
  </si>
  <si>
    <t xml:space="preserve"> 64.1亿</t>
  </si>
  <si>
    <t xml:space="preserve"> 3.482亿</t>
  </si>
  <si>
    <t xml:space="preserve"> 241.5亿</t>
  </si>
  <si>
    <t xml:space="preserve"> 2.734亿</t>
  </si>
  <si>
    <t xml:space="preserve"> 中国电影</t>
  </si>
  <si>
    <t xml:space="preserve"> 2.50亿</t>
  </si>
  <si>
    <t xml:space="preserve"> 42.1亿</t>
  </si>
  <si>
    <t xml:space="preserve"> 18.67亿</t>
  </si>
  <si>
    <t xml:space="preserve"> 236.9亿</t>
  </si>
  <si>
    <t xml:space="preserve"> 雷电微力</t>
  </si>
  <si>
    <t xml:space="preserve"> 4.15万</t>
  </si>
  <si>
    <t xml:space="preserve"> 7.25亿</t>
  </si>
  <si>
    <t xml:space="preserve"> 1.750亿</t>
  </si>
  <si>
    <t xml:space="preserve"> 106.0亿</t>
  </si>
  <si>
    <t xml:space="preserve"> 1.347亿</t>
  </si>
  <si>
    <t xml:space="preserve"> 81.55亿</t>
  </si>
  <si>
    <t xml:space="preserve"> 罗曼股份</t>
  </si>
  <si>
    <t xml:space="preserve"> 3.90万</t>
  </si>
  <si>
    <t xml:space="preserve"> 40.60亿</t>
  </si>
  <si>
    <t xml:space="preserve"> 5061万</t>
  </si>
  <si>
    <t xml:space="preserve"> 18.72亿</t>
  </si>
  <si>
    <t xml:space="preserve"> 元隆雅图</t>
  </si>
  <si>
    <t xml:space="preserve"> 6.25万</t>
  </si>
  <si>
    <t xml:space="preserve"> 7.57万</t>
  </si>
  <si>
    <t xml:space="preserve"> 40.55亿</t>
  </si>
  <si>
    <t xml:space="preserve"> 1.952亿</t>
  </si>
  <si>
    <t xml:space="preserve"> 35.47亿</t>
  </si>
  <si>
    <t xml:space="preserve"> 维峰电子</t>
  </si>
  <si>
    <t xml:space="preserve"> 4.28万</t>
  </si>
  <si>
    <t xml:space="preserve"> 1.099亿</t>
  </si>
  <si>
    <t xml:space="preserve"> 2748万</t>
  </si>
  <si>
    <t xml:space="preserve"> 15.94亿</t>
  </si>
  <si>
    <t xml:space="preserve"> 福昕软件</t>
  </si>
  <si>
    <t xml:space="preserve"> 9149万</t>
  </si>
  <si>
    <t xml:space="preserve"> 75.30亿</t>
  </si>
  <si>
    <t xml:space="preserve"> 九鼎投资</t>
  </si>
  <si>
    <t xml:space="preserve"> 2.02亿</t>
  </si>
  <si>
    <t xml:space="preserve"> 7.75万</t>
  </si>
  <si>
    <t xml:space="preserve"> 8.68万</t>
  </si>
  <si>
    <t xml:space="preserve"> 4.335亿</t>
  </si>
  <si>
    <t xml:space="preserve"> 66.38亿</t>
  </si>
  <si>
    <t xml:space="preserve"> 中鼎股份</t>
  </si>
  <si>
    <t xml:space="preserve"> 13.16亿</t>
  </si>
  <si>
    <t xml:space="preserve"> 171.7亿</t>
  </si>
  <si>
    <t xml:space="preserve"> 171.3亿</t>
  </si>
  <si>
    <t xml:space="preserve"> 四维图新</t>
  </si>
  <si>
    <t xml:space="preserve"> 23.2亿</t>
  </si>
  <si>
    <t xml:space="preserve"> 23.78亿</t>
  </si>
  <si>
    <t xml:space="preserve"> 238.5亿</t>
  </si>
  <si>
    <t xml:space="preserve"> 23.29亿</t>
  </si>
  <si>
    <t xml:space="preserve"> 233.6亿</t>
  </si>
  <si>
    <t xml:space="preserve"> 隆平高科</t>
  </si>
  <si>
    <t xml:space="preserve"> 20.5亿</t>
  </si>
  <si>
    <t xml:space="preserve"> 8.05万</t>
  </si>
  <si>
    <t xml:space="preserve"> 13.17亿</t>
  </si>
  <si>
    <t xml:space="preserve"> 219.7亿</t>
  </si>
  <si>
    <t xml:space="preserve"> 国轩高科</t>
  </si>
  <si>
    <t xml:space="preserve"> 218亿</t>
  </si>
  <si>
    <t xml:space="preserve"> 7.27万</t>
  </si>
  <si>
    <t xml:space="preserve"> 17.84亿</t>
  </si>
  <si>
    <t xml:space="preserve"> 386.8亿</t>
  </si>
  <si>
    <t xml:space="preserve"> 280.5亿</t>
  </si>
  <si>
    <t xml:space="preserve"> 民生银行</t>
  </si>
  <si>
    <t xml:space="preserve"> 2.47亿</t>
  </si>
  <si>
    <t xml:space="preserve"> -6.17万</t>
  </si>
  <si>
    <t xml:space="preserve"> 41.7万</t>
  </si>
  <si>
    <t xml:space="preserve"> 437.8亿</t>
  </si>
  <si>
    <t xml:space="preserve"> 1694亿</t>
  </si>
  <si>
    <t xml:space="preserve"> 354.6亿</t>
  </si>
  <si>
    <t xml:space="preserve"> 1372亿</t>
  </si>
  <si>
    <t xml:space="preserve"> 国药股份</t>
  </si>
  <si>
    <t xml:space="preserve"> 8.12万</t>
  </si>
  <si>
    <t xml:space="preserve"> 365亿</t>
  </si>
  <si>
    <t xml:space="preserve"> 4.61万</t>
  </si>
  <si>
    <t xml:space="preserve"> 3.51万</t>
  </si>
  <si>
    <t xml:space="preserve"> 7.545亿</t>
  </si>
  <si>
    <t xml:space="preserve"> 230.6亿</t>
  </si>
  <si>
    <t xml:space="preserve"> 5.533亿</t>
  </si>
  <si>
    <t xml:space="preserve"> 169.1亿</t>
  </si>
  <si>
    <t xml:space="preserve"> 蓝箭电子</t>
  </si>
  <si>
    <t xml:space="preserve"> 5.30亿</t>
  </si>
  <si>
    <t xml:space="preserve"> 2.000亿</t>
  </si>
  <si>
    <t xml:space="preserve"> 99.60亿</t>
  </si>
  <si>
    <t xml:space="preserve"> 4742万</t>
  </si>
  <si>
    <t xml:space="preserve"> 23.62亿</t>
  </si>
  <si>
    <t xml:space="preserve"> 曲江文旅</t>
  </si>
  <si>
    <t xml:space="preserve"> 8.72万</t>
  </si>
  <si>
    <t xml:space="preserve"> 7.11万</t>
  </si>
  <si>
    <t xml:space="preserve"> 2.551亿</t>
  </si>
  <si>
    <t xml:space="preserve"> 39.66亿</t>
  </si>
  <si>
    <t xml:space="preserve"> 2.540亿</t>
  </si>
  <si>
    <t xml:space="preserve"> 39.50亿</t>
  </si>
  <si>
    <t xml:space="preserve"> 有友食品</t>
  </si>
  <si>
    <t xml:space="preserve"> 4.277亿</t>
  </si>
  <si>
    <t xml:space="preserve"> 41.79亿</t>
  </si>
  <si>
    <t xml:space="preserve"> 长信科技</t>
  </si>
  <si>
    <t xml:space="preserve"> 35.4万</t>
  </si>
  <si>
    <t xml:space="preserve"> 2.46亿</t>
  </si>
  <si>
    <t xml:space="preserve"> 63.0亿</t>
  </si>
  <si>
    <t xml:space="preserve"> -1.33万</t>
  </si>
  <si>
    <t xml:space="preserve"> 24.55亿</t>
  </si>
  <si>
    <t xml:space="preserve"> 170.6亿</t>
  </si>
  <si>
    <t xml:space="preserve"> 24.43亿</t>
  </si>
  <si>
    <t xml:space="preserve"> 169.8亿</t>
  </si>
  <si>
    <t xml:space="preserve"> 格力地产</t>
  </si>
  <si>
    <t xml:space="preserve"> 27.1亿</t>
  </si>
  <si>
    <t xml:space="preserve"> 18.85亿</t>
  </si>
  <si>
    <t xml:space="preserve"> 148.5亿</t>
  </si>
  <si>
    <t xml:space="preserve"> 证通电子</t>
  </si>
  <si>
    <t xml:space="preserve"> 6.144亿</t>
  </si>
  <si>
    <t xml:space="preserve"> 67.95亿</t>
  </si>
  <si>
    <t xml:space="preserve"> 59.09亿</t>
  </si>
  <si>
    <t xml:space="preserve"> 福耀玻璃</t>
  </si>
  <si>
    <t xml:space="preserve"> 238亿</t>
  </si>
  <si>
    <t xml:space="preserve"> 3.93万</t>
  </si>
  <si>
    <t xml:space="preserve"> 977.1亿</t>
  </si>
  <si>
    <t xml:space="preserve"> 20.03亿</t>
  </si>
  <si>
    <t xml:space="preserve"> 749.9亿</t>
  </si>
  <si>
    <t xml:space="preserve"> 力盛体育</t>
  </si>
  <si>
    <t xml:space="preserve"> 2.44亿</t>
  </si>
  <si>
    <t xml:space="preserve"> 4.21万</t>
  </si>
  <si>
    <t xml:space="preserve"> 5.72万</t>
  </si>
  <si>
    <t xml:space="preserve"> 8.36万</t>
  </si>
  <si>
    <t xml:space="preserve"> 1.615亿</t>
  </si>
  <si>
    <t xml:space="preserve"> 28.94亿</t>
  </si>
  <si>
    <t xml:space="preserve"> 1.460亿</t>
  </si>
  <si>
    <t xml:space="preserve"> 26.17亿</t>
  </si>
  <si>
    <t xml:space="preserve"> 亨通光电</t>
  </si>
  <si>
    <t xml:space="preserve"> 351亿</t>
  </si>
  <si>
    <t xml:space="preserve"> 24.67亿</t>
  </si>
  <si>
    <t xml:space="preserve"> 309.8亿</t>
  </si>
  <si>
    <t xml:space="preserve"> 弘讯科技</t>
  </si>
  <si>
    <t xml:space="preserve"> 5.25亿</t>
  </si>
  <si>
    <t xml:space="preserve"> 4.042亿</t>
  </si>
  <si>
    <t xml:space="preserve"> 42.36亿</t>
  </si>
  <si>
    <t xml:space="preserve"> 爱施德</t>
  </si>
  <si>
    <t xml:space="preserve"> 695亿</t>
  </si>
  <si>
    <t xml:space="preserve"> 12.39亿</t>
  </si>
  <si>
    <t xml:space="preserve"> 112.5亿</t>
  </si>
  <si>
    <t xml:space="preserve"> 12.24亿</t>
  </si>
  <si>
    <t xml:space="preserve"> 111.1亿</t>
  </si>
  <si>
    <t xml:space="preserve"> 力帆科技</t>
  </si>
  <si>
    <t xml:space="preserve"> 57.1万</t>
  </si>
  <si>
    <t xml:space="preserve"> 1.43万</t>
  </si>
  <si>
    <t xml:space="preserve"> 45.72亿</t>
  </si>
  <si>
    <t xml:space="preserve"> 192.9亿</t>
  </si>
  <si>
    <t xml:space="preserve"> 22.50亿</t>
  </si>
  <si>
    <t xml:space="preserve"> 94.97亿</t>
  </si>
  <si>
    <t xml:space="preserve"> 杰瑞股份</t>
  </si>
  <si>
    <t xml:space="preserve"> 2.42亿</t>
  </si>
  <si>
    <t xml:space="preserve"> 87.6亿</t>
  </si>
  <si>
    <t xml:space="preserve"> 292.5亿</t>
  </si>
  <si>
    <t xml:space="preserve"> 6.935亿</t>
  </si>
  <si>
    <t xml:space="preserve"> 198.1亿</t>
  </si>
  <si>
    <t xml:space="preserve"> 东风科技</t>
  </si>
  <si>
    <t xml:space="preserve"> 50.6亿</t>
  </si>
  <si>
    <t xml:space="preserve"> 72.99亿</t>
  </si>
  <si>
    <t xml:space="preserve"> 4.446亿</t>
  </si>
  <si>
    <t xml:space="preserve"> 56.11亿</t>
  </si>
  <si>
    <t xml:space="preserve"> 超图软件</t>
  </si>
  <si>
    <t xml:space="preserve"> 5.10万</t>
  </si>
  <si>
    <t xml:space="preserve"> 6.66万</t>
  </si>
  <si>
    <t xml:space="preserve"> 4.327亿</t>
  </si>
  <si>
    <t xml:space="preserve"> 90.09亿</t>
  </si>
  <si>
    <t xml:space="preserve"> 中富电路</t>
  </si>
  <si>
    <t xml:space="preserve"> 9.31亿</t>
  </si>
  <si>
    <t xml:space="preserve"> 3.26万</t>
  </si>
  <si>
    <t xml:space="preserve"> 1.758亿</t>
  </si>
  <si>
    <t xml:space="preserve"> 63.39亿</t>
  </si>
  <si>
    <t xml:space="preserve"> 5080万</t>
  </si>
  <si>
    <t xml:space="preserve"> 18.32亿</t>
  </si>
  <si>
    <t xml:space="preserve"> 昭衍新药</t>
  </si>
  <si>
    <t xml:space="preserve"> 15.9亿</t>
  </si>
  <si>
    <t xml:space="preserve"> 7.499亿</t>
  </si>
  <si>
    <t xml:space="preserve"> 6.305亿</t>
  </si>
  <si>
    <t xml:space="preserve"> 166.7亿</t>
  </si>
  <si>
    <t xml:space="preserve"> 海立股份</t>
  </si>
  <si>
    <t xml:space="preserve"> 134亿</t>
  </si>
  <si>
    <t xml:space="preserve"> 10.78亿</t>
  </si>
  <si>
    <t xml:space="preserve"> 81.91亿</t>
  </si>
  <si>
    <t xml:space="preserve"> 7.892亿</t>
  </si>
  <si>
    <t xml:space="preserve"> 59.98亿</t>
  </si>
  <si>
    <t xml:space="preserve"> 隆基机械</t>
  </si>
  <si>
    <t xml:space="preserve"> 2.41亿</t>
  </si>
  <si>
    <t xml:space="preserve"> 16.2亿</t>
  </si>
  <si>
    <t xml:space="preserve"> 4.192亿</t>
  </si>
  <si>
    <t xml:space="preserve"> 数字政通</t>
  </si>
  <si>
    <t xml:space="preserve"> 10.6亿</t>
  </si>
  <si>
    <t xml:space="preserve"> 6.204亿</t>
  </si>
  <si>
    <t xml:space="preserve"> 5.103亿</t>
  </si>
  <si>
    <t xml:space="preserve"> 96.49亿</t>
  </si>
  <si>
    <t xml:space="preserve"> 贝泰妮</t>
  </si>
  <si>
    <t xml:space="preserve"> 2.40亿</t>
  </si>
  <si>
    <t xml:space="preserve"> 34.3亿</t>
  </si>
  <si>
    <t xml:space="preserve"> 1.55万</t>
  </si>
  <si>
    <t xml:space="preserve"> 4.236亿</t>
  </si>
  <si>
    <t xml:space="preserve"> 299.5亿</t>
  </si>
  <si>
    <t xml:space="preserve"> 2.174亿</t>
  </si>
  <si>
    <t xml:space="preserve"> 川网传媒</t>
  </si>
  <si>
    <t xml:space="preserve"> 1.56亿</t>
  </si>
  <si>
    <t xml:space="preserve"> 5.31万</t>
  </si>
  <si>
    <t xml:space="preserve"> 34.40亿</t>
  </si>
  <si>
    <t xml:space="preserve"> 9537万</t>
  </si>
  <si>
    <t xml:space="preserve"> 18.92亿</t>
  </si>
  <si>
    <t xml:space="preserve"> 福斯特</t>
  </si>
  <si>
    <t xml:space="preserve"> 6.02万</t>
  </si>
  <si>
    <t xml:space="preserve"> 4.50万</t>
  </si>
  <si>
    <t xml:space="preserve"> 18.64亿</t>
  </si>
  <si>
    <t xml:space="preserve"> 423.2亿</t>
  </si>
  <si>
    <t xml:space="preserve"> 欣旺达</t>
  </si>
  <si>
    <t xml:space="preserve"> 343亿</t>
  </si>
  <si>
    <t xml:space="preserve"> 8.32万</t>
  </si>
  <si>
    <t xml:space="preserve"> 7.46万</t>
  </si>
  <si>
    <t xml:space="preserve"> 285.1亿</t>
  </si>
  <si>
    <t xml:space="preserve"> 17.28亿</t>
  </si>
  <si>
    <t xml:space="preserve"> 264.6亿</t>
  </si>
  <si>
    <t xml:space="preserve"> 品渥食品</t>
  </si>
  <si>
    <t xml:space="preserve"> 8.50万</t>
  </si>
  <si>
    <t xml:space="preserve"> 3.81万</t>
  </si>
  <si>
    <t xml:space="preserve"> 1.000亿</t>
  </si>
  <si>
    <t xml:space="preserve"> 27.13亿</t>
  </si>
  <si>
    <t xml:space="preserve"> 4400万</t>
  </si>
  <si>
    <t xml:space="preserve"> 国联股份</t>
  </si>
  <si>
    <t xml:space="preserve"> 6.91万</t>
  </si>
  <si>
    <t xml:space="preserve"> 2.39亿</t>
  </si>
  <si>
    <t xml:space="preserve"> 373亿</t>
  </si>
  <si>
    <t xml:space="preserve"> 3.94万</t>
  </si>
  <si>
    <t xml:space="preserve"> 253.5亿</t>
  </si>
  <si>
    <t xml:space="preserve"> 三丰智能</t>
  </si>
  <si>
    <t xml:space="preserve"> 14.01亿</t>
  </si>
  <si>
    <t xml:space="preserve"> 58.84亿</t>
  </si>
  <si>
    <t xml:space="preserve"> 9.925亿</t>
  </si>
  <si>
    <t xml:space="preserve"> 41.69亿</t>
  </si>
  <si>
    <t xml:space="preserve"> 翠微股份</t>
  </si>
  <si>
    <t xml:space="preserve"> 7.987亿</t>
  </si>
  <si>
    <t xml:space="preserve"> 93.45亿</t>
  </si>
  <si>
    <t xml:space="preserve"> 6.523亿</t>
  </si>
  <si>
    <t xml:space="preserve"> 76.32亿</t>
  </si>
  <si>
    <t xml:space="preserve"> 重庆啤酒</t>
  </si>
  <si>
    <t xml:space="preserve"> 130亿</t>
  </si>
  <si>
    <t xml:space="preserve"> 1.68万</t>
  </si>
  <si>
    <t xml:space="preserve"> 4.840亿</t>
  </si>
  <si>
    <t xml:space="preserve"> 343.4亿</t>
  </si>
  <si>
    <t xml:space="preserve"> 丽尚国潮</t>
  </si>
  <si>
    <t xml:space="preserve"> 38.6万</t>
  </si>
  <si>
    <t xml:space="preserve"> 6.95亿</t>
  </si>
  <si>
    <t xml:space="preserve"> 7.613亿</t>
  </si>
  <si>
    <t xml:space="preserve"> 47.20亿</t>
  </si>
  <si>
    <t xml:space="preserve"> 7.607亿</t>
  </si>
  <si>
    <t xml:space="preserve"> 47.16亿</t>
  </si>
  <si>
    <t xml:space="preserve"> 一鸣食品</t>
  </si>
  <si>
    <t xml:space="preserve"> 54.50亿</t>
  </si>
  <si>
    <t xml:space="preserve"> 6100万</t>
  </si>
  <si>
    <t xml:space="preserve"> 8.290亿</t>
  </si>
  <si>
    <t xml:space="preserve"> 三峡能源</t>
  </si>
  <si>
    <t xml:space="preserve"> 1.84万</t>
  </si>
  <si>
    <t xml:space="preserve"> 286.2亿</t>
  </si>
  <si>
    <t xml:space="preserve"> 1322亿</t>
  </si>
  <si>
    <t xml:space="preserve"> 627.1亿</t>
  </si>
  <si>
    <t xml:space="preserve"> 华斯股份</t>
  </si>
  <si>
    <t xml:space="preserve"> 41.5万</t>
  </si>
  <si>
    <t xml:space="preserve"> 3.773亿</t>
  </si>
  <si>
    <t xml:space="preserve"> 21.24亿</t>
  </si>
  <si>
    <t xml:space="preserve"> 2.868亿</t>
  </si>
  <si>
    <t xml:space="preserve"> 16.15亿</t>
  </si>
  <si>
    <t xml:space="preserve"> 九洲药业</t>
  </si>
  <si>
    <t xml:space="preserve"> 2.37亿</t>
  </si>
  <si>
    <t xml:space="preserve"> 45.8亿</t>
  </si>
  <si>
    <t xml:space="preserve"> 3.48万</t>
  </si>
  <si>
    <t xml:space="preserve"> 5.07万</t>
  </si>
  <si>
    <t xml:space="preserve"> 8.995亿</t>
  </si>
  <si>
    <t xml:space="preserve"> 253.0亿</t>
  </si>
  <si>
    <t xml:space="preserve"> 8.981亿</t>
  </si>
  <si>
    <t xml:space="preserve"> 千禾味业</t>
  </si>
  <si>
    <t xml:space="preserve"> 8.84万</t>
  </si>
  <si>
    <t xml:space="preserve"> 175.4亿</t>
  </si>
  <si>
    <t xml:space="preserve"> 9.585亿</t>
  </si>
  <si>
    <t xml:space="preserve"> 163.6亿</t>
  </si>
  <si>
    <t xml:space="preserve"> 融发核电</t>
  </si>
  <si>
    <t xml:space="preserve"> 44.4万</t>
  </si>
  <si>
    <t xml:space="preserve"> 4.45亿</t>
  </si>
  <si>
    <t xml:space="preserve"> 8.59万</t>
  </si>
  <si>
    <t xml:space="preserve"> 20.81亿</t>
  </si>
  <si>
    <t xml:space="preserve"> 115.1亿</t>
  </si>
  <si>
    <t xml:space="preserve"> 8.974亿</t>
  </si>
  <si>
    <t xml:space="preserve"> 49.62亿</t>
  </si>
  <si>
    <t xml:space="preserve"> 金帝股份</t>
  </si>
  <si>
    <t xml:space="preserve"> 2.36亿</t>
  </si>
  <si>
    <t xml:space="preserve"> 4.92万</t>
  </si>
  <si>
    <t xml:space="preserve"> 2.191亿</t>
  </si>
  <si>
    <t xml:space="preserve"> 68.10亿</t>
  </si>
  <si>
    <t xml:space="preserve"> 4904万</t>
  </si>
  <si>
    <t xml:space="preserve"> 15.24亿</t>
  </si>
  <si>
    <t xml:space="preserve"> 机器人</t>
  </si>
  <si>
    <t xml:space="preserve"> 24.1亿</t>
  </si>
  <si>
    <t xml:space="preserve"> 15.50亿</t>
  </si>
  <si>
    <t xml:space="preserve"> 186.2亿</t>
  </si>
  <si>
    <t xml:space="preserve"> 15.18亿</t>
  </si>
  <si>
    <t xml:space="preserve"> 182.3亿</t>
  </si>
  <si>
    <t xml:space="preserve"> 五洲新春</t>
  </si>
  <si>
    <t xml:space="preserve"> 2.35亿</t>
  </si>
  <si>
    <t xml:space="preserve"> 6.46万</t>
  </si>
  <si>
    <t xml:space="preserve"> 3.687亿</t>
  </si>
  <si>
    <t xml:space="preserve"> 78.82亿</t>
  </si>
  <si>
    <t xml:space="preserve"> 3.259亿</t>
  </si>
  <si>
    <t xml:space="preserve"> 69.68亿</t>
  </si>
  <si>
    <t xml:space="preserve"> 东方日升</t>
  </si>
  <si>
    <t xml:space="preserve"> 280亿</t>
  </si>
  <si>
    <t xml:space="preserve"> 11.40亿</t>
  </si>
  <si>
    <t xml:space="preserve"> 184.2亿</t>
  </si>
  <si>
    <t xml:space="preserve"> 9.206亿</t>
  </si>
  <si>
    <t xml:space="preserve"> 148.8亿</t>
  </si>
  <si>
    <t xml:space="preserve"> 蓝天燃气</t>
  </si>
  <si>
    <t xml:space="preserve"> 2.34亿</t>
  </si>
  <si>
    <t xml:space="preserve"> 6.928亿</t>
  </si>
  <si>
    <t xml:space="preserve"> 76.83亿</t>
  </si>
  <si>
    <t xml:space="preserve"> 2.483亿</t>
  </si>
  <si>
    <t xml:space="preserve"> 27.53亿</t>
  </si>
  <si>
    <t xml:space="preserve"> 广电运通</t>
  </si>
  <si>
    <t xml:space="preserve"> 24.83亿</t>
  </si>
  <si>
    <t xml:space="preserve"> 309.9亿</t>
  </si>
  <si>
    <t xml:space="preserve"> 老白干酒</t>
  </si>
  <si>
    <t xml:space="preserve"> 9.147亿</t>
  </si>
  <si>
    <t xml:space="preserve"> 210.2亿</t>
  </si>
  <si>
    <t xml:space="preserve"> 8.973亿</t>
  </si>
  <si>
    <t xml:space="preserve"> 206.2亿</t>
  </si>
  <si>
    <t xml:space="preserve"> 新 大 陆</t>
  </si>
  <si>
    <t xml:space="preserve"> 58.8亿</t>
  </si>
  <si>
    <t xml:space="preserve"> 5.48万</t>
  </si>
  <si>
    <t xml:space="preserve"> 10.26亿</t>
  </si>
  <si>
    <t xml:space="preserve"> 188.6亿</t>
  </si>
  <si>
    <t xml:space="preserve"> 云南锗业</t>
  </si>
  <si>
    <t xml:space="preserve"> 9.78万</t>
  </si>
  <si>
    <t xml:space="preserve"> 6.531亿</t>
  </si>
  <si>
    <t xml:space="preserve"> 82.82亿</t>
  </si>
  <si>
    <t xml:space="preserve"> 6.458亿</t>
  </si>
  <si>
    <t xml:space="preserve"> 81.89亿</t>
  </si>
  <si>
    <t xml:space="preserve"> 航发动力</t>
  </si>
  <si>
    <t xml:space="preserve"> 2.33亿</t>
  </si>
  <si>
    <t xml:space="preserve"> 263亿</t>
  </si>
  <si>
    <t xml:space="preserve"> 2.90万</t>
  </si>
  <si>
    <t xml:space="preserve"> 26.66亿</t>
  </si>
  <si>
    <t xml:space="preserve"> 964.7亿</t>
  </si>
  <si>
    <t xml:space="preserve"> 964.5亿</t>
  </si>
  <si>
    <t xml:space="preserve"> 派能科技</t>
  </si>
  <si>
    <t xml:space="preserve"> 30.5亿</t>
  </si>
  <si>
    <t xml:space="preserve"> 1.756亿</t>
  </si>
  <si>
    <t xml:space="preserve"> 1.038亿</t>
  </si>
  <si>
    <t xml:space="preserve"> 鹏翎股份</t>
  </si>
  <si>
    <t xml:space="preserve"> 7.554亿</t>
  </si>
  <si>
    <t xml:space="preserve"> 44.79亿</t>
  </si>
  <si>
    <t xml:space="preserve"> 5.051亿</t>
  </si>
  <si>
    <t xml:space="preserve"> 29.95亿</t>
  </si>
  <si>
    <t xml:space="preserve"> 健友股份</t>
  </si>
  <si>
    <t xml:space="preserve"> 2.32亿</t>
  </si>
  <si>
    <t xml:space="preserve"> 31.4亿</t>
  </si>
  <si>
    <t xml:space="preserve"> 6.73万</t>
  </si>
  <si>
    <t xml:space="preserve"> 257.0亿</t>
  </si>
  <si>
    <t xml:space="preserve"> 16.16亿</t>
  </si>
  <si>
    <t xml:space="preserve"> 256.9亿</t>
  </si>
  <si>
    <t xml:space="preserve"> 中国巨石</t>
  </si>
  <si>
    <t xml:space="preserve"> 114亿</t>
  </si>
  <si>
    <t xml:space="preserve"> 9.58万</t>
  </si>
  <si>
    <t xml:space="preserve"> 40.03亿</t>
  </si>
  <si>
    <t xml:space="preserve"> 436.3亿</t>
  </si>
  <si>
    <t xml:space="preserve"> 上海瀚讯</t>
  </si>
  <si>
    <t xml:space="preserve"> 2.16亿</t>
  </si>
  <si>
    <t xml:space="preserve"> 6.280亿</t>
  </si>
  <si>
    <t xml:space="preserve"> 古井贡酒</t>
  </si>
  <si>
    <t xml:space="preserve"> 2.31亿</t>
  </si>
  <si>
    <t xml:space="preserve"> 5.286亿</t>
  </si>
  <si>
    <t xml:space="preserve"> 1339亿</t>
  </si>
  <si>
    <t xml:space="preserve"> 4.086亿</t>
  </si>
  <si>
    <t xml:space="preserve"> 1035亿</t>
  </si>
  <si>
    <t xml:space="preserve"> 华设集团</t>
  </si>
  <si>
    <t xml:space="preserve"> 6.838亿</t>
  </si>
  <si>
    <t xml:space="preserve"> 56.41亿</t>
  </si>
  <si>
    <t xml:space="preserve"> 6.686亿</t>
  </si>
  <si>
    <t xml:space="preserve"> 55.16亿</t>
  </si>
  <si>
    <t xml:space="preserve"> 雷曼光电</t>
  </si>
  <si>
    <t xml:space="preserve"> 2.30亿</t>
  </si>
  <si>
    <t xml:space="preserve"> 8.28亿</t>
  </si>
  <si>
    <t xml:space="preserve"> 3.495亿</t>
  </si>
  <si>
    <t xml:space="preserve"> 2.722亿</t>
  </si>
  <si>
    <t xml:space="preserve"> 21.56亿</t>
  </si>
  <si>
    <t xml:space="preserve"> 中国化学</t>
  </si>
  <si>
    <t xml:space="preserve"> -1.20万</t>
  </si>
  <si>
    <t xml:space="preserve"> 61.09亿</t>
  </si>
  <si>
    <t xml:space="preserve"> 407.5亿</t>
  </si>
  <si>
    <t xml:space="preserve"> 60.50亿</t>
  </si>
  <si>
    <t xml:space="preserve"> 403.5亿</t>
  </si>
  <si>
    <t xml:space="preserve"> 金风科技</t>
  </si>
  <si>
    <t xml:space="preserve"> 293亿</t>
  </si>
  <si>
    <t xml:space="preserve"> 42.25亿</t>
  </si>
  <si>
    <t xml:space="preserve"> 360.4亿</t>
  </si>
  <si>
    <t xml:space="preserve"> 33.94亿</t>
  </si>
  <si>
    <t xml:space="preserve"> 中集集团</t>
  </si>
  <si>
    <t xml:space="preserve"> 951亿</t>
  </si>
  <si>
    <t xml:space="preserve"> 53.93亿</t>
  </si>
  <si>
    <t xml:space="preserve"> 415.2亿</t>
  </si>
  <si>
    <t xml:space="preserve"> 177.2亿</t>
  </si>
  <si>
    <t xml:space="preserve"> 新时达</t>
  </si>
  <si>
    <t xml:space="preserve"> 9.35万</t>
  </si>
  <si>
    <t xml:space="preserve"> 6.613亿</t>
  </si>
  <si>
    <t xml:space="preserve"> 70.36亿</t>
  </si>
  <si>
    <t xml:space="preserve"> 5.252亿</t>
  </si>
  <si>
    <t xml:space="preserve"> 55.88亿</t>
  </si>
  <si>
    <t xml:space="preserve"> 健帆生物</t>
  </si>
  <si>
    <t xml:space="preserve"> 2.29亿</t>
  </si>
  <si>
    <t xml:space="preserve"> 8.076亿</t>
  </si>
  <si>
    <t xml:space="preserve"> 195.1亿</t>
  </si>
  <si>
    <t xml:space="preserve"> 123.8亿</t>
  </si>
  <si>
    <t xml:space="preserve"> 初灵信息</t>
  </si>
  <si>
    <t xml:space="preserve"> 2.200亿</t>
  </si>
  <si>
    <t xml:space="preserve"> 41.97亿</t>
  </si>
  <si>
    <t xml:space="preserve"> 1.635亿</t>
  </si>
  <si>
    <t xml:space="preserve"> 和元生物</t>
  </si>
  <si>
    <t xml:space="preserve"> 1.37亿</t>
  </si>
  <si>
    <t xml:space="preserve"> 9.21万</t>
  </si>
  <si>
    <t xml:space="preserve"> 48.36亿</t>
  </si>
  <si>
    <t xml:space="preserve"> 腾龙股份</t>
  </si>
  <si>
    <t xml:space="preserve"> 4.908亿</t>
  </si>
  <si>
    <t xml:space="preserve"> 48.10亿</t>
  </si>
  <si>
    <t xml:space="preserve"> 城建发展</t>
  </si>
  <si>
    <t xml:space="preserve"> 161亿</t>
  </si>
  <si>
    <t xml:space="preserve"> 22.57亿</t>
  </si>
  <si>
    <t xml:space="preserve"> 121.2亿</t>
  </si>
  <si>
    <t xml:space="preserve"> 天下秀</t>
  </si>
  <si>
    <t xml:space="preserve"> 31.7亿</t>
  </si>
  <si>
    <t xml:space="preserve"> 18.08亿</t>
  </si>
  <si>
    <t xml:space="preserve"> 117.7亿</t>
  </si>
  <si>
    <t xml:space="preserve"> 士兰微</t>
  </si>
  <si>
    <t xml:space="preserve"> 9.46万</t>
  </si>
  <si>
    <t xml:space="preserve"> 69.0亿</t>
  </si>
  <si>
    <t xml:space="preserve"> 14.16亿</t>
  </si>
  <si>
    <t xml:space="preserve"> 344.7亿</t>
  </si>
  <si>
    <t xml:space="preserve"> 飞荣达</t>
  </si>
  <si>
    <t xml:space="preserve"> 5.780亿</t>
  </si>
  <si>
    <t xml:space="preserve"> 3.862亿</t>
  </si>
  <si>
    <t xml:space="preserve"> 69.05亿</t>
  </si>
  <si>
    <t xml:space="preserve"> 中国重工</t>
  </si>
  <si>
    <t xml:space="preserve"> 228.0亿</t>
  </si>
  <si>
    <t xml:space="preserve"> 907.5亿</t>
  </si>
  <si>
    <t xml:space="preserve"> 220.8亿</t>
  </si>
  <si>
    <t xml:space="preserve"> 878.9亿</t>
  </si>
  <si>
    <t xml:space="preserve"> 盛新锂能</t>
  </si>
  <si>
    <t xml:space="preserve"> 4.81万</t>
  </si>
  <si>
    <t xml:space="preserve"> 203.9亿</t>
  </si>
  <si>
    <t xml:space="preserve"> 8.499亿</t>
  </si>
  <si>
    <t xml:space="preserve"> 188.0亿</t>
  </si>
  <si>
    <t xml:space="preserve"> 福田汽车</t>
  </si>
  <si>
    <t xml:space="preserve"> 74.8万</t>
  </si>
  <si>
    <t xml:space="preserve"> 429亿</t>
  </si>
  <si>
    <t xml:space="preserve"> 8.73万</t>
  </si>
  <si>
    <t xml:space="preserve"> 34.0万</t>
  </si>
  <si>
    <t xml:space="preserve"> 1.27万</t>
  </si>
  <si>
    <t xml:space="preserve"> 80.04亿</t>
  </si>
  <si>
    <t xml:space="preserve"> 244.1亿</t>
  </si>
  <si>
    <t xml:space="preserve"> 65.75亿</t>
  </si>
  <si>
    <t xml:space="preserve"> 200.5亿</t>
  </si>
  <si>
    <t xml:space="preserve"> 东方证券</t>
  </si>
  <si>
    <t xml:space="preserve"> 2.27亿</t>
  </si>
  <si>
    <t xml:space="preserve"> -1.13万</t>
  </si>
  <si>
    <t xml:space="preserve"> 84.97亿</t>
  </si>
  <si>
    <t xml:space="preserve"> 748.6亿</t>
  </si>
  <si>
    <t xml:space="preserve"> 74.69亿</t>
  </si>
  <si>
    <t xml:space="preserve"> 658.1亿</t>
  </si>
  <si>
    <t xml:space="preserve"> 宁夏建材</t>
  </si>
  <si>
    <t xml:space="preserve"> 74.9亿</t>
  </si>
  <si>
    <t xml:space="preserve"> 5.88万</t>
  </si>
  <si>
    <t xml:space="preserve"> 4.782亿</t>
  </si>
  <si>
    <t xml:space="preserve"> 100.8亿</t>
  </si>
  <si>
    <t xml:space="preserve"> 长久物流</t>
  </si>
  <si>
    <t xml:space="preserve"> 28.6亿</t>
  </si>
  <si>
    <t xml:space="preserve"> 7.83万</t>
  </si>
  <si>
    <t xml:space="preserve"> 5.934亿</t>
  </si>
  <si>
    <t xml:space="preserve"> 89.73亿</t>
  </si>
  <si>
    <t xml:space="preserve"> 珠海冠宇</t>
  </si>
  <si>
    <t xml:space="preserve"> 2.26亿</t>
  </si>
  <si>
    <t xml:space="preserve"> 85.4亿</t>
  </si>
  <si>
    <t xml:space="preserve"> 5.37万</t>
  </si>
  <si>
    <t xml:space="preserve"> 238.4亿</t>
  </si>
  <si>
    <t xml:space="preserve"> 7.647亿</t>
  </si>
  <si>
    <t xml:space="preserve"> 162.5亿</t>
  </si>
  <si>
    <t xml:space="preserve"> 华峰超纤</t>
  </si>
  <si>
    <t xml:space="preserve"> -1.75万</t>
  </si>
  <si>
    <t xml:space="preserve"> 17.61亿</t>
  </si>
  <si>
    <t xml:space="preserve"> 85.59亿</t>
  </si>
  <si>
    <t xml:space="preserve"> 71.67亿</t>
  </si>
  <si>
    <t xml:space="preserve"> 容大感光</t>
  </si>
  <si>
    <t xml:space="preserve"> 2.93万</t>
  </si>
  <si>
    <t xml:space="preserve"> 105.8亿</t>
  </si>
  <si>
    <t xml:space="preserve"> 60.92亿</t>
  </si>
  <si>
    <t xml:space="preserve"> 蓝黛科技</t>
  </si>
  <si>
    <t xml:space="preserve"> 6.563亿</t>
  </si>
  <si>
    <t xml:space="preserve"> 48.50亿</t>
  </si>
  <si>
    <t xml:space="preserve"> 34.69亿</t>
  </si>
  <si>
    <t xml:space="preserve"> 电魂网络</t>
  </si>
  <si>
    <t xml:space="preserve"> 8.83万</t>
  </si>
  <si>
    <t xml:space="preserve"> 4.12万</t>
  </si>
  <si>
    <t xml:space="preserve"> 4.71万</t>
  </si>
  <si>
    <t xml:space="preserve"> 2.448亿</t>
  </si>
  <si>
    <t xml:space="preserve"> 63.84亿</t>
  </si>
  <si>
    <t xml:space="preserve"> 乐普医疗</t>
  </si>
  <si>
    <t xml:space="preserve"> 62.6亿</t>
  </si>
  <si>
    <t xml:space="preserve"> 18.81亿</t>
  </si>
  <si>
    <t xml:space="preserve"> 320.3亿</t>
  </si>
  <si>
    <t xml:space="preserve"> 275.2亿</t>
  </si>
  <si>
    <t xml:space="preserve"> 万泰生物</t>
  </si>
  <si>
    <t xml:space="preserve"> 2.31万</t>
  </si>
  <si>
    <t xml:space="preserve"> 625.9亿</t>
  </si>
  <si>
    <t xml:space="preserve"> 12.65亿</t>
  </si>
  <si>
    <t xml:space="preserve"> 624.1亿</t>
  </si>
  <si>
    <t xml:space="preserve"> 日久光电</t>
  </si>
  <si>
    <t xml:space="preserve"> 7.65万</t>
  </si>
  <si>
    <t xml:space="preserve"> 2.811亿</t>
  </si>
  <si>
    <t xml:space="preserve"> 32.32亿</t>
  </si>
  <si>
    <t xml:space="preserve"> 2.458亿</t>
  </si>
  <si>
    <t xml:space="preserve"> 28.27亿</t>
  </si>
  <si>
    <t xml:space="preserve"> 天鹅股份</t>
  </si>
  <si>
    <t xml:space="preserve"> 4.26亿</t>
  </si>
  <si>
    <t xml:space="preserve"> 1.213亿</t>
  </si>
  <si>
    <t xml:space="preserve"> 25.98亿</t>
  </si>
  <si>
    <t xml:space="preserve"> 三六五网</t>
  </si>
  <si>
    <t xml:space="preserve"> 1.41亿</t>
  </si>
  <si>
    <t xml:space="preserve"> 6.82万</t>
  </si>
  <si>
    <t xml:space="preserve"> 1.908亿</t>
  </si>
  <si>
    <t xml:space="preserve"> 26.77亿</t>
  </si>
  <si>
    <t xml:space="preserve"> 1.675亿</t>
  </si>
  <si>
    <t xml:space="preserve"> 23.50亿</t>
  </si>
  <si>
    <t xml:space="preserve"> 西安旅游</t>
  </si>
  <si>
    <t xml:space="preserve"> 2.367亿</t>
  </si>
  <si>
    <t xml:space="preserve"> 2.355亿</t>
  </si>
  <si>
    <t xml:space="preserve"> 34.10亿</t>
  </si>
  <si>
    <t xml:space="preserve"> 江铃汽车</t>
  </si>
  <si>
    <t xml:space="preserve"> 235亿</t>
  </si>
  <si>
    <t xml:space="preserve"> 8.632亿</t>
  </si>
  <si>
    <t xml:space="preserve"> 175.1亿</t>
  </si>
  <si>
    <t xml:space="preserve"> 5.185亿</t>
  </si>
  <si>
    <t xml:space="preserve"> 105.2亿</t>
  </si>
  <si>
    <t xml:space="preserve"> 新城控股</t>
  </si>
  <si>
    <t xml:space="preserve"> 713亿</t>
  </si>
  <si>
    <t xml:space="preserve"> 22.56亿</t>
  </si>
  <si>
    <t xml:space="preserve"> 288.7亿</t>
  </si>
  <si>
    <t xml:space="preserve"> 平治信息</t>
  </si>
  <si>
    <t xml:space="preserve"> 3.83万</t>
  </si>
  <si>
    <t xml:space="preserve"> 1.395亿</t>
  </si>
  <si>
    <t xml:space="preserve"> 55.66亿</t>
  </si>
  <si>
    <t xml:space="preserve"> 1.156亿</t>
  </si>
  <si>
    <t xml:space="preserve"> 46.12亿</t>
  </si>
  <si>
    <t xml:space="preserve"> 上海凯宝</t>
  </si>
  <si>
    <t xml:space="preserve"> 2.24亿</t>
  </si>
  <si>
    <t xml:space="preserve"> 75.73亿</t>
  </si>
  <si>
    <t xml:space="preserve"> 9.168亿</t>
  </si>
  <si>
    <t xml:space="preserve"> 双汇发展</t>
  </si>
  <si>
    <t xml:space="preserve"> 8.63万</t>
  </si>
  <si>
    <t xml:space="preserve"> 463亿</t>
  </si>
  <si>
    <t xml:space="preserve"> 3.62万</t>
  </si>
  <si>
    <t xml:space="preserve"> 34.65亿</t>
  </si>
  <si>
    <t xml:space="preserve"> 34.64亿</t>
  </si>
  <si>
    <t xml:space="preserve"> 898.6亿</t>
  </si>
  <si>
    <t xml:space="preserve"> 长江投资</t>
  </si>
  <si>
    <t xml:space="preserve"> 3.653亿</t>
  </si>
  <si>
    <t xml:space="preserve"> 27.91亿</t>
  </si>
  <si>
    <t xml:space="preserve"> 3.074亿</t>
  </si>
  <si>
    <t xml:space="preserve"> 23.49亿</t>
  </si>
  <si>
    <t xml:space="preserve"> 全 聚 德</t>
  </si>
  <si>
    <t xml:space="preserve"> 8.89万</t>
  </si>
  <si>
    <t xml:space="preserve"> 3.085亿</t>
  </si>
  <si>
    <t xml:space="preserve"> 38.31亿</t>
  </si>
  <si>
    <t xml:space="preserve"> 3.081亿</t>
  </si>
  <si>
    <t xml:space="preserve"> 38.26亿</t>
  </si>
  <si>
    <t xml:space="preserve"> 迈为股份</t>
  </si>
  <si>
    <t xml:space="preserve"> 2.786亿</t>
  </si>
  <si>
    <t xml:space="preserve"> 296.4亿</t>
  </si>
  <si>
    <t xml:space="preserve"> 1.904亿</t>
  </si>
  <si>
    <t xml:space="preserve"> 202.6亿</t>
  </si>
  <si>
    <t xml:space="preserve"> 新劲刚</t>
  </si>
  <si>
    <t xml:space="preserve"> 2.375亿</t>
  </si>
  <si>
    <t xml:space="preserve"> 54.62亿</t>
  </si>
  <si>
    <t xml:space="preserve"> 1.968亿</t>
  </si>
  <si>
    <t xml:space="preserve"> 桂发祥</t>
  </si>
  <si>
    <t xml:space="preserve"> 9.41万</t>
  </si>
  <si>
    <t xml:space="preserve"> 2.009亿</t>
  </si>
  <si>
    <t xml:space="preserve"> 23.70亿</t>
  </si>
  <si>
    <t xml:space="preserve"> 麒麟信安</t>
  </si>
  <si>
    <t xml:space="preserve"> 8873万</t>
  </si>
  <si>
    <t xml:space="preserve"> 7874万</t>
  </si>
  <si>
    <t xml:space="preserve"> 65.44亿</t>
  </si>
  <si>
    <t xml:space="preserve"> 3019万</t>
  </si>
  <si>
    <t xml:space="preserve"> 悦康药业</t>
  </si>
  <si>
    <t xml:space="preserve"> 29.6亿</t>
  </si>
  <si>
    <t xml:space="preserve"> 5.36万</t>
  </si>
  <si>
    <t xml:space="preserve"> 4.500亿</t>
  </si>
  <si>
    <t xml:space="preserve"> 2.046亿</t>
  </si>
  <si>
    <t xml:space="preserve"> 47.63亿</t>
  </si>
  <si>
    <t xml:space="preserve"> 蓝思科技</t>
  </si>
  <si>
    <t xml:space="preserve"> 338亿</t>
  </si>
  <si>
    <t xml:space="preserve"> 8.76万</t>
  </si>
  <si>
    <t xml:space="preserve"> 8.29万</t>
  </si>
  <si>
    <t xml:space="preserve"> 49.83亿</t>
  </si>
  <si>
    <t xml:space="preserve"> 49.61亿</t>
  </si>
  <si>
    <t xml:space="preserve"> 649.4亿</t>
  </si>
  <si>
    <t xml:space="preserve"> 南极电商</t>
  </si>
  <si>
    <t xml:space="preserve"> -1.47万</t>
  </si>
  <si>
    <t xml:space="preserve"> 73.21亿</t>
  </si>
  <si>
    <t xml:space="preserve"> 超讯通信</t>
  </si>
  <si>
    <t xml:space="preserve"> 2.22亿</t>
  </si>
  <si>
    <t xml:space="preserve"> 3.35万</t>
  </si>
  <si>
    <t xml:space="preserve"> 54.61亿</t>
  </si>
  <si>
    <t xml:space="preserve"> 1.566亿</t>
  </si>
  <si>
    <t xml:space="preserve"> 54.26亿</t>
  </si>
  <si>
    <t xml:space="preserve"> 精研科技</t>
  </si>
  <si>
    <t xml:space="preserve"> 16.3亿</t>
  </si>
  <si>
    <t xml:space="preserve"> 1.861亿</t>
  </si>
  <si>
    <t xml:space="preserve"> 59.49亿</t>
  </si>
  <si>
    <t xml:space="preserve"> 1.489亿</t>
  </si>
  <si>
    <t xml:space="preserve"> 47.60亿</t>
  </si>
  <si>
    <t xml:space="preserve"> 特发服务</t>
  </si>
  <si>
    <t xml:space="preserve"> 7.92万</t>
  </si>
  <si>
    <t xml:space="preserve"> 18.2亿</t>
  </si>
  <si>
    <t xml:space="preserve"> 1.690亿</t>
  </si>
  <si>
    <t xml:space="preserve"> 8661万</t>
  </si>
  <si>
    <t xml:space="preserve"> 维科精密</t>
  </si>
  <si>
    <t xml:space="preserve"> 6.32万</t>
  </si>
  <si>
    <t xml:space="preserve"> 5.37亿</t>
  </si>
  <si>
    <t xml:space="preserve"> 1.383亿</t>
  </si>
  <si>
    <t xml:space="preserve"> 48.78亿</t>
  </si>
  <si>
    <t xml:space="preserve"> 3278万</t>
  </si>
  <si>
    <t xml:space="preserve"> 11.57亿</t>
  </si>
  <si>
    <t xml:space="preserve"> 亚光科技</t>
  </si>
  <si>
    <t xml:space="preserve"> 82.56亿</t>
  </si>
  <si>
    <t xml:space="preserve"> 10.00亿</t>
  </si>
  <si>
    <t xml:space="preserve"> 80.83亿</t>
  </si>
  <si>
    <t xml:space="preserve"> 中航沈飞</t>
  </si>
  <si>
    <t xml:space="preserve"> 5.20万</t>
  </si>
  <si>
    <t xml:space="preserve"> 2.20亿</t>
  </si>
  <si>
    <t xml:space="preserve"> 346亿</t>
  </si>
  <si>
    <t xml:space="preserve"> 2.91万</t>
  </si>
  <si>
    <t xml:space="preserve"> 27.56亿</t>
  </si>
  <si>
    <t xml:space="preserve"> 1170亿</t>
  </si>
  <si>
    <t xml:space="preserve"> 27.45亿</t>
  </si>
  <si>
    <t xml:space="preserve"> 春兴精工</t>
  </si>
  <si>
    <t xml:space="preserve"> 42.1万</t>
  </si>
  <si>
    <t xml:space="preserve"> 2.19亿</t>
  </si>
  <si>
    <t xml:space="preserve"> 18.3亿</t>
  </si>
  <si>
    <t xml:space="preserve"> 59.34亿</t>
  </si>
  <si>
    <t xml:space="preserve"> 11.04亿</t>
  </si>
  <si>
    <t xml:space="preserve"> 58.07亿</t>
  </si>
  <si>
    <t xml:space="preserve"> 璞泰来</t>
  </si>
  <si>
    <t xml:space="preserve"> 117亿</t>
  </si>
  <si>
    <t xml:space="preserve"> 4.24万</t>
  </si>
  <si>
    <t xml:space="preserve"> 21.38亿</t>
  </si>
  <si>
    <t xml:space="preserve"> 483.0亿</t>
  </si>
  <si>
    <t xml:space="preserve"> 20.13亿</t>
  </si>
  <si>
    <t xml:space="preserve"> 454.7亿</t>
  </si>
  <si>
    <t xml:space="preserve"> 西部矿业</t>
  </si>
  <si>
    <t xml:space="preserve"> 2.18亿</t>
  </si>
  <si>
    <t xml:space="preserve"> 322亿</t>
  </si>
  <si>
    <t xml:space="preserve"> 306.9亿</t>
  </si>
  <si>
    <t xml:space="preserve"> 汉鑫科技</t>
  </si>
  <si>
    <t xml:space="preserve"> 2.82万</t>
  </si>
  <si>
    <t xml:space="preserve"> 2.37万</t>
  </si>
  <si>
    <t xml:space="preserve"> 4790万</t>
  </si>
  <si>
    <t xml:space="preserve"> 2470万</t>
  </si>
  <si>
    <t xml:space="preserve"> 9.847亿</t>
  </si>
  <si>
    <t xml:space="preserve"> 口子窖</t>
  </si>
  <si>
    <t xml:space="preserve"> 44.5亿</t>
  </si>
  <si>
    <t xml:space="preserve"> 1.94万</t>
  </si>
  <si>
    <t xml:space="preserve"> 6.000亿</t>
  </si>
  <si>
    <t xml:space="preserve"> 281.6亿</t>
  </si>
  <si>
    <t xml:space="preserve"> 5.969亿</t>
  </si>
  <si>
    <t xml:space="preserve"> 280.1亿</t>
  </si>
  <si>
    <t xml:space="preserve"> 长光华芯</t>
  </si>
  <si>
    <t xml:space="preserve"> 3.21万</t>
  </si>
  <si>
    <t xml:space="preserve"> 1.763亿</t>
  </si>
  <si>
    <t xml:space="preserve"> 119.9亿</t>
  </si>
  <si>
    <t xml:space="preserve"> 9832万</t>
  </si>
  <si>
    <t xml:space="preserve"> 66.86亿</t>
  </si>
  <si>
    <t xml:space="preserve"> 华安鑫创</t>
  </si>
  <si>
    <t xml:space="preserve"> 8.08亿</t>
  </si>
  <si>
    <t xml:space="preserve"> 49.10亿</t>
  </si>
  <si>
    <t xml:space="preserve"> 4405万</t>
  </si>
  <si>
    <t xml:space="preserve"> 27.04亿</t>
  </si>
  <si>
    <t xml:space="preserve"> 北特科技</t>
  </si>
  <si>
    <t xml:space="preserve"> 2.17亿</t>
  </si>
  <si>
    <t xml:space="preserve"> 13.3亿</t>
  </si>
  <si>
    <t xml:space="preserve"> 3.587亿</t>
  </si>
  <si>
    <t xml:space="preserve"> 44.02亿</t>
  </si>
  <si>
    <t xml:space="preserve"> 41.52亿</t>
  </si>
  <si>
    <t xml:space="preserve"> 东睦股份</t>
  </si>
  <si>
    <t xml:space="preserve"> 8.96万</t>
  </si>
  <si>
    <t xml:space="preserve"> 6.164亿</t>
  </si>
  <si>
    <t xml:space="preserve"> 87.46亿</t>
  </si>
  <si>
    <t xml:space="preserve"> 宋城演艺</t>
  </si>
  <si>
    <t xml:space="preserve"> 26.20亿</t>
  </si>
  <si>
    <t xml:space="preserve"> 238.3亿</t>
  </si>
  <si>
    <t xml:space="preserve"> 百润股份</t>
  </si>
  <si>
    <t xml:space="preserve"> 264.0亿</t>
  </si>
  <si>
    <t xml:space="preserve"> 7.173亿</t>
  </si>
  <si>
    <t xml:space="preserve"> 180.4亿</t>
  </si>
  <si>
    <t xml:space="preserve"> 亿帆医药</t>
  </si>
  <si>
    <t xml:space="preserve"> 12.26亿</t>
  </si>
  <si>
    <t xml:space="preserve"> 203.4亿</t>
  </si>
  <si>
    <t xml:space="preserve"> 8.513亿</t>
  </si>
  <si>
    <t xml:space="preserve"> 141.2亿</t>
  </si>
  <si>
    <t xml:space="preserve"> 大港股份</t>
  </si>
  <si>
    <t xml:space="preserve"> 3.35亿</t>
  </si>
  <si>
    <t xml:space="preserve"> 6.45万</t>
  </si>
  <si>
    <t xml:space="preserve"> 92.33亿</t>
  </si>
  <si>
    <t xml:space="preserve"> 南宁百货</t>
  </si>
  <si>
    <t xml:space="preserve"> 5.10亿</t>
  </si>
  <si>
    <t xml:space="preserve"> 5.447亿</t>
  </si>
  <si>
    <t xml:space="preserve"> 25.44亿</t>
  </si>
  <si>
    <t xml:space="preserve"> 5.386亿</t>
  </si>
  <si>
    <t xml:space="preserve"> 25.15亿</t>
  </si>
  <si>
    <t xml:space="preserve"> 光环新网</t>
  </si>
  <si>
    <t xml:space="preserve"> 59.3亿</t>
  </si>
  <si>
    <t xml:space="preserve"> 8.62万</t>
  </si>
  <si>
    <t xml:space="preserve"> 187.5亿</t>
  </si>
  <si>
    <t xml:space="preserve"> 一拖股份</t>
  </si>
  <si>
    <t xml:space="preserve"> 7.72万</t>
  </si>
  <si>
    <t xml:space="preserve"> 11.24亿</t>
  </si>
  <si>
    <t xml:space="preserve"> 155.0亿</t>
  </si>
  <si>
    <t xml:space="preserve"> 5.939亿</t>
  </si>
  <si>
    <t xml:space="preserve"> 81.90亿</t>
  </si>
  <si>
    <t xml:space="preserve"> 北京银行</t>
  </si>
  <si>
    <t xml:space="preserve"> 47.4万</t>
  </si>
  <si>
    <t xml:space="preserve"> -2.89万</t>
  </si>
  <si>
    <t xml:space="preserve"> 211.4亿</t>
  </si>
  <si>
    <t xml:space="preserve"> 962.0亿</t>
  </si>
  <si>
    <t xml:space="preserve"> 誉衡药业</t>
  </si>
  <si>
    <t xml:space="preserve"> 2.15亿</t>
  </si>
  <si>
    <t xml:space="preserve"> -6.64万</t>
  </si>
  <si>
    <t xml:space="preserve"> 21.98亿</t>
  </si>
  <si>
    <t xml:space="preserve"> 58.69亿</t>
  </si>
  <si>
    <t xml:space="preserve"> 21.91亿</t>
  </si>
  <si>
    <t xml:space="preserve"> 58.50亿</t>
  </si>
  <si>
    <t xml:space="preserve"> 华夏银行</t>
  </si>
  <si>
    <t xml:space="preserve"> 711亿</t>
  </si>
  <si>
    <t xml:space="preserve"> -2.16万</t>
  </si>
  <si>
    <t xml:space="preserve"> 159.1亿</t>
  </si>
  <si>
    <t xml:space="preserve"> 927.8亿</t>
  </si>
  <si>
    <t xml:space="preserve"> 128.2亿</t>
  </si>
  <si>
    <t xml:space="preserve"> 747.6亿</t>
  </si>
  <si>
    <t xml:space="preserve"> 圣邦股份</t>
  </si>
  <si>
    <t xml:space="preserve"> 4.674亿</t>
  </si>
  <si>
    <t xml:space="preserve"> 423.0亿</t>
  </si>
  <si>
    <t xml:space="preserve"> 4.479亿</t>
  </si>
  <si>
    <t xml:space="preserve"> 405.3亿</t>
  </si>
  <si>
    <t xml:space="preserve"> 流金科技</t>
  </si>
  <si>
    <t xml:space="preserve"> 4.39亿</t>
  </si>
  <si>
    <t xml:space="preserve"> 3.090亿</t>
  </si>
  <si>
    <t xml:space="preserve"> 2.309亿</t>
  </si>
  <si>
    <t xml:space="preserve"> 11.15亿</t>
  </si>
  <si>
    <t xml:space="preserve"> 京城股份</t>
  </si>
  <si>
    <t xml:space="preserve"> 5.423亿</t>
  </si>
  <si>
    <t xml:space="preserve"> 72.50亿</t>
  </si>
  <si>
    <t xml:space="preserve"> 4.282亿</t>
  </si>
  <si>
    <t xml:space="preserve"> 中创环保</t>
  </si>
  <si>
    <t xml:space="preserve"> 2.14亿</t>
  </si>
  <si>
    <t xml:space="preserve"> 3.28亿</t>
  </si>
  <si>
    <t xml:space="preserve"> 3.855亿</t>
  </si>
  <si>
    <t xml:space="preserve"> 34.35亿</t>
  </si>
  <si>
    <t xml:space="preserve"> 3.853亿</t>
  </si>
  <si>
    <t xml:space="preserve"> 34.33亿</t>
  </si>
  <si>
    <t xml:space="preserve"> 春秋航空</t>
  </si>
  <si>
    <t xml:space="preserve"> 9.785亿</t>
  </si>
  <si>
    <t xml:space="preserve"> 500.9亿</t>
  </si>
  <si>
    <t xml:space="preserve"> 通化东宝</t>
  </si>
  <si>
    <t xml:space="preserve"> 19.94亿</t>
  </si>
  <si>
    <t xml:space="preserve"> 237.4亿</t>
  </si>
  <si>
    <t xml:space="preserve"> 19.92亿</t>
  </si>
  <si>
    <t xml:space="preserve"> 康芝药业</t>
  </si>
  <si>
    <t xml:space="preserve"> 2.13亿</t>
  </si>
  <si>
    <t xml:space="preserve"> 30.29亿</t>
  </si>
  <si>
    <t xml:space="preserve"> 4.357亿</t>
  </si>
  <si>
    <t xml:space="preserve"> 徐工机械</t>
  </si>
  <si>
    <t xml:space="preserve"> 717亿</t>
  </si>
  <si>
    <t xml:space="preserve"> 118.2亿</t>
  </si>
  <si>
    <t xml:space="preserve"> 655.8亿</t>
  </si>
  <si>
    <t xml:space="preserve"> 81.29亿</t>
  </si>
  <si>
    <t xml:space="preserve"> 451.2亿</t>
  </si>
  <si>
    <t xml:space="preserve"> 华依科技</t>
  </si>
  <si>
    <t xml:space="preserve"> 8478万</t>
  </si>
  <si>
    <t xml:space="preserve"> 44.64亿</t>
  </si>
  <si>
    <t xml:space="preserve"> 5360万</t>
  </si>
  <si>
    <t xml:space="preserve"> 时代电气</t>
  </si>
  <si>
    <t xml:space="preserve"> 5.67万</t>
  </si>
  <si>
    <t xml:space="preserve"> 533.8亿</t>
  </si>
  <si>
    <t xml:space="preserve"> 2.599亿</t>
  </si>
  <si>
    <t xml:space="preserve"> 97.97亿</t>
  </si>
  <si>
    <t xml:space="preserve"> 农尚环境</t>
  </si>
  <si>
    <t xml:space="preserve"> 9.92万</t>
  </si>
  <si>
    <t xml:space="preserve"> 2.12亿</t>
  </si>
  <si>
    <t xml:space="preserve"> 63.41亿</t>
  </si>
  <si>
    <t xml:space="preserve"> 江苏雷利</t>
  </si>
  <si>
    <t xml:space="preserve"> 3.170亿</t>
  </si>
  <si>
    <t xml:space="preserve"> 3.169亿</t>
  </si>
  <si>
    <t xml:space="preserve"> 100.6亿</t>
  </si>
  <si>
    <t xml:space="preserve"> 幸福蓝海</t>
  </si>
  <si>
    <t xml:space="preserve"> 3.726亿</t>
  </si>
  <si>
    <t xml:space="preserve"> 龙韵股份</t>
  </si>
  <si>
    <t xml:space="preserve"> 4.59万</t>
  </si>
  <si>
    <t xml:space="preserve"> 6.01万</t>
  </si>
  <si>
    <t xml:space="preserve"> 9334万</t>
  </si>
  <si>
    <t xml:space="preserve"> 18.93亿</t>
  </si>
  <si>
    <t xml:space="preserve"> 绿的谐波</t>
  </si>
  <si>
    <t xml:space="preserve"> 1.687亿</t>
  </si>
  <si>
    <t xml:space="preserve"> 266.5亿</t>
  </si>
  <si>
    <t xml:space="preserve"> 世茂能源</t>
  </si>
  <si>
    <t xml:space="preserve"> 31.70亿</t>
  </si>
  <si>
    <t xml:space="preserve"> 4000万</t>
  </si>
  <si>
    <t xml:space="preserve"> 7.924亿</t>
  </si>
  <si>
    <t xml:space="preserve"> 德恩精工</t>
  </si>
  <si>
    <t xml:space="preserve"> 2.11亿</t>
  </si>
  <si>
    <t xml:space="preserve"> 5.27万</t>
  </si>
  <si>
    <t xml:space="preserve"> 1.467亿</t>
  </si>
  <si>
    <t xml:space="preserve"> 30.98亿</t>
  </si>
  <si>
    <t xml:space="preserve"> 1.032亿</t>
  </si>
  <si>
    <t xml:space="preserve"> 21.80亿</t>
  </si>
  <si>
    <t xml:space="preserve"> 宝信软件</t>
  </si>
  <si>
    <t xml:space="preserve"> 88.2亿</t>
  </si>
  <si>
    <t xml:space="preserve"> 2.08万</t>
  </si>
  <si>
    <t xml:space="preserve"> 2.87万</t>
  </si>
  <si>
    <t xml:space="preserve"> 24.03亿</t>
  </si>
  <si>
    <t xml:space="preserve"> 17.35亿</t>
  </si>
  <si>
    <t xml:space="preserve"> 748.0亿</t>
  </si>
  <si>
    <t xml:space="preserve"> 科士达</t>
  </si>
  <si>
    <t xml:space="preserve"> 8.35万</t>
  </si>
  <si>
    <t xml:space="preserve"> 40.7亿</t>
  </si>
  <si>
    <t xml:space="preserve"> 5.870亿</t>
  </si>
  <si>
    <t xml:space="preserve"> 149.7亿</t>
  </si>
  <si>
    <t xml:space="preserve"> 5.651亿</t>
  </si>
  <si>
    <t xml:space="preserve"> 浙商银行</t>
  </si>
  <si>
    <t xml:space="preserve"> 83.2万</t>
  </si>
  <si>
    <t xml:space="preserve"> -20.3万</t>
  </si>
  <si>
    <t xml:space="preserve"> 49.8万</t>
  </si>
  <si>
    <t xml:space="preserve"> 1.49万</t>
  </si>
  <si>
    <t xml:space="preserve"> 274.6亿</t>
  </si>
  <si>
    <t xml:space="preserve"> 692.1亿</t>
  </si>
  <si>
    <t xml:space="preserve"> 542.9亿</t>
  </si>
  <si>
    <t xml:space="preserve"> 皖新传媒</t>
  </si>
  <si>
    <t xml:space="preserve"> 2.10亿</t>
  </si>
  <si>
    <t xml:space="preserve"> 97.8亿</t>
  </si>
  <si>
    <t xml:space="preserve"> 19.89亿</t>
  </si>
  <si>
    <t xml:space="preserve"> 北新建材</t>
  </si>
  <si>
    <t xml:space="preserve"> 5.59万</t>
  </si>
  <si>
    <t xml:space="preserve"> 389.6亿</t>
  </si>
  <si>
    <t xml:space="preserve"> 376.4亿</t>
  </si>
  <si>
    <t xml:space="preserve"> 金刚光伏</t>
  </si>
  <si>
    <t xml:space="preserve"> 6.13万</t>
  </si>
  <si>
    <t xml:space="preserve"> 2.160亿</t>
  </si>
  <si>
    <t xml:space="preserve"> 37.95亿</t>
  </si>
  <si>
    <t xml:space="preserve"> 2.152亿</t>
  </si>
  <si>
    <t xml:space="preserve"> 37.81亿</t>
  </si>
  <si>
    <t xml:space="preserve"> 江西铜业</t>
  </si>
  <si>
    <t xml:space="preserve"> 3996亿</t>
  </si>
  <si>
    <t xml:space="preserve"> 5.11万</t>
  </si>
  <si>
    <t xml:space="preserve"> 611.2亿</t>
  </si>
  <si>
    <t xml:space="preserve"> 20.75亿</t>
  </si>
  <si>
    <t xml:space="preserve"> 366.3亿</t>
  </si>
  <si>
    <t xml:space="preserve"> 新集能源</t>
  </si>
  <si>
    <t xml:space="preserve"> 96.9亿</t>
  </si>
  <si>
    <t xml:space="preserve"> -1.41万</t>
  </si>
  <si>
    <t xml:space="preserve"> 25.91亿</t>
  </si>
  <si>
    <t xml:space="preserve"> 139.1亿</t>
  </si>
  <si>
    <t xml:space="preserve"> 荣科科技</t>
  </si>
  <si>
    <t xml:space="preserve"> 5.19亿</t>
  </si>
  <si>
    <t xml:space="preserve"> 6.406亿</t>
  </si>
  <si>
    <t xml:space="preserve"> 43.81亿</t>
  </si>
  <si>
    <t xml:space="preserve"> 6.392亿</t>
  </si>
  <si>
    <t xml:space="preserve"> 43.72亿</t>
  </si>
  <si>
    <t xml:space="preserve"> 网达软件</t>
  </si>
  <si>
    <t xml:space="preserve"> 2.695亿</t>
  </si>
  <si>
    <t xml:space="preserve"> 黑猫股份</t>
  </si>
  <si>
    <t xml:space="preserve"> 2.09亿</t>
  </si>
  <si>
    <t xml:space="preserve"> 67.9亿</t>
  </si>
  <si>
    <t xml:space="preserve"> 9.43万</t>
  </si>
  <si>
    <t xml:space="preserve"> 7.414亿</t>
  </si>
  <si>
    <t xml:space="preserve"> 82.89亿</t>
  </si>
  <si>
    <t xml:space="preserve"> 7.348亿</t>
  </si>
  <si>
    <t xml:space="preserve"> 82.15亿</t>
  </si>
  <si>
    <t xml:space="preserve"> 川投能源</t>
  </si>
  <si>
    <t xml:space="preserve"> 44.61亿</t>
  </si>
  <si>
    <t xml:space="preserve"> 634.8亿</t>
  </si>
  <si>
    <t xml:space="preserve"> 纳思达</t>
  </si>
  <si>
    <t xml:space="preserve"> 179亿</t>
  </si>
  <si>
    <t xml:space="preserve"> 3.92万</t>
  </si>
  <si>
    <t xml:space="preserve"> 3.72万</t>
  </si>
  <si>
    <t xml:space="preserve"> 390.6亿</t>
  </si>
  <si>
    <t xml:space="preserve"> 13.02亿</t>
  </si>
  <si>
    <t xml:space="preserve"> 359.1亿</t>
  </si>
  <si>
    <t xml:space="preserve"> 特发信息</t>
  </si>
  <si>
    <t xml:space="preserve"> 9.003亿</t>
  </si>
  <si>
    <t xml:space="preserve"> 81.84亿</t>
  </si>
  <si>
    <t xml:space="preserve"> 8.886亿</t>
  </si>
  <si>
    <t xml:space="preserve"> 80.77亿</t>
  </si>
  <si>
    <t xml:space="preserve"> 胜利精密</t>
  </si>
  <si>
    <t xml:space="preserve"> 1.73万</t>
  </si>
  <si>
    <t xml:space="preserve"> 3.09万</t>
  </si>
  <si>
    <t xml:space="preserve"> 34.42亿</t>
  </si>
  <si>
    <t xml:space="preserve"> 91.20亿</t>
  </si>
  <si>
    <t xml:space="preserve"> 31.51亿</t>
  </si>
  <si>
    <t xml:space="preserve"> 83.49亿</t>
  </si>
  <si>
    <t xml:space="preserve"> 苏奥传感</t>
  </si>
  <si>
    <t xml:space="preserve"> 57.39亿</t>
  </si>
  <si>
    <t xml:space="preserve"> 7.672亿</t>
  </si>
  <si>
    <t xml:space="preserve"> 55.62亿</t>
  </si>
  <si>
    <t xml:space="preserve"> 广和通</t>
  </si>
  <si>
    <t xml:space="preserve"> 59.1亿</t>
  </si>
  <si>
    <t xml:space="preserve"> 7.676亿</t>
  </si>
  <si>
    <t xml:space="preserve"> 156.8亿</t>
  </si>
  <si>
    <t xml:space="preserve"> 5.027亿</t>
  </si>
  <si>
    <t xml:space="preserve"> 102.7亿</t>
  </si>
  <si>
    <t xml:space="preserve"> 德龙激光</t>
  </si>
  <si>
    <t xml:space="preserve"> 5.26万</t>
  </si>
  <si>
    <t xml:space="preserve"> 2.08亿</t>
  </si>
  <si>
    <t xml:space="preserve"> 2.72万</t>
  </si>
  <si>
    <t xml:space="preserve"> 1.034亿</t>
  </si>
  <si>
    <t xml:space="preserve"> 41.23亿</t>
  </si>
  <si>
    <t xml:space="preserve"> 7961万</t>
  </si>
  <si>
    <t xml:space="preserve"> 31.76亿</t>
  </si>
  <si>
    <t xml:space="preserve"> 铜陵有色</t>
  </si>
  <si>
    <t xml:space="preserve"> 68.6万</t>
  </si>
  <si>
    <t xml:space="preserve"> 1026亿</t>
  </si>
  <si>
    <t xml:space="preserve"> 386.3亿</t>
  </si>
  <si>
    <t xml:space="preserve"> 321.1亿</t>
  </si>
  <si>
    <t xml:space="preserve"> 雷科防务</t>
  </si>
  <si>
    <t xml:space="preserve"> 13.40亿</t>
  </si>
  <si>
    <t xml:space="preserve"> 81.09亿</t>
  </si>
  <si>
    <t xml:space="preserve"> 12.51亿</t>
  </si>
  <si>
    <t xml:space="preserve"> 75.66亿</t>
  </si>
  <si>
    <t xml:space="preserve"> 智微智能</t>
  </si>
  <si>
    <t xml:space="preserve"> 7.54万</t>
  </si>
  <si>
    <t xml:space="preserve"> 2.492亿</t>
  </si>
  <si>
    <t xml:space="preserve"> 69.34亿</t>
  </si>
  <si>
    <t xml:space="preserve"> 7096万</t>
  </si>
  <si>
    <t xml:space="preserve"> 19.75亿</t>
  </si>
  <si>
    <t xml:space="preserve"> 麦趣尔</t>
  </si>
  <si>
    <t xml:space="preserve"> 9.54万</t>
  </si>
  <si>
    <t xml:space="preserve"> 7.59万</t>
  </si>
  <si>
    <t xml:space="preserve"> 1.741亿</t>
  </si>
  <si>
    <t xml:space="preserve"> 20.88亿</t>
  </si>
  <si>
    <t xml:space="preserve"> 19.41亿</t>
  </si>
  <si>
    <t xml:space="preserve"> 中国卫星</t>
  </si>
  <si>
    <t xml:space="preserve"> 7.85万</t>
  </si>
  <si>
    <t xml:space="preserve"> 36.7亿</t>
  </si>
  <si>
    <t xml:space="preserve"> 315.4亿</t>
  </si>
  <si>
    <t xml:space="preserve"> 宇信科技</t>
  </si>
  <si>
    <t xml:space="preserve"> 7.107亿</t>
  </si>
  <si>
    <t xml:space="preserve"> 7.032亿</t>
  </si>
  <si>
    <t xml:space="preserve"> 中国外运</t>
  </si>
  <si>
    <t xml:space="preserve"> 2.07亿</t>
  </si>
  <si>
    <t xml:space="preserve"> 728亿</t>
  </si>
  <si>
    <t xml:space="preserve"> 72.94亿</t>
  </si>
  <si>
    <t xml:space="preserve"> 358.1亿</t>
  </si>
  <si>
    <t xml:space="preserve"> 258.1亿</t>
  </si>
  <si>
    <t xml:space="preserve"> 海通证券</t>
  </si>
  <si>
    <t xml:space="preserve"> 130.6亿</t>
  </si>
  <si>
    <t xml:space="preserve"> 1282亿</t>
  </si>
  <si>
    <t xml:space="preserve"> 88.73亿</t>
  </si>
  <si>
    <t xml:space="preserve"> 870.5亿</t>
  </si>
  <si>
    <t xml:space="preserve"> 永鼎股份</t>
  </si>
  <si>
    <t xml:space="preserve"> 29.5亿</t>
  </si>
  <si>
    <t xml:space="preserve"> -2.71万</t>
  </si>
  <si>
    <t xml:space="preserve"> 14.05亿</t>
  </si>
  <si>
    <t xml:space="preserve"> 83.57亿</t>
  </si>
  <si>
    <t xml:space="preserve"> 13.81亿</t>
  </si>
  <si>
    <t xml:space="preserve"> 82.18亿</t>
  </si>
  <si>
    <t xml:space="preserve"> 广道数字</t>
  </si>
  <si>
    <t xml:space="preserve"> 6700万</t>
  </si>
  <si>
    <t xml:space="preserve"> 4689万</t>
  </si>
  <si>
    <t xml:space="preserve"> 11.25亿</t>
  </si>
  <si>
    <t xml:space="preserve"> 横店影视</t>
  </si>
  <si>
    <t xml:space="preserve"> 5.78万</t>
  </si>
  <si>
    <t xml:space="preserve"> 6.342亿</t>
  </si>
  <si>
    <t xml:space="preserve"> 112.8亿</t>
  </si>
  <si>
    <t xml:space="preserve"> 奥飞数据</t>
  </si>
  <si>
    <t xml:space="preserve"> 9.536亿</t>
  </si>
  <si>
    <t xml:space="preserve"> 88.78亿</t>
  </si>
  <si>
    <t xml:space="preserve"> 9.431亿</t>
  </si>
  <si>
    <t xml:space="preserve"> 87.81亿</t>
  </si>
  <si>
    <t xml:space="preserve"> 得利斯</t>
  </si>
  <si>
    <t xml:space="preserve"> 23.1亿</t>
  </si>
  <si>
    <t xml:space="preserve"> 6.360亿</t>
  </si>
  <si>
    <t xml:space="preserve"> 38.16亿</t>
  </si>
  <si>
    <t xml:space="preserve"> 6.352亿</t>
  </si>
  <si>
    <t xml:space="preserve"> 龙宇股份</t>
  </si>
  <si>
    <t xml:space="preserve"> 46.64亿</t>
  </si>
  <si>
    <t xml:space="preserve"> 航天电器</t>
  </si>
  <si>
    <t xml:space="preserve"> 4.01万</t>
  </si>
  <si>
    <t xml:space="preserve"> 52.0亿</t>
  </si>
  <si>
    <t xml:space="preserve"> 4.569亿</t>
  </si>
  <si>
    <t xml:space="preserve"> 4.526亿</t>
  </si>
  <si>
    <t xml:space="preserve"> 231.4亿</t>
  </si>
  <si>
    <t xml:space="preserve"> 科创信息</t>
  </si>
  <si>
    <t xml:space="preserve"> 6.96万</t>
  </si>
  <si>
    <t xml:space="preserve"> 2.407亿</t>
  </si>
  <si>
    <t xml:space="preserve"> 34.25亿</t>
  </si>
  <si>
    <t xml:space="preserve"> 1.962亿</t>
  </si>
  <si>
    <t xml:space="preserve"> 27.92亿</t>
  </si>
  <si>
    <t xml:space="preserve"> 铂力特</t>
  </si>
  <si>
    <t xml:space="preserve"> 7.42亿</t>
  </si>
  <si>
    <t xml:space="preserve"> 1.602亿</t>
  </si>
  <si>
    <t xml:space="preserve"> 165.3亿</t>
  </si>
  <si>
    <t xml:space="preserve"> 康缘药业</t>
  </si>
  <si>
    <t xml:space="preserve"> 35.0亿</t>
  </si>
  <si>
    <t xml:space="preserve"> 5.785亿</t>
  </si>
  <si>
    <t xml:space="preserve"> 108.7亿</t>
  </si>
  <si>
    <t xml:space="preserve"> 北斗星通</t>
  </si>
  <si>
    <t xml:space="preserve"> 2.86万</t>
  </si>
  <si>
    <t xml:space="preserve"> 5.442亿</t>
  </si>
  <si>
    <t xml:space="preserve"> 4.101亿</t>
  </si>
  <si>
    <t xml:space="preserve"> 136.6亿</t>
  </si>
  <si>
    <t xml:space="preserve"> 云意电气</t>
  </si>
  <si>
    <t xml:space="preserve"> 2.05亿</t>
  </si>
  <si>
    <t xml:space="preserve"> 8.746亿</t>
  </si>
  <si>
    <t xml:space="preserve"> 58.34亿</t>
  </si>
  <si>
    <t xml:space="preserve"> 8.522亿</t>
  </si>
  <si>
    <t xml:space="preserve"> 56.84亿</t>
  </si>
  <si>
    <t xml:space="preserve"> 上海九百</t>
  </si>
  <si>
    <t xml:space="preserve"> 25.1万</t>
  </si>
  <si>
    <t xml:space="preserve"> 6419万</t>
  </si>
  <si>
    <t xml:space="preserve"> 4.009亿</t>
  </si>
  <si>
    <t xml:space="preserve"> 32.35亿</t>
  </si>
  <si>
    <t xml:space="preserve"> 光洋股份</t>
  </si>
  <si>
    <t xml:space="preserve"> 5.737亿</t>
  </si>
  <si>
    <t xml:space="preserve"> 48.13亿</t>
  </si>
  <si>
    <t xml:space="preserve"> 34.31亿</t>
  </si>
  <si>
    <t xml:space="preserve"> 联建光电</t>
  </si>
  <si>
    <t xml:space="preserve"> 7.34亿</t>
  </si>
  <si>
    <t xml:space="preserve"> 5.491亿</t>
  </si>
  <si>
    <t xml:space="preserve"> 26.96亿</t>
  </si>
  <si>
    <t xml:space="preserve"> 5.257亿</t>
  </si>
  <si>
    <t xml:space="preserve"> 25.81亿</t>
  </si>
  <si>
    <t xml:space="preserve"> 拓新药业</t>
  </si>
  <si>
    <t xml:space="preserve"> 3.89万</t>
  </si>
  <si>
    <t xml:space="preserve"> 7.46亿</t>
  </si>
  <si>
    <t xml:space="preserve"> 1.265亿</t>
  </si>
  <si>
    <t xml:space="preserve"> 66.03亿</t>
  </si>
  <si>
    <t xml:space="preserve"> 7889万</t>
  </si>
  <si>
    <t xml:space="preserve"> 41.16亿</t>
  </si>
  <si>
    <t xml:space="preserve"> 九号公司-WD</t>
  </si>
  <si>
    <t xml:space="preserve"> 6.09万</t>
  </si>
  <si>
    <t xml:space="preserve"> 75.3亿</t>
  </si>
  <si>
    <t xml:space="preserve"> 3.03万</t>
  </si>
  <si>
    <t xml:space="preserve"> 7.207亿</t>
  </si>
  <si>
    <t xml:space="preserve"> 241.2亿</t>
  </si>
  <si>
    <t xml:space="preserve"> 5.235亿</t>
  </si>
  <si>
    <t xml:space="preserve"> 湖北广电</t>
  </si>
  <si>
    <t xml:space="preserve"> 11.34亿</t>
  </si>
  <si>
    <t xml:space="preserve"> 62.39亿</t>
  </si>
  <si>
    <t xml:space="preserve"> 62.38亿</t>
  </si>
  <si>
    <t xml:space="preserve"> 海兰信</t>
  </si>
  <si>
    <t xml:space="preserve"> 6.581亿</t>
  </si>
  <si>
    <t xml:space="preserve"> 74.04亿</t>
  </si>
  <si>
    <t xml:space="preserve"> 顺络电子</t>
  </si>
  <si>
    <t xml:space="preserve"> 2.03亿</t>
  </si>
  <si>
    <t xml:space="preserve"> 8.063亿</t>
  </si>
  <si>
    <t xml:space="preserve"> 215.5亿</t>
  </si>
  <si>
    <t xml:space="preserve"> 198.6亿</t>
  </si>
  <si>
    <t xml:space="preserve"> 国光电器</t>
  </si>
  <si>
    <t xml:space="preserve"> 43.2亿</t>
  </si>
  <si>
    <t xml:space="preserve"> 8.01万</t>
  </si>
  <si>
    <t xml:space="preserve"> 4.684亿</t>
  </si>
  <si>
    <t xml:space="preserve"> 73.35亿</t>
  </si>
  <si>
    <t xml:space="preserve"> 4.677亿</t>
  </si>
  <si>
    <t xml:space="preserve"> 73.25亿</t>
  </si>
  <si>
    <t xml:space="preserve"> 艾力斯</t>
  </si>
  <si>
    <t xml:space="preserve"> 2.18万</t>
  </si>
  <si>
    <t xml:space="preserve"> 173.3亿</t>
  </si>
  <si>
    <t xml:space="preserve"> 2.068亿</t>
  </si>
  <si>
    <t xml:space="preserve"> 79.61亿</t>
  </si>
  <si>
    <t xml:space="preserve"> 振芯科技</t>
  </si>
  <si>
    <t xml:space="preserve"> 6.15亿</t>
  </si>
  <si>
    <t xml:space="preserve"> 4.79万</t>
  </si>
  <si>
    <t xml:space="preserve"> 5.645亿</t>
  </si>
  <si>
    <t xml:space="preserve"> 135.0亿</t>
  </si>
  <si>
    <t xml:space="preserve"> 134.5亿</t>
  </si>
  <si>
    <t xml:space="preserve"> 捷昌驱动</t>
  </si>
  <si>
    <t xml:space="preserve"> 4.37万</t>
  </si>
  <si>
    <t xml:space="preserve"> 3.846亿</t>
  </si>
  <si>
    <t xml:space="preserve"> 77.58亿</t>
  </si>
  <si>
    <t xml:space="preserve"> 3.822亿</t>
  </si>
  <si>
    <t xml:space="preserve"> 77.10亿</t>
  </si>
  <si>
    <t xml:space="preserve"> 新五丰</t>
  </si>
  <si>
    <t xml:space="preserve"> 38.7亿</t>
  </si>
  <si>
    <t xml:space="preserve"> 12.61亿</t>
  </si>
  <si>
    <t xml:space="preserve"> 133.6亿</t>
  </si>
  <si>
    <t xml:space="preserve"> 6.527亿</t>
  </si>
  <si>
    <t xml:space="preserve"> 69.12亿</t>
  </si>
  <si>
    <t xml:space="preserve"> 飞利信</t>
  </si>
  <si>
    <t xml:space="preserve"> -3.77万</t>
  </si>
  <si>
    <t xml:space="preserve"> 14.35亿</t>
  </si>
  <si>
    <t xml:space="preserve"> 63.87亿</t>
  </si>
  <si>
    <t xml:space="preserve"> 12.95亿</t>
  </si>
  <si>
    <t xml:space="preserve"> 中国中冶</t>
  </si>
  <si>
    <t xml:space="preserve"> 64.7万</t>
  </si>
  <si>
    <t xml:space="preserve"> 4673亿</t>
  </si>
  <si>
    <t xml:space="preserve"> -2.81万</t>
  </si>
  <si>
    <t xml:space="preserve"> 207.2亿</t>
  </si>
  <si>
    <t xml:space="preserve"> 650.7亿</t>
  </si>
  <si>
    <t xml:space="preserve"> 178.5亿</t>
  </si>
  <si>
    <t xml:space="preserve"> 560.6亿</t>
  </si>
  <si>
    <t xml:space="preserve"> 良品铺子</t>
  </si>
  <si>
    <t xml:space="preserve"> 60.0亿</t>
  </si>
  <si>
    <t xml:space="preserve"> 85.49亿</t>
  </si>
  <si>
    <t xml:space="preserve"> 华电国际</t>
  </si>
  <si>
    <t xml:space="preserve"> 39.4万</t>
  </si>
  <si>
    <t xml:space="preserve"> 1.44万</t>
  </si>
  <si>
    <t xml:space="preserve"> 907亿</t>
  </si>
  <si>
    <t xml:space="preserve"> 526.7亿</t>
  </si>
  <si>
    <t xml:space="preserve"> 438.3亿</t>
  </si>
  <si>
    <t xml:space="preserve"> 中国动力</t>
  </si>
  <si>
    <t xml:space="preserve"> 325亿</t>
  </si>
  <si>
    <t xml:space="preserve"> 6.12万</t>
  </si>
  <si>
    <t xml:space="preserve"> 387.9亿</t>
  </si>
  <si>
    <t xml:space="preserve"> 纳芯微</t>
  </si>
  <si>
    <t xml:space="preserve"> 10.0亿</t>
  </si>
  <si>
    <t xml:space="preserve"> 1.425亿</t>
  </si>
  <si>
    <t xml:space="preserve"> 225.2亿</t>
  </si>
  <si>
    <t xml:space="preserve"> 9156万</t>
  </si>
  <si>
    <t xml:space="preserve"> 144.7亿</t>
  </si>
  <si>
    <t xml:space="preserve"> 海量数据</t>
  </si>
  <si>
    <t xml:space="preserve"> 2.01亿</t>
  </si>
  <si>
    <t xml:space="preserve"> 1.63亿</t>
  </si>
  <si>
    <t xml:space="preserve"> 2.831亿</t>
  </si>
  <si>
    <t xml:space="preserve"> 51.59亿</t>
  </si>
  <si>
    <t xml:space="preserve"> 2.813亿</t>
  </si>
  <si>
    <t xml:space="preserve"> 51.24亿</t>
  </si>
  <si>
    <t xml:space="preserve"> 电科芯片</t>
  </si>
  <si>
    <t xml:space="preserve"> 8.47亿</t>
  </si>
  <si>
    <t xml:space="preserve"> 5.40万</t>
  </si>
  <si>
    <t xml:space="preserve"> 8.08万</t>
  </si>
  <si>
    <t xml:space="preserve"> 178.7亿</t>
  </si>
  <si>
    <t xml:space="preserve"> 9.220亿</t>
  </si>
  <si>
    <t xml:space="preserve"> 云天化</t>
  </si>
  <si>
    <t xml:space="preserve"> 533亿</t>
  </si>
  <si>
    <t xml:space="preserve"> 7.00万</t>
  </si>
  <si>
    <t xml:space="preserve"> 18.34亿</t>
  </si>
  <si>
    <t xml:space="preserve"> 288.2亿</t>
  </si>
  <si>
    <t xml:space="preserve"> 17.44亿</t>
  </si>
  <si>
    <t xml:space="preserve"> 274.0亿</t>
  </si>
  <si>
    <t xml:space="preserve"> 熙菱信息</t>
  </si>
  <si>
    <t xml:space="preserve"> 1.11亿</t>
  </si>
  <si>
    <t xml:space="preserve"> 6.37万</t>
  </si>
  <si>
    <t xml:space="preserve"> 8.66万</t>
  </si>
  <si>
    <t xml:space="preserve"> 1.915亿</t>
  </si>
  <si>
    <t xml:space="preserve"> 26.06亿</t>
  </si>
  <si>
    <t xml:space="preserve"> 1.445亿</t>
  </si>
  <si>
    <t xml:space="preserve"> 19.66亿</t>
  </si>
  <si>
    <t xml:space="preserve"> 一心堂</t>
  </si>
  <si>
    <t xml:space="preserve"> 7.93万</t>
  </si>
  <si>
    <t xml:space="preserve"> 2.00亿</t>
  </si>
  <si>
    <t xml:space="preserve"> 3.65万</t>
  </si>
  <si>
    <t xml:space="preserve"> 5.960亿</t>
  </si>
  <si>
    <t xml:space="preserve"> 151.5亿</t>
  </si>
  <si>
    <t xml:space="preserve"> 显盈科技</t>
  </si>
  <si>
    <t xml:space="preserve"> 4.68亿</t>
  </si>
  <si>
    <t xml:space="preserve"> 9724万</t>
  </si>
  <si>
    <t xml:space="preserve"> 29.46亿</t>
  </si>
  <si>
    <t xml:space="preserve"> 4520万</t>
  </si>
  <si>
    <t xml:space="preserve"> 13.70亿</t>
  </si>
  <si>
    <t xml:space="preserve"> 航锦科技</t>
  </si>
  <si>
    <t xml:space="preserve"> 25.9亿</t>
  </si>
  <si>
    <t xml:space="preserve"> 6.774亿</t>
  </si>
  <si>
    <t xml:space="preserve"> 233.0亿</t>
  </si>
  <si>
    <t xml:space="preserve"> 瑞斯康达</t>
  </si>
  <si>
    <t xml:space="preserve"> 4.353亿</t>
  </si>
  <si>
    <t xml:space="preserve"> 39.61亿</t>
  </si>
  <si>
    <t xml:space="preserve"> 38.66亿</t>
  </si>
  <si>
    <t xml:space="preserve"> 江中药业</t>
  </si>
  <si>
    <t xml:space="preserve"> 9.03万</t>
  </si>
  <si>
    <t xml:space="preserve"> 6.294亿</t>
  </si>
  <si>
    <t xml:space="preserve"> 140.0亿</t>
  </si>
  <si>
    <t xml:space="preserve"> 凯众股份</t>
  </si>
  <si>
    <t xml:space="preserve"> 8.64万</t>
  </si>
  <si>
    <t xml:space="preserve"> 4.87亿</t>
  </si>
  <si>
    <t xml:space="preserve"> 1.362亿</t>
  </si>
  <si>
    <t xml:space="preserve"> 31.62亿</t>
  </si>
  <si>
    <t xml:space="preserve"> 1.358亿</t>
  </si>
  <si>
    <t xml:space="preserve"> 31.52亿</t>
  </si>
  <si>
    <t xml:space="preserve"> 汇洲智能</t>
  </si>
  <si>
    <t xml:space="preserve"> -1.45万</t>
  </si>
  <si>
    <t xml:space="preserve"> 80.36亿</t>
  </si>
  <si>
    <t xml:space="preserve"> 19.85亿</t>
  </si>
  <si>
    <t xml:space="preserve"> 79.98亿</t>
  </si>
  <si>
    <t xml:space="preserve"> 华润微</t>
  </si>
  <si>
    <t xml:space="preserve"> 1.99亿</t>
  </si>
  <si>
    <t xml:space="preserve"> 625.1亿</t>
  </si>
  <si>
    <t xml:space="preserve"> 浦发银行</t>
  </si>
  <si>
    <t xml:space="preserve"> 1328亿</t>
  </si>
  <si>
    <t xml:space="preserve"> 293.5亿</t>
  </si>
  <si>
    <t xml:space="preserve"> 2011亿</t>
  </si>
  <si>
    <t xml:space="preserve"> 壹石通</t>
  </si>
  <si>
    <t xml:space="preserve"> 6.27万</t>
  </si>
  <si>
    <t xml:space="preserve"> 2.57万</t>
  </si>
  <si>
    <t xml:space="preserve"> 1.998亿</t>
  </si>
  <si>
    <t xml:space="preserve"> 64.61亿</t>
  </si>
  <si>
    <t xml:space="preserve"> 1.439亿</t>
  </si>
  <si>
    <t xml:space="preserve"> 46.53亿</t>
  </si>
  <si>
    <t xml:space="preserve"> 美利云</t>
  </si>
  <si>
    <t xml:space="preserve"> 6.953亿</t>
  </si>
  <si>
    <t xml:space="preserve"> 81.97亿</t>
  </si>
  <si>
    <t xml:space="preserve"> 冠捷科技</t>
  </si>
  <si>
    <t xml:space="preserve"> 73.9万</t>
  </si>
  <si>
    <t xml:space="preserve"> 395亿</t>
  </si>
  <si>
    <t xml:space="preserve"> -5.46万</t>
  </si>
  <si>
    <t xml:space="preserve"> 93.00亿</t>
  </si>
  <si>
    <t xml:space="preserve"> 中源协和</t>
  </si>
  <si>
    <t xml:space="preserve"> 4.679亿</t>
  </si>
  <si>
    <t xml:space="preserve"> 97.52亿</t>
  </si>
  <si>
    <t xml:space="preserve"> 4.678亿</t>
  </si>
  <si>
    <t xml:space="preserve"> 97.48亿</t>
  </si>
  <si>
    <t xml:space="preserve"> 百利电气</t>
  </si>
  <si>
    <t xml:space="preserve"> 65.81亿</t>
  </si>
  <si>
    <t xml:space="preserve"> 成都银行</t>
  </si>
  <si>
    <t xml:space="preserve"> 9.51万</t>
  </si>
  <si>
    <t xml:space="preserve"> 38.14亿</t>
  </si>
  <si>
    <t xml:space="preserve"> 432.1亿</t>
  </si>
  <si>
    <t xml:space="preserve"> 38.06亿</t>
  </si>
  <si>
    <t xml:space="preserve"> 431.2亿</t>
  </si>
  <si>
    <t xml:space="preserve"> 新致软件</t>
  </si>
  <si>
    <t xml:space="preserve"> 9.98万</t>
  </si>
  <si>
    <t xml:space="preserve"> 2.388亿</t>
  </si>
  <si>
    <t xml:space="preserve"> 1.610亿</t>
  </si>
  <si>
    <t xml:space="preserve"> 赤峰黄金</t>
  </si>
  <si>
    <t xml:space="preserve"> 8.80万</t>
  </si>
  <si>
    <t xml:space="preserve"> 16.64亿</t>
  </si>
  <si>
    <t xml:space="preserve"> 233.4亿</t>
  </si>
  <si>
    <t xml:space="preserve"> 汇通能源</t>
  </si>
  <si>
    <t xml:space="preserve"> 8761万</t>
  </si>
  <si>
    <t xml:space="preserve"> 2.063亿</t>
  </si>
  <si>
    <t xml:space="preserve"> 52.71亿</t>
  </si>
  <si>
    <t xml:space="preserve"> 泰晶科技</t>
  </si>
  <si>
    <t xml:space="preserve"> 6.71万</t>
  </si>
  <si>
    <t xml:space="preserve"> 3.893亿</t>
  </si>
  <si>
    <t xml:space="preserve"> 66.11亿</t>
  </si>
  <si>
    <t xml:space="preserve"> 3.869亿</t>
  </si>
  <si>
    <t xml:space="preserve"> 65.70亿</t>
  </si>
  <si>
    <t xml:space="preserve"> 中国人保</t>
  </si>
  <si>
    <t xml:space="preserve"> 4187亿</t>
  </si>
  <si>
    <t xml:space="preserve"> 442.2亿</t>
  </si>
  <si>
    <t xml:space="preserve"> 1796亿</t>
  </si>
  <si>
    <t xml:space="preserve"> 万业企业</t>
  </si>
  <si>
    <t xml:space="preserve"> 9.306亿</t>
  </si>
  <si>
    <t xml:space="preserve"> 三联锻造</t>
  </si>
  <si>
    <t xml:space="preserve"> 8.65亿</t>
  </si>
  <si>
    <t xml:space="preserve"> 1.134亿</t>
  </si>
  <si>
    <t xml:space="preserve"> 43.10亿</t>
  </si>
  <si>
    <t xml:space="preserve"> 2838万</t>
  </si>
  <si>
    <t xml:space="preserve"> 10.79亿</t>
  </si>
  <si>
    <t xml:space="preserve"> 数码视讯</t>
  </si>
  <si>
    <t xml:space="preserve"> 5.28亿</t>
  </si>
  <si>
    <t xml:space="preserve"> -1.85万</t>
  </si>
  <si>
    <t xml:space="preserve"> 14.29亿</t>
  </si>
  <si>
    <t xml:space="preserve"> 86.60亿</t>
  </si>
  <si>
    <t xml:space="preserve"> 12.69亿</t>
  </si>
  <si>
    <t xml:space="preserve"> 76.90亿</t>
  </si>
  <si>
    <t xml:space="preserve"> 北方导航</t>
  </si>
  <si>
    <t xml:space="preserve"> 24.0亿</t>
  </si>
  <si>
    <t xml:space="preserve"> 14.98亿</t>
  </si>
  <si>
    <t xml:space="preserve"> 170.5亿</t>
  </si>
  <si>
    <t xml:space="preserve"> 森麒麟</t>
  </si>
  <si>
    <t xml:space="preserve"> 5.08万</t>
  </si>
  <si>
    <t xml:space="preserve"> 4.139亿</t>
  </si>
  <si>
    <t xml:space="preserve"> 111.2亿</t>
  </si>
  <si>
    <t xml:space="preserve"> 山子股份</t>
  </si>
  <si>
    <t xml:space="preserve"> -6.79万</t>
  </si>
  <si>
    <t xml:space="preserve"> 71.2万</t>
  </si>
  <si>
    <t xml:space="preserve"> 2.80万</t>
  </si>
  <si>
    <t xml:space="preserve"> 99.97亿</t>
  </si>
  <si>
    <t xml:space="preserve"> 55.80亿</t>
  </si>
  <si>
    <t xml:space="preserve"> 101.0亿</t>
  </si>
  <si>
    <t xml:space="preserve"> 恩华药业</t>
  </si>
  <si>
    <t xml:space="preserve"> 1.95亿</t>
  </si>
  <si>
    <t xml:space="preserve"> 36.6亿</t>
  </si>
  <si>
    <t xml:space="preserve"> 4.56万</t>
  </si>
  <si>
    <t xml:space="preserve"> 256.5亿</t>
  </si>
  <si>
    <t xml:space="preserve"> 8.818亿</t>
  </si>
  <si>
    <t xml:space="preserve"> 224.5亿</t>
  </si>
  <si>
    <t xml:space="preserve"> 国缆检测</t>
  </si>
  <si>
    <t xml:space="preserve"> 1.89亿</t>
  </si>
  <si>
    <t xml:space="preserve"> 7800万</t>
  </si>
  <si>
    <t xml:space="preserve"> 43.59亿</t>
  </si>
  <si>
    <t xml:space="preserve"> 2535万</t>
  </si>
  <si>
    <t xml:space="preserve"> 方盛制药</t>
  </si>
  <si>
    <t xml:space="preserve"> 4.397亿</t>
  </si>
  <si>
    <t xml:space="preserve"> 51.05亿</t>
  </si>
  <si>
    <t xml:space="preserve"> 4.340亿</t>
  </si>
  <si>
    <t xml:space="preserve"> 宏达股份</t>
  </si>
  <si>
    <t xml:space="preserve"> 22.4亿</t>
  </si>
  <si>
    <t xml:space="preserve"> 20.32亿</t>
  </si>
  <si>
    <t xml:space="preserve"> 东方电缆</t>
  </si>
  <si>
    <t xml:space="preserve"> 53.5亿</t>
  </si>
  <si>
    <t xml:space="preserve"> 2.15万</t>
  </si>
  <si>
    <t xml:space="preserve"> 6.877亿</t>
  </si>
  <si>
    <t xml:space="preserve"> 282.0亿</t>
  </si>
  <si>
    <t xml:space="preserve"> 华达科技</t>
  </si>
  <si>
    <t xml:space="preserve"> 36.3亿</t>
  </si>
  <si>
    <t xml:space="preserve"> 3.42万</t>
  </si>
  <si>
    <t xml:space="preserve"> 4.390亿</t>
  </si>
  <si>
    <t xml:space="preserve"> 99.62亿</t>
  </si>
  <si>
    <t xml:space="preserve"> 九强生物</t>
  </si>
  <si>
    <t xml:space="preserve"> 4.16万</t>
  </si>
  <si>
    <t xml:space="preserve"> 5.884亿</t>
  </si>
  <si>
    <t xml:space="preserve"> 119.5亿</t>
  </si>
  <si>
    <t xml:space="preserve"> 4.220亿</t>
  </si>
  <si>
    <t xml:space="preserve"> 85.71亿</t>
  </si>
  <si>
    <t xml:space="preserve"> 吉祥航空</t>
  </si>
  <si>
    <t xml:space="preserve"> 5.32万</t>
  </si>
  <si>
    <t xml:space="preserve"> 22.14亿</t>
  </si>
  <si>
    <t xml:space="preserve"> 290.0亿</t>
  </si>
  <si>
    <t xml:space="preserve"> 盟升电子</t>
  </si>
  <si>
    <t xml:space="preserve"> 1.606亿</t>
  </si>
  <si>
    <t xml:space="preserve"> 87.87亿</t>
  </si>
  <si>
    <t xml:space="preserve"> 1.603亿</t>
  </si>
  <si>
    <t xml:space="preserve"> 87.71亿</t>
  </si>
  <si>
    <t xml:space="preserve"> 山东威达</t>
  </si>
  <si>
    <t xml:space="preserve"> 1.94亿</t>
  </si>
  <si>
    <t xml:space="preserve"> 4.455亿</t>
  </si>
  <si>
    <t xml:space="preserve"> 45.31亿</t>
  </si>
  <si>
    <t xml:space="preserve"> 4.280亿</t>
  </si>
  <si>
    <t xml:space="preserve"> 43.53亿</t>
  </si>
  <si>
    <t xml:space="preserve"> 中信银行</t>
  </si>
  <si>
    <t xml:space="preserve"> 35.7万</t>
  </si>
  <si>
    <t xml:space="preserve"> -3.17万</t>
  </si>
  <si>
    <t xml:space="preserve"> 489.7亿</t>
  </si>
  <si>
    <t xml:space="preserve"> 2674亿</t>
  </si>
  <si>
    <t xml:space="preserve"> 340.8亿</t>
  </si>
  <si>
    <t xml:space="preserve"> 1861亿</t>
  </si>
  <si>
    <t xml:space="preserve"> 东吴证券</t>
  </si>
  <si>
    <t xml:space="preserve"> 80.4亿</t>
  </si>
  <si>
    <t xml:space="preserve"> 50.08亿</t>
  </si>
  <si>
    <t xml:space="preserve"> 386.1亿</t>
  </si>
  <si>
    <t xml:space="preserve"> 海大集团</t>
  </si>
  <si>
    <t xml:space="preserve"> 869亿</t>
  </si>
  <si>
    <t xml:space="preserve"> 723.7亿</t>
  </si>
  <si>
    <t xml:space="preserve"> 16.63亿</t>
  </si>
  <si>
    <t xml:space="preserve"> 723.2亿</t>
  </si>
  <si>
    <t xml:space="preserve"> 金健米业</t>
  </si>
  <si>
    <t xml:space="preserve"> 6.418亿</t>
  </si>
  <si>
    <t xml:space="preserve"> 49.29亿</t>
  </si>
  <si>
    <t xml:space="preserve"> 声迅股份</t>
  </si>
  <si>
    <t xml:space="preserve"> 1.14亿</t>
  </si>
  <si>
    <t xml:space="preserve"> 8184万</t>
  </si>
  <si>
    <t xml:space="preserve"> 24.32亿</t>
  </si>
  <si>
    <t xml:space="preserve"> 3364万</t>
  </si>
  <si>
    <t xml:space="preserve"> 9.996亿</t>
  </si>
  <si>
    <t xml:space="preserve"> 商络电子</t>
  </si>
  <si>
    <t xml:space="preserve"> 1.93亿</t>
  </si>
  <si>
    <t xml:space="preserve"> 40.3亿</t>
  </si>
  <si>
    <t xml:space="preserve"> 6.304亿</t>
  </si>
  <si>
    <t xml:space="preserve"> 3.241亿</t>
  </si>
  <si>
    <t xml:space="preserve"> 27.61亿</t>
  </si>
  <si>
    <t xml:space="preserve"> 润泽科技</t>
  </si>
  <si>
    <t xml:space="preserve"> 7.22万</t>
  </si>
  <si>
    <t xml:space="preserve"> 17.21亿</t>
  </si>
  <si>
    <t xml:space="preserve"> 459.4亿</t>
  </si>
  <si>
    <t xml:space="preserve"> 3.588亿</t>
  </si>
  <si>
    <t xml:space="preserve"> 95.80亿</t>
  </si>
  <si>
    <t xml:space="preserve"> 纳尔股份</t>
  </si>
  <si>
    <t xml:space="preserve"> 10.7亿</t>
  </si>
  <si>
    <t xml:space="preserve"> 3.422亿</t>
  </si>
  <si>
    <t xml:space="preserve"> 30.25亿</t>
  </si>
  <si>
    <t xml:space="preserve"> 2.581亿</t>
  </si>
  <si>
    <t xml:space="preserve"> 22.82亿</t>
  </si>
  <si>
    <t xml:space="preserve"> 博思软件</t>
  </si>
  <si>
    <t xml:space="preserve"> 6.11万</t>
  </si>
  <si>
    <t xml:space="preserve"> 7.507亿</t>
  </si>
  <si>
    <t xml:space="preserve"> 114.6亿</t>
  </si>
  <si>
    <t xml:space="preserve"> 6.113亿</t>
  </si>
  <si>
    <t xml:space="preserve"> 93.34亿</t>
  </si>
  <si>
    <t xml:space="preserve"> 中粮糖业</t>
  </si>
  <si>
    <t xml:space="preserve"> 21.39亿</t>
  </si>
  <si>
    <t xml:space="preserve"> 184.4亿</t>
  </si>
  <si>
    <t xml:space="preserve"> 联络互动</t>
  </si>
  <si>
    <t xml:space="preserve"> 78.9亿</t>
  </si>
  <si>
    <t xml:space="preserve"> -3.62万</t>
  </si>
  <si>
    <t xml:space="preserve"> 21.77亿</t>
  </si>
  <si>
    <t xml:space="preserve"> 63.57亿</t>
  </si>
  <si>
    <t xml:space="preserve"> 全志科技</t>
  </si>
  <si>
    <t xml:space="preserve"> 6.317亿</t>
  </si>
  <si>
    <t xml:space="preserve"> 152.1亿</t>
  </si>
  <si>
    <t xml:space="preserve"> 5.064亿</t>
  </si>
  <si>
    <t xml:space="preserve"> 122.0亿</t>
  </si>
  <si>
    <t xml:space="preserve"> 家家悦</t>
  </si>
  <si>
    <t xml:space="preserve"> 139亿</t>
  </si>
  <si>
    <t xml:space="preserve"> 6.473亿</t>
  </si>
  <si>
    <t xml:space="preserve"> 89.85亿</t>
  </si>
  <si>
    <t xml:space="preserve"> 6.084亿</t>
  </si>
  <si>
    <t xml:space="preserve"> 84.45亿</t>
  </si>
  <si>
    <t xml:space="preserve"> 东兴证券</t>
  </si>
  <si>
    <t xml:space="preserve"> 30.1亿</t>
  </si>
  <si>
    <t xml:space="preserve"> 吉翔股份</t>
  </si>
  <si>
    <t xml:space="preserve"> 62.1亿</t>
  </si>
  <si>
    <t xml:space="preserve"> 8.27万</t>
  </si>
  <si>
    <t xml:space="preserve"> 5.187亿</t>
  </si>
  <si>
    <t xml:space="preserve"> 53.58亿</t>
  </si>
  <si>
    <t xml:space="preserve"> 5.123亿</t>
  </si>
  <si>
    <t xml:space="preserve"> 52.92亿</t>
  </si>
  <si>
    <t xml:space="preserve"> 腾景科技</t>
  </si>
  <si>
    <t xml:space="preserve"> 2.64万</t>
  </si>
  <si>
    <t xml:space="preserve"> 1.294亿</t>
  </si>
  <si>
    <t xml:space="preserve"> 43.50亿</t>
  </si>
  <si>
    <t xml:space="preserve"> 通行宝</t>
  </si>
  <si>
    <t xml:space="preserve"> 8.52万</t>
  </si>
  <si>
    <t xml:space="preserve"> 4.070亿</t>
  </si>
  <si>
    <t xml:space="preserve"> 91.86亿</t>
  </si>
  <si>
    <t xml:space="preserve"> 27.09亿</t>
  </si>
  <si>
    <t xml:space="preserve"> 二六三</t>
  </si>
  <si>
    <t xml:space="preserve"> 38.9万</t>
  </si>
  <si>
    <t xml:space="preserve"> 6.60亿</t>
  </si>
  <si>
    <t xml:space="preserve"> -1.91万</t>
  </si>
  <si>
    <t xml:space="preserve"> 13.89亿</t>
  </si>
  <si>
    <t xml:space="preserve"> 69.29亿</t>
  </si>
  <si>
    <t xml:space="preserve"> 13.60亿</t>
  </si>
  <si>
    <t xml:space="preserve"> 67.88亿</t>
  </si>
  <si>
    <t xml:space="preserve"> 云天励飞-U</t>
  </si>
  <si>
    <t xml:space="preserve"> 3.50万</t>
  </si>
  <si>
    <t xml:space="preserve"> 1.54万</t>
  </si>
  <si>
    <t xml:space="preserve"> 3.551亿</t>
  </si>
  <si>
    <t xml:space="preserve"> 196.5亿</t>
  </si>
  <si>
    <t xml:space="preserve"> 8182万</t>
  </si>
  <si>
    <t xml:space="preserve"> 45.27亿</t>
  </si>
  <si>
    <t xml:space="preserve"> 深 赛 格</t>
  </si>
  <si>
    <t xml:space="preserve"> 94.93亿</t>
  </si>
  <si>
    <t xml:space="preserve"> 75.92亿</t>
  </si>
  <si>
    <t xml:space="preserve"> 润欣科技</t>
  </si>
  <si>
    <t xml:space="preserve"> 1.91亿</t>
  </si>
  <si>
    <t xml:space="preserve"> 15.5亿</t>
  </si>
  <si>
    <t xml:space="preserve"> 9.93万</t>
  </si>
  <si>
    <t xml:space="preserve"> 5.046亿</t>
  </si>
  <si>
    <t xml:space="preserve"> 46.32亿</t>
  </si>
  <si>
    <t xml:space="preserve"> 5.010亿</t>
  </si>
  <si>
    <t xml:space="preserve"> 45.99亿</t>
  </si>
  <si>
    <t xml:space="preserve"> 石英股份</t>
  </si>
  <si>
    <t xml:space="preserve"> 2.24万</t>
  </si>
  <si>
    <t xml:space="preserve"> 59.0亿</t>
  </si>
  <si>
    <t xml:space="preserve"> 3.613亿</t>
  </si>
  <si>
    <t xml:space="preserve"> 308.4亿</t>
  </si>
  <si>
    <t xml:space="preserve"> 兆新股份</t>
  </si>
  <si>
    <t xml:space="preserve"> 34.55亿</t>
  </si>
  <si>
    <t xml:space="preserve"> 国新文化</t>
  </si>
  <si>
    <t xml:space="preserve"> 4.386亿</t>
  </si>
  <si>
    <t xml:space="preserve"> 47.42亿</t>
  </si>
  <si>
    <t xml:space="preserve"> 瑞鹄模具</t>
  </si>
  <si>
    <t xml:space="preserve"> 3.07万</t>
  </si>
  <si>
    <t xml:space="preserve"> 1.972亿</t>
  </si>
  <si>
    <t xml:space="preserve"> 69.97亿</t>
  </si>
  <si>
    <t xml:space="preserve"> 睿创微纳</t>
  </si>
  <si>
    <t xml:space="preserve"> 26.6亿</t>
  </si>
  <si>
    <t xml:space="preserve"> 2.12万</t>
  </si>
  <si>
    <t xml:space="preserve"> 4.473亿</t>
  </si>
  <si>
    <t xml:space="preserve"> 224.2亿</t>
  </si>
  <si>
    <t xml:space="preserve"> 绝味食品</t>
  </si>
  <si>
    <t xml:space="preserve"> 6.14万</t>
  </si>
  <si>
    <t xml:space="preserve"> 1.90亿</t>
  </si>
  <si>
    <t xml:space="preserve"> 56.3亿</t>
  </si>
  <si>
    <t xml:space="preserve"> 6.312亿</t>
  </si>
  <si>
    <t xml:space="preserve"> 195.2亿</t>
  </si>
  <si>
    <t xml:space="preserve"> 永茂泰</t>
  </si>
  <si>
    <t xml:space="preserve"> 3.299亿</t>
  </si>
  <si>
    <t xml:space="preserve"> 32.50亿</t>
  </si>
  <si>
    <t xml:space="preserve"> 1.685亿</t>
  </si>
  <si>
    <t xml:space="preserve"> 16.60亿</t>
  </si>
  <si>
    <t xml:space="preserve"> 新潮能源</t>
  </si>
  <si>
    <t xml:space="preserve"> 73.0万</t>
  </si>
  <si>
    <t xml:space="preserve"> 64.8亿</t>
  </si>
  <si>
    <t xml:space="preserve"> -7.30万</t>
  </si>
  <si>
    <t xml:space="preserve"> 68.00亿</t>
  </si>
  <si>
    <t xml:space="preserve"> 177.5亿</t>
  </si>
  <si>
    <t xml:space="preserve"> 166.2亿</t>
  </si>
  <si>
    <t xml:space="preserve"> 昆药集团</t>
  </si>
  <si>
    <t xml:space="preserve"> 8.94万</t>
  </si>
  <si>
    <t xml:space="preserve"> 7.580亿</t>
  </si>
  <si>
    <t xml:space="preserve"> 162.1亿</t>
  </si>
  <si>
    <t xml:space="preserve"> 7.570亿</t>
  </si>
  <si>
    <t xml:space="preserve"> 西部创业</t>
  </si>
  <si>
    <t xml:space="preserve"> 14.58亿</t>
  </si>
  <si>
    <t xml:space="preserve"> 71.75亿</t>
  </si>
  <si>
    <t xml:space="preserve"> 71.73亿</t>
  </si>
  <si>
    <t xml:space="preserve"> 千方科技</t>
  </si>
  <si>
    <t xml:space="preserve"> 7.88万</t>
  </si>
  <si>
    <t xml:space="preserve"> 15.80亿</t>
  </si>
  <si>
    <t xml:space="preserve"> 193.3亿</t>
  </si>
  <si>
    <t xml:space="preserve"> 13.74亿</t>
  </si>
  <si>
    <t xml:space="preserve"> 168.0亿</t>
  </si>
  <si>
    <t xml:space="preserve"> 华天酒店</t>
  </si>
  <si>
    <t xml:space="preserve"> 5.09亿</t>
  </si>
  <si>
    <t xml:space="preserve"> 46.06亿</t>
  </si>
  <si>
    <t xml:space="preserve"> 46.05亿</t>
  </si>
  <si>
    <t xml:space="preserve"> 万达信息</t>
  </si>
  <si>
    <t xml:space="preserve"> 14.43亿</t>
  </si>
  <si>
    <t xml:space="preserve"> 13.61亿</t>
  </si>
  <si>
    <t xml:space="preserve"> 127.7亿</t>
  </si>
  <si>
    <t xml:space="preserve"> 深天马Ａ</t>
  </si>
  <si>
    <t xml:space="preserve"> 247亿</t>
  </si>
  <si>
    <t xml:space="preserve"> 8.67万</t>
  </si>
  <si>
    <t xml:space="preserve"> 24.58亿</t>
  </si>
  <si>
    <t xml:space="preserve"> 265.4亿</t>
  </si>
  <si>
    <t xml:space="preserve"> 23.76亿</t>
  </si>
  <si>
    <t xml:space="preserve"> 256.6亿</t>
  </si>
  <si>
    <t xml:space="preserve"> 中辰股份</t>
  </si>
  <si>
    <t xml:space="preserve"> 20.3亿</t>
  </si>
  <si>
    <t xml:space="preserve"> 4.585亿</t>
  </si>
  <si>
    <t xml:space="preserve"> 2.348亿</t>
  </si>
  <si>
    <t xml:space="preserve"> 22.84亿</t>
  </si>
  <si>
    <t xml:space="preserve"> 博敏电子</t>
  </si>
  <si>
    <t xml:space="preserve"> 22.8亿</t>
  </si>
  <si>
    <t xml:space="preserve"> 6.380亿</t>
  </si>
  <si>
    <t xml:space="preserve"> 71.39亿</t>
  </si>
  <si>
    <t xml:space="preserve"> 巨星科技</t>
  </si>
  <si>
    <t xml:space="preserve"> 86.1亿</t>
  </si>
  <si>
    <t xml:space="preserve"> 262.3亿</t>
  </si>
  <si>
    <t xml:space="preserve"> 251.1亿</t>
  </si>
  <si>
    <t xml:space="preserve"> 明泰铝业</t>
  </si>
  <si>
    <t xml:space="preserve"> 11.92亿</t>
  </si>
  <si>
    <t xml:space="preserve"> 10.92亿</t>
  </si>
  <si>
    <t xml:space="preserve"> 王府井</t>
  </si>
  <si>
    <t xml:space="preserve"> 92.7亿</t>
  </si>
  <si>
    <t xml:space="preserve"> 6.16万</t>
  </si>
  <si>
    <t xml:space="preserve"> 11.35亿</t>
  </si>
  <si>
    <t xml:space="preserve"> 198.5亿</t>
  </si>
  <si>
    <t xml:space="preserve"> 10.93亿</t>
  </si>
  <si>
    <t xml:space="preserve"> 191.2亿</t>
  </si>
  <si>
    <t xml:space="preserve"> 欢瑞世纪</t>
  </si>
  <si>
    <t xml:space="preserve"> 1.88亿</t>
  </si>
  <si>
    <t xml:space="preserve"> 9.810亿</t>
  </si>
  <si>
    <t xml:space="preserve"> 43.26亿</t>
  </si>
  <si>
    <t xml:space="preserve"> 7.108亿</t>
  </si>
  <si>
    <t xml:space="preserve"> 31.35亿</t>
  </si>
  <si>
    <t xml:space="preserve"> 湘油泵</t>
  </si>
  <si>
    <t xml:space="preserve"> 2.081亿</t>
  </si>
  <si>
    <t xml:space="preserve"> 39.51亿</t>
  </si>
  <si>
    <t xml:space="preserve"> 39.30亿</t>
  </si>
  <si>
    <t xml:space="preserve"> 天晟新材</t>
  </si>
  <si>
    <t xml:space="preserve"> 3.260亿</t>
  </si>
  <si>
    <t xml:space="preserve"> 24.91亿</t>
  </si>
  <si>
    <t xml:space="preserve"> 3.017亿</t>
  </si>
  <si>
    <t xml:space="preserve"> 安联锐视</t>
  </si>
  <si>
    <t xml:space="preserve"> 4.67万</t>
  </si>
  <si>
    <t xml:space="preserve"> 6936万</t>
  </si>
  <si>
    <t xml:space="preserve"> 28.31亿</t>
  </si>
  <si>
    <t xml:space="preserve"> 4229万</t>
  </si>
  <si>
    <t xml:space="preserve"> 17.26亿</t>
  </si>
  <si>
    <t xml:space="preserve"> 旭升集团</t>
  </si>
  <si>
    <t xml:space="preserve"> 1.87亿</t>
  </si>
  <si>
    <t xml:space="preserve"> 35.8亿</t>
  </si>
  <si>
    <t xml:space="preserve"> 9.332亿</t>
  </si>
  <si>
    <t xml:space="preserve"> 191.8亿</t>
  </si>
  <si>
    <t xml:space="preserve"> 财通证券</t>
  </si>
  <si>
    <t xml:space="preserve"> 46.44亿</t>
  </si>
  <si>
    <t xml:space="preserve"> 376.6亿</t>
  </si>
  <si>
    <t xml:space="preserve"> 嘉环科技</t>
  </si>
  <si>
    <t xml:space="preserve"> 3.052亿</t>
  </si>
  <si>
    <t xml:space="preserve"> 58.96亿</t>
  </si>
  <si>
    <t xml:space="preserve"> 8720万</t>
  </si>
  <si>
    <t xml:space="preserve"> 16.85亿</t>
  </si>
  <si>
    <t xml:space="preserve"> 兰花科创</t>
  </si>
  <si>
    <t xml:space="preserve"> 96.0亿</t>
  </si>
  <si>
    <t xml:space="preserve"> 147.0亿</t>
  </si>
  <si>
    <t xml:space="preserve"> 永新光学</t>
  </si>
  <si>
    <t xml:space="preserve"> 107.1亿</t>
  </si>
  <si>
    <t xml:space="preserve"> 亚宝药业</t>
  </si>
  <si>
    <t xml:space="preserve"> 1.86亿</t>
  </si>
  <si>
    <t xml:space="preserve"> 7.700亿</t>
  </si>
  <si>
    <t xml:space="preserve"> 60.14亿</t>
  </si>
  <si>
    <t xml:space="preserve"> 杭钢股份</t>
  </si>
  <si>
    <t xml:space="preserve"> 33.77亿</t>
  </si>
  <si>
    <t xml:space="preserve"> 中材科技</t>
  </si>
  <si>
    <t xml:space="preserve"> 182亿</t>
  </si>
  <si>
    <t xml:space="preserve"> 16.78亿</t>
  </si>
  <si>
    <t xml:space="preserve"> 279.6亿</t>
  </si>
  <si>
    <t xml:space="preserve"> 中核钛白</t>
  </si>
  <si>
    <t xml:space="preserve"> 35.9亿</t>
  </si>
  <si>
    <t xml:space="preserve"> -1.96万</t>
  </si>
  <si>
    <t xml:space="preserve"> 38.71亿</t>
  </si>
  <si>
    <t xml:space="preserve"> 藏格矿业</t>
  </si>
  <si>
    <t xml:space="preserve"> 41.9亿</t>
  </si>
  <si>
    <t xml:space="preserve"> 3.32万</t>
  </si>
  <si>
    <t xml:space="preserve"> 香山股份</t>
  </si>
  <si>
    <t xml:space="preserve"> 5.23万</t>
  </si>
  <si>
    <t xml:space="preserve"> 41.5亿</t>
  </si>
  <si>
    <t xml:space="preserve"> 1.321亿</t>
  </si>
  <si>
    <t xml:space="preserve"> 47.03亿</t>
  </si>
  <si>
    <t xml:space="preserve"> 1.103亿</t>
  </si>
  <si>
    <t xml:space="preserve"> 39.27亿</t>
  </si>
  <si>
    <t xml:space="preserve"> 立达信</t>
  </si>
  <si>
    <t xml:space="preserve"> 5.039亿</t>
  </si>
  <si>
    <t xml:space="preserve"> 97.00亿</t>
  </si>
  <si>
    <t xml:space="preserve"> 5857万</t>
  </si>
  <si>
    <t xml:space="preserve"> 11.27亿</t>
  </si>
  <si>
    <t xml:space="preserve"> 多氟多</t>
  </si>
  <si>
    <t xml:space="preserve"> 87.9亿</t>
  </si>
  <si>
    <t xml:space="preserve"> 179.7亿</t>
  </si>
  <si>
    <t xml:space="preserve"> 9.613亿</t>
  </si>
  <si>
    <t xml:space="preserve"> 144.8亿</t>
  </si>
  <si>
    <t xml:space="preserve"> 滨江集团</t>
  </si>
  <si>
    <t xml:space="preserve"> 31.11亿</t>
  </si>
  <si>
    <t xml:space="preserve"> 240.8亿</t>
  </si>
  <si>
    <t xml:space="preserve"> 26.82亿</t>
  </si>
  <si>
    <t xml:space="preserve"> 207.6亿</t>
  </si>
  <si>
    <t xml:space="preserve"> 苏豪弘业</t>
  </si>
  <si>
    <t xml:space="preserve"> 1.85亿</t>
  </si>
  <si>
    <t xml:space="preserve"> 42.9亿</t>
  </si>
  <si>
    <t xml:space="preserve"> 2.468亿</t>
  </si>
  <si>
    <t xml:space="preserve"> 24.68亿</t>
  </si>
  <si>
    <t xml:space="preserve"> 玲珑轮胎</t>
  </si>
  <si>
    <t xml:space="preserve"> 9.48万</t>
  </si>
  <si>
    <t xml:space="preserve"> 14.74亿</t>
  </si>
  <si>
    <t xml:space="preserve"> 288.5亿</t>
  </si>
  <si>
    <t xml:space="preserve"> 联赢激光</t>
  </si>
  <si>
    <t xml:space="preserve"> 3.390亿</t>
  </si>
  <si>
    <t xml:space="preserve"> 78.81亿</t>
  </si>
  <si>
    <t xml:space="preserve"> 飞凯材料</t>
  </si>
  <si>
    <t xml:space="preserve"> 5.46万</t>
  </si>
  <si>
    <t xml:space="preserve"> 5.287亿</t>
  </si>
  <si>
    <t xml:space="preserve"> 92.94亿</t>
  </si>
  <si>
    <t xml:space="preserve"> 5.254亿</t>
  </si>
  <si>
    <t xml:space="preserve"> 92.37亿</t>
  </si>
  <si>
    <t xml:space="preserve"> 慧博云通</t>
  </si>
  <si>
    <t xml:space="preserve"> 7.41万</t>
  </si>
  <si>
    <t xml:space="preserve"> 4.000亿</t>
  </si>
  <si>
    <t xml:space="preserve"> 101.9亿</t>
  </si>
  <si>
    <t xml:space="preserve"> 太阳纸业</t>
  </si>
  <si>
    <t xml:space="preserve"> 292亿</t>
  </si>
  <si>
    <t xml:space="preserve"> 27.95亿</t>
  </si>
  <si>
    <t xml:space="preserve"> 329.5亿</t>
  </si>
  <si>
    <t xml:space="preserve"> 326.1亿</t>
  </si>
  <si>
    <t xml:space="preserve"> 华兰疫苗</t>
  </si>
  <si>
    <t xml:space="preserve"> 2.96万</t>
  </si>
  <si>
    <t xml:space="preserve"> 190.1亿</t>
  </si>
  <si>
    <t xml:space="preserve"> 1.410亿</t>
  </si>
  <si>
    <t xml:space="preserve"> 44.67亿</t>
  </si>
  <si>
    <t xml:space="preserve"> 创维数字</t>
  </si>
  <si>
    <t xml:space="preserve"> 6.59万</t>
  </si>
  <si>
    <t xml:space="preserve"> 7.80万</t>
  </si>
  <si>
    <t xml:space="preserve"> 149.1亿</t>
  </si>
  <si>
    <t xml:space="preserve"> ST大集</t>
  </si>
  <si>
    <t xml:space="preserve"> -59.1万</t>
  </si>
  <si>
    <t xml:space="preserve"> 67.2万</t>
  </si>
  <si>
    <t xml:space="preserve"> 5.97万</t>
  </si>
  <si>
    <t xml:space="preserve"> 191.6亿</t>
  </si>
  <si>
    <t xml:space="preserve"> 277.9亿</t>
  </si>
  <si>
    <t xml:space="preserve"> 151.8亿</t>
  </si>
  <si>
    <t xml:space="preserve"> 220.1亿</t>
  </si>
  <si>
    <t xml:space="preserve"> 华胜天成</t>
  </si>
  <si>
    <t xml:space="preserve"> 28.8亿</t>
  </si>
  <si>
    <t xml:space="preserve"> 10.96亿</t>
  </si>
  <si>
    <t xml:space="preserve"> 82.57亿</t>
  </si>
  <si>
    <t xml:space="preserve"> 扬帆新材</t>
  </si>
  <si>
    <t xml:space="preserve"> 25.47亿</t>
  </si>
  <si>
    <t xml:space="preserve"> 2.343亿</t>
  </si>
  <si>
    <t xml:space="preserve"> 25.43亿</t>
  </si>
  <si>
    <t xml:space="preserve"> 科沃斯</t>
  </si>
  <si>
    <t xml:space="preserve"> 5.766亿</t>
  </si>
  <si>
    <t xml:space="preserve"> 244.2亿</t>
  </si>
  <si>
    <t xml:space="preserve"> 5.692亿</t>
  </si>
  <si>
    <t xml:space="preserve"> 241.1亿</t>
  </si>
  <si>
    <t xml:space="preserve"> 珀莱雅</t>
  </si>
  <si>
    <t xml:space="preserve"> 3.968亿</t>
  </si>
  <si>
    <t xml:space="preserve"> 397.2亿</t>
  </si>
  <si>
    <t xml:space="preserve"> 3.948亿</t>
  </si>
  <si>
    <t xml:space="preserve"> 395.2亿</t>
  </si>
  <si>
    <t xml:space="preserve"> 跃岭股份</t>
  </si>
  <si>
    <t xml:space="preserve"> 4.90亿</t>
  </si>
  <si>
    <t xml:space="preserve"> 30.62亿</t>
  </si>
  <si>
    <t xml:space="preserve"> 2.100亿</t>
  </si>
  <si>
    <t xml:space="preserve"> 25.12亿</t>
  </si>
  <si>
    <t xml:space="preserve"> 中船汉光</t>
  </si>
  <si>
    <t xml:space="preserve"> 1.83亿</t>
  </si>
  <si>
    <t xml:space="preserve"> 5.13万</t>
  </si>
  <si>
    <t xml:space="preserve"> 2.960亿</t>
  </si>
  <si>
    <t xml:space="preserve"> 48.52亿</t>
  </si>
  <si>
    <t xml:space="preserve"> 生 意 宝</t>
  </si>
  <si>
    <t xml:space="preserve"> 8.19万</t>
  </si>
  <si>
    <t xml:space="preserve"> 2.527亿</t>
  </si>
  <si>
    <t xml:space="preserve"> 56.94亿</t>
  </si>
  <si>
    <t xml:space="preserve"> 2.517亿</t>
  </si>
  <si>
    <t xml:space="preserve"> 56.71亿</t>
  </si>
  <si>
    <t xml:space="preserve"> 南京聚隆</t>
  </si>
  <si>
    <t xml:space="preserve"> 4.41万</t>
  </si>
  <si>
    <t xml:space="preserve"> 4.83万</t>
  </si>
  <si>
    <t xml:space="preserve"> 1.078亿</t>
  </si>
  <si>
    <t xml:space="preserve"> 8395万</t>
  </si>
  <si>
    <t xml:space="preserve"> 复旦微电</t>
  </si>
  <si>
    <t xml:space="preserve"> 8.167亿</t>
  </si>
  <si>
    <t xml:space="preserve"> 364.3亿</t>
  </si>
  <si>
    <t xml:space="preserve"> 3.160亿</t>
  </si>
  <si>
    <t xml:space="preserve"> 特锐德</t>
  </si>
  <si>
    <t xml:space="preserve"> 94.0亿</t>
  </si>
  <si>
    <t xml:space="preserve"> 10.56亿</t>
  </si>
  <si>
    <t xml:space="preserve"> 194.6亿</t>
  </si>
  <si>
    <t xml:space="preserve"> 丝路视觉</t>
  </si>
  <si>
    <t xml:space="preserve"> 29.43亿</t>
  </si>
  <si>
    <t xml:space="preserve"> 1.023亿</t>
  </si>
  <si>
    <t xml:space="preserve"> 电投能源</t>
  </si>
  <si>
    <t xml:space="preserve"> 197亿</t>
  </si>
  <si>
    <t xml:space="preserve"> 22.42亿</t>
  </si>
  <si>
    <t xml:space="preserve"> 21.14亿</t>
  </si>
  <si>
    <t xml:space="preserve"> 308.8亿</t>
  </si>
  <si>
    <t xml:space="preserve"> 中广天择</t>
  </si>
  <si>
    <t xml:space="preserve"> 6.04万</t>
  </si>
  <si>
    <t xml:space="preserve"> 1.300亿</t>
  </si>
  <si>
    <t xml:space="preserve"> 39.34亿</t>
  </si>
  <si>
    <t xml:space="preserve"> 威星智能</t>
  </si>
  <si>
    <t xml:space="preserve"> 8.38万</t>
  </si>
  <si>
    <t xml:space="preserve"> 47.79亿</t>
  </si>
  <si>
    <t xml:space="preserve"> 1.881亿</t>
  </si>
  <si>
    <t xml:space="preserve"> 40.75亿</t>
  </si>
  <si>
    <t xml:space="preserve"> 首旅酒店</t>
  </si>
  <si>
    <t xml:space="preserve"> 191.1亿</t>
  </si>
  <si>
    <t xml:space="preserve"> 菲利华</t>
  </si>
  <si>
    <t xml:space="preserve"> 2.67万</t>
  </si>
  <si>
    <t xml:space="preserve"> 5.198亿</t>
  </si>
  <si>
    <t xml:space="preserve"> 211.0亿</t>
  </si>
  <si>
    <t xml:space="preserve"> 立昂技术</t>
  </si>
  <si>
    <t xml:space="preserve"> 5.31亿</t>
  </si>
  <si>
    <t xml:space="preserve"> 51.27亿</t>
  </si>
  <si>
    <t xml:space="preserve"> 3.540亿</t>
  </si>
  <si>
    <t xml:space="preserve"> 39.05亿</t>
  </si>
  <si>
    <t xml:space="preserve"> 国脉文化</t>
  </si>
  <si>
    <t xml:space="preserve"> 5.29万</t>
  </si>
  <si>
    <t xml:space="preserve"> 7.957亿</t>
  </si>
  <si>
    <t xml:space="preserve"> 91.82亿</t>
  </si>
  <si>
    <t xml:space="preserve"> 金域医学</t>
  </si>
  <si>
    <t xml:space="preserve"> 2.77万</t>
  </si>
  <si>
    <t xml:space="preserve"> 63.1亿</t>
  </si>
  <si>
    <t xml:space="preserve"> 1.61万</t>
  </si>
  <si>
    <t xml:space="preserve"> 4.688亿</t>
  </si>
  <si>
    <t xml:space="preserve"> 309.5亿</t>
  </si>
  <si>
    <t xml:space="preserve"> 4.656亿</t>
  </si>
  <si>
    <t xml:space="preserve"> 307.4亿</t>
  </si>
  <si>
    <t xml:space="preserve"> 长白山</t>
  </si>
  <si>
    <t xml:space="preserve"> 4.97亿</t>
  </si>
  <si>
    <t xml:space="preserve"> 6.06万</t>
  </si>
  <si>
    <t xml:space="preserve"> 2.667亿</t>
  </si>
  <si>
    <t xml:space="preserve"> 41.01亿</t>
  </si>
  <si>
    <t xml:space="preserve"> 西部牧业</t>
  </si>
  <si>
    <t xml:space="preserve"> 9.00万</t>
  </si>
  <si>
    <t xml:space="preserve"> 2.113亿</t>
  </si>
  <si>
    <t xml:space="preserve"> 20.16亿</t>
  </si>
  <si>
    <t xml:space="preserve"> 涪陵榨菜</t>
  </si>
  <si>
    <t xml:space="preserve"> 188.7亿</t>
  </si>
  <si>
    <t xml:space="preserve"> 11.41亿</t>
  </si>
  <si>
    <t xml:space="preserve"> 186.5亿</t>
  </si>
  <si>
    <t xml:space="preserve"> 春雪食品</t>
  </si>
  <si>
    <t xml:space="preserve"> 6.97万</t>
  </si>
  <si>
    <t xml:space="preserve"> 26.76亿</t>
  </si>
  <si>
    <t xml:space="preserve"> 1.236亿</t>
  </si>
  <si>
    <t xml:space="preserve"> 16.54亿</t>
  </si>
  <si>
    <t xml:space="preserve"> 上海银行</t>
  </si>
  <si>
    <t xml:space="preserve"> 1.81亿</t>
  </si>
  <si>
    <t xml:space="preserve"> -2.59万</t>
  </si>
  <si>
    <t xml:space="preserve"> 142.1亿</t>
  </si>
  <si>
    <t xml:space="preserve"> 846.7亿</t>
  </si>
  <si>
    <t xml:space="preserve"> 138.5亿</t>
  </si>
  <si>
    <t xml:space="preserve"> 825.3亿</t>
  </si>
  <si>
    <t xml:space="preserve"> 德迈仕</t>
  </si>
  <si>
    <t xml:space="preserve"> 4.70亿</t>
  </si>
  <si>
    <t xml:space="preserve"> 5.42万</t>
  </si>
  <si>
    <t xml:space="preserve"> 1.533亿</t>
  </si>
  <si>
    <t xml:space="preserve"> 27.79亿</t>
  </si>
  <si>
    <t xml:space="preserve"> 22.40亿</t>
  </si>
  <si>
    <t xml:space="preserve"> 国瑞科技</t>
  </si>
  <si>
    <t xml:space="preserve"> 1.42亿</t>
  </si>
  <si>
    <t xml:space="preserve"> 2.942亿</t>
  </si>
  <si>
    <t xml:space="preserve"> 31.16亿</t>
  </si>
  <si>
    <t xml:space="preserve"> 2.463亿</t>
  </si>
  <si>
    <t xml:space="preserve"> 东方嘉盛</t>
  </si>
  <si>
    <t xml:space="preserve"> 6.64万</t>
  </si>
  <si>
    <t xml:space="preserve"> 20.6亿</t>
  </si>
  <si>
    <t xml:space="preserve"> 3.53万</t>
  </si>
  <si>
    <t xml:space="preserve"> 1.930亿</t>
  </si>
  <si>
    <t xml:space="preserve"> 1.254亿</t>
  </si>
  <si>
    <t xml:space="preserve"> 34.45亿</t>
  </si>
  <si>
    <t xml:space="preserve"> 盛美上海</t>
  </si>
  <si>
    <t xml:space="preserve"> 482.5亿</t>
  </si>
  <si>
    <t xml:space="preserve"> 7586万</t>
  </si>
  <si>
    <t xml:space="preserve"> 84.02亿</t>
  </si>
  <si>
    <t xml:space="preserve"> 水井坊</t>
  </si>
  <si>
    <t xml:space="preserve"> 281.8亿</t>
  </si>
  <si>
    <t xml:space="preserve"> 湖南黄金</t>
  </si>
  <si>
    <t xml:space="preserve"> 188亿</t>
  </si>
  <si>
    <t xml:space="preserve"> 9.62万</t>
  </si>
  <si>
    <t xml:space="preserve"> 汉宇集团</t>
  </si>
  <si>
    <t xml:space="preserve"> 6.030亿</t>
  </si>
  <si>
    <t xml:space="preserve"> 4.063亿</t>
  </si>
  <si>
    <t xml:space="preserve"> 34.53亿</t>
  </si>
  <si>
    <t xml:space="preserve"> 建发股份</t>
  </si>
  <si>
    <t xml:space="preserve"> 5987亿</t>
  </si>
  <si>
    <t xml:space="preserve"> 28.53亿</t>
  </si>
  <si>
    <t xml:space="preserve"> 274.2亿</t>
  </si>
  <si>
    <t xml:space="preserve"> 开元教育</t>
  </si>
  <si>
    <t xml:space="preserve"> 4.027亿</t>
  </si>
  <si>
    <t xml:space="preserve"> 20.62亿</t>
  </si>
  <si>
    <t xml:space="preserve"> 3.045亿</t>
  </si>
  <si>
    <t xml:space="preserve"> 15.59亿</t>
  </si>
  <si>
    <t xml:space="preserve"> 海信家电</t>
  </si>
  <si>
    <t xml:space="preserve"> 649亿</t>
  </si>
  <si>
    <t xml:space="preserve"> 13.88亿</t>
  </si>
  <si>
    <t xml:space="preserve"> 302.7亿</t>
  </si>
  <si>
    <t xml:space="preserve"> 9.028亿</t>
  </si>
  <si>
    <t xml:space="preserve"> 196.9亿</t>
  </si>
  <si>
    <t xml:space="preserve"> 渝农商行</t>
  </si>
  <si>
    <t xml:space="preserve"> -3.80万</t>
  </si>
  <si>
    <t xml:space="preserve"> 113.6亿</t>
  </si>
  <si>
    <t xml:space="preserve"> 465.6亿</t>
  </si>
  <si>
    <t xml:space="preserve"> 88.36亿</t>
  </si>
  <si>
    <t xml:space="preserve"> 362.3亿</t>
  </si>
  <si>
    <t xml:space="preserve"> 爱博医疗</t>
  </si>
  <si>
    <t xml:space="preserve"> 6.68亿</t>
  </si>
  <si>
    <t xml:space="preserve"> 1.053亿</t>
  </si>
  <si>
    <t xml:space="preserve"> 206.8亿</t>
  </si>
  <si>
    <t xml:space="preserve"> 浙大网新</t>
  </si>
  <si>
    <t xml:space="preserve"> 24.5亿</t>
  </si>
  <si>
    <t xml:space="preserve"> 71.21亿</t>
  </si>
  <si>
    <t xml:space="preserve"> 恒力石化</t>
  </si>
  <si>
    <t xml:space="preserve"> 1732亿</t>
  </si>
  <si>
    <t xml:space="preserve"> 70.39亿</t>
  </si>
  <si>
    <t xml:space="preserve"> 962.9亿</t>
  </si>
  <si>
    <t xml:space="preserve"> 东阿阿胶</t>
  </si>
  <si>
    <t xml:space="preserve"> 6.440亿</t>
  </si>
  <si>
    <t xml:space="preserve"> 327.9亿</t>
  </si>
  <si>
    <t xml:space="preserve"> 杭州解百</t>
  </si>
  <si>
    <t xml:space="preserve"> 7.353亿</t>
  </si>
  <si>
    <t xml:space="preserve"> 7.150亿</t>
  </si>
  <si>
    <t xml:space="preserve"> 54.34亿</t>
  </si>
  <si>
    <t xml:space="preserve"> 拉卡拉</t>
  </si>
  <si>
    <t xml:space="preserve"> 1.78亿</t>
  </si>
  <si>
    <t xml:space="preserve"> 44.3亿</t>
  </si>
  <si>
    <t xml:space="preserve"> 8.000亿</t>
  </si>
  <si>
    <t xml:space="preserve"> 137.6亿</t>
  </si>
  <si>
    <t xml:space="preserve"> 7.343亿</t>
  </si>
  <si>
    <t xml:space="preserve"> 126.3亿</t>
  </si>
  <si>
    <t xml:space="preserve"> 巨化股份</t>
  </si>
  <si>
    <t xml:space="preserve"> 27.00亿</t>
  </si>
  <si>
    <t xml:space="preserve"> 428.4亿</t>
  </si>
  <si>
    <t xml:space="preserve"> 卫宁健康</t>
  </si>
  <si>
    <t xml:space="preserve"> 167.3亿</t>
  </si>
  <si>
    <t xml:space="preserve"> 18.49亿</t>
  </si>
  <si>
    <t xml:space="preserve"> 东莞控股</t>
  </si>
  <si>
    <t xml:space="preserve"> 111.4亿</t>
  </si>
  <si>
    <t xml:space="preserve"> 华大基因</t>
  </si>
  <si>
    <t xml:space="preserve"> 4.109亿</t>
  </si>
  <si>
    <t xml:space="preserve"> 埃斯顿</t>
  </si>
  <si>
    <t xml:space="preserve"> 1.77亿</t>
  </si>
  <si>
    <t xml:space="preserve"> 8.695亿</t>
  </si>
  <si>
    <t xml:space="preserve"> 7.868亿</t>
  </si>
  <si>
    <t xml:space="preserve"> 150.3亿</t>
  </si>
  <si>
    <t xml:space="preserve"> 新华医疗</t>
  </si>
  <si>
    <t xml:space="preserve"> 73.2亿</t>
  </si>
  <si>
    <t xml:space="preserve"> 4.667亿</t>
  </si>
  <si>
    <t xml:space="preserve"> 4.434亿</t>
  </si>
  <si>
    <t xml:space="preserve"> 118.9亿</t>
  </si>
  <si>
    <t xml:space="preserve"> 欧派家居</t>
  </si>
  <si>
    <t xml:space="preserve"> 6.092亿</t>
  </si>
  <si>
    <t xml:space="preserve"> 473.3亿</t>
  </si>
  <si>
    <t xml:space="preserve"> 宝胜股份</t>
  </si>
  <si>
    <t xml:space="preserve"> 336亿</t>
  </si>
  <si>
    <t xml:space="preserve"> 67.75亿</t>
  </si>
  <si>
    <t xml:space="preserve"> 新 和 成</t>
  </si>
  <si>
    <t xml:space="preserve"> 30.91亿</t>
  </si>
  <si>
    <t xml:space="preserve"> 525.1亿</t>
  </si>
  <si>
    <t xml:space="preserve"> 519.0亿</t>
  </si>
  <si>
    <t xml:space="preserve"> 线上线下</t>
  </si>
  <si>
    <t xml:space="preserve"> 3718万</t>
  </si>
  <si>
    <t xml:space="preserve"> 可立克</t>
  </si>
  <si>
    <t xml:space="preserve"> 34.6亿</t>
  </si>
  <si>
    <t xml:space="preserve"> 6.38万</t>
  </si>
  <si>
    <t xml:space="preserve"> 4.929亿</t>
  </si>
  <si>
    <t xml:space="preserve"> 71.66亿</t>
  </si>
  <si>
    <t xml:space="preserve"> 4.902亿</t>
  </si>
  <si>
    <t xml:space="preserve"> 中兵红箭</t>
  </si>
  <si>
    <t xml:space="preserve"> 13.93亿</t>
  </si>
  <si>
    <t xml:space="preserve"> 207.9亿</t>
  </si>
  <si>
    <t xml:space="preserve"> 威力传动</t>
  </si>
  <si>
    <t xml:space="preserve"> 7238万</t>
  </si>
  <si>
    <t xml:space="preserve"> 54.86亿</t>
  </si>
  <si>
    <t xml:space="preserve"> 1716万</t>
  </si>
  <si>
    <t xml:space="preserve"> 13.01亿</t>
  </si>
  <si>
    <t xml:space="preserve"> 博彦科技</t>
  </si>
  <si>
    <t xml:space="preserve"> 48.7亿</t>
  </si>
  <si>
    <t xml:space="preserve"> 5.15万</t>
  </si>
  <si>
    <t xml:space="preserve"> 5.915亿</t>
  </si>
  <si>
    <t xml:space="preserve"> 73.88亿</t>
  </si>
  <si>
    <t xml:space="preserve"> 5.527亿</t>
  </si>
  <si>
    <t xml:space="preserve"> 69.03亿</t>
  </si>
  <si>
    <t xml:space="preserve"> 博腾股份</t>
  </si>
  <si>
    <t xml:space="preserve"> 30.4亿</t>
  </si>
  <si>
    <t xml:space="preserve"> 2.95万</t>
  </si>
  <si>
    <t xml:space="preserve"> 5.461亿</t>
  </si>
  <si>
    <t xml:space="preserve"> 157.6亿</t>
  </si>
  <si>
    <t xml:space="preserve"> 5.004亿</t>
  </si>
  <si>
    <t xml:space="preserve"> 东威科技</t>
  </si>
  <si>
    <t xml:space="preserve"> 1.76亿</t>
  </si>
  <si>
    <t xml:space="preserve"> 7.31亿</t>
  </si>
  <si>
    <t xml:space="preserve"> 1.48万</t>
  </si>
  <si>
    <t xml:space="preserve"> 2.296亿</t>
  </si>
  <si>
    <t xml:space="preserve"> 100.3亿</t>
  </si>
  <si>
    <t xml:space="preserve"> 盖世食品</t>
  </si>
  <si>
    <t xml:space="preserve"> 1.174亿</t>
  </si>
  <si>
    <t xml:space="preserve"> 5088万</t>
  </si>
  <si>
    <t xml:space="preserve"> 4.946亿</t>
  </si>
  <si>
    <t xml:space="preserve"> 世纪恒通</t>
  </si>
  <si>
    <t xml:space="preserve"> 7.65亿</t>
  </si>
  <si>
    <t xml:space="preserve"> 9867万</t>
  </si>
  <si>
    <t xml:space="preserve"> 40.26亿</t>
  </si>
  <si>
    <t xml:space="preserve"> 2467万</t>
  </si>
  <si>
    <t xml:space="preserve"> 美亚柏科</t>
  </si>
  <si>
    <t xml:space="preserve"> 8.595亿</t>
  </si>
  <si>
    <t xml:space="preserve"> 7.243亿</t>
  </si>
  <si>
    <t xml:space="preserve"> 117.8亿</t>
  </si>
  <si>
    <t xml:space="preserve"> 东方盛虹</t>
  </si>
  <si>
    <t xml:space="preserve"> 659.8亿</t>
  </si>
  <si>
    <t xml:space="preserve"> 54.97亿</t>
  </si>
  <si>
    <t xml:space="preserve"> 548.6亿</t>
  </si>
  <si>
    <t xml:space="preserve"> 三环集团</t>
  </si>
  <si>
    <t xml:space="preserve"> 5.98万</t>
  </si>
  <si>
    <t xml:space="preserve"> 41.1亿</t>
  </si>
  <si>
    <t xml:space="preserve"> 3.28万</t>
  </si>
  <si>
    <t xml:space="preserve"> 19.16亿</t>
  </si>
  <si>
    <t xml:space="preserve"> 565.8亿</t>
  </si>
  <si>
    <t xml:space="preserve"> 18.44亿</t>
  </si>
  <si>
    <t xml:space="preserve"> 544.3亿</t>
  </si>
  <si>
    <t xml:space="preserve"> 中远海能</t>
  </si>
  <si>
    <t xml:space="preserve"> 1.75亿</t>
  </si>
  <si>
    <t xml:space="preserve"> 165亿</t>
  </si>
  <si>
    <t xml:space="preserve"> 47.71亿</t>
  </si>
  <si>
    <t xml:space="preserve"> 628.8亿</t>
  </si>
  <si>
    <t xml:space="preserve"> 34.75亿</t>
  </si>
  <si>
    <t xml:space="preserve"> 458.0亿</t>
  </si>
  <si>
    <t xml:space="preserve"> 白云山</t>
  </si>
  <si>
    <t xml:space="preserve"> 582亿</t>
  </si>
  <si>
    <t xml:space="preserve"> 16.26亿</t>
  </si>
  <si>
    <t xml:space="preserve"> 488.7亿</t>
  </si>
  <si>
    <t xml:space="preserve"> 14.06亿</t>
  </si>
  <si>
    <t xml:space="preserve"> 422.6亿</t>
  </si>
  <si>
    <t xml:space="preserve"> 西部超导</t>
  </si>
  <si>
    <t xml:space="preserve"> 30.9亿</t>
  </si>
  <si>
    <t xml:space="preserve"> 6.497亿</t>
  </si>
  <si>
    <t xml:space="preserve"> 凯撒文化</t>
  </si>
  <si>
    <t xml:space="preserve"> 9.567亿</t>
  </si>
  <si>
    <t xml:space="preserve"> 9.560亿</t>
  </si>
  <si>
    <t xml:space="preserve"> 中水渔业</t>
  </si>
  <si>
    <t xml:space="preserve"> 9.56万</t>
  </si>
  <si>
    <t xml:space="preserve"> 3.659亿</t>
  </si>
  <si>
    <t xml:space="preserve"> 34.46亿</t>
  </si>
  <si>
    <t xml:space="preserve"> 3.658亿</t>
  </si>
  <si>
    <t xml:space="preserve"> 汉仪股份</t>
  </si>
  <si>
    <t xml:space="preserve"> 1.74亿</t>
  </si>
  <si>
    <t xml:space="preserve"> 40.90亿</t>
  </si>
  <si>
    <t xml:space="preserve"> 7406万</t>
  </si>
  <si>
    <t xml:space="preserve"> 三星医疗</t>
  </si>
  <si>
    <t xml:space="preserve"> 83.4亿</t>
  </si>
  <si>
    <t xml:space="preserve"> 14.12亿</t>
  </si>
  <si>
    <t xml:space="preserve"> 271.8亿</t>
  </si>
  <si>
    <t xml:space="preserve"> 13.95亿</t>
  </si>
  <si>
    <t xml:space="preserve"> 268.5亿</t>
  </si>
  <si>
    <t xml:space="preserve"> 华菱钢铁</t>
  </si>
  <si>
    <t xml:space="preserve"> 1203亿</t>
  </si>
  <si>
    <t xml:space="preserve"> 69.09亿</t>
  </si>
  <si>
    <t xml:space="preserve"> 381.4亿</t>
  </si>
  <si>
    <t xml:space="preserve"> 大全能源</t>
  </si>
  <si>
    <t xml:space="preserve"> 129亿</t>
  </si>
  <si>
    <t xml:space="preserve"> 653.6亿</t>
  </si>
  <si>
    <t xml:space="preserve"> 5.199亿</t>
  </si>
  <si>
    <t xml:space="preserve"> 158.4亿</t>
  </si>
  <si>
    <t xml:space="preserve"> 亚联发展</t>
  </si>
  <si>
    <t xml:space="preserve"> 3.931亿</t>
  </si>
  <si>
    <t xml:space="preserve"> 24.85亿</t>
  </si>
  <si>
    <t xml:space="preserve"> 3.150亿</t>
  </si>
  <si>
    <t xml:space="preserve"> 19.91亿</t>
  </si>
  <si>
    <t xml:space="preserve"> 赢合科技</t>
  </si>
  <si>
    <t xml:space="preserve"> 9.49万</t>
  </si>
  <si>
    <t xml:space="preserve"> 75.0亿</t>
  </si>
  <si>
    <t xml:space="preserve"> 4.69万</t>
  </si>
  <si>
    <t xml:space="preserve"> 6.495亿</t>
  </si>
  <si>
    <t xml:space="preserve"> 119.6亿</t>
  </si>
  <si>
    <t xml:space="preserve"> 5.249亿</t>
  </si>
  <si>
    <t xml:space="preserve"> 96.69亿</t>
  </si>
  <si>
    <t xml:space="preserve"> 武汉凡谷</t>
  </si>
  <si>
    <t xml:space="preserve"> 1.73亿</t>
  </si>
  <si>
    <t xml:space="preserve"> 12.6亿</t>
  </si>
  <si>
    <t xml:space="preserve"> 6.53万</t>
  </si>
  <si>
    <t xml:space="preserve"> 73.59亿</t>
  </si>
  <si>
    <t xml:space="preserve"> 5.087亿</t>
  </si>
  <si>
    <t xml:space="preserve"> 54.78亿</t>
  </si>
  <si>
    <t xml:space="preserve"> 鑫宏业</t>
  </si>
  <si>
    <t xml:space="preserve"> 9710万</t>
  </si>
  <si>
    <t xml:space="preserve"> 50.69亿</t>
  </si>
  <si>
    <t xml:space="preserve"> 2210万</t>
  </si>
  <si>
    <t xml:space="preserve"> *ST天山</t>
  </si>
  <si>
    <t xml:space="preserve"> 1.13亿</t>
  </si>
  <si>
    <t xml:space="preserve"> 7.17万</t>
  </si>
  <si>
    <t xml:space="preserve"> 36.65亿</t>
  </si>
  <si>
    <t xml:space="preserve"> 1.842亿</t>
  </si>
  <si>
    <t xml:space="preserve"> 21.57亿</t>
  </si>
  <si>
    <t xml:space="preserve"> 秦川机床</t>
  </si>
  <si>
    <t xml:space="preserve"> 10.10亿</t>
  </si>
  <si>
    <t xml:space="preserve"> 114.5亿</t>
  </si>
  <si>
    <t xml:space="preserve"> 6.933亿</t>
  </si>
  <si>
    <t xml:space="preserve"> 78.62亿</t>
  </si>
  <si>
    <t xml:space="preserve"> 豪尔赛</t>
  </si>
  <si>
    <t xml:space="preserve"> 5.24万</t>
  </si>
  <si>
    <t xml:space="preserve"> 1.504亿</t>
  </si>
  <si>
    <t xml:space="preserve"> 24.48亿</t>
  </si>
  <si>
    <t xml:space="preserve"> 1.230亿</t>
  </si>
  <si>
    <t xml:space="preserve"> 20.02亿</t>
  </si>
  <si>
    <t xml:space="preserve"> 亚通精工</t>
  </si>
  <si>
    <t xml:space="preserve"> 3000万</t>
  </si>
  <si>
    <t xml:space="preserve"> 10.29亿</t>
  </si>
  <si>
    <t xml:space="preserve"> 南大光电</t>
  </si>
  <si>
    <t xml:space="preserve"> 5.434亿</t>
  </si>
  <si>
    <t xml:space="preserve"> 157.2亿</t>
  </si>
  <si>
    <t xml:space="preserve"> 5.137亿</t>
  </si>
  <si>
    <t xml:space="preserve"> 148.6亿</t>
  </si>
  <si>
    <t xml:space="preserve"> 迅游科技</t>
  </si>
  <si>
    <t xml:space="preserve"> 2.032亿</t>
  </si>
  <si>
    <t xml:space="preserve"> 35.05亿</t>
  </si>
  <si>
    <t xml:space="preserve"> 1.658亿</t>
  </si>
  <si>
    <t xml:space="preserve"> 格科微</t>
  </si>
  <si>
    <t xml:space="preserve"> 3.58万</t>
  </si>
  <si>
    <t xml:space="preserve"> 26.01亿</t>
  </si>
  <si>
    <t xml:space="preserve"> 11.14亿</t>
  </si>
  <si>
    <t xml:space="preserve"> 伟星新材</t>
  </si>
  <si>
    <t xml:space="preserve"> 1.72亿</t>
  </si>
  <si>
    <t xml:space="preserve"> 37.5亿</t>
  </si>
  <si>
    <t xml:space="preserve"> 5.79万</t>
  </si>
  <si>
    <t xml:space="preserve"> 15.92亿</t>
  </si>
  <si>
    <t xml:space="preserve"> 234.8亿</t>
  </si>
  <si>
    <t xml:space="preserve"> 14.67亿</t>
  </si>
  <si>
    <t xml:space="preserve"> 216.3亿</t>
  </si>
  <si>
    <t xml:space="preserve"> 桂林三金</t>
  </si>
  <si>
    <t xml:space="preserve"> 5.876亿</t>
  </si>
  <si>
    <t xml:space="preserve"> 91.07亿</t>
  </si>
  <si>
    <t xml:space="preserve"> 5.593亿</t>
  </si>
  <si>
    <t xml:space="preserve"> 86.70亿</t>
  </si>
  <si>
    <t xml:space="preserve"> 同兴达</t>
  </si>
  <si>
    <t xml:space="preserve"> 9.40万</t>
  </si>
  <si>
    <t xml:space="preserve"> 60.4亿</t>
  </si>
  <si>
    <t xml:space="preserve"> 3.276亿</t>
  </si>
  <si>
    <t xml:space="preserve"> 60.34亿</t>
  </si>
  <si>
    <t xml:space="preserve"> 2.236亿</t>
  </si>
  <si>
    <t xml:space="preserve"> 41.18亿</t>
  </si>
  <si>
    <t xml:space="preserve"> 木林森</t>
  </si>
  <si>
    <t xml:space="preserve"> 127亿</t>
  </si>
  <si>
    <t xml:space="preserve"> 9.47万</t>
  </si>
  <si>
    <t xml:space="preserve"> 14.84亿</t>
  </si>
  <si>
    <t xml:space="preserve"> 135.2亿</t>
  </si>
  <si>
    <t xml:space="preserve"> 9.884亿</t>
  </si>
  <si>
    <t xml:space="preserve"> 90.04亿</t>
  </si>
  <si>
    <t xml:space="preserve"> 安集科技</t>
  </si>
  <si>
    <t xml:space="preserve"> 8.98亿</t>
  </si>
  <si>
    <t xml:space="preserve"> 9907万</t>
  </si>
  <si>
    <t xml:space="preserve"> 169.5亿</t>
  </si>
  <si>
    <t xml:space="preserve"> 登海种业</t>
  </si>
  <si>
    <t xml:space="preserve"> 1.71亿</t>
  </si>
  <si>
    <t xml:space="preserve"> 4.75万</t>
  </si>
  <si>
    <t xml:space="preserve"> 8.800亿</t>
  </si>
  <si>
    <t xml:space="preserve"> 140.9亿</t>
  </si>
  <si>
    <t xml:space="preserve"> 蓝英装备</t>
  </si>
  <si>
    <t xml:space="preserve"> 54.01亿</t>
  </si>
  <si>
    <t xml:space="preserve"> 2.803亿</t>
  </si>
  <si>
    <t xml:space="preserve"> 44.74亿</t>
  </si>
  <si>
    <t xml:space="preserve"> 四川黄金</t>
  </si>
  <si>
    <t xml:space="preserve"> 4.200亿</t>
  </si>
  <si>
    <t xml:space="preserve"> 120.4亿</t>
  </si>
  <si>
    <t xml:space="preserve"> 6000万</t>
  </si>
  <si>
    <t xml:space="preserve"> 佳力图</t>
  </si>
  <si>
    <t xml:space="preserve"> 3.85亿</t>
  </si>
  <si>
    <t xml:space="preserve"> 5.418亿</t>
  </si>
  <si>
    <t xml:space="preserve"> 银邦股份</t>
  </si>
  <si>
    <t xml:space="preserve"> 32.9亿</t>
  </si>
  <si>
    <t xml:space="preserve"> 8.219亿</t>
  </si>
  <si>
    <t xml:space="preserve"> 58.85亿</t>
  </si>
  <si>
    <t xml:space="preserve"> 三博脑科</t>
  </si>
  <si>
    <t xml:space="preserve"> 1.46万</t>
  </si>
  <si>
    <t xml:space="preserve"> 1.585亿</t>
  </si>
  <si>
    <t xml:space="preserve"> 3600万</t>
  </si>
  <si>
    <t xml:space="preserve"> 24.12亿</t>
  </si>
  <si>
    <t xml:space="preserve"> 东华软件</t>
  </si>
  <si>
    <t xml:space="preserve"> 210.9亿</t>
  </si>
  <si>
    <t xml:space="preserve"> 29.03亿</t>
  </si>
  <si>
    <t xml:space="preserve"> 191.0亿</t>
  </si>
  <si>
    <t xml:space="preserve"> 海南机场</t>
  </si>
  <si>
    <t xml:space="preserve"> 41.8万</t>
  </si>
  <si>
    <t xml:space="preserve"> 45.4亿</t>
  </si>
  <si>
    <t xml:space="preserve"> -4.69万</t>
  </si>
  <si>
    <t xml:space="preserve"> 114.3亿</t>
  </si>
  <si>
    <t xml:space="preserve"> 468.4亿</t>
  </si>
  <si>
    <t xml:space="preserve"> 91.76亿</t>
  </si>
  <si>
    <t xml:space="preserve"> 西菱动力</t>
  </si>
  <si>
    <t xml:space="preserve"> 3.043亿</t>
  </si>
  <si>
    <t xml:space="preserve"> 2.244亿</t>
  </si>
  <si>
    <t xml:space="preserve"> 30.28亿</t>
  </si>
  <si>
    <t xml:space="preserve"> 国网信通</t>
  </si>
  <si>
    <t xml:space="preserve"> 188.9亿</t>
  </si>
  <si>
    <t xml:space="preserve"> 187.6亿</t>
  </si>
  <si>
    <t xml:space="preserve"> 康强电子</t>
  </si>
  <si>
    <t xml:space="preserve"> 3.753亿</t>
  </si>
  <si>
    <t xml:space="preserve"> 51.94亿</t>
  </si>
  <si>
    <t xml:space="preserve"> 横河精密</t>
  </si>
  <si>
    <t xml:space="preserve"> 6.62万</t>
  </si>
  <si>
    <t xml:space="preserve"> 29.25亿</t>
  </si>
  <si>
    <t xml:space="preserve"> 1.713亿</t>
  </si>
  <si>
    <t xml:space="preserve"> 福日电子</t>
  </si>
  <si>
    <t xml:space="preserve"> 76.8亿</t>
  </si>
  <si>
    <t xml:space="preserve"> 5.930亿</t>
  </si>
  <si>
    <t xml:space="preserve"> 46.73亿</t>
  </si>
  <si>
    <t xml:space="preserve"> 东方电气</t>
  </si>
  <si>
    <t xml:space="preserve"> 1.70亿</t>
  </si>
  <si>
    <t xml:space="preserve"> 448亿</t>
  </si>
  <si>
    <t xml:space="preserve"> 31.19亿</t>
  </si>
  <si>
    <t xml:space="preserve"> 448.1亿</t>
  </si>
  <si>
    <t xml:space="preserve"> 289.6亿</t>
  </si>
  <si>
    <t xml:space="preserve"> 华域汽车</t>
  </si>
  <si>
    <t xml:space="preserve"> 1216亿</t>
  </si>
  <si>
    <t xml:space="preserve"> 4.20万</t>
  </si>
  <si>
    <t xml:space="preserve"> 31.53亿</t>
  </si>
  <si>
    <t xml:space="preserve"> 544.5亿</t>
  </si>
  <si>
    <t xml:space="preserve"> 天地科技</t>
  </si>
  <si>
    <t xml:space="preserve"> 41.39亿</t>
  </si>
  <si>
    <t xml:space="preserve"> 217.3亿</t>
  </si>
  <si>
    <t xml:space="preserve"> 南京化纤</t>
  </si>
  <si>
    <t xml:space="preserve"> 3.51亿</t>
  </si>
  <si>
    <t xml:space="preserve"> 3.663亿</t>
  </si>
  <si>
    <t xml:space="preserve"> 21.36亿</t>
  </si>
  <si>
    <t xml:space="preserve"> 日发精机</t>
  </si>
  <si>
    <t xml:space="preserve"> 1.69亿</t>
  </si>
  <si>
    <t xml:space="preserve"> 8.002亿</t>
  </si>
  <si>
    <t xml:space="preserve"> 51.46亿</t>
  </si>
  <si>
    <t xml:space="preserve"> 6.449亿</t>
  </si>
  <si>
    <t xml:space="preserve"> 41.47亿</t>
  </si>
  <si>
    <t xml:space="preserve"> 志晟信息</t>
  </si>
  <si>
    <t xml:space="preserve"> 9366万</t>
  </si>
  <si>
    <t xml:space="preserve"> 1.002亿</t>
  </si>
  <si>
    <t xml:space="preserve"> 6716万</t>
  </si>
  <si>
    <t xml:space="preserve"> 6.589亿</t>
  </si>
  <si>
    <t xml:space="preserve"> 第一创业</t>
  </si>
  <si>
    <t xml:space="preserve"> 41.32亿</t>
  </si>
  <si>
    <t xml:space="preserve"> 253.3亿</t>
  </si>
  <si>
    <t xml:space="preserve"> 金财互联</t>
  </si>
  <si>
    <t xml:space="preserve"> 7.792亿</t>
  </si>
  <si>
    <t xml:space="preserve"> 70.67亿</t>
  </si>
  <si>
    <t xml:space="preserve"> 6.804亿</t>
  </si>
  <si>
    <t xml:space="preserve"> 61.71亿</t>
  </si>
  <si>
    <t xml:space="preserve"> 精测电子</t>
  </si>
  <si>
    <t xml:space="preserve"> 2.781亿</t>
  </si>
  <si>
    <t xml:space="preserve"> 232.8亿</t>
  </si>
  <si>
    <t xml:space="preserve"> 173.0亿</t>
  </si>
  <si>
    <t xml:space="preserve"> 涛涛车业</t>
  </si>
  <si>
    <t xml:space="preserve"> 1.093亿</t>
  </si>
  <si>
    <t xml:space="preserve"> 61.43亿</t>
  </si>
  <si>
    <t xml:space="preserve"> 2530万</t>
  </si>
  <si>
    <t xml:space="preserve"> 北信源</t>
  </si>
  <si>
    <t xml:space="preserve"> -1.02万</t>
  </si>
  <si>
    <t xml:space="preserve"> 14.50亿</t>
  </si>
  <si>
    <t xml:space="preserve"> 77.28亿</t>
  </si>
  <si>
    <t xml:space="preserve"> 65.04亿</t>
  </si>
  <si>
    <t xml:space="preserve"> 正泰电器</t>
  </si>
  <si>
    <t xml:space="preserve"> 426亿</t>
  </si>
  <si>
    <t xml:space="preserve"> 21.49亿</t>
  </si>
  <si>
    <t xml:space="preserve"> 468.0亿</t>
  </si>
  <si>
    <t xml:space="preserve"> 佳都科技</t>
  </si>
  <si>
    <t xml:space="preserve"> 37.2亿</t>
  </si>
  <si>
    <t xml:space="preserve"> -1.18万</t>
  </si>
  <si>
    <t xml:space="preserve"> 21.44亿</t>
  </si>
  <si>
    <t xml:space="preserve"> 125.5亿</t>
  </si>
  <si>
    <t xml:space="preserve"> 21.34亿</t>
  </si>
  <si>
    <t xml:space="preserve"> 中视传媒</t>
  </si>
  <si>
    <t xml:space="preserve"> 3.977亿</t>
  </si>
  <si>
    <t xml:space="preserve"> 53.53亿</t>
  </si>
  <si>
    <t xml:space="preserve"> 中航机载</t>
  </si>
  <si>
    <t xml:space="preserve"> 207亿</t>
  </si>
  <si>
    <t xml:space="preserve"> 48.39亿</t>
  </si>
  <si>
    <t xml:space="preserve"> 627.6亿</t>
  </si>
  <si>
    <t xml:space="preserve"> 44.85亿</t>
  </si>
  <si>
    <t xml:space="preserve"> 581.7亿</t>
  </si>
  <si>
    <t xml:space="preserve"> 中南传媒</t>
  </si>
  <si>
    <t xml:space="preserve"> 92.1亿</t>
  </si>
  <si>
    <t xml:space="preserve"> 6.56万</t>
  </si>
  <si>
    <t xml:space="preserve"> 8.77万</t>
  </si>
  <si>
    <t xml:space="preserve"> 17.96亿</t>
  </si>
  <si>
    <t xml:space="preserve"> 199.4亿</t>
  </si>
  <si>
    <t xml:space="preserve"> 奥普光电</t>
  </si>
  <si>
    <t xml:space="preserve"> 5.15亿</t>
  </si>
  <si>
    <t xml:space="preserve"> 2.54万</t>
  </si>
  <si>
    <t xml:space="preserve"> 82.44亿</t>
  </si>
  <si>
    <t xml:space="preserve"> 银信科技</t>
  </si>
  <si>
    <t xml:space="preserve"> 4.190亿</t>
  </si>
  <si>
    <t xml:space="preserve"> 47.39亿</t>
  </si>
  <si>
    <t xml:space="preserve"> 3.436亿</t>
  </si>
  <si>
    <t xml:space="preserve"> 38.87亿</t>
  </si>
  <si>
    <t xml:space="preserve"> 金圆股份</t>
  </si>
  <si>
    <t xml:space="preserve"> 7.788亿</t>
  </si>
  <si>
    <t xml:space="preserve"> 57.71亿</t>
  </si>
  <si>
    <t xml:space="preserve"> 7.115亿</t>
  </si>
  <si>
    <t xml:space="preserve"> 52.72亿</t>
  </si>
  <si>
    <t xml:space="preserve"> 思源电气</t>
  </si>
  <si>
    <t xml:space="preserve"> 85.8亿</t>
  </si>
  <si>
    <t xml:space="preserve"> 7.733亿</t>
  </si>
  <si>
    <t xml:space="preserve"> 382.3亿</t>
  </si>
  <si>
    <t xml:space="preserve"> 6.010亿</t>
  </si>
  <si>
    <t xml:space="preserve"> 297.1亿</t>
  </si>
  <si>
    <t xml:space="preserve"> 光峰科技</t>
  </si>
  <si>
    <t xml:space="preserve"> 16.5亿</t>
  </si>
  <si>
    <t xml:space="preserve"> 3.18万</t>
  </si>
  <si>
    <t xml:space="preserve"> 4.622亿</t>
  </si>
  <si>
    <t xml:space="preserve"> 电工合金</t>
  </si>
  <si>
    <t xml:space="preserve"> 3.328亿</t>
  </si>
  <si>
    <t xml:space="preserve"> 41.77亿</t>
  </si>
  <si>
    <t xml:space="preserve"> 1.531亿</t>
  </si>
  <si>
    <t xml:space="preserve"> 19.21亿</t>
  </si>
  <si>
    <t xml:space="preserve"> 中瓷电子</t>
  </si>
  <si>
    <t xml:space="preserve"> 1.08万</t>
  </si>
  <si>
    <t xml:space="preserve"> 3.222亿</t>
  </si>
  <si>
    <t xml:space="preserve"> 305.1亿</t>
  </si>
  <si>
    <t xml:space="preserve"> 6948万</t>
  </si>
  <si>
    <t xml:space="preserve"> 65.80亿</t>
  </si>
  <si>
    <t xml:space="preserve"> 红旗连锁</t>
  </si>
  <si>
    <t xml:space="preserve"> 30.8万</t>
  </si>
  <si>
    <t xml:space="preserve"> 76.4亿</t>
  </si>
  <si>
    <t xml:space="preserve"> 73.71亿</t>
  </si>
  <si>
    <t xml:space="preserve"> 58.41亿</t>
  </si>
  <si>
    <t xml:space="preserve"> 中海达</t>
  </si>
  <si>
    <t xml:space="preserve"> 7.442亿</t>
  </si>
  <si>
    <t xml:space="preserve"> 6.063亿</t>
  </si>
  <si>
    <t xml:space="preserve"> 中航重机</t>
  </si>
  <si>
    <t xml:space="preserve"> 79.7亿</t>
  </si>
  <si>
    <t xml:space="preserve"> 314.6亿</t>
  </si>
  <si>
    <t xml:space="preserve"> 14.69亿</t>
  </si>
  <si>
    <t xml:space="preserve"> 313.9亿</t>
  </si>
  <si>
    <t xml:space="preserve"> 朗威股份</t>
  </si>
  <si>
    <t xml:space="preserve"> 2.81万</t>
  </si>
  <si>
    <t xml:space="preserve"> 1.364亿</t>
  </si>
  <si>
    <t xml:space="preserve"> 3231万</t>
  </si>
  <si>
    <t xml:space="preserve"> 11.63亿</t>
  </si>
  <si>
    <t xml:space="preserve"> 哈投股份</t>
  </si>
  <si>
    <t xml:space="preserve"> 1.67亿</t>
  </si>
  <si>
    <t xml:space="preserve"> 120.0亿</t>
  </si>
  <si>
    <t xml:space="preserve"> 东田微</t>
  </si>
  <si>
    <t xml:space="preserve"> 37.59亿</t>
  </si>
  <si>
    <t xml:space="preserve"> 4609万</t>
  </si>
  <si>
    <t xml:space="preserve"> 21.66亿</t>
  </si>
  <si>
    <t xml:space="preserve"> 中银证券</t>
  </si>
  <si>
    <t xml:space="preserve"> 27.78亿</t>
  </si>
  <si>
    <t xml:space="preserve"> 300.9亿</t>
  </si>
  <si>
    <t xml:space="preserve"> 大族激光</t>
  </si>
  <si>
    <t xml:space="preserve"> 7.67万</t>
  </si>
  <si>
    <t xml:space="preserve"> 3.76万</t>
  </si>
  <si>
    <t xml:space="preserve"> 231.0亿</t>
  </si>
  <si>
    <t xml:space="preserve"> 9.793亿</t>
  </si>
  <si>
    <t xml:space="preserve"> 215.0亿</t>
  </si>
  <si>
    <t xml:space="preserve"> 银轮股份</t>
  </si>
  <si>
    <t xml:space="preserve"> 79.9亿</t>
  </si>
  <si>
    <t xml:space="preserve"> 8.039亿</t>
  </si>
  <si>
    <t xml:space="preserve"> 146.3亿</t>
  </si>
  <si>
    <t xml:space="preserve"> 7.550亿</t>
  </si>
  <si>
    <t xml:space="preserve"> 龙大美食</t>
  </si>
  <si>
    <t xml:space="preserve"> 101亿</t>
  </si>
  <si>
    <t xml:space="preserve"> 84.50亿</t>
  </si>
  <si>
    <t xml:space="preserve"> 10.77亿</t>
  </si>
  <si>
    <t xml:space="preserve"> 84.31亿</t>
  </si>
  <si>
    <t xml:space="preserve"> 移远通信</t>
  </si>
  <si>
    <t xml:space="preserve"> 99.7亿</t>
  </si>
  <si>
    <t xml:space="preserve"> 2.646亿</t>
  </si>
  <si>
    <t xml:space="preserve"> 福赛科技</t>
  </si>
  <si>
    <t xml:space="preserve"> 40.47亿</t>
  </si>
  <si>
    <t xml:space="preserve"> 1919万</t>
  </si>
  <si>
    <t xml:space="preserve"> 9.151亿</t>
  </si>
  <si>
    <t xml:space="preserve"> 博硕科技</t>
  </si>
  <si>
    <t xml:space="preserve"> 9.27亿</t>
  </si>
  <si>
    <t xml:space="preserve"> 1.207亿</t>
  </si>
  <si>
    <t xml:space="preserve"> 79.05亿</t>
  </si>
  <si>
    <t xml:space="preserve"> 5720万</t>
  </si>
  <si>
    <t xml:space="preserve"> 37.47亿</t>
  </si>
  <si>
    <t xml:space="preserve"> 高澜股份</t>
  </si>
  <si>
    <t xml:space="preserve"> 5.90万</t>
  </si>
  <si>
    <t xml:space="preserve"> 2.726亿</t>
  </si>
  <si>
    <t xml:space="preserve"> 40.84亿</t>
  </si>
  <si>
    <t xml:space="preserve"> 奥迪威</t>
  </si>
  <si>
    <t xml:space="preserve"> 1.412亿</t>
  </si>
  <si>
    <t xml:space="preserve"> 1.069亿</t>
  </si>
  <si>
    <t xml:space="preserve"> 17.42亿</t>
  </si>
  <si>
    <t xml:space="preserve"> 生益科技</t>
  </si>
  <si>
    <t xml:space="preserve"> 9.77万</t>
  </si>
  <si>
    <t xml:space="preserve"> 123亿</t>
  </si>
  <si>
    <t xml:space="preserve"> 23.52亿</t>
  </si>
  <si>
    <t xml:space="preserve"> 404.0亿</t>
  </si>
  <si>
    <t xml:space="preserve"> 北方长龙</t>
  </si>
  <si>
    <t xml:space="preserve"> 2.98万</t>
  </si>
  <si>
    <t xml:space="preserve"> 6448万</t>
  </si>
  <si>
    <t xml:space="preserve"> 6800万</t>
  </si>
  <si>
    <t xml:space="preserve"> 38.05亿</t>
  </si>
  <si>
    <t xml:space="preserve"> 1700万</t>
  </si>
  <si>
    <t xml:space="preserve"> 9.512亿</t>
  </si>
  <si>
    <t xml:space="preserve"> 凯文教育</t>
  </si>
  <si>
    <t xml:space="preserve"> 1.66亿</t>
  </si>
  <si>
    <t xml:space="preserve"> 5.983亿</t>
  </si>
  <si>
    <t xml:space="preserve"> 28.12亿</t>
  </si>
  <si>
    <t xml:space="preserve"> 天士力</t>
  </si>
  <si>
    <t xml:space="preserve"> 65.7亿</t>
  </si>
  <si>
    <t xml:space="preserve"> 229.3亿</t>
  </si>
  <si>
    <t xml:space="preserve"> 聚飞光电</t>
  </si>
  <si>
    <t xml:space="preserve"> 13.42亿</t>
  </si>
  <si>
    <t xml:space="preserve"> 79.87亿</t>
  </si>
  <si>
    <t xml:space="preserve"> 12.53亿</t>
  </si>
  <si>
    <t xml:space="preserve"> 74.58亿</t>
  </si>
  <si>
    <t xml:space="preserve"> 科蓝软件</t>
  </si>
  <si>
    <t xml:space="preserve"> 4.034亿</t>
  </si>
  <si>
    <t xml:space="preserve"> 62.21亿</t>
  </si>
  <si>
    <t xml:space="preserve"> 巨星农牧</t>
  </si>
  <si>
    <t xml:space="preserve"> 2.99万</t>
  </si>
  <si>
    <t xml:space="preserve"> 2.06万</t>
  </si>
  <si>
    <t xml:space="preserve"> 5.061亿</t>
  </si>
  <si>
    <t xml:space="preserve"> 167.5亿</t>
  </si>
  <si>
    <t xml:space="preserve"> 唐人神</t>
  </si>
  <si>
    <t xml:space="preserve"> 209亿</t>
  </si>
  <si>
    <t xml:space="preserve"> 14.33亿</t>
  </si>
  <si>
    <t xml:space="preserve"> 96.16亿</t>
  </si>
  <si>
    <t xml:space="preserve"> 13.66亿</t>
  </si>
  <si>
    <t xml:space="preserve"> 91.66亿</t>
  </si>
  <si>
    <t xml:space="preserve"> 四方精创</t>
  </si>
  <si>
    <t xml:space="preserve"> 5.306亿</t>
  </si>
  <si>
    <t xml:space="preserve"> 60.12亿</t>
  </si>
  <si>
    <t xml:space="preserve"> 5.291亿</t>
  </si>
  <si>
    <t xml:space="preserve"> 59.95亿</t>
  </si>
  <si>
    <t xml:space="preserve"> 科华控股</t>
  </si>
  <si>
    <t xml:space="preserve"> 1.334亿</t>
  </si>
  <si>
    <t xml:space="preserve"> 23.44亿</t>
  </si>
  <si>
    <t xml:space="preserve"> 美利信</t>
  </si>
  <si>
    <t xml:space="preserve"> 2.106亿</t>
  </si>
  <si>
    <t xml:space="preserve"> 77.71亿</t>
  </si>
  <si>
    <t xml:space="preserve"> 5038万</t>
  </si>
  <si>
    <t xml:space="preserve"> 18.59亿</t>
  </si>
  <si>
    <t xml:space="preserve"> 紫燕食品</t>
  </si>
  <si>
    <t xml:space="preserve"> 1.64亿</t>
  </si>
  <si>
    <t xml:space="preserve"> 28.2亿</t>
  </si>
  <si>
    <t xml:space="preserve"> 4.120亿</t>
  </si>
  <si>
    <t xml:space="preserve"> 95.21亿</t>
  </si>
  <si>
    <t xml:space="preserve"> 6806万</t>
  </si>
  <si>
    <t xml:space="preserve"> 15.73亿</t>
  </si>
  <si>
    <t xml:space="preserve"> 航天电子</t>
  </si>
  <si>
    <t xml:space="preserve"> 32.99亿</t>
  </si>
  <si>
    <t xml:space="preserve"> 258.7亿</t>
  </si>
  <si>
    <t xml:space="preserve"> 27.19亿</t>
  </si>
  <si>
    <t xml:space="preserve"> 213.2亿</t>
  </si>
  <si>
    <t xml:space="preserve"> 仁和药业</t>
  </si>
  <si>
    <t xml:space="preserve"> 38.2亿</t>
  </si>
  <si>
    <t xml:space="preserve"> 14.00亿</t>
  </si>
  <si>
    <t xml:space="preserve"> 97.16亿</t>
  </si>
  <si>
    <t xml:space="preserve"> 93.16亿</t>
  </si>
  <si>
    <t xml:space="preserve"> 天顺风能</t>
  </si>
  <si>
    <t xml:space="preserve"> 221.6亿</t>
  </si>
  <si>
    <t xml:space="preserve"> 220.3亿</t>
  </si>
  <si>
    <t xml:space="preserve"> 锐明技术</t>
  </si>
  <si>
    <t xml:space="preserve"> 1.729亿</t>
  </si>
  <si>
    <t xml:space="preserve"> 57.73亿</t>
  </si>
  <si>
    <t xml:space="preserve"> 9151万</t>
  </si>
  <si>
    <t xml:space="preserve"> 甬矽电子</t>
  </si>
  <si>
    <t xml:space="preserve"> 5.76万</t>
  </si>
  <si>
    <t xml:space="preserve"> 4.077亿</t>
  </si>
  <si>
    <t xml:space="preserve"> 116.9亿</t>
  </si>
  <si>
    <t xml:space="preserve"> 2.754亿</t>
  </si>
  <si>
    <t xml:space="preserve"> 78.99亿</t>
  </si>
  <si>
    <t xml:space="preserve"> 科信技术</t>
  </si>
  <si>
    <t xml:space="preserve"> 2.080亿</t>
  </si>
  <si>
    <t xml:space="preserve"> 34.07亿</t>
  </si>
  <si>
    <t xml:space="preserve"> 1.883亿</t>
  </si>
  <si>
    <t xml:space="preserve"> 30.84亿</t>
  </si>
  <si>
    <t xml:space="preserve"> 三超新材</t>
  </si>
  <si>
    <t xml:space="preserve"> 3.60亿</t>
  </si>
  <si>
    <t xml:space="preserve"> 1.142亿</t>
  </si>
  <si>
    <t xml:space="preserve"> 31.66亿</t>
  </si>
  <si>
    <t xml:space="preserve"> 7655万</t>
  </si>
  <si>
    <t xml:space="preserve"> 21.22亿</t>
  </si>
  <si>
    <t xml:space="preserve"> 百奥泰</t>
  </si>
  <si>
    <t xml:space="preserve"> 1.65万</t>
  </si>
  <si>
    <t xml:space="preserve"> 4.141亿</t>
  </si>
  <si>
    <t xml:space="preserve"> 东旭光电</t>
  </si>
  <si>
    <t xml:space="preserve"> -3.70万</t>
  </si>
  <si>
    <t xml:space="preserve"> 56.33亿</t>
  </si>
  <si>
    <t xml:space="preserve"> 50.29亿</t>
  </si>
  <si>
    <t xml:space="preserve"> 114.7亿</t>
  </si>
  <si>
    <t xml:space="preserve"> 沪硅产业</t>
  </si>
  <si>
    <t xml:space="preserve"> 9.39万</t>
  </si>
  <si>
    <t xml:space="preserve"> 23.9亿</t>
  </si>
  <si>
    <t xml:space="preserve"> 27.47亿</t>
  </si>
  <si>
    <t xml:space="preserve"> 27.20亿</t>
  </si>
  <si>
    <t xml:space="preserve"> 478.2亿</t>
  </si>
  <si>
    <t xml:space="preserve"> 大智慧</t>
  </si>
  <si>
    <t xml:space="preserve"> 20.19亿</t>
  </si>
  <si>
    <t xml:space="preserve"> 155.9亿</t>
  </si>
  <si>
    <t xml:space="preserve"> 20.04亿</t>
  </si>
  <si>
    <t xml:space="preserve"> 154.7亿</t>
  </si>
  <si>
    <t xml:space="preserve"> 亨迪药业</t>
  </si>
  <si>
    <t xml:space="preserve"> 3.77万</t>
  </si>
  <si>
    <t xml:space="preserve"> 2.880亿</t>
  </si>
  <si>
    <t xml:space="preserve"> 67.91亿</t>
  </si>
  <si>
    <t xml:space="preserve"> 7086万</t>
  </si>
  <si>
    <t xml:space="preserve"> 豪恩汽电</t>
  </si>
  <si>
    <t xml:space="preserve"> 9200万</t>
  </si>
  <si>
    <t xml:space="preserve"> 74.65亿</t>
  </si>
  <si>
    <t xml:space="preserve"> 1989万</t>
  </si>
  <si>
    <t xml:space="preserve"> 16.14亿</t>
  </si>
  <si>
    <t xml:space="preserve"> 松炀资源</t>
  </si>
  <si>
    <t xml:space="preserve"> 3.82万</t>
  </si>
  <si>
    <t xml:space="preserve"> 4.58亿</t>
  </si>
  <si>
    <t xml:space="preserve"> 87.30亿</t>
  </si>
  <si>
    <t xml:space="preserve"> 佳创视讯</t>
  </si>
  <si>
    <t xml:space="preserve"> 6059万</t>
  </si>
  <si>
    <t xml:space="preserve"> 4.309亿</t>
  </si>
  <si>
    <t xml:space="preserve"> 29.90亿</t>
  </si>
  <si>
    <t xml:space="preserve"> 3.686亿</t>
  </si>
  <si>
    <t xml:space="preserve"> 25.58亿</t>
  </si>
  <si>
    <t xml:space="preserve"> 动力源</t>
  </si>
  <si>
    <t xml:space="preserve"> 6.66亿</t>
  </si>
  <si>
    <t xml:space="preserve"> 31.43亿</t>
  </si>
  <si>
    <t xml:space="preserve"> 中航光电</t>
  </si>
  <si>
    <t xml:space="preserve"> 154亿</t>
  </si>
  <si>
    <t xml:space="preserve"> 21.20亿</t>
  </si>
  <si>
    <t xml:space="preserve"> 840.0亿</t>
  </si>
  <si>
    <t xml:space="preserve"> 809.9亿</t>
  </si>
  <si>
    <t xml:space="preserve"> 招商轮船</t>
  </si>
  <si>
    <t xml:space="preserve"> 1.62亿</t>
  </si>
  <si>
    <t xml:space="preserve"> 81.44亿</t>
  </si>
  <si>
    <t xml:space="preserve"> 487.8亿</t>
  </si>
  <si>
    <t xml:space="preserve"> 恒立液压</t>
  </si>
  <si>
    <t xml:space="preserve"> 63.4亿</t>
  </si>
  <si>
    <t xml:space="preserve"> 13.41亿</t>
  </si>
  <si>
    <t xml:space="preserve"> 745.9亿</t>
  </si>
  <si>
    <t xml:space="preserve"> 英维克</t>
  </si>
  <si>
    <t xml:space="preserve"> 5.99万</t>
  </si>
  <si>
    <t xml:space="preserve"> 154.9亿</t>
  </si>
  <si>
    <t xml:space="preserve"> 4.846亿</t>
  </si>
  <si>
    <t xml:space="preserve"> 132.3亿</t>
  </si>
  <si>
    <t xml:space="preserve"> 固德威</t>
  </si>
  <si>
    <t xml:space="preserve"> 185.5亿</t>
  </si>
  <si>
    <t xml:space="preserve"> 英杰电气</t>
  </si>
  <si>
    <t xml:space="preserve"> 2.203亿</t>
  </si>
  <si>
    <t xml:space="preserve"> 133.1亿</t>
  </si>
  <si>
    <t xml:space="preserve"> 1.054亿</t>
  </si>
  <si>
    <t xml:space="preserve"> 63.69亿</t>
  </si>
  <si>
    <t xml:space="preserve"> 绿盟科技</t>
  </si>
  <si>
    <t xml:space="preserve"> 7.999亿</t>
  </si>
  <si>
    <t xml:space="preserve"> 7.378亿</t>
  </si>
  <si>
    <t xml:space="preserve"> 73.93亿</t>
  </si>
  <si>
    <t xml:space="preserve"> 云南城投</t>
  </si>
  <si>
    <t xml:space="preserve"> 16.06亿</t>
  </si>
  <si>
    <t xml:space="preserve"> 当升科技</t>
  </si>
  <si>
    <t xml:space="preserve"> 125亿</t>
  </si>
  <si>
    <t xml:space="preserve"> 2.41万</t>
  </si>
  <si>
    <t xml:space="preserve"> 1.56万</t>
  </si>
  <si>
    <t xml:space="preserve"> 5.065亿</t>
  </si>
  <si>
    <t xml:space="preserve"> 4.885亿</t>
  </si>
  <si>
    <t xml:space="preserve"> 大晟文化</t>
  </si>
  <si>
    <t xml:space="preserve"> 27.3万</t>
  </si>
  <si>
    <t xml:space="preserve"> 5.595亿</t>
  </si>
  <si>
    <t xml:space="preserve"> 33.23亿</t>
  </si>
  <si>
    <t xml:space="preserve"> 华发股份</t>
  </si>
  <si>
    <t xml:space="preserve"> 1.60亿</t>
  </si>
  <si>
    <t xml:space="preserve"> 473亿</t>
  </si>
  <si>
    <t xml:space="preserve"> 205.0亿</t>
  </si>
  <si>
    <t xml:space="preserve"> 21.17亿</t>
  </si>
  <si>
    <t xml:space="preserve"> 157.7亿</t>
  </si>
  <si>
    <t xml:space="preserve"> 安记食品</t>
  </si>
  <si>
    <t xml:space="preserve"> 8.17万</t>
  </si>
  <si>
    <t xml:space="preserve"> 2.352亿</t>
  </si>
  <si>
    <t xml:space="preserve"> 24.60亿</t>
  </si>
  <si>
    <t xml:space="preserve"> 旋极信息</t>
  </si>
  <si>
    <t xml:space="preserve"> 17.09亿</t>
  </si>
  <si>
    <t xml:space="preserve"> 62.70亿</t>
  </si>
  <si>
    <t xml:space="preserve"> 三维天地</t>
  </si>
  <si>
    <t xml:space="preserve"> 1.22亿</t>
  </si>
  <si>
    <t xml:space="preserve"> 7735万</t>
  </si>
  <si>
    <t xml:space="preserve"> 40.10亿</t>
  </si>
  <si>
    <t xml:space="preserve"> 3271万</t>
  </si>
  <si>
    <t xml:space="preserve"> 16.96亿</t>
  </si>
  <si>
    <t xml:space="preserve"> 荣信文化</t>
  </si>
  <si>
    <t xml:space="preserve"> 8440万</t>
  </si>
  <si>
    <t xml:space="preserve"> 24.05亿</t>
  </si>
  <si>
    <t xml:space="preserve"> 5390万</t>
  </si>
  <si>
    <t xml:space="preserve"> 国华网安</t>
  </si>
  <si>
    <t xml:space="preserve"> 8.95万</t>
  </si>
  <si>
    <t xml:space="preserve"> 8055万</t>
  </si>
  <si>
    <t xml:space="preserve"> 1.324亿</t>
  </si>
  <si>
    <t xml:space="preserve"> 23.72亿</t>
  </si>
  <si>
    <t xml:space="preserve"> 1.263亿</t>
  </si>
  <si>
    <t xml:space="preserve"> 曙光数创</t>
  </si>
  <si>
    <t xml:space="preserve"> 1.928亿</t>
  </si>
  <si>
    <t xml:space="preserve"> 77.27亿</t>
  </si>
  <si>
    <t xml:space="preserve"> 普元信息</t>
  </si>
  <si>
    <t xml:space="preserve"> 9540万</t>
  </si>
  <si>
    <t xml:space="preserve"> 33.82亿</t>
  </si>
  <si>
    <t xml:space="preserve"> 中邮科技</t>
  </si>
  <si>
    <t xml:space="preserve"> 3.24万</t>
  </si>
  <si>
    <t xml:space="preserve"> 1.360亿</t>
  </si>
  <si>
    <t xml:space="preserve"> 37.93亿</t>
  </si>
  <si>
    <t xml:space="preserve"> 2876万</t>
  </si>
  <si>
    <t xml:space="preserve"> 8.021亿</t>
  </si>
  <si>
    <t xml:space="preserve"> 维信诺</t>
  </si>
  <si>
    <t xml:space="preserve"> 41.2亿</t>
  </si>
  <si>
    <t xml:space="preserve"> 7.06万</t>
  </si>
  <si>
    <t xml:space="preserve"> 153.5亿</t>
  </si>
  <si>
    <t xml:space="preserve"> 13.84亿</t>
  </si>
  <si>
    <t xml:space="preserve"> 152.9亿</t>
  </si>
  <si>
    <t xml:space="preserve"> 祥鑫科技</t>
  </si>
  <si>
    <t xml:space="preserve"> 2.22万</t>
  </si>
  <si>
    <t xml:space="preserve"> 1.783亿</t>
  </si>
  <si>
    <t xml:space="preserve"> 76.75亿</t>
  </si>
  <si>
    <t xml:space="preserve"> 1.258亿</t>
  </si>
  <si>
    <t xml:space="preserve"> 54.18亿</t>
  </si>
  <si>
    <t xml:space="preserve"> 九安医疗</t>
  </si>
  <si>
    <t xml:space="preserve"> 4.876亿</t>
  </si>
  <si>
    <t xml:space="preserve"> 181.5亿</t>
  </si>
  <si>
    <t xml:space="preserve"> 4.534亿</t>
  </si>
  <si>
    <t xml:space="preserve"> 168.8亿</t>
  </si>
  <si>
    <t xml:space="preserve"> 中科三环</t>
  </si>
  <si>
    <t xml:space="preserve"> 64.2亿</t>
  </si>
  <si>
    <t xml:space="preserve"> 美锦能源</t>
  </si>
  <si>
    <t xml:space="preserve"> 1.58亿</t>
  </si>
  <si>
    <t xml:space="preserve"> 148亿</t>
  </si>
  <si>
    <t xml:space="preserve"> 312.8亿</t>
  </si>
  <si>
    <t xml:space="preserve"> 39.95亿</t>
  </si>
  <si>
    <t xml:space="preserve"> 288.8亿</t>
  </si>
  <si>
    <t xml:space="preserve"> 美诺华</t>
  </si>
  <si>
    <t xml:space="preserve"> 7.53万</t>
  </si>
  <si>
    <t xml:space="preserve"> 9.29亿</t>
  </si>
  <si>
    <t xml:space="preserve"> 2.134亿</t>
  </si>
  <si>
    <t xml:space="preserve"> 44.84亿</t>
  </si>
  <si>
    <t xml:space="preserve"> 2.114亿</t>
  </si>
  <si>
    <t xml:space="preserve"> 44.41亿</t>
  </si>
  <si>
    <t xml:space="preserve"> 汉威科技</t>
  </si>
  <si>
    <t xml:space="preserve"> 59.97亿</t>
  </si>
  <si>
    <t xml:space="preserve"> 2.820亿</t>
  </si>
  <si>
    <t xml:space="preserve"> 51.83亿</t>
  </si>
  <si>
    <t xml:space="preserve"> 苏试试验</t>
  </si>
  <si>
    <t xml:space="preserve"> 5.085亿</t>
  </si>
  <si>
    <t xml:space="preserve"> 92.45亿</t>
  </si>
  <si>
    <t xml:space="preserve"> 5.052亿</t>
  </si>
  <si>
    <t xml:space="preserve"> 91.85亿</t>
  </si>
  <si>
    <t xml:space="preserve"> 广深铁路</t>
  </si>
  <si>
    <t xml:space="preserve"> 58.5万</t>
  </si>
  <si>
    <t xml:space="preserve"> 192亿</t>
  </si>
  <si>
    <t xml:space="preserve"> -4.47万</t>
  </si>
  <si>
    <t xml:space="preserve"> 70.84亿</t>
  </si>
  <si>
    <t xml:space="preserve"> 190.5亿</t>
  </si>
  <si>
    <t xml:space="preserve"> 56.52亿</t>
  </si>
  <si>
    <t xml:space="preserve"> 152.0亿</t>
  </si>
  <si>
    <t xml:space="preserve"> 宇通客车</t>
  </si>
  <si>
    <t xml:space="preserve"> 6.17万</t>
  </si>
  <si>
    <t xml:space="preserve"> 293.3亿</t>
  </si>
  <si>
    <t xml:space="preserve"> 百联股份</t>
  </si>
  <si>
    <t xml:space="preserve"> 236亿</t>
  </si>
  <si>
    <t xml:space="preserve"> 181.6亿</t>
  </si>
  <si>
    <t xml:space="preserve"> 163.3亿</t>
  </si>
  <si>
    <t xml:space="preserve"> 万通智控</t>
  </si>
  <si>
    <t xml:space="preserve"> 2.295亿</t>
  </si>
  <si>
    <t xml:space="preserve"> 31.18亿</t>
  </si>
  <si>
    <t xml:space="preserve"> 安奈儿</t>
  </si>
  <si>
    <t xml:space="preserve"> 5.64亿</t>
  </si>
  <si>
    <t xml:space="preserve"> 6.40万</t>
  </si>
  <si>
    <t xml:space="preserve"> 2.130亿</t>
  </si>
  <si>
    <t xml:space="preserve"> 29.18亿</t>
  </si>
  <si>
    <t xml:space="preserve"> 1.730亿</t>
  </si>
  <si>
    <t xml:space="preserve"> 新泉股份</t>
  </si>
  <si>
    <t xml:space="preserve"> 4.873亿</t>
  </si>
  <si>
    <t xml:space="preserve"> 248.3亿</t>
  </si>
  <si>
    <t xml:space="preserve"> 奥来德</t>
  </si>
  <si>
    <t xml:space="preserve"> 3.23万</t>
  </si>
  <si>
    <t xml:space="preserve"> 4.14亿</t>
  </si>
  <si>
    <t xml:space="preserve"> 1.487亿</t>
  </si>
  <si>
    <t xml:space="preserve"> 74.19亿</t>
  </si>
  <si>
    <t xml:space="preserve"> 9480万</t>
  </si>
  <si>
    <t xml:space="preserve"> 47.31亿</t>
  </si>
  <si>
    <t xml:space="preserve"> 思特威-W</t>
  </si>
  <si>
    <t xml:space="preserve"> 205.9亿</t>
  </si>
  <si>
    <t xml:space="preserve"> 3.196亿</t>
  </si>
  <si>
    <t xml:space="preserve"> 164.5亿</t>
  </si>
  <si>
    <t xml:space="preserve"> 许继电气</t>
  </si>
  <si>
    <t xml:space="preserve"> 209.3亿</t>
  </si>
  <si>
    <t xml:space="preserve"> 207.1亿</t>
  </si>
  <si>
    <t xml:space="preserve"> 佛山照明</t>
  </si>
  <si>
    <t xml:space="preserve"> 68.0亿</t>
  </si>
  <si>
    <t xml:space="preserve"> 13.62亿</t>
  </si>
  <si>
    <t xml:space="preserve"> 99.02亿</t>
  </si>
  <si>
    <t xml:space="preserve"> 10.57亿</t>
  </si>
  <si>
    <t xml:space="preserve"> 76.81亿</t>
  </si>
  <si>
    <t xml:space="preserve"> 粤 传 媒</t>
  </si>
  <si>
    <t xml:space="preserve"> 1.55亿</t>
  </si>
  <si>
    <t xml:space="preserve"> 62.81亿</t>
  </si>
  <si>
    <t xml:space="preserve"> 61.37亿</t>
  </si>
  <si>
    <t xml:space="preserve"> 福安药业</t>
  </si>
  <si>
    <t xml:space="preserve"> 32.8万</t>
  </si>
  <si>
    <t xml:space="preserve"> 11.90亿</t>
  </si>
  <si>
    <t xml:space="preserve"> 56.15亿</t>
  </si>
  <si>
    <t xml:space="preserve"> 9.679亿</t>
  </si>
  <si>
    <t xml:space="preserve"> 45.68亿</t>
  </si>
  <si>
    <t xml:space="preserve"> 康弘药业</t>
  </si>
  <si>
    <t xml:space="preserve"> 30.0亿</t>
  </si>
  <si>
    <t xml:space="preserve"> 9.195亿</t>
  </si>
  <si>
    <t xml:space="preserve"> 172.8亿</t>
  </si>
  <si>
    <t xml:space="preserve"> 6.880亿</t>
  </si>
  <si>
    <t xml:space="preserve"> 华熙生物</t>
  </si>
  <si>
    <t xml:space="preserve"> 42.2亿</t>
  </si>
  <si>
    <t xml:space="preserve"> 336.0亿</t>
  </si>
  <si>
    <t xml:space="preserve"> 1.982亿</t>
  </si>
  <si>
    <t xml:space="preserve"> 138.2亿</t>
  </si>
  <si>
    <t xml:space="preserve"> 扬杰科技</t>
  </si>
  <si>
    <t xml:space="preserve"> 5.415亿</t>
  </si>
  <si>
    <t xml:space="preserve"> 202.3亿</t>
  </si>
  <si>
    <t xml:space="preserve"> 5.404亿</t>
  </si>
  <si>
    <t xml:space="preserve"> 201.9亿</t>
  </si>
  <si>
    <t xml:space="preserve"> 巨能股份</t>
  </si>
  <si>
    <t xml:space="preserve"> 7648万</t>
  </si>
  <si>
    <t xml:space="preserve"> 13.92亿</t>
  </si>
  <si>
    <t xml:space="preserve"> 2300万</t>
  </si>
  <si>
    <t xml:space="preserve"> 4.186亿</t>
  </si>
  <si>
    <t xml:space="preserve"> 中国黄金</t>
  </si>
  <si>
    <t xml:space="preserve"> 8.93万</t>
  </si>
  <si>
    <t xml:space="preserve"> 16.80亿</t>
  </si>
  <si>
    <t xml:space="preserve"> 168.2亿</t>
  </si>
  <si>
    <t xml:space="preserve"> 8.222亿</t>
  </si>
  <si>
    <t xml:space="preserve"> 82.30亿</t>
  </si>
  <si>
    <t xml:space="preserve"> 浩瀚深度</t>
  </si>
  <si>
    <t xml:space="preserve"> 1.571亿</t>
  </si>
  <si>
    <t xml:space="preserve"> 47.25亿</t>
  </si>
  <si>
    <t xml:space="preserve"> 8129万</t>
  </si>
  <si>
    <t xml:space="preserve"> 24.44亿</t>
  </si>
  <si>
    <t xml:space="preserve"> 麦加芯彩</t>
  </si>
  <si>
    <t xml:space="preserve"> 7.72亿</t>
  </si>
  <si>
    <t xml:space="preserve"> 1.080亿</t>
  </si>
  <si>
    <t xml:space="preserve"> 70.73亿</t>
  </si>
  <si>
    <t xml:space="preserve"> 2646万</t>
  </si>
  <si>
    <t xml:space="preserve"> 17.33亿</t>
  </si>
  <si>
    <t xml:space="preserve"> 西上海</t>
  </si>
  <si>
    <t xml:space="preserve"> 2.50万</t>
  </si>
  <si>
    <t xml:space="preserve"> 30.68亿</t>
  </si>
  <si>
    <t xml:space="preserve"> 6401万</t>
  </si>
  <si>
    <t xml:space="preserve"> 14.51亿</t>
  </si>
  <si>
    <t xml:space="preserve"> 乐鑫科技</t>
  </si>
  <si>
    <t xml:space="preserve"> 8079万</t>
  </si>
  <si>
    <t xml:space="preserve"> 86.23亿</t>
  </si>
  <si>
    <t xml:space="preserve"> 浙江仙通</t>
  </si>
  <si>
    <t xml:space="preserve"> 4.00万</t>
  </si>
  <si>
    <t xml:space="preserve"> 2.707亿</t>
  </si>
  <si>
    <t xml:space="preserve"> 46.54亿</t>
  </si>
  <si>
    <t xml:space="preserve"> 三只松鼠</t>
  </si>
  <si>
    <t xml:space="preserve"> 8.06万</t>
  </si>
  <si>
    <t xml:space="preserve"> 1.54亿</t>
  </si>
  <si>
    <t xml:space="preserve"> 76.23亿</t>
  </si>
  <si>
    <t xml:space="preserve"> 2.804亿</t>
  </si>
  <si>
    <t xml:space="preserve"> 金麒麟</t>
  </si>
  <si>
    <t xml:space="preserve"> 1.961亿</t>
  </si>
  <si>
    <t xml:space="preserve"> 33.51亿</t>
  </si>
  <si>
    <t xml:space="preserve"> 法本信息</t>
  </si>
  <si>
    <t xml:space="preserve"> 28.0亿</t>
  </si>
  <si>
    <t xml:space="preserve"> 3.748亿</t>
  </si>
  <si>
    <t xml:space="preserve"> 56.60亿</t>
  </si>
  <si>
    <t xml:space="preserve"> 30.24亿</t>
  </si>
  <si>
    <t xml:space="preserve"> 远光软件</t>
  </si>
  <si>
    <t xml:space="preserve"> 17.55亿</t>
  </si>
  <si>
    <t xml:space="preserve"> 108.1亿</t>
  </si>
  <si>
    <t xml:space="preserve"> 东鹏饮料</t>
  </si>
  <si>
    <t xml:space="preserve"> 86.4亿</t>
  </si>
  <si>
    <t xml:space="preserve"> 778.4亿</t>
  </si>
  <si>
    <t xml:space="preserve"> 1.593亿</t>
  </si>
  <si>
    <t xml:space="preserve"> 航天智装</t>
  </si>
  <si>
    <t xml:space="preserve"> 8.68亿</t>
  </si>
  <si>
    <t xml:space="preserve"> 7.178亿</t>
  </si>
  <si>
    <t xml:space="preserve"> 7.086亿</t>
  </si>
  <si>
    <t xml:space="preserve"> 89.92亿</t>
  </si>
  <si>
    <t xml:space="preserve"> 川能动力</t>
  </si>
  <si>
    <t xml:space="preserve"> 7.49万</t>
  </si>
  <si>
    <t xml:space="preserve"> 14.76亿</t>
  </si>
  <si>
    <t xml:space="preserve"> 深振业Ａ</t>
  </si>
  <si>
    <t xml:space="preserve"> 13.50亿</t>
  </si>
  <si>
    <t xml:space="preserve"> 雷柏科技</t>
  </si>
  <si>
    <t xml:space="preserve"> 2.829亿</t>
  </si>
  <si>
    <t xml:space="preserve"> 52.50亿</t>
  </si>
  <si>
    <t xml:space="preserve"> 金证股份</t>
  </si>
  <si>
    <t xml:space="preserve"> 9.440亿</t>
  </si>
  <si>
    <t xml:space="preserve"> 113.2亿</t>
  </si>
  <si>
    <t xml:space="preserve"> 上海洗霸</t>
  </si>
  <si>
    <t xml:space="preserve"> 1.744亿</t>
  </si>
  <si>
    <t xml:space="preserve"> 36.09亿</t>
  </si>
  <si>
    <t xml:space="preserve"> 天奈科技</t>
  </si>
  <si>
    <t xml:space="preserve"> 3.437亿</t>
  </si>
  <si>
    <t xml:space="preserve"> 95.34亿</t>
  </si>
  <si>
    <t xml:space="preserve"> 黄河旋风</t>
  </si>
  <si>
    <t xml:space="preserve"> 14.42亿</t>
  </si>
  <si>
    <t xml:space="preserve"> 58.12亿</t>
  </si>
  <si>
    <t xml:space="preserve"> 12.76亿</t>
  </si>
  <si>
    <t xml:space="preserve"> 51.43亿</t>
  </si>
  <si>
    <t xml:space="preserve"> 川环科技</t>
  </si>
  <si>
    <t xml:space="preserve"> 2.169亿</t>
  </si>
  <si>
    <t xml:space="preserve"> 38.98亿</t>
  </si>
  <si>
    <t xml:space="preserve"> 1.774亿</t>
  </si>
  <si>
    <t xml:space="preserve"> 31.88亿</t>
  </si>
  <si>
    <t xml:space="preserve"> 中泰证券</t>
  </si>
  <si>
    <t xml:space="preserve"> 92.8亿</t>
  </si>
  <si>
    <t xml:space="preserve"> 69.69亿</t>
  </si>
  <si>
    <t xml:space="preserve"> 505.9亿</t>
  </si>
  <si>
    <t xml:space="preserve"> 39.73亿</t>
  </si>
  <si>
    <t xml:space="preserve"> 288.4亿</t>
  </si>
  <si>
    <t xml:space="preserve"> 蜂助手</t>
  </si>
  <si>
    <t xml:space="preserve"> 1.696亿</t>
  </si>
  <si>
    <t xml:space="preserve"> 68.51亿</t>
  </si>
  <si>
    <t xml:space="preserve"> 3816万</t>
  </si>
  <si>
    <t xml:space="preserve"> 维康药业</t>
  </si>
  <si>
    <t xml:space="preserve"> 4.32亿</t>
  </si>
  <si>
    <t xml:space="preserve"> 1.448亿</t>
  </si>
  <si>
    <t xml:space="preserve"> 40.96亿</t>
  </si>
  <si>
    <t xml:space="preserve"> 7775万</t>
  </si>
  <si>
    <t xml:space="preserve"> 国脉科技</t>
  </si>
  <si>
    <t xml:space="preserve"> 1.52亿</t>
  </si>
  <si>
    <t xml:space="preserve"> 6.57万</t>
  </si>
  <si>
    <t xml:space="preserve"> 83.32亿</t>
  </si>
  <si>
    <t xml:space="preserve"> 83.27亿</t>
  </si>
  <si>
    <t xml:space="preserve"> 新光药业</t>
  </si>
  <si>
    <t xml:space="preserve"> 28.26亿</t>
  </si>
  <si>
    <t xml:space="preserve"> 1.141亿</t>
  </si>
  <si>
    <t xml:space="preserve"> 大唐发电</t>
  </si>
  <si>
    <t xml:space="preserve"> 906亿</t>
  </si>
  <si>
    <t xml:space="preserve"> -9.67万</t>
  </si>
  <si>
    <t xml:space="preserve"> 185.1亿</t>
  </si>
  <si>
    <t xml:space="preserve"> 124.0亿</t>
  </si>
  <si>
    <t xml:space="preserve"> 中铁装配</t>
  </si>
  <si>
    <t xml:space="preserve"> 9.92亿</t>
  </si>
  <si>
    <t xml:space="preserve"> 2.459亿</t>
  </si>
  <si>
    <t xml:space="preserve"> 32.93亿</t>
  </si>
  <si>
    <t xml:space="preserve"> 1.893亿</t>
  </si>
  <si>
    <t xml:space="preserve"> 25.34亿</t>
  </si>
  <si>
    <t xml:space="preserve"> 盘龙药业</t>
  </si>
  <si>
    <t xml:space="preserve"> 1.51亿</t>
  </si>
  <si>
    <t xml:space="preserve"> 7.16亿</t>
  </si>
  <si>
    <t xml:space="preserve"> 1.063亿</t>
  </si>
  <si>
    <t xml:space="preserve"> 44.78亿</t>
  </si>
  <si>
    <t xml:space="preserve"> 6463万</t>
  </si>
  <si>
    <t xml:space="preserve"> 27.23亿</t>
  </si>
  <si>
    <t xml:space="preserve"> 双象股份</t>
  </si>
  <si>
    <t xml:space="preserve"> 7.02万</t>
  </si>
  <si>
    <t xml:space="preserve"> 2.682亿</t>
  </si>
  <si>
    <t xml:space="preserve"> 32.75亿</t>
  </si>
  <si>
    <t xml:space="preserve"> 华闻集团</t>
  </si>
  <si>
    <t xml:space="preserve"> -2.48万</t>
  </si>
  <si>
    <t xml:space="preserve"> 47.26亿</t>
  </si>
  <si>
    <t xml:space="preserve"> 华孚时尚</t>
  </si>
  <si>
    <t xml:space="preserve"> 36.6万</t>
  </si>
  <si>
    <t xml:space="preserve"> 111亿</t>
  </si>
  <si>
    <t xml:space="preserve"> -1.12万</t>
  </si>
  <si>
    <t xml:space="preserve"> 17.01亿</t>
  </si>
  <si>
    <t xml:space="preserve"> 71.09亿</t>
  </si>
  <si>
    <t xml:space="preserve"> 星宇股份</t>
  </si>
  <si>
    <t xml:space="preserve"> 72.4亿</t>
  </si>
  <si>
    <t xml:space="preserve"> 2.857亿</t>
  </si>
  <si>
    <t xml:space="preserve"> 412.5亿</t>
  </si>
  <si>
    <t xml:space="preserve"> 三羊马</t>
  </si>
  <si>
    <t xml:space="preserve"> 6.94亿</t>
  </si>
  <si>
    <t xml:space="preserve"> 8004万</t>
  </si>
  <si>
    <t xml:space="preserve"> 30.35亿</t>
  </si>
  <si>
    <t xml:space="preserve"> 2929万</t>
  </si>
  <si>
    <t xml:space="preserve"> 11.11亿</t>
  </si>
  <si>
    <t xml:space="preserve"> 儒竞科技</t>
  </si>
  <si>
    <t xml:space="preserve"> 9431万</t>
  </si>
  <si>
    <t xml:space="preserve"> 85.70亿</t>
  </si>
  <si>
    <t xml:space="preserve"> 2237万</t>
  </si>
  <si>
    <t xml:space="preserve"> 20.33亿</t>
  </si>
  <si>
    <t xml:space="preserve"> 鹏都农牧</t>
  </si>
  <si>
    <t xml:space="preserve"> 54.0万</t>
  </si>
  <si>
    <t xml:space="preserve"> 迎驾贡酒</t>
  </si>
  <si>
    <t xml:space="preserve"> 1.50亿</t>
  </si>
  <si>
    <t xml:space="preserve"> 591.0亿</t>
  </si>
  <si>
    <t xml:space="preserve"> 申菱环境</t>
  </si>
  <si>
    <t xml:space="preserve"> 2.661亿</t>
  </si>
  <si>
    <t xml:space="preserve"> 75.75亿</t>
  </si>
  <si>
    <t xml:space="preserve"> 1.131亿</t>
  </si>
  <si>
    <t xml:space="preserve"> 32.20亿</t>
  </si>
  <si>
    <t xml:space="preserve"> 海思科</t>
  </si>
  <si>
    <t xml:space="preserve"> 6.33万</t>
  </si>
  <si>
    <t xml:space="preserve"> 23.8亿</t>
  </si>
  <si>
    <t xml:space="preserve"> 260.6亿</t>
  </si>
  <si>
    <t xml:space="preserve"> 5.167亿</t>
  </si>
  <si>
    <t xml:space="preserve"> 120.9亿</t>
  </si>
  <si>
    <t xml:space="preserve"> 怡 亚 通</t>
  </si>
  <si>
    <t xml:space="preserve"> 683亿</t>
  </si>
  <si>
    <t xml:space="preserve"> 25.97亿</t>
  </si>
  <si>
    <t xml:space="preserve"> 龙溪股份</t>
  </si>
  <si>
    <t xml:space="preserve"> 1.49亿</t>
  </si>
  <si>
    <t xml:space="preserve"> 45.55亿</t>
  </si>
  <si>
    <t xml:space="preserve"> 华宇软件</t>
  </si>
  <si>
    <t xml:space="preserve"> 8.195亿</t>
  </si>
  <si>
    <t xml:space="preserve"> 8.018亿</t>
  </si>
  <si>
    <t xml:space="preserve"> 71.84亿</t>
  </si>
  <si>
    <t xml:space="preserve"> 鸣志电器</t>
  </si>
  <si>
    <t xml:space="preserve"> 4.201亿</t>
  </si>
  <si>
    <t xml:space="preserve"> 4.189亿</t>
  </si>
  <si>
    <t xml:space="preserve"> 306.5亿</t>
  </si>
  <si>
    <t xml:space="preserve"> 高测股份</t>
  </si>
  <si>
    <t xml:space="preserve"> 3.391亿</t>
  </si>
  <si>
    <t xml:space="preserve"> 3.209亿</t>
  </si>
  <si>
    <t xml:space="preserve"> 康华生物</t>
  </si>
  <si>
    <t xml:space="preserve"> 9.90亿</t>
  </si>
  <si>
    <t xml:space="preserve"> 1.180亿</t>
  </si>
  <si>
    <t xml:space="preserve"> 91.74亿</t>
  </si>
  <si>
    <t xml:space="preserve"> 中国通号</t>
  </si>
  <si>
    <t xml:space="preserve"> 33.8万</t>
  </si>
  <si>
    <t xml:space="preserve"> 1.48亿</t>
  </si>
  <si>
    <t xml:space="preserve"> 105.9亿</t>
  </si>
  <si>
    <t xml:space="preserve"> 467.0亿</t>
  </si>
  <si>
    <t xml:space="preserve"> 86.21亿</t>
  </si>
  <si>
    <t xml:space="preserve"> 380.2亿</t>
  </si>
  <si>
    <t xml:space="preserve"> 宏昌电子</t>
  </si>
  <si>
    <t xml:space="preserve"> 75.08亿</t>
  </si>
  <si>
    <t xml:space="preserve"> 40.67亿</t>
  </si>
  <si>
    <t xml:space="preserve"> 多利科技</t>
  </si>
  <si>
    <t xml:space="preserve"> 1.837亿</t>
  </si>
  <si>
    <t xml:space="preserve"> 4593万</t>
  </si>
  <si>
    <t xml:space="preserve"> 25.14亿</t>
  </si>
  <si>
    <t xml:space="preserve"> 佳禾智能</t>
  </si>
  <si>
    <t xml:space="preserve"> 63.28亿</t>
  </si>
  <si>
    <t xml:space="preserve"> 61.69亿</t>
  </si>
  <si>
    <t xml:space="preserve"> 赛诺医疗</t>
  </si>
  <si>
    <t xml:space="preserve"> 57.69亿</t>
  </si>
  <si>
    <t xml:space="preserve"> 吉大通信</t>
  </si>
  <si>
    <t xml:space="preserve"> 3.58亿</t>
  </si>
  <si>
    <t xml:space="preserve"> 27.15亿</t>
  </si>
  <si>
    <t xml:space="preserve"> 2.713亿</t>
  </si>
  <si>
    <t xml:space="preserve"> 27.02亿</t>
  </si>
  <si>
    <t xml:space="preserve"> 华侨城Ａ</t>
  </si>
  <si>
    <t xml:space="preserve"> 318亿</t>
  </si>
  <si>
    <t xml:space="preserve"> -1.01万</t>
  </si>
  <si>
    <t xml:space="preserve"> 82.02亿</t>
  </si>
  <si>
    <t xml:space="preserve"> 283.8亿</t>
  </si>
  <si>
    <t xml:space="preserve"> 70.56亿</t>
  </si>
  <si>
    <t xml:space="preserve"> 航天信息</t>
  </si>
  <si>
    <t xml:space="preserve"> 100亿</t>
  </si>
  <si>
    <t xml:space="preserve"> 18.53亿</t>
  </si>
  <si>
    <t xml:space="preserve"> 211.8亿</t>
  </si>
  <si>
    <t xml:space="preserve"> 昀冢科技</t>
  </si>
  <si>
    <t xml:space="preserve"> 42.28亿</t>
  </si>
  <si>
    <t xml:space="preserve"> 6812万</t>
  </si>
  <si>
    <t xml:space="preserve"> 得润电子</t>
  </si>
  <si>
    <t xml:space="preserve"> 50.4亿</t>
  </si>
  <si>
    <t xml:space="preserve"> 7.73万</t>
  </si>
  <si>
    <t xml:space="preserve"> 6.045亿</t>
  </si>
  <si>
    <t xml:space="preserve"> 63.53亿</t>
  </si>
  <si>
    <t xml:space="preserve"> 61.94亿</t>
  </si>
  <si>
    <t xml:space="preserve"> 福达合金</t>
  </si>
  <si>
    <t xml:space="preserve"> 1.354亿</t>
  </si>
  <si>
    <t xml:space="preserve"> 20.90亿</t>
  </si>
  <si>
    <t xml:space="preserve"> 财达证券</t>
  </si>
  <si>
    <t xml:space="preserve"> 17.6亿</t>
  </si>
  <si>
    <t xml:space="preserve"> 32.45亿</t>
  </si>
  <si>
    <t xml:space="preserve"> 13.12亿</t>
  </si>
  <si>
    <t xml:space="preserve"> 甘化科工</t>
  </si>
  <si>
    <t xml:space="preserve"> 1.47亿</t>
  </si>
  <si>
    <t xml:space="preserve"> 4.426亿</t>
  </si>
  <si>
    <t xml:space="preserve"> 4.305亿</t>
  </si>
  <si>
    <t xml:space="preserve"> 43.56亿</t>
  </si>
  <si>
    <t xml:space="preserve"> 国瓷材料</t>
  </si>
  <si>
    <t xml:space="preserve"> 27.9亿</t>
  </si>
  <si>
    <t xml:space="preserve"> 2.94万</t>
  </si>
  <si>
    <t xml:space="preserve"> 8.032亿</t>
  </si>
  <si>
    <t xml:space="preserve"> *ST天沃</t>
  </si>
  <si>
    <t xml:space="preserve"> 8.589亿</t>
  </si>
  <si>
    <t xml:space="preserve"> 35.64亿</t>
  </si>
  <si>
    <t xml:space="preserve"> 8.584亿</t>
  </si>
  <si>
    <t xml:space="preserve"> 35.63亿</t>
  </si>
  <si>
    <t xml:space="preserve"> 博威合金</t>
  </si>
  <si>
    <t xml:space="preserve"> 9.29万</t>
  </si>
  <si>
    <t xml:space="preserve"> 7.819亿</t>
  </si>
  <si>
    <t xml:space="preserve"> 124.6亿</t>
  </si>
  <si>
    <t xml:space="preserve"> 7.795亿</t>
  </si>
  <si>
    <t xml:space="preserve"> 124.2亿</t>
  </si>
  <si>
    <t xml:space="preserve"> 波长光电</t>
  </si>
  <si>
    <t xml:space="preserve"> 1.20万</t>
  </si>
  <si>
    <t xml:space="preserve"> 1.157亿</t>
  </si>
  <si>
    <t xml:space="preserve"> 73.60亿</t>
  </si>
  <si>
    <t xml:space="preserve"> 2744万</t>
  </si>
  <si>
    <t xml:space="preserve"> 17.45亿</t>
  </si>
  <si>
    <t xml:space="preserve"> 东诚药业</t>
  </si>
  <si>
    <t xml:space="preserve"> 8.246亿</t>
  </si>
  <si>
    <t xml:space="preserve"> 7.434亿</t>
  </si>
  <si>
    <t xml:space="preserve"> 132.0亿</t>
  </si>
  <si>
    <t xml:space="preserve"> 华是科技</t>
  </si>
  <si>
    <t xml:space="preserve"> 1.140亿</t>
  </si>
  <si>
    <t xml:space="preserve"> 39.14亿</t>
  </si>
  <si>
    <t xml:space="preserve"> 5604万</t>
  </si>
  <si>
    <t xml:space="preserve"> 中国医药</t>
  </si>
  <si>
    <t xml:space="preserve"> 180.6亿</t>
  </si>
  <si>
    <t xml:space="preserve"> 14.95亿</t>
  </si>
  <si>
    <t xml:space="preserve"> 180.5亿</t>
  </si>
  <si>
    <t xml:space="preserve"> 奥比中光-UW</t>
  </si>
  <si>
    <t xml:space="preserve"> 134.4亿</t>
  </si>
  <si>
    <t xml:space="preserve"> 2.189亿</t>
  </si>
  <si>
    <t xml:space="preserve"> 73.55亿</t>
  </si>
  <si>
    <t xml:space="preserve"> 亚辉龙</t>
  </si>
  <si>
    <t xml:space="preserve"> 5.681亿</t>
  </si>
  <si>
    <t xml:space="preserve"> 142.8亿</t>
  </si>
  <si>
    <t xml:space="preserve"> 2.677亿</t>
  </si>
  <si>
    <t xml:space="preserve"> 67.27亿</t>
  </si>
  <si>
    <t xml:space="preserve"> 正帆科技</t>
  </si>
  <si>
    <t xml:space="preserve"> 3.67万</t>
  </si>
  <si>
    <t xml:space="preserve"> 113.1亿</t>
  </si>
  <si>
    <t xml:space="preserve"> 永辉超市</t>
  </si>
  <si>
    <t xml:space="preserve"> 621亿</t>
  </si>
  <si>
    <t xml:space="preserve"> -2.37万</t>
  </si>
  <si>
    <t xml:space="preserve"> 278.6亿</t>
  </si>
  <si>
    <t xml:space="preserve"> 精华制药</t>
  </si>
  <si>
    <t xml:space="preserve"> 8.142亿</t>
  </si>
  <si>
    <t xml:space="preserve"> 75.56亿</t>
  </si>
  <si>
    <t xml:space="preserve"> 8.120亿</t>
  </si>
  <si>
    <t xml:space="preserve"> 75.35亿</t>
  </si>
  <si>
    <t xml:space="preserve"> 锐捷网络</t>
  </si>
  <si>
    <t xml:space="preserve"> 79.5亿</t>
  </si>
  <si>
    <t xml:space="preserve"> 5.682亿</t>
  </si>
  <si>
    <t xml:space="preserve"> 226.3亿</t>
  </si>
  <si>
    <t xml:space="preserve"> 6818万</t>
  </si>
  <si>
    <t xml:space="preserve"> 27.16亿</t>
  </si>
  <si>
    <t xml:space="preserve"> 上海汽配</t>
  </si>
  <si>
    <t xml:space="preserve"> 2.84万</t>
  </si>
  <si>
    <t xml:space="preserve"> 3.373亿</t>
  </si>
  <si>
    <t xml:space="preserve"> 8265万</t>
  </si>
  <si>
    <t xml:space="preserve"> 市北高新</t>
  </si>
  <si>
    <t xml:space="preserve"> 7.86亿</t>
  </si>
  <si>
    <t xml:space="preserve"> 18.73亿</t>
  </si>
  <si>
    <t xml:space="preserve"> 14.07亿</t>
  </si>
  <si>
    <t xml:space="preserve"> 67.42亿</t>
  </si>
  <si>
    <t xml:space="preserve"> 江苏有线</t>
  </si>
  <si>
    <t xml:space="preserve"> 54.0亿</t>
  </si>
  <si>
    <t xml:space="preserve"> -2.34万</t>
  </si>
  <si>
    <t xml:space="preserve"> 50.01亿</t>
  </si>
  <si>
    <t xml:space="preserve"> 167.0亿</t>
  </si>
  <si>
    <t xml:space="preserve"> 恒勃股份</t>
  </si>
  <si>
    <t xml:space="preserve"> 38.46亿</t>
  </si>
  <si>
    <t xml:space="preserve"> 2364万</t>
  </si>
  <si>
    <t xml:space="preserve"> 8.794亿</t>
  </si>
  <si>
    <t xml:space="preserve"> 杭州银行</t>
  </si>
  <si>
    <t xml:space="preserve"> 274亿</t>
  </si>
  <si>
    <t xml:space="preserve"> -3.35万</t>
  </si>
  <si>
    <t xml:space="preserve"> 8.46万</t>
  </si>
  <si>
    <t xml:space="preserve"> 59.30亿</t>
  </si>
  <si>
    <t xml:space="preserve"> 591.2亿</t>
  </si>
  <si>
    <t xml:space="preserve"> 53.63亿</t>
  </si>
  <si>
    <t xml:space="preserve"> 534.7亿</t>
  </si>
  <si>
    <t xml:space="preserve"> 广信材料</t>
  </si>
  <si>
    <t xml:space="preserve"> 7.43万</t>
  </si>
  <si>
    <t xml:space="preserve"> 2.001亿</t>
  </si>
  <si>
    <t xml:space="preserve"> 39.72亿</t>
  </si>
  <si>
    <t xml:space="preserve"> 1.369亿</t>
  </si>
  <si>
    <t xml:space="preserve"> 27.17亿</t>
  </si>
  <si>
    <t xml:space="preserve"> 中科江南</t>
  </si>
  <si>
    <t xml:space="preserve"> 7.81亿</t>
  </si>
  <si>
    <t xml:space="preserve"> 1.944亿</t>
  </si>
  <si>
    <t xml:space="preserve"> 1.144亿</t>
  </si>
  <si>
    <t xml:space="preserve"> 77.66亿</t>
  </si>
  <si>
    <t xml:space="preserve"> 海陆重工</t>
  </si>
  <si>
    <t xml:space="preserve"> 8.423亿</t>
  </si>
  <si>
    <t xml:space="preserve"> 44.98亿</t>
  </si>
  <si>
    <t xml:space="preserve"> 6.494亿</t>
  </si>
  <si>
    <t xml:space="preserve"> 正海生物</t>
  </si>
  <si>
    <t xml:space="preserve"> 1.800亿</t>
  </si>
  <si>
    <t xml:space="preserve"> 56.27亿</t>
  </si>
  <si>
    <t xml:space="preserve"> 中孚信息</t>
  </si>
  <si>
    <t xml:space="preserve"> 1.45亿</t>
  </si>
  <si>
    <t xml:space="preserve"> 2.255亿</t>
  </si>
  <si>
    <t xml:space="preserve"> 1.535亿</t>
  </si>
  <si>
    <t xml:space="preserve"> 联化科技</t>
  </si>
  <si>
    <t xml:space="preserve"> 50.2亿</t>
  </si>
  <si>
    <t xml:space="preserve"> 9.232亿</t>
  </si>
  <si>
    <t xml:space="preserve"> 70.07亿</t>
  </si>
  <si>
    <t xml:space="preserve"> 9.193亿</t>
  </si>
  <si>
    <t xml:space="preserve"> 69.78亿</t>
  </si>
  <si>
    <t xml:space="preserve"> 高盟新材</t>
  </si>
  <si>
    <t xml:space="preserve"> 7.75亿</t>
  </si>
  <si>
    <t xml:space="preserve"> 4.310亿</t>
  </si>
  <si>
    <t xml:space="preserve"> 4.223亿</t>
  </si>
  <si>
    <t xml:space="preserve"> 38.81亿</t>
  </si>
  <si>
    <t xml:space="preserve"> 中钢国际</t>
  </si>
  <si>
    <t xml:space="preserve"> 172亿</t>
  </si>
  <si>
    <t xml:space="preserve"> 87.80亿</t>
  </si>
  <si>
    <t xml:space="preserve"> 宝新能源</t>
  </si>
  <si>
    <t xml:space="preserve"> 77.0亿</t>
  </si>
  <si>
    <t xml:space="preserve"> -1.71万</t>
  </si>
  <si>
    <t xml:space="preserve"> 21.76亿</t>
  </si>
  <si>
    <t xml:space="preserve"> 101.8亿</t>
  </si>
  <si>
    <t xml:space="preserve"> 南方精工</t>
  </si>
  <si>
    <t xml:space="preserve"> 3.480亿</t>
  </si>
  <si>
    <t xml:space="preserve"> 44.40亿</t>
  </si>
  <si>
    <t xml:space="preserve"> 2.377亿</t>
  </si>
  <si>
    <t xml:space="preserve"> 30.34亿</t>
  </si>
  <si>
    <t xml:space="preserve"> 方直科技</t>
  </si>
  <si>
    <t xml:space="preserve"> 1.44亿</t>
  </si>
  <si>
    <t xml:space="preserve"> 6867万</t>
  </si>
  <si>
    <t xml:space="preserve"> 8.11万</t>
  </si>
  <si>
    <t xml:space="preserve"> 29.66亿</t>
  </si>
  <si>
    <t xml:space="preserve"> 2.031亿</t>
  </si>
  <si>
    <t xml:space="preserve"> 23.93亿</t>
  </si>
  <si>
    <t xml:space="preserve"> 保力新</t>
  </si>
  <si>
    <t xml:space="preserve"> 94.9万</t>
  </si>
  <si>
    <t xml:space="preserve"> -8.92万</t>
  </si>
  <si>
    <t xml:space="preserve"> 52.2万</t>
  </si>
  <si>
    <t xml:space="preserve"> 44.26亿</t>
  </si>
  <si>
    <t xml:space="preserve"> 41.04亿</t>
  </si>
  <si>
    <t xml:space="preserve"> 佳禾食品</t>
  </si>
  <si>
    <t xml:space="preserve"> 5758万</t>
  </si>
  <si>
    <t xml:space="preserve"> 9.880亿</t>
  </si>
  <si>
    <t xml:space="preserve"> 华懋科技</t>
  </si>
  <si>
    <t xml:space="preserve"> 3.261亿</t>
  </si>
  <si>
    <t xml:space="preserve"> 威贸电子</t>
  </si>
  <si>
    <t xml:space="preserve"> 8068万</t>
  </si>
  <si>
    <t xml:space="preserve"> 9.601亿</t>
  </si>
  <si>
    <t xml:space="preserve"> 3.377亿</t>
  </si>
  <si>
    <t xml:space="preserve"> 中通客车</t>
  </si>
  <si>
    <t xml:space="preserve"> 7.24万</t>
  </si>
  <si>
    <t xml:space="preserve"> 5.929亿</t>
  </si>
  <si>
    <t xml:space="preserve"> 59.82亿</t>
  </si>
  <si>
    <t xml:space="preserve"> 好当家</t>
  </si>
  <si>
    <t xml:space="preserve"> -3.46万</t>
  </si>
  <si>
    <t xml:space="preserve"> 14.61亿</t>
  </si>
  <si>
    <t xml:space="preserve"> 36.82亿</t>
  </si>
  <si>
    <t xml:space="preserve"> 浙能电力</t>
  </si>
  <si>
    <t xml:space="preserve"> 1.43亿</t>
  </si>
  <si>
    <t xml:space="preserve"> 134.1亿</t>
  </si>
  <si>
    <t xml:space="preserve"> 622.2亿</t>
  </si>
  <si>
    <t xml:space="preserve"> 博瑞传播</t>
  </si>
  <si>
    <t xml:space="preserve"> 61.12亿</t>
  </si>
  <si>
    <t xml:space="preserve"> 61.10亿</t>
  </si>
  <si>
    <t xml:space="preserve"> 晶晨股份</t>
  </si>
  <si>
    <t xml:space="preserve"> 38.6亿</t>
  </si>
  <si>
    <t xml:space="preserve"> 4.164亿</t>
  </si>
  <si>
    <t xml:space="preserve"> 256.2亿</t>
  </si>
  <si>
    <t xml:space="preserve"> 美畅股份</t>
  </si>
  <si>
    <t xml:space="preserve"> 4.800亿</t>
  </si>
  <si>
    <t xml:space="preserve"> 163.5亿</t>
  </si>
  <si>
    <t xml:space="preserve"> 2.794亿</t>
  </si>
  <si>
    <t xml:space="preserve"> 95.20亿</t>
  </si>
  <si>
    <t xml:space="preserve"> 和辉光电-U</t>
  </si>
  <si>
    <t xml:space="preserve"> 54.2万</t>
  </si>
  <si>
    <t xml:space="preserve"> 138.6亿</t>
  </si>
  <si>
    <t xml:space="preserve"> 364.4亿</t>
  </si>
  <si>
    <t xml:space="preserve"> 57.52亿</t>
  </si>
  <si>
    <t xml:space="preserve"> 151.3亿</t>
  </si>
  <si>
    <t xml:space="preserve"> 湘电股份</t>
  </si>
  <si>
    <t xml:space="preserve"> 5.66万</t>
  </si>
  <si>
    <t xml:space="preserve"> 13.25亿</t>
  </si>
  <si>
    <t xml:space="preserve"> 194.4亿</t>
  </si>
  <si>
    <t xml:space="preserve"> 163.8亿</t>
  </si>
  <si>
    <t xml:space="preserve"> 任子行</t>
  </si>
  <si>
    <t xml:space="preserve"> 6.736亿</t>
  </si>
  <si>
    <t xml:space="preserve"> 45.13亿</t>
  </si>
  <si>
    <t xml:space="preserve"> 5.374亿</t>
  </si>
  <si>
    <t xml:space="preserve"> 36.01亿</t>
  </si>
  <si>
    <t xml:space="preserve"> 青云科技-U</t>
  </si>
  <si>
    <t xml:space="preserve"> 4779万</t>
  </si>
  <si>
    <t xml:space="preserve"> 26.71亿</t>
  </si>
  <si>
    <t xml:space="preserve"> 3593万</t>
  </si>
  <si>
    <t xml:space="preserve"> 20.09亿</t>
  </si>
  <si>
    <t xml:space="preserve"> 科美诊断</t>
  </si>
  <si>
    <t xml:space="preserve"> 2.750亿</t>
  </si>
  <si>
    <t xml:space="preserve"> 32.64亿</t>
  </si>
  <si>
    <t xml:space="preserve"> 昂立教育</t>
  </si>
  <si>
    <t xml:space="preserve"> 2.865亿</t>
  </si>
  <si>
    <t xml:space="preserve"> 29.54亿</t>
  </si>
  <si>
    <t xml:space="preserve"> 龙佰集团</t>
  </si>
  <si>
    <t xml:space="preserve"> 203亿</t>
  </si>
  <si>
    <t xml:space="preserve"> 23.86亿</t>
  </si>
  <si>
    <t xml:space="preserve"> 409.5亿</t>
  </si>
  <si>
    <t xml:space="preserve"> 255.1亿</t>
  </si>
  <si>
    <t xml:space="preserve"> 新纶新材</t>
  </si>
  <si>
    <t xml:space="preserve"> -1.32万</t>
  </si>
  <si>
    <t xml:space="preserve"> 46.66亿</t>
  </si>
  <si>
    <t xml:space="preserve"> 46.61亿</t>
  </si>
  <si>
    <t xml:space="preserve"> 百通能源</t>
  </si>
  <si>
    <t xml:space="preserve"> 7.84亿</t>
  </si>
  <si>
    <t xml:space="preserve"> 4.609亿</t>
  </si>
  <si>
    <t xml:space="preserve"> 10.76亿</t>
  </si>
  <si>
    <t xml:space="preserve"> 贝达药业</t>
  </si>
  <si>
    <t xml:space="preserve"> 20.4亿</t>
  </si>
  <si>
    <t xml:space="preserve"> 4.185亿</t>
  </si>
  <si>
    <t xml:space="preserve"> 236.0亿</t>
  </si>
  <si>
    <t xml:space="preserve"> 4.174亿</t>
  </si>
  <si>
    <t xml:space="preserve"> 235.4亿</t>
  </si>
  <si>
    <t xml:space="preserve"> 聚光科技</t>
  </si>
  <si>
    <t xml:space="preserve"> 4.525亿</t>
  </si>
  <si>
    <t xml:space="preserve"> 85.80亿</t>
  </si>
  <si>
    <t xml:space="preserve"> 4.523亿</t>
  </si>
  <si>
    <t xml:space="preserve"> 85.75亿</t>
  </si>
  <si>
    <t xml:space="preserve"> 易联众</t>
  </si>
  <si>
    <t xml:space="preserve"> 4.300亿</t>
  </si>
  <si>
    <t xml:space="preserve"> 29.97亿</t>
  </si>
  <si>
    <t xml:space="preserve"> 3.765亿</t>
  </si>
  <si>
    <t xml:space="preserve"> 26.24亿</t>
  </si>
  <si>
    <t xml:space="preserve"> 永和智控</t>
  </si>
  <si>
    <t xml:space="preserve"> 4.458亿</t>
  </si>
  <si>
    <t xml:space="preserve"> 36.85亿</t>
  </si>
  <si>
    <t xml:space="preserve"> 中交地产</t>
  </si>
  <si>
    <t xml:space="preserve"> 116亿</t>
  </si>
  <si>
    <t xml:space="preserve"> 6.89万</t>
  </si>
  <si>
    <t xml:space="preserve"> 6.954亿</t>
  </si>
  <si>
    <t xml:space="preserve"> 75.11亿</t>
  </si>
  <si>
    <t xml:space="preserve"> 贵州百灵</t>
  </si>
  <si>
    <t xml:space="preserve"> 14.11亿</t>
  </si>
  <si>
    <t xml:space="preserve"> 116.6亿</t>
  </si>
  <si>
    <t xml:space="preserve"> 11.98亿</t>
  </si>
  <si>
    <t xml:space="preserve"> 98.93亿</t>
  </si>
  <si>
    <t xml:space="preserve"> 江苏金租</t>
  </si>
  <si>
    <t xml:space="preserve"> 36.4亿</t>
  </si>
  <si>
    <t xml:space="preserve"> -1.36万</t>
  </si>
  <si>
    <t xml:space="preserve"> 42.45亿</t>
  </si>
  <si>
    <t xml:space="preserve"> 42.32亿</t>
  </si>
  <si>
    <t xml:space="preserve"> 211.2亿</t>
  </si>
  <si>
    <t xml:space="preserve"> 韵达股份</t>
  </si>
  <si>
    <t xml:space="preserve"> 28.99亿</t>
  </si>
  <si>
    <t xml:space="preserve"> 249.3亿</t>
  </si>
  <si>
    <t xml:space="preserve"> 28.15亿</t>
  </si>
  <si>
    <t xml:space="preserve"> 242.1亿</t>
  </si>
  <si>
    <t xml:space="preserve"> 联瑞新材</t>
  </si>
  <si>
    <t xml:space="preserve"> 5.11亿</t>
  </si>
  <si>
    <t xml:space="preserve"> 1.857亿</t>
  </si>
  <si>
    <t xml:space="preserve"> 106.4亿</t>
  </si>
  <si>
    <t xml:space="preserve"> 财信发展</t>
  </si>
  <si>
    <t xml:space="preserve"> 11.00亿</t>
  </si>
  <si>
    <t xml:space="preserve"> 42.37亿</t>
  </si>
  <si>
    <t xml:space="preserve"> 40.57亿</t>
  </si>
  <si>
    <t xml:space="preserve"> 金太阳</t>
  </si>
  <si>
    <t xml:space="preserve"> 1.401亿</t>
  </si>
  <si>
    <t xml:space="preserve"> 49.78亿</t>
  </si>
  <si>
    <t xml:space="preserve"> 1.176亿</t>
  </si>
  <si>
    <t xml:space="preserve"> 41.78亿</t>
  </si>
  <si>
    <t xml:space="preserve"> 汤臣倍健</t>
  </si>
  <si>
    <t xml:space="preserve"> 310.0亿</t>
  </si>
  <si>
    <t xml:space="preserve"> 11.30亿</t>
  </si>
  <si>
    <t xml:space="preserve"> 206.0亿</t>
  </si>
  <si>
    <t xml:space="preserve"> 安泰科技</t>
  </si>
  <si>
    <t xml:space="preserve"> 1.40亿</t>
  </si>
  <si>
    <t xml:space="preserve"> 10.51亿</t>
  </si>
  <si>
    <t xml:space="preserve"> 100.9亿</t>
  </si>
  <si>
    <t xml:space="preserve"> 98.47亿</t>
  </si>
  <si>
    <t xml:space="preserve"> 老百姓</t>
  </si>
  <si>
    <t xml:space="preserve"> 177.6亿</t>
  </si>
  <si>
    <t xml:space="preserve"> 5.823亿</t>
  </si>
  <si>
    <t xml:space="preserve"> 176.7亿</t>
  </si>
  <si>
    <t xml:space="preserve"> 美年健康</t>
  </si>
  <si>
    <t xml:space="preserve"> 72.2亿</t>
  </si>
  <si>
    <t xml:space="preserve"> 241.9亿</t>
  </si>
  <si>
    <t xml:space="preserve"> 38.72亿</t>
  </si>
  <si>
    <t xml:space="preserve"> 239.3亿</t>
  </si>
  <si>
    <t xml:space="preserve"> 安琪酵母</t>
  </si>
  <si>
    <t xml:space="preserve"> 8.688亿</t>
  </si>
  <si>
    <t xml:space="preserve"> 315.8亿</t>
  </si>
  <si>
    <t xml:space="preserve"> 8.634亿</t>
  </si>
  <si>
    <t xml:space="preserve"> 313.8亿</t>
  </si>
  <si>
    <t xml:space="preserve"> 阿为特</t>
  </si>
  <si>
    <t xml:space="preserve"> 3.02万</t>
  </si>
  <si>
    <t xml:space="preserve"> 7270万</t>
  </si>
  <si>
    <t xml:space="preserve"> 32.77亿</t>
  </si>
  <si>
    <t xml:space="preserve"> 2030万</t>
  </si>
  <si>
    <t xml:space="preserve"> 中联重科</t>
  </si>
  <si>
    <t xml:space="preserve"> 86.78亿</t>
  </si>
  <si>
    <t xml:space="preserve"> 555.4亿</t>
  </si>
  <si>
    <t xml:space="preserve"> 70.66亿</t>
  </si>
  <si>
    <t xml:space="preserve"> 452.2亿</t>
  </si>
  <si>
    <t xml:space="preserve"> 金新农</t>
  </si>
  <si>
    <t xml:space="preserve"> 31.8亿</t>
  </si>
  <si>
    <t xml:space="preserve"> 8.045亿</t>
  </si>
  <si>
    <t xml:space="preserve"> 6.670亿</t>
  </si>
  <si>
    <t xml:space="preserve"> 46.89亿</t>
  </si>
  <si>
    <t xml:space="preserve"> 达安基因</t>
  </si>
  <si>
    <t xml:space="preserve"> 14.03亿</t>
  </si>
  <si>
    <t xml:space="preserve"> 146.9亿</t>
  </si>
  <si>
    <t xml:space="preserve"> 红蜻蜓</t>
  </si>
  <si>
    <t xml:space="preserve"> 9.45万</t>
  </si>
  <si>
    <t xml:space="preserve"> 5.762亿</t>
  </si>
  <si>
    <t xml:space="preserve"> 38.55亿</t>
  </si>
  <si>
    <t xml:space="preserve"> 南京银行</t>
  </si>
  <si>
    <t xml:space="preserve"> 357亿</t>
  </si>
  <si>
    <t xml:space="preserve"> 753.0亿</t>
  </si>
  <si>
    <t xml:space="preserve"> 92.13亿</t>
  </si>
  <si>
    <t xml:space="preserve"> 670.7亿</t>
  </si>
  <si>
    <t xml:space="preserve"> 鹏鼎控股</t>
  </si>
  <si>
    <t xml:space="preserve"> 205亿</t>
  </si>
  <si>
    <t xml:space="preserve"> 499.8亿</t>
  </si>
  <si>
    <t xml:space="preserve"> 22.78亿</t>
  </si>
  <si>
    <t xml:space="preserve"> 490.7亿</t>
  </si>
  <si>
    <t xml:space="preserve"> 郑煤机</t>
  </si>
  <si>
    <t xml:space="preserve"> 17.81亿</t>
  </si>
  <si>
    <t xml:space="preserve"> 213.8亿</t>
  </si>
  <si>
    <t xml:space="preserve"> 15.26亿</t>
  </si>
  <si>
    <t xml:space="preserve"> 183.3亿</t>
  </si>
  <si>
    <t xml:space="preserve"> 立昂微</t>
  </si>
  <si>
    <t xml:space="preserve"> 2.75万</t>
  </si>
  <si>
    <t xml:space="preserve"> 6.769亿</t>
  </si>
  <si>
    <t xml:space="preserve"> 218.5亿</t>
  </si>
  <si>
    <t xml:space="preserve"> 日辰股份</t>
  </si>
  <si>
    <t xml:space="preserve"> 9861万</t>
  </si>
  <si>
    <t xml:space="preserve"> 27.80亿</t>
  </si>
  <si>
    <t xml:space="preserve"> 金奥博</t>
  </si>
  <si>
    <t xml:space="preserve"> 3.476亿</t>
  </si>
  <si>
    <t xml:space="preserve"> 35.28亿</t>
  </si>
  <si>
    <t xml:space="preserve"> 26.58亿</t>
  </si>
  <si>
    <t xml:space="preserve"> 唐山港</t>
  </si>
  <si>
    <t xml:space="preserve"> -1.62万</t>
  </si>
  <si>
    <t xml:space="preserve"> 59.26亿</t>
  </si>
  <si>
    <t xml:space="preserve"> 合盛硅业</t>
  </si>
  <si>
    <t xml:space="preserve"> 2.83万</t>
  </si>
  <si>
    <t xml:space="preserve"> 1.39亿</t>
  </si>
  <si>
    <t xml:space="preserve"> 199亿</t>
  </si>
  <si>
    <t xml:space="preserve"> 588.4亿</t>
  </si>
  <si>
    <t xml:space="preserve"> 534.6亿</t>
  </si>
  <si>
    <t xml:space="preserve"> 福能股份</t>
  </si>
  <si>
    <t xml:space="preserve"> 6.24万</t>
  </si>
  <si>
    <t xml:space="preserve"> 25.41亿</t>
  </si>
  <si>
    <t xml:space="preserve"> 219.8亿</t>
  </si>
  <si>
    <t xml:space="preserve"> 多浦乐</t>
  </si>
  <si>
    <t xml:space="preserve"> 1.29亿</t>
  </si>
  <si>
    <t xml:space="preserve"> 6190万</t>
  </si>
  <si>
    <t xml:space="preserve"> 49.49亿</t>
  </si>
  <si>
    <t xml:space="preserve"> 1412万</t>
  </si>
  <si>
    <t xml:space="preserve"> 南京证券</t>
  </si>
  <si>
    <t xml:space="preserve"> 36.86亿</t>
  </si>
  <si>
    <t xml:space="preserve"> 300.8亿</t>
  </si>
  <si>
    <t xml:space="preserve"> 36.60亿</t>
  </si>
  <si>
    <t xml:space="preserve"> 298.6亿</t>
  </si>
  <si>
    <t xml:space="preserve"> 海伦哲</t>
  </si>
  <si>
    <t xml:space="preserve"> 52.67亿</t>
  </si>
  <si>
    <t xml:space="preserve"> 52.46亿</t>
  </si>
  <si>
    <t xml:space="preserve"> 上海医药</t>
  </si>
  <si>
    <t xml:space="preserve"> 1975亿</t>
  </si>
  <si>
    <t xml:space="preserve"> 37.03亿</t>
  </si>
  <si>
    <t xml:space="preserve"> 664.4亿</t>
  </si>
  <si>
    <t xml:space="preserve"> 19.32亿</t>
  </si>
  <si>
    <t xml:space="preserve"> 346.5亿</t>
  </si>
  <si>
    <t xml:space="preserve"> 创业慧康</t>
  </si>
  <si>
    <t xml:space="preserve"> 坚朗五金</t>
  </si>
  <si>
    <t xml:space="preserve"> 55.5亿</t>
  </si>
  <si>
    <t xml:space="preserve"> 3.215亿</t>
  </si>
  <si>
    <t xml:space="preserve"> 142.0亿</t>
  </si>
  <si>
    <t xml:space="preserve"> 1.641亿</t>
  </si>
  <si>
    <t xml:space="preserve"> 72.47亿</t>
  </si>
  <si>
    <t xml:space="preserve"> 晶瑞电材</t>
  </si>
  <si>
    <t xml:space="preserve"> 9.978亿</t>
  </si>
  <si>
    <t xml:space="preserve"> 103.6亿</t>
  </si>
  <si>
    <t xml:space="preserve"> 9.439亿</t>
  </si>
  <si>
    <t xml:space="preserve"> 长远锂科</t>
  </si>
  <si>
    <t xml:space="preserve"> 19.29亿</t>
  </si>
  <si>
    <t xml:space="preserve"> 144.3亿</t>
  </si>
  <si>
    <t xml:space="preserve"> 10.43亿</t>
  </si>
  <si>
    <t xml:space="preserve"> 77.98亿</t>
  </si>
  <si>
    <t xml:space="preserve"> 世名科技</t>
  </si>
  <si>
    <t xml:space="preserve"> 9.80万</t>
  </si>
  <si>
    <t xml:space="preserve"> 5.22亿</t>
  </si>
  <si>
    <t xml:space="preserve"> 3.225亿</t>
  </si>
  <si>
    <t xml:space="preserve"> 45.69亿</t>
  </si>
  <si>
    <t xml:space="preserve"> 2.185亿</t>
  </si>
  <si>
    <t xml:space="preserve"> 30.96亿</t>
  </si>
  <si>
    <t xml:space="preserve"> 富瑞特装</t>
  </si>
  <si>
    <t xml:space="preserve"> 5.754亿</t>
  </si>
  <si>
    <t xml:space="preserve"> 43.73亿</t>
  </si>
  <si>
    <t xml:space="preserve"> 5.429亿</t>
  </si>
  <si>
    <t xml:space="preserve"> 41.26亿</t>
  </si>
  <si>
    <t xml:space="preserve"> 弘元绿能</t>
  </si>
  <si>
    <t xml:space="preserve"> 95.8亿</t>
  </si>
  <si>
    <t xml:space="preserve"> 2.07万</t>
  </si>
  <si>
    <t xml:space="preserve"> 5.778亿</t>
  </si>
  <si>
    <t xml:space="preserve"> 5.717亿</t>
  </si>
  <si>
    <t xml:space="preserve"> 186.6亿</t>
  </si>
  <si>
    <t xml:space="preserve"> 赛意信息</t>
  </si>
  <si>
    <t xml:space="preserve"> 16.8亿</t>
  </si>
  <si>
    <t xml:space="preserve"> 4.053亿</t>
  </si>
  <si>
    <t xml:space="preserve"> 96.99亿</t>
  </si>
  <si>
    <t xml:space="preserve"> 3.178亿</t>
  </si>
  <si>
    <t xml:space="preserve"> 76.04亿</t>
  </si>
  <si>
    <t xml:space="preserve"> 航天发展</t>
  </si>
  <si>
    <t xml:space="preserve"> 1.38亿</t>
  </si>
  <si>
    <t xml:space="preserve"> 7.47万</t>
  </si>
  <si>
    <t xml:space="preserve"> 15.98亿</t>
  </si>
  <si>
    <t xml:space="preserve"> 143.4亿</t>
  </si>
  <si>
    <t xml:space="preserve"> 皓元医药</t>
  </si>
  <si>
    <t xml:space="preserve"> 86.10亿</t>
  </si>
  <si>
    <t xml:space="preserve"> 8631万</t>
  </si>
  <si>
    <t xml:space="preserve"> 49.41亿</t>
  </si>
  <si>
    <t xml:space="preserve"> 科华数据</t>
  </si>
  <si>
    <t xml:space="preserve"> 4.616亿</t>
  </si>
  <si>
    <t xml:space="preserve"> 130.5亿</t>
  </si>
  <si>
    <t xml:space="preserve"> 113.3亿</t>
  </si>
  <si>
    <t xml:space="preserve"> 兆威机电</t>
  </si>
  <si>
    <t xml:space="preserve"> 8.13亿</t>
  </si>
  <si>
    <t xml:space="preserve"> 1.710亿</t>
  </si>
  <si>
    <t xml:space="preserve"> 6027万</t>
  </si>
  <si>
    <t xml:space="preserve"> 海正药业</t>
  </si>
  <si>
    <t xml:space="preserve"> 87.0亿</t>
  </si>
  <si>
    <t xml:space="preserve"> 12.08亿</t>
  </si>
  <si>
    <t xml:space="preserve"> 115.9亿</t>
  </si>
  <si>
    <t xml:space="preserve"> 波导股份</t>
  </si>
  <si>
    <t xml:space="preserve"> 7.680亿</t>
  </si>
  <si>
    <t xml:space="preserve"> 40.17亿</t>
  </si>
  <si>
    <t xml:space="preserve"> 普联软件</t>
  </si>
  <si>
    <t xml:space="preserve"> 5.14万</t>
  </si>
  <si>
    <t xml:space="preserve"> 2.025亿</t>
  </si>
  <si>
    <t xml:space="preserve"> 55.41亿</t>
  </si>
  <si>
    <t xml:space="preserve"> 1.229亿</t>
  </si>
  <si>
    <t xml:space="preserve"> 33.64亿</t>
  </si>
  <si>
    <t xml:space="preserve"> 诺 普 信</t>
  </si>
  <si>
    <t xml:space="preserve"> 30.6亿</t>
  </si>
  <si>
    <t xml:space="preserve"> 9.950亿</t>
  </si>
  <si>
    <t xml:space="preserve"> 90.25亿</t>
  </si>
  <si>
    <t xml:space="preserve"> 7.940亿</t>
  </si>
  <si>
    <t xml:space="preserve"> 72.02亿</t>
  </si>
  <si>
    <t xml:space="preserve"> 安克创新</t>
  </si>
  <si>
    <t xml:space="preserve"> 118亿</t>
  </si>
  <si>
    <t xml:space="preserve"> 4.064亿</t>
  </si>
  <si>
    <t xml:space="preserve"> 350.0亿</t>
  </si>
  <si>
    <t xml:space="preserve"> 2.230亿</t>
  </si>
  <si>
    <t xml:space="preserve"> 192.0亿</t>
  </si>
  <si>
    <t xml:space="preserve"> 隆盛科技</t>
  </si>
  <si>
    <t xml:space="preserve"> 6.95万</t>
  </si>
  <si>
    <t xml:space="preserve"> 2.310亿</t>
  </si>
  <si>
    <t xml:space="preserve"> 45.47亿</t>
  </si>
  <si>
    <t xml:space="preserve"> 34.05亿</t>
  </si>
  <si>
    <t xml:space="preserve"> 溯联股份</t>
  </si>
  <si>
    <t xml:space="preserve"> 2372万</t>
  </si>
  <si>
    <t xml:space="preserve"> 天奥电子</t>
  </si>
  <si>
    <t xml:space="preserve"> 3.574亿</t>
  </si>
  <si>
    <t xml:space="preserve"> 3.434亿</t>
  </si>
  <si>
    <t xml:space="preserve"> 67.48亿</t>
  </si>
  <si>
    <t xml:space="preserve"> 联创光电</t>
  </si>
  <si>
    <t xml:space="preserve"> 24.7亿</t>
  </si>
  <si>
    <t xml:space="preserve"> 4.552亿</t>
  </si>
  <si>
    <t xml:space="preserve"> 156.6亿</t>
  </si>
  <si>
    <t xml:space="preserve"> 4.506亿</t>
  </si>
  <si>
    <t xml:space="preserve"> 格灵深瞳</t>
  </si>
  <si>
    <t xml:space="preserve"> 2.590亿</t>
  </si>
  <si>
    <t xml:space="preserve"> 53.45亿</t>
  </si>
  <si>
    <t xml:space="preserve"> 1.786亿</t>
  </si>
  <si>
    <t xml:space="preserve"> 36.87亿</t>
  </si>
  <si>
    <t xml:space="preserve"> 德尔股份</t>
  </si>
  <si>
    <t xml:space="preserve"> 6.79万</t>
  </si>
  <si>
    <t xml:space="preserve"> 30.32亿</t>
  </si>
  <si>
    <t xml:space="preserve"> 30.14亿</t>
  </si>
  <si>
    <t xml:space="preserve"> 宝明科技</t>
  </si>
  <si>
    <t xml:space="preserve"> 1.36亿</t>
  </si>
  <si>
    <t xml:space="preserve"> 1.843亿</t>
  </si>
  <si>
    <t xml:space="preserve"> 156.5亿</t>
  </si>
  <si>
    <t xml:space="preserve"> 7837万</t>
  </si>
  <si>
    <t xml:space="preserve"> 66.55亿</t>
  </si>
  <si>
    <t xml:space="preserve"> 航天科技</t>
  </si>
  <si>
    <t xml:space="preserve"> 47.2亿</t>
  </si>
  <si>
    <t xml:space="preserve"> 7.982亿</t>
  </si>
  <si>
    <t xml:space="preserve"> 81.42亿</t>
  </si>
  <si>
    <t xml:space="preserve"> 深信服</t>
  </si>
  <si>
    <t xml:space="preserve"> 48.1亿</t>
  </si>
  <si>
    <t xml:space="preserve"> 4.169亿</t>
  </si>
  <si>
    <t xml:space="preserve"> 359.4亿</t>
  </si>
  <si>
    <t xml:space="preserve"> 2.731亿</t>
  </si>
  <si>
    <t xml:space="preserve"> 光力科技</t>
  </si>
  <si>
    <t xml:space="preserve"> 3.521亿</t>
  </si>
  <si>
    <t xml:space="preserve"> 81.83亿</t>
  </si>
  <si>
    <t xml:space="preserve"> 2.345亿</t>
  </si>
  <si>
    <t xml:space="preserve"> 54.49亿</t>
  </si>
  <si>
    <t xml:space="preserve"> 长江证券</t>
  </si>
  <si>
    <t xml:space="preserve"> 51.5亿</t>
  </si>
  <si>
    <t xml:space="preserve"> 9.83万</t>
  </si>
  <si>
    <t xml:space="preserve"> 55.30亿</t>
  </si>
  <si>
    <t xml:space="preserve"> 311.3亿</t>
  </si>
  <si>
    <t xml:space="preserve"> 香溢融通</t>
  </si>
  <si>
    <t xml:space="preserve"> 8.51万</t>
  </si>
  <si>
    <t xml:space="preserve"> 4.543亿</t>
  </si>
  <si>
    <t xml:space="preserve"> 31.89亿</t>
  </si>
  <si>
    <t xml:space="preserve"> 建设工业</t>
  </si>
  <si>
    <t xml:space="preserve"> 10.33亿</t>
  </si>
  <si>
    <t xml:space="preserve"> 122.7亿</t>
  </si>
  <si>
    <t xml:space="preserve"> 4.031亿</t>
  </si>
  <si>
    <t xml:space="preserve"> 47.89亿</t>
  </si>
  <si>
    <t xml:space="preserve"> 云南铜业</t>
  </si>
  <si>
    <t xml:space="preserve"> 214.6亿</t>
  </si>
  <si>
    <t xml:space="preserve"> 浙版传媒</t>
  </si>
  <si>
    <t xml:space="preserve"> 1.35亿</t>
  </si>
  <si>
    <t xml:space="preserve"> 6.28万</t>
  </si>
  <si>
    <t xml:space="preserve"> 22.22亿</t>
  </si>
  <si>
    <t xml:space="preserve"> 182.0亿</t>
  </si>
  <si>
    <t xml:space="preserve"> 4.222亿</t>
  </si>
  <si>
    <t xml:space="preserve"> 居然之家</t>
  </si>
  <si>
    <t xml:space="preserve"> 97.4亿</t>
  </si>
  <si>
    <t xml:space="preserve"> 62.87亿</t>
  </si>
  <si>
    <t xml:space="preserve"> 230.1亿</t>
  </si>
  <si>
    <t xml:space="preserve"> 59.65亿</t>
  </si>
  <si>
    <t xml:space="preserve"> 东方中科</t>
  </si>
  <si>
    <t xml:space="preserve"> 21.5亿</t>
  </si>
  <si>
    <t xml:space="preserve"> 3.004亿</t>
  </si>
  <si>
    <t xml:space="preserve"> 晶科科技</t>
  </si>
  <si>
    <t xml:space="preserve"> 35.71亿</t>
  </si>
  <si>
    <t xml:space="preserve"> 中南建设</t>
  </si>
  <si>
    <t xml:space="preserve"> 319亿</t>
  </si>
  <si>
    <t xml:space="preserve"> 38.27亿</t>
  </si>
  <si>
    <t xml:space="preserve"> 58.16亿</t>
  </si>
  <si>
    <t xml:space="preserve"> 恒辉安防</t>
  </si>
  <si>
    <t xml:space="preserve"> 1.456亿</t>
  </si>
  <si>
    <t xml:space="preserve"> 35.91亿</t>
  </si>
  <si>
    <t xml:space="preserve"> 4485万</t>
  </si>
  <si>
    <t xml:space="preserve"> 11.07亿</t>
  </si>
  <si>
    <t xml:space="preserve"> 鸿合科技</t>
  </si>
  <si>
    <t xml:space="preserve"> 2.349亿</t>
  </si>
  <si>
    <t xml:space="preserve"> 1.866亿</t>
  </si>
  <si>
    <t xml:space="preserve"> 52.17亿</t>
  </si>
  <si>
    <t xml:space="preserve"> 上能电气</t>
  </si>
  <si>
    <t xml:space="preserve"> 1.34亿</t>
  </si>
  <si>
    <t xml:space="preserve"> 3.579亿</t>
  </si>
  <si>
    <t xml:space="preserve"> 70.99亿</t>
  </si>
  <si>
    <t xml:space="preserve"> 凤凰光学</t>
  </si>
  <si>
    <t xml:space="preserve"> 2.816亿</t>
  </si>
  <si>
    <t xml:space="preserve"> 62.28亿</t>
  </si>
  <si>
    <t xml:space="preserve"> 科达利</t>
  </si>
  <si>
    <t xml:space="preserve"> 77.7亿</t>
  </si>
  <si>
    <t xml:space="preserve"> 2.697亿</t>
  </si>
  <si>
    <t xml:space="preserve"> 236.7亿</t>
  </si>
  <si>
    <t xml:space="preserve"> 意华股份</t>
  </si>
  <si>
    <t xml:space="preserve"> 35.3亿</t>
  </si>
  <si>
    <t xml:space="preserve"> 1.707亿</t>
  </si>
  <si>
    <t xml:space="preserve"> 64.19亿</t>
  </si>
  <si>
    <t xml:space="preserve"> 1.632亿</t>
  </si>
  <si>
    <t xml:space="preserve"> 光云科技</t>
  </si>
  <si>
    <t xml:space="preserve"> 4.258亿</t>
  </si>
  <si>
    <t xml:space="preserve"> 永太科技</t>
  </si>
  <si>
    <t xml:space="preserve"> 109.6亿</t>
  </si>
  <si>
    <t xml:space="preserve"> 8.040亿</t>
  </si>
  <si>
    <t xml:space="preserve"> 96.40亿</t>
  </si>
  <si>
    <t xml:space="preserve"> 天山铝业</t>
  </si>
  <si>
    <t xml:space="preserve"> 38.39亿</t>
  </si>
  <si>
    <t xml:space="preserve"> 231.5亿</t>
  </si>
  <si>
    <t xml:space="preserve"> 国投资本</t>
  </si>
  <si>
    <t xml:space="preserve"> 6.29万</t>
  </si>
  <si>
    <t xml:space="preserve"> 64.25亿</t>
  </si>
  <si>
    <t xml:space="preserve"> 450.4亿</t>
  </si>
  <si>
    <t xml:space="preserve"> 海尔生物</t>
  </si>
  <si>
    <t xml:space="preserve"> 3.180亿</t>
  </si>
  <si>
    <t xml:space="preserve"> 德邦科技</t>
  </si>
  <si>
    <t xml:space="preserve"> 6.51亿</t>
  </si>
  <si>
    <t xml:space="preserve"> 1.422亿</t>
  </si>
  <si>
    <t xml:space="preserve"> 81.43亿</t>
  </si>
  <si>
    <t xml:space="preserve"> 8084万</t>
  </si>
  <si>
    <t xml:space="preserve"> 46.28亿</t>
  </si>
  <si>
    <t xml:space="preserve"> 金种子酒</t>
  </si>
  <si>
    <t xml:space="preserve"> 6.39万</t>
  </si>
  <si>
    <t xml:space="preserve"> 6.578亿</t>
  </si>
  <si>
    <t xml:space="preserve"> 好想你</t>
  </si>
  <si>
    <t xml:space="preserve"> 4.533亿</t>
  </si>
  <si>
    <t xml:space="preserve"> 3.398亿</t>
  </si>
  <si>
    <t xml:space="preserve"> 31.30亿</t>
  </si>
  <si>
    <t xml:space="preserve"> 兴瑞科技</t>
  </si>
  <si>
    <t xml:space="preserve"> 2.52万</t>
  </si>
  <si>
    <t xml:space="preserve"> 2.978亿</t>
  </si>
  <si>
    <t xml:space="preserve"> 74.83亿</t>
  </si>
  <si>
    <t xml:space="preserve"> 2.906亿</t>
  </si>
  <si>
    <t xml:space="preserve"> 73.02亿</t>
  </si>
  <si>
    <t xml:space="preserve"> 双林股份</t>
  </si>
  <si>
    <t xml:space="preserve"> 7.16万</t>
  </si>
  <si>
    <t xml:space="preserve"> 40.94亿</t>
  </si>
  <si>
    <t xml:space="preserve"> 3.871亿</t>
  </si>
  <si>
    <t xml:space="preserve"> 39.40亿</t>
  </si>
  <si>
    <t xml:space="preserve"> 高伟达</t>
  </si>
  <si>
    <t xml:space="preserve"> 4.468亿</t>
  </si>
  <si>
    <t xml:space="preserve"> 普天科技</t>
  </si>
  <si>
    <t xml:space="preserve"> 6.00万</t>
  </si>
  <si>
    <t xml:space="preserve"> 6.826亿</t>
  </si>
  <si>
    <t xml:space="preserve"> 6.682亿</t>
  </si>
  <si>
    <t xml:space="preserve"> 芯原股份</t>
  </si>
  <si>
    <t xml:space="preserve"> 4.997亿</t>
  </si>
  <si>
    <t xml:space="preserve"> 269.7亿</t>
  </si>
  <si>
    <t xml:space="preserve"> 4.875亿</t>
  </si>
  <si>
    <t xml:space="preserve"> 263.1亿</t>
  </si>
  <si>
    <t xml:space="preserve"> 天奇股份</t>
  </si>
  <si>
    <t xml:space="preserve"> 4.078亿</t>
  </si>
  <si>
    <t xml:space="preserve"> 57.74亿</t>
  </si>
  <si>
    <t xml:space="preserve"> 3.735亿</t>
  </si>
  <si>
    <t xml:space="preserve"> 52.88亿</t>
  </si>
  <si>
    <t xml:space="preserve"> 圆通速递</t>
  </si>
  <si>
    <t xml:space="preserve"> 1.33亿</t>
  </si>
  <si>
    <t xml:space="preserve"> 408亿</t>
  </si>
  <si>
    <t xml:space="preserve"> 447.5亿</t>
  </si>
  <si>
    <t xml:space="preserve"> 中润资源</t>
  </si>
  <si>
    <t xml:space="preserve"> -1.67万</t>
  </si>
  <si>
    <t xml:space="preserve"> 9.290亿</t>
  </si>
  <si>
    <t xml:space="preserve"> 9.287亿</t>
  </si>
  <si>
    <t xml:space="preserve"> 40.58亿</t>
  </si>
  <si>
    <t xml:space="preserve"> 路畅科技</t>
  </si>
  <si>
    <t xml:space="preserve"> 45.01亿</t>
  </si>
  <si>
    <t xml:space="preserve"> 1.181亿</t>
  </si>
  <si>
    <t xml:space="preserve"> 44.29亿</t>
  </si>
  <si>
    <t xml:space="preserve"> 龙高股份</t>
  </si>
  <si>
    <t xml:space="preserve"> 2.53万</t>
  </si>
  <si>
    <t xml:space="preserve"> 1.280亿</t>
  </si>
  <si>
    <t xml:space="preserve"> 35.76亿</t>
  </si>
  <si>
    <t xml:space="preserve"> 5115万</t>
  </si>
  <si>
    <t xml:space="preserve"> 贝特瑞</t>
  </si>
  <si>
    <t xml:space="preserve"> 257.7亿</t>
  </si>
  <si>
    <t xml:space="preserve"> 253.8亿</t>
  </si>
  <si>
    <t xml:space="preserve"> 美亚光电</t>
  </si>
  <si>
    <t xml:space="preserve"> 8.823亿</t>
  </si>
  <si>
    <t xml:space="preserve"> 4.318亿</t>
  </si>
  <si>
    <t xml:space="preserve"> 84.81亿</t>
  </si>
  <si>
    <t xml:space="preserve"> 国芯科技</t>
  </si>
  <si>
    <t xml:space="preserve"> 3.360亿</t>
  </si>
  <si>
    <t xml:space="preserve"> 2.639亿</t>
  </si>
  <si>
    <t xml:space="preserve"> 82.80亿</t>
  </si>
  <si>
    <t xml:space="preserve"> 恒铭达</t>
  </si>
  <si>
    <t xml:space="preserve"> 2.302亿</t>
  </si>
  <si>
    <t xml:space="preserve"> 75.57亿</t>
  </si>
  <si>
    <t xml:space="preserve"> 1.609亿</t>
  </si>
  <si>
    <t xml:space="preserve"> 52.82亿</t>
  </si>
  <si>
    <t xml:space="preserve"> 凯赛生物</t>
  </si>
  <si>
    <t xml:space="preserve"> 2.44万</t>
  </si>
  <si>
    <t xml:space="preserve"> 5.834亿</t>
  </si>
  <si>
    <t xml:space="preserve"> 4.036亿</t>
  </si>
  <si>
    <t xml:space="preserve"> 鼎信通讯</t>
  </si>
  <si>
    <t xml:space="preserve"> 65.55亿</t>
  </si>
  <si>
    <t xml:space="preserve"> 深科达</t>
  </si>
  <si>
    <t xml:space="preserve"> 8104万</t>
  </si>
  <si>
    <t xml:space="preserve"> 28.49亿</t>
  </si>
  <si>
    <t xml:space="preserve"> 4811万</t>
  </si>
  <si>
    <t xml:space="preserve"> 16.91亿</t>
  </si>
  <si>
    <t xml:space="preserve"> 齐心集团</t>
  </si>
  <si>
    <t xml:space="preserve"> 7.213亿</t>
  </si>
  <si>
    <t xml:space="preserve"> 52.51亿</t>
  </si>
  <si>
    <t xml:space="preserve"> 7.180亿</t>
  </si>
  <si>
    <t xml:space="preserve"> 52.27亿</t>
  </si>
  <si>
    <t xml:space="preserve"> 白云机场</t>
  </si>
  <si>
    <t xml:space="preserve"> 1.32亿</t>
  </si>
  <si>
    <t xml:space="preserve"> 46.1亿</t>
  </si>
  <si>
    <t xml:space="preserve"> 23.67亿</t>
  </si>
  <si>
    <t xml:space="preserve"> 256.1亿</t>
  </si>
  <si>
    <t xml:space="preserve"> 力量钻石</t>
  </si>
  <si>
    <t xml:space="preserve"> 90.84亿</t>
  </si>
  <si>
    <t xml:space="preserve"> 1.313亿</t>
  </si>
  <si>
    <t xml:space="preserve"> 45.83亿</t>
  </si>
  <si>
    <t xml:space="preserve"> 天融信</t>
  </si>
  <si>
    <t xml:space="preserve"> 11.68亿</t>
  </si>
  <si>
    <t xml:space="preserve"> 金固股份</t>
  </si>
  <si>
    <t xml:space="preserve"> 25.3亿</t>
  </si>
  <si>
    <t xml:space="preserve"> 9.997亿</t>
  </si>
  <si>
    <t xml:space="preserve"> 9.212亿</t>
  </si>
  <si>
    <t xml:space="preserve"> 74.06亿</t>
  </si>
  <si>
    <t xml:space="preserve"> 亚普股份</t>
  </si>
  <si>
    <t xml:space="preserve"> 5.126亿</t>
  </si>
  <si>
    <t xml:space="preserve"> 94.06亿</t>
  </si>
  <si>
    <t xml:space="preserve"> 5.113亿</t>
  </si>
  <si>
    <t xml:space="preserve"> 93.83亿</t>
  </si>
  <si>
    <t xml:space="preserve"> 通达电气</t>
  </si>
  <si>
    <t xml:space="preserve"> 3.517亿</t>
  </si>
  <si>
    <t xml:space="preserve"> 37.67亿</t>
  </si>
  <si>
    <t xml:space="preserve"> 美登科技</t>
  </si>
  <si>
    <t xml:space="preserve"> 8192万</t>
  </si>
  <si>
    <t xml:space="preserve"> 3894万</t>
  </si>
  <si>
    <t xml:space="preserve"> 11.62亿</t>
  </si>
  <si>
    <t xml:space="preserve"> 1054万</t>
  </si>
  <si>
    <t xml:space="preserve"> 3.144亿</t>
  </si>
  <si>
    <t xml:space="preserve"> 欧普康视</t>
  </si>
  <si>
    <t xml:space="preserve"> 8.971亿</t>
  </si>
  <si>
    <t xml:space="preserve"> 219.3亿</t>
  </si>
  <si>
    <t xml:space="preserve"> 华北制药</t>
  </si>
  <si>
    <t xml:space="preserve"> 1.31亿</t>
  </si>
  <si>
    <t xml:space="preserve"> 17.16亿</t>
  </si>
  <si>
    <t xml:space="preserve"> 108.8亿</t>
  </si>
  <si>
    <t xml:space="preserve"> 16.31亿</t>
  </si>
  <si>
    <t xml:space="preserve"> 江苏吴中</t>
  </si>
  <si>
    <t xml:space="preserve"> 5.91万</t>
  </si>
  <si>
    <t xml:space="preserve"> 7.123亿</t>
  </si>
  <si>
    <t xml:space="preserve"> 64.68亿</t>
  </si>
  <si>
    <t xml:space="preserve"> 7.096亿</t>
  </si>
  <si>
    <t xml:space="preserve"> 64.43亿</t>
  </si>
  <si>
    <t xml:space="preserve"> 贵广网络</t>
  </si>
  <si>
    <t xml:space="preserve"> 5.12万</t>
  </si>
  <si>
    <t xml:space="preserve"> 致远新能</t>
  </si>
  <si>
    <t xml:space="preserve"> 1.333亿</t>
  </si>
  <si>
    <t xml:space="preserve"> 52.84亿</t>
  </si>
  <si>
    <t xml:space="preserve"> 3633万</t>
  </si>
  <si>
    <t xml:space="preserve"> 14.40亿</t>
  </si>
  <si>
    <t xml:space="preserve"> 远兴能源</t>
  </si>
  <si>
    <t xml:space="preserve"> 37.40亿</t>
  </si>
  <si>
    <t xml:space="preserve"> 238.6亿</t>
  </si>
  <si>
    <t xml:space="preserve"> 32.80亿</t>
  </si>
  <si>
    <t xml:space="preserve"> 209.2亿</t>
  </si>
  <si>
    <t xml:space="preserve"> 红塔证券</t>
  </si>
  <si>
    <t xml:space="preserve"> 47.17亿</t>
  </si>
  <si>
    <t xml:space="preserve"> 370.3亿</t>
  </si>
  <si>
    <t xml:space="preserve"> 杰普特</t>
  </si>
  <si>
    <t xml:space="preserve"> 9499万</t>
  </si>
  <si>
    <t xml:space="preserve"> 83.30亿</t>
  </si>
  <si>
    <t xml:space="preserve"> 至纯科技</t>
  </si>
  <si>
    <t xml:space="preserve"> 1.30亿</t>
  </si>
  <si>
    <t xml:space="preserve"> 3.867亿</t>
  </si>
  <si>
    <t xml:space="preserve"> 102.1亿</t>
  </si>
  <si>
    <t xml:space="preserve"> 中国重汽</t>
  </si>
  <si>
    <t xml:space="preserve"> 308亿</t>
  </si>
  <si>
    <t xml:space="preserve"> 11.75亿</t>
  </si>
  <si>
    <t xml:space="preserve"> 181.8亿</t>
  </si>
  <si>
    <t xml:space="preserve"> 181.7亿</t>
  </si>
  <si>
    <t xml:space="preserve"> 彤程新材</t>
  </si>
  <si>
    <t xml:space="preserve"> 5.998亿</t>
  </si>
  <si>
    <t xml:space="preserve"> 5.941亿</t>
  </si>
  <si>
    <t xml:space="preserve"> 207.3亿</t>
  </si>
  <si>
    <t xml:space="preserve"> 开特股份</t>
  </si>
  <si>
    <t xml:space="preserve"> 4.57亿</t>
  </si>
  <si>
    <t xml:space="preserve"> 1.769亿</t>
  </si>
  <si>
    <t xml:space="preserve"> 8586万</t>
  </si>
  <si>
    <t xml:space="preserve"> 铖昌科技</t>
  </si>
  <si>
    <t xml:space="preserve"> 1.565亿</t>
  </si>
  <si>
    <t xml:space="preserve"> 125.7亿</t>
  </si>
  <si>
    <t xml:space="preserve"> 7126万</t>
  </si>
  <si>
    <t xml:space="preserve"> 57.22亿</t>
  </si>
  <si>
    <t xml:space="preserve"> 凯因科技</t>
  </si>
  <si>
    <t xml:space="preserve"> 1.182亿</t>
  </si>
  <si>
    <t xml:space="preserve"> 37.88亿</t>
  </si>
  <si>
    <t xml:space="preserve"> 招商证券</t>
  </si>
  <si>
    <t xml:space="preserve"> 149亿</t>
  </si>
  <si>
    <t xml:space="preserve"> 86.97亿</t>
  </si>
  <si>
    <t xml:space="preserve"> 1225亿</t>
  </si>
  <si>
    <t xml:space="preserve"> 74.22亿</t>
  </si>
  <si>
    <t xml:space="preserve"> 1046亿</t>
  </si>
  <si>
    <t xml:space="preserve"> 深水规院</t>
  </si>
  <si>
    <t xml:space="preserve"> 1.716亿</t>
  </si>
  <si>
    <t xml:space="preserve"> 4934万</t>
  </si>
  <si>
    <t xml:space="preserve"> 亚翔集成</t>
  </si>
  <si>
    <t xml:space="preserve"> 51.63亿</t>
  </si>
  <si>
    <t xml:space="preserve"> ST金鸿</t>
  </si>
  <si>
    <t xml:space="preserve"> 8.82亿</t>
  </si>
  <si>
    <t xml:space="preserve"> 航天宏图</t>
  </si>
  <si>
    <t xml:space="preserve"> 126.6亿</t>
  </si>
  <si>
    <t xml:space="preserve"> 长盈精密</t>
  </si>
  <si>
    <t xml:space="preserve"> 147.7亿</t>
  </si>
  <si>
    <t xml:space="preserve"> 147.1亿</t>
  </si>
  <si>
    <t xml:space="preserve"> 华鑫股份</t>
  </si>
  <si>
    <t xml:space="preserve"> 10.61亿</t>
  </si>
  <si>
    <t xml:space="preserve"> 浙江黎明</t>
  </si>
  <si>
    <t xml:space="preserve"> 4.29亿</t>
  </si>
  <si>
    <t xml:space="preserve"> 1.469亿</t>
  </si>
  <si>
    <t xml:space="preserve"> 29.48亿</t>
  </si>
  <si>
    <t xml:space="preserve"> 3772万</t>
  </si>
  <si>
    <t xml:space="preserve"> 广钢气体</t>
  </si>
  <si>
    <t xml:space="preserve"> 175.9亿</t>
  </si>
  <si>
    <t xml:space="preserve"> 2.432亿</t>
  </si>
  <si>
    <t xml:space="preserve"> 32.42亿</t>
  </si>
  <si>
    <t xml:space="preserve"> 新奥股份</t>
  </si>
  <si>
    <t xml:space="preserve"> 8.24万</t>
  </si>
  <si>
    <t xml:space="preserve"> 960亿</t>
  </si>
  <si>
    <t xml:space="preserve"> 443.2亿</t>
  </si>
  <si>
    <t xml:space="preserve"> 新开普</t>
  </si>
  <si>
    <t xml:space="preserve"> 4.763亿</t>
  </si>
  <si>
    <t xml:space="preserve"> 47.97亿</t>
  </si>
  <si>
    <t xml:space="preserve"> 3.970亿</t>
  </si>
  <si>
    <t xml:space="preserve"> 39.98亿</t>
  </si>
  <si>
    <t xml:space="preserve"> 麦捷科技</t>
  </si>
  <si>
    <t xml:space="preserve"> 8.668亿</t>
  </si>
  <si>
    <t xml:space="preserve"> 87.37亿</t>
  </si>
  <si>
    <t xml:space="preserve"> 8.251亿</t>
  </si>
  <si>
    <t xml:space="preserve"> 83.17亿</t>
  </si>
  <si>
    <t xml:space="preserve"> 卓创资讯</t>
  </si>
  <si>
    <t xml:space="preserve"> 3518万</t>
  </si>
  <si>
    <t xml:space="preserve"> 伟测科技</t>
  </si>
  <si>
    <t xml:space="preserve"> 5.16亿</t>
  </si>
  <si>
    <t xml:space="preserve"> 99.18亿</t>
  </si>
  <si>
    <t xml:space="preserve"> 7710万</t>
  </si>
  <si>
    <t xml:space="preserve"> 67.44亿</t>
  </si>
  <si>
    <t xml:space="preserve"> 合肥百货</t>
  </si>
  <si>
    <t xml:space="preserve"> 51.3亿</t>
  </si>
  <si>
    <t xml:space="preserve"> 7.799亿</t>
  </si>
  <si>
    <t xml:space="preserve"> 7.790亿</t>
  </si>
  <si>
    <t xml:space="preserve"> 39.03亿</t>
  </si>
  <si>
    <t xml:space="preserve"> 宏发股份</t>
  </si>
  <si>
    <t xml:space="preserve"> 99.3亿</t>
  </si>
  <si>
    <t xml:space="preserve"> 301.5亿</t>
  </si>
  <si>
    <t xml:space="preserve"> 天邑股份</t>
  </si>
  <si>
    <t xml:space="preserve"> 2.725亿</t>
  </si>
  <si>
    <t xml:space="preserve"> 42.31亿</t>
  </si>
  <si>
    <t xml:space="preserve"> 步科股份</t>
  </si>
  <si>
    <t xml:space="preserve"> 1.28亿</t>
  </si>
  <si>
    <t xml:space="preserve"> 8400万</t>
  </si>
  <si>
    <t xml:space="preserve"> 53.76亿</t>
  </si>
  <si>
    <t xml:space="preserve"> 老凤祥</t>
  </si>
  <si>
    <t xml:space="preserve"> 5.231亿</t>
  </si>
  <si>
    <t xml:space="preserve"> 345.9亿</t>
  </si>
  <si>
    <t xml:space="preserve"> 3.171亿</t>
  </si>
  <si>
    <t xml:space="preserve"> 209.7亿</t>
  </si>
  <si>
    <t xml:space="preserve"> 华大九天</t>
  </si>
  <si>
    <t xml:space="preserve"> 1.30万</t>
  </si>
  <si>
    <t xml:space="preserve"> 6.40亿</t>
  </si>
  <si>
    <t xml:space="preserve"> 539.1亿</t>
  </si>
  <si>
    <t xml:space="preserve"> 2.674亿</t>
  </si>
  <si>
    <t xml:space="preserve"> 265.5亿</t>
  </si>
  <si>
    <t xml:space="preserve"> 高争民爆</t>
  </si>
  <si>
    <t xml:space="preserve"> 2.760亿</t>
  </si>
  <si>
    <t xml:space="preserve"> 50.15亿</t>
  </si>
  <si>
    <t xml:space="preserve"> 陕西黑猫</t>
  </si>
  <si>
    <t xml:space="preserve"> 20.42亿</t>
  </si>
  <si>
    <t xml:space="preserve"> 94.77亿</t>
  </si>
  <si>
    <t xml:space="preserve"> 佐力药业</t>
  </si>
  <si>
    <t xml:space="preserve"> 1.27亿</t>
  </si>
  <si>
    <t xml:space="preserve"> 7.014亿</t>
  </si>
  <si>
    <t xml:space="preserve"> 73.79亿</t>
  </si>
  <si>
    <t xml:space="preserve"> 6.011亿</t>
  </si>
  <si>
    <t xml:space="preserve"> 63.23亿</t>
  </si>
  <si>
    <t xml:space="preserve"> 石基信息</t>
  </si>
  <si>
    <t xml:space="preserve"> 27.29亿</t>
  </si>
  <si>
    <t xml:space="preserve"> 301.0亿</t>
  </si>
  <si>
    <t xml:space="preserve"> 16.00亿</t>
  </si>
  <si>
    <t xml:space="preserve"> 176.5亿</t>
  </si>
  <si>
    <t xml:space="preserve"> 新晨科技</t>
  </si>
  <si>
    <t xml:space="preserve"> 2.986亿</t>
  </si>
  <si>
    <t xml:space="preserve"> 41.74亿</t>
  </si>
  <si>
    <t xml:space="preserve"> 2.439亿</t>
  </si>
  <si>
    <t xml:space="preserve"> 东港股份</t>
  </si>
  <si>
    <t xml:space="preserve"> 5.457亿</t>
  </si>
  <si>
    <t xml:space="preserve"> 50.80亿</t>
  </si>
  <si>
    <t xml:space="preserve"> 5.455亿</t>
  </si>
  <si>
    <t xml:space="preserve"> 50.79亿</t>
  </si>
  <si>
    <t xml:space="preserve"> 文投控股</t>
  </si>
  <si>
    <t xml:space="preserve"> -3.02万</t>
  </si>
  <si>
    <t xml:space="preserve"> 18.55亿</t>
  </si>
  <si>
    <t xml:space="preserve"> 42.48亿</t>
  </si>
  <si>
    <t xml:space="preserve"> 国盛金控</t>
  </si>
  <si>
    <t xml:space="preserve"> 19.35亿</t>
  </si>
  <si>
    <t xml:space="preserve"> 吴通控股</t>
  </si>
  <si>
    <t xml:space="preserve"> -2.13万</t>
  </si>
  <si>
    <t xml:space="preserve"> 45.42亿</t>
  </si>
  <si>
    <t xml:space="preserve"> 美好医疗</t>
  </si>
  <si>
    <t xml:space="preserve"> 4.067亿</t>
  </si>
  <si>
    <t xml:space="preserve"> 150.4亿</t>
  </si>
  <si>
    <t xml:space="preserve"> 1.122亿</t>
  </si>
  <si>
    <t xml:space="preserve"> 41.48亿</t>
  </si>
  <si>
    <t xml:space="preserve"> 容百科技</t>
  </si>
  <si>
    <t xml:space="preserve"> 4.843亿</t>
  </si>
  <si>
    <t xml:space="preserve"> 186.1亿</t>
  </si>
  <si>
    <t xml:space="preserve"> 2.837亿</t>
  </si>
  <si>
    <t xml:space="preserve"> 109.0亿</t>
  </si>
  <si>
    <t xml:space="preserve"> 保隆科技</t>
  </si>
  <si>
    <t xml:space="preserve"> 1.26亿</t>
  </si>
  <si>
    <t xml:space="preserve"> 2.119亿</t>
  </si>
  <si>
    <t xml:space="preserve"> 123.6亿</t>
  </si>
  <si>
    <t xml:space="preserve"> 2.101亿</t>
  </si>
  <si>
    <t xml:space="preserve"> 凡拓数创</t>
  </si>
  <si>
    <t xml:space="preserve"> 31.28亿</t>
  </si>
  <si>
    <t xml:space="preserve"> 6479万</t>
  </si>
  <si>
    <t xml:space="preserve"> 19.81亿</t>
  </si>
  <si>
    <t xml:space="preserve"> 坤泰股份</t>
  </si>
  <si>
    <t xml:space="preserve"> 1.150亿</t>
  </si>
  <si>
    <t xml:space="preserve"> 27.43亿</t>
  </si>
  <si>
    <t xml:space="preserve"> 2875万</t>
  </si>
  <si>
    <t xml:space="preserve"> 6.857亿</t>
  </si>
  <si>
    <t xml:space="preserve"> 启明星辰</t>
  </si>
  <si>
    <t xml:space="preserve"> 9.437亿</t>
  </si>
  <si>
    <t xml:space="preserve"> 246.6亿</t>
  </si>
  <si>
    <t xml:space="preserve"> 7.244亿</t>
  </si>
  <si>
    <t xml:space="preserve"> 深南电路</t>
  </si>
  <si>
    <t xml:space="preserve"> 94.6亿</t>
  </si>
  <si>
    <t xml:space="preserve"> 5.129亿</t>
  </si>
  <si>
    <t xml:space="preserve"> 373.0亿</t>
  </si>
  <si>
    <t xml:space="preserve"> 5.106亿</t>
  </si>
  <si>
    <t xml:space="preserve"> 澳弘电子</t>
  </si>
  <si>
    <t xml:space="preserve"> 5.50万</t>
  </si>
  <si>
    <t xml:space="preserve"> 8.11亿</t>
  </si>
  <si>
    <t xml:space="preserve"> 1.429亿</t>
  </si>
  <si>
    <t xml:space="preserve"> 33.19亿</t>
  </si>
  <si>
    <t xml:space="preserve"> 百济神州-U</t>
  </si>
  <si>
    <t xml:space="preserve"> 13.54亿</t>
  </si>
  <si>
    <t xml:space="preserve"> 2086亿</t>
  </si>
  <si>
    <t xml:space="preserve"> 1.105亿</t>
  </si>
  <si>
    <t xml:space="preserve"> 华铁应急</t>
  </si>
  <si>
    <t xml:space="preserve"> 32.1亿</t>
  </si>
  <si>
    <t xml:space="preserve"> 8.61万</t>
  </si>
  <si>
    <t xml:space="preserve"> 19.55亿</t>
  </si>
  <si>
    <t xml:space="preserve"> 17.80亿</t>
  </si>
  <si>
    <t xml:space="preserve"> 丰华股份</t>
  </si>
  <si>
    <t xml:space="preserve"> 9362万</t>
  </si>
  <si>
    <t xml:space="preserve"> 1.880亿</t>
  </si>
  <si>
    <t xml:space="preserve"> 20.89亿</t>
  </si>
  <si>
    <t xml:space="preserve"> 1.876亿</t>
  </si>
  <si>
    <t xml:space="preserve"> 名臣健康</t>
  </si>
  <si>
    <t xml:space="preserve"> 2.222亿</t>
  </si>
  <si>
    <t xml:space="preserve"> 73.87亿</t>
  </si>
  <si>
    <t xml:space="preserve"> 2.199亿</t>
  </si>
  <si>
    <t xml:space="preserve"> 73.12亿</t>
  </si>
  <si>
    <t xml:space="preserve"> 博拓生物</t>
  </si>
  <si>
    <t xml:space="preserve"> 4027万</t>
  </si>
  <si>
    <t xml:space="preserve"> 吉冈精密</t>
  </si>
  <si>
    <t xml:space="preserve"> 17.69亿</t>
  </si>
  <si>
    <t xml:space="preserve"> 5052万</t>
  </si>
  <si>
    <t xml:space="preserve"> 4.698亿</t>
  </si>
  <si>
    <t xml:space="preserve"> 浙江建投</t>
  </si>
  <si>
    <t xml:space="preserve"> 718亿</t>
  </si>
  <si>
    <t xml:space="preserve"> 5.57万</t>
  </si>
  <si>
    <t xml:space="preserve"> 10.81亿</t>
  </si>
  <si>
    <t xml:space="preserve"> 122.3亿</t>
  </si>
  <si>
    <t xml:space="preserve"> 来伊份</t>
  </si>
  <si>
    <t xml:space="preserve"> 3.366亿</t>
  </si>
  <si>
    <t xml:space="preserve"> 47.45亿</t>
  </si>
  <si>
    <t xml:space="preserve"> 臻镭科技</t>
  </si>
  <si>
    <t xml:space="preserve"> 1.529亿</t>
  </si>
  <si>
    <t xml:space="preserve"> 101.4亿</t>
  </si>
  <si>
    <t xml:space="preserve"> 1.030亿</t>
  </si>
  <si>
    <t xml:space="preserve"> 68.27亿</t>
  </si>
  <si>
    <t xml:space="preserve"> 奇安信-U</t>
  </si>
  <si>
    <t xml:space="preserve"> 36.9亿</t>
  </si>
  <si>
    <t xml:space="preserve"> 6.852亿</t>
  </si>
  <si>
    <t xml:space="preserve"> 308.1亿</t>
  </si>
  <si>
    <t xml:space="preserve"> 4.637亿</t>
  </si>
  <si>
    <t xml:space="preserve"> 神州信息</t>
  </si>
  <si>
    <t xml:space="preserve"> 1.25亿</t>
  </si>
  <si>
    <t xml:space="preserve"> 66.2亿</t>
  </si>
  <si>
    <t xml:space="preserve"> 9.837亿</t>
  </si>
  <si>
    <t xml:space="preserve"> 120.8亿</t>
  </si>
  <si>
    <t xml:space="preserve"> 9.802亿</t>
  </si>
  <si>
    <t xml:space="preserve"> 朗源股份</t>
  </si>
  <si>
    <t xml:space="preserve"> 4.708亿</t>
  </si>
  <si>
    <t xml:space="preserve"> 25.89亿</t>
  </si>
  <si>
    <t xml:space="preserve"> 洽洽食品</t>
  </si>
  <si>
    <t xml:space="preserve"> 44.8亿</t>
  </si>
  <si>
    <t xml:space="preserve"> 5.070亿</t>
  </si>
  <si>
    <t xml:space="preserve"> 征和工业</t>
  </si>
  <si>
    <t xml:space="preserve"> 8175万</t>
  </si>
  <si>
    <t xml:space="preserve"> 28.36亿</t>
  </si>
  <si>
    <t xml:space="preserve"> 2409万</t>
  </si>
  <si>
    <t xml:space="preserve"> 8.357亿</t>
  </si>
  <si>
    <t xml:space="preserve"> 英威腾</t>
  </si>
  <si>
    <t xml:space="preserve"> 33.0亿</t>
  </si>
  <si>
    <t xml:space="preserve"> 7.971亿</t>
  </si>
  <si>
    <t xml:space="preserve"> 69.90亿</t>
  </si>
  <si>
    <t xml:space="preserve"> 7.058亿</t>
  </si>
  <si>
    <t xml:space="preserve"> 61.90亿</t>
  </si>
  <si>
    <t xml:space="preserve"> 移为通信</t>
  </si>
  <si>
    <t xml:space="preserve"> 55.29亿</t>
  </si>
  <si>
    <t xml:space="preserve"> 3.459亿</t>
  </si>
  <si>
    <t xml:space="preserve"> 41.68亿</t>
  </si>
  <si>
    <t xml:space="preserve"> 双塔食品</t>
  </si>
  <si>
    <t xml:space="preserve"> 12.34亿</t>
  </si>
  <si>
    <t xml:space="preserve"> 59.96亿</t>
  </si>
  <si>
    <t xml:space="preserve"> 盘江股份</t>
  </si>
  <si>
    <t xml:space="preserve"> 76.2亿</t>
  </si>
  <si>
    <t xml:space="preserve"> 华数传媒</t>
  </si>
  <si>
    <t xml:space="preserve"> 148.4亿</t>
  </si>
  <si>
    <t xml:space="preserve"> 15.65亿</t>
  </si>
  <si>
    <t xml:space="preserve"> 125.4亿</t>
  </si>
  <si>
    <t xml:space="preserve"> 华软科技</t>
  </si>
  <si>
    <t xml:space="preserve"> 8.124亿</t>
  </si>
  <si>
    <t xml:space="preserve"> 99.03亿</t>
  </si>
  <si>
    <t xml:space="preserve"> 6.083亿</t>
  </si>
  <si>
    <t xml:space="preserve"> 74.15亿</t>
  </si>
  <si>
    <t xml:space="preserve"> 金博股份</t>
  </si>
  <si>
    <t xml:space="preserve"> 1.392亿</t>
  </si>
  <si>
    <t xml:space="preserve"> 赛维时代</t>
  </si>
  <si>
    <t xml:space="preserve"> 132.4亿</t>
  </si>
  <si>
    <t xml:space="preserve"> 3141万</t>
  </si>
  <si>
    <t xml:space="preserve"> 安凯客车</t>
  </si>
  <si>
    <t xml:space="preserve"> -1.00万</t>
  </si>
  <si>
    <t xml:space="preserve"> 9.395亿</t>
  </si>
  <si>
    <t xml:space="preserve"> 7.333亿</t>
  </si>
  <si>
    <t xml:space="preserve"> 42.09亿</t>
  </si>
  <si>
    <t xml:space="preserve"> 彩虹股份</t>
  </si>
  <si>
    <t xml:space="preserve"> 35.88亿</t>
  </si>
  <si>
    <t xml:space="preserve"> 213.1亿</t>
  </si>
  <si>
    <t xml:space="preserve"> 聚辰股份</t>
  </si>
  <si>
    <t xml:space="preserve"> 博俊科技</t>
  </si>
  <si>
    <t xml:space="preserve"> 1.24亿</t>
  </si>
  <si>
    <t xml:space="preserve"> 2.788亿</t>
  </si>
  <si>
    <t xml:space="preserve"> 85.27亿</t>
  </si>
  <si>
    <t xml:space="preserve"> 7026万</t>
  </si>
  <si>
    <t xml:space="preserve"> 通源石油</t>
  </si>
  <si>
    <t xml:space="preserve"> 7.90亿</t>
  </si>
  <si>
    <t xml:space="preserve"> 5.909亿</t>
  </si>
  <si>
    <t xml:space="preserve"> 29.96亿</t>
  </si>
  <si>
    <t xml:space="preserve"> 5.395亿</t>
  </si>
  <si>
    <t xml:space="preserve"> 27.35亿</t>
  </si>
  <si>
    <t xml:space="preserve"> 安恒信息</t>
  </si>
  <si>
    <t xml:space="preserve"> 7896万</t>
  </si>
  <si>
    <t xml:space="preserve"> 101.6亿</t>
  </si>
  <si>
    <t xml:space="preserve"> 7863万</t>
  </si>
  <si>
    <t xml:space="preserve"> 行动教育</t>
  </si>
  <si>
    <t xml:space="preserve"> 48.00亿</t>
  </si>
  <si>
    <t xml:space="preserve"> 4396万</t>
  </si>
  <si>
    <t xml:space="preserve"> 美格智能</t>
  </si>
  <si>
    <t xml:space="preserve"> 2.615亿</t>
  </si>
  <si>
    <t xml:space="preserve"> 75.59亿</t>
  </si>
  <si>
    <t xml:space="preserve"> 53.26亿</t>
  </si>
  <si>
    <t xml:space="preserve"> 鲁西化工</t>
  </si>
  <si>
    <t xml:space="preserve"> 7.81万</t>
  </si>
  <si>
    <t xml:space="preserve"> 189.5亿</t>
  </si>
  <si>
    <t xml:space="preserve"> 兰卫医学</t>
  </si>
  <si>
    <t xml:space="preserve"> 1.798亿</t>
  </si>
  <si>
    <t xml:space="preserve"> 26.99亿</t>
  </si>
  <si>
    <t xml:space="preserve"> 南微医学</t>
  </si>
  <si>
    <t xml:space="preserve"> 1.878亿</t>
  </si>
  <si>
    <t xml:space="preserve"> 天海防务</t>
  </si>
  <si>
    <t xml:space="preserve"> 73.27亿</t>
  </si>
  <si>
    <t xml:space="preserve"> 14.31亿</t>
  </si>
  <si>
    <t xml:space="preserve"> 60.68亿</t>
  </si>
  <si>
    <t xml:space="preserve"> 星星科技</t>
  </si>
  <si>
    <t xml:space="preserve"> 22.68亿</t>
  </si>
  <si>
    <t xml:space="preserve"> 73.04亿</t>
  </si>
  <si>
    <t xml:space="preserve"> 16.43亿</t>
  </si>
  <si>
    <t xml:space="preserve"> 松芝股份</t>
  </si>
  <si>
    <t xml:space="preserve"> 9.04万</t>
  </si>
  <si>
    <t xml:space="preserve"> 6.286亿</t>
  </si>
  <si>
    <t xml:space="preserve"> 6.267亿</t>
  </si>
  <si>
    <t xml:space="preserve"> 康希通信</t>
  </si>
  <si>
    <t xml:space="preserve"> 4.245亿</t>
  </si>
  <si>
    <t xml:space="preserve"> 82.94亿</t>
  </si>
  <si>
    <t xml:space="preserve"> 5077万</t>
  </si>
  <si>
    <t xml:space="preserve"> 9.920亿</t>
  </si>
  <si>
    <t xml:space="preserve"> 蓝盾光电</t>
  </si>
  <si>
    <t xml:space="preserve"> 42.40亿</t>
  </si>
  <si>
    <t xml:space="preserve"> 中伟股份</t>
  </si>
  <si>
    <t xml:space="preserve"> 262亿</t>
  </si>
  <si>
    <t xml:space="preserve"> 6.698亿</t>
  </si>
  <si>
    <t xml:space="preserve"> 2.875亿</t>
  </si>
  <si>
    <t xml:space="preserve"> 140.8亿</t>
  </si>
  <si>
    <t xml:space="preserve"> 天味食品</t>
  </si>
  <si>
    <t xml:space="preserve"> 22.3亿</t>
  </si>
  <si>
    <t xml:space="preserve"> 10.65亿</t>
  </si>
  <si>
    <t xml:space="preserve"> 158.5亿</t>
  </si>
  <si>
    <t xml:space="preserve"> 10.58亿</t>
  </si>
  <si>
    <t xml:space="preserve"> 157.4亿</t>
  </si>
  <si>
    <t xml:space="preserve"> 贝肯能源</t>
  </si>
  <si>
    <t xml:space="preserve"> 1.23亿</t>
  </si>
  <si>
    <t xml:space="preserve"> 2.010亿</t>
  </si>
  <si>
    <t xml:space="preserve"> 22.85亿</t>
  </si>
  <si>
    <t xml:space="preserve"> 21.95亿</t>
  </si>
  <si>
    <t xml:space="preserve"> 驰宏锌锗</t>
  </si>
  <si>
    <t xml:space="preserve"> 164亿</t>
  </si>
  <si>
    <t xml:space="preserve"> 50.91亿</t>
  </si>
  <si>
    <t xml:space="preserve"> 远程股份</t>
  </si>
  <si>
    <t xml:space="preserve"> 7.181亿</t>
  </si>
  <si>
    <t xml:space="preserve"> 32.53亿</t>
  </si>
  <si>
    <t xml:space="preserve"> 广州港</t>
  </si>
  <si>
    <t xml:space="preserve"> 97.1亿</t>
  </si>
  <si>
    <t xml:space="preserve"> -2.95万</t>
  </si>
  <si>
    <t xml:space="preserve"> 75.45亿</t>
  </si>
  <si>
    <t xml:space="preserve"> 240.7亿</t>
  </si>
  <si>
    <t xml:space="preserve"> 65.31亿</t>
  </si>
  <si>
    <t xml:space="preserve"> 208.3亿</t>
  </si>
  <si>
    <t xml:space="preserve"> 华统股份</t>
  </si>
  <si>
    <t xml:space="preserve"> 61.6亿</t>
  </si>
  <si>
    <t xml:space="preserve"> 6.140亿</t>
  </si>
  <si>
    <t xml:space="preserve"> 114.8亿</t>
  </si>
  <si>
    <t xml:space="preserve"> 4.627亿</t>
  </si>
  <si>
    <t xml:space="preserve"> 86.48亿</t>
  </si>
  <si>
    <t xml:space="preserve"> 开山股份</t>
  </si>
  <si>
    <t xml:space="preserve"> 31.2亿</t>
  </si>
  <si>
    <t xml:space="preserve"> 9.936亿</t>
  </si>
  <si>
    <t xml:space="preserve"> 9.544亿</t>
  </si>
  <si>
    <t xml:space="preserve"> 148.3亿</t>
  </si>
  <si>
    <t xml:space="preserve"> 东软集团</t>
  </si>
  <si>
    <t xml:space="preserve"> 12.13亿</t>
  </si>
  <si>
    <t xml:space="preserve"> 12.04亿</t>
  </si>
  <si>
    <t xml:space="preserve"> 119.4亿</t>
  </si>
  <si>
    <t xml:space="preserve"> 中农联合</t>
  </si>
  <si>
    <t xml:space="preserve"> 27.26亿</t>
  </si>
  <si>
    <t xml:space="preserve"> 6811万</t>
  </si>
  <si>
    <t xml:space="preserve"> 13.03亿</t>
  </si>
  <si>
    <t xml:space="preserve"> 莱宝高科</t>
  </si>
  <si>
    <t xml:space="preserve"> 42.3亿</t>
  </si>
  <si>
    <t xml:space="preserve"> 76.09亿</t>
  </si>
  <si>
    <t xml:space="preserve"> 7.041亿</t>
  </si>
  <si>
    <t xml:space="preserve"> 上海沪工</t>
  </si>
  <si>
    <t xml:space="preserve"> 7.76万</t>
  </si>
  <si>
    <t xml:space="preserve"> 6.70亿</t>
  </si>
  <si>
    <t xml:space="preserve"> 莎普爱思</t>
  </si>
  <si>
    <t xml:space="preserve"> 3.792亿</t>
  </si>
  <si>
    <t xml:space="preserve"> 40.23亿</t>
  </si>
  <si>
    <t xml:space="preserve"> 3.226亿</t>
  </si>
  <si>
    <t xml:space="preserve"> 34.23亿</t>
  </si>
  <si>
    <t xml:space="preserve"> 斯菱股份</t>
  </si>
  <si>
    <t xml:space="preserve"> 57.48亿</t>
  </si>
  <si>
    <t xml:space="preserve"> 2608万</t>
  </si>
  <si>
    <t xml:space="preserve"> 13.63亿</t>
  </si>
  <si>
    <t xml:space="preserve"> 天迈科技</t>
  </si>
  <si>
    <t xml:space="preserve"> 1.02亿</t>
  </si>
  <si>
    <t xml:space="preserve"> 6804万</t>
  </si>
  <si>
    <t xml:space="preserve"> 25.26亿</t>
  </si>
  <si>
    <t xml:space="preserve"> 4883万</t>
  </si>
  <si>
    <t xml:space="preserve"> 18.13亿</t>
  </si>
  <si>
    <t xml:space="preserve"> 高德红外</t>
  </si>
  <si>
    <t xml:space="preserve"> 6.67万</t>
  </si>
  <si>
    <t xml:space="preserve"> 42.71亿</t>
  </si>
  <si>
    <t xml:space="preserve"> 327.6亿</t>
  </si>
  <si>
    <t xml:space="preserve"> 33.98亿</t>
  </si>
  <si>
    <t xml:space="preserve"> 智立方</t>
  </si>
  <si>
    <t xml:space="preserve"> 6258万</t>
  </si>
  <si>
    <t xml:space="preserve"> 1682万</t>
  </si>
  <si>
    <t xml:space="preserve"> 16.27亿</t>
  </si>
  <si>
    <t xml:space="preserve"> 中青旅</t>
  </si>
  <si>
    <t xml:space="preserve"> 67.3亿</t>
  </si>
  <si>
    <t xml:space="preserve"> 7.238亿</t>
  </si>
  <si>
    <t xml:space="preserve"> 国药一致</t>
  </si>
  <si>
    <t xml:space="preserve"> 566亿</t>
  </si>
  <si>
    <t xml:space="preserve"> 5.566亿</t>
  </si>
  <si>
    <t xml:space="preserve"> 169.6亿</t>
  </si>
  <si>
    <t xml:space="preserve"> 4.781亿</t>
  </si>
  <si>
    <t xml:space="preserve"> 145.7亿</t>
  </si>
  <si>
    <t xml:space="preserve"> 岭南控股</t>
  </si>
  <si>
    <t xml:space="preserve"> 24.8亿</t>
  </si>
  <si>
    <t xml:space="preserve"> 6.702亿</t>
  </si>
  <si>
    <t xml:space="preserve"> 59.05亿</t>
  </si>
  <si>
    <t xml:space="preserve"> 6.701亿</t>
  </si>
  <si>
    <t xml:space="preserve"> 59.03亿</t>
  </si>
  <si>
    <t xml:space="preserve"> 中船防务</t>
  </si>
  <si>
    <t xml:space="preserve"> 97.7亿</t>
  </si>
  <si>
    <t xml:space="preserve"> 2.45万</t>
  </si>
  <si>
    <t xml:space="preserve"> 14.14亿</t>
  </si>
  <si>
    <t xml:space="preserve"> 335.6亿</t>
  </si>
  <si>
    <t xml:space="preserve"> 8.214亿</t>
  </si>
  <si>
    <t xml:space="preserve"> 195.0亿</t>
  </si>
  <si>
    <t xml:space="preserve"> 南都电源</t>
  </si>
  <si>
    <t xml:space="preserve"> 8.692亿</t>
  </si>
  <si>
    <t xml:space="preserve"> 8.270亿</t>
  </si>
  <si>
    <t xml:space="preserve"> 108.9亿</t>
  </si>
  <si>
    <t xml:space="preserve"> 香雪制药</t>
  </si>
  <si>
    <t xml:space="preserve"> 6.574亿</t>
  </si>
  <si>
    <t xml:space="preserve"> 北京文化</t>
  </si>
  <si>
    <t xml:space="preserve"> 7.159亿</t>
  </si>
  <si>
    <t xml:space="preserve"> 46.39亿</t>
  </si>
  <si>
    <t xml:space="preserve"> 7.155亿</t>
  </si>
  <si>
    <t xml:space="preserve"> 46.36亿</t>
  </si>
  <si>
    <t xml:space="preserve"> 泰胜风能</t>
  </si>
  <si>
    <t xml:space="preserve"> 29.8亿</t>
  </si>
  <si>
    <t xml:space="preserve"> 9.349亿</t>
  </si>
  <si>
    <t xml:space="preserve"> 6.488亿</t>
  </si>
  <si>
    <t xml:space="preserve"> 兴业银锡</t>
  </si>
  <si>
    <t xml:space="preserve"> 6.21万</t>
  </si>
  <si>
    <t xml:space="preserve"> 18.37亿</t>
  </si>
  <si>
    <t xml:space="preserve"> 166.6亿</t>
  </si>
  <si>
    <t xml:space="preserve"> 14.78亿</t>
  </si>
  <si>
    <t xml:space="preserve"> 134.0亿</t>
  </si>
  <si>
    <t xml:space="preserve"> 山东药玻</t>
  </si>
  <si>
    <t xml:space="preserve"> 6.636亿</t>
  </si>
  <si>
    <t xml:space="preserve"> 舜宇精工</t>
  </si>
  <si>
    <t xml:space="preserve"> 6497万</t>
  </si>
  <si>
    <t xml:space="preserve"> 10.38亿</t>
  </si>
  <si>
    <t xml:space="preserve"> 1996万</t>
  </si>
  <si>
    <t xml:space="preserve"> 3.188亿</t>
  </si>
  <si>
    <t xml:space="preserve"> 神思电子</t>
  </si>
  <si>
    <t xml:space="preserve"> 1.21亿</t>
  </si>
  <si>
    <t xml:space="preserve"> 1.970亿</t>
  </si>
  <si>
    <t xml:space="preserve"> 40.59亿</t>
  </si>
  <si>
    <t xml:space="preserve"> 浙江众成</t>
  </si>
  <si>
    <t xml:space="preserve"> 9.058亿</t>
  </si>
  <si>
    <t xml:space="preserve"> 44.65亿</t>
  </si>
  <si>
    <t xml:space="preserve"> 8.569亿</t>
  </si>
  <si>
    <t xml:space="preserve"> 南天信息</t>
  </si>
  <si>
    <t xml:space="preserve"> 3.944亿</t>
  </si>
  <si>
    <t xml:space="preserve"> 64.40亿</t>
  </si>
  <si>
    <t xml:space="preserve"> 3.811亿</t>
  </si>
  <si>
    <t xml:space="preserve"> 味知香</t>
  </si>
  <si>
    <t xml:space="preserve"> 1.380亿</t>
  </si>
  <si>
    <t xml:space="preserve"> 3657万</t>
  </si>
  <si>
    <t xml:space="preserve"> 15.10亿</t>
  </si>
  <si>
    <t xml:space="preserve"> 日月股份</t>
  </si>
  <si>
    <t xml:space="preserve"> 10.31亿</t>
  </si>
  <si>
    <t xml:space="preserve"> 南山铝业</t>
  </si>
  <si>
    <t xml:space="preserve"> 117.1亿</t>
  </si>
  <si>
    <t xml:space="preserve"> 338.4亿</t>
  </si>
  <si>
    <t xml:space="preserve"> 兆驰股份</t>
  </si>
  <si>
    <t xml:space="preserve"> 259.4亿</t>
  </si>
  <si>
    <t xml:space="preserve"> 45.24亿</t>
  </si>
  <si>
    <t xml:space="preserve"> 259.2亿</t>
  </si>
  <si>
    <t xml:space="preserve"> 平高电气</t>
  </si>
  <si>
    <t xml:space="preserve"> 74.5亿</t>
  </si>
  <si>
    <t xml:space="preserve"> 13.57亿</t>
  </si>
  <si>
    <t xml:space="preserve"> 160.9亿</t>
  </si>
  <si>
    <t xml:space="preserve"> 粤桂股份</t>
  </si>
  <si>
    <t xml:space="preserve"> 28.4亿</t>
  </si>
  <si>
    <t xml:space="preserve"> 6.684亿</t>
  </si>
  <si>
    <t xml:space="preserve"> 41.17亿</t>
  </si>
  <si>
    <t xml:space="preserve"> 3.781亿</t>
  </si>
  <si>
    <t xml:space="preserve"> 上海建工</t>
  </si>
  <si>
    <t xml:space="preserve"> 2230亿</t>
  </si>
  <si>
    <t xml:space="preserve"> 88.86亿</t>
  </si>
  <si>
    <t xml:space="preserve"> 223.9亿</t>
  </si>
  <si>
    <t xml:space="preserve"> 海得控制</t>
  </si>
  <si>
    <t xml:space="preserve"> 3.519亿</t>
  </si>
  <si>
    <t xml:space="preserve"> 2.402亿</t>
  </si>
  <si>
    <t xml:space="preserve"> 西南证券</t>
  </si>
  <si>
    <t xml:space="preserve"> 277.8亿</t>
  </si>
  <si>
    <t xml:space="preserve"> 63.15亿</t>
  </si>
  <si>
    <t xml:space="preserve"> 中石科技</t>
  </si>
  <si>
    <t xml:space="preserve"> 2.995亿</t>
  </si>
  <si>
    <t xml:space="preserve"> 59.99亿</t>
  </si>
  <si>
    <t xml:space="preserve"> 1.820亿</t>
  </si>
  <si>
    <t xml:space="preserve"> 36.45亿</t>
  </si>
  <si>
    <t xml:space="preserve"> 南钢股份</t>
  </si>
  <si>
    <t xml:space="preserve"> 564亿</t>
  </si>
  <si>
    <t xml:space="preserve"> -1.66万</t>
  </si>
  <si>
    <t xml:space="preserve"> 61.65亿</t>
  </si>
  <si>
    <t xml:space="preserve"> 231.2亿</t>
  </si>
  <si>
    <t xml:space="preserve"> 易实精密</t>
  </si>
  <si>
    <t xml:space="preserve"> 9670万</t>
  </si>
  <si>
    <t xml:space="preserve"> 10.18亿</t>
  </si>
  <si>
    <t xml:space="preserve"> 2518万</t>
  </si>
  <si>
    <t xml:space="preserve"> 2.652亿</t>
  </si>
  <si>
    <t xml:space="preserve"> 国盾量子</t>
  </si>
  <si>
    <t xml:space="preserve"> 7326万</t>
  </si>
  <si>
    <t xml:space="preserve"> 8022万</t>
  </si>
  <si>
    <t xml:space="preserve"> 航天智造</t>
  </si>
  <si>
    <t xml:space="preserve"> 6.659亿</t>
  </si>
  <si>
    <t xml:space="preserve"> 111.3亿</t>
  </si>
  <si>
    <t xml:space="preserve"> 1.978亿</t>
  </si>
  <si>
    <t xml:space="preserve"> 33.07亿</t>
  </si>
  <si>
    <t xml:space="preserve"> 野马电池</t>
  </si>
  <si>
    <t xml:space="preserve"> 32.60亿</t>
  </si>
  <si>
    <t xml:space="preserve"> 3334万</t>
  </si>
  <si>
    <t xml:space="preserve"> 8.152亿</t>
  </si>
  <si>
    <t xml:space="preserve"> 同益股份</t>
  </si>
  <si>
    <t xml:space="preserve"> 3.29万</t>
  </si>
  <si>
    <t xml:space="preserve"> 1.819亿</t>
  </si>
  <si>
    <t xml:space="preserve"> 35.84亿</t>
  </si>
  <si>
    <t xml:space="preserve"> 22.52亿</t>
  </si>
  <si>
    <t xml:space="preserve"> 固高科技</t>
  </si>
  <si>
    <t xml:space="preserve"> 3445万</t>
  </si>
  <si>
    <t xml:space="preserve"> 当虹科技</t>
  </si>
  <si>
    <t xml:space="preserve"> 37.44亿</t>
  </si>
  <si>
    <t xml:space="preserve"> 合力泰</t>
  </si>
  <si>
    <t xml:space="preserve"> -3.06万</t>
  </si>
  <si>
    <t xml:space="preserve"> 93.18亿</t>
  </si>
  <si>
    <t xml:space="preserve"> 93.08亿</t>
  </si>
  <si>
    <t xml:space="preserve"> 双良节能</t>
  </si>
  <si>
    <t xml:space="preserve"> 三棵树</t>
  </si>
  <si>
    <t xml:space="preserve"> 94.1亿</t>
  </si>
  <si>
    <t xml:space="preserve"> 5.270亿</t>
  </si>
  <si>
    <t xml:space="preserve"> 280.9亿</t>
  </si>
  <si>
    <t xml:space="preserve"> 青木股份</t>
  </si>
  <si>
    <t xml:space="preserve"> 6667万</t>
  </si>
  <si>
    <t xml:space="preserve"> 31.45亿</t>
  </si>
  <si>
    <t xml:space="preserve"> 3613万</t>
  </si>
  <si>
    <t xml:space="preserve"> 17.04亿</t>
  </si>
  <si>
    <t xml:space="preserve"> 百克生物</t>
  </si>
  <si>
    <t xml:space="preserve"> 1.19亿</t>
  </si>
  <si>
    <t xml:space="preserve"> 4.128亿</t>
  </si>
  <si>
    <t xml:space="preserve"> 245.7亿</t>
  </si>
  <si>
    <t xml:space="preserve"> 2.414亿</t>
  </si>
  <si>
    <t xml:space="preserve"> 143.7亿</t>
  </si>
  <si>
    <t xml:space="preserve"> 新天然气</t>
  </si>
  <si>
    <t xml:space="preserve"> 25.4亿</t>
  </si>
  <si>
    <t xml:space="preserve"> 4.239亿</t>
  </si>
  <si>
    <t xml:space="preserve"> 3.761亿</t>
  </si>
  <si>
    <t xml:space="preserve"> 120.1亿</t>
  </si>
  <si>
    <t xml:space="preserve"> 富通信息</t>
  </si>
  <si>
    <t xml:space="preserve"> 7.26亿</t>
  </si>
  <si>
    <t xml:space="preserve"> -1.99万</t>
  </si>
  <si>
    <t xml:space="preserve"> 35.77亿</t>
  </si>
  <si>
    <t xml:space="preserve"> 中体产业</t>
  </si>
  <si>
    <t xml:space="preserve"> 9.93亿</t>
  </si>
  <si>
    <t xml:space="preserve"> 9.595亿</t>
  </si>
  <si>
    <t xml:space="preserve"> 81.85亿</t>
  </si>
  <si>
    <t xml:space="preserve"> 德昌股份</t>
  </si>
  <si>
    <t xml:space="preserve"> 21.3亿</t>
  </si>
  <si>
    <t xml:space="preserve"> 3.724亿</t>
  </si>
  <si>
    <t xml:space="preserve"> 87.84亿</t>
  </si>
  <si>
    <t xml:space="preserve"> 1.357亿</t>
  </si>
  <si>
    <t xml:space="preserve"> 32.01亿</t>
  </si>
  <si>
    <t xml:space="preserve"> 三祥科技</t>
  </si>
  <si>
    <t xml:space="preserve"> 9803万</t>
  </si>
  <si>
    <t xml:space="preserve"> 13.58亿</t>
  </si>
  <si>
    <t xml:space="preserve"> 3923万</t>
  </si>
  <si>
    <t xml:space="preserve"> 5.433亿</t>
  </si>
  <si>
    <t xml:space="preserve"> 凯盛科技</t>
  </si>
  <si>
    <t xml:space="preserve"> 43.5亿</t>
  </si>
  <si>
    <t xml:space="preserve"> 9.446亿</t>
  </si>
  <si>
    <t xml:space="preserve"> 122.5亿</t>
  </si>
  <si>
    <t xml:space="preserve"> 8.954亿</t>
  </si>
  <si>
    <t xml:space="preserve"> 大业股份</t>
  </si>
  <si>
    <t xml:space="preserve"> 9.09万</t>
  </si>
  <si>
    <t xml:space="preserve"> 41.7亿</t>
  </si>
  <si>
    <t xml:space="preserve"> 3.208亿</t>
  </si>
  <si>
    <t xml:space="preserve"> 41.64亿</t>
  </si>
  <si>
    <t xml:space="preserve"> 3.207亿</t>
  </si>
  <si>
    <t xml:space="preserve"> 41.63亿</t>
  </si>
  <si>
    <t xml:space="preserve"> 中航产融</t>
  </si>
  <si>
    <t xml:space="preserve"> 88.25亿</t>
  </si>
  <si>
    <t xml:space="preserve"> 292.1亿</t>
  </si>
  <si>
    <t xml:space="preserve"> 88.04亿</t>
  </si>
  <si>
    <t xml:space="preserve"> 291.4亿</t>
  </si>
  <si>
    <t xml:space="preserve"> 电科数字</t>
  </si>
  <si>
    <t xml:space="preserve"> 69.3亿</t>
  </si>
  <si>
    <t xml:space="preserve"> 160.6亿</t>
  </si>
  <si>
    <t xml:space="preserve"> 6.040亿</t>
  </si>
  <si>
    <t xml:space="preserve"> 141.6亿</t>
  </si>
  <si>
    <t xml:space="preserve"> 远 望 谷</t>
  </si>
  <si>
    <t xml:space="preserve"> 7.398亿</t>
  </si>
  <si>
    <t xml:space="preserve"> 7.135亿</t>
  </si>
  <si>
    <t xml:space="preserve"> 44.09亿</t>
  </si>
  <si>
    <t xml:space="preserve"> 宏英智能</t>
  </si>
  <si>
    <t xml:space="preserve"> 3434万</t>
  </si>
  <si>
    <t xml:space="preserve"> 合众思壮</t>
  </si>
  <si>
    <t xml:space="preserve"> 7.404亿</t>
  </si>
  <si>
    <t xml:space="preserve"> 59.45亿</t>
  </si>
  <si>
    <t xml:space="preserve"> 6.162亿</t>
  </si>
  <si>
    <t xml:space="preserve"> 49.48亿</t>
  </si>
  <si>
    <t xml:space="preserve"> 苏大维格</t>
  </si>
  <si>
    <t xml:space="preserve"> 64.27亿</t>
  </si>
  <si>
    <t xml:space="preserve"> 49.74亿</t>
  </si>
  <si>
    <t xml:space="preserve"> 中京电子</t>
  </si>
  <si>
    <t xml:space="preserve"> 6.126亿</t>
  </si>
  <si>
    <t xml:space="preserve"> 57.83亿</t>
  </si>
  <si>
    <t xml:space="preserve"> 5.824亿</t>
  </si>
  <si>
    <t xml:space="preserve"> 赛福天</t>
  </si>
  <si>
    <t xml:space="preserve"> 1.18亿</t>
  </si>
  <si>
    <t xml:space="preserve"> 2.870亿</t>
  </si>
  <si>
    <t xml:space="preserve"> 30.71亿</t>
  </si>
  <si>
    <t xml:space="preserve"> 武商集团</t>
  </si>
  <si>
    <t xml:space="preserve"> 54.4亿</t>
  </si>
  <si>
    <t xml:space="preserve"> 7.690亿</t>
  </si>
  <si>
    <t xml:space="preserve"> 67.98亿</t>
  </si>
  <si>
    <t xml:space="preserve"> 7.681亿</t>
  </si>
  <si>
    <t xml:space="preserve"> 67.90亿</t>
  </si>
  <si>
    <t xml:space="preserve"> 春秋电子</t>
  </si>
  <si>
    <t xml:space="preserve"> 物产中大</t>
  </si>
  <si>
    <t xml:space="preserve"> 4386亿</t>
  </si>
  <si>
    <t xml:space="preserve"> -2.52万</t>
  </si>
  <si>
    <t xml:space="preserve"> 51.93亿</t>
  </si>
  <si>
    <t xml:space="preserve"> 51.15亿</t>
  </si>
  <si>
    <t xml:space="preserve"> 237.8亿</t>
  </si>
  <si>
    <t xml:space="preserve"> 万马股份</t>
  </si>
  <si>
    <t xml:space="preserve"> 10.35亿</t>
  </si>
  <si>
    <t xml:space="preserve"> 锋龙股份</t>
  </si>
  <si>
    <t xml:space="preserve"> 1.992亿</t>
  </si>
  <si>
    <t xml:space="preserve"> 1.807亿</t>
  </si>
  <si>
    <t xml:space="preserve"> 25.82亿</t>
  </si>
  <si>
    <t xml:space="preserve"> 百洋医药</t>
  </si>
  <si>
    <t xml:space="preserve"> 5.251亿</t>
  </si>
  <si>
    <t xml:space="preserve"> 1.184亿</t>
  </si>
  <si>
    <t xml:space="preserve"> 47.62亿</t>
  </si>
  <si>
    <t xml:space="preserve"> 中宠股份</t>
  </si>
  <si>
    <t xml:space="preserve"> 2.941亿</t>
  </si>
  <si>
    <t xml:space="preserve"> 73.11亿</t>
  </si>
  <si>
    <t xml:space="preserve"> 华天科技</t>
  </si>
  <si>
    <t xml:space="preserve"> 1.17亿</t>
  </si>
  <si>
    <t xml:space="preserve"> 80.7亿</t>
  </si>
  <si>
    <t xml:space="preserve"> 6.70万</t>
  </si>
  <si>
    <t xml:space="preserve"> 32.04亿</t>
  </si>
  <si>
    <t xml:space="preserve"> 286.4亿</t>
  </si>
  <si>
    <t xml:space="preserve"> 国元证券</t>
  </si>
  <si>
    <t xml:space="preserve"> 9.79万</t>
  </si>
  <si>
    <t xml:space="preserve"> 43.64亿</t>
  </si>
  <si>
    <t xml:space="preserve"> 303.7亿</t>
  </si>
  <si>
    <t xml:space="preserve"> 佛慈制药</t>
  </si>
  <si>
    <t xml:space="preserve"> 8.61亿</t>
  </si>
  <si>
    <t xml:space="preserve"> 5.107亿</t>
  </si>
  <si>
    <t xml:space="preserve"> 53.52亿</t>
  </si>
  <si>
    <t xml:space="preserve"> 贵阳银行</t>
  </si>
  <si>
    <t xml:space="preserve"> -3.55万</t>
  </si>
  <si>
    <t xml:space="preserve"> 36.56亿</t>
  </si>
  <si>
    <t xml:space="preserve"> 35.69亿</t>
  </si>
  <si>
    <t xml:space="preserve"> 183.1亿</t>
  </si>
  <si>
    <t xml:space="preserve"> 亚星客车</t>
  </si>
  <si>
    <t xml:space="preserve"> 精锻科技</t>
  </si>
  <si>
    <t xml:space="preserve"> 4.818亿</t>
  </si>
  <si>
    <t xml:space="preserve"> 67.59亿</t>
  </si>
  <si>
    <t xml:space="preserve"> 65.06亿</t>
  </si>
  <si>
    <t xml:space="preserve"> 丽江股份</t>
  </si>
  <si>
    <t xml:space="preserve"> 6.51万</t>
  </si>
  <si>
    <t xml:space="preserve"> 5.495亿</t>
  </si>
  <si>
    <t xml:space="preserve"> 湘邮科技</t>
  </si>
  <si>
    <t xml:space="preserve"> 1.611亿</t>
  </si>
  <si>
    <t xml:space="preserve"> 28.43亿</t>
  </si>
  <si>
    <t xml:space="preserve"> 凯淳股份</t>
  </si>
  <si>
    <t xml:space="preserve"> 22.62亿</t>
  </si>
  <si>
    <t xml:space="preserve"> 3440万</t>
  </si>
  <si>
    <t xml:space="preserve"> 9.728亿</t>
  </si>
  <si>
    <t xml:space="preserve"> 索菲亚</t>
  </si>
  <si>
    <t xml:space="preserve"> 7.21万</t>
  </si>
  <si>
    <t xml:space="preserve"> 82.0亿</t>
  </si>
  <si>
    <t xml:space="preserve"> 9.124亿</t>
  </si>
  <si>
    <t xml:space="preserve"> 147.9亿</t>
  </si>
  <si>
    <t xml:space="preserve"> 6.388亿</t>
  </si>
  <si>
    <t xml:space="preserve"> 103.5亿</t>
  </si>
  <si>
    <t xml:space="preserve"> 大连电瓷</t>
  </si>
  <si>
    <t xml:space="preserve"> 1.16亿</t>
  </si>
  <si>
    <t xml:space="preserve"> 4.393亿</t>
  </si>
  <si>
    <t xml:space="preserve"> 35.72亿</t>
  </si>
  <si>
    <t xml:space="preserve"> 4.211亿</t>
  </si>
  <si>
    <t xml:space="preserve"> 34.24亿</t>
  </si>
  <si>
    <t xml:space="preserve"> 皇氏集团</t>
  </si>
  <si>
    <t xml:space="preserve"> 25.7亿</t>
  </si>
  <si>
    <t xml:space="preserve"> 8.691亿</t>
  </si>
  <si>
    <t xml:space="preserve"> 49.63亿</t>
  </si>
  <si>
    <t xml:space="preserve"> 5.877亿</t>
  </si>
  <si>
    <t xml:space="preserve"> 33.56亿</t>
  </si>
  <si>
    <t xml:space="preserve"> 平潭发展</t>
  </si>
  <si>
    <t xml:space="preserve"> 8.90亿</t>
  </si>
  <si>
    <t xml:space="preserve"> -2.36万</t>
  </si>
  <si>
    <t xml:space="preserve"> 49.65亿</t>
  </si>
  <si>
    <t xml:space="preserve"> 19.14亿</t>
  </si>
  <si>
    <t xml:space="preserve"> 49.19亿</t>
  </si>
  <si>
    <t xml:space="preserve"> 三利谱</t>
  </si>
  <si>
    <t xml:space="preserve"> 1.739亿</t>
  </si>
  <si>
    <t xml:space="preserve"> 57.14亿</t>
  </si>
  <si>
    <t xml:space="preserve"> 48.87亿</t>
  </si>
  <si>
    <t xml:space="preserve"> 傲农生物</t>
  </si>
  <si>
    <t xml:space="preserve"> 152亿</t>
  </si>
  <si>
    <t xml:space="preserve"> 8.711亿</t>
  </si>
  <si>
    <t xml:space="preserve"> 69.25亿</t>
  </si>
  <si>
    <t xml:space="preserve"> 7.375亿</t>
  </si>
  <si>
    <t xml:space="preserve"> 58.63亿</t>
  </si>
  <si>
    <t xml:space="preserve"> 长城证券</t>
  </si>
  <si>
    <t xml:space="preserve"> 31.5亿</t>
  </si>
  <si>
    <t xml:space="preserve"> 6.35万</t>
  </si>
  <si>
    <t xml:space="preserve"> 40.34亿</t>
  </si>
  <si>
    <t xml:space="preserve"> 336.9亿</t>
  </si>
  <si>
    <t xml:space="preserve"> 34.88亿</t>
  </si>
  <si>
    <t xml:space="preserve"> 291.2亿</t>
  </si>
  <si>
    <t xml:space="preserve"> 航民股份</t>
  </si>
  <si>
    <t xml:space="preserve"> 73.3亿</t>
  </si>
  <si>
    <t xml:space="preserve"> 三祥新材</t>
  </si>
  <si>
    <t xml:space="preserve"> 4.237亿</t>
  </si>
  <si>
    <t xml:space="preserve"> 甬金股份</t>
  </si>
  <si>
    <t xml:space="preserve"> 276亿</t>
  </si>
  <si>
    <t xml:space="preserve"> 3.814亿</t>
  </si>
  <si>
    <t xml:space="preserve"> 80.81亿</t>
  </si>
  <si>
    <t xml:space="preserve"> 3.803亿</t>
  </si>
  <si>
    <t xml:space="preserve"> 80.59亿</t>
  </si>
  <si>
    <t xml:space="preserve"> 盾安环境</t>
  </si>
  <si>
    <t xml:space="preserve"> 84.5亿</t>
  </si>
  <si>
    <t xml:space="preserve"> 129.8亿</t>
  </si>
  <si>
    <t xml:space="preserve"> 9.150亿</t>
  </si>
  <si>
    <t xml:space="preserve"> 112.4亿</t>
  </si>
  <si>
    <t xml:space="preserve"> 蓝晓科技</t>
  </si>
  <si>
    <t xml:space="preserve"> 5.050亿</t>
  </si>
  <si>
    <t xml:space="preserve"> 253.6亿</t>
  </si>
  <si>
    <t xml:space="preserve"> 3.041亿</t>
  </si>
  <si>
    <t xml:space="preserve"> 152.7亿</t>
  </si>
  <si>
    <t xml:space="preserve"> 新通联</t>
  </si>
  <si>
    <t xml:space="preserve"> 20.98亿</t>
  </si>
  <si>
    <t xml:space="preserve"> 三木集团</t>
  </si>
  <si>
    <t xml:space="preserve"> 4.655亿</t>
  </si>
  <si>
    <t xml:space="preserve"> 22.25亿</t>
  </si>
  <si>
    <t xml:space="preserve"> 国信证券</t>
  </si>
  <si>
    <t xml:space="preserve"> 96.12亿</t>
  </si>
  <si>
    <t xml:space="preserve"> 912.2亿</t>
  </si>
  <si>
    <t xml:space="preserve"> 91.39亿</t>
  </si>
  <si>
    <t xml:space="preserve"> 867.3亿</t>
  </si>
  <si>
    <t xml:space="preserve"> 兔 宝 宝</t>
  </si>
  <si>
    <t xml:space="preserve"> 57.3亿</t>
  </si>
  <si>
    <t xml:space="preserve"> 8.398亿</t>
  </si>
  <si>
    <t xml:space="preserve"> 77.51亿</t>
  </si>
  <si>
    <t xml:space="preserve"> 6.918亿</t>
  </si>
  <si>
    <t xml:space="preserve"> 63.85亿</t>
  </si>
  <si>
    <t xml:space="preserve"> 福莱特</t>
  </si>
  <si>
    <t xml:space="preserve"> 1.15亿</t>
  </si>
  <si>
    <t xml:space="preserve"> 23.51亿</t>
  </si>
  <si>
    <t xml:space="preserve"> 595.8亿</t>
  </si>
  <si>
    <t xml:space="preserve"> 16.95亿</t>
  </si>
  <si>
    <t xml:space="preserve"> 429.4亿</t>
  </si>
  <si>
    <t xml:space="preserve"> 绿地控股</t>
  </si>
  <si>
    <t xml:space="preserve"> 46.7万</t>
  </si>
  <si>
    <t xml:space="preserve"> 2537亿</t>
  </si>
  <si>
    <t xml:space="preserve"> -2.73万</t>
  </si>
  <si>
    <t xml:space="preserve"> 140.5亿</t>
  </si>
  <si>
    <t xml:space="preserve"> 347.1亿</t>
  </si>
  <si>
    <t xml:space="preserve"> 横店东磁</t>
  </si>
  <si>
    <t xml:space="preserve"> 216.2亿</t>
  </si>
  <si>
    <t xml:space="preserve"> 川润股份</t>
  </si>
  <si>
    <t xml:space="preserve"> 4.380亿</t>
  </si>
  <si>
    <t xml:space="preserve"> 30.18亿</t>
  </si>
  <si>
    <t xml:space="preserve"> 3.348亿</t>
  </si>
  <si>
    <t xml:space="preserve"> 23.07亿</t>
  </si>
  <si>
    <t xml:space="preserve"> 康希诺</t>
  </si>
  <si>
    <t xml:space="preserve"> 207.5亿</t>
  </si>
  <si>
    <t xml:space="preserve"> 1.148亿</t>
  </si>
  <si>
    <t xml:space="preserve"> 96.24亿</t>
  </si>
  <si>
    <t xml:space="preserve"> 城地香江</t>
  </si>
  <si>
    <t xml:space="preserve"> 4.508亿</t>
  </si>
  <si>
    <t xml:space="preserve"> 38.54亿</t>
  </si>
  <si>
    <t xml:space="preserve"> 星网锐捷</t>
  </si>
  <si>
    <t xml:space="preserve"> 112.2亿</t>
  </si>
  <si>
    <t xml:space="preserve"> 5.833亿</t>
  </si>
  <si>
    <t xml:space="preserve"> 110.4亿</t>
  </si>
  <si>
    <t xml:space="preserve"> 佳缘科技</t>
  </si>
  <si>
    <t xml:space="preserve"> 9226万</t>
  </si>
  <si>
    <t xml:space="preserve"> 60.20亿</t>
  </si>
  <si>
    <t xml:space="preserve"> 4330万</t>
  </si>
  <si>
    <t xml:space="preserve"> 亚太药业</t>
  </si>
  <si>
    <t xml:space="preserve"> 5.644亿</t>
  </si>
  <si>
    <t xml:space="preserve"> 27.32亿</t>
  </si>
  <si>
    <t xml:space="preserve"> 新雷能</t>
  </si>
  <si>
    <t xml:space="preserve"> 5.383亿</t>
  </si>
  <si>
    <t xml:space="preserve"> 91.35亿</t>
  </si>
  <si>
    <t xml:space="preserve"> 4.451亿</t>
  </si>
  <si>
    <t xml:space="preserve"> 75.53亿</t>
  </si>
  <si>
    <t xml:space="preserve"> 万邦医药</t>
  </si>
  <si>
    <t xml:space="preserve"> 38.89亿</t>
  </si>
  <si>
    <t xml:space="preserve"> 1581万</t>
  </si>
  <si>
    <t xml:space="preserve"> 9.219亿</t>
  </si>
  <si>
    <t xml:space="preserve"> 千金药业</t>
  </si>
  <si>
    <t xml:space="preserve"> 4.289亿</t>
  </si>
  <si>
    <t xml:space="preserve"> 49.58亿</t>
  </si>
  <si>
    <t xml:space="preserve"> 48.38亿</t>
  </si>
  <si>
    <t xml:space="preserve"> 华星创业</t>
  </si>
  <si>
    <t xml:space="preserve"> 5.088亿</t>
  </si>
  <si>
    <t xml:space="preserve"> 45.62亿</t>
  </si>
  <si>
    <t xml:space="preserve"> 瑞玛精密</t>
  </si>
  <si>
    <t xml:space="preserve"> 1.205亿</t>
  </si>
  <si>
    <t xml:space="preserve"> 41.82亿</t>
  </si>
  <si>
    <t xml:space="preserve"> 6464万</t>
  </si>
  <si>
    <t xml:space="preserve"> 22.44亿</t>
  </si>
  <si>
    <t xml:space="preserve"> 易事特</t>
  </si>
  <si>
    <t xml:space="preserve"> 38.3亿</t>
  </si>
  <si>
    <t xml:space="preserve"> 23.25亿</t>
  </si>
  <si>
    <t xml:space="preserve"> 150.2亿</t>
  </si>
  <si>
    <t xml:space="preserve"> 赢时胜</t>
  </si>
  <si>
    <t xml:space="preserve"> 6.716亿</t>
  </si>
  <si>
    <t xml:space="preserve"> 60.72亿</t>
  </si>
  <si>
    <t xml:space="preserve"> 劲拓股份</t>
  </si>
  <si>
    <t xml:space="preserve"> 5.57亿</t>
  </si>
  <si>
    <t xml:space="preserve"> 2.426亿</t>
  </si>
  <si>
    <t xml:space="preserve"> 44.06亿</t>
  </si>
  <si>
    <t xml:space="preserve"> 2.410亿</t>
  </si>
  <si>
    <t xml:space="preserve"> 43.76亿</t>
  </si>
  <si>
    <t xml:space="preserve"> 如通股份</t>
  </si>
  <si>
    <t xml:space="preserve"> 3.22万</t>
  </si>
  <si>
    <t xml:space="preserve"> 2.060亿</t>
  </si>
  <si>
    <t xml:space="preserve"> 理邦仪器</t>
  </si>
  <si>
    <t xml:space="preserve"> 5.817亿</t>
  </si>
  <si>
    <t xml:space="preserve"> 64.34亿</t>
  </si>
  <si>
    <t xml:space="preserve"> 3.404亿</t>
  </si>
  <si>
    <t xml:space="preserve"> 37.65亿</t>
  </si>
  <si>
    <t xml:space="preserve"> 华如科技</t>
  </si>
  <si>
    <t xml:space="preserve"> 8658万</t>
  </si>
  <si>
    <t xml:space="preserve"> 22.58亿</t>
  </si>
  <si>
    <t xml:space="preserve"> 光威复材</t>
  </si>
  <si>
    <t xml:space="preserve"> 8.314亿</t>
  </si>
  <si>
    <t xml:space="preserve"> 208.4亿</t>
  </si>
  <si>
    <t xml:space="preserve"> 8.176亿</t>
  </si>
  <si>
    <t xml:space="preserve"> 中航西飞</t>
  </si>
  <si>
    <t xml:space="preserve"> 284亿</t>
  </si>
  <si>
    <t xml:space="preserve"> 27.82亿</t>
  </si>
  <si>
    <t xml:space="preserve"> 610.9亿</t>
  </si>
  <si>
    <t xml:space="preserve"> 27.69亿</t>
  </si>
  <si>
    <t xml:space="preserve"> 608.0亿</t>
  </si>
  <si>
    <t xml:space="preserve"> 航天彩虹</t>
  </si>
  <si>
    <t xml:space="preserve"> 9.970亿</t>
  </si>
  <si>
    <t xml:space="preserve"> 192.2亿</t>
  </si>
  <si>
    <t xml:space="preserve"> 9.883亿</t>
  </si>
  <si>
    <t xml:space="preserve"> 视源股份</t>
  </si>
  <si>
    <t xml:space="preserve"> 7.012亿</t>
  </si>
  <si>
    <t xml:space="preserve"> 319.8亿</t>
  </si>
  <si>
    <t xml:space="preserve"> 4.825亿</t>
  </si>
  <si>
    <t xml:space="preserve"> 220.0亿</t>
  </si>
  <si>
    <t xml:space="preserve"> 中巨芯-U</t>
  </si>
  <si>
    <t xml:space="preserve"> 6.49亿</t>
  </si>
  <si>
    <t xml:space="preserve"> 14.77亿</t>
  </si>
  <si>
    <t xml:space="preserve"> 136.9亿</t>
  </si>
  <si>
    <t xml:space="preserve"> 2.616亿</t>
  </si>
  <si>
    <t xml:space="preserve"> 24.25亿</t>
  </si>
  <si>
    <t xml:space="preserve"> 中远海发</t>
  </si>
  <si>
    <t xml:space="preserve"> 106亿</t>
  </si>
  <si>
    <t xml:space="preserve"> 320.4亿</t>
  </si>
  <si>
    <t xml:space="preserve"> 82.35亿</t>
  </si>
  <si>
    <t xml:space="preserve"> 194.3亿</t>
  </si>
  <si>
    <t xml:space="preserve"> 百诚医药</t>
  </si>
  <si>
    <t xml:space="preserve"> 1.089亿</t>
  </si>
  <si>
    <t xml:space="preserve"> 70.05亿</t>
  </si>
  <si>
    <t xml:space="preserve"> 6932万</t>
  </si>
  <si>
    <t xml:space="preserve"> 44.58亿</t>
  </si>
  <si>
    <t xml:space="preserve"> 拉芳家化</t>
  </si>
  <si>
    <t xml:space="preserve"> 2.252亿</t>
  </si>
  <si>
    <t xml:space="preserve"> 37.29亿</t>
  </si>
  <si>
    <t xml:space="preserve"> 禾川科技</t>
  </si>
  <si>
    <t xml:space="preserve"> 1.510亿</t>
  </si>
  <si>
    <t xml:space="preserve"> 67.50亿</t>
  </si>
  <si>
    <t xml:space="preserve"> 1.039亿</t>
  </si>
  <si>
    <t xml:space="preserve"> 众信旅游</t>
  </si>
  <si>
    <t xml:space="preserve"> 9.827亿</t>
  </si>
  <si>
    <t xml:space="preserve"> 72.82亿</t>
  </si>
  <si>
    <t xml:space="preserve"> 8.146亿</t>
  </si>
  <si>
    <t xml:space="preserve"> 60.36亿</t>
  </si>
  <si>
    <t xml:space="preserve"> 杭氧股份</t>
  </si>
  <si>
    <t xml:space="preserve"> 9.843亿</t>
  </si>
  <si>
    <t xml:space="preserve"> 304.2亿</t>
  </si>
  <si>
    <t xml:space="preserve"> 9.643亿</t>
  </si>
  <si>
    <t xml:space="preserve"> 298.0亿</t>
  </si>
  <si>
    <t xml:space="preserve"> 南京新百</t>
  </si>
  <si>
    <t xml:space="preserve"> 47.6亿</t>
  </si>
  <si>
    <t xml:space="preserve"> 13.46亿</t>
  </si>
  <si>
    <t xml:space="preserve"> 92.39亿</t>
  </si>
  <si>
    <t xml:space="preserve"> 思瑞浦</t>
  </si>
  <si>
    <t xml:space="preserve"> 1.323亿</t>
  </si>
  <si>
    <t xml:space="preserve"> 210.4亿</t>
  </si>
  <si>
    <t xml:space="preserve"> 1.203亿</t>
  </si>
  <si>
    <t xml:space="preserve"> 华勤技术</t>
  </si>
  <si>
    <t xml:space="preserve"> 564.2亿</t>
  </si>
  <si>
    <t xml:space="preserve"> 5946万</t>
  </si>
  <si>
    <t xml:space="preserve"> 步长制药</t>
  </si>
  <si>
    <t xml:space="preserve"> 99.8亿</t>
  </si>
  <si>
    <t xml:space="preserve"> 197.2亿</t>
  </si>
  <si>
    <t xml:space="preserve"> 西部证券</t>
  </si>
  <si>
    <t xml:space="preserve"> 57.2亿</t>
  </si>
  <si>
    <t xml:space="preserve"> 7.58万</t>
  </si>
  <si>
    <t xml:space="preserve"> 44.70亿</t>
  </si>
  <si>
    <t xml:space="preserve"> 295.9亿</t>
  </si>
  <si>
    <t xml:space="preserve"> 272.0亿</t>
  </si>
  <si>
    <t xml:space="preserve"> 乾照光电</t>
  </si>
  <si>
    <t xml:space="preserve"> 9.132亿</t>
  </si>
  <si>
    <t xml:space="preserve"> 72.32亿</t>
  </si>
  <si>
    <t xml:space="preserve"> 9.092亿</t>
  </si>
  <si>
    <t xml:space="preserve"> 72.01亿</t>
  </si>
  <si>
    <t xml:space="preserve"> 金龙机电</t>
  </si>
  <si>
    <t xml:space="preserve"> 50.44亿</t>
  </si>
  <si>
    <t xml:space="preserve"> 德明利</t>
  </si>
  <si>
    <t xml:space="preserve"> 9.76亿</t>
  </si>
  <si>
    <t xml:space="preserve"> 1.132亿</t>
  </si>
  <si>
    <t xml:space="preserve"> 6708万</t>
  </si>
  <si>
    <t xml:space="preserve"> 62.31亿</t>
  </si>
  <si>
    <t xml:space="preserve"> 怡合达</t>
  </si>
  <si>
    <t xml:space="preserve"> 1.12亿</t>
  </si>
  <si>
    <t xml:space="preserve"> 2.979亿</t>
  </si>
  <si>
    <t xml:space="preserve"> 82.83亿</t>
  </si>
  <si>
    <t xml:space="preserve"> 光启技术</t>
  </si>
  <si>
    <t xml:space="preserve"> 21.55亿</t>
  </si>
  <si>
    <t xml:space="preserve"> 17.77亿</t>
  </si>
  <si>
    <t xml:space="preserve"> 246.3亿</t>
  </si>
  <si>
    <t xml:space="preserve"> 顾家家居</t>
  </si>
  <si>
    <t xml:space="preserve"> 301.7亿</t>
  </si>
  <si>
    <t xml:space="preserve"> 中新赛克</t>
  </si>
  <si>
    <t xml:space="preserve"> 50.65亿</t>
  </si>
  <si>
    <t xml:space="preserve"> 1.622亿</t>
  </si>
  <si>
    <t xml:space="preserve"> 48.12亿</t>
  </si>
  <si>
    <t xml:space="preserve"> 中国海诚</t>
  </si>
  <si>
    <t xml:space="preserve"> 4.665亿</t>
  </si>
  <si>
    <t xml:space="preserve"> 49.77亿</t>
  </si>
  <si>
    <t xml:space="preserve"> 中银绒业</t>
  </si>
  <si>
    <t xml:space="preserve"> 70.6万</t>
  </si>
  <si>
    <t xml:space="preserve"> 42.62亿</t>
  </si>
  <si>
    <t xml:space="preserve"> 67.76亿</t>
  </si>
  <si>
    <t xml:space="preserve"> 海兴电力</t>
  </si>
  <si>
    <t xml:space="preserve"> 28.7亿</t>
  </si>
  <si>
    <t xml:space="preserve"> 4.887亿</t>
  </si>
  <si>
    <t xml:space="preserve"> 127.1亿</t>
  </si>
  <si>
    <t xml:space="preserve"> 中超控股</t>
  </si>
  <si>
    <t xml:space="preserve"> 13.51亿</t>
  </si>
  <si>
    <t xml:space="preserve"> 39.37亿</t>
  </si>
  <si>
    <t xml:space="preserve"> 东华测试</t>
  </si>
  <si>
    <t xml:space="preserve"> 7997万</t>
  </si>
  <si>
    <t xml:space="preserve"> 中科软</t>
  </si>
  <si>
    <t xml:space="preserve"> 39.2亿</t>
  </si>
  <si>
    <t xml:space="preserve"> 5.936亿</t>
  </si>
  <si>
    <t xml:space="preserve"> 东方通信</t>
  </si>
  <si>
    <t xml:space="preserve"> 152.6亿</t>
  </si>
  <si>
    <t xml:space="preserve"> 116.2亿</t>
  </si>
  <si>
    <t xml:space="preserve"> 慧智微-U</t>
  </si>
  <si>
    <t xml:space="preserve"> 93.32亿</t>
  </si>
  <si>
    <t xml:space="preserve"> 5314万</t>
  </si>
  <si>
    <t xml:space="preserve"> 10.89亿</t>
  </si>
  <si>
    <t xml:space="preserve"> 峆一药业</t>
  </si>
  <si>
    <t xml:space="preserve"> 4016万</t>
  </si>
  <si>
    <t xml:space="preserve"> 9.610亿</t>
  </si>
  <si>
    <t xml:space="preserve"> 1922万</t>
  </si>
  <si>
    <t xml:space="preserve"> 华明装备</t>
  </si>
  <si>
    <t xml:space="preserve"> 8.962亿</t>
  </si>
  <si>
    <t xml:space="preserve"> 7.592亿</t>
  </si>
  <si>
    <t xml:space="preserve"> 102.4亿</t>
  </si>
  <si>
    <t xml:space="preserve"> 厦门象屿</t>
  </si>
  <si>
    <t xml:space="preserve"> 3686亿</t>
  </si>
  <si>
    <t xml:space="preserve"> 143.5亿</t>
  </si>
  <si>
    <t xml:space="preserve"> 奥海科技</t>
  </si>
  <si>
    <t xml:space="preserve"> 2.379亿</t>
  </si>
  <si>
    <t xml:space="preserve"> 93.49亿</t>
  </si>
  <si>
    <t xml:space="preserve"> 北方国际</t>
  </si>
  <si>
    <t xml:space="preserve"> 9.054亿</t>
  </si>
  <si>
    <t xml:space="preserve"> 电声股份</t>
  </si>
  <si>
    <t xml:space="preserve"> 4.232亿</t>
  </si>
  <si>
    <t xml:space="preserve"> 40.29亿</t>
  </si>
  <si>
    <t xml:space="preserve"> 2.871亿</t>
  </si>
  <si>
    <t xml:space="preserve"> 27.34亿</t>
  </si>
  <si>
    <t xml:space="preserve"> 苏州银行</t>
  </si>
  <si>
    <t xml:space="preserve"> 36.67亿</t>
  </si>
  <si>
    <t xml:space="preserve"> 235.8亿</t>
  </si>
  <si>
    <t xml:space="preserve"> 229.2亿</t>
  </si>
  <si>
    <t xml:space="preserve"> 卡莱特</t>
  </si>
  <si>
    <t xml:space="preserve"> 73.92亿</t>
  </si>
  <si>
    <t xml:space="preserve"> 3583万</t>
  </si>
  <si>
    <t xml:space="preserve"> 38.94亿</t>
  </si>
  <si>
    <t xml:space="preserve"> 迪安诊断</t>
  </si>
  <si>
    <t xml:space="preserve"> 6.269亿</t>
  </si>
  <si>
    <t xml:space="preserve"> 5.030亿</t>
  </si>
  <si>
    <t xml:space="preserve"> 133.7亿</t>
  </si>
  <si>
    <t xml:space="preserve"> 芯海科技</t>
  </si>
  <si>
    <t xml:space="preserve"> 1.424亿</t>
  </si>
  <si>
    <t xml:space="preserve"> 57.50亿</t>
  </si>
  <si>
    <t xml:space="preserve"> 浙江东日</t>
  </si>
  <si>
    <t xml:space="preserve"> 4.215亿</t>
  </si>
  <si>
    <t xml:space="preserve"> 4.114亿</t>
  </si>
  <si>
    <t xml:space="preserve"> 35.79亿</t>
  </si>
  <si>
    <t xml:space="preserve"> 桐昆股份</t>
  </si>
  <si>
    <t xml:space="preserve"> 617亿</t>
  </si>
  <si>
    <t xml:space="preserve"> 24.11亿</t>
  </si>
  <si>
    <t xml:space="preserve"> 324.1亿</t>
  </si>
  <si>
    <t xml:space="preserve"> 22.88亿</t>
  </si>
  <si>
    <t xml:space="preserve"> 国海证券</t>
  </si>
  <si>
    <t xml:space="preserve"> 63.86亿</t>
  </si>
  <si>
    <t xml:space="preserve"> 235.0亿</t>
  </si>
  <si>
    <t xml:space="preserve"> 54.45亿</t>
  </si>
  <si>
    <t xml:space="preserve"> 200.4亿</t>
  </si>
  <si>
    <t xml:space="preserve"> 厚普股份</t>
  </si>
  <si>
    <t xml:space="preserve"> 1.10亿</t>
  </si>
  <si>
    <t xml:space="preserve"> 5.83亿</t>
  </si>
  <si>
    <t xml:space="preserve"> 55.13亿</t>
  </si>
  <si>
    <t xml:space="preserve"> 3.484亿</t>
  </si>
  <si>
    <t xml:space="preserve"> 47.52亿</t>
  </si>
  <si>
    <t xml:space="preserve"> 华人健康</t>
  </si>
  <si>
    <t xml:space="preserve"> 70.00亿</t>
  </si>
  <si>
    <t xml:space="preserve"> 6001万</t>
  </si>
  <si>
    <t xml:space="preserve"> 本川智能</t>
  </si>
  <si>
    <t xml:space="preserve"> 7730万</t>
  </si>
  <si>
    <t xml:space="preserve"> 33.20亿</t>
  </si>
  <si>
    <t xml:space="preserve"> 3291万</t>
  </si>
  <si>
    <t xml:space="preserve"> 大理药业</t>
  </si>
  <si>
    <t xml:space="preserve"> 8.87万</t>
  </si>
  <si>
    <t xml:space="preserve"> 7327万</t>
  </si>
  <si>
    <t xml:space="preserve"> 2.197亿</t>
  </si>
  <si>
    <t xml:space="preserve"> 27.18亿</t>
  </si>
  <si>
    <t xml:space="preserve"> 海油工程</t>
  </si>
  <si>
    <t xml:space="preserve"> 44.21亿</t>
  </si>
  <si>
    <t xml:space="preserve"> 282.5亿</t>
  </si>
  <si>
    <t xml:space="preserve"> 伊之密</t>
  </si>
  <si>
    <t xml:space="preserve"> 29.4亿</t>
  </si>
  <si>
    <t xml:space="preserve"> 4.686亿</t>
  </si>
  <si>
    <t xml:space="preserve"> 86.64亿</t>
  </si>
  <si>
    <t xml:space="preserve"> 4.231亿</t>
  </si>
  <si>
    <t xml:space="preserve"> 龙津药业</t>
  </si>
  <si>
    <t xml:space="preserve"> 7105万</t>
  </si>
  <si>
    <t xml:space="preserve"> 43.85亿</t>
  </si>
  <si>
    <t xml:space="preserve"> 3.987亿</t>
  </si>
  <si>
    <t xml:space="preserve"> 43.66亿</t>
  </si>
  <si>
    <t xml:space="preserve"> 鼎龙股份</t>
  </si>
  <si>
    <t xml:space="preserve"> 9.450亿</t>
  </si>
  <si>
    <t xml:space="preserve"> 7.351亿</t>
  </si>
  <si>
    <t xml:space="preserve"> 亚钾国际</t>
  </si>
  <si>
    <t xml:space="preserve"> 9.291亿</t>
  </si>
  <si>
    <t xml:space="preserve"> 252.7亿</t>
  </si>
  <si>
    <t xml:space="preserve"> 8.129亿</t>
  </si>
  <si>
    <t xml:space="preserve"> 221.1亿</t>
  </si>
  <si>
    <t xml:space="preserve"> 文灿股份</t>
  </si>
  <si>
    <t xml:space="preserve"> 2.640亿</t>
  </si>
  <si>
    <t xml:space="preserve"> 104.3亿</t>
  </si>
  <si>
    <t xml:space="preserve"> 信雅达</t>
  </si>
  <si>
    <t xml:space="preserve"> 1.09亿</t>
  </si>
  <si>
    <t xml:space="preserve"> 4.456亿</t>
  </si>
  <si>
    <t xml:space="preserve"> 54.10亿</t>
  </si>
  <si>
    <t xml:space="preserve"> 山东赫达</t>
  </si>
  <si>
    <t xml:space="preserve"> 3.423亿</t>
  </si>
  <si>
    <t xml:space="preserve"> 69.52亿</t>
  </si>
  <si>
    <t xml:space="preserve"> 67.99亿</t>
  </si>
  <si>
    <t xml:space="preserve"> 梅花生物</t>
  </si>
  <si>
    <t xml:space="preserve"> 7.52万</t>
  </si>
  <si>
    <t xml:space="preserve"> 276.7亿</t>
  </si>
  <si>
    <t xml:space="preserve"> 富信科技</t>
  </si>
  <si>
    <t xml:space="preserve"> 8824万</t>
  </si>
  <si>
    <t xml:space="preserve"> 34.14亿</t>
  </si>
  <si>
    <t xml:space="preserve"> 5423万</t>
  </si>
  <si>
    <t xml:space="preserve"> 华新水泥</t>
  </si>
  <si>
    <t xml:space="preserve"> 242亿</t>
  </si>
  <si>
    <t xml:space="preserve"> 20.79亿</t>
  </si>
  <si>
    <t xml:space="preserve"> 271.5亿</t>
  </si>
  <si>
    <t xml:space="preserve"> 13.44亿</t>
  </si>
  <si>
    <t xml:space="preserve"> 175.6亿</t>
  </si>
  <si>
    <t xml:space="preserve"> 西藏药业</t>
  </si>
  <si>
    <t xml:space="preserve"> 2.479亿</t>
  </si>
  <si>
    <t xml:space="preserve"> 国药现代</t>
  </si>
  <si>
    <t xml:space="preserve"> 91.6亿</t>
  </si>
  <si>
    <t xml:space="preserve"> 140.4亿</t>
  </si>
  <si>
    <t xml:space="preserve"> 雪人股份</t>
  </si>
  <si>
    <t xml:space="preserve"> 7.726亿</t>
  </si>
  <si>
    <t xml:space="preserve"> 60.03亿</t>
  </si>
  <si>
    <t xml:space="preserve"> 6.506亿</t>
  </si>
  <si>
    <t xml:space="preserve"> 50.55亿</t>
  </si>
  <si>
    <t xml:space="preserve"> 华建集团</t>
  </si>
  <si>
    <t xml:space="preserve"> 55.3亿</t>
  </si>
  <si>
    <t xml:space="preserve"> 9.706亿</t>
  </si>
  <si>
    <t xml:space="preserve"> 51.44亿</t>
  </si>
  <si>
    <t xml:space="preserve"> 9.447亿</t>
  </si>
  <si>
    <t xml:space="preserve"> 50.07亿</t>
  </si>
  <si>
    <t xml:space="preserve"> 帝科股份</t>
  </si>
  <si>
    <t xml:space="preserve"> 61.0亿</t>
  </si>
  <si>
    <t xml:space="preserve"> 71.68亿</t>
  </si>
  <si>
    <t xml:space="preserve"> 8577万</t>
  </si>
  <si>
    <t xml:space="preserve"> 61.33亿</t>
  </si>
  <si>
    <t xml:space="preserve"> 中金岭南</t>
  </si>
  <si>
    <t xml:space="preserve"> 528亿</t>
  </si>
  <si>
    <t xml:space="preserve"> 37.38亿</t>
  </si>
  <si>
    <t xml:space="preserve"> 博通股份</t>
  </si>
  <si>
    <t xml:space="preserve"> 6246万</t>
  </si>
  <si>
    <t xml:space="preserve"> 16.01亿</t>
  </si>
  <si>
    <t xml:space="preserve"> 奕瑞科技</t>
  </si>
  <si>
    <t xml:space="preserve"> 1.019亿</t>
  </si>
  <si>
    <t xml:space="preserve"> 新天地</t>
  </si>
  <si>
    <t xml:space="preserve"> 45.49亿</t>
  </si>
  <si>
    <t xml:space="preserve"> 5004万</t>
  </si>
  <si>
    <t xml:space="preserve"> 中电港</t>
  </si>
  <si>
    <t xml:space="preserve"> 241亿</t>
  </si>
  <si>
    <t xml:space="preserve"> 7.599亿</t>
  </si>
  <si>
    <t xml:space="preserve"> 1.900亿</t>
  </si>
  <si>
    <t xml:space="preserve"> 41.28亿</t>
  </si>
  <si>
    <t xml:space="preserve"> 常熟汽饰</t>
  </si>
  <si>
    <t xml:space="preserve"> 30.8亿</t>
  </si>
  <si>
    <t xml:space="preserve"> 3.800亿</t>
  </si>
  <si>
    <t xml:space="preserve"> 76.01亿</t>
  </si>
  <si>
    <t xml:space="preserve"> 会畅通讯</t>
  </si>
  <si>
    <t xml:space="preserve"> 39.43亿</t>
  </si>
  <si>
    <t xml:space="preserve"> 1.941亿</t>
  </si>
  <si>
    <t xml:space="preserve"> 38.42亿</t>
  </si>
  <si>
    <t xml:space="preserve"> 山西焦化</t>
  </si>
  <si>
    <t xml:space="preserve"> 65.2亿</t>
  </si>
  <si>
    <t xml:space="preserve"> -4.02万</t>
  </si>
  <si>
    <t xml:space="preserve"> 25.62亿</t>
  </si>
  <si>
    <t xml:space="preserve"> 晶升股份</t>
  </si>
  <si>
    <t xml:space="preserve"> 1.384亿</t>
  </si>
  <si>
    <t xml:space="preserve"> 75.27亿</t>
  </si>
  <si>
    <t xml:space="preserve"> 3122万</t>
  </si>
  <si>
    <t xml:space="preserve"> 16.98亿</t>
  </si>
  <si>
    <t xml:space="preserve"> 上海电力</t>
  </si>
  <si>
    <t xml:space="preserve"> 314亿</t>
  </si>
  <si>
    <t xml:space="preserve"> 28.17亿</t>
  </si>
  <si>
    <t xml:space="preserve"> 247.9亿</t>
  </si>
  <si>
    <t xml:space="preserve"> 230.3亿</t>
  </si>
  <si>
    <t xml:space="preserve"> 燕京啤酒</t>
  </si>
  <si>
    <t xml:space="preserve"> 28.19亿</t>
  </si>
  <si>
    <t xml:space="preserve"> 273.7亿</t>
  </si>
  <si>
    <t xml:space="preserve"> 25.10亿</t>
  </si>
  <si>
    <t xml:space="preserve"> 243.7亿</t>
  </si>
  <si>
    <t xml:space="preserve"> 民生健康</t>
  </si>
  <si>
    <t xml:space="preserve"> 3.566亿</t>
  </si>
  <si>
    <t xml:space="preserve"> 66.28亿</t>
  </si>
  <si>
    <t xml:space="preserve"> 8455万</t>
  </si>
  <si>
    <t xml:space="preserve"> 15.72亿</t>
  </si>
  <si>
    <t xml:space="preserve"> 株冶集团</t>
  </si>
  <si>
    <t xml:space="preserve"> 83.36亿</t>
  </si>
  <si>
    <t xml:space="preserve"> 53.28亿</t>
  </si>
  <si>
    <t xml:space="preserve"> 共达电声</t>
  </si>
  <si>
    <t xml:space="preserve"> 3.657亿</t>
  </si>
  <si>
    <t xml:space="preserve"> 48.31亿</t>
  </si>
  <si>
    <t xml:space="preserve"> 3.599亿</t>
  </si>
  <si>
    <t xml:space="preserve"> 47.54亿</t>
  </si>
  <si>
    <t xml:space="preserve"> 坤博精工</t>
  </si>
  <si>
    <t xml:space="preserve"> 3140万</t>
  </si>
  <si>
    <t xml:space="preserve"> 769.8万</t>
  </si>
  <si>
    <t xml:space="preserve"> 3.447亿</t>
  </si>
  <si>
    <t xml:space="preserve"> 奥 特 迅</t>
  </si>
  <si>
    <t xml:space="preserve"> 2.478亿</t>
  </si>
  <si>
    <t xml:space="preserve"> 32.34亿</t>
  </si>
  <si>
    <t xml:space="preserve"> 32.31亿</t>
  </si>
  <si>
    <t xml:space="preserve"> 竞业达</t>
  </si>
  <si>
    <t xml:space="preserve"> 1.484亿</t>
  </si>
  <si>
    <t xml:space="preserve"> 49.54亿</t>
  </si>
  <si>
    <t xml:space="preserve"> 7382万</t>
  </si>
  <si>
    <t xml:space="preserve"> 24.64亿</t>
  </si>
  <si>
    <t xml:space="preserve"> 优德精密</t>
  </si>
  <si>
    <t xml:space="preserve"> 1.07亿</t>
  </si>
  <si>
    <t xml:space="preserve"> 1.011亿</t>
  </si>
  <si>
    <t xml:space="preserve"> 贵州三力</t>
  </si>
  <si>
    <t xml:space="preserve"> 9.70亿</t>
  </si>
  <si>
    <t xml:space="preserve"> 4.099亿</t>
  </si>
  <si>
    <t xml:space="preserve"> 79.10亿</t>
  </si>
  <si>
    <t xml:space="preserve"> 4.083亿</t>
  </si>
  <si>
    <t xml:space="preserve"> 宁波华翔</t>
  </si>
  <si>
    <t xml:space="preserve"> 8.141亿</t>
  </si>
  <si>
    <t xml:space="preserve"> 5.220亿</t>
  </si>
  <si>
    <t xml:space="preserve"> 71.10亿</t>
  </si>
  <si>
    <t xml:space="preserve"> 信立泰</t>
  </si>
  <si>
    <t xml:space="preserve"> 369.1亿</t>
  </si>
  <si>
    <t xml:space="preserve"> 369.0亿</t>
  </si>
  <si>
    <t xml:space="preserve"> 凌云股份</t>
  </si>
  <si>
    <t xml:space="preserve"> 9.406亿</t>
  </si>
  <si>
    <t xml:space="preserve"> 82.59亿</t>
  </si>
  <si>
    <t xml:space="preserve"> 9.170亿</t>
  </si>
  <si>
    <t xml:space="preserve"> 80.51亿</t>
  </si>
  <si>
    <t xml:space="preserve"> 华利集团</t>
  </si>
  <si>
    <t xml:space="preserve"> 11.67亿</t>
  </si>
  <si>
    <t xml:space="preserve"> 548.5亿</t>
  </si>
  <si>
    <t xml:space="preserve"> 1.461亿</t>
  </si>
  <si>
    <t xml:space="preserve"> 68.66亿</t>
  </si>
  <si>
    <t xml:space="preserve"> 盛洋科技</t>
  </si>
  <si>
    <t xml:space="preserve"> 4.150亿</t>
  </si>
  <si>
    <t xml:space="preserve"> 艾为电子</t>
  </si>
  <si>
    <t xml:space="preserve"> 1.39万</t>
  </si>
  <si>
    <t xml:space="preserve"> 2.320亿</t>
  </si>
  <si>
    <t xml:space="preserve"> 1.346亿</t>
  </si>
  <si>
    <t xml:space="preserve"> 玉龙股份</t>
  </si>
  <si>
    <t xml:space="preserve"> 72.8亿</t>
  </si>
  <si>
    <t xml:space="preserve"> 4.13万</t>
  </si>
  <si>
    <t xml:space="preserve"> 7.830亿</t>
  </si>
  <si>
    <t xml:space="preserve"> 87.15亿</t>
  </si>
  <si>
    <t xml:space="preserve"> 路维光电</t>
  </si>
  <si>
    <t xml:space="preserve"> 1.933亿</t>
  </si>
  <si>
    <t xml:space="preserve"> 59.14亿</t>
  </si>
  <si>
    <t xml:space="preserve"> 新疆火炬</t>
  </si>
  <si>
    <t xml:space="preserve"> 7.37亿</t>
  </si>
  <si>
    <t xml:space="preserve"> 25.19亿</t>
  </si>
  <si>
    <t xml:space="preserve"> 益丰药房</t>
  </si>
  <si>
    <t xml:space="preserve"> 1.06亿</t>
  </si>
  <si>
    <t xml:space="preserve"> 10.11亿</t>
  </si>
  <si>
    <t xml:space="preserve"> 387.6亿</t>
  </si>
  <si>
    <t xml:space="preserve"> 386.6亿</t>
  </si>
  <si>
    <t xml:space="preserve"> 大连圣亚</t>
  </si>
  <si>
    <t xml:space="preserve"> 1.288亿</t>
  </si>
  <si>
    <t xml:space="preserve"> 继峰股份</t>
  </si>
  <si>
    <t xml:space="preserve"> 160.1亿</t>
  </si>
  <si>
    <t xml:space="preserve"> 广东宏大</t>
  </si>
  <si>
    <t xml:space="preserve"> 79.4亿</t>
  </si>
  <si>
    <t xml:space="preserve"> 7.486亿</t>
  </si>
  <si>
    <t xml:space="preserve"> 156.4亿</t>
  </si>
  <si>
    <t xml:space="preserve"> 6.592亿</t>
  </si>
  <si>
    <t xml:space="preserve"> 挖金客</t>
  </si>
  <si>
    <t xml:space="preserve"> 5.63亿</t>
  </si>
  <si>
    <t xml:space="preserve"> 6993万</t>
  </si>
  <si>
    <t xml:space="preserve"> 33.87亿</t>
  </si>
  <si>
    <t xml:space="preserve"> 2814万</t>
  </si>
  <si>
    <t xml:space="preserve"> 中科飞测-U</t>
  </si>
  <si>
    <t xml:space="preserve"> 5.88亿</t>
  </si>
  <si>
    <t xml:space="preserve"> 3.200亿</t>
  </si>
  <si>
    <t xml:space="preserve"> 247.3亿</t>
  </si>
  <si>
    <t xml:space="preserve"> 6512万</t>
  </si>
  <si>
    <t xml:space="preserve"> 50.32亿</t>
  </si>
  <si>
    <t xml:space="preserve"> 苏文电能</t>
  </si>
  <si>
    <t xml:space="preserve"> 8064万</t>
  </si>
  <si>
    <t xml:space="preserve"> 25.64亿</t>
  </si>
  <si>
    <t xml:space="preserve"> 奋达科技</t>
  </si>
  <si>
    <t xml:space="preserve"> 18.05亿</t>
  </si>
  <si>
    <t xml:space="preserve"> 93.52亿</t>
  </si>
  <si>
    <t xml:space="preserve"> 13.59亿</t>
  </si>
  <si>
    <t xml:space="preserve"> 京威股份</t>
  </si>
  <si>
    <t xml:space="preserve"> 56.85亿</t>
  </si>
  <si>
    <t xml:space="preserve"> 海澜之家</t>
  </si>
  <si>
    <t xml:space="preserve"> 156亿</t>
  </si>
  <si>
    <t xml:space="preserve"> 324.0亿</t>
  </si>
  <si>
    <t xml:space="preserve"> 冰轮环境</t>
  </si>
  <si>
    <t xml:space="preserve"> 7.637亿</t>
  </si>
  <si>
    <t xml:space="preserve"> 7.458亿</t>
  </si>
  <si>
    <t xml:space="preserve"> 惠泰医疗</t>
  </si>
  <si>
    <t xml:space="preserve"> 6685万</t>
  </si>
  <si>
    <t xml:space="preserve"> 252.5亿</t>
  </si>
  <si>
    <t xml:space="preserve"> 4517万</t>
  </si>
  <si>
    <t xml:space="preserve"> 长江传媒</t>
  </si>
  <si>
    <t xml:space="preserve"> 98.91亿</t>
  </si>
  <si>
    <t xml:space="preserve"> 98.90亿</t>
  </si>
  <si>
    <t xml:space="preserve"> 米奥会展</t>
  </si>
  <si>
    <t xml:space="preserve"> 1.528亿</t>
  </si>
  <si>
    <t xml:space="preserve"> 58.52亿</t>
  </si>
  <si>
    <t xml:space="preserve"> 8778万</t>
  </si>
  <si>
    <t xml:space="preserve"> 33.62亿</t>
  </si>
  <si>
    <t xml:space="preserve"> 博晖创新</t>
  </si>
  <si>
    <t xml:space="preserve"> 8.41万</t>
  </si>
  <si>
    <t xml:space="preserve"> 8.169亿</t>
  </si>
  <si>
    <t xml:space="preserve"> 7.969亿</t>
  </si>
  <si>
    <t xml:space="preserve"> 53.95亿</t>
  </si>
  <si>
    <t xml:space="preserve"> 理工导航</t>
  </si>
  <si>
    <t xml:space="preserve"> 1.05亿</t>
  </si>
  <si>
    <t xml:space="preserve"> 1439万</t>
  </si>
  <si>
    <t xml:space="preserve"> 8800万</t>
  </si>
  <si>
    <t xml:space="preserve"> 34.61亿</t>
  </si>
  <si>
    <t xml:space="preserve"> 3589万</t>
  </si>
  <si>
    <t xml:space="preserve"> 福能东方</t>
  </si>
  <si>
    <t xml:space="preserve"> 7.347亿</t>
  </si>
  <si>
    <t xml:space="preserve"> 37.76亿</t>
  </si>
  <si>
    <t xml:space="preserve"> 7.345亿</t>
  </si>
  <si>
    <t xml:space="preserve"> 37.75亿</t>
  </si>
  <si>
    <t xml:space="preserve"> 汇嘉时代</t>
  </si>
  <si>
    <t xml:space="preserve"> 4.704亿</t>
  </si>
  <si>
    <t xml:space="preserve"> 和邦生物</t>
  </si>
  <si>
    <t xml:space="preserve"> 64.3亿</t>
  </si>
  <si>
    <t xml:space="preserve"> -6.70万</t>
  </si>
  <si>
    <t xml:space="preserve"> 88.31亿</t>
  </si>
  <si>
    <t xml:space="preserve"> 信息发展</t>
  </si>
  <si>
    <t xml:space="preserve"> 2.482亿</t>
  </si>
  <si>
    <t xml:space="preserve"> 41.70亿</t>
  </si>
  <si>
    <t xml:space="preserve"> 2.354亿</t>
  </si>
  <si>
    <t xml:space="preserve"> 39.56亿</t>
  </si>
  <si>
    <t xml:space="preserve"> 神州细胞-U</t>
  </si>
  <si>
    <t xml:space="preserve"> 4.453亿</t>
  </si>
  <si>
    <t xml:space="preserve"> 230.5亿</t>
  </si>
  <si>
    <t xml:space="preserve"> 9936万</t>
  </si>
  <si>
    <t xml:space="preserve"> 常熟银行</t>
  </si>
  <si>
    <t xml:space="preserve"> 75.2亿</t>
  </si>
  <si>
    <t xml:space="preserve"> 27.41亿</t>
  </si>
  <si>
    <t xml:space="preserve"> 26.43亿</t>
  </si>
  <si>
    <t xml:space="preserve"> 旭光电子</t>
  </si>
  <si>
    <t xml:space="preserve"> 8.328亿</t>
  </si>
  <si>
    <t xml:space="preserve"> 74.12亿</t>
  </si>
  <si>
    <t xml:space="preserve"> 8.085亿</t>
  </si>
  <si>
    <t xml:space="preserve"> 翰博高新</t>
  </si>
  <si>
    <t xml:space="preserve"> 1.864亿</t>
  </si>
  <si>
    <t xml:space="preserve"> 34.27亿</t>
  </si>
  <si>
    <t xml:space="preserve"> 长亮科技</t>
  </si>
  <si>
    <t xml:space="preserve"> 7.321亿</t>
  </si>
  <si>
    <t xml:space="preserve"> 79.22亿</t>
  </si>
  <si>
    <t xml:space="preserve"> 6.212亿</t>
  </si>
  <si>
    <t xml:space="preserve"> 67.21亿</t>
  </si>
  <si>
    <t xml:space="preserve"> 荣昌生物</t>
  </si>
  <si>
    <t xml:space="preserve"> 万向钱潮</t>
  </si>
  <si>
    <t xml:space="preserve"> 33.04亿</t>
  </si>
  <si>
    <t xml:space="preserve"> 北方股份</t>
  </si>
  <si>
    <t xml:space="preserve"> 1.700亿</t>
  </si>
  <si>
    <t xml:space="preserve"> 中原内配</t>
  </si>
  <si>
    <t xml:space="preserve"> 5.80万</t>
  </si>
  <si>
    <t xml:space="preserve"> 42.66亿</t>
  </si>
  <si>
    <t xml:space="preserve"> 4.746亿</t>
  </si>
  <si>
    <t xml:space="preserve"> 34.41亿</t>
  </si>
  <si>
    <t xml:space="preserve"> 大连热电</t>
  </si>
  <si>
    <t xml:space="preserve"> 4.046亿</t>
  </si>
  <si>
    <t xml:space="preserve"> 32.17亿</t>
  </si>
  <si>
    <t xml:space="preserve"> 昇辉科技</t>
  </si>
  <si>
    <t xml:space="preserve"> 4.975亿</t>
  </si>
  <si>
    <t xml:space="preserve"> 3.245亿</t>
  </si>
  <si>
    <t xml:space="preserve"> 28.82亿</t>
  </si>
  <si>
    <t xml:space="preserve"> 华脉科技</t>
  </si>
  <si>
    <t xml:space="preserve"> 7.00亿</t>
  </si>
  <si>
    <t xml:space="preserve"> 26.21亿</t>
  </si>
  <si>
    <t xml:space="preserve"> 华金资本</t>
  </si>
  <si>
    <t xml:space="preserve"> 39.89亿</t>
  </si>
  <si>
    <t xml:space="preserve"> 普洛药业</t>
  </si>
  <si>
    <t xml:space="preserve"> 85.0亿</t>
  </si>
  <si>
    <t xml:space="preserve"> 11.79亿</t>
  </si>
  <si>
    <t xml:space="preserve"> 193.9亿</t>
  </si>
  <si>
    <t xml:space="preserve"> 11.78亿</t>
  </si>
  <si>
    <t xml:space="preserve"> 铁龙物流</t>
  </si>
  <si>
    <t xml:space="preserve"> 1.04亿</t>
  </si>
  <si>
    <t xml:space="preserve"> -1.54万</t>
  </si>
  <si>
    <t xml:space="preserve"> 13.06亿</t>
  </si>
  <si>
    <t xml:space="preserve"> 82.12亿</t>
  </si>
  <si>
    <t xml:space="preserve"> 中油工程</t>
  </si>
  <si>
    <t xml:space="preserve"> 529亿</t>
  </si>
  <si>
    <t xml:space="preserve"> -2.00万</t>
  </si>
  <si>
    <t xml:space="preserve"> 55.83亿</t>
  </si>
  <si>
    <t xml:space="preserve"> 180.3亿</t>
  </si>
  <si>
    <t xml:space="preserve"> 哈药股份</t>
  </si>
  <si>
    <t xml:space="preserve"> 115亿</t>
  </si>
  <si>
    <t xml:space="preserve"> 25.21亿</t>
  </si>
  <si>
    <t xml:space="preserve"> 92.77亿</t>
  </si>
  <si>
    <t xml:space="preserve"> 92.67亿</t>
  </si>
  <si>
    <t xml:space="preserve"> 上海梅林</t>
  </si>
  <si>
    <t xml:space="preserve"> 9.377亿</t>
  </si>
  <si>
    <t xml:space="preserve"> 66.77亿</t>
  </si>
  <si>
    <t xml:space="preserve"> 中捷精工</t>
  </si>
  <si>
    <t xml:space="preserve"> 5.40亿</t>
  </si>
  <si>
    <t xml:space="preserve"> 1.051亿</t>
  </si>
  <si>
    <t xml:space="preserve"> 29.09亿</t>
  </si>
  <si>
    <t xml:space="preserve"> 3335万</t>
  </si>
  <si>
    <t xml:space="preserve"> 9.236亿</t>
  </si>
  <si>
    <t xml:space="preserve"> 合金投资</t>
  </si>
  <si>
    <t xml:space="preserve"> 3.851亿</t>
  </si>
  <si>
    <t xml:space="preserve"> 28.11亿</t>
  </si>
  <si>
    <t xml:space="preserve"> 威孚高科</t>
  </si>
  <si>
    <t xml:space="preserve"> 10.03亿</t>
  </si>
  <si>
    <t xml:space="preserve"> 161.9亿</t>
  </si>
  <si>
    <t xml:space="preserve"> 8.241亿</t>
  </si>
  <si>
    <t xml:space="preserve"> 冀凯股份</t>
  </si>
  <si>
    <t xml:space="preserve"> 3.400亿</t>
  </si>
  <si>
    <t xml:space="preserve"> 24.62亿</t>
  </si>
  <si>
    <t xml:space="preserve"> 3.357亿</t>
  </si>
  <si>
    <t xml:space="preserve"> 24.31亿</t>
  </si>
  <si>
    <t xml:space="preserve"> 赛恩斯</t>
  </si>
  <si>
    <t xml:space="preserve"> 9483万</t>
  </si>
  <si>
    <t xml:space="preserve"> 4204万</t>
  </si>
  <si>
    <t xml:space="preserve"> 17.23亿</t>
  </si>
  <si>
    <t xml:space="preserve"> 致欧科技</t>
  </si>
  <si>
    <t xml:space="preserve"> 4.015亿</t>
  </si>
  <si>
    <t xml:space="preserve"> 96.96亿</t>
  </si>
  <si>
    <t xml:space="preserve"> 3392万</t>
  </si>
  <si>
    <t xml:space="preserve"> 8.191亿</t>
  </si>
  <si>
    <t xml:space="preserve"> 丰乐种业</t>
  </si>
  <si>
    <t xml:space="preserve"> 52.19亿</t>
  </si>
  <si>
    <t xml:space="preserve"> 贵州轮胎</t>
  </si>
  <si>
    <t xml:space="preserve"> 70.4亿</t>
  </si>
  <si>
    <t xml:space="preserve"> 72.43亿</t>
  </si>
  <si>
    <t xml:space="preserve"> 冠石科技</t>
  </si>
  <si>
    <t xml:space="preserve"> 7361万</t>
  </si>
  <si>
    <t xml:space="preserve"> 39.24亿</t>
  </si>
  <si>
    <t xml:space="preserve"> 2310万</t>
  </si>
  <si>
    <t xml:space="preserve"> 厦门国贸</t>
  </si>
  <si>
    <t xml:space="preserve"> 4007亿</t>
  </si>
  <si>
    <t xml:space="preserve"> -1.58万</t>
  </si>
  <si>
    <t xml:space="preserve"> 22.04亿</t>
  </si>
  <si>
    <t xml:space="preserve"> 150.1亿</t>
  </si>
  <si>
    <t xml:space="preserve"> 20.34亿</t>
  </si>
  <si>
    <t xml:space="preserve"> 热景生物</t>
  </si>
  <si>
    <t xml:space="preserve"> 9227万</t>
  </si>
  <si>
    <t xml:space="preserve"> 41.59亿</t>
  </si>
  <si>
    <t xml:space="preserve"> 大富科技</t>
  </si>
  <si>
    <t xml:space="preserve"> 84.12亿</t>
  </si>
  <si>
    <t xml:space="preserve"> 7.124亿</t>
  </si>
  <si>
    <t xml:space="preserve"> 78.08亿</t>
  </si>
  <si>
    <t xml:space="preserve"> 威马农机</t>
  </si>
  <si>
    <t xml:space="preserve"> 9831万</t>
  </si>
  <si>
    <t xml:space="preserve"> 39.06亿</t>
  </si>
  <si>
    <t xml:space="preserve"> 2164万</t>
  </si>
  <si>
    <t xml:space="preserve"> 8.596亿</t>
  </si>
  <si>
    <t xml:space="preserve"> 世纪鼎利</t>
  </si>
  <si>
    <t xml:space="preserve"> 5.448亿</t>
  </si>
  <si>
    <t xml:space="preserve"> 28.93亿</t>
  </si>
  <si>
    <t xml:space="preserve"> 5.445亿</t>
  </si>
  <si>
    <t xml:space="preserve"> 28.91亿</t>
  </si>
  <si>
    <t xml:space="preserve"> 吉林敖东</t>
  </si>
  <si>
    <t xml:space="preserve"> 23.5亿</t>
  </si>
  <si>
    <t xml:space="preserve"> 191.3亿</t>
  </si>
  <si>
    <t xml:space="preserve"> 11.60亿</t>
  </si>
  <si>
    <t xml:space="preserve"> 190.7亿</t>
  </si>
  <si>
    <t xml:space="preserve"> 皖能电力</t>
  </si>
  <si>
    <t xml:space="preserve"> 22.67亿</t>
  </si>
  <si>
    <t xml:space="preserve"> 150.7亿</t>
  </si>
  <si>
    <t xml:space="preserve"> 崇达技术</t>
  </si>
  <si>
    <t xml:space="preserve"> 43.1亿</t>
  </si>
  <si>
    <t xml:space="preserve"> 6.397亿</t>
  </si>
  <si>
    <t xml:space="preserve"> 64.16亿</t>
  </si>
  <si>
    <t xml:space="preserve"> 达实智能</t>
  </si>
  <si>
    <t xml:space="preserve"> 27.3亿</t>
  </si>
  <si>
    <t xml:space="preserve"> 21.21亿</t>
  </si>
  <si>
    <t xml:space="preserve"> 71.04亿</t>
  </si>
  <si>
    <t xml:space="preserve"> 66.91亿</t>
  </si>
  <si>
    <t xml:space="preserve"> 奥特维</t>
  </si>
  <si>
    <t xml:space="preserve"> 2.248亿</t>
  </si>
  <si>
    <t xml:space="preserve"> 198.8亿</t>
  </si>
  <si>
    <t xml:space="preserve"> 1.092亿</t>
  </si>
  <si>
    <t xml:space="preserve"> 96.57亿</t>
  </si>
  <si>
    <t xml:space="preserve"> 麦克奥迪</t>
  </si>
  <si>
    <t xml:space="preserve"> 5.174亿</t>
  </si>
  <si>
    <t xml:space="preserve"> 63.80亿</t>
  </si>
  <si>
    <t xml:space="preserve"> 5.168亿</t>
  </si>
  <si>
    <t xml:space="preserve"> 63.72亿</t>
  </si>
  <si>
    <t xml:space="preserve"> 华海药业</t>
  </si>
  <si>
    <t xml:space="preserve"> 231.7亿</t>
  </si>
  <si>
    <t xml:space="preserve"> 14.56亿</t>
  </si>
  <si>
    <t xml:space="preserve"> 227.6亿</t>
  </si>
  <si>
    <t xml:space="preserve"> 锐科激光</t>
  </si>
  <si>
    <t xml:space="preserve"> 5.666亿</t>
  </si>
  <si>
    <t xml:space="preserve"> 141.4亿</t>
  </si>
  <si>
    <t xml:space="preserve"> 5.093亿</t>
  </si>
  <si>
    <t xml:space="preserve"> 圣农发展</t>
  </si>
  <si>
    <t xml:space="preserve"> 222.4亿</t>
  </si>
  <si>
    <t xml:space="preserve"> 220.2亿</t>
  </si>
  <si>
    <t xml:space="preserve"> 晨光股份</t>
  </si>
  <si>
    <t xml:space="preserve"> 9.266亿</t>
  </si>
  <si>
    <t xml:space="preserve"> 368.2亿</t>
  </si>
  <si>
    <t xml:space="preserve"> 9.238亿</t>
  </si>
  <si>
    <t xml:space="preserve"> 367.1亿</t>
  </si>
  <si>
    <t xml:space="preserve"> 华安证券</t>
  </si>
  <si>
    <t xml:space="preserve"> 46.98亿</t>
  </si>
  <si>
    <t xml:space="preserve"> 通用股份</t>
  </si>
  <si>
    <t xml:space="preserve"> 15.77亿</t>
  </si>
  <si>
    <t xml:space="preserve"> 64.65亿</t>
  </si>
  <si>
    <t xml:space="preserve"> 64.30亿</t>
  </si>
  <si>
    <t xml:space="preserve"> 宝钛股份</t>
  </si>
  <si>
    <t xml:space="preserve"> 迪瑞医疗</t>
  </si>
  <si>
    <t xml:space="preserve"> 3.19万</t>
  </si>
  <si>
    <t xml:space="preserve"> 2.749亿</t>
  </si>
  <si>
    <t xml:space="preserve"> 90.16亿</t>
  </si>
  <si>
    <t xml:space="preserve"> 2.555亿</t>
  </si>
  <si>
    <t xml:space="preserve"> 83.80亿</t>
  </si>
  <si>
    <t xml:space="preserve"> 百花医药</t>
  </si>
  <si>
    <t xml:space="preserve"> 3.810亿</t>
  </si>
  <si>
    <t xml:space="preserve"> 33.33亿</t>
  </si>
  <si>
    <t xml:space="preserve"> 苏州固锝</t>
  </si>
  <si>
    <t xml:space="preserve"> 8.079亿</t>
  </si>
  <si>
    <t xml:space="preserve"> 94.68亿</t>
  </si>
  <si>
    <t xml:space="preserve"> 7.983亿</t>
  </si>
  <si>
    <t xml:space="preserve"> 海南椰岛</t>
  </si>
  <si>
    <t xml:space="preserve"> 48.90亿</t>
  </si>
  <si>
    <t xml:space="preserve"> 4.450亿</t>
  </si>
  <si>
    <t xml:space="preserve"> 48.55亿</t>
  </si>
  <si>
    <t xml:space="preserve"> 金禾实业</t>
  </si>
  <si>
    <t xml:space="preserve"> 5.700亿</t>
  </si>
  <si>
    <t xml:space="preserve"> 卡倍亿</t>
  </si>
  <si>
    <t xml:space="preserve"> 24.9亿</t>
  </si>
  <si>
    <t xml:space="preserve"> 8872万</t>
  </si>
  <si>
    <t xml:space="preserve"> 3323万</t>
  </si>
  <si>
    <t xml:space="preserve"> 蒙草生态</t>
  </si>
  <si>
    <t xml:space="preserve"> 13.69亿</t>
  </si>
  <si>
    <t xml:space="preserve"> 54.48亿</t>
  </si>
  <si>
    <t xml:space="preserve"> 尔康制药</t>
  </si>
  <si>
    <t xml:space="preserve"> 20.63亿</t>
  </si>
  <si>
    <t xml:space="preserve"> 73.84亿</t>
  </si>
  <si>
    <t xml:space="preserve"> 50.92亿</t>
  </si>
  <si>
    <t xml:space="preserve"> 中装建设</t>
  </si>
  <si>
    <t xml:space="preserve"> 26.1亿</t>
  </si>
  <si>
    <t xml:space="preserve"> 7.136亿</t>
  </si>
  <si>
    <t xml:space="preserve"> 33.97亿</t>
  </si>
  <si>
    <t xml:space="preserve"> 6.569亿</t>
  </si>
  <si>
    <t xml:space="preserve"> 31.27亿</t>
  </si>
  <si>
    <t xml:space="preserve"> 广立微</t>
  </si>
  <si>
    <t xml:space="preserve"> 91.09亿</t>
  </si>
  <si>
    <t xml:space="preserve"> 金雷股份</t>
  </si>
  <si>
    <t xml:space="preserve"> 3.255亿</t>
  </si>
  <si>
    <t xml:space="preserve"> 94.54亿</t>
  </si>
  <si>
    <t xml:space="preserve"> 1.844亿</t>
  </si>
  <si>
    <t xml:space="preserve"> 53.57亿</t>
  </si>
  <si>
    <t xml:space="preserve"> 雪龙集团</t>
  </si>
  <si>
    <t xml:space="preserve"> 2.111亿</t>
  </si>
  <si>
    <t xml:space="preserve"> 58.74亿</t>
  </si>
  <si>
    <t xml:space="preserve"> 58.37亿</t>
  </si>
  <si>
    <t xml:space="preserve"> 日丰股份</t>
  </si>
  <si>
    <t xml:space="preserve"> 3.515亿</t>
  </si>
  <si>
    <t xml:space="preserve"> 47.09亿</t>
  </si>
  <si>
    <t xml:space="preserve"> 2.006亿</t>
  </si>
  <si>
    <t xml:space="preserve"> 26.87亿</t>
  </si>
  <si>
    <t xml:space="preserve"> 丰原药业</t>
  </si>
  <si>
    <t xml:space="preserve"> 32.2亿</t>
  </si>
  <si>
    <t xml:space="preserve"> 3.321亿</t>
  </si>
  <si>
    <t xml:space="preserve"> 34.21亿</t>
  </si>
  <si>
    <t xml:space="preserve"> 3.199亿</t>
  </si>
  <si>
    <t xml:space="preserve"> 32.95亿</t>
  </si>
  <si>
    <t xml:space="preserve"> 君逸数码</t>
  </si>
  <si>
    <t xml:space="preserve"> 1.232亿</t>
  </si>
  <si>
    <t xml:space="preserve"> 52.11亿</t>
  </si>
  <si>
    <t xml:space="preserve"> 2767万</t>
  </si>
  <si>
    <t xml:space="preserve"> 11.70亿</t>
  </si>
  <si>
    <t xml:space="preserve"> 并行科技</t>
  </si>
  <si>
    <t xml:space="preserve"> 5823万</t>
  </si>
  <si>
    <t xml:space="preserve"> 32.24亿</t>
  </si>
  <si>
    <t xml:space="preserve"> 2499万</t>
  </si>
  <si>
    <t xml:space="preserve"> 13.83亿</t>
  </si>
  <si>
    <t xml:space="preserve"> 药石科技</t>
  </si>
  <si>
    <t xml:space="preserve"> 1.997亿</t>
  </si>
  <si>
    <t xml:space="preserve"> 87.55亿</t>
  </si>
  <si>
    <t xml:space="preserve"> 1.684亿</t>
  </si>
  <si>
    <t xml:space="preserve"> 珍宝岛</t>
  </si>
  <si>
    <t xml:space="preserve"> 9.420亿</t>
  </si>
  <si>
    <t xml:space="preserve"> 和而泰</t>
  </si>
  <si>
    <t xml:space="preserve"> 54.9亿</t>
  </si>
  <si>
    <t xml:space="preserve"> 9.319亿</t>
  </si>
  <si>
    <t xml:space="preserve"> 127.9亿</t>
  </si>
  <si>
    <t xml:space="preserve"> 8.022亿</t>
  </si>
  <si>
    <t xml:space="preserve"> 110.1亿</t>
  </si>
  <si>
    <t xml:space="preserve"> 宇晶股份</t>
  </si>
  <si>
    <t xml:space="preserve"> 9.16亿</t>
  </si>
  <si>
    <t xml:space="preserve"> 1.569亿</t>
  </si>
  <si>
    <t xml:space="preserve"> 45.39亿</t>
  </si>
  <si>
    <t xml:space="preserve"> 9265万</t>
  </si>
  <si>
    <t xml:space="preserve"> 26.80亿</t>
  </si>
  <si>
    <t xml:space="preserve"> 歌华有线</t>
  </si>
  <si>
    <t xml:space="preserve"> 117.2亿</t>
  </si>
  <si>
    <t xml:space="preserve"> 华体科技</t>
  </si>
  <si>
    <t xml:space="preserve"> *ST西域</t>
  </si>
  <si>
    <t xml:space="preserve"> 1.550亿</t>
  </si>
  <si>
    <t xml:space="preserve"> 40.95亿</t>
  </si>
  <si>
    <t xml:space="preserve"> 道通科技</t>
  </si>
  <si>
    <t xml:space="preserve"> 1.00亿</t>
  </si>
  <si>
    <t xml:space="preserve"> 4.519亿</t>
  </si>
  <si>
    <t xml:space="preserve"> 120.5亿</t>
  </si>
  <si>
    <t xml:space="preserve"> 生物股份</t>
  </si>
  <si>
    <t xml:space="preserve"> 9.72万</t>
  </si>
  <si>
    <t xml:space="preserve"> 11.20亿</t>
  </si>
  <si>
    <t xml:space="preserve"> 115.7亿</t>
  </si>
  <si>
    <t xml:space="preserve"> 沃格光电</t>
  </si>
  <si>
    <t xml:space="preserve"> 2.68万</t>
  </si>
  <si>
    <t xml:space="preserve"> 1.714亿</t>
  </si>
  <si>
    <t xml:space="preserve"> 64.95亿</t>
  </si>
  <si>
    <t xml:space="preserve"> 1.564亿</t>
  </si>
  <si>
    <t xml:space="preserve"> 59.27亿</t>
  </si>
  <si>
    <t xml:space="preserve"> 金力泰</t>
  </si>
  <si>
    <t xml:space="preserve"> 9996万</t>
  </si>
  <si>
    <t xml:space="preserve"> 5.34亿</t>
  </si>
  <si>
    <t xml:space="preserve"> 4.892亿</t>
  </si>
  <si>
    <t xml:space="preserve"> 57.09亿</t>
  </si>
  <si>
    <t xml:space="preserve"> 4.751亿</t>
  </si>
  <si>
    <t xml:space="preserve"> 昊海生科</t>
  </si>
  <si>
    <t xml:space="preserve"> 9980万</t>
  </si>
  <si>
    <t xml:space="preserve"> 188.5亿</t>
  </si>
  <si>
    <t xml:space="preserve"> 152.3亿</t>
  </si>
  <si>
    <t xml:space="preserve"> 东信和平</t>
  </si>
  <si>
    <t xml:space="preserve"> 9972万</t>
  </si>
  <si>
    <t xml:space="preserve"> 5.804亿</t>
  </si>
  <si>
    <t xml:space="preserve"> 64.72亿</t>
  </si>
  <si>
    <t xml:space="preserve"> 5.789亿</t>
  </si>
  <si>
    <t xml:space="preserve"> 64.55亿</t>
  </si>
  <si>
    <t xml:space="preserve"> 宏昌科技</t>
  </si>
  <si>
    <t xml:space="preserve"> 9967万</t>
  </si>
  <si>
    <t xml:space="preserve"> 6.08亿</t>
  </si>
  <si>
    <t xml:space="preserve"> 1.93万</t>
  </si>
  <si>
    <t xml:space="preserve"> 2464万</t>
  </si>
  <si>
    <t xml:space="preserve"> 7.307亿</t>
  </si>
  <si>
    <t xml:space="preserve"> 我武生物</t>
  </si>
  <si>
    <t xml:space="preserve"> 9964万</t>
  </si>
  <si>
    <t xml:space="preserve"> 6.74亿</t>
  </si>
  <si>
    <t xml:space="preserve"> 5.236亿</t>
  </si>
  <si>
    <t xml:space="preserve"> 4.791亿</t>
  </si>
  <si>
    <t xml:space="preserve"> 141.7亿</t>
  </si>
  <si>
    <t xml:space="preserve"> 必创科技</t>
  </si>
  <si>
    <t xml:space="preserve"> 9949万</t>
  </si>
  <si>
    <t xml:space="preserve"> 5.65亿</t>
  </si>
  <si>
    <t xml:space="preserve"> 2.028亿</t>
  </si>
  <si>
    <t xml:space="preserve"> 35.89亿</t>
  </si>
  <si>
    <t xml:space="preserve"> 1.629亿</t>
  </si>
  <si>
    <t xml:space="preserve"> 28.83亿</t>
  </si>
  <si>
    <t xml:space="preserve"> 江丰电子</t>
  </si>
  <si>
    <t xml:space="preserve"> 9947万</t>
  </si>
  <si>
    <t xml:space="preserve"> 2.654亿</t>
  </si>
  <si>
    <t xml:space="preserve"> 2.079亿</t>
  </si>
  <si>
    <t xml:space="preserve"> 127.0亿</t>
  </si>
  <si>
    <t xml:space="preserve"> 利亚德</t>
  </si>
  <si>
    <t xml:space="preserve"> 9944万</t>
  </si>
  <si>
    <t xml:space="preserve"> 60.2亿</t>
  </si>
  <si>
    <t xml:space="preserve"> 25.29亿</t>
  </si>
  <si>
    <t xml:space="preserve"> 154.5亿</t>
  </si>
  <si>
    <t xml:space="preserve"> 20.92亿</t>
  </si>
  <si>
    <t xml:space="preserve"> 127.8亿</t>
  </si>
  <si>
    <t xml:space="preserve"> 美克家居</t>
  </si>
  <si>
    <t xml:space="preserve"> 9940万</t>
  </si>
  <si>
    <t xml:space="preserve"> 33.7亿</t>
  </si>
  <si>
    <t xml:space="preserve"> 14.80亿</t>
  </si>
  <si>
    <t xml:space="preserve"> 南华期货</t>
  </si>
  <si>
    <t xml:space="preserve"> 9933万</t>
  </si>
  <si>
    <t xml:space="preserve"> 48.5亿</t>
  </si>
  <si>
    <t xml:space="preserve"> 6.101亿</t>
  </si>
  <si>
    <t xml:space="preserve"> 78.21亿</t>
  </si>
  <si>
    <t xml:space="preserve"> 一品红</t>
  </si>
  <si>
    <t xml:space="preserve"> 9932万</t>
  </si>
  <si>
    <t xml:space="preserve"> 4.541亿</t>
  </si>
  <si>
    <t xml:space="preserve"> 128.7亿</t>
  </si>
  <si>
    <t xml:space="preserve"> 63.27亿</t>
  </si>
  <si>
    <t xml:space="preserve"> 仕净科技</t>
  </si>
  <si>
    <t xml:space="preserve"> 9920万</t>
  </si>
  <si>
    <t xml:space="preserve"> 1.436亿</t>
  </si>
  <si>
    <t xml:space="preserve"> 54.73亿</t>
  </si>
  <si>
    <t xml:space="preserve"> 1.145亿</t>
  </si>
  <si>
    <t xml:space="preserve"> 43.63亿</t>
  </si>
  <si>
    <t xml:space="preserve"> 五矿资本</t>
  </si>
  <si>
    <t xml:space="preserve"> 9914万</t>
  </si>
  <si>
    <t xml:space="preserve"> 74.0亿</t>
  </si>
  <si>
    <t xml:space="preserve"> 219.1亿</t>
  </si>
  <si>
    <t xml:space="preserve"> 清溢光电</t>
  </si>
  <si>
    <t xml:space="preserve"> 9908万</t>
  </si>
  <si>
    <t xml:space="preserve"> 2.668亿</t>
  </si>
  <si>
    <t xml:space="preserve"> 63.63亿</t>
  </si>
  <si>
    <t xml:space="preserve"> 恒工精密</t>
  </si>
  <si>
    <t xml:space="preserve"> 9901万</t>
  </si>
  <si>
    <t xml:space="preserve"> 6.30亿</t>
  </si>
  <si>
    <t xml:space="preserve"> 8789万</t>
  </si>
  <si>
    <t xml:space="preserve"> 42.60亿</t>
  </si>
  <si>
    <t xml:space="preserve"> 1979万</t>
  </si>
  <si>
    <t xml:space="preserve"> 9.593亿</t>
  </si>
  <si>
    <t xml:space="preserve"> 三诺生物</t>
  </si>
  <si>
    <t xml:space="preserve"> 9900万</t>
  </si>
  <si>
    <t xml:space="preserve"> 5.643亿</t>
  </si>
  <si>
    <t xml:space="preserve"> 168.3亿</t>
  </si>
  <si>
    <t xml:space="preserve"> 4.553亿</t>
  </si>
  <si>
    <t xml:space="preserve"> 瑞丰新材</t>
  </si>
  <si>
    <t xml:space="preserve"> 9899万</t>
  </si>
  <si>
    <t xml:space="preserve"> 2.882亿</t>
  </si>
  <si>
    <t xml:space="preserve"> 2.019亿</t>
  </si>
  <si>
    <t xml:space="preserve"> 中望软件</t>
  </si>
  <si>
    <t xml:space="preserve"> 9893万</t>
  </si>
  <si>
    <t xml:space="preserve"> 6873万</t>
  </si>
  <si>
    <t xml:space="preserve"> 74.44亿</t>
  </si>
  <si>
    <t xml:space="preserve"> 普瑞眼科</t>
  </si>
  <si>
    <t xml:space="preserve"> 9877万</t>
  </si>
  <si>
    <t xml:space="preserve"> 149.3亿</t>
  </si>
  <si>
    <t xml:space="preserve"> 7079万</t>
  </si>
  <si>
    <t xml:space="preserve"> 70.63亿</t>
  </si>
  <si>
    <t xml:space="preserve"> 诺泰生物</t>
  </si>
  <si>
    <t xml:space="preserve"> 9869万</t>
  </si>
  <si>
    <t xml:space="preserve"> 2.132亿</t>
  </si>
  <si>
    <t xml:space="preserve"> 91.99亿</t>
  </si>
  <si>
    <t xml:space="preserve"> 1.464亿</t>
  </si>
  <si>
    <t xml:space="preserve"> 63.16亿</t>
  </si>
  <si>
    <t xml:space="preserve"> 亚星锚链</t>
  </si>
  <si>
    <t xml:space="preserve"> 9857万</t>
  </si>
  <si>
    <t xml:space="preserve"> 9.594亿</t>
  </si>
  <si>
    <t xml:space="preserve"> 88.65亿</t>
  </si>
  <si>
    <t xml:space="preserve"> 开创电气</t>
  </si>
  <si>
    <t xml:space="preserve"> 31.02亿</t>
  </si>
  <si>
    <t xml:space="preserve"> 7.754亿</t>
  </si>
  <si>
    <t xml:space="preserve"> 金冠股份</t>
  </si>
  <si>
    <t xml:space="preserve"> 9847万</t>
  </si>
  <si>
    <t xml:space="preserve"> 8.286亿</t>
  </si>
  <si>
    <t xml:space="preserve"> 50.71亿</t>
  </si>
  <si>
    <t xml:space="preserve"> 宁波高发</t>
  </si>
  <si>
    <t xml:space="preserve"> 8.77亿</t>
  </si>
  <si>
    <t xml:space="preserve"> 2.231亿</t>
  </si>
  <si>
    <t xml:space="preserve"> 35.94亿</t>
  </si>
  <si>
    <t xml:space="preserve"> 铜牛信息</t>
  </si>
  <si>
    <t xml:space="preserve"> 9835万</t>
  </si>
  <si>
    <t xml:space="preserve"> 1.408亿</t>
  </si>
  <si>
    <t xml:space="preserve"> 8463万</t>
  </si>
  <si>
    <t xml:space="preserve"> 上海电气</t>
  </si>
  <si>
    <t xml:space="preserve"> 9830万</t>
  </si>
  <si>
    <t xml:space="preserve"> 784亿</t>
  </si>
  <si>
    <t xml:space="preserve"> 155.8亿</t>
  </si>
  <si>
    <t xml:space="preserve"> 691.7亿</t>
  </si>
  <si>
    <t xml:space="preserve"> 561.9亿</t>
  </si>
  <si>
    <t xml:space="preserve"> 威士顿</t>
  </si>
  <si>
    <t xml:space="preserve"> 9799万</t>
  </si>
  <si>
    <t xml:space="preserve"> 2086万</t>
  </si>
  <si>
    <t xml:space="preserve"> 好上好</t>
  </si>
  <si>
    <t xml:space="preserve"> 9786万</t>
  </si>
  <si>
    <t xml:space="preserve"> 43.8亿</t>
  </si>
  <si>
    <t xml:space="preserve"> 1.413亿</t>
  </si>
  <si>
    <t xml:space="preserve"> 42.41亿</t>
  </si>
  <si>
    <t xml:space="preserve"> 6180万</t>
  </si>
  <si>
    <t xml:space="preserve"> 华测检测</t>
  </si>
  <si>
    <t xml:space="preserve"> 9774万</t>
  </si>
  <si>
    <t xml:space="preserve"> 40.8亿</t>
  </si>
  <si>
    <t xml:space="preserve"> 16.83亿</t>
  </si>
  <si>
    <t xml:space="preserve"> 267.7亿</t>
  </si>
  <si>
    <t xml:space="preserve"> 15.27亿</t>
  </si>
  <si>
    <t xml:space="preserve"> 242.9亿</t>
  </si>
  <si>
    <t xml:space="preserve"> 数据港</t>
  </si>
  <si>
    <t xml:space="preserve"> 9760万</t>
  </si>
  <si>
    <t xml:space="preserve"> 4.605亿</t>
  </si>
  <si>
    <t xml:space="preserve"> 浩丰科技</t>
  </si>
  <si>
    <t xml:space="preserve"> 9748万</t>
  </si>
  <si>
    <t xml:space="preserve"> 4.53亿</t>
  </si>
  <si>
    <t xml:space="preserve"> 3.678亿</t>
  </si>
  <si>
    <t xml:space="preserve"> 28.02亿</t>
  </si>
  <si>
    <t xml:space="preserve"> 中恒电气</t>
  </si>
  <si>
    <t xml:space="preserve"> 9747万</t>
  </si>
  <si>
    <t xml:space="preserve"> 9.78亿</t>
  </si>
  <si>
    <t xml:space="preserve"> 5.636亿</t>
  </si>
  <si>
    <t xml:space="preserve"> 45.48亿</t>
  </si>
  <si>
    <t xml:space="preserve"> 5.581亿</t>
  </si>
  <si>
    <t xml:space="preserve"> 45.04亿</t>
  </si>
  <si>
    <t xml:space="preserve"> 创识科技</t>
  </si>
  <si>
    <t xml:space="preserve"> 47.91亿</t>
  </si>
  <si>
    <t xml:space="preserve"> 8521万</t>
  </si>
  <si>
    <t xml:space="preserve"> 维科技术</t>
  </si>
  <si>
    <t xml:space="preserve"> 9738万</t>
  </si>
  <si>
    <t xml:space="preserve"> 40.79亿</t>
  </si>
  <si>
    <t xml:space="preserve"> 孩子王</t>
  </si>
  <si>
    <t xml:space="preserve"> 63.5亿</t>
  </si>
  <si>
    <t xml:space="preserve"> 6.05万</t>
  </si>
  <si>
    <t xml:space="preserve"> 11.10亿</t>
  </si>
  <si>
    <t xml:space="preserve"> 98.66亿</t>
  </si>
  <si>
    <t xml:space="preserve"> 56.47亿</t>
  </si>
  <si>
    <t xml:space="preserve"> 中路股份</t>
  </si>
  <si>
    <t xml:space="preserve"> 9736万</t>
  </si>
  <si>
    <t xml:space="preserve"> 7.32亿</t>
  </si>
  <si>
    <t xml:space="preserve"> 43.91亿</t>
  </si>
  <si>
    <t xml:space="preserve"> 2.380亿</t>
  </si>
  <si>
    <t xml:space="preserve"> 32.51亿</t>
  </si>
  <si>
    <t xml:space="preserve"> 凌云光</t>
  </si>
  <si>
    <t xml:space="preserve"> 9733万</t>
  </si>
  <si>
    <t xml:space="preserve"> 4.635亿</t>
  </si>
  <si>
    <t xml:space="preserve"> 2.396亿</t>
  </si>
  <si>
    <t xml:space="preserve"> 60.41亿</t>
  </si>
  <si>
    <t xml:space="preserve"> 赫美集团</t>
  </si>
  <si>
    <t xml:space="preserve"> 9728万</t>
  </si>
  <si>
    <t xml:space="preserve"> 76.38亿</t>
  </si>
  <si>
    <t xml:space="preserve"> 酷特智能</t>
  </si>
  <si>
    <t xml:space="preserve"> 9726万</t>
  </si>
  <si>
    <t xml:space="preserve"> 1.771亿</t>
  </si>
  <si>
    <t xml:space="preserve"> 创世纪</t>
  </si>
  <si>
    <t xml:space="preserve"> 9722万</t>
  </si>
  <si>
    <t xml:space="preserve"> 16.76亿</t>
  </si>
  <si>
    <t xml:space="preserve"> 114.2亿</t>
  </si>
  <si>
    <t xml:space="preserve"> 92.41亿</t>
  </si>
  <si>
    <t xml:space="preserve"> 鸥玛软件</t>
  </si>
  <si>
    <t xml:space="preserve"> 9719万</t>
  </si>
  <si>
    <t xml:space="preserve"> 1.534亿</t>
  </si>
  <si>
    <t xml:space="preserve"> 35.56亿</t>
  </si>
  <si>
    <t xml:space="preserve"> 8611万</t>
  </si>
  <si>
    <t xml:space="preserve"> 朗迪集团</t>
  </si>
  <si>
    <t xml:space="preserve"> 9711万</t>
  </si>
  <si>
    <t xml:space="preserve"> 29.50亿</t>
  </si>
  <si>
    <t xml:space="preserve"> 恒烁股份</t>
  </si>
  <si>
    <t xml:space="preserve"> 9705万</t>
  </si>
  <si>
    <t xml:space="preserve"> 8264万</t>
  </si>
  <si>
    <t xml:space="preserve"> 51.73亿</t>
  </si>
  <si>
    <t xml:space="preserve"> 3929万</t>
  </si>
  <si>
    <t xml:space="preserve"> 科达制造</t>
  </si>
  <si>
    <t xml:space="preserve"> 9698万</t>
  </si>
  <si>
    <t xml:space="preserve"> 19.48亿</t>
  </si>
  <si>
    <t xml:space="preserve"> 196.0亿</t>
  </si>
  <si>
    <t xml:space="preserve"> 中钨高新</t>
  </si>
  <si>
    <t xml:space="preserve"> 9697万</t>
  </si>
  <si>
    <t xml:space="preserve"> 95.5亿</t>
  </si>
  <si>
    <t xml:space="preserve"> 13.97亿</t>
  </si>
  <si>
    <t xml:space="preserve"> 12.40亿</t>
  </si>
  <si>
    <t xml:space="preserve"> 113.5亿</t>
  </si>
  <si>
    <t xml:space="preserve"> 博通集成</t>
  </si>
  <si>
    <t xml:space="preserve"> 9675万</t>
  </si>
  <si>
    <t xml:space="preserve"> 46.93亿</t>
  </si>
  <si>
    <t xml:space="preserve"> 强瑞技术</t>
  </si>
  <si>
    <t xml:space="preserve"> 9672万</t>
  </si>
  <si>
    <t xml:space="preserve"> 7389万</t>
  </si>
  <si>
    <t xml:space="preserve"> 34.70亿</t>
  </si>
  <si>
    <t xml:space="preserve"> 2726万</t>
  </si>
  <si>
    <t xml:space="preserve"> 测绘股份</t>
  </si>
  <si>
    <t xml:space="preserve"> 9668万</t>
  </si>
  <si>
    <t xml:space="preserve"> 3.73亿</t>
  </si>
  <si>
    <t xml:space="preserve"> 27.85亿</t>
  </si>
  <si>
    <t xml:space="preserve"> 1.390亿</t>
  </si>
  <si>
    <t xml:space="preserve"> 华峰化学</t>
  </si>
  <si>
    <t xml:space="preserve"> 9660万</t>
  </si>
  <si>
    <t xml:space="preserve"> 7.25万</t>
  </si>
  <si>
    <t xml:space="preserve"> 338.9亿</t>
  </si>
  <si>
    <t xml:space="preserve"> 49.52亿</t>
  </si>
  <si>
    <t xml:space="preserve"> 338.2亿</t>
  </si>
  <si>
    <t xml:space="preserve"> 美能能源</t>
  </si>
  <si>
    <t xml:space="preserve"> 31.85亿</t>
  </si>
  <si>
    <t xml:space="preserve"> 8.705亿</t>
  </si>
  <si>
    <t xml:space="preserve"> ST康美</t>
  </si>
  <si>
    <t xml:space="preserve"> 9640万</t>
  </si>
  <si>
    <t xml:space="preserve"> 4.52万</t>
  </si>
  <si>
    <t xml:space="preserve"> 266.2亿</t>
  </si>
  <si>
    <t xml:space="preserve"> 136.1亿</t>
  </si>
  <si>
    <t xml:space="preserve"> 261.4亿</t>
  </si>
  <si>
    <t xml:space="preserve"> 苏轴股份</t>
  </si>
  <si>
    <t xml:space="preserve"> 9602万</t>
  </si>
  <si>
    <t xml:space="preserve"> 5114万</t>
  </si>
  <si>
    <t xml:space="preserve"> 东华能源</t>
  </si>
  <si>
    <t xml:space="preserve"> 9601万</t>
  </si>
  <si>
    <t xml:space="preserve"> 15.76亿</t>
  </si>
  <si>
    <t xml:space="preserve"> 173.4亿</t>
  </si>
  <si>
    <t xml:space="preserve"> 万马科技</t>
  </si>
  <si>
    <t xml:space="preserve"> 9596万</t>
  </si>
  <si>
    <t xml:space="preserve"> 1.340亿</t>
  </si>
  <si>
    <t xml:space="preserve"> 温州宏丰</t>
  </si>
  <si>
    <t xml:space="preserve"> 9595万</t>
  </si>
  <si>
    <t xml:space="preserve"> 8.14万</t>
  </si>
  <si>
    <t xml:space="preserve"> 4.371亿</t>
  </si>
  <si>
    <t xml:space="preserve"> 3.072亿</t>
  </si>
  <si>
    <t xml:space="preserve"> 19.54亿</t>
  </si>
  <si>
    <t xml:space="preserve"> 协鑫集成</t>
  </si>
  <si>
    <t xml:space="preserve"> 9593万</t>
  </si>
  <si>
    <t xml:space="preserve"> 荣安地产</t>
  </si>
  <si>
    <t xml:space="preserve"> 9591万</t>
  </si>
  <si>
    <t xml:space="preserve"> 31.84亿</t>
  </si>
  <si>
    <t xml:space="preserve"> 82.78亿</t>
  </si>
  <si>
    <t xml:space="preserve"> 24.92亿</t>
  </si>
  <si>
    <t xml:space="preserve"> 64.79亿</t>
  </si>
  <si>
    <t xml:space="preserve"> 鸿远电子</t>
  </si>
  <si>
    <t xml:space="preserve"> 9583万</t>
  </si>
  <si>
    <t xml:space="preserve"> 2.321亿</t>
  </si>
  <si>
    <t xml:space="preserve"> 130.3亿</t>
  </si>
  <si>
    <t xml:space="preserve"> 130.2亿</t>
  </si>
  <si>
    <t xml:space="preserve"> 福星股份</t>
  </si>
  <si>
    <t xml:space="preserve"> 44.4亿</t>
  </si>
  <si>
    <t xml:space="preserve"> 40.53亿</t>
  </si>
  <si>
    <t xml:space="preserve"> 9.007亿</t>
  </si>
  <si>
    <t xml:space="preserve"> 39.90亿</t>
  </si>
  <si>
    <t xml:space="preserve"> 福石控股</t>
  </si>
  <si>
    <t xml:space="preserve"> 9572万</t>
  </si>
  <si>
    <t xml:space="preserve"> 9.481亿</t>
  </si>
  <si>
    <t xml:space="preserve"> 37.07亿</t>
  </si>
  <si>
    <t xml:space="preserve"> 9.062亿</t>
  </si>
  <si>
    <t xml:space="preserve"> 35.43亿</t>
  </si>
  <si>
    <t xml:space="preserve"> 拓邦股份</t>
  </si>
  <si>
    <t xml:space="preserve"> 9569万</t>
  </si>
  <si>
    <t xml:space="preserve"> 63.6亿</t>
  </si>
  <si>
    <t xml:space="preserve"> 10.44亿</t>
  </si>
  <si>
    <t xml:space="preserve"> 103.1亿</t>
  </si>
  <si>
    <t xml:space="preserve"> 神农集团</t>
  </si>
  <si>
    <t xml:space="preserve"> 9567万</t>
  </si>
  <si>
    <t xml:space="preserve"> 5.250亿</t>
  </si>
  <si>
    <t xml:space="preserve"> 6757万</t>
  </si>
  <si>
    <t xml:space="preserve"> 17.68亿</t>
  </si>
  <si>
    <t xml:space="preserve"> 柳    工</t>
  </si>
  <si>
    <t xml:space="preserve"> 9566万</t>
  </si>
  <si>
    <t xml:space="preserve"> 211亿</t>
  </si>
  <si>
    <t xml:space="preserve"> 19.51亿</t>
  </si>
  <si>
    <t xml:space="preserve"> 123.3亿</t>
  </si>
  <si>
    <t xml:space="preserve"> 89.30亿</t>
  </si>
  <si>
    <t xml:space="preserve"> 中铁工业</t>
  </si>
  <si>
    <t xml:space="preserve"> 9556万</t>
  </si>
  <si>
    <t xml:space="preserve"> 星源卓镁</t>
  </si>
  <si>
    <t xml:space="preserve"> 9553万</t>
  </si>
  <si>
    <t xml:space="preserve"> 1936万</t>
  </si>
  <si>
    <t xml:space="preserve"> 大洋电机</t>
  </si>
  <si>
    <t xml:space="preserve"> 9545万</t>
  </si>
  <si>
    <t xml:space="preserve"> 23.97亿</t>
  </si>
  <si>
    <t xml:space="preserve"> 121.6亿</t>
  </si>
  <si>
    <t xml:space="preserve"> 91.13亿</t>
  </si>
  <si>
    <t xml:space="preserve"> 新疆交建</t>
  </si>
  <si>
    <t xml:space="preserve"> 9534万</t>
  </si>
  <si>
    <t xml:space="preserve"> 54.3亿</t>
  </si>
  <si>
    <t xml:space="preserve"> 6.451亿</t>
  </si>
  <si>
    <t xml:space="preserve"> 91.34亿</t>
  </si>
  <si>
    <t xml:space="preserve"> 90.52亿</t>
  </si>
  <si>
    <t xml:space="preserve"> 国恩股份</t>
  </si>
  <si>
    <t xml:space="preserve"> 9512万</t>
  </si>
  <si>
    <t xml:space="preserve"> 2.712亿</t>
  </si>
  <si>
    <t xml:space="preserve"> 57.40亿</t>
  </si>
  <si>
    <t xml:space="preserve"> 1.767亿</t>
  </si>
  <si>
    <t xml:space="preserve"> 思泉新材</t>
  </si>
  <si>
    <t xml:space="preserve"> 9508万</t>
  </si>
  <si>
    <t xml:space="preserve"> 5768万</t>
  </si>
  <si>
    <t xml:space="preserve"> 42.11亿</t>
  </si>
  <si>
    <t xml:space="preserve"> 1368万</t>
  </si>
  <si>
    <t xml:space="preserve"> 9.984亿</t>
  </si>
  <si>
    <t xml:space="preserve"> 爱科赛博</t>
  </si>
  <si>
    <t xml:space="preserve"> 8248万</t>
  </si>
  <si>
    <t xml:space="preserve"> 57.51亿</t>
  </si>
  <si>
    <t xml:space="preserve"> 1815万</t>
  </si>
  <si>
    <t xml:space="preserve"> 迈威生物-U</t>
  </si>
  <si>
    <t xml:space="preserve"> 9507万</t>
  </si>
  <si>
    <t xml:space="preserve"> 9951万</t>
  </si>
  <si>
    <t xml:space="preserve"> 119.2亿</t>
  </si>
  <si>
    <t xml:space="preserve"> 2.021亿</t>
  </si>
  <si>
    <t xml:space="preserve"> 朗新科技</t>
  </si>
  <si>
    <t xml:space="preserve"> 9490万</t>
  </si>
  <si>
    <t xml:space="preserve"> 183.4亿</t>
  </si>
  <si>
    <t xml:space="preserve"> 浙江鼎力</t>
  </si>
  <si>
    <t xml:space="preserve"> 47.4亿</t>
  </si>
  <si>
    <t xml:space="preserve"> 5.063亿</t>
  </si>
  <si>
    <t xml:space="preserve"> 242.4亿</t>
  </si>
  <si>
    <t xml:space="preserve"> 震有科技</t>
  </si>
  <si>
    <t xml:space="preserve"> 9487万</t>
  </si>
  <si>
    <t xml:space="preserve"> 1.936亿</t>
  </si>
  <si>
    <t xml:space="preserve"> 41.51亿</t>
  </si>
  <si>
    <t xml:space="preserve"> 1.326亿</t>
  </si>
  <si>
    <t xml:space="preserve"> 安科生物</t>
  </si>
  <si>
    <t xml:space="preserve"> 9484万</t>
  </si>
  <si>
    <t xml:space="preserve"> 16.77亿</t>
  </si>
  <si>
    <t xml:space="preserve"> 178.9亿</t>
  </si>
  <si>
    <t xml:space="preserve"> 航天机电</t>
  </si>
  <si>
    <t xml:space="preserve"> 9472万</t>
  </si>
  <si>
    <t xml:space="preserve"> 76.9亿</t>
  </si>
  <si>
    <t xml:space="preserve"> 14.34亿</t>
  </si>
  <si>
    <t xml:space="preserve"> 99.54亿</t>
  </si>
  <si>
    <t xml:space="preserve"> 翱捷科技-U</t>
  </si>
  <si>
    <t xml:space="preserve"> 9471万</t>
  </si>
  <si>
    <t xml:space="preserve"> 4.183亿</t>
  </si>
  <si>
    <t xml:space="preserve"> 276.9亿</t>
  </si>
  <si>
    <t xml:space="preserve"> 2.238亿</t>
  </si>
  <si>
    <t xml:space="preserve"> 148.1亿</t>
  </si>
  <si>
    <t xml:space="preserve"> 丽珠集团</t>
  </si>
  <si>
    <t xml:space="preserve"> 9455万</t>
  </si>
  <si>
    <t xml:space="preserve"> 9.356亿</t>
  </si>
  <si>
    <t xml:space="preserve"> 325.6亿</t>
  </si>
  <si>
    <t xml:space="preserve"> 6.057亿</t>
  </si>
  <si>
    <t xml:space="preserve"> 210.8亿</t>
  </si>
  <si>
    <t xml:space="preserve"> 金钼股份</t>
  </si>
  <si>
    <t xml:space="preserve"> 9452万</t>
  </si>
  <si>
    <t xml:space="preserve"> 88.5亿</t>
  </si>
  <si>
    <t xml:space="preserve"> 32.27亿</t>
  </si>
  <si>
    <t xml:space="preserve"> 304.3亿</t>
  </si>
  <si>
    <t xml:space="preserve"> 星昊医药</t>
  </si>
  <si>
    <t xml:space="preserve"> 9448万</t>
  </si>
  <si>
    <t xml:space="preserve"> 1.226亿</t>
  </si>
  <si>
    <t xml:space="preserve"> 17.99亿</t>
  </si>
  <si>
    <t xml:space="preserve"> 6306万</t>
  </si>
  <si>
    <t xml:space="preserve"> 9.257亿</t>
  </si>
  <si>
    <t xml:space="preserve"> 苏 泊 尔</t>
  </si>
  <si>
    <t xml:space="preserve"> 9447万</t>
  </si>
  <si>
    <t xml:space="preserve"> 8.067亿</t>
  </si>
  <si>
    <t xml:space="preserve"> 429.2亿</t>
  </si>
  <si>
    <t xml:space="preserve"> 8.037亿</t>
  </si>
  <si>
    <t xml:space="preserve"> 427.7亿</t>
  </si>
  <si>
    <t xml:space="preserve"> 湖南裕能</t>
  </si>
  <si>
    <t xml:space="preserve"> 9442万</t>
  </si>
  <si>
    <t xml:space="preserve"> 1.339亿</t>
  </si>
  <si>
    <t xml:space="preserve"> 安徽合力</t>
  </si>
  <si>
    <t xml:space="preserve"> 9438万</t>
  </si>
  <si>
    <t xml:space="preserve"> 131亿</t>
  </si>
  <si>
    <t xml:space="preserve"> 7.402亿</t>
  </si>
  <si>
    <t xml:space="preserve"> 华虹公司</t>
  </si>
  <si>
    <t xml:space="preserve"> 9436万</t>
  </si>
  <si>
    <t xml:space="preserve"> 737.5亿</t>
  </si>
  <si>
    <t xml:space="preserve"> 佳隆股份</t>
  </si>
  <si>
    <t xml:space="preserve"> 9428万</t>
  </si>
  <si>
    <t xml:space="preserve"> 7.139亿</t>
  </si>
  <si>
    <t xml:space="preserve"> 新赣江</t>
  </si>
  <si>
    <t xml:space="preserve"> 10.15亿</t>
  </si>
  <si>
    <t xml:space="preserve"> 1965万</t>
  </si>
  <si>
    <t xml:space="preserve"> 2.814亿</t>
  </si>
  <si>
    <t xml:space="preserve"> 申能股份</t>
  </si>
  <si>
    <t xml:space="preserve"> 9424万</t>
  </si>
  <si>
    <t xml:space="preserve"> 48.94亿</t>
  </si>
  <si>
    <t xml:space="preserve"> 48.65亿</t>
  </si>
  <si>
    <t xml:space="preserve"> 290.9亿</t>
  </si>
  <si>
    <t xml:space="preserve"> 四通股份</t>
  </si>
  <si>
    <t xml:space="preserve"> 23.71亿</t>
  </si>
  <si>
    <t xml:space="preserve"> 上海三毛</t>
  </si>
  <si>
    <t xml:space="preserve"> 9413万</t>
  </si>
  <si>
    <t xml:space="preserve"> 23.15亿</t>
  </si>
  <si>
    <t xml:space="preserve"> 17.53亿</t>
  </si>
  <si>
    <t xml:space="preserve"> 健康元</t>
  </si>
  <si>
    <t xml:space="preserve"> 9406万</t>
  </si>
  <si>
    <t xml:space="preserve"> 18.63亿</t>
  </si>
  <si>
    <t xml:space="preserve"> 235.3亿</t>
  </si>
  <si>
    <t xml:space="preserve"> *ST榕泰</t>
  </si>
  <si>
    <t xml:space="preserve"> 9389万</t>
  </si>
  <si>
    <t xml:space="preserve"> 7.040亿</t>
  </si>
  <si>
    <t xml:space="preserve"> 青龙管业</t>
  </si>
  <si>
    <t xml:space="preserve"> 9370万</t>
  </si>
  <si>
    <t xml:space="preserve"> 3.350亿</t>
  </si>
  <si>
    <t xml:space="preserve"> 31.09亿</t>
  </si>
  <si>
    <t xml:space="preserve"> 31.07亿</t>
  </si>
  <si>
    <t xml:space="preserve"> 博实股份</t>
  </si>
  <si>
    <t xml:space="preserve"> 143.2亿</t>
  </si>
  <si>
    <t xml:space="preserve"> 8.414亿</t>
  </si>
  <si>
    <t xml:space="preserve"> 大参林</t>
  </si>
  <si>
    <t xml:space="preserve"> 9356万</t>
  </si>
  <si>
    <t xml:space="preserve"> 177亿</t>
  </si>
  <si>
    <t xml:space="preserve"> 11.39亿</t>
  </si>
  <si>
    <t xml:space="preserve"> 296.1亿</t>
  </si>
  <si>
    <t xml:space="preserve"> 11.37亿</t>
  </si>
  <si>
    <t xml:space="preserve"> 295.7亿</t>
  </si>
  <si>
    <t xml:space="preserve"> 景兴纸业</t>
  </si>
  <si>
    <t xml:space="preserve"> 国芳集团</t>
  </si>
  <si>
    <t xml:space="preserve"> 9338万</t>
  </si>
  <si>
    <t xml:space="preserve"> 7.39亿</t>
  </si>
  <si>
    <t xml:space="preserve"> 8.15万</t>
  </si>
  <si>
    <t xml:space="preserve"> 38.03亿</t>
  </si>
  <si>
    <t xml:space="preserve"> 新朋股份</t>
  </si>
  <si>
    <t xml:space="preserve"> 9336万</t>
  </si>
  <si>
    <t xml:space="preserve"> 7.718亿</t>
  </si>
  <si>
    <t xml:space="preserve"> 48.85亿</t>
  </si>
  <si>
    <t xml:space="preserve"> 川大智胜</t>
  </si>
  <si>
    <t xml:space="preserve"> 9327万</t>
  </si>
  <si>
    <t xml:space="preserve"> 2.256亿</t>
  </si>
  <si>
    <t xml:space="preserve"> 31.91亿</t>
  </si>
  <si>
    <t xml:space="preserve"> 久盛电气</t>
  </si>
  <si>
    <t xml:space="preserve"> 9326万</t>
  </si>
  <si>
    <t xml:space="preserve"> 1.616亿</t>
  </si>
  <si>
    <t xml:space="preserve"> 29.39亿</t>
  </si>
  <si>
    <t xml:space="preserve"> 6794万</t>
  </si>
  <si>
    <t xml:space="preserve"> 12.35亿</t>
  </si>
  <si>
    <t xml:space="preserve"> 四川路桥</t>
  </si>
  <si>
    <t xml:space="preserve"> 9324万</t>
  </si>
  <si>
    <t xml:space="preserve"> 896亿</t>
  </si>
  <si>
    <t xml:space="preserve"> 87.16亿</t>
  </si>
  <si>
    <t xml:space="preserve"> 672.0亿</t>
  </si>
  <si>
    <t xml:space="preserve"> 66.39亿</t>
  </si>
  <si>
    <t xml:space="preserve"> 511.9亿</t>
  </si>
  <si>
    <t xml:space="preserve"> 海汽集团</t>
  </si>
  <si>
    <t xml:space="preserve"> 9322万</t>
  </si>
  <si>
    <t xml:space="preserve"> 65.54亿</t>
  </si>
  <si>
    <t xml:space="preserve"> 南京医药</t>
  </si>
  <si>
    <t xml:space="preserve"> 405亿</t>
  </si>
  <si>
    <t xml:space="preserve"> 68.53亿</t>
  </si>
  <si>
    <t xml:space="preserve"> 10.42亿</t>
  </si>
  <si>
    <t xml:space="preserve"> 南凌科技</t>
  </si>
  <si>
    <t xml:space="preserve"> 9290万</t>
  </si>
  <si>
    <t xml:space="preserve"> 1.314亿</t>
  </si>
  <si>
    <t xml:space="preserve"> 36.63亿</t>
  </si>
  <si>
    <t xml:space="preserve"> 6154万</t>
  </si>
  <si>
    <t xml:space="preserve"> 17.15亿</t>
  </si>
  <si>
    <t xml:space="preserve"> 泰凌微</t>
  </si>
  <si>
    <t xml:space="preserve"> 9280万</t>
  </si>
  <si>
    <t xml:space="preserve"> 4.76亿</t>
  </si>
  <si>
    <t xml:space="preserve"> 72.60亿</t>
  </si>
  <si>
    <t xml:space="preserve"> 5205万</t>
  </si>
  <si>
    <t xml:space="preserve"> 力鼎光电</t>
  </si>
  <si>
    <t xml:space="preserve"> 9275万</t>
  </si>
  <si>
    <t xml:space="preserve"> 4.071亿</t>
  </si>
  <si>
    <t xml:space="preserve"> 71.25亿</t>
  </si>
  <si>
    <t xml:space="preserve"> 71.17亿</t>
  </si>
  <si>
    <t xml:space="preserve"> 汇鸿集团</t>
  </si>
  <si>
    <t xml:space="preserve"> 341亿</t>
  </si>
  <si>
    <t xml:space="preserve"> 66.82亿</t>
  </si>
  <si>
    <t xml:space="preserve"> 科力远</t>
  </si>
  <si>
    <t xml:space="preserve"> 9274万</t>
  </si>
  <si>
    <t xml:space="preserve"> 16.66亿</t>
  </si>
  <si>
    <t xml:space="preserve"> 盛屯矿业</t>
  </si>
  <si>
    <t xml:space="preserve"> 9272万</t>
  </si>
  <si>
    <t xml:space="preserve"> 183亿</t>
  </si>
  <si>
    <t xml:space="preserve"> 31.32亿</t>
  </si>
  <si>
    <t xml:space="preserve"> 138.7亿</t>
  </si>
  <si>
    <t xml:space="preserve"> 31.23亿</t>
  </si>
  <si>
    <t xml:space="preserve"> 138.3亿</t>
  </si>
  <si>
    <t xml:space="preserve"> 捷捷微电</t>
  </si>
  <si>
    <t xml:space="preserve"> 9268万</t>
  </si>
  <si>
    <t xml:space="preserve"> 14.3亿</t>
  </si>
  <si>
    <t xml:space="preserve"> 7.363亿</t>
  </si>
  <si>
    <t xml:space="preserve"> 6.311亿</t>
  </si>
  <si>
    <t xml:space="preserve"> 108.4亿</t>
  </si>
  <si>
    <t xml:space="preserve"> 曼恩斯特</t>
  </si>
  <si>
    <t xml:space="preserve"> 9260万</t>
  </si>
  <si>
    <t xml:space="preserve"> 91.68亿</t>
  </si>
  <si>
    <t xml:space="preserve"> 2621万</t>
  </si>
  <si>
    <t xml:space="preserve"> 宇邦新材</t>
  </si>
  <si>
    <t xml:space="preserve"> 9254万</t>
  </si>
  <si>
    <t xml:space="preserve"> 44.89亿</t>
  </si>
  <si>
    <t xml:space="preserve"> 3750万</t>
  </si>
  <si>
    <t xml:space="preserve"> 中英科技</t>
  </si>
  <si>
    <t xml:space="preserve"> 7520万</t>
  </si>
  <si>
    <t xml:space="preserve"> 2656万</t>
  </si>
  <si>
    <t xml:space="preserve"> 国博电子</t>
  </si>
  <si>
    <t xml:space="preserve"> 9252万</t>
  </si>
  <si>
    <t xml:space="preserve"> 335.4亿</t>
  </si>
  <si>
    <t xml:space="preserve"> 1.682亿</t>
  </si>
  <si>
    <t xml:space="preserve"> 世运电路</t>
  </si>
  <si>
    <t xml:space="preserve"> 9244万</t>
  </si>
  <si>
    <t xml:space="preserve"> 33.5亿</t>
  </si>
  <si>
    <t xml:space="preserve"> 5.322亿</t>
  </si>
  <si>
    <t xml:space="preserve"> 94.94亿</t>
  </si>
  <si>
    <t xml:space="preserve"> 盐津铺子</t>
  </si>
  <si>
    <t xml:space="preserve"> 1.736亿</t>
  </si>
  <si>
    <t xml:space="preserve"> 金龙羽</t>
  </si>
  <si>
    <t xml:space="preserve"> 4.329亿</t>
  </si>
  <si>
    <t xml:space="preserve"> 65.97亿</t>
  </si>
  <si>
    <t xml:space="preserve"> 2.465亿</t>
  </si>
  <si>
    <t xml:space="preserve"> 37.57亿</t>
  </si>
  <si>
    <t xml:space="preserve"> 美迪西</t>
  </si>
  <si>
    <t xml:space="preserve"> 9243万</t>
  </si>
  <si>
    <t xml:space="preserve"> 1.345亿</t>
  </si>
  <si>
    <t xml:space="preserve"> 97.86亿</t>
  </si>
  <si>
    <t xml:space="preserve"> 格林精密</t>
  </si>
  <si>
    <t xml:space="preserve"> 4.134亿</t>
  </si>
  <si>
    <t xml:space="preserve"> 44.31亿</t>
  </si>
  <si>
    <t xml:space="preserve"> 1.731亿</t>
  </si>
  <si>
    <t xml:space="preserve"> 18.56亿</t>
  </si>
  <si>
    <t xml:space="preserve"> 帝尔激光</t>
  </si>
  <si>
    <t xml:space="preserve"> 9234万</t>
  </si>
  <si>
    <t xml:space="preserve"> 96.71亿</t>
  </si>
  <si>
    <t xml:space="preserve"> 国旅联合</t>
  </si>
  <si>
    <t xml:space="preserve"> 9219万</t>
  </si>
  <si>
    <t xml:space="preserve"> 5.049亿</t>
  </si>
  <si>
    <t xml:space="preserve"> 25.80亿</t>
  </si>
  <si>
    <t xml:space="preserve"> 塞力医疗</t>
  </si>
  <si>
    <t xml:space="preserve"> 9210万</t>
  </si>
  <si>
    <t xml:space="preserve"> 2.013亿</t>
  </si>
  <si>
    <t xml:space="preserve"> 24.16亿</t>
  </si>
  <si>
    <t xml:space="preserve"> 图南股份</t>
  </si>
  <si>
    <t xml:space="preserve"> 9207万</t>
  </si>
  <si>
    <t xml:space="preserve"> 3.953亿</t>
  </si>
  <si>
    <t xml:space="preserve"> 86.46亿</t>
  </si>
  <si>
    <t xml:space="preserve"> 奥联电子</t>
  </si>
  <si>
    <t xml:space="preserve"> 9205万</t>
  </si>
  <si>
    <t xml:space="preserve"> 1.711亿</t>
  </si>
  <si>
    <t xml:space="preserve"> 29.88亿</t>
  </si>
  <si>
    <t xml:space="preserve"> 27.94亿</t>
  </si>
  <si>
    <t xml:space="preserve"> 齐峰新材</t>
  </si>
  <si>
    <t xml:space="preserve"> 9198万</t>
  </si>
  <si>
    <t xml:space="preserve"> 4.947亿</t>
  </si>
  <si>
    <t xml:space="preserve"> 40.42亿</t>
  </si>
  <si>
    <t xml:space="preserve"> 4.028亿</t>
  </si>
  <si>
    <t xml:space="preserve"> 32.91亿</t>
  </si>
  <si>
    <t xml:space="preserve"> 五矿发展</t>
  </si>
  <si>
    <t xml:space="preserve"> 9196万</t>
  </si>
  <si>
    <t xml:space="preserve"> 天康生物</t>
  </si>
  <si>
    <t xml:space="preserve"> 9189万</t>
  </si>
  <si>
    <t xml:space="preserve"> 147亿</t>
  </si>
  <si>
    <t xml:space="preserve"> 104.2亿</t>
  </si>
  <si>
    <t xml:space="preserve"> 三角防务</t>
  </si>
  <si>
    <t xml:space="preserve"> 9177万</t>
  </si>
  <si>
    <t xml:space="preserve"> 5.502亿</t>
  </si>
  <si>
    <t xml:space="preserve"> 156.7亿</t>
  </si>
  <si>
    <t xml:space="preserve"> 5.316亿</t>
  </si>
  <si>
    <t xml:space="preserve"> 日出东方</t>
  </si>
  <si>
    <t xml:space="preserve"> 9167万</t>
  </si>
  <si>
    <t xml:space="preserve"> 34.9亿</t>
  </si>
  <si>
    <t xml:space="preserve"> 7.01万</t>
  </si>
  <si>
    <t xml:space="preserve"> 7.97万</t>
  </si>
  <si>
    <t xml:space="preserve"> 8.140亿</t>
  </si>
  <si>
    <t xml:space="preserve"> 8.061亿</t>
  </si>
  <si>
    <t xml:space="preserve"> 48.93亿</t>
  </si>
  <si>
    <t xml:space="preserve"> 银龙股份</t>
  </si>
  <si>
    <t xml:space="preserve"> 9166万</t>
  </si>
  <si>
    <t xml:space="preserve"> 8.548亿</t>
  </si>
  <si>
    <t xml:space="preserve"> 52.31亿</t>
  </si>
  <si>
    <t xml:space="preserve"> 8.373亿</t>
  </si>
  <si>
    <t xml:space="preserve"> 水羊股份</t>
  </si>
  <si>
    <t xml:space="preserve"> 9158万</t>
  </si>
  <si>
    <t xml:space="preserve"> 33.8亿</t>
  </si>
  <si>
    <t xml:space="preserve"> 64.22亿</t>
  </si>
  <si>
    <t xml:space="preserve"> 3.570亿</t>
  </si>
  <si>
    <t xml:space="preserve"> 58.87亿</t>
  </si>
  <si>
    <t xml:space="preserve"> 陕西华达</t>
  </si>
  <si>
    <t xml:space="preserve"> 63.43亿</t>
  </si>
  <si>
    <t xml:space="preserve"> 2120万</t>
  </si>
  <si>
    <t xml:space="preserve"> 思科瑞</t>
  </si>
  <si>
    <t xml:space="preserve"> 9152万</t>
  </si>
  <si>
    <t xml:space="preserve"> 54.64亿</t>
  </si>
  <si>
    <t xml:space="preserve"> 4227万</t>
  </si>
  <si>
    <t xml:space="preserve"> 23.10亿</t>
  </si>
  <si>
    <t xml:space="preserve"> 云创数据</t>
  </si>
  <si>
    <t xml:space="preserve"> 9134万</t>
  </si>
  <si>
    <t xml:space="preserve"> 23.74亿</t>
  </si>
  <si>
    <t xml:space="preserve"> 14.54亿</t>
  </si>
  <si>
    <t xml:space="preserve"> 周大生</t>
  </si>
  <si>
    <t xml:space="preserve"> 9132万</t>
  </si>
  <si>
    <t xml:space="preserve"> 10.84亿</t>
  </si>
  <si>
    <t xml:space="preserve"> 恒华科技</t>
  </si>
  <si>
    <t xml:space="preserve"> 9120万</t>
  </si>
  <si>
    <t xml:space="preserve"> 3.38亿</t>
  </si>
  <si>
    <t xml:space="preserve"> 5.999亿</t>
  </si>
  <si>
    <t xml:space="preserve"> 44.45亿</t>
  </si>
  <si>
    <t xml:space="preserve"> 4.572亿</t>
  </si>
  <si>
    <t xml:space="preserve"> 33.88亿</t>
  </si>
  <si>
    <t xml:space="preserve"> 海辰药业</t>
  </si>
  <si>
    <t xml:space="preserve"> 9117万</t>
  </si>
  <si>
    <t xml:space="preserve"> 8212万</t>
  </si>
  <si>
    <t xml:space="preserve"> 21.40亿</t>
  </si>
  <si>
    <t xml:space="preserve"> 华泰股份</t>
  </si>
  <si>
    <t xml:space="preserve"> 9113万</t>
  </si>
  <si>
    <t xml:space="preserve"> 15.17亿</t>
  </si>
  <si>
    <t xml:space="preserve"> 54.30亿</t>
  </si>
  <si>
    <t xml:space="preserve"> 顶点软件</t>
  </si>
  <si>
    <t xml:space="preserve"> 9112万</t>
  </si>
  <si>
    <t xml:space="preserve"> 1.712亿</t>
  </si>
  <si>
    <t xml:space="preserve"> 97.79亿</t>
  </si>
  <si>
    <t xml:space="preserve"> 1.691亿</t>
  </si>
  <si>
    <t xml:space="preserve"> 96.58亿</t>
  </si>
  <si>
    <t xml:space="preserve"> 苏美达</t>
  </si>
  <si>
    <t xml:space="preserve"> 9109万</t>
  </si>
  <si>
    <t xml:space="preserve"> 961亿</t>
  </si>
  <si>
    <t xml:space="preserve"> 13.07亿</t>
  </si>
  <si>
    <t xml:space="preserve"> 97.88亿</t>
  </si>
  <si>
    <t xml:space="preserve"> 金石亚药</t>
  </si>
  <si>
    <t xml:space="preserve"> 9105万</t>
  </si>
  <si>
    <t xml:space="preserve"> 8.27亿</t>
  </si>
  <si>
    <t xml:space="preserve"> 4.017亿</t>
  </si>
  <si>
    <t xml:space="preserve"> 48.73亿</t>
  </si>
  <si>
    <t xml:space="preserve"> 3.365亿</t>
  </si>
  <si>
    <t xml:space="preserve"> 40.82亿</t>
  </si>
  <si>
    <t xml:space="preserve"> 天马新材</t>
  </si>
  <si>
    <t xml:space="preserve"> 9103万</t>
  </si>
  <si>
    <t xml:space="preserve"> 3207万</t>
  </si>
  <si>
    <t xml:space="preserve"> 3.159亿</t>
  </si>
  <si>
    <t xml:space="preserve"> 京北方</t>
  </si>
  <si>
    <t xml:space="preserve"> 9101万</t>
  </si>
  <si>
    <t xml:space="preserve"> 4.413亿</t>
  </si>
  <si>
    <t xml:space="preserve"> 83.66亿</t>
  </si>
  <si>
    <t xml:space="preserve"> 瑞芯微</t>
  </si>
  <si>
    <t xml:space="preserve"> 9100万</t>
  </si>
  <si>
    <t xml:space="preserve"> 4.180亿</t>
  </si>
  <si>
    <t xml:space="preserve"> 276.6亿</t>
  </si>
  <si>
    <t xml:space="preserve"> 冠盛股份</t>
  </si>
  <si>
    <t xml:space="preserve"> 37.17亿</t>
  </si>
  <si>
    <t xml:space="preserve"> 36.78亿</t>
  </si>
  <si>
    <t xml:space="preserve"> 立方数科</t>
  </si>
  <si>
    <t xml:space="preserve"> 9086万</t>
  </si>
  <si>
    <t xml:space="preserve"> 6.417亿</t>
  </si>
  <si>
    <t xml:space="preserve"> 39.91亿</t>
  </si>
  <si>
    <t xml:space="preserve"> 39.76亿</t>
  </si>
  <si>
    <t xml:space="preserve"> 万里石</t>
  </si>
  <si>
    <t xml:space="preserve"> 9083万</t>
  </si>
  <si>
    <t xml:space="preserve"> 2.270亿</t>
  </si>
  <si>
    <t xml:space="preserve"> 64.59亿</t>
  </si>
  <si>
    <t xml:space="preserve"> 1.678亿</t>
  </si>
  <si>
    <t xml:space="preserve"> 47.77亿</t>
  </si>
  <si>
    <t xml:space="preserve"> 太阳能</t>
  </si>
  <si>
    <t xml:space="preserve"> 9079万</t>
  </si>
  <si>
    <t xml:space="preserve"> 64.4亿</t>
  </si>
  <si>
    <t xml:space="preserve"> 35.95亿</t>
  </si>
  <si>
    <t xml:space="preserve"> 201.0亿</t>
  </si>
  <si>
    <t xml:space="preserve"> 开立医疗</t>
  </si>
  <si>
    <t xml:space="preserve"> 9078万</t>
  </si>
  <si>
    <t xml:space="preserve"> 4.307亿</t>
  </si>
  <si>
    <t xml:space="preserve"> 龙元建设</t>
  </si>
  <si>
    <t xml:space="preserve"> 9077万</t>
  </si>
  <si>
    <t xml:space="preserve"> 15.30亿</t>
  </si>
  <si>
    <t xml:space="preserve"> 69.15亿</t>
  </si>
  <si>
    <t xml:space="preserve"> 联域股份</t>
  </si>
  <si>
    <t xml:space="preserve"> 9073万</t>
  </si>
  <si>
    <t xml:space="preserve"> 7320万</t>
  </si>
  <si>
    <t xml:space="preserve"> 1793万</t>
  </si>
  <si>
    <t xml:space="preserve"> 9.443亿</t>
  </si>
  <si>
    <t xml:space="preserve"> 依米康</t>
  </si>
  <si>
    <t xml:space="preserve"> 9065万</t>
  </si>
  <si>
    <t xml:space="preserve"> 4.405亿</t>
  </si>
  <si>
    <t xml:space="preserve"> 42.07亿</t>
  </si>
  <si>
    <t xml:space="preserve"> 3.684亿</t>
  </si>
  <si>
    <t xml:space="preserve"> 35.18亿</t>
  </si>
  <si>
    <t xml:space="preserve"> 税友股份</t>
  </si>
  <si>
    <t xml:space="preserve"> 9064万</t>
  </si>
  <si>
    <t xml:space="preserve"> 4.072亿</t>
  </si>
  <si>
    <t xml:space="preserve"> 9049万</t>
  </si>
  <si>
    <t xml:space="preserve"> 中颖电子</t>
  </si>
  <si>
    <t xml:space="preserve"> 9056万</t>
  </si>
  <si>
    <t xml:space="preserve"> 9.23亿</t>
  </si>
  <si>
    <t xml:space="preserve"> 3.420亿</t>
  </si>
  <si>
    <t xml:space="preserve"> 3.383亿</t>
  </si>
  <si>
    <t xml:space="preserve"> 85.67亿</t>
  </si>
  <si>
    <t xml:space="preserve"> 有方科技</t>
  </si>
  <si>
    <t xml:space="preserve"> 9047万</t>
  </si>
  <si>
    <t xml:space="preserve"> 9213万</t>
  </si>
  <si>
    <t xml:space="preserve"> 42.21亿</t>
  </si>
  <si>
    <t xml:space="preserve"> 9168万</t>
  </si>
  <si>
    <t xml:space="preserve"> 42.01亿</t>
  </si>
  <si>
    <t xml:space="preserve"> 三生国健</t>
  </si>
  <si>
    <t xml:space="preserve"> 6.168亿</t>
  </si>
  <si>
    <t xml:space="preserve"> 中航高科</t>
  </si>
  <si>
    <t xml:space="preserve"> 9043万</t>
  </si>
  <si>
    <t xml:space="preserve"> 36.2亿</t>
  </si>
  <si>
    <t xml:space="preserve"> 湘财股份</t>
  </si>
  <si>
    <t xml:space="preserve"> 9041万</t>
  </si>
  <si>
    <t xml:space="preserve"> 28.59亿</t>
  </si>
  <si>
    <t xml:space="preserve"> 225.6亿</t>
  </si>
  <si>
    <t xml:space="preserve"> 陕西能源</t>
  </si>
  <si>
    <t xml:space="preserve"> 9031万</t>
  </si>
  <si>
    <t xml:space="preserve"> 37.50亿</t>
  </si>
  <si>
    <t xml:space="preserve"> 324.7亿</t>
  </si>
  <si>
    <t xml:space="preserve"> 7.500亿</t>
  </si>
  <si>
    <t xml:space="preserve"> 津投城开</t>
  </si>
  <si>
    <t xml:space="preserve"> 9026万</t>
  </si>
  <si>
    <t xml:space="preserve"> -2.35万</t>
  </si>
  <si>
    <t xml:space="preserve"> 盛科通信-U</t>
  </si>
  <si>
    <t xml:space="preserve"> 9024万</t>
  </si>
  <si>
    <t xml:space="preserve"> 190.4亿</t>
  </si>
  <si>
    <t xml:space="preserve"> 3720万</t>
  </si>
  <si>
    <t xml:space="preserve"> 17.27亿</t>
  </si>
  <si>
    <t xml:space="preserve"> 泰禾智能</t>
  </si>
  <si>
    <t xml:space="preserve"> 9023万</t>
  </si>
  <si>
    <t xml:space="preserve"> 1.834亿</t>
  </si>
  <si>
    <t xml:space="preserve"> 惠城环保</t>
  </si>
  <si>
    <t xml:space="preserve"> 9022万</t>
  </si>
  <si>
    <t xml:space="preserve"> 7.83亿</t>
  </si>
  <si>
    <t xml:space="preserve"> 1.366亿</t>
  </si>
  <si>
    <t xml:space="preserve"> 69.24亿</t>
  </si>
  <si>
    <t xml:space="preserve"> 48.96亿</t>
  </si>
  <si>
    <t xml:space="preserve"> 富奥股份</t>
  </si>
  <si>
    <t xml:space="preserve"> 9021万</t>
  </si>
  <si>
    <t xml:space="preserve"> 16.92亿</t>
  </si>
  <si>
    <t xml:space="preserve"> 99.50亿</t>
  </si>
  <si>
    <t xml:space="preserve"> 华辰装备</t>
  </si>
  <si>
    <t xml:space="preserve"> 9018万</t>
  </si>
  <si>
    <t xml:space="preserve"> 2.522亿</t>
  </si>
  <si>
    <t xml:space="preserve"> 65.41亿</t>
  </si>
  <si>
    <t xml:space="preserve"> 1.183亿</t>
  </si>
  <si>
    <t xml:space="preserve"> 药康生物</t>
  </si>
  <si>
    <t xml:space="preserve"> 82.29亿</t>
  </si>
  <si>
    <t xml:space="preserve"> 龙泉股份</t>
  </si>
  <si>
    <t xml:space="preserve"> 9015万</t>
  </si>
  <si>
    <t xml:space="preserve"> 6.84亿</t>
  </si>
  <si>
    <t xml:space="preserve"> 5.655亿</t>
  </si>
  <si>
    <t xml:space="preserve"> 5.537亿</t>
  </si>
  <si>
    <t xml:space="preserve"> 30.07亿</t>
  </si>
  <si>
    <t xml:space="preserve"> 洲明科技</t>
  </si>
  <si>
    <t xml:space="preserve"> 9002万</t>
  </si>
  <si>
    <t xml:space="preserve"> 50.7亿</t>
  </si>
  <si>
    <t xml:space="preserve"> 73.74亿</t>
  </si>
  <si>
    <t xml:space="preserve"> 8.893亿</t>
  </si>
  <si>
    <t xml:space="preserve"> 59.94亿</t>
  </si>
  <si>
    <t xml:space="preserve"> 中无人机</t>
  </si>
  <si>
    <t xml:space="preserve"> 8995万</t>
  </si>
  <si>
    <t xml:space="preserve"> 6.750亿</t>
  </si>
  <si>
    <t xml:space="preserve"> 287.9亿</t>
  </si>
  <si>
    <t xml:space="preserve"> 1.846亿</t>
  </si>
  <si>
    <t xml:space="preserve"> 78.72亿</t>
  </si>
  <si>
    <t xml:space="preserve"> 天健集团</t>
  </si>
  <si>
    <t xml:space="preserve"> 8988万</t>
  </si>
  <si>
    <t xml:space="preserve"> 176亿</t>
  </si>
  <si>
    <t xml:space="preserve"> 18.69亿</t>
  </si>
  <si>
    <t xml:space="preserve"> 95.86亿</t>
  </si>
  <si>
    <t xml:space="preserve"> 18.68亿</t>
  </si>
  <si>
    <t xml:space="preserve"> 95.85亿</t>
  </si>
  <si>
    <t xml:space="preserve"> 天虹股份</t>
  </si>
  <si>
    <t xml:space="preserve"> 8986万</t>
  </si>
  <si>
    <t xml:space="preserve"> 92.5亿</t>
  </si>
  <si>
    <t xml:space="preserve"> 65.10亿</t>
  </si>
  <si>
    <t xml:space="preserve"> 今飞凯达</t>
  </si>
  <si>
    <t xml:space="preserve"> 8972万</t>
  </si>
  <si>
    <t xml:space="preserve"> 国际医学</t>
  </si>
  <si>
    <t xml:space="preserve"> 8971万</t>
  </si>
  <si>
    <t xml:space="preserve"> 33.4亿</t>
  </si>
  <si>
    <t xml:space="preserve"> 208.9亿</t>
  </si>
  <si>
    <t xml:space="preserve"> 175.5亿</t>
  </si>
  <si>
    <t xml:space="preserve"> 安硕信息</t>
  </si>
  <si>
    <t xml:space="preserve"> 8966万</t>
  </si>
  <si>
    <t xml:space="preserve"> 1.398亿</t>
  </si>
  <si>
    <t xml:space="preserve"> 32.23亿</t>
  </si>
  <si>
    <t xml:space="preserve"> 28.73亿</t>
  </si>
  <si>
    <t xml:space="preserve"> 蒙娜丽莎</t>
  </si>
  <si>
    <t xml:space="preserve"> 6.36万</t>
  </si>
  <si>
    <t xml:space="preserve"> 8956万</t>
  </si>
  <si>
    <t xml:space="preserve"> 45.5亿</t>
  </si>
  <si>
    <t xml:space="preserve"> 4.152亿</t>
  </si>
  <si>
    <t xml:space="preserve"> 58.62亿</t>
  </si>
  <si>
    <t xml:space="preserve"> 2.195亿</t>
  </si>
  <si>
    <t xml:space="preserve"> 30.99亿</t>
  </si>
  <si>
    <t xml:space="preserve"> 德新科技</t>
  </si>
  <si>
    <t xml:space="preserve"> 8952万</t>
  </si>
  <si>
    <t xml:space="preserve"> 44.08亿</t>
  </si>
  <si>
    <t xml:space="preserve"> 2.281亿</t>
  </si>
  <si>
    <t xml:space="preserve"> 42.70亿</t>
  </si>
  <si>
    <t xml:space="preserve"> 山大地纬</t>
  </si>
  <si>
    <t xml:space="preserve"> 8950万</t>
  </si>
  <si>
    <t xml:space="preserve"> 50.96亿</t>
  </si>
  <si>
    <t xml:space="preserve"> 昌红科技</t>
  </si>
  <si>
    <t xml:space="preserve"> 5.325亿</t>
  </si>
  <si>
    <t xml:space="preserve"> 63.06亿</t>
  </si>
  <si>
    <t xml:space="preserve"> 蓝焰控股</t>
  </si>
  <si>
    <t xml:space="preserve"> 8949万</t>
  </si>
  <si>
    <t xml:space="preserve"> 9.675亿</t>
  </si>
  <si>
    <t xml:space="preserve"> 寒锐钴业</t>
  </si>
  <si>
    <t xml:space="preserve"> 8946万</t>
  </si>
  <si>
    <t xml:space="preserve"> 3.122亿</t>
  </si>
  <si>
    <t xml:space="preserve"> 89.70亿</t>
  </si>
  <si>
    <t xml:space="preserve"> 78.32亿</t>
  </si>
  <si>
    <t xml:space="preserve"> 美尔雅</t>
  </si>
  <si>
    <t xml:space="preserve"> 8945万</t>
  </si>
  <si>
    <t xml:space="preserve"> 3.600亿</t>
  </si>
  <si>
    <t xml:space="preserve"> 23.22亿</t>
  </si>
  <si>
    <t xml:space="preserve"> 中原证券</t>
  </si>
  <si>
    <t xml:space="preserve"> 8944万</t>
  </si>
  <si>
    <t xml:space="preserve"> 46.43亿</t>
  </si>
  <si>
    <t xml:space="preserve"> 182.5亿</t>
  </si>
  <si>
    <t xml:space="preserve"> 34.48亿</t>
  </si>
  <si>
    <t xml:space="preserve"> 通合科技</t>
  </si>
  <si>
    <t xml:space="preserve"> 8938万</t>
  </si>
  <si>
    <t xml:space="preserve"> 1.740亿</t>
  </si>
  <si>
    <t xml:space="preserve"> 1.544亿</t>
  </si>
  <si>
    <t xml:space="preserve"> 37.85亿</t>
  </si>
  <si>
    <t xml:space="preserve"> 盈趣科技</t>
  </si>
  <si>
    <t xml:space="preserve"> 8913万</t>
  </si>
  <si>
    <t xml:space="preserve"> 7.805亿</t>
  </si>
  <si>
    <t xml:space="preserve"> 137.2亿</t>
  </si>
  <si>
    <t xml:space="preserve"> *ST炼石</t>
  </si>
  <si>
    <t xml:space="preserve"> 8907万</t>
  </si>
  <si>
    <t xml:space="preserve"> 7.18万</t>
  </si>
  <si>
    <t xml:space="preserve"> 40.83亿</t>
  </si>
  <si>
    <t xml:space="preserve"> 5.815亿</t>
  </si>
  <si>
    <t xml:space="preserve"> 35.35亿</t>
  </si>
  <si>
    <t xml:space="preserve"> 华曙高科</t>
  </si>
  <si>
    <t xml:space="preserve"> 8902万</t>
  </si>
  <si>
    <t xml:space="preserve"> 4.142亿</t>
  </si>
  <si>
    <t xml:space="preserve"> 3759万</t>
  </si>
  <si>
    <t xml:space="preserve"> 赣能股份</t>
  </si>
  <si>
    <t xml:space="preserve"> 8898万</t>
  </si>
  <si>
    <t xml:space="preserve"> 53.8亿</t>
  </si>
  <si>
    <t xml:space="preserve"> 9.757亿</t>
  </si>
  <si>
    <t xml:space="preserve"> 华锐精密</t>
  </si>
  <si>
    <t xml:space="preserve"> 8895万</t>
  </si>
  <si>
    <t xml:space="preserve"> 6185万</t>
  </si>
  <si>
    <t xml:space="preserve"> 3562万</t>
  </si>
  <si>
    <t xml:space="preserve"> 晓程科技</t>
  </si>
  <si>
    <t xml:space="preserve"> 8891万</t>
  </si>
  <si>
    <t xml:space="preserve"> 2.740亿</t>
  </si>
  <si>
    <t xml:space="preserve"> 24.93亿</t>
  </si>
  <si>
    <t xml:space="preserve"> 景峰医药</t>
  </si>
  <si>
    <t xml:space="preserve"> 8888万</t>
  </si>
  <si>
    <t xml:space="preserve"> 5.54亿</t>
  </si>
  <si>
    <t xml:space="preserve"> 8.798亿</t>
  </si>
  <si>
    <t xml:space="preserve"> 30.88亿</t>
  </si>
  <si>
    <t xml:space="preserve"> 北大荒</t>
  </si>
  <si>
    <t xml:space="preserve"> 8880万</t>
  </si>
  <si>
    <t xml:space="preserve"> 39.8亿</t>
  </si>
  <si>
    <t xml:space="preserve"> 17.78亿</t>
  </si>
  <si>
    <t xml:space="preserve"> 224.3亿</t>
  </si>
  <si>
    <t xml:space="preserve"> 华昌达</t>
  </si>
  <si>
    <t xml:space="preserve"> 8877万</t>
  </si>
  <si>
    <t xml:space="preserve"> 12.93亿</t>
  </si>
  <si>
    <t xml:space="preserve"> 泰鹏智能</t>
  </si>
  <si>
    <t xml:space="preserve"> 8871万</t>
  </si>
  <si>
    <t xml:space="preserve"> 2023/06/30</t>
  </si>
  <si>
    <t xml:space="preserve"> 5736万</t>
  </si>
  <si>
    <t xml:space="preserve"> 9.407亿</t>
  </si>
  <si>
    <t xml:space="preserve"> 1140万</t>
  </si>
  <si>
    <t xml:space="preserve"> 1.870亿</t>
  </si>
  <si>
    <t xml:space="preserve"> 东北证券</t>
  </si>
  <si>
    <t xml:space="preserve"> 23.40亿</t>
  </si>
  <si>
    <t xml:space="preserve"> 久量股份</t>
  </si>
  <si>
    <t xml:space="preserve"> 8866万</t>
  </si>
  <si>
    <t xml:space="preserve"> 24.38亿</t>
  </si>
  <si>
    <t xml:space="preserve"> 8693万</t>
  </si>
  <si>
    <t xml:space="preserve"> 钢研高纳</t>
  </si>
  <si>
    <t xml:space="preserve"> 8859万</t>
  </si>
  <si>
    <t xml:space="preserve"> 7.305亿</t>
  </si>
  <si>
    <t xml:space="preserve"> 144.6亿</t>
  </si>
  <si>
    <t xml:space="preserve"> 英科医疗</t>
  </si>
  <si>
    <t xml:space="preserve"> 8848万</t>
  </si>
  <si>
    <t xml:space="preserve"> 6.560亿</t>
  </si>
  <si>
    <t xml:space="preserve"> 135.1亿</t>
  </si>
  <si>
    <t xml:space="preserve"> 98.37亿</t>
  </si>
  <si>
    <t xml:space="preserve"> 众诚科技</t>
  </si>
  <si>
    <t xml:space="preserve"> 8844万</t>
  </si>
  <si>
    <t xml:space="preserve"> 9580万</t>
  </si>
  <si>
    <t xml:space="preserve"> 8.679亿</t>
  </si>
  <si>
    <t xml:space="preserve"> 3521万</t>
  </si>
  <si>
    <t xml:space="preserve"> 3.190亿</t>
  </si>
  <si>
    <t xml:space="preserve"> 中泰股份</t>
  </si>
  <si>
    <t xml:space="preserve"> 8833万</t>
  </si>
  <si>
    <t xml:space="preserve"> 3.832亿</t>
  </si>
  <si>
    <t xml:space="preserve"> 54.53亿</t>
  </si>
  <si>
    <t xml:space="preserve"> 3.462亿</t>
  </si>
  <si>
    <t xml:space="preserve"> 49.26亿</t>
  </si>
  <si>
    <t xml:space="preserve"> 和远气体</t>
  </si>
  <si>
    <t xml:space="preserve"> 8832万</t>
  </si>
  <si>
    <t xml:space="preserve"> 35.04亿</t>
  </si>
  <si>
    <t xml:space="preserve"> 泰和新材</t>
  </si>
  <si>
    <t xml:space="preserve"> 8830万</t>
  </si>
  <si>
    <t xml:space="preserve"> 8.640亿</t>
  </si>
  <si>
    <t xml:space="preserve"> 133.8亿</t>
  </si>
  <si>
    <t xml:space="preserve"> 药易购</t>
  </si>
  <si>
    <t xml:space="preserve"> 8817万</t>
  </si>
  <si>
    <t xml:space="preserve"> 33.31亿</t>
  </si>
  <si>
    <t xml:space="preserve"> 4120万</t>
  </si>
  <si>
    <t xml:space="preserve"> 华夏航空</t>
  </si>
  <si>
    <t xml:space="preserve"> 8815万</t>
  </si>
  <si>
    <t xml:space="preserve"> 12.78亿</t>
  </si>
  <si>
    <t xml:space="preserve"> 96.64亿</t>
  </si>
  <si>
    <t xml:space="preserve"> 92.53亿</t>
  </si>
  <si>
    <t xml:space="preserve"> 科森科技</t>
  </si>
  <si>
    <t xml:space="preserve"> 8814万</t>
  </si>
  <si>
    <t xml:space="preserve"> 5.549亿</t>
  </si>
  <si>
    <t xml:space="preserve"> 45.17亿</t>
  </si>
  <si>
    <t xml:space="preserve"> 中材国际</t>
  </si>
  <si>
    <t xml:space="preserve"> 8806万</t>
  </si>
  <si>
    <t xml:space="preserve"> 315亿</t>
  </si>
  <si>
    <t xml:space="preserve"> 26.42亿</t>
  </si>
  <si>
    <t xml:space="preserve"> 249.7亿</t>
  </si>
  <si>
    <t xml:space="preserve"> 致远互联</t>
  </si>
  <si>
    <t xml:space="preserve"> 1.152亿</t>
  </si>
  <si>
    <t xml:space="preserve"> 46.22亿</t>
  </si>
  <si>
    <t xml:space="preserve"> 普冉股份</t>
  </si>
  <si>
    <t xml:space="preserve"> 8805万</t>
  </si>
  <si>
    <t xml:space="preserve"> 7.67亿</t>
  </si>
  <si>
    <t xml:space="preserve"> 7552万</t>
  </si>
  <si>
    <t xml:space="preserve"> 80.95亿</t>
  </si>
  <si>
    <t xml:space="preserve"> 4382万</t>
  </si>
  <si>
    <t xml:space="preserve"> 46.97亿</t>
  </si>
  <si>
    <t xml:space="preserve"> 丰光精密</t>
  </si>
  <si>
    <t xml:space="preserve"> 8802万</t>
  </si>
  <si>
    <t xml:space="preserve"> 1.316亿</t>
  </si>
  <si>
    <t xml:space="preserve"> 6293万</t>
  </si>
  <si>
    <t xml:space="preserve"> 6.481亿</t>
  </si>
  <si>
    <t xml:space="preserve"> *ST凯撒</t>
  </si>
  <si>
    <t xml:space="preserve"> 8.030亿</t>
  </si>
  <si>
    <t xml:space="preserve"> 新益昌</t>
  </si>
  <si>
    <t xml:space="preserve"> 8792万</t>
  </si>
  <si>
    <t xml:space="preserve"> 1.021亿</t>
  </si>
  <si>
    <t xml:space="preserve"> 3146万</t>
  </si>
  <si>
    <t xml:space="preserve"> 32.78亿</t>
  </si>
  <si>
    <t xml:space="preserve"> 华林证券</t>
  </si>
  <si>
    <t xml:space="preserve"> 8785万</t>
  </si>
  <si>
    <t xml:space="preserve"> 7.53亿</t>
  </si>
  <si>
    <t xml:space="preserve"> 372.1亿</t>
  </si>
  <si>
    <t xml:space="preserve"> 中曼石油</t>
  </si>
  <si>
    <t xml:space="preserve"> 8781万</t>
  </si>
  <si>
    <t xml:space="preserve"> 77.72亿</t>
  </si>
  <si>
    <t xml:space="preserve"> 3.999亿</t>
  </si>
  <si>
    <t xml:space="preserve"> 嘉和美康</t>
  </si>
  <si>
    <t xml:space="preserve"> 5.38亿</t>
  </si>
  <si>
    <t xml:space="preserve"> 1.012亿</t>
  </si>
  <si>
    <t xml:space="preserve"> 34.93亿</t>
  </si>
  <si>
    <t xml:space="preserve"> 盛达资源</t>
  </si>
  <si>
    <t xml:space="preserve"> 6.900亿</t>
  </si>
  <si>
    <t xml:space="preserve"> 88.59亿</t>
  </si>
  <si>
    <t xml:space="preserve"> 6.325亿</t>
  </si>
  <si>
    <t xml:space="preserve"> 81.21亿</t>
  </si>
  <si>
    <t xml:space="preserve"> 立方制药</t>
  </si>
  <si>
    <t xml:space="preserve"> 8777万</t>
  </si>
  <si>
    <t xml:space="preserve"> 1.597亿</t>
  </si>
  <si>
    <t xml:space="preserve"> 7221万</t>
  </si>
  <si>
    <t xml:space="preserve"> 新炬网络</t>
  </si>
  <si>
    <t xml:space="preserve"> 8773万</t>
  </si>
  <si>
    <t xml:space="preserve"> 1.166亿</t>
  </si>
  <si>
    <t xml:space="preserve"> 3779万</t>
  </si>
  <si>
    <t xml:space="preserve"> 中直股份</t>
  </si>
  <si>
    <t xml:space="preserve"> 8772万</t>
  </si>
  <si>
    <t xml:space="preserve"> 5.895亿</t>
  </si>
  <si>
    <t xml:space="preserve"> 220.9亿</t>
  </si>
  <si>
    <t xml:space="preserve"> 伊力特</t>
  </si>
  <si>
    <t xml:space="preserve"> 8766万</t>
  </si>
  <si>
    <t xml:space="preserve"> 和胜股份</t>
  </si>
  <si>
    <t xml:space="preserve"> 2.799亿</t>
  </si>
  <si>
    <t xml:space="preserve"> 57.19亿</t>
  </si>
  <si>
    <t xml:space="preserve"> 1.892亿</t>
  </si>
  <si>
    <t xml:space="preserve"> 38.64亿</t>
  </si>
  <si>
    <t xml:space="preserve"> 杉杉股份</t>
  </si>
  <si>
    <t xml:space="preserve"> 8760万</t>
  </si>
  <si>
    <t xml:space="preserve"> 22.59亿</t>
  </si>
  <si>
    <t xml:space="preserve"> 302.9亿</t>
  </si>
  <si>
    <t xml:space="preserve"> 17.57亿</t>
  </si>
  <si>
    <t xml:space="preserve"> 235.6亿</t>
  </si>
  <si>
    <t xml:space="preserve"> 惠程科技</t>
  </si>
  <si>
    <t xml:space="preserve"> 8758万</t>
  </si>
  <si>
    <t xml:space="preserve"> 7.842亿</t>
  </si>
  <si>
    <t xml:space="preserve"> 7.823亿</t>
  </si>
  <si>
    <t xml:space="preserve"> 新赛股份</t>
  </si>
  <si>
    <t xml:space="preserve"> 8754万</t>
  </si>
  <si>
    <t xml:space="preserve"> 5.814亿</t>
  </si>
  <si>
    <t xml:space="preserve"> 30.12亿</t>
  </si>
  <si>
    <t xml:space="preserve"> 雅创电子</t>
  </si>
  <si>
    <t xml:space="preserve"> 8753万</t>
  </si>
  <si>
    <t xml:space="preserve"> 41.93亿</t>
  </si>
  <si>
    <t xml:space="preserve"> 2900万</t>
  </si>
  <si>
    <t xml:space="preserve"> 15.20亿</t>
  </si>
  <si>
    <t xml:space="preserve"> 德龙汇能</t>
  </si>
  <si>
    <t xml:space="preserve"> 8737万</t>
  </si>
  <si>
    <t xml:space="preserve"> 3.586亿</t>
  </si>
  <si>
    <t xml:space="preserve"> 28.37亿</t>
  </si>
  <si>
    <t xml:space="preserve"> 3.585亿</t>
  </si>
  <si>
    <t xml:space="preserve"> 28.35亿</t>
  </si>
  <si>
    <t xml:space="preserve"> 隧道股份</t>
  </si>
  <si>
    <t xml:space="preserve"> 8730万</t>
  </si>
  <si>
    <t xml:space="preserve"> 469亿</t>
  </si>
  <si>
    <t xml:space="preserve"> 31.44亿</t>
  </si>
  <si>
    <t xml:space="preserve"> 电连技术</t>
  </si>
  <si>
    <t xml:space="preserve"> 8725万</t>
  </si>
  <si>
    <t xml:space="preserve"> 3.560亿</t>
  </si>
  <si>
    <t xml:space="preserve"> 太龙股份</t>
  </si>
  <si>
    <t xml:space="preserve"> 2.183亿</t>
  </si>
  <si>
    <t xml:space="preserve"> 1.520亿</t>
  </si>
  <si>
    <t xml:space="preserve"> 天成自控</t>
  </si>
  <si>
    <t xml:space="preserve"> 8722万</t>
  </si>
  <si>
    <t xml:space="preserve"> 3.971亿</t>
  </si>
  <si>
    <t xml:space="preserve"> 3.702亿</t>
  </si>
  <si>
    <t xml:space="preserve"> 41.98亿</t>
  </si>
  <si>
    <t xml:space="preserve"> 英搏尔</t>
  </si>
  <si>
    <t xml:space="preserve"> 8717万</t>
  </si>
  <si>
    <t xml:space="preserve"> 2.521亿</t>
  </si>
  <si>
    <t xml:space="preserve"> 1.728亿</t>
  </si>
  <si>
    <t xml:space="preserve"> 34.99亿</t>
  </si>
  <si>
    <t xml:space="preserve"> 楚天龙</t>
  </si>
  <si>
    <t xml:space="preserve"> 9.53亿</t>
  </si>
  <si>
    <t xml:space="preserve"> 4.611亿</t>
  </si>
  <si>
    <t xml:space="preserve"> 84.90亿</t>
  </si>
  <si>
    <t xml:space="preserve"> 2.166亿</t>
  </si>
  <si>
    <t xml:space="preserve"> 39.87亿</t>
  </si>
  <si>
    <t xml:space="preserve"> 陕鼓动力</t>
  </si>
  <si>
    <t xml:space="preserve"> 8715万</t>
  </si>
  <si>
    <t xml:space="preserve"> 72.7亿</t>
  </si>
  <si>
    <t xml:space="preserve"> 豫光金铅</t>
  </si>
  <si>
    <t xml:space="preserve"> 8707万</t>
  </si>
  <si>
    <t xml:space="preserve"> 256亿</t>
  </si>
  <si>
    <t xml:space="preserve"> 10.90亿</t>
  </si>
  <si>
    <t xml:space="preserve"> 67.81亿</t>
  </si>
  <si>
    <t xml:space="preserve"> 隆鑫通用</t>
  </si>
  <si>
    <t xml:space="preserve"> 8704万</t>
  </si>
  <si>
    <t xml:space="preserve"> 93.6亿</t>
  </si>
  <si>
    <t xml:space="preserve"> 115.4亿</t>
  </si>
  <si>
    <t xml:space="preserve"> 四方达</t>
  </si>
  <si>
    <t xml:space="preserve"> 8699万</t>
  </si>
  <si>
    <t xml:space="preserve"> 4.859亿</t>
  </si>
  <si>
    <t xml:space="preserve"> 48.25亿</t>
  </si>
  <si>
    <t xml:space="preserve"> 3.760亿</t>
  </si>
  <si>
    <t xml:space="preserve"> 37.34亿</t>
  </si>
  <si>
    <t xml:space="preserve"> 益生股份</t>
  </si>
  <si>
    <t xml:space="preserve"> 8698万</t>
  </si>
  <si>
    <t xml:space="preserve"> 9.929亿</t>
  </si>
  <si>
    <t xml:space="preserve"> 6.785亿</t>
  </si>
  <si>
    <t xml:space="preserve"> 72.73亿</t>
  </si>
  <si>
    <t xml:space="preserve"> 京投发展</t>
  </si>
  <si>
    <t xml:space="preserve"> 8695万</t>
  </si>
  <si>
    <t xml:space="preserve"> 7.408亿</t>
  </si>
  <si>
    <t xml:space="preserve"> 美力科技</t>
  </si>
  <si>
    <t xml:space="preserve"> 8684万</t>
  </si>
  <si>
    <t xml:space="preserve"> 25.20亿</t>
  </si>
  <si>
    <t xml:space="preserve"> 1.470亿</t>
  </si>
  <si>
    <t xml:space="preserve"> 华密新材</t>
  </si>
  <si>
    <t xml:space="preserve"> 8682万</t>
  </si>
  <si>
    <t xml:space="preserve"> 12.17亿</t>
  </si>
  <si>
    <t xml:space="preserve"> 2331万</t>
  </si>
  <si>
    <t xml:space="preserve"> 浙江龙盛</t>
  </si>
  <si>
    <t xml:space="preserve"> 282.4亿</t>
  </si>
  <si>
    <t xml:space="preserve"> 万里马</t>
  </si>
  <si>
    <t xml:space="preserve"> 4.30亿</t>
  </si>
  <si>
    <t xml:space="preserve"> 4.057亿</t>
  </si>
  <si>
    <t xml:space="preserve"> 3.324亿</t>
  </si>
  <si>
    <t xml:space="preserve"> 22.77亿</t>
  </si>
  <si>
    <t xml:space="preserve"> 鑫铂股份</t>
  </si>
  <si>
    <t xml:space="preserve"> 8675万</t>
  </si>
  <si>
    <t xml:space="preserve"> 47.1亿</t>
  </si>
  <si>
    <t xml:space="preserve"> 50.24亿</t>
  </si>
  <si>
    <t xml:space="preserve"> 6813万</t>
  </si>
  <si>
    <t xml:space="preserve"> 伊戈尔</t>
  </si>
  <si>
    <t xml:space="preserve"> 8669万</t>
  </si>
  <si>
    <t xml:space="preserve"> 3.913亿</t>
  </si>
  <si>
    <t xml:space="preserve"> 2.819亿</t>
  </si>
  <si>
    <t xml:space="preserve"> 41.49亿</t>
  </si>
  <si>
    <t xml:space="preserve"> 返利科技</t>
  </si>
  <si>
    <t xml:space="preserve"> 6.067亿</t>
  </si>
  <si>
    <t xml:space="preserve"> 24.56亿</t>
  </si>
  <si>
    <t xml:space="preserve"> 信科移动-U</t>
  </si>
  <si>
    <t xml:space="preserve"> 8648万</t>
  </si>
  <si>
    <t xml:space="preserve"> 52.8亿</t>
  </si>
  <si>
    <t xml:space="preserve"> 254.4亿</t>
  </si>
  <si>
    <t xml:space="preserve"> 6.672亿</t>
  </si>
  <si>
    <t xml:space="preserve"> 49.64亿</t>
  </si>
  <si>
    <t xml:space="preserve"> 恒玄科技</t>
  </si>
  <si>
    <t xml:space="preserve"> 8647万</t>
  </si>
  <si>
    <t xml:space="preserve"> 170.7亿</t>
  </si>
  <si>
    <t xml:space="preserve"> 7939万</t>
  </si>
  <si>
    <t xml:space="preserve"> 112.9亿</t>
  </si>
  <si>
    <t xml:space="preserve"> 广电网络</t>
  </si>
  <si>
    <t xml:space="preserve"> 8640万</t>
  </si>
  <si>
    <t xml:space="preserve"> 7.105亿</t>
  </si>
  <si>
    <t xml:space="preserve"> 安徽建工</t>
  </si>
  <si>
    <t xml:space="preserve"> 599亿</t>
  </si>
  <si>
    <t xml:space="preserve"> 17.17亿</t>
  </si>
  <si>
    <t xml:space="preserve"> 81.02亿</t>
  </si>
  <si>
    <t xml:space="preserve"> 七 匹 狼</t>
  </si>
  <si>
    <t xml:space="preserve"> 8624万</t>
  </si>
  <si>
    <t xml:space="preserve"> 7.557亿</t>
  </si>
  <si>
    <t xml:space="preserve"> 7.237亿</t>
  </si>
  <si>
    <t xml:space="preserve"> 44.94亿</t>
  </si>
  <si>
    <t xml:space="preserve"> 广东鸿图</t>
  </si>
  <si>
    <t xml:space="preserve"> 8620万</t>
  </si>
  <si>
    <t xml:space="preserve"> 52.4亿</t>
  </si>
  <si>
    <t xml:space="preserve"> 5.288亿</t>
  </si>
  <si>
    <t xml:space="preserve"> 85.88亿</t>
  </si>
  <si>
    <t xml:space="preserve"> 哈尔斯</t>
  </si>
  <si>
    <t xml:space="preserve"> 8608万</t>
  </si>
  <si>
    <t xml:space="preserve"> 2.863亿</t>
  </si>
  <si>
    <t xml:space="preserve"> 21.42亿</t>
  </si>
  <si>
    <t xml:space="preserve"> 好利科技</t>
  </si>
  <si>
    <t xml:space="preserve"> 8606万</t>
  </si>
  <si>
    <t xml:space="preserve"> 1.830亿</t>
  </si>
  <si>
    <t xml:space="preserve"> 39.39亿</t>
  </si>
  <si>
    <t xml:space="preserve"> 1.755亿</t>
  </si>
  <si>
    <t xml:space="preserve"> 37.78亿</t>
  </si>
  <si>
    <t xml:space="preserve"> 国能日新</t>
  </si>
  <si>
    <t xml:space="preserve"> 8604万</t>
  </si>
  <si>
    <t xml:space="preserve"> 9925万</t>
  </si>
  <si>
    <t xml:space="preserve"> 50.86亿</t>
  </si>
  <si>
    <t xml:space="preserve"> 6056万</t>
  </si>
  <si>
    <t xml:space="preserve"> 31.03亿</t>
  </si>
  <si>
    <t xml:space="preserve"> 锡业股份</t>
  </si>
  <si>
    <t xml:space="preserve"> 8599万</t>
  </si>
  <si>
    <t xml:space="preserve"> 337亿</t>
  </si>
  <si>
    <t xml:space="preserve"> 16.46亿</t>
  </si>
  <si>
    <t xml:space="preserve"> 227.9亿</t>
  </si>
  <si>
    <t xml:space="preserve"> 雪迪龙</t>
  </si>
  <si>
    <t xml:space="preserve"> 8588万</t>
  </si>
  <si>
    <t xml:space="preserve"> 9.47亿</t>
  </si>
  <si>
    <t xml:space="preserve"> 6.301亿</t>
  </si>
  <si>
    <t xml:space="preserve"> 55.07亿</t>
  </si>
  <si>
    <t xml:space="preserve"> 3.527亿</t>
  </si>
  <si>
    <t xml:space="preserve"> 30.82亿</t>
  </si>
  <si>
    <t xml:space="preserve"> 福达股份</t>
  </si>
  <si>
    <t xml:space="preserve"> 9.49亿</t>
  </si>
  <si>
    <t xml:space="preserve"> 5.63万</t>
  </si>
  <si>
    <t xml:space="preserve"> 6.462亿</t>
  </si>
  <si>
    <t xml:space="preserve"> 48.98亿</t>
  </si>
  <si>
    <t xml:space="preserve"> 泽璟制药-U</t>
  </si>
  <si>
    <t xml:space="preserve"> 8580万</t>
  </si>
  <si>
    <t xml:space="preserve"> 2.647亿</t>
  </si>
  <si>
    <t xml:space="preserve"> 130.4亿</t>
  </si>
  <si>
    <t xml:space="preserve"> 1.681亿</t>
  </si>
  <si>
    <t xml:space="preserve"> 82.84亿</t>
  </si>
  <si>
    <t xml:space="preserve"> 重庆钢铁</t>
  </si>
  <si>
    <t xml:space="preserve"> 8564万</t>
  </si>
  <si>
    <t xml:space="preserve"> 300亿</t>
  </si>
  <si>
    <t xml:space="preserve"> -6.61万</t>
  </si>
  <si>
    <t xml:space="preserve"> 89.19亿</t>
  </si>
  <si>
    <t xml:space="preserve"> 亿嘉和</t>
  </si>
  <si>
    <t xml:space="preserve"> 8555万</t>
  </si>
  <si>
    <t xml:space="preserve"> 2.065亿</t>
  </si>
  <si>
    <t xml:space="preserve"> 66.90亿</t>
  </si>
  <si>
    <t xml:space="preserve"> 宝武镁业</t>
  </si>
  <si>
    <t xml:space="preserve"> 8537万</t>
  </si>
  <si>
    <t xml:space="preserve"> 55.6亿</t>
  </si>
  <si>
    <t xml:space="preserve"> 7.084亿</t>
  </si>
  <si>
    <t xml:space="preserve"> 5.572亿</t>
  </si>
  <si>
    <t xml:space="preserve"> 108.6亿</t>
  </si>
  <si>
    <t xml:space="preserve"> 威迈斯</t>
  </si>
  <si>
    <t xml:space="preserve"> 8526万</t>
  </si>
  <si>
    <t xml:space="preserve"> 4.210亿</t>
  </si>
  <si>
    <t xml:space="preserve"> 173.9亿</t>
  </si>
  <si>
    <t xml:space="preserve"> 3132万</t>
  </si>
  <si>
    <t xml:space="preserve"> 长沙银行</t>
  </si>
  <si>
    <t xml:space="preserve"> 8522万</t>
  </si>
  <si>
    <t xml:space="preserve"> 40.22亿</t>
  </si>
  <si>
    <t xml:space="preserve"> 40.21亿</t>
  </si>
  <si>
    <t xml:space="preserve"> 275.0亿</t>
  </si>
  <si>
    <t xml:space="preserve"> 劲仔食品</t>
  </si>
  <si>
    <t xml:space="preserve"> 8519万</t>
  </si>
  <si>
    <t xml:space="preserve"> 56.43亿</t>
  </si>
  <si>
    <t xml:space="preserve"> 2.223亿</t>
  </si>
  <si>
    <t xml:space="preserve"> 27.81亿</t>
  </si>
  <si>
    <t xml:space="preserve"> 皮阿诺</t>
  </si>
  <si>
    <t xml:space="preserve"> 8518万</t>
  </si>
  <si>
    <t xml:space="preserve"> 1.865亿</t>
  </si>
  <si>
    <t xml:space="preserve"> 26.30亿</t>
  </si>
  <si>
    <t xml:space="preserve"> 18.65亿</t>
  </si>
  <si>
    <t xml:space="preserve"> 博众精工</t>
  </si>
  <si>
    <t xml:space="preserve"> 4.466亿</t>
  </si>
  <si>
    <t xml:space="preserve"> 9291万</t>
  </si>
  <si>
    <t xml:space="preserve"> 海航科技</t>
  </si>
  <si>
    <t xml:space="preserve"> 8517万</t>
  </si>
  <si>
    <t xml:space="preserve"> 82.05亿</t>
  </si>
  <si>
    <t xml:space="preserve"> 25.73亿</t>
  </si>
  <si>
    <t xml:space="preserve"> 国民技术</t>
  </si>
  <si>
    <t xml:space="preserve"> 7.60亿</t>
  </si>
  <si>
    <t xml:space="preserve"> 71.80亿</t>
  </si>
  <si>
    <t xml:space="preserve"> 5.661亿</t>
  </si>
  <si>
    <t xml:space="preserve"> 68.32亿</t>
  </si>
  <si>
    <t xml:space="preserve"> 赣粤高速</t>
  </si>
  <si>
    <t xml:space="preserve"> 8507万</t>
  </si>
  <si>
    <t xml:space="preserve"> -1.77万</t>
  </si>
  <si>
    <t xml:space="preserve"> 23.35亿</t>
  </si>
  <si>
    <t xml:space="preserve"> 98.32亿</t>
  </si>
  <si>
    <t xml:space="preserve"> 华厦眼科</t>
  </si>
  <si>
    <t xml:space="preserve"> 31.0亿</t>
  </si>
  <si>
    <t xml:space="preserve"> 324.5亿</t>
  </si>
  <si>
    <t xml:space="preserve"> 养元饮品</t>
  </si>
  <si>
    <t xml:space="preserve"> 8504万</t>
  </si>
  <si>
    <t xml:space="preserve"> 45.9亿</t>
  </si>
  <si>
    <t xml:space="preserve"> 279.8亿</t>
  </si>
  <si>
    <t xml:space="preserve"> 深深房Ａ</t>
  </si>
  <si>
    <t xml:space="preserve"> 8503万</t>
  </si>
  <si>
    <t xml:space="preserve"> 129.4亿</t>
  </si>
  <si>
    <t xml:space="preserve"> 8.917亿</t>
  </si>
  <si>
    <t xml:space="preserve"> 114.0亿</t>
  </si>
  <si>
    <t xml:space="preserve"> 西王食品</t>
  </si>
  <si>
    <t xml:space="preserve"> 51.92亿</t>
  </si>
  <si>
    <t xml:space="preserve"> 风华高科</t>
  </si>
  <si>
    <t xml:space="preserve"> 8482万</t>
  </si>
  <si>
    <t xml:space="preserve"> 170.4亿</t>
  </si>
  <si>
    <t xml:space="preserve"> 天润工业</t>
  </si>
  <si>
    <t xml:space="preserve"> 8481万</t>
  </si>
  <si>
    <t xml:space="preserve"> 71.56亿</t>
  </si>
  <si>
    <t xml:space="preserve"> 上海能源</t>
  </si>
  <si>
    <t xml:space="preserve"> 8479万</t>
  </si>
  <si>
    <t xml:space="preserve"> 7.227亿</t>
  </si>
  <si>
    <t xml:space="preserve"> 有研新材</t>
  </si>
  <si>
    <t xml:space="preserve"> 83.2亿</t>
  </si>
  <si>
    <t xml:space="preserve"> 8.466亿</t>
  </si>
  <si>
    <t xml:space="preserve"> 粤电力Ａ</t>
  </si>
  <si>
    <t xml:space="preserve"> 452亿</t>
  </si>
  <si>
    <t xml:space="preserve"> 7.15万</t>
  </si>
  <si>
    <t xml:space="preserve"> 269.9亿</t>
  </si>
  <si>
    <t xml:space="preserve"> 25.54亿</t>
  </si>
  <si>
    <t xml:space="preserve"> 131.3亿</t>
  </si>
  <si>
    <t xml:space="preserve"> 中毅达</t>
  </si>
  <si>
    <t xml:space="preserve"> 8474万</t>
  </si>
  <si>
    <t xml:space="preserve"> 10.71亿</t>
  </si>
  <si>
    <t xml:space="preserve"> 75.74亿</t>
  </si>
  <si>
    <t xml:space="preserve"> 4.487亿</t>
  </si>
  <si>
    <t xml:space="preserve"> 31.72亿</t>
  </si>
  <si>
    <t xml:space="preserve"> 雅戈尔</t>
  </si>
  <si>
    <t xml:space="preserve"> 8467万</t>
  </si>
  <si>
    <t xml:space="preserve"> 74.6亿</t>
  </si>
  <si>
    <t xml:space="preserve"> 46.29亿</t>
  </si>
  <si>
    <t xml:space="preserve"> 大唐药业</t>
  </si>
  <si>
    <t xml:space="preserve"> 8461万</t>
  </si>
  <si>
    <t xml:space="preserve"> 2.588亿</t>
  </si>
  <si>
    <t xml:space="preserve"> 9.641亿</t>
  </si>
  <si>
    <t xml:space="preserve"> 新宝股份</t>
  </si>
  <si>
    <t xml:space="preserve"> 8459万</t>
  </si>
  <si>
    <t xml:space="preserve"> 8.267亿</t>
  </si>
  <si>
    <t xml:space="preserve"> 134.6亿</t>
  </si>
  <si>
    <t xml:space="preserve"> 8.230亿</t>
  </si>
  <si>
    <t xml:space="preserve"> 新化股份</t>
  </si>
  <si>
    <t xml:space="preserve"> 8456万</t>
  </si>
  <si>
    <t xml:space="preserve"> 1.856亿</t>
  </si>
  <si>
    <t xml:space="preserve"> 61.25亿</t>
  </si>
  <si>
    <t xml:space="preserve"> 三美股份</t>
  </si>
  <si>
    <t xml:space="preserve"> 8439万</t>
  </si>
  <si>
    <t xml:space="preserve"> 6.105亿</t>
  </si>
  <si>
    <t xml:space="preserve"> 189.2亿</t>
  </si>
  <si>
    <t xml:space="preserve"> 诚志股份</t>
  </si>
  <si>
    <t xml:space="preserve"> 8434万</t>
  </si>
  <si>
    <t xml:space="preserve"> 数字认证</t>
  </si>
  <si>
    <t xml:space="preserve"> 8425万</t>
  </si>
  <si>
    <t xml:space="preserve"> 76.19亿</t>
  </si>
  <si>
    <t xml:space="preserve"> 73.90亿</t>
  </si>
  <si>
    <t xml:space="preserve"> 正元智慧</t>
  </si>
  <si>
    <t xml:space="preserve"> 8420万</t>
  </si>
  <si>
    <t xml:space="preserve"> 1.404亿</t>
  </si>
  <si>
    <t xml:space="preserve"> 中泰化学</t>
  </si>
  <si>
    <t xml:space="preserve"> 8415万</t>
  </si>
  <si>
    <t xml:space="preserve"> 25.90亿</t>
  </si>
  <si>
    <t xml:space="preserve"> 25.76亿</t>
  </si>
  <si>
    <t xml:space="preserve"> 美丽生态</t>
  </si>
  <si>
    <t xml:space="preserve"> 8410万</t>
  </si>
  <si>
    <t xml:space="preserve"> 5.222亿</t>
  </si>
  <si>
    <t xml:space="preserve"> 18.01亿</t>
  </si>
  <si>
    <t xml:space="preserve"> 国投中鲁</t>
  </si>
  <si>
    <t xml:space="preserve"> 8405万</t>
  </si>
  <si>
    <t xml:space="preserve"> 9.88亿</t>
  </si>
  <si>
    <t xml:space="preserve"> 2.622亿</t>
  </si>
  <si>
    <t xml:space="preserve"> 荃银高科</t>
  </si>
  <si>
    <t xml:space="preserve"> 8402万</t>
  </si>
  <si>
    <t xml:space="preserve"> 9.473亿</t>
  </si>
  <si>
    <t xml:space="preserve"> 90.85亿</t>
  </si>
  <si>
    <t xml:space="preserve"> 富佳股份</t>
  </si>
  <si>
    <t xml:space="preserve"> 8399万</t>
  </si>
  <si>
    <t xml:space="preserve"> 5.614亿</t>
  </si>
  <si>
    <t xml:space="preserve"> 80.00亿</t>
  </si>
  <si>
    <t xml:space="preserve"> 1.553亿</t>
  </si>
  <si>
    <t xml:space="preserve"> 22.13亿</t>
  </si>
  <si>
    <t xml:space="preserve"> 亿联网络</t>
  </si>
  <si>
    <t xml:space="preserve"> 8398万</t>
  </si>
  <si>
    <t xml:space="preserve"> 12.64亿</t>
  </si>
  <si>
    <t xml:space="preserve"> 413.3亿</t>
  </si>
  <si>
    <t xml:space="preserve"> 7.230亿</t>
  </si>
  <si>
    <t xml:space="preserve"> 236.4亿</t>
  </si>
  <si>
    <t xml:space="preserve"> 东方智造</t>
  </si>
  <si>
    <t xml:space="preserve"> 8390万</t>
  </si>
  <si>
    <t xml:space="preserve"> -1.76万</t>
  </si>
  <si>
    <t xml:space="preserve"> 信质集团</t>
  </si>
  <si>
    <t xml:space="preserve"> 32.8亿</t>
  </si>
  <si>
    <t xml:space="preserve"> 73.65亿</t>
  </si>
  <si>
    <t xml:space="preserve"> 72.49亿</t>
  </si>
  <si>
    <t xml:space="preserve"> 海新能科</t>
  </si>
  <si>
    <t xml:space="preserve"> 8387万</t>
  </si>
  <si>
    <t xml:space="preserve"> 53.4亿</t>
  </si>
  <si>
    <t xml:space="preserve"> 86.00亿</t>
  </si>
  <si>
    <t xml:space="preserve"> 85.26亿</t>
  </si>
  <si>
    <t xml:space="preserve"> 兴发集团</t>
  </si>
  <si>
    <t xml:space="preserve"> 8383万</t>
  </si>
  <si>
    <t xml:space="preserve"> 209.0亿</t>
  </si>
  <si>
    <t xml:space="preserve"> 万丰奥威</t>
  </si>
  <si>
    <t xml:space="preserve"> 8377万</t>
  </si>
  <si>
    <t xml:space="preserve"> 狄耐克</t>
  </si>
  <si>
    <t xml:space="preserve"> 8375万</t>
  </si>
  <si>
    <t xml:space="preserve"> 6.24亿</t>
  </si>
  <si>
    <t xml:space="preserve"> 2.520亿</t>
  </si>
  <si>
    <t xml:space="preserve"> 1.747亿</t>
  </si>
  <si>
    <t xml:space="preserve"> *ST美谷</t>
  </si>
  <si>
    <t xml:space="preserve"> 8370万</t>
  </si>
  <si>
    <t xml:space="preserve"> 7.630亿</t>
  </si>
  <si>
    <t xml:space="preserve"> 30.06亿</t>
  </si>
  <si>
    <t xml:space="preserve"> 7.618亿</t>
  </si>
  <si>
    <t xml:space="preserve"> 30.01亿</t>
  </si>
  <si>
    <t xml:space="preserve"> 新莱应材</t>
  </si>
  <si>
    <t xml:space="preserve"> 8356万</t>
  </si>
  <si>
    <t xml:space="preserve"> 2.787亿</t>
  </si>
  <si>
    <t xml:space="preserve"> 93.19亿</t>
  </si>
  <si>
    <t xml:space="preserve"> 慈星股份</t>
  </si>
  <si>
    <t xml:space="preserve"> 8353万</t>
  </si>
  <si>
    <t xml:space="preserve"> 53.39亿</t>
  </si>
  <si>
    <t xml:space="preserve"> 52.79亿</t>
  </si>
  <si>
    <t xml:space="preserve"> 天邦食品</t>
  </si>
  <si>
    <t xml:space="preserve"> 18.39亿</t>
  </si>
  <si>
    <t xml:space="preserve"> 70.81亿</t>
  </si>
  <si>
    <t xml:space="preserve"> 15.62亿</t>
  </si>
  <si>
    <t xml:space="preserve"> 科创新源</t>
  </si>
  <si>
    <t xml:space="preserve"> 8350万</t>
  </si>
  <si>
    <t xml:space="preserve"> 1.264亿</t>
  </si>
  <si>
    <t xml:space="preserve"> 1.202亿</t>
  </si>
  <si>
    <t xml:space="preserve"> 祥源文旅</t>
  </si>
  <si>
    <t xml:space="preserve"> 8347万</t>
  </si>
  <si>
    <t xml:space="preserve"> 10.67亿</t>
  </si>
  <si>
    <t xml:space="preserve"> 81.86亿</t>
  </si>
  <si>
    <t xml:space="preserve"> 6.732亿</t>
  </si>
  <si>
    <t xml:space="preserve"> 友讯达</t>
  </si>
  <si>
    <t xml:space="preserve"> 8343万</t>
  </si>
  <si>
    <t xml:space="preserve"> 8.41亿</t>
  </si>
  <si>
    <t xml:space="preserve"> 31.58亿</t>
  </si>
  <si>
    <t xml:space="preserve"> 双星新材</t>
  </si>
  <si>
    <t xml:space="preserve"> 9.65万</t>
  </si>
  <si>
    <t xml:space="preserve"> 8337万</t>
  </si>
  <si>
    <t xml:space="preserve"> 8.929亿</t>
  </si>
  <si>
    <t xml:space="preserve"> 海航控股</t>
  </si>
  <si>
    <t xml:space="preserve"> 8336万</t>
  </si>
  <si>
    <t xml:space="preserve"> 467亿</t>
  </si>
  <si>
    <t xml:space="preserve"> -14.3万</t>
  </si>
  <si>
    <t xml:space="preserve"> 432.2亿</t>
  </si>
  <si>
    <t xml:space="preserve"> 622.3亿</t>
  </si>
  <si>
    <t xml:space="preserve"> 328.7亿</t>
  </si>
  <si>
    <t xml:space="preserve"> 473.4亿</t>
  </si>
  <si>
    <t xml:space="preserve"> 志邦家居</t>
  </si>
  <si>
    <t xml:space="preserve"> 8334万</t>
  </si>
  <si>
    <t xml:space="preserve"> 39.3亿</t>
  </si>
  <si>
    <t xml:space="preserve"> 4.365亿</t>
  </si>
  <si>
    <t xml:space="preserve"> 80.41亿</t>
  </si>
  <si>
    <t xml:space="preserve"> 4.322亿</t>
  </si>
  <si>
    <t xml:space="preserve"> 江海股份</t>
  </si>
  <si>
    <t xml:space="preserve"> 8324万</t>
  </si>
  <si>
    <t xml:space="preserve"> 37.8亿</t>
  </si>
  <si>
    <t xml:space="preserve"> 8.454亿</t>
  </si>
  <si>
    <t xml:space="preserve"> 7.961亿</t>
  </si>
  <si>
    <t xml:space="preserve"> 我爱我家</t>
  </si>
  <si>
    <t xml:space="preserve"> 90.7亿</t>
  </si>
  <si>
    <t xml:space="preserve"> -1.42万</t>
  </si>
  <si>
    <t xml:space="preserve"> 57.47亿</t>
  </si>
  <si>
    <t xml:space="preserve"> 22.49亿</t>
  </si>
  <si>
    <t xml:space="preserve"> 54.88亿</t>
  </si>
  <si>
    <t xml:space="preserve"> 金石资源</t>
  </si>
  <si>
    <t xml:space="preserve"> 8321万</t>
  </si>
  <si>
    <t xml:space="preserve"> 正海磁材</t>
  </si>
  <si>
    <t xml:space="preserve"> 8318万</t>
  </si>
  <si>
    <t xml:space="preserve"> 46.3亿</t>
  </si>
  <si>
    <t xml:space="preserve"> 8.202亿</t>
  </si>
  <si>
    <t xml:space="preserve"> 96.54亿</t>
  </si>
  <si>
    <t xml:space="preserve"> 8.150亿</t>
  </si>
  <si>
    <t xml:space="preserve"> 95.92亿</t>
  </si>
  <si>
    <t xml:space="preserve"> 中国武夷</t>
  </si>
  <si>
    <t xml:space="preserve"> 8315万</t>
  </si>
  <si>
    <t xml:space="preserve"> 15.71亿</t>
  </si>
  <si>
    <t xml:space="preserve"> 50.11亿</t>
  </si>
  <si>
    <t xml:space="preserve"> 15.70亿</t>
  </si>
  <si>
    <t xml:space="preserve"> 50.09亿</t>
  </si>
  <si>
    <t xml:space="preserve"> 八方股份</t>
  </si>
  <si>
    <t xml:space="preserve"> 8314万</t>
  </si>
  <si>
    <t xml:space="preserve"> 99.46亿</t>
  </si>
  <si>
    <t xml:space="preserve"> 99.38亿</t>
  </si>
  <si>
    <t xml:space="preserve"> 陕国投Ａ</t>
  </si>
  <si>
    <t xml:space="preserve"> 8312万</t>
  </si>
  <si>
    <t xml:space="preserve"> 51.14亿</t>
  </si>
  <si>
    <t xml:space="preserve"> 157.5亿</t>
  </si>
  <si>
    <t xml:space="preserve"> 襄阳轴承</t>
  </si>
  <si>
    <t xml:space="preserve"> 8309万</t>
  </si>
  <si>
    <t xml:space="preserve"> 华扬联众</t>
  </si>
  <si>
    <t xml:space="preserve"> 8301万</t>
  </si>
  <si>
    <t xml:space="preserve"> 2.533亿</t>
  </si>
  <si>
    <t xml:space="preserve"> 31.92亿</t>
  </si>
  <si>
    <t xml:space="preserve"> 朗姿股份</t>
  </si>
  <si>
    <t xml:space="preserve"> 4.424亿</t>
  </si>
  <si>
    <t xml:space="preserve"> 88.62亿</t>
  </si>
  <si>
    <t xml:space="preserve"> 2.535亿</t>
  </si>
  <si>
    <t xml:space="preserve"> 常青股份</t>
  </si>
  <si>
    <t xml:space="preserve"> 8289万</t>
  </si>
  <si>
    <t xml:space="preserve"> 2.040亿</t>
  </si>
  <si>
    <t xml:space="preserve"> 东方电子</t>
  </si>
  <si>
    <t xml:space="preserve"> 8288万</t>
  </si>
  <si>
    <t xml:space="preserve"> 41.0亿</t>
  </si>
  <si>
    <t xml:space="preserve"> 方正科技</t>
  </si>
  <si>
    <t xml:space="preserve"> 8284万</t>
  </si>
  <si>
    <t xml:space="preserve"> 环旭电子</t>
  </si>
  <si>
    <t xml:space="preserve"> 8280万</t>
  </si>
  <si>
    <t xml:space="preserve"> 22.08亿</t>
  </si>
  <si>
    <t xml:space="preserve"> 328.9亿</t>
  </si>
  <si>
    <t xml:space="preserve"> 21.82亿</t>
  </si>
  <si>
    <t xml:space="preserve"> 325.1亿</t>
  </si>
  <si>
    <t xml:space="preserve"> 回天新材</t>
  </si>
  <si>
    <t xml:space="preserve"> 8279万</t>
  </si>
  <si>
    <t xml:space="preserve"> 5.594亿</t>
  </si>
  <si>
    <t xml:space="preserve"> 58.46亿</t>
  </si>
  <si>
    <t xml:space="preserve"> 5.444亿</t>
  </si>
  <si>
    <t xml:space="preserve"> 56.89亿</t>
  </si>
  <si>
    <t xml:space="preserve"> 三变科技</t>
  </si>
  <si>
    <t xml:space="preserve"> 8274万</t>
  </si>
  <si>
    <t xml:space="preserve"> 9.68亿</t>
  </si>
  <si>
    <t xml:space="preserve"> 2.621亿</t>
  </si>
  <si>
    <t xml:space="preserve"> 精智达</t>
  </si>
  <si>
    <t xml:space="preserve"> 9401万</t>
  </si>
  <si>
    <t xml:space="preserve"> 89.66亿</t>
  </si>
  <si>
    <t xml:space="preserve"> 招商南油</t>
  </si>
  <si>
    <t xml:space="preserve"> 48.53亿</t>
  </si>
  <si>
    <t xml:space="preserve"> 山东出版</t>
  </si>
  <si>
    <t xml:space="preserve"> 8260万</t>
  </si>
  <si>
    <t xml:space="preserve"> 20.87亿</t>
  </si>
  <si>
    <t xml:space="preserve"> 192.6亿</t>
  </si>
  <si>
    <t xml:space="preserve"> 惠伦晶体</t>
  </si>
  <si>
    <t xml:space="preserve"> 8256万</t>
  </si>
  <si>
    <t xml:space="preserve"> 35.13亿</t>
  </si>
  <si>
    <t xml:space="preserve"> 中电环保</t>
  </si>
  <si>
    <t xml:space="preserve"> 8255万</t>
  </si>
  <si>
    <t xml:space="preserve"> 7.73亿</t>
  </si>
  <si>
    <t xml:space="preserve"> 6.767亿</t>
  </si>
  <si>
    <t xml:space="preserve"> 29.94亿</t>
  </si>
  <si>
    <t xml:space="preserve"> 中科磁业</t>
  </si>
  <si>
    <t xml:space="preserve"> 8251万</t>
  </si>
  <si>
    <t xml:space="preserve"> 42.49亿</t>
  </si>
  <si>
    <t xml:space="preserve"> 2142万</t>
  </si>
  <si>
    <t xml:space="preserve"> 林洋能源</t>
  </si>
  <si>
    <t xml:space="preserve"> 8233万</t>
  </si>
  <si>
    <t xml:space="preserve"> 20.60亿</t>
  </si>
  <si>
    <t xml:space="preserve"> 132.1亿</t>
  </si>
  <si>
    <t xml:space="preserve"> 西测测试</t>
  </si>
  <si>
    <t xml:space="preserve"> 35.00亿</t>
  </si>
  <si>
    <t xml:space="preserve"> 3928万</t>
  </si>
  <si>
    <t xml:space="preserve"> 16.29亿</t>
  </si>
  <si>
    <t xml:space="preserve"> 健民集团</t>
  </si>
  <si>
    <t xml:space="preserve"> 广汇汽车</t>
  </si>
  <si>
    <t xml:space="preserve"> 8231万</t>
  </si>
  <si>
    <t xml:space="preserve"> 1024亿</t>
  </si>
  <si>
    <t xml:space="preserve"> 81.11亿</t>
  </si>
  <si>
    <t xml:space="preserve"> 150.9亿</t>
  </si>
  <si>
    <t xml:space="preserve"> 华谊集团</t>
  </si>
  <si>
    <t xml:space="preserve"> 8222万</t>
  </si>
  <si>
    <t xml:space="preserve"> 21.31亿</t>
  </si>
  <si>
    <t xml:space="preserve"> 145.2亿</t>
  </si>
  <si>
    <t xml:space="preserve"> 龙净环保</t>
  </si>
  <si>
    <t xml:space="preserve"> 8214万</t>
  </si>
  <si>
    <t xml:space="preserve"> 天玑科技</t>
  </si>
  <si>
    <t xml:space="preserve"> 8211万</t>
  </si>
  <si>
    <t xml:space="preserve"> 3.135亿</t>
  </si>
  <si>
    <t xml:space="preserve"> 29.72亿</t>
  </si>
  <si>
    <t xml:space="preserve"> 3.109亿</t>
  </si>
  <si>
    <t xml:space="preserve"> 29.47亿</t>
  </si>
  <si>
    <t xml:space="preserve"> 大唐电信</t>
  </si>
  <si>
    <t xml:space="preserve"> 5.66亿</t>
  </si>
  <si>
    <t xml:space="preserve"> 92.62亿</t>
  </si>
  <si>
    <t xml:space="preserve"> 8.805亿</t>
  </si>
  <si>
    <t xml:space="preserve"> 62.07亿</t>
  </si>
  <si>
    <t xml:space="preserve"> 欣龙控股</t>
  </si>
  <si>
    <t xml:space="preserve"> 8209万</t>
  </si>
  <si>
    <t xml:space="preserve"> 5.384亿</t>
  </si>
  <si>
    <t xml:space="preserve"> 5.378亿</t>
  </si>
  <si>
    <t xml:space="preserve"> 30.92亿</t>
  </si>
  <si>
    <t xml:space="preserve"> 开滦股份</t>
  </si>
  <si>
    <t xml:space="preserve"> 渤海租赁</t>
  </si>
  <si>
    <t xml:space="preserve"> 232亿</t>
  </si>
  <si>
    <t xml:space="preserve"> 61.85亿</t>
  </si>
  <si>
    <t xml:space="preserve"> 139.2亿</t>
  </si>
  <si>
    <t xml:space="preserve"> 121.3亿</t>
  </si>
  <si>
    <t xml:space="preserve"> 东方生物</t>
  </si>
  <si>
    <t xml:space="preserve"> 8191万</t>
  </si>
  <si>
    <t xml:space="preserve"> 2.016亿</t>
  </si>
  <si>
    <t xml:space="preserve"> 保变电气</t>
  </si>
  <si>
    <t xml:space="preserve"> 18.42亿</t>
  </si>
  <si>
    <t xml:space="preserve"> 88.58亿</t>
  </si>
  <si>
    <t xml:space="preserve"> 恒宝股份</t>
  </si>
  <si>
    <t xml:space="preserve"> 8176万</t>
  </si>
  <si>
    <t xml:space="preserve"> 58.57亿</t>
  </si>
  <si>
    <t xml:space="preserve"> 5.921亿</t>
  </si>
  <si>
    <t xml:space="preserve"> 49.50亿</t>
  </si>
  <si>
    <t xml:space="preserve"> 德展健康</t>
  </si>
  <si>
    <t xml:space="preserve"> 8171万</t>
  </si>
  <si>
    <t xml:space="preserve"> 21.65亿</t>
  </si>
  <si>
    <t xml:space="preserve"> 77.07亿</t>
  </si>
  <si>
    <t xml:space="preserve"> 77.06亿</t>
  </si>
  <si>
    <t xml:space="preserve"> 翔腾新材</t>
  </si>
  <si>
    <t xml:space="preserve"> 8163万</t>
  </si>
  <si>
    <t xml:space="preserve"> 6869万</t>
  </si>
  <si>
    <t xml:space="preserve"> 28.68亿</t>
  </si>
  <si>
    <t xml:space="preserve"> 1717万</t>
  </si>
  <si>
    <t xml:space="preserve"> 7.171亿</t>
  </si>
  <si>
    <t xml:space="preserve"> 铜峰电子</t>
  </si>
  <si>
    <t xml:space="preserve"> 8155万</t>
  </si>
  <si>
    <t xml:space="preserve"> 6.217亿</t>
  </si>
  <si>
    <t xml:space="preserve"> 49.73亿</t>
  </si>
  <si>
    <t xml:space="preserve"> 海泰新光</t>
  </si>
  <si>
    <t xml:space="preserve"> 8142万</t>
  </si>
  <si>
    <t xml:space="preserve"> 71.88亿</t>
  </si>
  <si>
    <t xml:space="preserve"> 44.44亿</t>
  </si>
  <si>
    <t xml:space="preserve"> 新湖中宝</t>
  </si>
  <si>
    <t xml:space="preserve"> 8121万</t>
  </si>
  <si>
    <t xml:space="preserve"> 85.09亿</t>
  </si>
  <si>
    <t xml:space="preserve"> 85.08亿</t>
  </si>
  <si>
    <t xml:space="preserve"> 良信股份</t>
  </si>
  <si>
    <t xml:space="preserve"> 8117万</t>
  </si>
  <si>
    <t xml:space="preserve"> 11.23亿</t>
  </si>
  <si>
    <t xml:space="preserve"> 9.110亿</t>
  </si>
  <si>
    <t xml:space="preserve"> 82.99亿</t>
  </si>
  <si>
    <t xml:space="preserve"> 奥普特</t>
  </si>
  <si>
    <t xml:space="preserve"> 8112万</t>
  </si>
  <si>
    <t xml:space="preserve"> 1.222亿</t>
  </si>
  <si>
    <t xml:space="preserve"> 138.4亿</t>
  </si>
  <si>
    <t xml:space="preserve"> 3432万</t>
  </si>
  <si>
    <t xml:space="preserve"> 科远智慧</t>
  </si>
  <si>
    <t xml:space="preserve"> 8102万</t>
  </si>
  <si>
    <t xml:space="preserve"> 44.83亿</t>
  </si>
  <si>
    <t xml:space="preserve"> 1.418亿</t>
  </si>
  <si>
    <t xml:space="preserve"> 26.48亿</t>
  </si>
  <si>
    <t xml:space="preserve"> 上海谊众</t>
  </si>
  <si>
    <t xml:space="preserve"> 8086万</t>
  </si>
  <si>
    <t xml:space="preserve"> 1.583亿</t>
  </si>
  <si>
    <t xml:space="preserve"> 90.30亿</t>
  </si>
  <si>
    <t xml:space="preserve"> 1.162亿</t>
  </si>
  <si>
    <t xml:space="preserve"> 66.29亿</t>
  </si>
  <si>
    <t xml:space="preserve"> 华纬科技</t>
  </si>
  <si>
    <t xml:space="preserve"> 1.289亿</t>
  </si>
  <si>
    <t xml:space="preserve"> 46.04亿</t>
  </si>
  <si>
    <t xml:space="preserve"> 3222万</t>
  </si>
  <si>
    <t xml:space="preserve"> 华联股份</t>
  </si>
  <si>
    <t xml:space="preserve"> 8083万</t>
  </si>
  <si>
    <t xml:space="preserve"> 8.30亿</t>
  </si>
  <si>
    <t xml:space="preserve"> -3.30万</t>
  </si>
  <si>
    <t xml:space="preserve"> 27.37亿</t>
  </si>
  <si>
    <t xml:space="preserve"> 49.55亿</t>
  </si>
  <si>
    <t xml:space="preserve"> 辽宁能源</t>
  </si>
  <si>
    <t xml:space="preserve"> 52.48亿</t>
  </si>
  <si>
    <t xml:space="preserve"> 13.21亿</t>
  </si>
  <si>
    <t xml:space="preserve"> 52.43亿</t>
  </si>
  <si>
    <t xml:space="preserve"> 骑士乳业</t>
  </si>
  <si>
    <t xml:space="preserve"> 8082万</t>
  </si>
  <si>
    <t xml:space="preserve"> 2.091亿</t>
  </si>
  <si>
    <t xml:space="preserve"> 13.27亿</t>
  </si>
  <si>
    <t xml:space="preserve"> 7987万</t>
  </si>
  <si>
    <t xml:space="preserve"> 5.072亿</t>
  </si>
  <si>
    <t xml:space="preserve"> 中信特钢</t>
  </si>
  <si>
    <t xml:space="preserve"> 8076万</t>
  </si>
  <si>
    <t xml:space="preserve"> 864亿</t>
  </si>
  <si>
    <t xml:space="preserve"> 50.47亿</t>
  </si>
  <si>
    <t xml:space="preserve"> 712.2亿</t>
  </si>
  <si>
    <t xml:space="preserve"> 天铁股份</t>
  </si>
  <si>
    <t xml:space="preserve"> 8074万</t>
  </si>
  <si>
    <t xml:space="preserve"> 10.91亿</t>
  </si>
  <si>
    <t xml:space="preserve"> 66.36亿</t>
  </si>
  <si>
    <t xml:space="preserve"> 9.489亿</t>
  </si>
  <si>
    <t xml:space="preserve"> 天津港</t>
  </si>
  <si>
    <t xml:space="preserve"> 8072万</t>
  </si>
  <si>
    <t xml:space="preserve"> 82.7亿</t>
  </si>
  <si>
    <t xml:space="preserve"> -1.10万</t>
  </si>
  <si>
    <t xml:space="preserve"> 凯格精机</t>
  </si>
  <si>
    <t xml:space="preserve"> 1.064亿</t>
  </si>
  <si>
    <t xml:space="preserve"> 45.93亿</t>
  </si>
  <si>
    <t xml:space="preserve"> 3430万</t>
  </si>
  <si>
    <t xml:space="preserve"> 新相微</t>
  </si>
  <si>
    <t xml:space="preserve"> 8054万</t>
  </si>
  <si>
    <t xml:space="preserve"> 4.595亿</t>
  </si>
  <si>
    <t xml:space="preserve"> 69.57亿</t>
  </si>
  <si>
    <t xml:space="preserve"> 7427万</t>
  </si>
  <si>
    <t xml:space="preserve"> 华钰矿业</t>
  </si>
  <si>
    <t xml:space="preserve"> 8053万</t>
  </si>
  <si>
    <t xml:space="preserve"> 70.78亿</t>
  </si>
  <si>
    <t xml:space="preserve"> 润邦股份</t>
  </si>
  <si>
    <t xml:space="preserve"> 8047万</t>
  </si>
  <si>
    <t xml:space="preserve"> 8.865亿</t>
  </si>
  <si>
    <t xml:space="preserve"> 47.51亿</t>
  </si>
  <si>
    <t xml:space="preserve"> 8.853亿</t>
  </si>
  <si>
    <t xml:space="preserve"> 浙江荣泰</t>
  </si>
  <si>
    <t xml:space="preserve"> 8037万</t>
  </si>
  <si>
    <t xml:space="preserve"> 2.800亿</t>
  </si>
  <si>
    <t xml:space="preserve"> 73.56亿</t>
  </si>
  <si>
    <t xml:space="preserve"> 6860万</t>
  </si>
  <si>
    <t xml:space="preserve"> 敦煌种业</t>
  </si>
  <si>
    <t xml:space="preserve"> 5.278亿</t>
  </si>
  <si>
    <t xml:space="preserve"> 33.83亿</t>
  </si>
  <si>
    <t xml:space="preserve"> 明星电力</t>
  </si>
  <si>
    <t xml:space="preserve"> 8027万</t>
  </si>
  <si>
    <t xml:space="preserve"> 4.214亿</t>
  </si>
  <si>
    <t xml:space="preserve"> 36.07亿</t>
  </si>
  <si>
    <t xml:space="preserve"> 数字人</t>
  </si>
  <si>
    <t xml:space="preserve"> 8024万</t>
  </si>
  <si>
    <t xml:space="preserve"> 6787万</t>
  </si>
  <si>
    <t xml:space="preserve"> 1.062亿</t>
  </si>
  <si>
    <t xml:space="preserve"> 15.93亿</t>
  </si>
  <si>
    <t xml:space="preserve"> 6641万</t>
  </si>
  <si>
    <t xml:space="preserve"> 9.961亿</t>
  </si>
  <si>
    <t xml:space="preserve"> 小熊电器</t>
  </si>
  <si>
    <t xml:space="preserve"> 81.65亿</t>
  </si>
  <si>
    <t xml:space="preserve"> 81.46亿</t>
  </si>
  <si>
    <t xml:space="preserve"> 今天国际</t>
  </si>
  <si>
    <t xml:space="preserve"> 8017万</t>
  </si>
  <si>
    <t xml:space="preserve"> 3.102亿</t>
  </si>
  <si>
    <t xml:space="preserve"> 51.03亿</t>
  </si>
  <si>
    <t xml:space="preserve"> 福龙马</t>
  </si>
  <si>
    <t xml:space="preserve"> 37.6亿</t>
  </si>
  <si>
    <t xml:space="preserve"> 4.157亿</t>
  </si>
  <si>
    <t xml:space="preserve"> 43.89亿</t>
  </si>
  <si>
    <t xml:space="preserve"> 新强联</t>
  </si>
  <si>
    <t xml:space="preserve"> 7989万</t>
  </si>
  <si>
    <t xml:space="preserve"> 2.316亿</t>
  </si>
  <si>
    <t xml:space="preserve"> 76.78亿</t>
  </si>
  <si>
    <t xml:space="preserve"> ST红太阳</t>
  </si>
  <si>
    <t xml:space="preserve"> 7973万</t>
  </si>
  <si>
    <t xml:space="preserve"> 26.5亿</t>
  </si>
  <si>
    <t xml:space="preserve"> 5.808亿</t>
  </si>
  <si>
    <t xml:space="preserve"> 5.806亿</t>
  </si>
  <si>
    <t xml:space="preserve"> 51.79亿</t>
  </si>
  <si>
    <t xml:space="preserve"> 超达装备</t>
  </si>
  <si>
    <t xml:space="preserve"> 7971万</t>
  </si>
  <si>
    <t xml:space="preserve"> 2160万</t>
  </si>
  <si>
    <t xml:space="preserve"> 9.167亿</t>
  </si>
  <si>
    <t xml:space="preserve"> 长源东谷</t>
  </si>
  <si>
    <t xml:space="preserve"> 7959万</t>
  </si>
  <si>
    <t xml:space="preserve"> 欧晶科技</t>
  </si>
  <si>
    <t xml:space="preserve"> 7956万</t>
  </si>
  <si>
    <t xml:space="preserve"> 1.924亿</t>
  </si>
  <si>
    <t xml:space="preserve"> 78.31亿</t>
  </si>
  <si>
    <t xml:space="preserve"> 8389万</t>
  </si>
  <si>
    <t xml:space="preserve"> 中国西电</t>
  </si>
  <si>
    <t xml:space="preserve"> 138亿</t>
  </si>
  <si>
    <t xml:space="preserve"> 越秀资本</t>
  </si>
  <si>
    <t xml:space="preserve"> 7955万</t>
  </si>
  <si>
    <t xml:space="preserve"> 50.17亿</t>
  </si>
  <si>
    <t xml:space="preserve"> 50.16亿</t>
  </si>
  <si>
    <t xml:space="preserve"> 321.0亿</t>
  </si>
  <si>
    <t xml:space="preserve"> 恒实科技</t>
  </si>
  <si>
    <t xml:space="preserve"> 7950万</t>
  </si>
  <si>
    <t xml:space="preserve"> 9.50亿</t>
  </si>
  <si>
    <t xml:space="preserve"> 3.137亿</t>
  </si>
  <si>
    <t xml:space="preserve"> 41.72亿</t>
  </si>
  <si>
    <t xml:space="preserve"> 2.806亿</t>
  </si>
  <si>
    <t xml:space="preserve"> 岱勒新材</t>
  </si>
  <si>
    <t xml:space="preserve"> 7927万</t>
  </si>
  <si>
    <t xml:space="preserve"> 7.35亿</t>
  </si>
  <si>
    <t xml:space="preserve"> 49.84亿</t>
  </si>
  <si>
    <t xml:space="preserve"> 1.719亿</t>
  </si>
  <si>
    <t xml:space="preserve"> 30.73亿</t>
  </si>
  <si>
    <t xml:space="preserve"> 富创精密</t>
  </si>
  <si>
    <t xml:space="preserve"> 7925万</t>
  </si>
  <si>
    <t xml:space="preserve"> 167.2亿</t>
  </si>
  <si>
    <t xml:space="preserve"> 96.37亿</t>
  </si>
  <si>
    <t xml:space="preserve"> 法拉电子</t>
  </si>
  <si>
    <t xml:space="preserve"> 7906万</t>
  </si>
  <si>
    <t xml:space="preserve"> 2.250亿</t>
  </si>
  <si>
    <t xml:space="preserve"> 211.7亿</t>
  </si>
  <si>
    <t xml:space="preserve"> 维力医疗</t>
  </si>
  <si>
    <t xml:space="preserve"> 7894万</t>
  </si>
  <si>
    <t xml:space="preserve"> 2.932亿</t>
  </si>
  <si>
    <t xml:space="preserve"> 44.62亿</t>
  </si>
  <si>
    <t xml:space="preserve"> 2.911亿</t>
  </si>
  <si>
    <t xml:space="preserve"> 44.30亿</t>
  </si>
  <si>
    <t xml:space="preserve"> 聚和材料</t>
  </si>
  <si>
    <t xml:space="preserve"> 7892万</t>
  </si>
  <si>
    <t xml:space="preserve"> 1.656亿</t>
  </si>
  <si>
    <t xml:space="preserve"> 95.65亿</t>
  </si>
  <si>
    <t xml:space="preserve"> 3848万</t>
  </si>
  <si>
    <t xml:space="preserve"> 申通快递</t>
  </si>
  <si>
    <t xml:space="preserve"> 7888万</t>
  </si>
  <si>
    <t xml:space="preserve"> 15.31亿</t>
  </si>
  <si>
    <t xml:space="preserve"> 麦格米特</t>
  </si>
  <si>
    <t xml:space="preserve"> 48.8亿</t>
  </si>
  <si>
    <t xml:space="preserve"> 5.009亿</t>
  </si>
  <si>
    <t xml:space="preserve"> 127.4亿</t>
  </si>
  <si>
    <t xml:space="preserve"> 4.138亿</t>
  </si>
  <si>
    <t xml:space="preserve"> 钒钛股份</t>
  </si>
  <si>
    <t xml:space="preserve"> 7880万</t>
  </si>
  <si>
    <t xml:space="preserve"> 92.95亿</t>
  </si>
  <si>
    <t xml:space="preserve"> 317.9亿</t>
  </si>
  <si>
    <t xml:space="preserve"> 85.90亿</t>
  </si>
  <si>
    <t xml:space="preserve"> 293.8亿</t>
  </si>
  <si>
    <t xml:space="preserve"> 海油发展</t>
  </si>
  <si>
    <t xml:space="preserve"> 7875万</t>
  </si>
  <si>
    <t xml:space="preserve"> 316亿</t>
  </si>
  <si>
    <t xml:space="preserve"> 296.8亿</t>
  </si>
  <si>
    <t xml:space="preserve"> 特宝生物</t>
  </si>
  <si>
    <t xml:space="preserve"> 7873万</t>
  </si>
  <si>
    <t xml:space="preserve"> 4.068亿</t>
  </si>
  <si>
    <t xml:space="preserve"> 惠柏新材</t>
  </si>
  <si>
    <t xml:space="preserve"> 7869万</t>
  </si>
  <si>
    <t xml:space="preserve"> 40.01亿</t>
  </si>
  <si>
    <t xml:space="preserve"> 2188万</t>
  </si>
  <si>
    <t xml:space="preserve"> 9.486亿</t>
  </si>
  <si>
    <t xml:space="preserve"> 神宇股份</t>
  </si>
  <si>
    <t xml:space="preserve"> 7864万</t>
  </si>
  <si>
    <t xml:space="preserve"> 1.782亿</t>
  </si>
  <si>
    <t xml:space="preserve"> 28.58亿</t>
  </si>
  <si>
    <t xml:space="preserve"> 1.228亿</t>
  </si>
  <si>
    <t xml:space="preserve"> 景津装备</t>
  </si>
  <si>
    <t xml:space="preserve"> 7862万</t>
  </si>
  <si>
    <t xml:space="preserve"> 5.767亿</t>
  </si>
  <si>
    <t xml:space="preserve"> 5.687亿</t>
  </si>
  <si>
    <t xml:space="preserve"> 海特生物</t>
  </si>
  <si>
    <t xml:space="preserve"> 7858万</t>
  </si>
  <si>
    <t xml:space="preserve"> 49.91亿</t>
  </si>
  <si>
    <t xml:space="preserve"> 46.47亿</t>
  </si>
  <si>
    <t xml:space="preserve"> 毅昌科技</t>
  </si>
  <si>
    <t xml:space="preserve"> 7852万</t>
  </si>
  <si>
    <t xml:space="preserve"> 26.79亿</t>
  </si>
  <si>
    <t xml:space="preserve"> 3.892亿</t>
  </si>
  <si>
    <t xml:space="preserve"> 26.00亿</t>
  </si>
  <si>
    <t xml:space="preserve"> 宁波港</t>
  </si>
  <si>
    <t xml:space="preserve"> 7847万</t>
  </si>
  <si>
    <t xml:space="preserve"> -2.74万</t>
  </si>
  <si>
    <t xml:space="preserve"> 194.5亿</t>
  </si>
  <si>
    <t xml:space="preserve"> 704.2亿</t>
  </si>
  <si>
    <t xml:space="preserve"> 158.1亿</t>
  </si>
  <si>
    <t xml:space="preserve"> 572.2亿</t>
  </si>
  <si>
    <t xml:space="preserve"> 峰岹科技</t>
  </si>
  <si>
    <t xml:space="preserve"> 7842万</t>
  </si>
  <si>
    <t xml:space="preserve"> 9236万</t>
  </si>
  <si>
    <t xml:space="preserve"> 106.5亿</t>
  </si>
  <si>
    <t xml:space="preserve"> 63.58亿</t>
  </si>
  <si>
    <t xml:space="preserve"> 中化国际</t>
  </si>
  <si>
    <t xml:space="preserve"> 7839万</t>
  </si>
  <si>
    <t xml:space="preserve"> 31.22亿</t>
  </si>
  <si>
    <t xml:space="preserve"> 经纬恒润-W</t>
  </si>
  <si>
    <t xml:space="preserve"> 7832万</t>
  </si>
  <si>
    <t xml:space="preserve"> 146.6亿</t>
  </si>
  <si>
    <t xml:space="preserve"> 96.81亿</t>
  </si>
  <si>
    <t xml:space="preserve"> 森马服饰</t>
  </si>
  <si>
    <t xml:space="preserve"> 89.0亿</t>
  </si>
  <si>
    <t xml:space="preserve"> 26.94亿</t>
  </si>
  <si>
    <t xml:space="preserve"> 165.7亿</t>
  </si>
  <si>
    <t xml:space="preserve"> 联合水务</t>
  </si>
  <si>
    <t xml:space="preserve"> 7817万</t>
  </si>
  <si>
    <t xml:space="preserve"> 69.83亿</t>
  </si>
  <si>
    <t xml:space="preserve"> 4232万</t>
  </si>
  <si>
    <t xml:space="preserve"> 6.983亿</t>
  </si>
  <si>
    <t xml:space="preserve"> 中来股份</t>
  </si>
  <si>
    <t xml:space="preserve"> 7809万</t>
  </si>
  <si>
    <t xml:space="preserve"> 114.4亿</t>
  </si>
  <si>
    <t xml:space="preserve"> 9.538亿</t>
  </si>
  <si>
    <t xml:space="preserve"> 华资实业</t>
  </si>
  <si>
    <t xml:space="preserve"> 7807万</t>
  </si>
  <si>
    <t xml:space="preserve"> 4.849亿</t>
  </si>
  <si>
    <t xml:space="preserve"> 32.59亿</t>
  </si>
  <si>
    <t xml:space="preserve"> 川宁生物</t>
  </si>
  <si>
    <t xml:space="preserve"> 7805万</t>
  </si>
  <si>
    <t xml:space="preserve"> 22.23亿</t>
  </si>
  <si>
    <t xml:space="preserve"> 201.2亿</t>
  </si>
  <si>
    <t xml:space="preserve"> 2.228亿</t>
  </si>
  <si>
    <t xml:space="preserve"> 信德新材</t>
  </si>
  <si>
    <t xml:space="preserve"> 7796万</t>
  </si>
  <si>
    <t xml:space="preserve"> 1.020亿</t>
  </si>
  <si>
    <t xml:space="preserve"> 49.59亿</t>
  </si>
  <si>
    <t xml:space="preserve"> 4214万</t>
  </si>
  <si>
    <t xml:space="preserve"> 20.49亿</t>
  </si>
  <si>
    <t xml:space="preserve"> 齐翔腾达</t>
  </si>
  <si>
    <t xml:space="preserve"> 7793万</t>
  </si>
  <si>
    <t xml:space="preserve"> 27.64亿</t>
  </si>
  <si>
    <t xml:space="preserve"> 152.8亿</t>
  </si>
  <si>
    <t xml:space="preserve"> 首创环保</t>
  </si>
  <si>
    <t xml:space="preserve"> 7791万</t>
  </si>
  <si>
    <t xml:space="preserve"> -2.83万</t>
  </si>
  <si>
    <t xml:space="preserve"> 73.41亿</t>
  </si>
  <si>
    <t xml:space="preserve"> 198.9亿</t>
  </si>
  <si>
    <t xml:space="preserve"> 九华旅游</t>
  </si>
  <si>
    <t xml:space="preserve"> 7790万</t>
  </si>
  <si>
    <t xml:space="preserve"> 1.107亿</t>
  </si>
  <si>
    <t xml:space="preserve"> 30.15亿</t>
  </si>
  <si>
    <t xml:space="preserve"> 智明达</t>
  </si>
  <si>
    <t xml:space="preserve"> 7787万</t>
  </si>
  <si>
    <t xml:space="preserve"> 7524万</t>
  </si>
  <si>
    <t xml:space="preserve"> 47.78亿</t>
  </si>
  <si>
    <t xml:space="preserve"> 4468万</t>
  </si>
  <si>
    <t xml:space="preserve"> 渤海轮渡</t>
  </si>
  <si>
    <t xml:space="preserve"> 7786万</t>
  </si>
  <si>
    <t xml:space="preserve"> 4.691亿</t>
  </si>
  <si>
    <t xml:space="preserve"> 39.60亿</t>
  </si>
  <si>
    <t xml:space="preserve"> 蓝海华腾</t>
  </si>
  <si>
    <t xml:space="preserve"> 7784万</t>
  </si>
  <si>
    <t xml:space="preserve"> 2.086亿</t>
  </si>
  <si>
    <t xml:space="preserve"> 26.54亿</t>
  </si>
  <si>
    <t xml:space="preserve"> 20.37亿</t>
  </si>
  <si>
    <t xml:space="preserve"> 威尔高</t>
  </si>
  <si>
    <t xml:space="preserve"> 7783万</t>
  </si>
  <si>
    <t xml:space="preserve"> 53.31亿</t>
  </si>
  <si>
    <t xml:space="preserve"> 3192万</t>
  </si>
  <si>
    <t xml:space="preserve"> 万隆光电</t>
  </si>
  <si>
    <t xml:space="preserve"> 25.56亿</t>
  </si>
  <si>
    <t xml:space="preserve"> 22.83亿</t>
  </si>
  <si>
    <t xml:space="preserve"> 赛摩智能</t>
  </si>
  <si>
    <t xml:space="preserve"> 7770万</t>
  </si>
  <si>
    <t xml:space="preserve"> 5.355亿</t>
  </si>
  <si>
    <t xml:space="preserve"> 37.92亿</t>
  </si>
  <si>
    <t xml:space="preserve"> 29.74亿</t>
  </si>
  <si>
    <t xml:space="preserve"> 马钢股份</t>
  </si>
  <si>
    <t xml:space="preserve"> -5.04万</t>
  </si>
  <si>
    <t xml:space="preserve"> 77.47亿</t>
  </si>
  <si>
    <t xml:space="preserve"> 212.3亿</t>
  </si>
  <si>
    <t xml:space="preserve"> 59.68亿</t>
  </si>
  <si>
    <t xml:space="preserve"> 协和电子</t>
  </si>
  <si>
    <t xml:space="preserve"> 7768万</t>
  </si>
  <si>
    <t xml:space="preserve"> 25.17亿</t>
  </si>
  <si>
    <t xml:space="preserve"> 上港集团</t>
  </si>
  <si>
    <t xml:space="preserve"> 7766万</t>
  </si>
  <si>
    <t xml:space="preserve"> -2.51万</t>
  </si>
  <si>
    <t xml:space="preserve"> 1171亿</t>
  </si>
  <si>
    <t xml:space="preserve"> 新华传媒</t>
  </si>
  <si>
    <t xml:space="preserve"> 7750万</t>
  </si>
  <si>
    <t xml:space="preserve"> 50.05亿</t>
  </si>
  <si>
    <t xml:space="preserve"> 圣湘生物</t>
  </si>
  <si>
    <t xml:space="preserve"> 7742万</t>
  </si>
  <si>
    <t xml:space="preserve"> 6.33亿</t>
  </si>
  <si>
    <t xml:space="preserve"> 5.885亿</t>
  </si>
  <si>
    <t xml:space="preserve"> 沃尔核材</t>
  </si>
  <si>
    <t xml:space="preserve"> 7740万</t>
  </si>
  <si>
    <t xml:space="preserve"> 40.1亿</t>
  </si>
  <si>
    <t xml:space="preserve"> 12.60亿</t>
  </si>
  <si>
    <t xml:space="preserve"> 92.98亿</t>
  </si>
  <si>
    <t xml:space="preserve"> 12.49亿</t>
  </si>
  <si>
    <t xml:space="preserve"> 92.19亿</t>
  </si>
  <si>
    <t xml:space="preserve"> 亿华通-U</t>
  </si>
  <si>
    <t xml:space="preserve"> 7734万</t>
  </si>
  <si>
    <t xml:space="preserve"> 1.655亿</t>
  </si>
  <si>
    <t xml:space="preserve"> 88.69亿</t>
  </si>
  <si>
    <t xml:space="preserve"> 61.02亿</t>
  </si>
  <si>
    <t xml:space="preserve"> 安车检测</t>
  </si>
  <si>
    <t xml:space="preserve"> 7731万</t>
  </si>
  <si>
    <t xml:space="preserve"> 2.290亿</t>
  </si>
  <si>
    <t xml:space="preserve"> 1.836亿</t>
  </si>
  <si>
    <t xml:space="preserve"> 先惠技术</t>
  </si>
  <si>
    <t xml:space="preserve"> 7668万</t>
  </si>
  <si>
    <t xml:space="preserve"> 43.25亿</t>
  </si>
  <si>
    <t xml:space="preserve"> 芯动联科</t>
  </si>
  <si>
    <t xml:space="preserve"> 7717万</t>
  </si>
  <si>
    <t xml:space="preserve"> 159.7亿</t>
  </si>
  <si>
    <t xml:space="preserve"> 4607万</t>
  </si>
  <si>
    <t xml:space="preserve"> 18.40亿</t>
  </si>
  <si>
    <t xml:space="preserve"> 光大同创</t>
  </si>
  <si>
    <t xml:space="preserve"> 7696万</t>
  </si>
  <si>
    <t xml:space="preserve"> 7600万</t>
  </si>
  <si>
    <t xml:space="preserve"> 1761万</t>
  </si>
  <si>
    <t xml:space="preserve"> 10.59亿</t>
  </si>
  <si>
    <t xml:space="preserve"> 卓易信息</t>
  </si>
  <si>
    <t xml:space="preserve"> 7691万</t>
  </si>
  <si>
    <t xml:space="preserve"> 8696万</t>
  </si>
  <si>
    <t xml:space="preserve"> 50.75亿</t>
  </si>
  <si>
    <t xml:space="preserve"> 克来机电</t>
  </si>
  <si>
    <t xml:space="preserve"> 7685万</t>
  </si>
  <si>
    <t xml:space="preserve"> 2.632亿</t>
  </si>
  <si>
    <t xml:space="preserve"> 39.35亿</t>
  </si>
  <si>
    <t xml:space="preserve"> 中金环境</t>
  </si>
  <si>
    <t xml:space="preserve"> 7683万</t>
  </si>
  <si>
    <t xml:space="preserve"> 37.3亿</t>
  </si>
  <si>
    <t xml:space="preserve"> 19.22亿</t>
  </si>
  <si>
    <t xml:space="preserve"> 61.70亿</t>
  </si>
  <si>
    <t xml:space="preserve"> 18.94亿</t>
  </si>
  <si>
    <t xml:space="preserve"> 60.78亿</t>
  </si>
  <si>
    <t xml:space="preserve"> 超频三</t>
  </si>
  <si>
    <t xml:space="preserve"> 7682万</t>
  </si>
  <si>
    <t xml:space="preserve"> 4.573亿</t>
  </si>
  <si>
    <t xml:space="preserve"> 4.436亿</t>
  </si>
  <si>
    <t xml:space="preserve"> 重药控股</t>
  </si>
  <si>
    <t xml:space="preserve"> 7673万</t>
  </si>
  <si>
    <t xml:space="preserve"> 584亿</t>
  </si>
  <si>
    <t xml:space="preserve"> 90.38亿</t>
  </si>
  <si>
    <t xml:space="preserve"> 满坤科技</t>
  </si>
  <si>
    <t xml:space="preserve"> 1.475亿</t>
  </si>
  <si>
    <t xml:space="preserve"> 44.23亿</t>
  </si>
  <si>
    <t xml:space="preserve"> 4301万</t>
  </si>
  <si>
    <t xml:space="preserve"> 12.90亿</t>
  </si>
  <si>
    <t xml:space="preserve"> 凤凰股份</t>
  </si>
  <si>
    <t xml:space="preserve"> 7644万</t>
  </si>
  <si>
    <t xml:space="preserve"> 9.361亿</t>
  </si>
  <si>
    <t xml:space="preserve"> 信濠光电</t>
  </si>
  <si>
    <t xml:space="preserve"> 7641万</t>
  </si>
  <si>
    <t xml:space="preserve"> 73.18亿</t>
  </si>
  <si>
    <t xml:space="preserve"> 6223万</t>
  </si>
  <si>
    <t xml:space="preserve"> 智翔金泰-U</t>
  </si>
  <si>
    <t xml:space="preserve"> 7636万</t>
  </si>
  <si>
    <t xml:space="preserve"> 3.667亿</t>
  </si>
  <si>
    <t xml:space="preserve"> 8277万</t>
  </si>
  <si>
    <t xml:space="preserve"> 国机精工</t>
  </si>
  <si>
    <t xml:space="preserve"> 7635万</t>
  </si>
  <si>
    <t xml:space="preserve"> 64.08亿</t>
  </si>
  <si>
    <t xml:space="preserve"> 5.243亿</t>
  </si>
  <si>
    <t xml:space="preserve"> 63.50亿</t>
  </si>
  <si>
    <t xml:space="preserve"> 耐普矿机</t>
  </si>
  <si>
    <t xml:space="preserve"> 7634万</t>
  </si>
  <si>
    <t xml:space="preserve"> 6.50亿</t>
  </si>
  <si>
    <t xml:space="preserve"> 1.050亿</t>
  </si>
  <si>
    <t xml:space="preserve"> 33.40亿</t>
  </si>
  <si>
    <t xml:space="preserve"> 6212万</t>
  </si>
  <si>
    <t xml:space="preserve"> 19.76亿</t>
  </si>
  <si>
    <t xml:space="preserve"> 东利机械</t>
  </si>
  <si>
    <t xml:space="preserve"> 1.468亿</t>
  </si>
  <si>
    <t xml:space="preserve"> 8185万</t>
  </si>
  <si>
    <t xml:space="preserve"> 14.90亿</t>
  </si>
  <si>
    <t xml:space="preserve"> 纳科诺尔</t>
  </si>
  <si>
    <t xml:space="preserve"> 7625万</t>
  </si>
  <si>
    <t xml:space="preserve"> 9037万</t>
  </si>
  <si>
    <t xml:space="preserve"> 16.94亿</t>
  </si>
  <si>
    <t xml:space="preserve"> 4829万</t>
  </si>
  <si>
    <t xml:space="preserve"> 中恒集团</t>
  </si>
  <si>
    <t xml:space="preserve"> 7620万</t>
  </si>
  <si>
    <t xml:space="preserve"> -5.35万</t>
  </si>
  <si>
    <t xml:space="preserve"> 34.51亿</t>
  </si>
  <si>
    <t xml:space="preserve"> 94.92亿</t>
  </si>
  <si>
    <t xml:space="preserve"> 94.19亿</t>
  </si>
  <si>
    <t xml:space="preserve"> 翔楼新材</t>
  </si>
  <si>
    <t xml:space="preserve"> 7617万</t>
  </si>
  <si>
    <t xml:space="preserve"> 7467万</t>
  </si>
  <si>
    <t xml:space="preserve"> 34.01亿</t>
  </si>
  <si>
    <t xml:space="preserve"> 4143万</t>
  </si>
  <si>
    <t xml:space="preserve"> 18.87亿</t>
  </si>
  <si>
    <t xml:space="preserve"> 华媒控股</t>
  </si>
  <si>
    <t xml:space="preserve"> 7615万</t>
  </si>
  <si>
    <t xml:space="preserve"> 9.63万</t>
  </si>
  <si>
    <t xml:space="preserve"> 50.48亿</t>
  </si>
  <si>
    <t xml:space="preserve"> 8.849亿</t>
  </si>
  <si>
    <t xml:space="preserve"> 信邦制药</t>
  </si>
  <si>
    <t xml:space="preserve"> 7605万</t>
  </si>
  <si>
    <t xml:space="preserve"> 48.2亿</t>
  </si>
  <si>
    <t xml:space="preserve"> 7.36万</t>
  </si>
  <si>
    <t xml:space="preserve"> 95.44亿</t>
  </si>
  <si>
    <t xml:space="preserve"> 18.30亿</t>
  </si>
  <si>
    <t xml:space="preserve"> 89.86亿</t>
  </si>
  <si>
    <t xml:space="preserve"> 华中数控</t>
  </si>
  <si>
    <t xml:space="preserve"> 7603万</t>
  </si>
  <si>
    <t xml:space="preserve"> 1.987亿</t>
  </si>
  <si>
    <t xml:space="preserve"> 1.688亿</t>
  </si>
  <si>
    <t xml:space="preserve"> 64.26亿</t>
  </si>
  <si>
    <t xml:space="preserve"> 华鹏飞</t>
  </si>
  <si>
    <t xml:space="preserve"> 7599万</t>
  </si>
  <si>
    <t xml:space="preserve"> 5.625亿</t>
  </si>
  <si>
    <t xml:space="preserve"> 29.92亿</t>
  </si>
  <si>
    <t xml:space="preserve"> 4.716亿</t>
  </si>
  <si>
    <t xml:space="preserve"> 桃李面包</t>
  </si>
  <si>
    <t xml:space="preserve"> 7593万</t>
  </si>
  <si>
    <t xml:space="preserve"> 通润装备</t>
  </si>
  <si>
    <t xml:space="preserve"> 7589万</t>
  </si>
  <si>
    <t xml:space="preserve"> 3.620亿</t>
  </si>
  <si>
    <t xml:space="preserve"> 55.06亿</t>
  </si>
  <si>
    <t xml:space="preserve"> 3.548亿</t>
  </si>
  <si>
    <t xml:space="preserve"> 53.96亿</t>
  </si>
  <si>
    <t xml:space="preserve"> 昊帆生物</t>
  </si>
  <si>
    <t xml:space="preserve"> 7587万</t>
  </si>
  <si>
    <t xml:space="preserve"> 75.01亿</t>
  </si>
  <si>
    <t xml:space="preserve"> 2339万</t>
  </si>
  <si>
    <t xml:space="preserve"> 元力股份</t>
  </si>
  <si>
    <t xml:space="preserve"> 7580万</t>
  </si>
  <si>
    <t xml:space="preserve"> 59.16亿</t>
  </si>
  <si>
    <t xml:space="preserve"> 3.645亿</t>
  </si>
  <si>
    <t xml:space="preserve"> 58.94亿</t>
  </si>
  <si>
    <t xml:space="preserve"> 中工国际</t>
  </si>
  <si>
    <t xml:space="preserve"> 7573万</t>
  </si>
  <si>
    <t xml:space="preserve"> 12.37亿</t>
  </si>
  <si>
    <t xml:space="preserve"> 久之洋</t>
  </si>
  <si>
    <t xml:space="preserve"> 7567万</t>
  </si>
  <si>
    <t xml:space="preserve"> 57.98亿</t>
  </si>
  <si>
    <t xml:space="preserve"> 亚虹医药-U</t>
  </si>
  <si>
    <t xml:space="preserve"> 300万</t>
  </si>
  <si>
    <t xml:space="preserve"> 3.682亿</t>
  </si>
  <si>
    <t xml:space="preserve"> 40.87亿</t>
  </si>
  <si>
    <t xml:space="preserve"> 百普赛斯</t>
  </si>
  <si>
    <t xml:space="preserve"> 7557万</t>
  </si>
  <si>
    <t xml:space="preserve"> 80.16亿</t>
  </si>
  <si>
    <t xml:space="preserve"> 6285万</t>
  </si>
  <si>
    <t xml:space="preserve"> 新乳业</t>
  </si>
  <si>
    <t xml:space="preserve"> 7556万</t>
  </si>
  <si>
    <t xml:space="preserve"> 81.9亿</t>
  </si>
  <si>
    <t xml:space="preserve"> 8.461亿</t>
  </si>
  <si>
    <t xml:space="preserve"> 105.1亿</t>
  </si>
  <si>
    <t xml:space="preserve"> 北部湾港</t>
  </si>
  <si>
    <t xml:space="preserve"> 7550万</t>
  </si>
  <si>
    <t xml:space="preserve"> 49.0亿</t>
  </si>
  <si>
    <t xml:space="preserve"> 17.72亿</t>
  </si>
  <si>
    <t xml:space="preserve"> 134.7亿</t>
  </si>
  <si>
    <t xml:space="preserve"> 14.10亿</t>
  </si>
  <si>
    <t xml:space="preserve"> 华正新材</t>
  </si>
  <si>
    <t xml:space="preserve"> 7542万</t>
  </si>
  <si>
    <t xml:space="preserve"> 25.0亿</t>
  </si>
  <si>
    <t xml:space="preserve"> 1.420亿</t>
  </si>
  <si>
    <t xml:space="preserve"> 青农商行</t>
  </si>
  <si>
    <t xml:space="preserve"> 7541万</t>
  </si>
  <si>
    <t xml:space="preserve"> 82.3亿</t>
  </si>
  <si>
    <t xml:space="preserve"> -2.12万</t>
  </si>
  <si>
    <t xml:space="preserve"> 55.56亿</t>
  </si>
  <si>
    <t xml:space="preserve"> 48.92亿</t>
  </si>
  <si>
    <t xml:space="preserve"> 国光电气</t>
  </si>
  <si>
    <t xml:space="preserve"> 1.084亿</t>
  </si>
  <si>
    <t xml:space="preserve"> 105.7亿</t>
  </si>
  <si>
    <t xml:space="preserve"> 3447万</t>
  </si>
  <si>
    <t xml:space="preserve"> 33.61亿</t>
  </si>
  <si>
    <t xml:space="preserve"> 沈阳机床</t>
  </si>
  <si>
    <t xml:space="preserve"> 7539万</t>
  </si>
  <si>
    <t xml:space="preserve"> 20.65亿</t>
  </si>
  <si>
    <t xml:space="preserve"> 152.4亿</t>
  </si>
  <si>
    <t xml:space="preserve"> 16.81亿</t>
  </si>
  <si>
    <t xml:space="preserve"> 124.1亿</t>
  </si>
  <si>
    <t xml:space="preserve"> 国科恒泰</t>
  </si>
  <si>
    <t xml:space="preserve"> 7526万</t>
  </si>
  <si>
    <t xml:space="preserve"> 57.6亿</t>
  </si>
  <si>
    <t xml:space="preserve"> 4.706亿</t>
  </si>
  <si>
    <t xml:space="preserve"> 6625万</t>
  </si>
  <si>
    <t xml:space="preserve"> 阿石创</t>
  </si>
  <si>
    <t xml:space="preserve"> 41.13亿</t>
  </si>
  <si>
    <t xml:space="preserve"> 1.133亿</t>
  </si>
  <si>
    <t xml:space="preserve"> 30.48亿</t>
  </si>
  <si>
    <t xml:space="preserve"> 日照港</t>
  </si>
  <si>
    <t xml:space="preserve"> 60.5亿</t>
  </si>
  <si>
    <t xml:space="preserve"> 30.76亿</t>
  </si>
  <si>
    <t xml:space="preserve"> 87.66亿</t>
  </si>
  <si>
    <t xml:space="preserve"> 晶合集成</t>
  </si>
  <si>
    <t xml:space="preserve"> 7514万</t>
  </si>
  <si>
    <t xml:space="preserve"> 20.06亿</t>
  </si>
  <si>
    <t xml:space="preserve"> 3.779亿</t>
  </si>
  <si>
    <t xml:space="preserve"> 硅烷科技</t>
  </si>
  <si>
    <t xml:space="preserve"> 7512万</t>
  </si>
  <si>
    <t xml:space="preserve"> 3.247亿</t>
  </si>
  <si>
    <t xml:space="preserve"> 43.41亿</t>
  </si>
  <si>
    <t xml:space="preserve"> 通灵股份</t>
  </si>
  <si>
    <t xml:space="preserve"> 7510万</t>
  </si>
  <si>
    <t xml:space="preserve"> 4965万</t>
  </si>
  <si>
    <t xml:space="preserve"> 18.38亿</t>
  </si>
  <si>
    <t xml:space="preserve"> 同力日升</t>
  </si>
  <si>
    <t xml:space="preserve"> 7506万</t>
  </si>
  <si>
    <t xml:space="preserve"> 1.760亿</t>
  </si>
  <si>
    <t xml:space="preserve"> 4800万</t>
  </si>
  <si>
    <t xml:space="preserve"> 美芯晟</t>
  </si>
  <si>
    <t xml:space="preserve"> 7502万</t>
  </si>
  <si>
    <t xml:space="preserve"> 8001万</t>
  </si>
  <si>
    <t xml:space="preserve"> 1941万</t>
  </si>
  <si>
    <t xml:space="preserve"> 15.45亿</t>
  </si>
  <si>
    <t xml:space="preserve"> 一博科技</t>
  </si>
  <si>
    <t xml:space="preserve"> 7500万</t>
  </si>
  <si>
    <t xml:space="preserve"> 5.80亿</t>
  </si>
  <si>
    <t xml:space="preserve"> 54.52亿</t>
  </si>
  <si>
    <t xml:space="preserve"> 5467万</t>
  </si>
  <si>
    <t xml:space="preserve"> 19.87亿</t>
  </si>
  <si>
    <t xml:space="preserve"> 羚锐制药</t>
  </si>
  <si>
    <t xml:space="preserve"> 7489万</t>
  </si>
  <si>
    <t xml:space="preserve"> 5.671亿</t>
  </si>
  <si>
    <t xml:space="preserve"> 97.15亿</t>
  </si>
  <si>
    <t xml:space="preserve"> 5.632亿</t>
  </si>
  <si>
    <t xml:space="preserve"> 96.47亿</t>
  </si>
  <si>
    <t xml:space="preserve"> 碧水源</t>
  </si>
  <si>
    <t xml:space="preserve"> 7480万</t>
  </si>
  <si>
    <t xml:space="preserve"> 53.9亿</t>
  </si>
  <si>
    <t xml:space="preserve"> 36.24亿</t>
  </si>
  <si>
    <t xml:space="preserve"> 185.2亿</t>
  </si>
  <si>
    <t xml:space="preserve"> 上海贝岭</t>
  </si>
  <si>
    <t xml:space="preserve"> 4.77万</t>
  </si>
  <si>
    <t xml:space="preserve"> 7479万</t>
  </si>
  <si>
    <t xml:space="preserve"> 7.118亿</t>
  </si>
  <si>
    <t xml:space="preserve"> 7.061亿</t>
  </si>
  <si>
    <t xml:space="preserve"> 111.5亿</t>
  </si>
  <si>
    <t xml:space="preserve"> 天创时尚</t>
  </si>
  <si>
    <t xml:space="preserve"> 7478万</t>
  </si>
  <si>
    <t xml:space="preserve"> 9.45亿</t>
  </si>
  <si>
    <t xml:space="preserve"> 8.97万</t>
  </si>
  <si>
    <t xml:space="preserve"> 4.197亿</t>
  </si>
  <si>
    <t xml:space="preserve"> 青松建化</t>
  </si>
  <si>
    <t xml:space="preserve"> 61.62亿</t>
  </si>
  <si>
    <t xml:space="preserve"> 52.95亿</t>
  </si>
  <si>
    <t xml:space="preserve"> 九 芝 堂</t>
  </si>
  <si>
    <t xml:space="preserve"> 7476万</t>
  </si>
  <si>
    <t xml:space="preserve"> 8.559亿</t>
  </si>
  <si>
    <t xml:space="preserve"> 6.899亿</t>
  </si>
  <si>
    <t xml:space="preserve"> 76.51亿</t>
  </si>
  <si>
    <t xml:space="preserve"> 德冠新材</t>
  </si>
  <si>
    <t xml:space="preserve"> 7472万</t>
  </si>
  <si>
    <t xml:space="preserve"> 8.75亿</t>
  </si>
  <si>
    <t xml:space="preserve"> 53.55亿</t>
  </si>
  <si>
    <t xml:space="preserve"> 3149万</t>
  </si>
  <si>
    <t xml:space="preserve"> 天马科技</t>
  </si>
  <si>
    <t xml:space="preserve"> 53.0亿</t>
  </si>
  <si>
    <t xml:space="preserve"> 4.361亿</t>
  </si>
  <si>
    <t xml:space="preserve"> 广百股份</t>
  </si>
  <si>
    <t xml:space="preserve"> 7465万</t>
  </si>
  <si>
    <t xml:space="preserve"> 5.171亿</t>
  </si>
  <si>
    <t xml:space="preserve"> 34.90亿</t>
  </si>
  <si>
    <t xml:space="preserve"> 华西证券</t>
  </si>
  <si>
    <t xml:space="preserve"> 7462万</t>
  </si>
  <si>
    <t xml:space="preserve"> 26.25亿</t>
  </si>
  <si>
    <t xml:space="preserve"> 青海春天</t>
  </si>
  <si>
    <t xml:space="preserve"> 7460万</t>
  </si>
  <si>
    <t xml:space="preserve"> 5.871亿</t>
  </si>
  <si>
    <t xml:space="preserve"> 海联金汇</t>
  </si>
  <si>
    <t xml:space="preserve"> 7447万</t>
  </si>
  <si>
    <t xml:space="preserve"> 11.74亿</t>
  </si>
  <si>
    <t xml:space="preserve"> 81.95亿</t>
  </si>
  <si>
    <t xml:space="preserve"> 中科星图</t>
  </si>
  <si>
    <t xml:space="preserve"> 7438万</t>
  </si>
  <si>
    <t xml:space="preserve"> 3.654亿</t>
  </si>
  <si>
    <t xml:space="preserve"> 洪汇新材</t>
  </si>
  <si>
    <t xml:space="preserve"> 7432万</t>
  </si>
  <si>
    <t xml:space="preserve"> 1.823亿</t>
  </si>
  <si>
    <t xml:space="preserve"> 23.08亿</t>
  </si>
  <si>
    <t xml:space="preserve"> 1.811亿</t>
  </si>
  <si>
    <t xml:space="preserve"> 22.92亿</t>
  </si>
  <si>
    <t xml:space="preserve"> 中粮资本</t>
  </si>
  <si>
    <t xml:space="preserve"> 立中集团</t>
  </si>
  <si>
    <t xml:space="preserve"> 7424万</t>
  </si>
  <si>
    <t xml:space="preserve"> 171亿</t>
  </si>
  <si>
    <t xml:space="preserve"> 6.260亿</t>
  </si>
  <si>
    <t xml:space="preserve"> 5.292亿</t>
  </si>
  <si>
    <t xml:space="preserve"> 万讯自控</t>
  </si>
  <si>
    <t xml:space="preserve"> 7422万</t>
  </si>
  <si>
    <t xml:space="preserve"> 7.52亿</t>
  </si>
  <si>
    <t xml:space="preserve"> 2.936亿</t>
  </si>
  <si>
    <t xml:space="preserve"> 31.42亿</t>
  </si>
  <si>
    <t xml:space="preserve"> 洪都航空</t>
  </si>
  <si>
    <t xml:space="preserve"> 7411万</t>
  </si>
  <si>
    <t xml:space="preserve"> 152.2亿</t>
  </si>
  <si>
    <t xml:space="preserve"> 新钢股份</t>
  </si>
  <si>
    <t xml:space="preserve"> 7403万</t>
  </si>
  <si>
    <t xml:space="preserve"> 623亿</t>
  </si>
  <si>
    <t xml:space="preserve"> 31.46亿</t>
  </si>
  <si>
    <t xml:space="preserve"> 119.8亿</t>
  </si>
  <si>
    <t xml:space="preserve"> 麦澜德</t>
  </si>
  <si>
    <t xml:space="preserve"> 7401万</t>
  </si>
  <si>
    <t xml:space="preserve"> 1.006亿</t>
  </si>
  <si>
    <t xml:space="preserve"> 3333万</t>
  </si>
  <si>
    <t xml:space="preserve"> 12.21亿</t>
  </si>
  <si>
    <t xml:space="preserve"> 精达股份</t>
  </si>
  <si>
    <t xml:space="preserve"> 87.33亿</t>
  </si>
  <si>
    <t xml:space="preserve"> 83.83亿</t>
  </si>
  <si>
    <t xml:space="preserve"> 天箭科技</t>
  </si>
  <si>
    <t xml:space="preserve"> 7396万</t>
  </si>
  <si>
    <t xml:space="preserve"> 6537万</t>
  </si>
  <si>
    <t xml:space="preserve"> 24.40亿</t>
  </si>
  <si>
    <t xml:space="preserve"> *ST 正邦</t>
  </si>
  <si>
    <t xml:space="preserve"> 7394万</t>
  </si>
  <si>
    <t xml:space="preserve"> 35.98亿</t>
  </si>
  <si>
    <t xml:space="preserve"> 91.75亿</t>
  </si>
  <si>
    <t xml:space="preserve"> 28.52亿</t>
  </si>
  <si>
    <t xml:space="preserve"> 72.72亿</t>
  </si>
  <si>
    <t xml:space="preserve"> 甘肃能化</t>
  </si>
  <si>
    <t xml:space="preserve"> 7388万</t>
  </si>
  <si>
    <t xml:space="preserve"> -4.39万</t>
  </si>
  <si>
    <t xml:space="preserve"> 25.05亿</t>
  </si>
  <si>
    <t xml:space="preserve"> 79.90亿</t>
  </si>
  <si>
    <t xml:space="preserve"> 炬芯科技</t>
  </si>
  <si>
    <t xml:space="preserve"> 7385万</t>
  </si>
  <si>
    <t xml:space="preserve"> 1.220亿</t>
  </si>
  <si>
    <t xml:space="preserve"> 46.24亿</t>
  </si>
  <si>
    <t xml:space="preserve"> 9089万</t>
  </si>
  <si>
    <t xml:space="preserve"> 昊华能源</t>
  </si>
  <si>
    <t xml:space="preserve"> 7384万</t>
  </si>
  <si>
    <t xml:space="preserve"> 91.44亿</t>
  </si>
  <si>
    <t xml:space="preserve"> 中威电子</t>
  </si>
  <si>
    <t xml:space="preserve"> 7373万</t>
  </si>
  <si>
    <t xml:space="preserve"> 3.028亿</t>
  </si>
  <si>
    <t xml:space="preserve"> 24.29亿</t>
  </si>
  <si>
    <t xml:space="preserve"> 19.46亿</t>
  </si>
  <si>
    <t xml:space="preserve"> ST鹏博士</t>
  </si>
  <si>
    <t xml:space="preserve"> 78.90亿</t>
  </si>
  <si>
    <t xml:space="preserve"> 神农科技</t>
  </si>
  <si>
    <t xml:space="preserve"> 7372万</t>
  </si>
  <si>
    <t xml:space="preserve"> 9.630亿</t>
  </si>
  <si>
    <t xml:space="preserve"> 33.80亿</t>
  </si>
  <si>
    <t xml:space="preserve"> 煌上煌</t>
  </si>
  <si>
    <t xml:space="preserve"> 7370万</t>
  </si>
  <si>
    <t xml:space="preserve"> 62.82亿</t>
  </si>
  <si>
    <t xml:space="preserve"> 4.644亿</t>
  </si>
  <si>
    <t xml:space="preserve"> 52.38亿</t>
  </si>
  <si>
    <t xml:space="preserve"> ST八菱</t>
  </si>
  <si>
    <t xml:space="preserve"> 7367万</t>
  </si>
  <si>
    <t xml:space="preserve"> 2.833亿</t>
  </si>
  <si>
    <t xml:space="preserve"> 18.10亿</t>
  </si>
  <si>
    <t xml:space="preserve"> 2.627亿</t>
  </si>
  <si>
    <t xml:space="preserve"> 赛隆药业</t>
  </si>
  <si>
    <t xml:space="preserve"> 7364万</t>
  </si>
  <si>
    <t xml:space="preserve"> 26.44亿</t>
  </si>
  <si>
    <t xml:space="preserve"> 1.013亿</t>
  </si>
  <si>
    <t xml:space="preserve"> 15.21亿</t>
  </si>
  <si>
    <t xml:space="preserve"> 濮阳惠成</t>
  </si>
  <si>
    <t xml:space="preserve"> 7360万</t>
  </si>
  <si>
    <t xml:space="preserve"> 51.10亿</t>
  </si>
  <si>
    <t xml:space="preserve"> 2.940亿</t>
  </si>
  <si>
    <t xml:space="preserve"> 金禄电子</t>
  </si>
  <si>
    <t xml:space="preserve"> 7358万</t>
  </si>
  <si>
    <t xml:space="preserve"> 1.511亿</t>
  </si>
  <si>
    <t xml:space="preserve"> 41.50亿</t>
  </si>
  <si>
    <t xml:space="preserve"> 7214万</t>
  </si>
  <si>
    <t xml:space="preserve"> 华平股份</t>
  </si>
  <si>
    <t xml:space="preserve"> 7355万</t>
  </si>
  <si>
    <t xml:space="preserve"> 5.310亿</t>
  </si>
  <si>
    <t xml:space="preserve"> 26.02亿</t>
  </si>
  <si>
    <t xml:space="preserve"> 5.305亿</t>
  </si>
  <si>
    <t xml:space="preserve"> 25.99亿</t>
  </si>
  <si>
    <t xml:space="preserve"> 淮河能源</t>
  </si>
  <si>
    <t xml:space="preserve"> 7353万</t>
  </si>
  <si>
    <t xml:space="preserve"> -1.88万</t>
  </si>
  <si>
    <t xml:space="preserve"> 38.86亿</t>
  </si>
  <si>
    <t xml:space="preserve"> 中简科技</t>
  </si>
  <si>
    <t xml:space="preserve"> 127.2亿</t>
  </si>
  <si>
    <t xml:space="preserve"> 万里扬</t>
  </si>
  <si>
    <t xml:space="preserve"> 7340万</t>
  </si>
  <si>
    <t xml:space="preserve"> 13.13亿</t>
  </si>
  <si>
    <t xml:space="preserve"> 108.3亿</t>
  </si>
  <si>
    <t xml:space="preserve"> 永吉股份</t>
  </si>
  <si>
    <t xml:space="preserve"> 7333万</t>
  </si>
  <si>
    <t xml:space="preserve"> 39.48亿</t>
  </si>
  <si>
    <t xml:space="preserve"> 4.165亿</t>
  </si>
  <si>
    <t xml:space="preserve"> 39.15亿</t>
  </si>
  <si>
    <t xml:space="preserve"> 迪生力</t>
  </si>
  <si>
    <t xml:space="preserve"> 7330万</t>
  </si>
  <si>
    <t xml:space="preserve"> 4.281亿</t>
  </si>
  <si>
    <t xml:space="preserve"> 31.04亿</t>
  </si>
  <si>
    <t xml:space="preserve"> 芯瑞达</t>
  </si>
  <si>
    <t xml:space="preserve"> 7325万</t>
  </si>
  <si>
    <t xml:space="preserve"> 1.858亿</t>
  </si>
  <si>
    <t xml:space="preserve"> 56.75亿</t>
  </si>
  <si>
    <t xml:space="preserve"> 豫园股份</t>
  </si>
  <si>
    <t xml:space="preserve"> 7321万</t>
  </si>
  <si>
    <t xml:space="preserve"> 38.83亿</t>
  </si>
  <si>
    <t xml:space="preserve"> 顺威股份</t>
  </si>
  <si>
    <t xml:space="preserve"> 7316万</t>
  </si>
  <si>
    <t xml:space="preserve"> 16.7亿</t>
  </si>
  <si>
    <t xml:space="preserve"> 37.15亿</t>
  </si>
  <si>
    <t xml:space="preserve"> 盛和资源</t>
  </si>
  <si>
    <t xml:space="preserve"> 7312万</t>
  </si>
  <si>
    <t xml:space="preserve"> 180.2亿</t>
  </si>
  <si>
    <t xml:space="preserve"> 华夏幸福</t>
  </si>
  <si>
    <t xml:space="preserve"> 7309万</t>
  </si>
  <si>
    <t xml:space="preserve"> 178亿</t>
  </si>
  <si>
    <t xml:space="preserve"> 38.93亿</t>
  </si>
  <si>
    <t xml:space="preserve"> 74.36亿</t>
  </si>
  <si>
    <t xml:space="preserve"> 宁沪高速</t>
  </si>
  <si>
    <t xml:space="preserve"> 7308万</t>
  </si>
  <si>
    <t xml:space="preserve"> 50.38亿</t>
  </si>
  <si>
    <t xml:space="preserve"> 513.3亿</t>
  </si>
  <si>
    <t xml:space="preserve"> 38.02亿</t>
  </si>
  <si>
    <t xml:space="preserve"> 387.4亿</t>
  </si>
  <si>
    <t xml:space="preserve"> 深纺织Ａ</t>
  </si>
  <si>
    <t xml:space="preserve"> 7302万</t>
  </si>
  <si>
    <t xml:space="preserve"> 60.99亿</t>
  </si>
  <si>
    <t xml:space="preserve"> 4.570亿</t>
  </si>
  <si>
    <t xml:space="preserve"> 55.03亿</t>
  </si>
  <si>
    <t xml:space="preserve"> 辰欣药业</t>
  </si>
  <si>
    <t xml:space="preserve"> 7301万</t>
  </si>
  <si>
    <t xml:space="preserve"> 66.54亿</t>
  </si>
  <si>
    <t xml:space="preserve"> 66.32亿</t>
  </si>
  <si>
    <t xml:space="preserve"> 力合科创</t>
  </si>
  <si>
    <t xml:space="preserve"> 7299万</t>
  </si>
  <si>
    <t xml:space="preserve"> 12.11亿</t>
  </si>
  <si>
    <t xml:space="preserve"> 100.5亿</t>
  </si>
  <si>
    <t xml:space="preserve"> 读客文化</t>
  </si>
  <si>
    <t xml:space="preserve"> 7298万</t>
  </si>
  <si>
    <t xml:space="preserve"> 4.003亿</t>
  </si>
  <si>
    <t xml:space="preserve"> 49.04亿</t>
  </si>
  <si>
    <t xml:space="preserve"> 福斯达</t>
  </si>
  <si>
    <t xml:space="preserve"> 7290万</t>
  </si>
  <si>
    <t xml:space="preserve"> 42.56亿</t>
  </si>
  <si>
    <t xml:space="preserve"> 星网宇达</t>
  </si>
  <si>
    <t xml:space="preserve"> 7288万</t>
  </si>
  <si>
    <t xml:space="preserve"> 6.92亿</t>
  </si>
  <si>
    <t xml:space="preserve"> 2.078亿</t>
  </si>
  <si>
    <t xml:space="preserve"> 40.88亿</t>
  </si>
  <si>
    <t xml:space="preserve"> 洪城环境</t>
  </si>
  <si>
    <t xml:space="preserve"> 8.25万</t>
  </si>
  <si>
    <t xml:space="preserve"> 7285万</t>
  </si>
  <si>
    <t xml:space="preserve"> 96.33亿</t>
  </si>
  <si>
    <t xml:space="preserve"> 88.56亿</t>
  </si>
  <si>
    <t xml:space="preserve"> 同力股份</t>
  </si>
  <si>
    <t xml:space="preserve"> 2.052亿</t>
  </si>
  <si>
    <t xml:space="preserve"> 创耀科技</t>
  </si>
  <si>
    <t xml:space="preserve"> 7283万</t>
  </si>
  <si>
    <t xml:space="preserve"> 54.70亿</t>
  </si>
  <si>
    <t xml:space="preserve"> 5731万</t>
  </si>
  <si>
    <t xml:space="preserve"> 广西能源</t>
  </si>
  <si>
    <t xml:space="preserve"> 7281万</t>
  </si>
  <si>
    <t xml:space="preserve"> 14.66亿</t>
  </si>
  <si>
    <t xml:space="preserve"> 55.70亿</t>
  </si>
  <si>
    <t xml:space="preserve"> 46.18亿</t>
  </si>
  <si>
    <t xml:space="preserve"> 安洁科技</t>
  </si>
  <si>
    <t xml:space="preserve"> 7272万</t>
  </si>
  <si>
    <t xml:space="preserve"> 6.724亿</t>
  </si>
  <si>
    <t xml:space="preserve"> 97.64亿</t>
  </si>
  <si>
    <t xml:space="preserve"> 58.70亿</t>
  </si>
  <si>
    <t xml:space="preserve"> 江龙船艇</t>
  </si>
  <si>
    <t xml:space="preserve"> 7269万</t>
  </si>
  <si>
    <t xml:space="preserve"> 3.777亿</t>
  </si>
  <si>
    <t xml:space="preserve"> 2.227亿</t>
  </si>
  <si>
    <t xml:space="preserve"> 30.44亿</t>
  </si>
  <si>
    <t xml:space="preserve"> 灿勤科技</t>
  </si>
  <si>
    <t xml:space="preserve"> 7263万</t>
  </si>
  <si>
    <t xml:space="preserve"> 79.00亿</t>
  </si>
  <si>
    <t xml:space="preserve"> 三友医疗</t>
  </si>
  <si>
    <t xml:space="preserve"> 7258万</t>
  </si>
  <si>
    <t xml:space="preserve"> 51.88亿</t>
  </si>
  <si>
    <t xml:space="preserve"> 普利特</t>
  </si>
  <si>
    <t xml:space="preserve"> 11.13亿</t>
  </si>
  <si>
    <t xml:space="preserve"> 6.782亿</t>
  </si>
  <si>
    <t xml:space="preserve"> 92.57亿</t>
  </si>
  <si>
    <t xml:space="preserve"> 恒大高新</t>
  </si>
  <si>
    <t xml:space="preserve"> 7254万</t>
  </si>
  <si>
    <t xml:space="preserve"> 3.002亿</t>
  </si>
  <si>
    <t xml:space="preserve"> 2.279亿</t>
  </si>
  <si>
    <t xml:space="preserve"> 孚能科技</t>
  </si>
  <si>
    <t xml:space="preserve"> 7253万</t>
  </si>
  <si>
    <t xml:space="preserve"> 12.18亿</t>
  </si>
  <si>
    <t xml:space="preserve"> 221.8亿</t>
  </si>
  <si>
    <t xml:space="preserve"> 陕西金叶</t>
  </si>
  <si>
    <t xml:space="preserve"> 7251万</t>
  </si>
  <si>
    <t xml:space="preserve"> 9.03亿</t>
  </si>
  <si>
    <t xml:space="preserve"> 7.687亿</t>
  </si>
  <si>
    <t xml:space="preserve"> 7.683亿</t>
  </si>
  <si>
    <t xml:space="preserve"> 琏升科技</t>
  </si>
  <si>
    <t xml:space="preserve"> 7244万</t>
  </si>
  <si>
    <t xml:space="preserve"> 42.64亿</t>
  </si>
  <si>
    <t xml:space="preserve"> 奥拓电子</t>
  </si>
  <si>
    <t xml:space="preserve"> 7242万</t>
  </si>
  <si>
    <t xml:space="preserve"> 6.515亿</t>
  </si>
  <si>
    <t xml:space="preserve"> 45.61亿</t>
  </si>
  <si>
    <t xml:space="preserve"> 5.133亿</t>
  </si>
  <si>
    <t xml:space="preserve"> 35.93亿</t>
  </si>
  <si>
    <t xml:space="preserve"> 新迅达</t>
  </si>
  <si>
    <t xml:space="preserve"> 7240万</t>
  </si>
  <si>
    <t xml:space="preserve"> 1.994亿</t>
  </si>
  <si>
    <t xml:space="preserve"> 金凯生科</t>
  </si>
  <si>
    <t xml:space="preserve"> 7239万</t>
  </si>
  <si>
    <t xml:space="preserve"> 8603万</t>
  </si>
  <si>
    <t xml:space="preserve"> 60.74亿</t>
  </si>
  <si>
    <t xml:space="preserve"> 2040万</t>
  </si>
  <si>
    <t xml:space="preserve"> 金徽酒</t>
  </si>
  <si>
    <t xml:space="preserve"> 7235万</t>
  </si>
  <si>
    <t xml:space="preserve"> 5.073亿</t>
  </si>
  <si>
    <t xml:space="preserve"> 130.9亿</t>
  </si>
  <si>
    <t xml:space="preserve"> 威创股份</t>
  </si>
  <si>
    <t xml:space="preserve"> 7234万</t>
  </si>
  <si>
    <t xml:space="preserve"> 47.94亿</t>
  </si>
  <si>
    <t xml:space="preserve"> 9.008亿</t>
  </si>
  <si>
    <t xml:space="preserve"> 47.65亿</t>
  </si>
  <si>
    <t xml:space="preserve"> 中研股份</t>
  </si>
  <si>
    <t xml:space="preserve"> 7233万</t>
  </si>
  <si>
    <t xml:space="preserve"> 1.217亿</t>
  </si>
  <si>
    <t xml:space="preserve"> 2732万</t>
  </si>
  <si>
    <t xml:space="preserve"> 9.056亿</t>
  </si>
  <si>
    <t xml:space="preserve"> 方大炭素</t>
  </si>
  <si>
    <t xml:space="preserve"> 7232万</t>
  </si>
  <si>
    <t xml:space="preserve"> 232.3亿</t>
  </si>
  <si>
    <t xml:space="preserve"> 茂莱光学</t>
  </si>
  <si>
    <t xml:space="preserve"> 7222万</t>
  </si>
  <si>
    <t xml:space="preserve"> 5280万</t>
  </si>
  <si>
    <t xml:space="preserve"> 1276万</t>
  </si>
  <si>
    <t xml:space="preserve"> 27.93亿</t>
  </si>
  <si>
    <t xml:space="preserve"> 通业科技</t>
  </si>
  <si>
    <t xml:space="preserve"> 1.024亿</t>
  </si>
  <si>
    <t xml:space="preserve"> 2560万</t>
  </si>
  <si>
    <t xml:space="preserve"> 5.760亿</t>
  </si>
  <si>
    <t xml:space="preserve"> 浩云科技</t>
  </si>
  <si>
    <t xml:space="preserve"> 7211万</t>
  </si>
  <si>
    <t xml:space="preserve"> 6.765亿</t>
  </si>
  <si>
    <t xml:space="preserve"> 40.12亿</t>
  </si>
  <si>
    <t xml:space="preserve"> 4.899亿</t>
  </si>
  <si>
    <t xml:space="preserve"> 29.05亿</t>
  </si>
  <si>
    <t xml:space="preserve"> 远东股份</t>
  </si>
  <si>
    <t xml:space="preserve"> 7210万</t>
  </si>
  <si>
    <t xml:space="preserve"> 174亿</t>
  </si>
  <si>
    <t xml:space="preserve"> 7.90万</t>
  </si>
  <si>
    <t xml:space="preserve"> 22.19亿</t>
  </si>
  <si>
    <t xml:space="preserve"> 94.99亿</t>
  </si>
  <si>
    <t xml:space="preserve"> 快克智能</t>
  </si>
  <si>
    <t xml:space="preserve"> 7205万</t>
  </si>
  <si>
    <t xml:space="preserve"> 2.505亿</t>
  </si>
  <si>
    <t xml:space="preserve"> 77.74亿</t>
  </si>
  <si>
    <t xml:space="preserve"> 77.31亿</t>
  </si>
  <si>
    <t xml:space="preserve"> 科陆电子</t>
  </si>
  <si>
    <t xml:space="preserve"> 7186万</t>
  </si>
  <si>
    <t xml:space="preserve"> 16.61亿</t>
  </si>
  <si>
    <t xml:space="preserve"> 95.00亿</t>
  </si>
  <si>
    <t xml:space="preserve"> 80.08亿</t>
  </si>
  <si>
    <t xml:space="preserve"> 中富通</t>
  </si>
  <si>
    <t xml:space="preserve"> 7179万</t>
  </si>
  <si>
    <t xml:space="preserve"> 2.297亿</t>
  </si>
  <si>
    <t xml:space="preserve"> 40.66亿</t>
  </si>
  <si>
    <t xml:space="preserve"> 33.09亿</t>
  </si>
  <si>
    <t xml:space="preserve"> 炬华科技</t>
  </si>
  <si>
    <t xml:space="preserve"> 7176万</t>
  </si>
  <si>
    <t xml:space="preserve"> 72.63亿</t>
  </si>
  <si>
    <t xml:space="preserve"> 4.954亿</t>
  </si>
  <si>
    <t xml:space="preserve"> 70.64亿</t>
  </si>
  <si>
    <t xml:space="preserve"> 广聚能源</t>
  </si>
  <si>
    <t xml:space="preserve"> 6.42万</t>
  </si>
  <si>
    <t xml:space="preserve"> 7173万</t>
  </si>
  <si>
    <t xml:space="preserve"> 5.280亿</t>
  </si>
  <si>
    <t xml:space="preserve"> 59.72亿</t>
  </si>
  <si>
    <t xml:space="preserve"> 5.108亿</t>
  </si>
  <si>
    <t xml:space="preserve"> 57.78亿</t>
  </si>
  <si>
    <t xml:space="preserve"> 五洲交通</t>
  </si>
  <si>
    <t xml:space="preserve"> 7168万</t>
  </si>
  <si>
    <t xml:space="preserve"> 12.38亿</t>
  </si>
  <si>
    <t xml:space="preserve"> 50.89亿</t>
  </si>
  <si>
    <t xml:space="preserve"> 奥翔药业</t>
  </si>
  <si>
    <t xml:space="preserve"> 7166万</t>
  </si>
  <si>
    <t xml:space="preserve"> 5.931亿</t>
  </si>
  <si>
    <t xml:space="preserve"> 86.29亿</t>
  </si>
  <si>
    <t xml:space="preserve"> 斯瑞新材</t>
  </si>
  <si>
    <t xml:space="preserve"> 7159万</t>
  </si>
  <si>
    <t xml:space="preserve"> 8.69亿</t>
  </si>
  <si>
    <t xml:space="preserve"> 5.600亿</t>
  </si>
  <si>
    <t xml:space="preserve"> 78.29亿</t>
  </si>
  <si>
    <t xml:space="preserve"> 华阳变速</t>
  </si>
  <si>
    <t xml:space="preserve"> 7156万</t>
  </si>
  <si>
    <t xml:space="preserve"> 1.350亿</t>
  </si>
  <si>
    <t xml:space="preserve"> 6.831亿</t>
  </si>
  <si>
    <t xml:space="preserve"> 9965万</t>
  </si>
  <si>
    <t xml:space="preserve"> 华自科技</t>
  </si>
  <si>
    <t xml:space="preserve"> 7149万</t>
  </si>
  <si>
    <t xml:space="preserve"> 3.962亿</t>
  </si>
  <si>
    <t xml:space="preserve"> 48.14亿</t>
  </si>
  <si>
    <t xml:space="preserve"> 3.889亿</t>
  </si>
  <si>
    <t xml:space="preserve"> 中重科技</t>
  </si>
  <si>
    <t xml:space="preserve"> 7143万</t>
  </si>
  <si>
    <t xml:space="preserve"> 76.59亿</t>
  </si>
  <si>
    <t xml:space="preserve"> 9000万</t>
  </si>
  <si>
    <t xml:space="preserve"> 15.32亿</t>
  </si>
  <si>
    <t xml:space="preserve"> 五洋停车</t>
  </si>
  <si>
    <t xml:space="preserve"> 7142万</t>
  </si>
  <si>
    <t xml:space="preserve"> 32.87亿</t>
  </si>
  <si>
    <t xml:space="preserve"> 宝莫股份</t>
  </si>
  <si>
    <t xml:space="preserve"> 7141万</t>
  </si>
  <si>
    <t xml:space="preserve"> 6.120亿</t>
  </si>
  <si>
    <t xml:space="preserve"> 38.19亿</t>
  </si>
  <si>
    <t xml:space="preserve"> 英派斯</t>
  </si>
  <si>
    <t xml:space="preserve"> 7130万</t>
  </si>
  <si>
    <t xml:space="preserve"> 6.59亿</t>
  </si>
  <si>
    <t xml:space="preserve"> 柳药集团</t>
  </si>
  <si>
    <t xml:space="preserve"> 7129万</t>
  </si>
  <si>
    <t xml:space="preserve"> 3.622亿</t>
  </si>
  <si>
    <t xml:space="preserve"> 76.94亿</t>
  </si>
  <si>
    <t xml:space="preserve"> 3.602亿</t>
  </si>
  <si>
    <t xml:space="preserve"> 蔚蓝锂芯</t>
  </si>
  <si>
    <t xml:space="preserve"> 7123万</t>
  </si>
  <si>
    <t xml:space="preserve"> 37.0亿</t>
  </si>
  <si>
    <t xml:space="preserve"> 104.1亿</t>
  </si>
  <si>
    <t xml:space="preserve"> 10.82亿</t>
  </si>
  <si>
    <t xml:space="preserve"> 97.84亿</t>
  </si>
  <si>
    <t xml:space="preserve"> 光明地产</t>
  </si>
  <si>
    <t xml:space="preserve"> 7115万</t>
  </si>
  <si>
    <t xml:space="preserve"> 66.4亿</t>
  </si>
  <si>
    <t xml:space="preserve"> -6.46万</t>
  </si>
  <si>
    <t xml:space="preserve"> 22.29亿</t>
  </si>
  <si>
    <t xml:space="preserve"> 50.14亿</t>
  </si>
  <si>
    <t xml:space="preserve"> 新余国科</t>
  </si>
  <si>
    <t xml:space="preserve"> 7097万</t>
  </si>
  <si>
    <t xml:space="preserve"> 2.306亿</t>
  </si>
  <si>
    <t xml:space="preserve"> 60.24亿</t>
  </si>
  <si>
    <t xml:space="preserve"> 立方控股</t>
  </si>
  <si>
    <t xml:space="preserve"> 7091万</t>
  </si>
  <si>
    <t xml:space="preserve"> 9007万</t>
  </si>
  <si>
    <t xml:space="preserve"> 2240万</t>
  </si>
  <si>
    <t xml:space="preserve"> 3.172亿</t>
  </si>
  <si>
    <t xml:space="preserve"> 瑞星股份</t>
  </si>
  <si>
    <t xml:space="preserve"> 7090万</t>
  </si>
  <si>
    <t xml:space="preserve"> 1.147亿</t>
  </si>
  <si>
    <t xml:space="preserve"> 7.810亿</t>
  </si>
  <si>
    <t xml:space="preserve"> 1.917亿</t>
  </si>
  <si>
    <t xml:space="preserve"> 通程控股</t>
  </si>
  <si>
    <t xml:space="preserve"> 7088万</t>
  </si>
  <si>
    <t xml:space="preserve"> 5.436亿</t>
  </si>
  <si>
    <t xml:space="preserve"> 32.13亿</t>
  </si>
  <si>
    <t xml:space="preserve"> 软控股份</t>
  </si>
  <si>
    <t xml:space="preserve"> 7087万</t>
  </si>
  <si>
    <t xml:space="preserve"> 69.41亿</t>
  </si>
  <si>
    <t xml:space="preserve"> 9.565亿</t>
  </si>
  <si>
    <t xml:space="preserve"> 65.71亿</t>
  </si>
  <si>
    <t xml:space="preserve"> 阿科力</t>
  </si>
  <si>
    <t xml:space="preserve"> 7083万</t>
  </si>
  <si>
    <t xml:space="preserve"> 8794万</t>
  </si>
  <si>
    <t xml:space="preserve"> 华仁药业</t>
  </si>
  <si>
    <t xml:space="preserve"> 52.73亿</t>
  </si>
  <si>
    <t xml:space="preserve"> 11.80亿</t>
  </si>
  <si>
    <t xml:space="preserve"> 文峰股份</t>
  </si>
  <si>
    <t xml:space="preserve"> 7076万</t>
  </si>
  <si>
    <t xml:space="preserve"> -2.78万</t>
  </si>
  <si>
    <t xml:space="preserve"> 18.48亿</t>
  </si>
  <si>
    <t xml:space="preserve"> 48.05亿</t>
  </si>
  <si>
    <t xml:space="preserve"> 中科通达</t>
  </si>
  <si>
    <t xml:space="preserve"> 7069万</t>
  </si>
  <si>
    <t xml:space="preserve"> 1.164亿</t>
  </si>
  <si>
    <t xml:space="preserve"> 8141万</t>
  </si>
  <si>
    <t xml:space="preserve"> 青岛金王</t>
  </si>
  <si>
    <t xml:space="preserve"> 7062万</t>
  </si>
  <si>
    <t xml:space="preserve"> 6.909亿</t>
  </si>
  <si>
    <t xml:space="preserve"> 6.905亿</t>
  </si>
  <si>
    <t xml:space="preserve"> 27.62亿</t>
  </si>
  <si>
    <t xml:space="preserve"> 聚灿光电</t>
  </si>
  <si>
    <t xml:space="preserve"> 7057万</t>
  </si>
  <si>
    <t xml:space="preserve"> 6.710亿</t>
  </si>
  <si>
    <t xml:space="preserve"> 76.96亿</t>
  </si>
  <si>
    <t xml:space="preserve"> 43.45亿</t>
  </si>
  <si>
    <t xml:space="preserve"> 微芯生物</t>
  </si>
  <si>
    <t xml:space="preserve"> 7054万</t>
  </si>
  <si>
    <t xml:space="preserve"> 4.113亿</t>
  </si>
  <si>
    <t xml:space="preserve"> 97.60亿</t>
  </si>
  <si>
    <t xml:space="preserve"> 四方股份</t>
  </si>
  <si>
    <t xml:space="preserve"> 7052万</t>
  </si>
  <si>
    <t xml:space="preserve"> 8.323亿</t>
  </si>
  <si>
    <t xml:space="preserve"> 116.0亿</t>
  </si>
  <si>
    <t xml:space="preserve"> 8.132亿</t>
  </si>
  <si>
    <t xml:space="preserve"> 113.4亿</t>
  </si>
  <si>
    <t xml:space="preserve"> 同星科技</t>
  </si>
  <si>
    <t xml:space="preserve"> 7038万</t>
  </si>
  <si>
    <t xml:space="preserve"> 8.980亿</t>
  </si>
  <si>
    <t xml:space="preserve"> 金逸影视</t>
  </si>
  <si>
    <t xml:space="preserve"> 7035万</t>
  </si>
  <si>
    <t xml:space="preserve"> 3.763亿</t>
  </si>
  <si>
    <t xml:space="preserve"> 3.494亿</t>
  </si>
  <si>
    <t xml:space="preserve"> 37.56亿</t>
  </si>
  <si>
    <t xml:space="preserve"> 腾远钴业</t>
  </si>
  <si>
    <t xml:space="preserve"> 7030万</t>
  </si>
  <si>
    <t xml:space="preserve"> 2.947亿</t>
  </si>
  <si>
    <t xml:space="preserve"> 1.722亿</t>
  </si>
  <si>
    <t xml:space="preserve"> 天目湖</t>
  </si>
  <si>
    <t xml:space="preserve"> 7029万</t>
  </si>
  <si>
    <t xml:space="preserve"> 1.863亿</t>
  </si>
  <si>
    <t xml:space="preserve"> 36.35亿</t>
  </si>
  <si>
    <t xml:space="preserve"> 百利天恒-U</t>
  </si>
  <si>
    <t xml:space="preserve"> 446.0亿</t>
  </si>
  <si>
    <t xml:space="preserve"> 3487万</t>
  </si>
  <si>
    <t xml:space="preserve"> 丰元股份</t>
  </si>
  <si>
    <t xml:space="preserve"> 7019万</t>
  </si>
  <si>
    <t xml:space="preserve"> 2.801亿</t>
  </si>
  <si>
    <t xml:space="preserve"> 44.42亿</t>
  </si>
  <si>
    <t xml:space="preserve"> 2.155亿</t>
  </si>
  <si>
    <t xml:space="preserve"> 望变电气</t>
  </si>
  <si>
    <t xml:space="preserve"> 7018万</t>
  </si>
  <si>
    <t xml:space="preserve"> 28.84亿</t>
  </si>
  <si>
    <t xml:space="preserve"> 楚天科技</t>
  </si>
  <si>
    <t xml:space="preserve"> 5.903亿</t>
  </si>
  <si>
    <t xml:space="preserve"> 67.94亿</t>
  </si>
  <si>
    <t xml:space="preserve"> 60.84亿</t>
  </si>
  <si>
    <t xml:space="preserve"> 张家港行</t>
  </si>
  <si>
    <t xml:space="preserve"> 7017万</t>
  </si>
  <si>
    <t xml:space="preserve"> 21.70亿</t>
  </si>
  <si>
    <t xml:space="preserve"> 20.70亿</t>
  </si>
  <si>
    <t xml:space="preserve"> 82.81亿</t>
  </si>
  <si>
    <t xml:space="preserve"> 峨眉山Ａ</t>
  </si>
  <si>
    <t xml:space="preserve"> 7013万</t>
  </si>
  <si>
    <t xml:space="preserve"> 5.269亿</t>
  </si>
  <si>
    <t xml:space="preserve"> 49.53亿</t>
  </si>
  <si>
    <t xml:space="preserve"> *ST京蓝</t>
  </si>
  <si>
    <t xml:space="preserve"> 7012万</t>
  </si>
  <si>
    <t xml:space="preserve"> -2.47万</t>
  </si>
  <si>
    <t xml:space="preserve"> 9.826亿</t>
  </si>
  <si>
    <t xml:space="preserve"> 20.83亿</t>
  </si>
  <si>
    <t xml:space="preserve"> 招商公路</t>
  </si>
  <si>
    <t xml:space="preserve"> 601.7亿</t>
  </si>
  <si>
    <t xml:space="preserve"> 浙江正特</t>
  </si>
  <si>
    <t xml:space="preserve"> 7010万</t>
  </si>
  <si>
    <t xml:space="preserve"> 26.86亿</t>
  </si>
  <si>
    <t xml:space="preserve"> 3198万</t>
  </si>
  <si>
    <t xml:space="preserve"> 7.809亿</t>
  </si>
  <si>
    <t xml:space="preserve"> 旷达科技</t>
  </si>
  <si>
    <t xml:space="preserve"> 7009万</t>
  </si>
  <si>
    <t xml:space="preserve"> 14.71亿</t>
  </si>
  <si>
    <t xml:space="preserve"> 77.22亿</t>
  </si>
  <si>
    <t xml:space="preserve"> 7.815亿</t>
  </si>
  <si>
    <t xml:space="preserve"> 41.03亿</t>
  </si>
  <si>
    <t xml:space="preserve"> 富瀚微</t>
  </si>
  <si>
    <t xml:space="preserve"> 107.2亿</t>
  </si>
  <si>
    <t xml:space="preserve"> 宗申动力</t>
  </si>
  <si>
    <t xml:space="preserve"> 7008万</t>
  </si>
  <si>
    <t xml:space="preserve"> 11.45亿</t>
  </si>
  <si>
    <t xml:space="preserve"> 77.75亿</t>
  </si>
  <si>
    <t xml:space="preserve"> 8.913亿</t>
  </si>
  <si>
    <t xml:space="preserve"> 60.52亿</t>
  </si>
  <si>
    <t xml:space="preserve"> 菲林格尔</t>
  </si>
  <si>
    <t xml:space="preserve"> 3.555亿</t>
  </si>
  <si>
    <t xml:space="preserve"> 22.75亿</t>
  </si>
  <si>
    <t xml:space="preserve"> 金 融 街</t>
  </si>
  <si>
    <t xml:space="preserve"> 7000万</t>
  </si>
  <si>
    <t xml:space="preserve"> 29.89亿</t>
  </si>
  <si>
    <t xml:space="preserve"> 118.7亿</t>
  </si>
  <si>
    <t xml:space="preserve"> 设计总院</t>
  </si>
  <si>
    <t xml:space="preserve"> 6989万</t>
  </si>
  <si>
    <t xml:space="preserve"> 5.610亿</t>
  </si>
  <si>
    <t xml:space="preserve"> 51.95亿</t>
  </si>
  <si>
    <t xml:space="preserve"> 50.51亿</t>
  </si>
  <si>
    <t xml:space="preserve"> 漱玉平民</t>
  </si>
  <si>
    <t xml:space="preserve"> 6987万</t>
  </si>
  <si>
    <t xml:space="preserve"> 65.3亿</t>
  </si>
  <si>
    <t xml:space="preserve"> 欣锐科技</t>
  </si>
  <si>
    <t xml:space="preserve"> 6984万</t>
  </si>
  <si>
    <t xml:space="preserve"> 1.657亿</t>
  </si>
  <si>
    <t xml:space="preserve"> 健麾信息</t>
  </si>
  <si>
    <t xml:space="preserve"> 6976万</t>
  </si>
  <si>
    <t xml:space="preserve"> 6663万</t>
  </si>
  <si>
    <t xml:space="preserve"> *ST豆神</t>
  </si>
  <si>
    <t xml:space="preserve"> 8.683亿</t>
  </si>
  <si>
    <t xml:space="preserve"> 8.217亿</t>
  </si>
  <si>
    <t xml:space="preserve"> 22.76亿</t>
  </si>
  <si>
    <t xml:space="preserve"> 东方园林</t>
  </si>
  <si>
    <t xml:space="preserve"> 6975万</t>
  </si>
  <si>
    <t xml:space="preserve"> -1.61万</t>
  </si>
  <si>
    <t xml:space="preserve"> 56.13亿</t>
  </si>
  <si>
    <t xml:space="preserve"> 56.09亿</t>
  </si>
  <si>
    <t xml:space="preserve"> 山鹰国际</t>
  </si>
  <si>
    <t xml:space="preserve"> 6974万</t>
  </si>
  <si>
    <t xml:space="preserve"> 213亿</t>
  </si>
  <si>
    <t xml:space="preserve"> 44.71亿</t>
  </si>
  <si>
    <t xml:space="preserve"> 92.99亿</t>
  </si>
  <si>
    <t xml:space="preserve"> 欢乐家</t>
  </si>
  <si>
    <t xml:space="preserve"> 6969万</t>
  </si>
  <si>
    <t xml:space="preserve"> 久立特材</t>
  </si>
  <si>
    <t xml:space="preserve"> 6967万</t>
  </si>
  <si>
    <t xml:space="preserve"> 61.5亿</t>
  </si>
  <si>
    <t xml:space="preserve"> 9.772亿</t>
  </si>
  <si>
    <t xml:space="preserve"> 9.543亿</t>
  </si>
  <si>
    <t xml:space="preserve"> 181.9亿</t>
  </si>
  <si>
    <t xml:space="preserve"> 赛升药业</t>
  </si>
  <si>
    <t xml:space="preserve"> 6962万</t>
  </si>
  <si>
    <t xml:space="preserve"> 56.35亿</t>
  </si>
  <si>
    <t xml:space="preserve"> 2.738亿</t>
  </si>
  <si>
    <t xml:space="preserve"> 华丽家族</t>
  </si>
  <si>
    <t xml:space="preserve"> 6961万</t>
  </si>
  <si>
    <t xml:space="preserve"> -2.66万</t>
  </si>
  <si>
    <t xml:space="preserve"> 16.02亿</t>
  </si>
  <si>
    <t xml:space="preserve"> 新金路</t>
  </si>
  <si>
    <t xml:space="preserve"> 6960万</t>
  </si>
  <si>
    <t xml:space="preserve"> 7.34万</t>
  </si>
  <si>
    <t xml:space="preserve"> 33.81亿</t>
  </si>
  <si>
    <t xml:space="preserve"> 5.672亿</t>
  </si>
  <si>
    <t xml:space="preserve"> 31.48亿</t>
  </si>
  <si>
    <t xml:space="preserve"> 中信金属</t>
  </si>
  <si>
    <t xml:space="preserve"> 6959万</t>
  </si>
  <si>
    <t xml:space="preserve"> 948亿</t>
  </si>
  <si>
    <t xml:space="preserve"> 49.00亿</t>
  </si>
  <si>
    <t xml:space="preserve"> 367.5亿</t>
  </si>
  <si>
    <t xml:space="preserve"> 5.012亿</t>
  </si>
  <si>
    <t xml:space="preserve"> 翔港科技</t>
  </si>
  <si>
    <t xml:space="preserve"> 6955万</t>
  </si>
  <si>
    <t xml:space="preserve"> 茶花股份</t>
  </si>
  <si>
    <t xml:space="preserve"> 6953万</t>
  </si>
  <si>
    <t xml:space="preserve"> 2.418亿</t>
  </si>
  <si>
    <t xml:space="preserve"> 36.83亿</t>
  </si>
  <si>
    <t xml:space="preserve"> 广安爱众</t>
  </si>
  <si>
    <t xml:space="preserve"> 6949万</t>
  </si>
  <si>
    <t xml:space="preserve"> -1.53万</t>
  </si>
  <si>
    <t xml:space="preserve"> 12.32亿</t>
  </si>
  <si>
    <t xml:space="preserve"> 44.11亿</t>
  </si>
  <si>
    <t xml:space="preserve"> 新凤鸣</t>
  </si>
  <si>
    <t xml:space="preserve"> 442亿</t>
  </si>
  <si>
    <t xml:space="preserve"> 15.29亿</t>
  </si>
  <si>
    <t xml:space="preserve"> 迦南智能</t>
  </si>
  <si>
    <t xml:space="preserve"> 6939万</t>
  </si>
  <si>
    <t xml:space="preserve"> 6.05亿</t>
  </si>
  <si>
    <t xml:space="preserve"> 1.932亿</t>
  </si>
  <si>
    <t xml:space="preserve"> 38.62亿</t>
  </si>
  <si>
    <t xml:space="preserve"> 38.61亿</t>
  </si>
  <si>
    <t xml:space="preserve"> 和晶科技</t>
  </si>
  <si>
    <t xml:space="preserve"> 6935万</t>
  </si>
  <si>
    <t xml:space="preserve"> 4.891亿</t>
  </si>
  <si>
    <t xml:space="preserve"> 32.57亿</t>
  </si>
  <si>
    <t xml:space="preserve"> 4.315亿</t>
  </si>
  <si>
    <t xml:space="preserve"> 28.74亿</t>
  </si>
  <si>
    <t xml:space="preserve"> 新力金融</t>
  </si>
  <si>
    <t xml:space="preserve"> 5.127亿</t>
  </si>
  <si>
    <t xml:space="preserve"> 华丰科技</t>
  </si>
  <si>
    <t xml:space="preserve"> 6931万</t>
  </si>
  <si>
    <t xml:space="preserve"> 4.610亿</t>
  </si>
  <si>
    <t xml:space="preserve"> 6502万</t>
  </si>
  <si>
    <t xml:space="preserve"> 16.88亿</t>
  </si>
  <si>
    <t xml:space="preserve"> 古越龙山</t>
  </si>
  <si>
    <t xml:space="preserve"> 6927万</t>
  </si>
  <si>
    <t xml:space="preserve"> 9.115亿</t>
  </si>
  <si>
    <t xml:space="preserve"> 89.33亿</t>
  </si>
  <si>
    <t xml:space="preserve"> 福建高速</t>
  </si>
  <si>
    <t xml:space="preserve"> 6915万</t>
  </si>
  <si>
    <t xml:space="preserve"> -2.49万</t>
  </si>
  <si>
    <t xml:space="preserve"> 27.44亿</t>
  </si>
  <si>
    <t xml:space="preserve"> 亚太科技</t>
  </si>
  <si>
    <t xml:space="preserve"> 48.9亿</t>
  </si>
  <si>
    <t xml:space="preserve"> 12.50亿</t>
  </si>
  <si>
    <t xml:space="preserve"> 80.76亿</t>
  </si>
  <si>
    <t xml:space="preserve"> 8.752亿</t>
  </si>
  <si>
    <t xml:space="preserve"> 56.54亿</t>
  </si>
  <si>
    <t xml:space="preserve"> 人民同泰</t>
  </si>
  <si>
    <t xml:space="preserve"> 6913万</t>
  </si>
  <si>
    <t xml:space="preserve"> 78.2亿</t>
  </si>
  <si>
    <t xml:space="preserve"> 5.799亿</t>
  </si>
  <si>
    <t xml:space="preserve"> 中盐化工</t>
  </si>
  <si>
    <t xml:space="preserve"> 6911万</t>
  </si>
  <si>
    <t xml:space="preserve"> 东北制药</t>
  </si>
  <si>
    <t xml:space="preserve"> 6910万</t>
  </si>
  <si>
    <t xml:space="preserve"> 64.0亿</t>
  </si>
  <si>
    <t xml:space="preserve"> 81.17亿</t>
  </si>
  <si>
    <t xml:space="preserve"> 78.06亿</t>
  </si>
  <si>
    <t xml:space="preserve"> 洁美科技</t>
  </si>
  <si>
    <t xml:space="preserve"> 4.343亿</t>
  </si>
  <si>
    <t xml:space="preserve"> 111.8亿</t>
  </si>
  <si>
    <t xml:space="preserve"> 103.2亿</t>
  </si>
  <si>
    <t xml:space="preserve"> 山西证券</t>
  </si>
  <si>
    <t xml:space="preserve"> 201.7亿</t>
  </si>
  <si>
    <t xml:space="preserve"> 新兴铸管</t>
  </si>
  <si>
    <t xml:space="preserve"> 6909万</t>
  </si>
  <si>
    <t xml:space="preserve"> 38.96亿</t>
  </si>
  <si>
    <t xml:space="preserve"> 天和防务</t>
  </si>
  <si>
    <t xml:space="preserve"> 6904万</t>
  </si>
  <si>
    <t xml:space="preserve"> 5.176亿</t>
  </si>
  <si>
    <t xml:space="preserve"> 58.13亿</t>
  </si>
  <si>
    <t xml:space="preserve"> 可孚医疗</t>
  </si>
  <si>
    <t xml:space="preserve"> 6902万</t>
  </si>
  <si>
    <t xml:space="preserve"> 9057万</t>
  </si>
  <si>
    <t xml:space="preserve"> 35.23亿</t>
  </si>
  <si>
    <t xml:space="preserve"> 楚江新材</t>
  </si>
  <si>
    <t xml:space="preserve"> 6897万</t>
  </si>
  <si>
    <t xml:space="preserve"> 339亿</t>
  </si>
  <si>
    <t xml:space="preserve"> 13.35亿</t>
  </si>
  <si>
    <t xml:space="preserve"> 12.98亿</t>
  </si>
  <si>
    <t xml:space="preserve"> 98.50亿</t>
  </si>
  <si>
    <t xml:space="preserve"> 长虹美菱</t>
  </si>
  <si>
    <t xml:space="preserve"> 62.93亿</t>
  </si>
  <si>
    <t xml:space="preserve"> 8.753亿</t>
  </si>
  <si>
    <t xml:space="preserve"> 农发种业</t>
  </si>
  <si>
    <t xml:space="preserve"> 84.29亿</t>
  </si>
  <si>
    <t xml:space="preserve"> 飞马国际</t>
  </si>
  <si>
    <t xml:space="preserve"> 6891万</t>
  </si>
  <si>
    <t xml:space="preserve"> -5.87万</t>
  </si>
  <si>
    <t xml:space="preserve"> 26.61亿</t>
  </si>
  <si>
    <t xml:space="preserve"> 52.16亿</t>
  </si>
  <si>
    <t xml:space="preserve"> 咸亨国际</t>
  </si>
  <si>
    <t xml:space="preserve"> 6887万</t>
  </si>
  <si>
    <t xml:space="preserve"> 54.59亿</t>
  </si>
  <si>
    <t xml:space="preserve"> 山东矿机</t>
  </si>
  <si>
    <t xml:space="preserve"> 6877万</t>
  </si>
  <si>
    <t xml:space="preserve"> 17.83亿</t>
  </si>
  <si>
    <t xml:space="preserve"> 48.07亿</t>
  </si>
  <si>
    <t xml:space="preserve"> 博纳影业</t>
  </si>
  <si>
    <t xml:space="preserve"> 6865万</t>
  </si>
  <si>
    <t xml:space="preserve"> 13.75亿</t>
  </si>
  <si>
    <t xml:space="preserve"> 10.55亿</t>
  </si>
  <si>
    <t xml:space="preserve"> 80.72亿</t>
  </si>
  <si>
    <t xml:space="preserve"> 神工股份</t>
  </si>
  <si>
    <t xml:space="preserve"> 1.703亿</t>
  </si>
  <si>
    <t xml:space="preserve"> 65.57亿</t>
  </si>
  <si>
    <t xml:space="preserve"> 61.60亿</t>
  </si>
  <si>
    <t xml:space="preserve"> 金杯汽车</t>
  </si>
  <si>
    <t xml:space="preserve"> 68.18亿</t>
  </si>
  <si>
    <t xml:space="preserve"> 金杯电工</t>
  </si>
  <si>
    <t xml:space="preserve"> 6859万</t>
  </si>
  <si>
    <t xml:space="preserve"> 7.339亿</t>
  </si>
  <si>
    <t xml:space="preserve"> 6.275亿</t>
  </si>
  <si>
    <t xml:space="preserve"> 河钢股份</t>
  </si>
  <si>
    <t xml:space="preserve"> 6848万</t>
  </si>
  <si>
    <t xml:space="preserve"> 957亿</t>
  </si>
  <si>
    <t xml:space="preserve"> -14.1万</t>
  </si>
  <si>
    <t xml:space="preserve"> 225.3亿</t>
  </si>
  <si>
    <t xml:space="preserve"> 海力风电</t>
  </si>
  <si>
    <t xml:space="preserve"> 6844万</t>
  </si>
  <si>
    <t xml:space="preserve"> 135.3亿</t>
  </si>
  <si>
    <t xml:space="preserve"> 8881万</t>
  </si>
  <si>
    <t xml:space="preserve"> 55.28亿</t>
  </si>
  <si>
    <t xml:space="preserve"> 天喻信息</t>
  </si>
  <si>
    <t xml:space="preserve"> 6840万</t>
  </si>
  <si>
    <t xml:space="preserve"> 52.08亿</t>
  </si>
  <si>
    <t xml:space="preserve"> 4.246亿</t>
  </si>
  <si>
    <t xml:space="preserve"> 51.42亿</t>
  </si>
  <si>
    <t xml:space="preserve"> 雄韬股份</t>
  </si>
  <si>
    <t xml:space="preserve"> 6832万</t>
  </si>
  <si>
    <t xml:space="preserve"> 3.842亿</t>
  </si>
  <si>
    <t xml:space="preserve"> 57.06亿</t>
  </si>
  <si>
    <t xml:space="preserve"> 54.32亿</t>
  </si>
  <si>
    <t xml:space="preserve"> 科源制药</t>
  </si>
  <si>
    <t xml:space="preserve"> 6829万</t>
  </si>
  <si>
    <t xml:space="preserve"> 1.083亿</t>
  </si>
  <si>
    <t xml:space="preserve"> 2709万</t>
  </si>
  <si>
    <t xml:space="preserve"> 9.782亿</t>
  </si>
  <si>
    <t xml:space="preserve"> 开开实业</t>
  </si>
  <si>
    <t xml:space="preserve"> 6825万</t>
  </si>
  <si>
    <t xml:space="preserve"> 2.430亿</t>
  </si>
  <si>
    <t xml:space="preserve"> 30.33亿</t>
  </si>
  <si>
    <t xml:space="preserve"> 天普股份</t>
  </si>
  <si>
    <t xml:space="preserve"> 6821万</t>
  </si>
  <si>
    <t xml:space="preserve"> 1.341亿</t>
  </si>
  <si>
    <t xml:space="preserve"> 24.74亿</t>
  </si>
  <si>
    <t xml:space="preserve"> 深圳能源</t>
  </si>
  <si>
    <t xml:space="preserve"> 294亿</t>
  </si>
  <si>
    <t xml:space="preserve"> 47.57亿</t>
  </si>
  <si>
    <t xml:space="preserve"> 英诺激光</t>
  </si>
  <si>
    <t xml:space="preserve"> 6820万</t>
  </si>
  <si>
    <t xml:space="preserve"> 1.515亿</t>
  </si>
  <si>
    <t xml:space="preserve"> 6996万</t>
  </si>
  <si>
    <t xml:space="preserve"> 亿田智能</t>
  </si>
  <si>
    <t xml:space="preserve"> 6817万</t>
  </si>
  <si>
    <t xml:space="preserve"> 9.44亿</t>
  </si>
  <si>
    <t xml:space="preserve"> 1.072亿</t>
  </si>
  <si>
    <t xml:space="preserve"> 40.07亿</t>
  </si>
  <si>
    <t xml:space="preserve"> 4202万</t>
  </si>
  <si>
    <t xml:space="preserve"> 江化微</t>
  </si>
  <si>
    <t xml:space="preserve"> 6816万</t>
  </si>
  <si>
    <t xml:space="preserve"> 3.856亿</t>
  </si>
  <si>
    <t xml:space="preserve"> 65.33亿</t>
  </si>
  <si>
    <t xml:space="preserve"> 3.312亿</t>
  </si>
  <si>
    <t xml:space="preserve"> 56.10亿</t>
  </si>
  <si>
    <t xml:space="preserve"> 林州重机</t>
  </si>
  <si>
    <t xml:space="preserve"> 6815万</t>
  </si>
  <si>
    <t xml:space="preserve"> 4.974亿</t>
  </si>
  <si>
    <t xml:space="preserve"> 23.43亿</t>
  </si>
  <si>
    <t xml:space="preserve"> 科锐国际</t>
  </si>
  <si>
    <t xml:space="preserve"> 6798万</t>
  </si>
  <si>
    <t xml:space="preserve"> 71.7亿</t>
  </si>
  <si>
    <t xml:space="preserve"> 64.77亿</t>
  </si>
  <si>
    <t xml:space="preserve"> 国星光电</t>
  </si>
  <si>
    <t xml:space="preserve"> 6.185亿</t>
  </si>
  <si>
    <t xml:space="preserve"> 55.42亿</t>
  </si>
  <si>
    <t xml:space="preserve"> 6.132亿</t>
  </si>
  <si>
    <t xml:space="preserve"> 54.94亿</t>
  </si>
  <si>
    <t xml:space="preserve"> 中海油服</t>
  </si>
  <si>
    <t xml:space="preserve"> 708.1亿</t>
  </si>
  <si>
    <t xml:space="preserve"> 29.60亿</t>
  </si>
  <si>
    <t xml:space="preserve"> 439.3亿</t>
  </si>
  <si>
    <t xml:space="preserve"> 广州发展</t>
  </si>
  <si>
    <t xml:space="preserve"> 6789万</t>
  </si>
  <si>
    <t xml:space="preserve"> -3.45万</t>
  </si>
  <si>
    <t xml:space="preserve"> 35.07亿</t>
  </si>
  <si>
    <t xml:space="preserve"> 193.2亿</t>
  </si>
  <si>
    <t xml:space="preserve"> 192.4亿</t>
  </si>
  <si>
    <t xml:space="preserve"> 北纬科技</t>
  </si>
  <si>
    <t xml:space="preserve"> 6781万</t>
  </si>
  <si>
    <t xml:space="preserve"> 5.589亿</t>
  </si>
  <si>
    <t xml:space="preserve"> 36.28亿</t>
  </si>
  <si>
    <t xml:space="preserve"> 4.514亿</t>
  </si>
  <si>
    <t xml:space="preserve"> 29.30亿</t>
  </si>
  <si>
    <t xml:space="preserve"> 南京商旅</t>
  </si>
  <si>
    <t xml:space="preserve"> 6777万</t>
  </si>
  <si>
    <t xml:space="preserve"> 3.106亿</t>
  </si>
  <si>
    <t xml:space="preserve"> 2.841亿</t>
  </si>
  <si>
    <t xml:space="preserve"> 30.26亿</t>
  </si>
  <si>
    <t xml:space="preserve"> 永和股份</t>
  </si>
  <si>
    <t xml:space="preserve"> 6770万</t>
  </si>
  <si>
    <t xml:space="preserve"> 96.51亿</t>
  </si>
  <si>
    <t xml:space="preserve"> 44.47亿</t>
  </si>
  <si>
    <t xml:space="preserve"> 中谷物流</t>
  </si>
  <si>
    <t xml:space="preserve"> 92.9亿</t>
  </si>
  <si>
    <t xml:space="preserve"> 21.00亿</t>
  </si>
  <si>
    <t xml:space="preserve"> 193.4亿</t>
  </si>
  <si>
    <t xml:space="preserve"> 华测导航</t>
  </si>
  <si>
    <t xml:space="preserve"> 6768万</t>
  </si>
  <si>
    <t xml:space="preserve"> 5.432亿</t>
  </si>
  <si>
    <t xml:space="preserve"> 137.1亿</t>
  </si>
  <si>
    <t xml:space="preserve"> 利扬芯片</t>
  </si>
  <si>
    <t xml:space="preserve"> 6767万</t>
  </si>
  <si>
    <t xml:space="preserve"> 46.51亿</t>
  </si>
  <si>
    <t xml:space="preserve"> 新亚电子</t>
  </si>
  <si>
    <t xml:space="preserve"> 6761万</t>
  </si>
  <si>
    <t xml:space="preserve"> 2.645亿</t>
  </si>
  <si>
    <t xml:space="preserve"> 41.21亿</t>
  </si>
  <si>
    <t xml:space="preserve"> 立华股份</t>
  </si>
  <si>
    <t xml:space="preserve"> 6758万</t>
  </si>
  <si>
    <t xml:space="preserve"> 8.276亿</t>
  </si>
  <si>
    <t xml:space="preserve"> 147.8亿</t>
  </si>
  <si>
    <t xml:space="preserve"> 6.037亿</t>
  </si>
  <si>
    <t xml:space="preserve"> 东土科技</t>
  </si>
  <si>
    <t xml:space="preserve"> 6.149亿</t>
  </si>
  <si>
    <t xml:space="preserve"> 63.76亿</t>
  </si>
  <si>
    <t xml:space="preserve"> 4.399亿</t>
  </si>
  <si>
    <t xml:space="preserve"> 宁波海运</t>
  </si>
  <si>
    <t xml:space="preserve"> 6753万</t>
  </si>
  <si>
    <t xml:space="preserve"> 46.21亿</t>
  </si>
  <si>
    <t xml:space="preserve"> 博士眼镜</t>
  </si>
  <si>
    <t xml:space="preserve"> 6749万</t>
  </si>
  <si>
    <t xml:space="preserve"> 1.742亿</t>
  </si>
  <si>
    <t xml:space="preserve"> 36.57亿</t>
  </si>
  <si>
    <t xml:space="preserve"> 1.155亿</t>
  </si>
  <si>
    <t xml:space="preserve"> 24.24亿</t>
  </si>
  <si>
    <t xml:space="preserve"> 浙江震元</t>
  </si>
  <si>
    <t xml:space="preserve"> 6748万</t>
  </si>
  <si>
    <t xml:space="preserve"> 3.341亿</t>
  </si>
  <si>
    <t xml:space="preserve"> 诺唯赞</t>
  </si>
  <si>
    <t xml:space="preserve"> 6747万</t>
  </si>
  <si>
    <t xml:space="preserve"> 1.679亿</t>
  </si>
  <si>
    <t xml:space="preserve"> 64.54亿</t>
  </si>
  <si>
    <t xml:space="preserve"> 厦门钨业</t>
  </si>
  <si>
    <t xml:space="preserve"> 6746万</t>
  </si>
  <si>
    <t xml:space="preserve"> 242.8亿</t>
  </si>
  <si>
    <t xml:space="preserve"> 241.6亿</t>
  </si>
  <si>
    <t xml:space="preserve"> 陕建股份</t>
  </si>
  <si>
    <t xml:space="preserve"> 6739万</t>
  </si>
  <si>
    <t xml:space="preserve"> 1244亿</t>
  </si>
  <si>
    <t xml:space="preserve"> -1.37万</t>
  </si>
  <si>
    <t xml:space="preserve"> 37.69亿</t>
  </si>
  <si>
    <t xml:space="preserve"> 60.35亿</t>
  </si>
  <si>
    <t xml:space="preserve"> 上海家化</t>
  </si>
  <si>
    <t xml:space="preserve"> 50.9亿</t>
  </si>
  <si>
    <t xml:space="preserve"> 6.762亿</t>
  </si>
  <si>
    <t xml:space="preserve"> 156.3亿</t>
  </si>
  <si>
    <t xml:space="preserve"> 155.6亿</t>
  </si>
  <si>
    <t xml:space="preserve"> 天润乳业</t>
  </si>
  <si>
    <t xml:space="preserve"> 6738万</t>
  </si>
  <si>
    <t xml:space="preserve"> 40.38亿</t>
  </si>
  <si>
    <t xml:space="preserve"> 宝立食品</t>
  </si>
  <si>
    <t xml:space="preserve"> 6736万</t>
  </si>
  <si>
    <t xml:space="preserve"> 1.588亿</t>
  </si>
  <si>
    <t xml:space="preserve"> 安源煤业</t>
  </si>
  <si>
    <t xml:space="preserve"> 6735万</t>
  </si>
  <si>
    <t xml:space="preserve"> 9.900亿</t>
  </si>
  <si>
    <t xml:space="preserve"> 新华文轩</t>
  </si>
  <si>
    <t xml:space="preserve"> 6730万</t>
  </si>
  <si>
    <t xml:space="preserve"> 172.9亿</t>
  </si>
  <si>
    <t xml:space="preserve"> 7.919亿</t>
  </si>
  <si>
    <t xml:space="preserve"> 苏农银行</t>
  </si>
  <si>
    <t xml:space="preserve"> 6726万</t>
  </si>
  <si>
    <t xml:space="preserve"> 18.03亿</t>
  </si>
  <si>
    <t xml:space="preserve"> 15.44亿</t>
  </si>
  <si>
    <t xml:space="preserve"> 64.99亿</t>
  </si>
  <si>
    <t xml:space="preserve"> 通鼎互联</t>
  </si>
  <si>
    <t xml:space="preserve"> 6719万</t>
  </si>
  <si>
    <t xml:space="preserve"> 12.30亿</t>
  </si>
  <si>
    <t xml:space="preserve"> 69.62亿</t>
  </si>
  <si>
    <t xml:space="preserve"> 11.76亿</t>
  </si>
  <si>
    <t xml:space="preserve"> 66.59亿</t>
  </si>
  <si>
    <t xml:space="preserve"> 美吉姆</t>
  </si>
  <si>
    <t xml:space="preserve"> 8.024亿</t>
  </si>
  <si>
    <t xml:space="preserve"> 嘉化能源</t>
  </si>
  <si>
    <t xml:space="preserve"> 6718万</t>
  </si>
  <si>
    <t xml:space="preserve"> 14.02亿</t>
  </si>
  <si>
    <t xml:space="preserve"> 118.0亿</t>
  </si>
  <si>
    <t xml:space="preserve"> 空港股份</t>
  </si>
  <si>
    <t xml:space="preserve"> 6702万</t>
  </si>
  <si>
    <t xml:space="preserve"> 3.000亿</t>
  </si>
  <si>
    <t xml:space="preserve"> 29.82亿</t>
  </si>
  <si>
    <t xml:space="preserve"> 普门科技</t>
  </si>
  <si>
    <t xml:space="preserve"> 6701万</t>
  </si>
  <si>
    <t xml:space="preserve"> 4.264亿</t>
  </si>
  <si>
    <t xml:space="preserve"> 华东数控</t>
  </si>
  <si>
    <t xml:space="preserve"> 6694万</t>
  </si>
  <si>
    <t xml:space="preserve"> 3.075亿</t>
  </si>
  <si>
    <t xml:space="preserve"> 26.26亿</t>
  </si>
  <si>
    <t xml:space="preserve"> 四创电子</t>
  </si>
  <si>
    <t xml:space="preserve"> 6693万</t>
  </si>
  <si>
    <t xml:space="preserve"> 59.18亿</t>
  </si>
  <si>
    <t xml:space="preserve"> 2.690亿</t>
  </si>
  <si>
    <t xml:space="preserve"> 57.68亿</t>
  </si>
  <si>
    <t xml:space="preserve"> 青岛银行</t>
  </si>
  <si>
    <t xml:space="preserve"> 6682万</t>
  </si>
  <si>
    <t xml:space="preserve"> -3.33万</t>
  </si>
  <si>
    <t xml:space="preserve"> 58.20亿</t>
  </si>
  <si>
    <t xml:space="preserve"> 31.10亿</t>
  </si>
  <si>
    <t xml:space="preserve"> 97.02亿</t>
  </si>
  <si>
    <t xml:space="preserve"> 恒银科技</t>
  </si>
  <si>
    <t xml:space="preserve"> 6676万</t>
  </si>
  <si>
    <t xml:space="preserve"> 5.205亿</t>
  </si>
  <si>
    <t xml:space="preserve"> 35.66亿</t>
  </si>
  <si>
    <t xml:space="preserve"> 神州高铁</t>
  </si>
  <si>
    <t xml:space="preserve"> 6675万</t>
  </si>
  <si>
    <t xml:space="preserve"> -4.40万</t>
  </si>
  <si>
    <t xml:space="preserve"> 67.09亿</t>
  </si>
  <si>
    <t xml:space="preserve"> 际华集团</t>
  </si>
  <si>
    <t xml:space="preserve"> 6673万</t>
  </si>
  <si>
    <t xml:space="preserve"> -3.73万</t>
  </si>
  <si>
    <t xml:space="preserve"> 43.92亿</t>
  </si>
  <si>
    <t xml:space="preserve"> 126.9亿</t>
  </si>
  <si>
    <t xml:space="preserve"> 金晶科技</t>
  </si>
  <si>
    <t xml:space="preserve"> 6672万</t>
  </si>
  <si>
    <t xml:space="preserve"> 58.0亿</t>
  </si>
  <si>
    <t xml:space="preserve"> 99.16亿</t>
  </si>
  <si>
    <t xml:space="preserve"> 海信视像</t>
  </si>
  <si>
    <t xml:space="preserve"> 6670万</t>
  </si>
  <si>
    <t xml:space="preserve"> 392亿</t>
  </si>
  <si>
    <t xml:space="preserve"> 307.7亿</t>
  </si>
  <si>
    <t xml:space="preserve"> 12.89亿</t>
  </si>
  <si>
    <t xml:space="preserve"> 303.3亿</t>
  </si>
  <si>
    <t xml:space="preserve"> 华联控股</t>
  </si>
  <si>
    <t xml:space="preserve"> 6648万</t>
  </si>
  <si>
    <t xml:space="preserve"> 61.26亿</t>
  </si>
  <si>
    <t xml:space="preserve"> 内蒙新华</t>
  </si>
  <si>
    <t xml:space="preserve"> 6642万</t>
  </si>
  <si>
    <t xml:space="preserve"> 46.67亿</t>
  </si>
  <si>
    <t xml:space="preserve"> 8940万</t>
  </si>
  <si>
    <t xml:space="preserve"> 合康新能</t>
  </si>
  <si>
    <t xml:space="preserve"> 6639万</t>
  </si>
  <si>
    <t xml:space="preserve"> 58.36亿</t>
  </si>
  <si>
    <t xml:space="preserve"> 58.18亿</t>
  </si>
  <si>
    <t xml:space="preserve"> 连城数控</t>
  </si>
  <si>
    <t xml:space="preserve"> 6637万</t>
  </si>
  <si>
    <t xml:space="preserve"> 2.335亿</t>
  </si>
  <si>
    <t xml:space="preserve"> 1.209亿</t>
  </si>
  <si>
    <t xml:space="preserve"> 45.23亿</t>
  </si>
  <si>
    <t xml:space="preserve"> 千味央厨</t>
  </si>
  <si>
    <t xml:space="preserve"> 6632万</t>
  </si>
  <si>
    <t xml:space="preserve"> 8664万</t>
  </si>
  <si>
    <t xml:space="preserve"> 4522万</t>
  </si>
  <si>
    <t xml:space="preserve"> 26.36亿</t>
  </si>
  <si>
    <t xml:space="preserve"> 航发控制</t>
  </si>
  <si>
    <t xml:space="preserve"> 6629万</t>
  </si>
  <si>
    <t xml:space="preserve"> 13.15亿</t>
  </si>
  <si>
    <t xml:space="preserve"> 269.1亿</t>
  </si>
  <si>
    <t xml:space="preserve"> 维维股份</t>
  </si>
  <si>
    <t xml:space="preserve"> 52.23亿</t>
  </si>
  <si>
    <t xml:space="preserve"> 长江通信</t>
  </si>
  <si>
    <t xml:space="preserve"> 6627万</t>
  </si>
  <si>
    <t xml:space="preserve"> 6943万</t>
  </si>
  <si>
    <t xml:space="preserve"> 1.980亿</t>
  </si>
  <si>
    <t xml:space="preserve"> 中信博</t>
  </si>
  <si>
    <t xml:space="preserve"> 33.9亿</t>
  </si>
  <si>
    <t xml:space="preserve"> 90.59亿</t>
  </si>
  <si>
    <t xml:space="preserve"> 锦富技术</t>
  </si>
  <si>
    <t xml:space="preserve"> 6615万</t>
  </si>
  <si>
    <t xml:space="preserve"> 63.01亿</t>
  </si>
  <si>
    <t xml:space="preserve"> 53.05亿</t>
  </si>
  <si>
    <t xml:space="preserve"> 瑞康医药</t>
  </si>
  <si>
    <t xml:space="preserve"> 61.1亿</t>
  </si>
  <si>
    <t xml:space="preserve"> 15.05亿</t>
  </si>
  <si>
    <t xml:space="preserve"> 54.77亿</t>
  </si>
  <si>
    <t xml:space="preserve"> 42.30亿</t>
  </si>
  <si>
    <t xml:space="preserve"> 东方时尚</t>
  </si>
  <si>
    <t xml:space="preserve"> 6606万</t>
  </si>
  <si>
    <t xml:space="preserve"> 7.208亿</t>
  </si>
  <si>
    <t xml:space="preserve"> 40.36亿</t>
  </si>
  <si>
    <t xml:space="preserve"> 迈信林</t>
  </si>
  <si>
    <t xml:space="preserve"> 6605万</t>
  </si>
  <si>
    <t xml:space="preserve"> 5662万</t>
  </si>
  <si>
    <t xml:space="preserve"> 12.57亿</t>
  </si>
  <si>
    <t xml:space="preserve"> 华锦股份</t>
  </si>
  <si>
    <t xml:space="preserve"> 6603万</t>
  </si>
  <si>
    <t xml:space="preserve"> 92.29亿</t>
  </si>
  <si>
    <t xml:space="preserve"> 菲沃泰</t>
  </si>
  <si>
    <t xml:space="preserve"> 63.47亿</t>
  </si>
  <si>
    <t xml:space="preserve"> 1.052亿</t>
  </si>
  <si>
    <t xml:space="preserve"> 19.90亿</t>
  </si>
  <si>
    <t xml:space="preserve"> 南极光</t>
  </si>
  <si>
    <t xml:space="preserve"> 2.233亿</t>
  </si>
  <si>
    <t xml:space="preserve"> 7577万</t>
  </si>
  <si>
    <t xml:space="preserve"> 迈克生物</t>
  </si>
  <si>
    <t xml:space="preserve"> 6601万</t>
  </si>
  <si>
    <t xml:space="preserve"> 6.125亿</t>
  </si>
  <si>
    <t xml:space="preserve"> 98.00亿</t>
  </si>
  <si>
    <t xml:space="preserve"> 4.953亿</t>
  </si>
  <si>
    <t xml:space="preserve"> 中铁特货</t>
  </si>
  <si>
    <t xml:space="preserve"> 6598万</t>
  </si>
  <si>
    <t xml:space="preserve"> 76.6亿</t>
  </si>
  <si>
    <t xml:space="preserve"> 44.81亿</t>
  </si>
  <si>
    <t xml:space="preserve"> 威龙股份</t>
  </si>
  <si>
    <t xml:space="preserve"> 3.327亿</t>
  </si>
  <si>
    <t xml:space="preserve"> 32.18亿</t>
  </si>
  <si>
    <t xml:space="preserve"> 梓橦宫</t>
  </si>
  <si>
    <t xml:space="preserve"> 6586万</t>
  </si>
  <si>
    <t xml:space="preserve"> 1.466亿</t>
  </si>
  <si>
    <t xml:space="preserve"> 9.141亿</t>
  </si>
  <si>
    <t xml:space="preserve"> 生益电子</t>
  </si>
  <si>
    <t xml:space="preserve"> 6583万</t>
  </si>
  <si>
    <t xml:space="preserve"> 8.318亿</t>
  </si>
  <si>
    <t xml:space="preserve"> 99.74亿</t>
  </si>
  <si>
    <t xml:space="preserve"> 3.083亿</t>
  </si>
  <si>
    <t xml:space="preserve"> 36.97亿</t>
  </si>
  <si>
    <t xml:space="preserve"> 彩虹集团</t>
  </si>
  <si>
    <t xml:space="preserve"> 6582万</t>
  </si>
  <si>
    <t xml:space="preserve"> 5141万</t>
  </si>
  <si>
    <t xml:space="preserve"> 中钢天源</t>
  </si>
  <si>
    <t xml:space="preserve"> 6580万</t>
  </si>
  <si>
    <t xml:space="preserve"> 7.590亿</t>
  </si>
  <si>
    <t xml:space="preserve"> 62.55亿</t>
  </si>
  <si>
    <t xml:space="preserve"> 7.462亿</t>
  </si>
  <si>
    <t xml:space="preserve"> 61.49亿</t>
  </si>
  <si>
    <t xml:space="preserve"> 禾迈股份</t>
  </si>
  <si>
    <t xml:space="preserve"> 6579万</t>
  </si>
  <si>
    <t xml:space="preserve"> 8332万</t>
  </si>
  <si>
    <t xml:space="preserve"> 184.3亿</t>
  </si>
  <si>
    <t xml:space="preserve"> 4177万</t>
  </si>
  <si>
    <t xml:space="preserve"> 航宇科技</t>
  </si>
  <si>
    <t xml:space="preserve"> 6577万</t>
  </si>
  <si>
    <t xml:space="preserve"> 1.476亿</t>
  </si>
  <si>
    <t xml:space="preserve"> 74.62亿</t>
  </si>
  <si>
    <t xml:space="preserve"> 1.046亿</t>
  </si>
  <si>
    <t xml:space="preserve"> 厦门信达</t>
  </si>
  <si>
    <t xml:space="preserve"> 559亿</t>
  </si>
  <si>
    <t xml:space="preserve"> 6.872亿</t>
  </si>
  <si>
    <t xml:space="preserve"> 4.112亿</t>
  </si>
  <si>
    <t xml:space="preserve"> 26.03亿</t>
  </si>
  <si>
    <t xml:space="preserve"> 协昌科技</t>
  </si>
  <si>
    <t xml:space="preserve"> 6576万</t>
  </si>
  <si>
    <t xml:space="preserve"> 40.44亿</t>
  </si>
  <si>
    <t xml:space="preserve"> 1739万</t>
  </si>
  <si>
    <t xml:space="preserve"> 9.587亿</t>
  </si>
  <si>
    <t xml:space="preserve"> 创益通</t>
  </si>
  <si>
    <t xml:space="preserve"> 6572万</t>
  </si>
  <si>
    <t xml:space="preserve"> 1.440亿</t>
  </si>
  <si>
    <t xml:space="preserve"> 6538万</t>
  </si>
  <si>
    <t xml:space="preserve"> 闰土股份</t>
  </si>
  <si>
    <t xml:space="preserve"> 6565万</t>
  </si>
  <si>
    <t xml:space="preserve"> -1.48万</t>
  </si>
  <si>
    <t xml:space="preserve"> 73.40亿</t>
  </si>
  <si>
    <t xml:space="preserve"> 9.632亿</t>
  </si>
  <si>
    <t xml:space="preserve"> 61.45亿</t>
  </si>
  <si>
    <t xml:space="preserve"> 山水比德</t>
  </si>
  <si>
    <t xml:space="preserve"> 6559万</t>
  </si>
  <si>
    <t xml:space="preserve"> 1676万</t>
  </si>
  <si>
    <t xml:space="preserve"> 6.035亿</t>
  </si>
  <si>
    <t xml:space="preserve"> 爱康科技</t>
  </si>
  <si>
    <t xml:space="preserve"> 6558万</t>
  </si>
  <si>
    <t xml:space="preserve"> 44.80亿</t>
  </si>
  <si>
    <t xml:space="preserve"> 98.55亿</t>
  </si>
  <si>
    <t xml:space="preserve"> 44.76亿</t>
  </si>
  <si>
    <t xml:space="preserve"> 98.46亿</t>
  </si>
  <si>
    <t xml:space="preserve"> 沙河股份</t>
  </si>
  <si>
    <t xml:space="preserve"> 6555万</t>
  </si>
  <si>
    <t xml:space="preserve"> 2.420亿</t>
  </si>
  <si>
    <t xml:space="preserve"> 28.10亿</t>
  </si>
  <si>
    <t xml:space="preserve"> 读者传媒</t>
  </si>
  <si>
    <t xml:space="preserve"> 6540万</t>
  </si>
  <si>
    <t xml:space="preserve"> 甘源食品</t>
  </si>
  <si>
    <t xml:space="preserve"> 6535万</t>
  </si>
  <si>
    <t xml:space="preserve"> 71.94亿</t>
  </si>
  <si>
    <t xml:space="preserve"> 4969万</t>
  </si>
  <si>
    <t xml:space="preserve"> 38.35亿</t>
  </si>
  <si>
    <t xml:space="preserve"> 皖通高速</t>
  </si>
  <si>
    <t xml:space="preserve"> 6532万</t>
  </si>
  <si>
    <t xml:space="preserve"> 43.4亿</t>
  </si>
  <si>
    <t xml:space="preserve"> 16.59亿</t>
  </si>
  <si>
    <t xml:space="preserve"> 11.66亿</t>
  </si>
  <si>
    <t xml:space="preserve"> 大西洋</t>
  </si>
  <si>
    <t xml:space="preserve"> 27.0亿</t>
  </si>
  <si>
    <t xml:space="preserve"> 9.28万</t>
  </si>
  <si>
    <t xml:space="preserve"> 8.976亿</t>
  </si>
  <si>
    <t xml:space="preserve"> 37.52亿</t>
  </si>
  <si>
    <t xml:space="preserve"> 共同药业</t>
  </si>
  <si>
    <t xml:space="preserve"> 6527万</t>
  </si>
  <si>
    <t xml:space="preserve"> 1.153亿</t>
  </si>
  <si>
    <t xml:space="preserve"> 5909万</t>
  </si>
  <si>
    <t xml:space="preserve"> 君禾股份</t>
  </si>
  <si>
    <t xml:space="preserve"> 6526万</t>
  </si>
  <si>
    <t xml:space="preserve"> 3.911亿</t>
  </si>
  <si>
    <t xml:space="preserve"> 37.66亿</t>
  </si>
  <si>
    <t xml:space="preserve"> 天力复合</t>
  </si>
  <si>
    <t xml:space="preserve"> 2982万</t>
  </si>
  <si>
    <t xml:space="preserve"> 6.142亿</t>
  </si>
  <si>
    <t xml:space="preserve"> 依顿电子</t>
  </si>
  <si>
    <t xml:space="preserve"> 6516万</t>
  </si>
  <si>
    <t xml:space="preserve"> 82.07亿</t>
  </si>
  <si>
    <t xml:space="preserve"> 创远信科</t>
  </si>
  <si>
    <t xml:space="preserve"> 1.428亿</t>
  </si>
  <si>
    <t xml:space="preserve"> 热威股份</t>
  </si>
  <si>
    <t xml:space="preserve"> 6505万</t>
  </si>
  <si>
    <t xml:space="preserve"> 3880万</t>
  </si>
  <si>
    <t xml:space="preserve"> 9.825亿</t>
  </si>
  <si>
    <t xml:space="preserve"> 天茂集团</t>
  </si>
  <si>
    <t xml:space="preserve"> 6503万</t>
  </si>
  <si>
    <t xml:space="preserve"> 412亿</t>
  </si>
  <si>
    <t xml:space="preserve"> 138.9亿</t>
  </si>
  <si>
    <t xml:space="preserve"> 华培动力</t>
  </si>
  <si>
    <t xml:space="preserve"> 6501万</t>
  </si>
  <si>
    <t xml:space="preserve"> 9.10亿</t>
  </si>
  <si>
    <t xml:space="preserve"> 3.385亿</t>
  </si>
  <si>
    <t xml:space="preserve"> 富祥药业</t>
  </si>
  <si>
    <t xml:space="preserve"> 6500万</t>
  </si>
  <si>
    <t xml:space="preserve"> 56.82亿</t>
  </si>
  <si>
    <t xml:space="preserve"> 宏达高科</t>
  </si>
  <si>
    <t xml:space="preserve"> 6498万</t>
  </si>
  <si>
    <t xml:space="preserve"> 1.768亿</t>
  </si>
  <si>
    <t xml:space="preserve"> 1.379亿</t>
  </si>
  <si>
    <t xml:space="preserve"> 16.37亿</t>
  </si>
  <si>
    <t xml:space="preserve"> 海联讯</t>
  </si>
  <si>
    <t xml:space="preserve"> 6495万</t>
  </si>
  <si>
    <t xml:space="preserve"> 31.12亿</t>
  </si>
  <si>
    <t xml:space="preserve"> 3.344亿</t>
  </si>
  <si>
    <t xml:space="preserve"> 秋乐种业</t>
  </si>
  <si>
    <t xml:space="preserve"> 6493万</t>
  </si>
  <si>
    <t xml:space="preserve"> 1.652亿</t>
  </si>
  <si>
    <t xml:space="preserve"> 7124万</t>
  </si>
  <si>
    <t xml:space="preserve"> 6.006亿</t>
  </si>
  <si>
    <t xml:space="preserve"> 宝泰隆</t>
  </si>
  <si>
    <t xml:space="preserve"> 6488万</t>
  </si>
  <si>
    <t xml:space="preserve"> -2.10万</t>
  </si>
  <si>
    <t xml:space="preserve"> 71.26亿</t>
  </si>
  <si>
    <t xml:space="preserve"> 万方发展</t>
  </si>
  <si>
    <t xml:space="preserve"> 6480万</t>
  </si>
  <si>
    <t xml:space="preserve"> 3.108亿</t>
  </si>
  <si>
    <t xml:space="preserve"> 21.35亿</t>
  </si>
  <si>
    <t xml:space="preserve"> 3.096亿</t>
  </si>
  <si>
    <t xml:space="preserve"> 21.27亿</t>
  </si>
  <si>
    <t xml:space="preserve"> 联泓新科</t>
  </si>
  <si>
    <t xml:space="preserve"> 6472万</t>
  </si>
  <si>
    <t xml:space="preserve"> 49.4亿</t>
  </si>
  <si>
    <t xml:space="preserve"> 13.36亿</t>
  </si>
  <si>
    <t xml:space="preserve"> 248.8亿</t>
  </si>
  <si>
    <t xml:space="preserve"> 3.067亿</t>
  </si>
  <si>
    <t xml:space="preserve"> 榕基软件</t>
  </si>
  <si>
    <t xml:space="preserve"> 6470万</t>
  </si>
  <si>
    <t xml:space="preserve"> 3.03亿</t>
  </si>
  <si>
    <t xml:space="preserve"> 6.222亿</t>
  </si>
  <si>
    <t xml:space="preserve"> 44.36亿</t>
  </si>
  <si>
    <t xml:space="preserve"> 5.299亿</t>
  </si>
  <si>
    <t xml:space="preserve"> 乐创技术</t>
  </si>
  <si>
    <t xml:space="preserve"> 6466万</t>
  </si>
  <si>
    <t xml:space="preserve"> 6047万</t>
  </si>
  <si>
    <t xml:space="preserve"> 3619万</t>
  </si>
  <si>
    <t xml:space="preserve"> 6.764亿</t>
  </si>
  <si>
    <t xml:space="preserve"> 1895万</t>
  </si>
  <si>
    <t xml:space="preserve"> 3.542亿</t>
  </si>
  <si>
    <t xml:space="preserve"> 特  力Ａ</t>
  </si>
  <si>
    <t xml:space="preserve"> 6462万</t>
  </si>
  <si>
    <t xml:space="preserve"> 4.311亿</t>
  </si>
  <si>
    <t xml:space="preserve"> 71.99亿</t>
  </si>
  <si>
    <t xml:space="preserve"> 3.928亿</t>
  </si>
  <si>
    <t xml:space="preserve"> 65.59亿</t>
  </si>
  <si>
    <t xml:space="preserve"> 海峡创新</t>
  </si>
  <si>
    <t xml:space="preserve"> 6454万</t>
  </si>
  <si>
    <t xml:space="preserve"> 8149万</t>
  </si>
  <si>
    <t xml:space="preserve"> 6.714亿</t>
  </si>
  <si>
    <t xml:space="preserve"> 30.08亿</t>
  </si>
  <si>
    <t xml:space="preserve"> 6.713亿</t>
  </si>
  <si>
    <t xml:space="preserve"> 马应龙</t>
  </si>
  <si>
    <t xml:space="preserve"> 6453万</t>
  </si>
  <si>
    <t xml:space="preserve"> 高能环境</t>
  </si>
  <si>
    <t xml:space="preserve"> 6452万</t>
  </si>
  <si>
    <t xml:space="preserve"> 15.37亿</t>
  </si>
  <si>
    <t xml:space="preserve"> 113.9亿</t>
  </si>
  <si>
    <t xml:space="preserve"> 15.11亿</t>
  </si>
  <si>
    <t xml:space="preserve"> 111.9亿</t>
  </si>
  <si>
    <t xml:space="preserve"> 仙乐健康</t>
  </si>
  <si>
    <t xml:space="preserve"> 1.805亿</t>
  </si>
  <si>
    <t xml:space="preserve"> 63.90亿</t>
  </si>
  <si>
    <t xml:space="preserve"> 53.09亿</t>
  </si>
  <si>
    <t xml:space="preserve"> 兴源环境</t>
  </si>
  <si>
    <t xml:space="preserve"> 6446万</t>
  </si>
  <si>
    <t xml:space="preserve"> 6.93亿</t>
  </si>
  <si>
    <t xml:space="preserve"> 15.54亿</t>
  </si>
  <si>
    <t xml:space="preserve"> 山东钢铁</t>
  </si>
  <si>
    <t xml:space="preserve"> 45.3万</t>
  </si>
  <si>
    <t xml:space="preserve"> 6445万</t>
  </si>
  <si>
    <t xml:space="preserve"> 684亿</t>
  </si>
  <si>
    <t xml:space="preserve"> 107.0亿</t>
  </si>
  <si>
    <t xml:space="preserve"> 153.0亿</t>
  </si>
  <si>
    <t xml:space="preserve"> 潮宏基</t>
  </si>
  <si>
    <t xml:space="preserve"> 6441万</t>
  </si>
  <si>
    <t xml:space="preserve"> 45.0亿</t>
  </si>
  <si>
    <t xml:space="preserve"> 8.885亿</t>
  </si>
  <si>
    <t xml:space="preserve"> 58.02亿</t>
  </si>
  <si>
    <t xml:space="preserve"> 8.677亿</t>
  </si>
  <si>
    <t xml:space="preserve"> 56.66亿</t>
  </si>
  <si>
    <t xml:space="preserve"> 渤海化学</t>
  </si>
  <si>
    <t xml:space="preserve"> 6435万</t>
  </si>
  <si>
    <t xml:space="preserve"> 44.82亿</t>
  </si>
  <si>
    <t xml:space="preserve"> 7.943亿</t>
  </si>
  <si>
    <t xml:space="preserve"> 紫金银行</t>
  </si>
  <si>
    <t xml:space="preserve"> 6433万</t>
  </si>
  <si>
    <t xml:space="preserve"> -3.74万</t>
  </si>
  <si>
    <t xml:space="preserve"> 36.61亿</t>
  </si>
  <si>
    <t xml:space="preserve"> 94.82亿</t>
  </si>
  <si>
    <t xml:space="preserve"> 天佑德酒</t>
  </si>
  <si>
    <t xml:space="preserve"> 6428万</t>
  </si>
  <si>
    <t xml:space="preserve"> 4.726亿</t>
  </si>
  <si>
    <t xml:space="preserve"> 68.90亿</t>
  </si>
  <si>
    <t xml:space="preserve"> 68.89亿</t>
  </si>
  <si>
    <t xml:space="preserve"> 中船应急</t>
  </si>
  <si>
    <t xml:space="preserve"> 6413万</t>
  </si>
  <si>
    <t xml:space="preserve"> 75.23亿</t>
  </si>
  <si>
    <t xml:space="preserve"> 首开股份</t>
  </si>
  <si>
    <t xml:space="preserve"> 6406万</t>
  </si>
  <si>
    <t xml:space="preserve"> 326亿</t>
  </si>
  <si>
    <t xml:space="preserve"> 城市传媒</t>
  </si>
  <si>
    <t xml:space="preserve"> 6405万</t>
  </si>
  <si>
    <t xml:space="preserve"> 6.712亿</t>
  </si>
  <si>
    <t xml:space="preserve"> 53.90亿</t>
  </si>
  <si>
    <t xml:space="preserve"> 秦安股份</t>
  </si>
  <si>
    <t xml:space="preserve"> 5.45万</t>
  </si>
  <si>
    <t xml:space="preserve"> 6404万</t>
  </si>
  <si>
    <t xml:space="preserve"> 51.51亿</t>
  </si>
  <si>
    <t xml:space="preserve"> 獐子岛</t>
  </si>
  <si>
    <t xml:space="preserve"> 6399万</t>
  </si>
  <si>
    <t xml:space="preserve"> 7.111亿</t>
  </si>
  <si>
    <t xml:space="preserve"> 7.102亿</t>
  </si>
  <si>
    <t xml:space="preserve"> 白云电器</t>
  </si>
  <si>
    <t xml:space="preserve"> 6393万</t>
  </si>
  <si>
    <t xml:space="preserve"> 4.360亿</t>
  </si>
  <si>
    <t xml:space="preserve"> 4.240亿</t>
  </si>
  <si>
    <t xml:space="preserve"> 43.08亿</t>
  </si>
  <si>
    <t xml:space="preserve"> 东软载波</t>
  </si>
  <si>
    <t xml:space="preserve"> 6384万</t>
  </si>
  <si>
    <t xml:space="preserve"> 6.39亿</t>
  </si>
  <si>
    <t xml:space="preserve"> 4.626亿</t>
  </si>
  <si>
    <t xml:space="preserve"> 53.61亿</t>
  </si>
  <si>
    <t xml:space="preserve"> 南国置业</t>
  </si>
  <si>
    <t xml:space="preserve"> 6381万</t>
  </si>
  <si>
    <t xml:space="preserve"> -1.81万</t>
  </si>
  <si>
    <t xml:space="preserve"> 17.34亿</t>
  </si>
  <si>
    <t xml:space="preserve"> 37.98亿</t>
  </si>
  <si>
    <t xml:space="preserve"> ST贵人</t>
  </si>
  <si>
    <t xml:space="preserve"> 38.4万</t>
  </si>
  <si>
    <t xml:space="preserve"> 6380万</t>
  </si>
  <si>
    <t xml:space="preserve"> -7.52万</t>
  </si>
  <si>
    <t xml:space="preserve"> 艾迪精密</t>
  </si>
  <si>
    <t xml:space="preserve"> 8.383亿</t>
  </si>
  <si>
    <t xml:space="preserve"> 汉钟精机</t>
  </si>
  <si>
    <t xml:space="preserve"> 6379万</t>
  </si>
  <si>
    <t xml:space="preserve"> 5.347亿</t>
  </si>
  <si>
    <t xml:space="preserve"> 5.336亿</t>
  </si>
  <si>
    <t xml:space="preserve"> 120.3亿</t>
  </si>
  <si>
    <t xml:space="preserve"> 火星人</t>
  </si>
  <si>
    <t xml:space="preserve"> 6376万</t>
  </si>
  <si>
    <t xml:space="preserve"> 4.088亿</t>
  </si>
  <si>
    <t xml:space="preserve"> 69.70亿</t>
  </si>
  <si>
    <t xml:space="preserve"> 23.94亿</t>
  </si>
  <si>
    <t xml:space="preserve"> 湖北能源</t>
  </si>
  <si>
    <t xml:space="preserve"> 6373万</t>
  </si>
  <si>
    <t xml:space="preserve"> -3.76万</t>
  </si>
  <si>
    <t xml:space="preserve"> 271.9亿</t>
  </si>
  <si>
    <t xml:space="preserve"> 64.80亿</t>
  </si>
  <si>
    <t xml:space="preserve"> 270.2亿</t>
  </si>
  <si>
    <t xml:space="preserve"> 东材科技</t>
  </si>
  <si>
    <t xml:space="preserve"> 6371万</t>
  </si>
  <si>
    <t xml:space="preserve"> 9.177亿</t>
  </si>
  <si>
    <t xml:space="preserve"> 109.2亿</t>
  </si>
  <si>
    <t xml:space="preserve"> 8.968亿</t>
  </si>
  <si>
    <t xml:space="preserve"> 蠡湖股份</t>
  </si>
  <si>
    <t xml:space="preserve"> 6368万</t>
  </si>
  <si>
    <t xml:space="preserve"> 2.153亿</t>
  </si>
  <si>
    <t xml:space="preserve"> 26.35亿</t>
  </si>
  <si>
    <t xml:space="preserve"> 志特新材</t>
  </si>
  <si>
    <t xml:space="preserve"> 6366万</t>
  </si>
  <si>
    <t xml:space="preserve"> 1.055亿</t>
  </si>
  <si>
    <t xml:space="preserve"> 上海石化</t>
  </si>
  <si>
    <t xml:space="preserve"> 6360万</t>
  </si>
  <si>
    <t xml:space="preserve"> 699亿</t>
  </si>
  <si>
    <t xml:space="preserve"> 108.0亿</t>
  </si>
  <si>
    <t xml:space="preserve"> 73.29亿</t>
  </si>
  <si>
    <t xml:space="preserve"> 鞍钢股份</t>
  </si>
  <si>
    <t xml:space="preserve"> 6359万</t>
  </si>
  <si>
    <t xml:space="preserve"> 843亿</t>
  </si>
  <si>
    <t xml:space="preserve"> -1.04万</t>
  </si>
  <si>
    <t xml:space="preserve"> 93.99亿</t>
  </si>
  <si>
    <t xml:space="preserve"> 244.4亿</t>
  </si>
  <si>
    <t xml:space="preserve"> 79.56亿</t>
  </si>
  <si>
    <t xml:space="preserve"> 206.9亿</t>
  </si>
  <si>
    <t xml:space="preserve"> 祁连山</t>
  </si>
  <si>
    <t xml:space="preserve"> 6357万</t>
  </si>
  <si>
    <t xml:space="preserve"> 7.762亿</t>
  </si>
  <si>
    <t xml:space="preserve"> 芯碁微装</t>
  </si>
  <si>
    <t xml:space="preserve"> 6355万</t>
  </si>
  <si>
    <t xml:space="preserve"> 6971万</t>
  </si>
  <si>
    <t xml:space="preserve"> 57.41亿</t>
  </si>
  <si>
    <t xml:space="preserve"> 豪能股份</t>
  </si>
  <si>
    <t xml:space="preserve"> 6354万</t>
  </si>
  <si>
    <t xml:space="preserve"> 3.930亿</t>
  </si>
  <si>
    <t xml:space="preserve"> 华东重机</t>
  </si>
  <si>
    <t xml:space="preserve"> 6352万</t>
  </si>
  <si>
    <t xml:space="preserve"> 38.70亿</t>
  </si>
  <si>
    <t xml:space="preserve"> 31.21亿</t>
  </si>
  <si>
    <t xml:space="preserve"> 万祥科技</t>
  </si>
  <si>
    <t xml:space="preserve"> 6345万</t>
  </si>
  <si>
    <t xml:space="preserve"> 5787万</t>
  </si>
  <si>
    <t xml:space="preserve"> 金发科技</t>
  </si>
  <si>
    <t xml:space="preserve"> 25.74亿</t>
  </si>
  <si>
    <t xml:space="preserve"> 卓兆点胶</t>
  </si>
  <si>
    <t xml:space="preserve"> 6344万</t>
  </si>
  <si>
    <t xml:space="preserve"> 8208万</t>
  </si>
  <si>
    <t xml:space="preserve"> 23.84亿</t>
  </si>
  <si>
    <t xml:space="preserve"> 1744万</t>
  </si>
  <si>
    <t xml:space="preserve"> 5.067亿</t>
  </si>
  <si>
    <t xml:space="preserve"> 密尔克卫</t>
  </si>
  <si>
    <t xml:space="preserve"> 6328万</t>
  </si>
  <si>
    <t xml:space="preserve"> 1.644亿</t>
  </si>
  <si>
    <t xml:space="preserve"> 94.04亿</t>
  </si>
  <si>
    <t xml:space="preserve"> 1.636亿</t>
  </si>
  <si>
    <t xml:space="preserve"> 93.61亿</t>
  </si>
  <si>
    <t xml:space="preserve"> 海昌新材</t>
  </si>
  <si>
    <t xml:space="preserve"> 2.508亿</t>
  </si>
  <si>
    <t xml:space="preserve"> 金贵银业</t>
  </si>
  <si>
    <t xml:space="preserve"> 6324万</t>
  </si>
  <si>
    <t xml:space="preserve"> 34.8亿</t>
  </si>
  <si>
    <t xml:space="preserve"> 22.10亿</t>
  </si>
  <si>
    <t xml:space="preserve"> 62.78亿</t>
  </si>
  <si>
    <t xml:space="preserve"> 22.05亿</t>
  </si>
  <si>
    <t xml:space="preserve"> 62.63亿</t>
  </si>
  <si>
    <t xml:space="preserve"> 上海新阳</t>
  </si>
  <si>
    <t xml:space="preserve"> 6320万</t>
  </si>
  <si>
    <t xml:space="preserve"> 8.71亿</t>
  </si>
  <si>
    <t xml:space="preserve"> 3.134亿</t>
  </si>
  <si>
    <t xml:space="preserve"> 青岛港</t>
  </si>
  <si>
    <t xml:space="preserve"> 6314万</t>
  </si>
  <si>
    <t xml:space="preserve"> 64.91亿</t>
  </si>
  <si>
    <t xml:space="preserve"> 401.8亿</t>
  </si>
  <si>
    <t xml:space="preserve"> 53.92亿</t>
  </si>
  <si>
    <t xml:space="preserve"> 中储股份</t>
  </si>
  <si>
    <t xml:space="preserve"> 500亿</t>
  </si>
  <si>
    <t xml:space="preserve"> 21.81亿</t>
  </si>
  <si>
    <t xml:space="preserve"> 西藏城投</t>
  </si>
  <si>
    <t xml:space="preserve"> 6309万</t>
  </si>
  <si>
    <t xml:space="preserve"> 8.197亿</t>
  </si>
  <si>
    <t xml:space="preserve"> 瀚川智能</t>
  </si>
  <si>
    <t xml:space="preserve"> 1.754亿</t>
  </si>
  <si>
    <t xml:space="preserve"> 42.12亿</t>
  </si>
  <si>
    <t xml:space="preserve"> 山东华鹏</t>
  </si>
  <si>
    <t xml:space="preserve"> 6304万</t>
  </si>
  <si>
    <t xml:space="preserve"> 铁流股份</t>
  </si>
  <si>
    <t xml:space="preserve"> 6300万</t>
  </si>
  <si>
    <t xml:space="preserve"> 27.84亿</t>
  </si>
  <si>
    <t xml:space="preserve"> 2.083亿</t>
  </si>
  <si>
    <t xml:space="preserve"> 江苏北人</t>
  </si>
  <si>
    <t xml:space="preserve"> 6299万</t>
  </si>
  <si>
    <t xml:space="preserve"> 23.95亿</t>
  </si>
  <si>
    <t xml:space="preserve"> 爱柯迪</t>
  </si>
  <si>
    <t xml:space="preserve"> 6295万</t>
  </si>
  <si>
    <t xml:space="preserve"> 8.961亿</t>
  </si>
  <si>
    <t xml:space="preserve"> 金发拉比</t>
  </si>
  <si>
    <t xml:space="preserve"> 6291万</t>
  </si>
  <si>
    <t xml:space="preserve"> 33.14亿</t>
  </si>
  <si>
    <t xml:space="preserve"> 2.077亿</t>
  </si>
  <si>
    <t xml:space="preserve"> 天宜上佳</t>
  </si>
  <si>
    <t xml:space="preserve"> 6287万</t>
  </si>
  <si>
    <t xml:space="preserve"> 5.622亿</t>
  </si>
  <si>
    <t xml:space="preserve"> 95.74亿</t>
  </si>
  <si>
    <t xml:space="preserve"> 泰尔股份</t>
  </si>
  <si>
    <t xml:space="preserve"> 6286万</t>
  </si>
  <si>
    <t xml:space="preserve"> 5.047亿</t>
  </si>
  <si>
    <t xml:space="preserve"> 4.934亿</t>
  </si>
  <si>
    <t xml:space="preserve"> 中熔电气</t>
  </si>
  <si>
    <t xml:space="preserve"> 6628万</t>
  </si>
  <si>
    <t xml:space="preserve"> 3650万</t>
  </si>
  <si>
    <t xml:space="preserve"> 48.22亿</t>
  </si>
  <si>
    <t xml:space="preserve"> 浙江医药</t>
  </si>
  <si>
    <t xml:space="preserve"> 9.650亿</t>
  </si>
  <si>
    <t xml:space="preserve"> 9.616亿</t>
  </si>
  <si>
    <t xml:space="preserve"> *ST太安</t>
  </si>
  <si>
    <t xml:space="preserve"> 6275万</t>
  </si>
  <si>
    <t xml:space="preserve"> 7.668亿</t>
  </si>
  <si>
    <t xml:space="preserve"> 7.444亿</t>
  </si>
  <si>
    <t xml:space="preserve"> 22.41亿</t>
  </si>
  <si>
    <t xml:space="preserve"> 龙蟠科技</t>
  </si>
  <si>
    <t xml:space="preserve"> 64.9亿</t>
  </si>
  <si>
    <t xml:space="preserve"> 68.15亿</t>
  </si>
  <si>
    <t xml:space="preserve"> 锦波生物</t>
  </si>
  <si>
    <t xml:space="preserve"> 6274万</t>
  </si>
  <si>
    <t xml:space="preserve"> 6809万</t>
  </si>
  <si>
    <t xml:space="preserve"> 2376万</t>
  </si>
  <si>
    <t xml:space="preserve"> 鼎汉技术</t>
  </si>
  <si>
    <t xml:space="preserve"> 6268万</t>
  </si>
  <si>
    <t xml:space="preserve"> 5.587亿</t>
  </si>
  <si>
    <t xml:space="preserve"> 5.008亿</t>
  </si>
  <si>
    <t xml:space="preserve"> 亿道信息</t>
  </si>
  <si>
    <t xml:space="preserve"> 6265万</t>
  </si>
  <si>
    <t xml:space="preserve"> 57.23亿</t>
  </si>
  <si>
    <t xml:space="preserve"> 3511万</t>
  </si>
  <si>
    <t xml:space="preserve"> 矩子科技</t>
  </si>
  <si>
    <t xml:space="preserve"> 6260万</t>
  </si>
  <si>
    <t xml:space="preserve"> 2.893亿</t>
  </si>
  <si>
    <t xml:space="preserve"> 57.86亿</t>
  </si>
  <si>
    <t xml:space="preserve"> 38.07亿</t>
  </si>
  <si>
    <t xml:space="preserve"> 中亦科技</t>
  </si>
  <si>
    <t xml:space="preserve"> 6257万</t>
  </si>
  <si>
    <t xml:space="preserve"> 40.99亿</t>
  </si>
  <si>
    <t xml:space="preserve"> 3544万</t>
  </si>
  <si>
    <t xml:space="preserve"> 沪光股份</t>
  </si>
  <si>
    <t xml:space="preserve"> 6252万</t>
  </si>
  <si>
    <t xml:space="preserve"> 85.96亿</t>
  </si>
  <si>
    <t xml:space="preserve"> 岱美股份</t>
  </si>
  <si>
    <t xml:space="preserve"> 6251万</t>
  </si>
  <si>
    <t xml:space="preserve"> 44.1亿</t>
  </si>
  <si>
    <t xml:space="preserve"> 12.71亿</t>
  </si>
  <si>
    <t xml:space="preserve"> 198.2亿</t>
  </si>
  <si>
    <t xml:space="preserve"> 江苏国泰</t>
  </si>
  <si>
    <t xml:space="preserve"> 6248万</t>
  </si>
  <si>
    <t xml:space="preserve"> 128.1亿</t>
  </si>
  <si>
    <t xml:space="preserve"> 15.97亿</t>
  </si>
  <si>
    <t xml:space="preserve"> 北辰实业</t>
  </si>
  <si>
    <t xml:space="preserve"> 6247万</t>
  </si>
  <si>
    <t xml:space="preserve"> -1.73万</t>
  </si>
  <si>
    <t xml:space="preserve"> 33.67亿</t>
  </si>
  <si>
    <t xml:space="preserve"> 68.01亿</t>
  </si>
  <si>
    <t xml:space="preserve"> 26.60亿</t>
  </si>
  <si>
    <t xml:space="preserve"> 53.73亿</t>
  </si>
  <si>
    <t xml:space="preserve"> 英洛华</t>
  </si>
  <si>
    <t xml:space="preserve"> 6241万</t>
  </si>
  <si>
    <t xml:space="preserve"> 70.29亿</t>
  </si>
  <si>
    <t xml:space="preserve"> 奥士康</t>
  </si>
  <si>
    <t xml:space="preserve"> 6239万</t>
  </si>
  <si>
    <t xml:space="preserve"> 3.174亿</t>
  </si>
  <si>
    <t xml:space="preserve"> 97.18亿</t>
  </si>
  <si>
    <t xml:space="preserve"> 2.659亿</t>
  </si>
  <si>
    <t xml:space="preserve"> 山推股份</t>
  </si>
  <si>
    <t xml:space="preserve"> 6238万</t>
  </si>
  <si>
    <t xml:space="preserve"> 77.44亿</t>
  </si>
  <si>
    <t xml:space="preserve"> 54.93亿</t>
  </si>
  <si>
    <t xml:space="preserve"> 康惠制药</t>
  </si>
  <si>
    <t xml:space="preserve"> 6229万</t>
  </si>
  <si>
    <t xml:space="preserve"> 4.72亿</t>
  </si>
  <si>
    <t xml:space="preserve"> 9988万</t>
  </si>
  <si>
    <t xml:space="preserve"> 20.27亿</t>
  </si>
  <si>
    <t xml:space="preserve"> 大博医疗</t>
  </si>
  <si>
    <t xml:space="preserve"> 6224万</t>
  </si>
  <si>
    <t xml:space="preserve"> 4.140亿</t>
  </si>
  <si>
    <t xml:space="preserve"> 3.506亿</t>
  </si>
  <si>
    <t xml:space="preserve"> 142.4亿</t>
  </si>
  <si>
    <t xml:space="preserve"> 光明乳业</t>
  </si>
  <si>
    <t xml:space="preserve"> 6218万</t>
  </si>
  <si>
    <t xml:space="preserve"> 13.78亿</t>
  </si>
  <si>
    <t xml:space="preserve"> 津滨发展</t>
  </si>
  <si>
    <t xml:space="preserve"> 6217万</t>
  </si>
  <si>
    <t xml:space="preserve"> 37.36亿</t>
  </si>
  <si>
    <t xml:space="preserve"> 南山控股</t>
  </si>
  <si>
    <t xml:space="preserve"> 6216万</t>
  </si>
  <si>
    <t xml:space="preserve"> 93.8亿</t>
  </si>
  <si>
    <t xml:space="preserve"> 27.08亿</t>
  </si>
  <si>
    <t xml:space="preserve"> 84.21亿</t>
  </si>
  <si>
    <t xml:space="preserve"> 13.38亿</t>
  </si>
  <si>
    <t xml:space="preserve"> 41.62亿</t>
  </si>
  <si>
    <t xml:space="preserve"> 莱美药业</t>
  </si>
  <si>
    <t xml:space="preserve"> 6215万</t>
  </si>
  <si>
    <t xml:space="preserve"> 43.29亿</t>
  </si>
  <si>
    <t xml:space="preserve"> 8.122亿</t>
  </si>
  <si>
    <t xml:space="preserve"> 33.30亿</t>
  </si>
  <si>
    <t xml:space="preserve"> 金现代</t>
  </si>
  <si>
    <t xml:space="preserve"> 6214万</t>
  </si>
  <si>
    <t xml:space="preserve"> 3.103亿</t>
  </si>
  <si>
    <t xml:space="preserve"> 28.61亿</t>
  </si>
  <si>
    <t xml:space="preserve"> 华宏科技</t>
  </si>
  <si>
    <t xml:space="preserve"> 53.7亿</t>
  </si>
  <si>
    <t xml:space="preserve"> 63.10亿</t>
  </si>
  <si>
    <t xml:space="preserve"> 4.987亿</t>
  </si>
  <si>
    <t xml:space="preserve"> 54.11亿</t>
  </si>
  <si>
    <t xml:space="preserve"> 力生制药</t>
  </si>
  <si>
    <t xml:space="preserve"> 6207万</t>
  </si>
  <si>
    <t xml:space="preserve"> 9.12亿</t>
  </si>
  <si>
    <t xml:space="preserve"> 1.840亿</t>
  </si>
  <si>
    <t xml:space="preserve"> 1.825亿</t>
  </si>
  <si>
    <t xml:space="preserve"> 钱江摩托</t>
  </si>
  <si>
    <t xml:space="preserve"> 6206万</t>
  </si>
  <si>
    <t xml:space="preserve"> 5.272亿</t>
  </si>
  <si>
    <t xml:space="preserve"> 61.28亿</t>
  </si>
  <si>
    <t xml:space="preserve"> 东鹏控股</t>
  </si>
  <si>
    <t xml:space="preserve"> 6195万</t>
  </si>
  <si>
    <t xml:space="preserve"> 11.73亿</t>
  </si>
  <si>
    <t xml:space="preserve"> 99.70亿</t>
  </si>
  <si>
    <t xml:space="preserve"> 99.17亿</t>
  </si>
  <si>
    <t xml:space="preserve"> 卧龙地产</t>
  </si>
  <si>
    <t xml:space="preserve"> 6194万</t>
  </si>
  <si>
    <t xml:space="preserve"> 7.005亿</t>
  </si>
  <si>
    <t xml:space="preserve"> 7.004亿</t>
  </si>
  <si>
    <t xml:space="preserve"> 通达创智</t>
  </si>
  <si>
    <t xml:space="preserve"> 6192万</t>
  </si>
  <si>
    <t xml:space="preserve"> 1.120亿</t>
  </si>
  <si>
    <t xml:space="preserve"> 29.40亿</t>
  </si>
  <si>
    <t xml:space="preserve"> 2800万</t>
  </si>
  <si>
    <t xml:space="preserve"> 7.350亿</t>
  </si>
  <si>
    <t xml:space="preserve"> 辽宁成大</t>
  </si>
  <si>
    <t xml:space="preserve"> 6191万</t>
  </si>
  <si>
    <t xml:space="preserve"> 194.7亿</t>
  </si>
  <si>
    <t xml:space="preserve"> 微导纳米</t>
  </si>
  <si>
    <t xml:space="preserve"> 4.545亿</t>
  </si>
  <si>
    <t xml:space="preserve"> 179.6亿</t>
  </si>
  <si>
    <t xml:space="preserve"> 4010万</t>
  </si>
  <si>
    <t xml:space="preserve"> 顺发恒业</t>
  </si>
  <si>
    <t xml:space="preserve"> 6187万</t>
  </si>
  <si>
    <t xml:space="preserve"> -1.46万</t>
  </si>
  <si>
    <t xml:space="preserve"> 82.64亿</t>
  </si>
  <si>
    <t xml:space="preserve"> 集友股份</t>
  </si>
  <si>
    <t xml:space="preserve"> 6183万</t>
  </si>
  <si>
    <t xml:space="preserve"> 5.245亿</t>
  </si>
  <si>
    <t xml:space="preserve"> 45.79亿</t>
  </si>
  <si>
    <t xml:space="preserve"> 日上集团</t>
  </si>
  <si>
    <t xml:space="preserve"> 5.705亿</t>
  </si>
  <si>
    <t xml:space="preserve"> 24.13亿</t>
  </si>
  <si>
    <t xml:space="preserve"> 凯龙高科</t>
  </si>
  <si>
    <t xml:space="preserve"> 6178万</t>
  </si>
  <si>
    <t xml:space="preserve"> 7.93亿</t>
  </si>
  <si>
    <t xml:space="preserve"> 22.16亿</t>
  </si>
  <si>
    <t xml:space="preserve"> 6159万</t>
  </si>
  <si>
    <t xml:space="preserve"> 11.87亿</t>
  </si>
  <si>
    <t xml:space="preserve"> 南京高科</t>
  </si>
  <si>
    <t xml:space="preserve"> 6176万</t>
  </si>
  <si>
    <t xml:space="preserve"> 民和股份</t>
  </si>
  <si>
    <t xml:space="preserve"> 6175万</t>
  </si>
  <si>
    <t xml:space="preserve"> 3.490亿</t>
  </si>
  <si>
    <t xml:space="preserve"> 45.09亿</t>
  </si>
  <si>
    <t xml:space="preserve"> 3.034亿</t>
  </si>
  <si>
    <t xml:space="preserve"> 39.20亿</t>
  </si>
  <si>
    <t xml:space="preserve"> 海优新材</t>
  </si>
  <si>
    <t xml:space="preserve"> 6172万</t>
  </si>
  <si>
    <t xml:space="preserve"> 51.53亿</t>
  </si>
  <si>
    <t xml:space="preserve"> 5208万</t>
  </si>
  <si>
    <t xml:space="preserve"> 31.94亿</t>
  </si>
  <si>
    <t xml:space="preserve"> 凯发电气</t>
  </si>
  <si>
    <t xml:space="preserve"> 6170万</t>
  </si>
  <si>
    <t xml:space="preserve"> 3.182亿</t>
  </si>
  <si>
    <t xml:space="preserve"> 28.80亿</t>
  </si>
  <si>
    <t xml:space="preserve"> 2.258亿</t>
  </si>
  <si>
    <t xml:space="preserve"> 卓朗科技</t>
  </si>
  <si>
    <t xml:space="preserve"> 6162万</t>
  </si>
  <si>
    <t xml:space="preserve"> 5.71亿</t>
  </si>
  <si>
    <t xml:space="preserve"> 34.09亿</t>
  </si>
  <si>
    <t xml:space="preserve"> 纽泰格</t>
  </si>
  <si>
    <t xml:space="preserve"> 3340万</t>
  </si>
  <si>
    <t xml:space="preserve"> 杭州柯林</t>
  </si>
  <si>
    <t xml:space="preserve"> 6152万</t>
  </si>
  <si>
    <t xml:space="preserve"> 9768万</t>
  </si>
  <si>
    <t xml:space="preserve"> 7826万</t>
  </si>
  <si>
    <t xml:space="preserve"> 25.48亿</t>
  </si>
  <si>
    <t xml:space="preserve"> 1957万</t>
  </si>
  <si>
    <t xml:space="preserve"> 6.370亿</t>
  </si>
  <si>
    <t xml:space="preserve"> 景旺电子</t>
  </si>
  <si>
    <t xml:space="preserve"> 6145万</t>
  </si>
  <si>
    <t xml:space="preserve"> 77.5亿</t>
  </si>
  <si>
    <t xml:space="preserve"> 8.419亿</t>
  </si>
  <si>
    <t xml:space="preserve"> 南芯科技</t>
  </si>
  <si>
    <t xml:space="preserve"> 4.235亿</t>
  </si>
  <si>
    <t xml:space="preserve"> 5900万</t>
  </si>
  <si>
    <t xml:space="preserve"> 25.32亿</t>
  </si>
  <si>
    <t xml:space="preserve"> 郑州煤电</t>
  </si>
  <si>
    <t xml:space="preserve"> 6144万</t>
  </si>
  <si>
    <t xml:space="preserve"> 31.3亿</t>
  </si>
  <si>
    <t xml:space="preserve"> 汇金股份</t>
  </si>
  <si>
    <t xml:space="preserve"> 6143万</t>
  </si>
  <si>
    <t xml:space="preserve"> 5.319亿</t>
  </si>
  <si>
    <t xml:space="preserve"> 40.11亿</t>
  </si>
  <si>
    <t xml:space="preserve"> 骆驼股份</t>
  </si>
  <si>
    <t xml:space="preserve"> 6142万</t>
  </si>
  <si>
    <t xml:space="preserve"> 95.73亿</t>
  </si>
  <si>
    <t xml:space="preserve"> 建元信托</t>
  </si>
  <si>
    <t xml:space="preserve"> 6133万</t>
  </si>
  <si>
    <t xml:space="preserve"> 8454万</t>
  </si>
  <si>
    <t xml:space="preserve"> 98.44亿</t>
  </si>
  <si>
    <t xml:space="preserve"> 169.0亿</t>
  </si>
  <si>
    <t xml:space="preserve"> 齐鲁银行</t>
  </si>
  <si>
    <t xml:space="preserve"> 91.0亿</t>
  </si>
  <si>
    <t xml:space="preserve"> -2.76万</t>
  </si>
  <si>
    <t xml:space="preserve"> 45.81亿</t>
  </si>
  <si>
    <t xml:space="preserve"> 176.8亿</t>
  </si>
  <si>
    <t xml:space="preserve"> 89.54亿</t>
  </si>
  <si>
    <t xml:space="preserve"> 新宁物流</t>
  </si>
  <si>
    <t xml:space="preserve"> 6131万</t>
  </si>
  <si>
    <t xml:space="preserve"> 4.467亿</t>
  </si>
  <si>
    <t xml:space="preserve"> 4.460亿</t>
  </si>
  <si>
    <t xml:space="preserve"> 18.46亿</t>
  </si>
  <si>
    <t xml:space="preserve"> 德福科技</t>
  </si>
  <si>
    <t xml:space="preserve"> 4.502亿</t>
  </si>
  <si>
    <t xml:space="preserve"> 5815万</t>
  </si>
  <si>
    <t xml:space="preserve"> 14.63亿</t>
  </si>
  <si>
    <t xml:space="preserve"> 多瑞医药</t>
  </si>
  <si>
    <t xml:space="preserve"> 6129万</t>
  </si>
  <si>
    <t xml:space="preserve"> 2742万</t>
  </si>
  <si>
    <t xml:space="preserve"> 正裕工业</t>
  </si>
  <si>
    <t xml:space="preserve"> 2.225亿</t>
  </si>
  <si>
    <t xml:space="preserve"> 26.46亿</t>
  </si>
  <si>
    <t xml:space="preserve"> 甘肃能源</t>
  </si>
  <si>
    <t xml:space="preserve"> 6126万</t>
  </si>
  <si>
    <t xml:space="preserve"> 93.15亿</t>
  </si>
  <si>
    <t xml:space="preserve"> 方正电机</t>
  </si>
  <si>
    <t xml:space="preserve"> 6125万</t>
  </si>
  <si>
    <t xml:space="preserve"> 4.811亿</t>
  </si>
  <si>
    <t xml:space="preserve"> 35.26亿</t>
  </si>
  <si>
    <t xml:space="preserve"> 易明医药</t>
  </si>
  <si>
    <t xml:space="preserve"> 6117万</t>
  </si>
  <si>
    <t xml:space="preserve"> 1.907亿</t>
  </si>
  <si>
    <t xml:space="preserve"> 23.99亿</t>
  </si>
  <si>
    <t xml:space="preserve"> 亚士创能</t>
  </si>
  <si>
    <t xml:space="preserve"> 6095万</t>
  </si>
  <si>
    <t xml:space="preserve"> 4.286亿</t>
  </si>
  <si>
    <t xml:space="preserve"> 40.46亿</t>
  </si>
  <si>
    <t xml:space="preserve"> 金诚信</t>
  </si>
  <si>
    <t xml:space="preserve"> 6092万</t>
  </si>
  <si>
    <t xml:space="preserve"> 53.1亿</t>
  </si>
  <si>
    <t xml:space="preserve"> 6.021亿</t>
  </si>
  <si>
    <t xml:space="preserve"> 211.5亿</t>
  </si>
  <si>
    <t xml:space="preserve"> 瑞达期货</t>
  </si>
  <si>
    <t xml:space="preserve"> 6088万</t>
  </si>
  <si>
    <t xml:space="preserve"> 8.16亿</t>
  </si>
  <si>
    <t xml:space="preserve"> 杭可科技</t>
  </si>
  <si>
    <t xml:space="preserve"> 142.5亿</t>
  </si>
  <si>
    <t xml:space="preserve"> 仙坛股份</t>
  </si>
  <si>
    <t xml:space="preserve"> 6085万</t>
  </si>
  <si>
    <t xml:space="preserve"> 8.605亿</t>
  </si>
  <si>
    <t xml:space="preserve"> 7.097亿</t>
  </si>
  <si>
    <t xml:space="preserve"> 51.45亿</t>
  </si>
  <si>
    <t xml:space="preserve"> 海峡股份</t>
  </si>
  <si>
    <t xml:space="preserve"> 6080万</t>
  </si>
  <si>
    <t xml:space="preserve"> 30.2亿</t>
  </si>
  <si>
    <t xml:space="preserve"> 东方电热</t>
  </si>
  <si>
    <t xml:space="preserve"> 14.88亿</t>
  </si>
  <si>
    <t xml:space="preserve"> 85.39亿</t>
  </si>
  <si>
    <t xml:space="preserve"> 金盘科技</t>
  </si>
  <si>
    <t xml:space="preserve"> 6079万</t>
  </si>
  <si>
    <t xml:space="preserve"> 47.7亿</t>
  </si>
  <si>
    <t xml:space="preserve"> 4.271亿</t>
  </si>
  <si>
    <t xml:space="preserve"> 60.49亿</t>
  </si>
  <si>
    <t xml:space="preserve"> 致尚科技</t>
  </si>
  <si>
    <t xml:space="preserve"> 6078万</t>
  </si>
  <si>
    <t xml:space="preserve"> 1.287亿</t>
  </si>
  <si>
    <t xml:space="preserve"> 3051万</t>
  </si>
  <si>
    <t xml:space="preserve"> 福鞍股份</t>
  </si>
  <si>
    <t xml:space="preserve"> 6073万</t>
  </si>
  <si>
    <t xml:space="preserve"> 3.070亿</t>
  </si>
  <si>
    <t xml:space="preserve"> 36.84亿</t>
  </si>
  <si>
    <t xml:space="preserve"> 森萱医药</t>
  </si>
  <si>
    <t xml:space="preserve"> 6072万</t>
  </si>
  <si>
    <t xml:space="preserve"> 4.269亿</t>
  </si>
  <si>
    <t xml:space="preserve"> 38.08亿</t>
  </si>
  <si>
    <t xml:space="preserve"> 4.267亿</t>
  </si>
  <si>
    <t xml:space="preserve"> 中科电气</t>
  </si>
  <si>
    <t xml:space="preserve"> 6069万</t>
  </si>
  <si>
    <t xml:space="preserve"> 81.30亿</t>
  </si>
  <si>
    <t xml:space="preserve"> 6.242亿</t>
  </si>
  <si>
    <t xml:space="preserve"> 70.16亿</t>
  </si>
  <si>
    <t xml:space="preserve"> 三特索道</t>
  </si>
  <si>
    <t xml:space="preserve"> 1.773亿</t>
  </si>
  <si>
    <t xml:space="preserve"> 骄成超声</t>
  </si>
  <si>
    <t xml:space="preserve"> 6068万</t>
  </si>
  <si>
    <t xml:space="preserve"> 4693万</t>
  </si>
  <si>
    <t xml:space="preserve"> 中华企业</t>
  </si>
  <si>
    <t xml:space="preserve"> 6061万</t>
  </si>
  <si>
    <t xml:space="preserve"> 60.96亿</t>
  </si>
  <si>
    <t xml:space="preserve"> 莱特光电</t>
  </si>
  <si>
    <t xml:space="preserve"> 6057万</t>
  </si>
  <si>
    <t xml:space="preserve"> 95.54亿</t>
  </si>
  <si>
    <t xml:space="preserve"> 1.770亿</t>
  </si>
  <si>
    <t xml:space="preserve"> 力合微</t>
  </si>
  <si>
    <t xml:space="preserve"> 6055万</t>
  </si>
  <si>
    <t xml:space="preserve"> 巴比食品</t>
  </si>
  <si>
    <t xml:space="preserve"> 6053万</t>
  </si>
  <si>
    <t xml:space="preserve"> 2.501亿</t>
  </si>
  <si>
    <t xml:space="preserve"> 59.15亿</t>
  </si>
  <si>
    <t xml:space="preserve"> 2.480亿</t>
  </si>
  <si>
    <t xml:space="preserve"> 58.65亿</t>
  </si>
  <si>
    <t xml:space="preserve"> 北摩高科</t>
  </si>
  <si>
    <t xml:space="preserve"> 6048万</t>
  </si>
  <si>
    <t xml:space="preserve"> 2.096亿</t>
  </si>
  <si>
    <t xml:space="preserve"> 77.35亿</t>
  </si>
  <si>
    <t xml:space="preserve"> 风神股份</t>
  </si>
  <si>
    <t xml:space="preserve"> 42.5亿</t>
  </si>
  <si>
    <t xml:space="preserve"> 7.295亿</t>
  </si>
  <si>
    <t xml:space="preserve"> 44.86亿</t>
  </si>
  <si>
    <t xml:space="preserve"> 道明光学</t>
  </si>
  <si>
    <t xml:space="preserve"> 6043万</t>
  </si>
  <si>
    <t xml:space="preserve"> 6.246亿</t>
  </si>
  <si>
    <t xml:space="preserve"> 47.41亿</t>
  </si>
  <si>
    <t xml:space="preserve"> 方盛股份</t>
  </si>
  <si>
    <t xml:space="preserve"> 6038万</t>
  </si>
  <si>
    <t xml:space="preserve"> 8755万</t>
  </si>
  <si>
    <t xml:space="preserve"> 2418万</t>
  </si>
  <si>
    <t xml:space="preserve"> 2.832亿</t>
  </si>
  <si>
    <t xml:space="preserve"> 成都先导</t>
  </si>
  <si>
    <t xml:space="preserve"> 4.007亿</t>
  </si>
  <si>
    <t xml:space="preserve"> 华森制药</t>
  </si>
  <si>
    <t xml:space="preserve"> 6037万</t>
  </si>
  <si>
    <t xml:space="preserve"> 4.176亿</t>
  </si>
  <si>
    <t xml:space="preserve"> 69.40亿</t>
  </si>
  <si>
    <t xml:space="preserve"> 3.089亿</t>
  </si>
  <si>
    <t xml:space="preserve"> 51.34亿</t>
  </si>
  <si>
    <t xml:space="preserve"> 力芯微</t>
  </si>
  <si>
    <t xml:space="preserve"> 6035万</t>
  </si>
  <si>
    <t xml:space="preserve"> 1.337亿</t>
  </si>
  <si>
    <t xml:space="preserve"> 7111万</t>
  </si>
  <si>
    <t xml:space="preserve"> 明阳科技</t>
  </si>
  <si>
    <t xml:space="preserve"> 6023万</t>
  </si>
  <si>
    <t xml:space="preserve"> 3038万</t>
  </si>
  <si>
    <t xml:space="preserve"> 迈赫股份</t>
  </si>
  <si>
    <t xml:space="preserve"> 6021万</t>
  </si>
  <si>
    <t xml:space="preserve"> 7.91亿</t>
  </si>
  <si>
    <t xml:space="preserve"> 4634万</t>
  </si>
  <si>
    <t xml:space="preserve"> 湖北宜化</t>
  </si>
  <si>
    <t xml:space="preserve"> 6020万</t>
  </si>
  <si>
    <t xml:space="preserve"> 102.0亿</t>
  </si>
  <si>
    <t xml:space="preserve"> 8.978亿</t>
  </si>
  <si>
    <t xml:space="preserve"> 86.55亿</t>
  </si>
  <si>
    <t xml:space="preserve"> 海特高新</t>
  </si>
  <si>
    <t xml:space="preserve"> 7.409亿</t>
  </si>
  <si>
    <t xml:space="preserve"> 70.68亿</t>
  </si>
  <si>
    <t xml:space="preserve"> 道道全</t>
  </si>
  <si>
    <t xml:space="preserve"> 6019万</t>
  </si>
  <si>
    <t xml:space="preserve"> 3.440亿</t>
  </si>
  <si>
    <t xml:space="preserve"> 2.769亿</t>
  </si>
  <si>
    <t xml:space="preserve"> 东方精工</t>
  </si>
  <si>
    <t xml:space="preserve"> 6018万</t>
  </si>
  <si>
    <t xml:space="preserve"> 12.41亿</t>
  </si>
  <si>
    <t xml:space="preserve"> 50.60亿</t>
  </si>
  <si>
    <t xml:space="preserve"> 李子园</t>
  </si>
  <si>
    <t xml:space="preserve"> 6014万</t>
  </si>
  <si>
    <t xml:space="preserve"> 63.11亿</t>
  </si>
  <si>
    <t xml:space="preserve"> 1.543亿</t>
  </si>
  <si>
    <t xml:space="preserve"> 24.69亿</t>
  </si>
  <si>
    <t xml:space="preserve"> 广晟有色</t>
  </si>
  <si>
    <t xml:space="preserve"> 6011万</t>
  </si>
  <si>
    <t xml:space="preserve"> 联创股份</t>
  </si>
  <si>
    <t xml:space="preserve"> 6009万</t>
  </si>
  <si>
    <t xml:space="preserve"> 77.83亿</t>
  </si>
  <si>
    <t xml:space="preserve"> 10.66亿</t>
  </si>
  <si>
    <t xml:space="preserve"> 岭南股份</t>
  </si>
  <si>
    <t xml:space="preserve"> 清越科技</t>
  </si>
  <si>
    <t xml:space="preserve"> 6007万</t>
  </si>
  <si>
    <t xml:space="preserve"> 77.36亿</t>
  </si>
  <si>
    <t xml:space="preserve"> 8993万</t>
  </si>
  <si>
    <t xml:space="preserve"> 15.46亿</t>
  </si>
  <si>
    <t xml:space="preserve"> 兰石重装</t>
  </si>
  <si>
    <t xml:space="preserve"> 6002万</t>
  </si>
  <si>
    <t xml:space="preserve"> 中牧股份</t>
  </si>
  <si>
    <t xml:space="preserve"> 飞亚达</t>
  </si>
  <si>
    <t xml:space="preserve"> 5997万</t>
  </si>
  <si>
    <t xml:space="preserve"> 49.37亿</t>
  </si>
  <si>
    <t xml:space="preserve"> 3.626亿</t>
  </si>
  <si>
    <t xml:space="preserve"> 43.11亿</t>
  </si>
  <si>
    <t xml:space="preserve"> 御银股份</t>
  </si>
  <si>
    <t xml:space="preserve"> 5995万</t>
  </si>
  <si>
    <t xml:space="preserve"> 5209万</t>
  </si>
  <si>
    <t xml:space="preserve"> 7.612亿</t>
  </si>
  <si>
    <t xml:space="preserve"> 30.60亿</t>
  </si>
  <si>
    <t xml:space="preserve"> 菱电电控</t>
  </si>
  <si>
    <t xml:space="preserve"> 5990万</t>
  </si>
  <si>
    <t xml:space="preserve"> 6.99亿</t>
  </si>
  <si>
    <t xml:space="preserve"> 5181万</t>
  </si>
  <si>
    <t xml:space="preserve"> 2340万</t>
  </si>
  <si>
    <t xml:space="preserve"> 浪潮软件</t>
  </si>
  <si>
    <t xml:space="preserve"> 5989万</t>
  </si>
  <si>
    <t xml:space="preserve"> 华源控股</t>
  </si>
  <si>
    <t xml:space="preserve"> 5980万</t>
  </si>
  <si>
    <t xml:space="preserve"> 2.317亿</t>
  </si>
  <si>
    <t xml:space="preserve"> 22.89亿</t>
  </si>
  <si>
    <t xml:space="preserve"> 乐心医疗</t>
  </si>
  <si>
    <t xml:space="preserve"> 5978万</t>
  </si>
  <si>
    <t xml:space="preserve"> 南  玻Ａ</t>
  </si>
  <si>
    <t xml:space="preserve"> 5974万</t>
  </si>
  <si>
    <t xml:space="preserve"> 19.57亿</t>
  </si>
  <si>
    <t xml:space="preserve"> 奥瑞金</t>
  </si>
  <si>
    <t xml:space="preserve"> 5973万</t>
  </si>
  <si>
    <t xml:space="preserve"> 8.34万</t>
  </si>
  <si>
    <t xml:space="preserve"> 25.71亿</t>
  </si>
  <si>
    <t xml:space="preserve"> 科林电气</t>
  </si>
  <si>
    <t xml:space="preserve"> 5963万</t>
  </si>
  <si>
    <t xml:space="preserve"> 2.271亿</t>
  </si>
  <si>
    <t xml:space="preserve"> 40.33亿</t>
  </si>
  <si>
    <t xml:space="preserve"> 正强股份</t>
  </si>
  <si>
    <t xml:space="preserve"> 5959万</t>
  </si>
  <si>
    <t xml:space="preserve"> 2730万</t>
  </si>
  <si>
    <t xml:space="preserve"> 美联新材</t>
  </si>
  <si>
    <t xml:space="preserve"> 5955万</t>
  </si>
  <si>
    <t xml:space="preserve"> 7.112亿</t>
  </si>
  <si>
    <t xml:space="preserve"> 60.88亿</t>
  </si>
  <si>
    <t xml:space="preserve"> 5.349亿</t>
  </si>
  <si>
    <t xml:space="preserve"> 45.78亿</t>
  </si>
  <si>
    <t xml:space="preserve"> 上声电子</t>
  </si>
  <si>
    <t xml:space="preserve"> 5954万</t>
  </si>
  <si>
    <t xml:space="preserve"> 司南导航</t>
  </si>
  <si>
    <t xml:space="preserve"> 5952万</t>
  </si>
  <si>
    <t xml:space="preserve"> 1274万</t>
  </si>
  <si>
    <t xml:space="preserve"> 7.352亿</t>
  </si>
  <si>
    <t xml:space="preserve"> 天永智能</t>
  </si>
  <si>
    <t xml:space="preserve"> 5950万</t>
  </si>
  <si>
    <t xml:space="preserve"> 1.081亿</t>
  </si>
  <si>
    <t xml:space="preserve"> 凯龙股份</t>
  </si>
  <si>
    <t xml:space="preserve"> 5944万</t>
  </si>
  <si>
    <t xml:space="preserve"> 3.912亿</t>
  </si>
  <si>
    <t xml:space="preserve"> 36.93亿</t>
  </si>
  <si>
    <t xml:space="preserve"> 海晨股份</t>
  </si>
  <si>
    <t xml:space="preserve"> 5943万</t>
  </si>
  <si>
    <t xml:space="preserve"> 1.649亿</t>
  </si>
  <si>
    <t xml:space="preserve"> 39.12亿</t>
  </si>
  <si>
    <t xml:space="preserve"> 莱茵体育</t>
  </si>
  <si>
    <t xml:space="preserve"> 5940万</t>
  </si>
  <si>
    <t xml:space="preserve"> 37.26亿</t>
  </si>
  <si>
    <t xml:space="preserve"> 同飞股份</t>
  </si>
  <si>
    <t xml:space="preserve"> 5939万</t>
  </si>
  <si>
    <t xml:space="preserve"> 75.82亿</t>
  </si>
  <si>
    <t xml:space="preserve"> 4212万</t>
  </si>
  <si>
    <t xml:space="preserve"> 18.95亿</t>
  </si>
  <si>
    <t xml:space="preserve"> 君正集团</t>
  </si>
  <si>
    <t xml:space="preserve"> 5935万</t>
  </si>
  <si>
    <t xml:space="preserve"> 84.38亿</t>
  </si>
  <si>
    <t xml:space="preserve"> 328.2亿</t>
  </si>
  <si>
    <t xml:space="preserve"> 金智科技</t>
  </si>
  <si>
    <t xml:space="preserve"> 5934万</t>
  </si>
  <si>
    <t xml:space="preserve"> 41.88亿</t>
  </si>
  <si>
    <t xml:space="preserve"> 3.997亿</t>
  </si>
  <si>
    <t xml:space="preserve"> 41.41亿</t>
  </si>
  <si>
    <t xml:space="preserve"> 福光股份</t>
  </si>
  <si>
    <t xml:space="preserve"> 5927万</t>
  </si>
  <si>
    <t xml:space="preserve"> 42.20亿</t>
  </si>
  <si>
    <t xml:space="preserve"> 孚日股份</t>
  </si>
  <si>
    <t xml:space="preserve"> 5924万</t>
  </si>
  <si>
    <t xml:space="preserve"> 8.226亿</t>
  </si>
  <si>
    <t xml:space="preserve"> 41.38亿</t>
  </si>
  <si>
    <t xml:space="preserve"> 8.071亿</t>
  </si>
  <si>
    <t xml:space="preserve"> 锡南科技</t>
  </si>
  <si>
    <t xml:space="preserve"> 5922万</t>
  </si>
  <si>
    <t xml:space="preserve"> 7.44亿</t>
  </si>
  <si>
    <t xml:space="preserve"> 33.55亿</t>
  </si>
  <si>
    <t xml:space="preserve"> 2371万</t>
  </si>
  <si>
    <t xml:space="preserve"> 7.955亿</t>
  </si>
  <si>
    <t xml:space="preserve"> 航天南湖</t>
  </si>
  <si>
    <t xml:space="preserve"> 3.372亿</t>
  </si>
  <si>
    <t xml:space="preserve"> 81.98亿</t>
  </si>
  <si>
    <t xml:space="preserve"> 8148万</t>
  </si>
  <si>
    <t xml:space="preserve"> 合力科技</t>
  </si>
  <si>
    <t xml:space="preserve"> 5919万</t>
  </si>
  <si>
    <t xml:space="preserve"> 1.568亿</t>
  </si>
  <si>
    <t xml:space="preserve"> 30.42亿</t>
  </si>
  <si>
    <t xml:space="preserve"> 福瑞达</t>
  </si>
  <si>
    <t xml:space="preserve"> 5918万</t>
  </si>
  <si>
    <t xml:space="preserve"> 10.17亿</t>
  </si>
  <si>
    <t xml:space="preserve"> 东富龙</t>
  </si>
  <si>
    <t xml:space="preserve"> 5917万</t>
  </si>
  <si>
    <t xml:space="preserve"> 5.585亿</t>
  </si>
  <si>
    <t xml:space="preserve"> 积成电子</t>
  </si>
  <si>
    <t xml:space="preserve"> 5916万</t>
  </si>
  <si>
    <t xml:space="preserve"> 5.041亿</t>
  </si>
  <si>
    <t xml:space="preserve"> 38.36亿</t>
  </si>
  <si>
    <t xml:space="preserve"> 36.38亿</t>
  </si>
  <si>
    <t xml:space="preserve"> 应流股份</t>
  </si>
  <si>
    <t xml:space="preserve"> 长青科技</t>
  </si>
  <si>
    <t xml:space="preserve"> 5898万</t>
  </si>
  <si>
    <t xml:space="preserve"> 35.44亿</t>
  </si>
  <si>
    <t xml:space="preserve"> 3450万</t>
  </si>
  <si>
    <t xml:space="preserve"> 艾布鲁</t>
  </si>
  <si>
    <t xml:space="preserve"> 5886万</t>
  </si>
  <si>
    <t xml:space="preserve"> 1.560亿</t>
  </si>
  <si>
    <t xml:space="preserve"> 7444万</t>
  </si>
  <si>
    <t xml:space="preserve"> 仟源医药</t>
  </si>
  <si>
    <t xml:space="preserve"> 5.72亿</t>
  </si>
  <si>
    <t xml:space="preserve"> 2.416亿</t>
  </si>
  <si>
    <t xml:space="preserve"> 24.04亿</t>
  </si>
  <si>
    <t xml:space="preserve"> 华通线缆</t>
  </si>
  <si>
    <t xml:space="preserve"> 5885万</t>
  </si>
  <si>
    <t xml:space="preserve"> 5.115亿</t>
  </si>
  <si>
    <t xml:space="preserve"> 3.239亿</t>
  </si>
  <si>
    <t xml:space="preserve"> 24.26亿</t>
  </si>
  <si>
    <t xml:space="preserve"> 杰创智能</t>
  </si>
  <si>
    <t xml:space="preserve"> 5882万</t>
  </si>
  <si>
    <t xml:space="preserve"> 1.537亿</t>
  </si>
  <si>
    <t xml:space="preserve"> 1.017亿</t>
  </si>
  <si>
    <t xml:space="preserve"> 19.60亿</t>
  </si>
  <si>
    <t xml:space="preserve"> 炬申股份</t>
  </si>
  <si>
    <t xml:space="preserve"> 5879万</t>
  </si>
  <si>
    <t xml:space="preserve"> 4022万</t>
  </si>
  <si>
    <t xml:space="preserve"> 7.095亿</t>
  </si>
  <si>
    <t xml:space="preserve"> 汇金科技</t>
  </si>
  <si>
    <t xml:space="preserve"> 5876万</t>
  </si>
  <si>
    <t xml:space="preserve"> 3.281亿</t>
  </si>
  <si>
    <t xml:space="preserve"> 1.955亿</t>
  </si>
  <si>
    <t xml:space="preserve"> 三夫户外</t>
  </si>
  <si>
    <t xml:space="preserve"> 5872万</t>
  </si>
  <si>
    <t xml:space="preserve"> 17.56亿</t>
  </si>
  <si>
    <t xml:space="preserve"> 泛微网络</t>
  </si>
  <si>
    <t xml:space="preserve"> 5865万</t>
  </si>
  <si>
    <t xml:space="preserve"> 2.606亿</t>
  </si>
  <si>
    <t xml:space="preserve"> 裕太微-U</t>
  </si>
  <si>
    <t xml:space="preserve"> 1935万</t>
  </si>
  <si>
    <t xml:space="preserve"> 大名城</t>
  </si>
  <si>
    <t xml:space="preserve"> 5863万</t>
  </si>
  <si>
    <t xml:space="preserve"> 24.75亿</t>
  </si>
  <si>
    <t xml:space="preserve"> 77.48亿</t>
  </si>
  <si>
    <t xml:space="preserve"> 中润光学</t>
  </si>
  <si>
    <t xml:space="preserve"> 5855万</t>
  </si>
  <si>
    <t xml:space="preserve"> 1907万</t>
  </si>
  <si>
    <t xml:space="preserve"> 科思股份</t>
  </si>
  <si>
    <t xml:space="preserve"> 5854万</t>
  </si>
  <si>
    <t xml:space="preserve"> 1.693亿</t>
  </si>
  <si>
    <t xml:space="preserve"> 诺力股份</t>
  </si>
  <si>
    <t xml:space="preserve"> 5853万</t>
  </si>
  <si>
    <t xml:space="preserve"> 2.576亿</t>
  </si>
  <si>
    <t xml:space="preserve"> 恒邦股份</t>
  </si>
  <si>
    <t xml:space="preserve"> 5852万</t>
  </si>
  <si>
    <t xml:space="preserve"> 507亿</t>
  </si>
  <si>
    <t xml:space="preserve"> 11.48亿</t>
  </si>
  <si>
    <t xml:space="preserve"> 9.104亿</t>
  </si>
  <si>
    <t xml:space="preserve"> 海宁皮城</t>
  </si>
  <si>
    <t xml:space="preserve"> 5851万</t>
  </si>
  <si>
    <t xml:space="preserve"> 12.83亿</t>
  </si>
  <si>
    <t xml:space="preserve"> 12.81亿</t>
  </si>
  <si>
    <t xml:space="preserve"> 55.86亿</t>
  </si>
  <si>
    <t xml:space="preserve"> 传化智联</t>
  </si>
  <si>
    <t xml:space="preserve"> 5850万</t>
  </si>
  <si>
    <t xml:space="preserve"> 258亿</t>
  </si>
  <si>
    <t xml:space="preserve"> 27.88亿</t>
  </si>
  <si>
    <t xml:space="preserve"> 26.74亿</t>
  </si>
  <si>
    <t xml:space="preserve"> 128.6亿</t>
  </si>
  <si>
    <t xml:space="preserve"> 河钢资源</t>
  </si>
  <si>
    <t xml:space="preserve"> 5849万</t>
  </si>
  <si>
    <t xml:space="preserve"> 6.279亿</t>
  </si>
  <si>
    <t xml:space="preserve"> 亿晶光电</t>
  </si>
  <si>
    <t xml:space="preserve"> 5848万</t>
  </si>
  <si>
    <t xml:space="preserve"> 68.8亿</t>
  </si>
  <si>
    <t xml:space="preserve"> 11.95亿</t>
  </si>
  <si>
    <t xml:space="preserve"> 61.20亿</t>
  </si>
  <si>
    <t xml:space="preserve"> 11.83亿</t>
  </si>
  <si>
    <t xml:space="preserve"> 60.57亿</t>
  </si>
  <si>
    <t xml:space="preserve"> 东方创业</t>
  </si>
  <si>
    <t xml:space="preserve"> 5847万</t>
  </si>
  <si>
    <t xml:space="preserve"> 8.829亿</t>
  </si>
  <si>
    <t xml:space="preserve"> 63.48亿</t>
  </si>
  <si>
    <t xml:space="preserve"> 6.789亿</t>
  </si>
  <si>
    <t xml:space="preserve"> 48.81亿</t>
  </si>
  <si>
    <t xml:space="preserve"> 旗天科技</t>
  </si>
  <si>
    <t xml:space="preserve"> 5839万</t>
  </si>
  <si>
    <t xml:space="preserve"> 6.590亿</t>
  </si>
  <si>
    <t xml:space="preserve"> 42.51亿</t>
  </si>
  <si>
    <t xml:space="preserve"> 5.609亿</t>
  </si>
  <si>
    <t xml:space="preserve"> 36.18亿</t>
  </si>
  <si>
    <t xml:space="preserve"> 丹化科技</t>
  </si>
  <si>
    <t xml:space="preserve"> 5838万</t>
  </si>
  <si>
    <t xml:space="preserve"> 8.227亿</t>
  </si>
  <si>
    <t xml:space="preserve"> 26.33亿</t>
  </si>
  <si>
    <t xml:space="preserve"> 鑫科材料</t>
  </si>
  <si>
    <t xml:space="preserve"> 5837万</t>
  </si>
  <si>
    <t xml:space="preserve"> 22.6亿</t>
  </si>
  <si>
    <t xml:space="preserve"> 18.06亿</t>
  </si>
  <si>
    <t xml:space="preserve"> 盈康生命</t>
  </si>
  <si>
    <t xml:space="preserve"> 5836万</t>
  </si>
  <si>
    <t xml:space="preserve"> 6.422亿</t>
  </si>
  <si>
    <t xml:space="preserve"> 贝因美</t>
  </si>
  <si>
    <t xml:space="preserve"> 5835万</t>
  </si>
  <si>
    <t xml:space="preserve"> 10.80亿</t>
  </si>
  <si>
    <t xml:space="preserve"> 46.55亿</t>
  </si>
  <si>
    <t xml:space="preserve"> 安控科技</t>
  </si>
  <si>
    <t xml:space="preserve"> 5829万</t>
  </si>
  <si>
    <t xml:space="preserve"> 7.91万</t>
  </si>
  <si>
    <t xml:space="preserve"> 44.77亿</t>
  </si>
  <si>
    <t xml:space="preserve"> 32.14亿</t>
  </si>
  <si>
    <t xml:space="preserve"> 顶固集创</t>
  </si>
  <si>
    <t xml:space="preserve"> 5825万</t>
  </si>
  <si>
    <t xml:space="preserve"> 2.058亿</t>
  </si>
  <si>
    <t xml:space="preserve"> 19.84亿</t>
  </si>
  <si>
    <t xml:space="preserve"> 1.552亿</t>
  </si>
  <si>
    <t xml:space="preserve"> 力诺特玻</t>
  </si>
  <si>
    <t xml:space="preserve"> 5824万</t>
  </si>
  <si>
    <t xml:space="preserve"> 6.91亿</t>
  </si>
  <si>
    <t xml:space="preserve"> 38.58亿</t>
  </si>
  <si>
    <t xml:space="preserve"> 1.508亿</t>
  </si>
  <si>
    <t xml:space="preserve"> 25.03亿</t>
  </si>
  <si>
    <t xml:space="preserve"> 昱能科技</t>
  </si>
  <si>
    <t xml:space="preserve"> 5816万</t>
  </si>
  <si>
    <t xml:space="preserve"> 131.8亿</t>
  </si>
  <si>
    <t xml:space="preserve"> 5710万</t>
  </si>
  <si>
    <t xml:space="preserve"> 振华重工</t>
  </si>
  <si>
    <t xml:space="preserve"> 5808万</t>
  </si>
  <si>
    <t xml:space="preserve"> 首航高科</t>
  </si>
  <si>
    <t xml:space="preserve"> 5806万</t>
  </si>
  <si>
    <t xml:space="preserve"> 25.04亿</t>
  </si>
  <si>
    <t xml:space="preserve"> 67.86亿</t>
  </si>
  <si>
    <t xml:space="preserve"> 66.71亿</t>
  </si>
  <si>
    <t xml:space="preserve"> 泰祥股份</t>
  </si>
  <si>
    <t xml:space="preserve"> 5804万</t>
  </si>
  <si>
    <t xml:space="preserve"> 9990万</t>
  </si>
  <si>
    <t xml:space="preserve"> 昊华科技</t>
  </si>
  <si>
    <t xml:space="preserve"> 5802万</t>
  </si>
  <si>
    <t xml:space="preserve"> 263.2亿</t>
  </si>
  <si>
    <t xml:space="preserve"> 9.039亿</t>
  </si>
  <si>
    <t xml:space="preserve"> 科达自控</t>
  </si>
  <si>
    <t xml:space="preserve"> 5794万</t>
  </si>
  <si>
    <t xml:space="preserve"> 7728万</t>
  </si>
  <si>
    <t xml:space="preserve"> 6171万</t>
  </si>
  <si>
    <t xml:space="preserve"> 9.102亿</t>
  </si>
  <si>
    <t xml:space="preserve"> 深圳机场</t>
  </si>
  <si>
    <t xml:space="preserve"> 5789万</t>
  </si>
  <si>
    <t xml:space="preserve"> 20.51亿</t>
  </si>
  <si>
    <t xml:space="preserve"> 139.5亿</t>
  </si>
  <si>
    <t xml:space="preserve"> 泰豪科技</t>
  </si>
  <si>
    <t xml:space="preserve"> 5788万</t>
  </si>
  <si>
    <t xml:space="preserve"> 56.37亿</t>
  </si>
  <si>
    <t xml:space="preserve"> 8.436亿</t>
  </si>
  <si>
    <t xml:space="preserve"> 55.76亿</t>
  </si>
  <si>
    <t xml:space="preserve"> 永安期货</t>
  </si>
  <si>
    <t xml:space="preserve"> 5785万</t>
  </si>
  <si>
    <t xml:space="preserve"> 5.275亿</t>
  </si>
  <si>
    <t xml:space="preserve"> 86.04亿</t>
  </si>
  <si>
    <t xml:space="preserve"> 辉煌科技</t>
  </si>
  <si>
    <t xml:space="preserve"> 5784万</t>
  </si>
  <si>
    <t xml:space="preserve"> 3.896亿</t>
  </si>
  <si>
    <t xml:space="preserve"> 32.88亿</t>
  </si>
  <si>
    <t xml:space="preserve"> 3.477亿</t>
  </si>
  <si>
    <t xml:space="preserve"> 29.35亿</t>
  </si>
  <si>
    <t xml:space="preserve"> 卫光生物</t>
  </si>
  <si>
    <t xml:space="preserve"> 5783万</t>
  </si>
  <si>
    <t xml:space="preserve"> 2.268亿</t>
  </si>
  <si>
    <t xml:space="preserve"> 85.73亿</t>
  </si>
  <si>
    <t xml:space="preserve"> *ST步高</t>
  </si>
  <si>
    <t xml:space="preserve"> 5774万</t>
  </si>
  <si>
    <t xml:space="preserve"> 8.639亿</t>
  </si>
  <si>
    <t xml:space="preserve"> 英方软件</t>
  </si>
  <si>
    <t xml:space="preserve"> 1841万</t>
  </si>
  <si>
    <t xml:space="preserve"> 海南海药</t>
  </si>
  <si>
    <t xml:space="preserve"> 5772万</t>
  </si>
  <si>
    <t xml:space="preserve"> 63.44亿</t>
  </si>
  <si>
    <t xml:space="preserve"> 前进科技</t>
  </si>
  <si>
    <t xml:space="preserve"> 5769万</t>
  </si>
  <si>
    <t xml:space="preserve"> 8803万</t>
  </si>
  <si>
    <t xml:space="preserve"> 5384万</t>
  </si>
  <si>
    <t xml:space="preserve"> 11.36亿</t>
  </si>
  <si>
    <t xml:space="preserve"> 1278万</t>
  </si>
  <si>
    <t xml:space="preserve"> 2.696亿</t>
  </si>
  <si>
    <t xml:space="preserve"> 青鸟消防</t>
  </si>
  <si>
    <t xml:space="preserve"> 5766万</t>
  </si>
  <si>
    <t xml:space="preserve"> 万润股份</t>
  </si>
  <si>
    <t xml:space="preserve"> 9.301亿</t>
  </si>
  <si>
    <t xml:space="preserve"> 9.026亿</t>
  </si>
  <si>
    <t xml:space="preserve"> 东方钽业</t>
  </si>
  <si>
    <t xml:space="preserve"> 5765万</t>
  </si>
  <si>
    <t xml:space="preserve"> 62.60亿</t>
  </si>
  <si>
    <t xml:space="preserve"> 4.408亿</t>
  </si>
  <si>
    <t xml:space="preserve"> 探路者</t>
  </si>
  <si>
    <t xml:space="preserve"> 5755万</t>
  </si>
  <si>
    <t xml:space="preserve"> 8.837亿</t>
  </si>
  <si>
    <t xml:space="preserve"> 65.13亿</t>
  </si>
  <si>
    <t xml:space="preserve"> 沃尔德</t>
  </si>
  <si>
    <t xml:space="preserve"> 5747万</t>
  </si>
  <si>
    <t xml:space="preserve"> 4.23亿</t>
  </si>
  <si>
    <t xml:space="preserve"> 1.370亿</t>
  </si>
  <si>
    <t xml:space="preserve"> 山东海化</t>
  </si>
  <si>
    <t xml:space="preserve"> 5745万</t>
  </si>
  <si>
    <t xml:space="preserve"> 8.951亿</t>
  </si>
  <si>
    <t xml:space="preserve"> 61.31亿</t>
  </si>
  <si>
    <t xml:space="preserve"> 天安新材</t>
  </si>
  <si>
    <t xml:space="preserve"> 5740万</t>
  </si>
  <si>
    <t xml:space="preserve"> 2.184亿</t>
  </si>
  <si>
    <t xml:space="preserve"> 2.054亿</t>
  </si>
  <si>
    <t xml:space="preserve"> 大豪科技</t>
  </si>
  <si>
    <t xml:space="preserve"> 5739万</t>
  </si>
  <si>
    <t xml:space="preserve"> 11.09亿</t>
  </si>
  <si>
    <t xml:space="preserve"> 庚星股份</t>
  </si>
  <si>
    <t xml:space="preserve"> 5735万</t>
  </si>
  <si>
    <t xml:space="preserve"> 2.303亿</t>
  </si>
  <si>
    <t xml:space="preserve"> 26.49亿</t>
  </si>
  <si>
    <t xml:space="preserve"> 24.73亿</t>
  </si>
  <si>
    <t xml:space="preserve"> 诺德股份</t>
  </si>
  <si>
    <t xml:space="preserve"> 5730万</t>
  </si>
  <si>
    <t xml:space="preserve"> 17.46亿</t>
  </si>
  <si>
    <t xml:space="preserve"> 东峰集团</t>
  </si>
  <si>
    <t xml:space="preserve"> 18.43亿</t>
  </si>
  <si>
    <t xml:space="preserve"> 76.11亿</t>
  </si>
  <si>
    <t xml:space="preserve"> 冠龙节能</t>
  </si>
  <si>
    <t xml:space="preserve"> 5729万</t>
  </si>
  <si>
    <t xml:space="preserve"> 1.704亿</t>
  </si>
  <si>
    <t xml:space="preserve"> 5457万</t>
  </si>
  <si>
    <t xml:space="preserve"> 11.43亿</t>
  </si>
  <si>
    <t xml:space="preserve"> 安路科技</t>
  </si>
  <si>
    <t xml:space="preserve"> 5728万</t>
  </si>
  <si>
    <t xml:space="preserve"> 76.24亿</t>
  </si>
  <si>
    <t xml:space="preserve"> 和达科技</t>
  </si>
  <si>
    <t xml:space="preserve"> 5727万</t>
  </si>
  <si>
    <t xml:space="preserve"> 1.074亿</t>
  </si>
  <si>
    <t xml:space="preserve"> 21.46亿</t>
  </si>
  <si>
    <t xml:space="preserve"> 6004万</t>
  </si>
  <si>
    <t xml:space="preserve"> 焦作万方</t>
  </si>
  <si>
    <t xml:space="preserve"> 5719万</t>
  </si>
  <si>
    <t xml:space="preserve"> 46.6亿</t>
  </si>
  <si>
    <t xml:space="preserve"> 11.91亿</t>
  </si>
  <si>
    <t xml:space="preserve"> 新城市</t>
  </si>
  <si>
    <t xml:space="preserve"> 5718万</t>
  </si>
  <si>
    <t xml:space="preserve"> 2.045亿</t>
  </si>
  <si>
    <t xml:space="preserve"> 2.036亿</t>
  </si>
  <si>
    <t xml:space="preserve"> 29.58亿</t>
  </si>
  <si>
    <t xml:space="preserve"> 金 螳 螂</t>
  </si>
  <si>
    <t xml:space="preserve"> 5716万</t>
  </si>
  <si>
    <t xml:space="preserve"> 26.55亿</t>
  </si>
  <si>
    <t xml:space="preserve"> 爱仕达</t>
  </si>
  <si>
    <t xml:space="preserve"> 5714万</t>
  </si>
  <si>
    <t xml:space="preserve"> 3.406亿</t>
  </si>
  <si>
    <t xml:space="preserve"> 3.059亿</t>
  </si>
  <si>
    <t xml:space="preserve"> 26.89亿</t>
  </si>
  <si>
    <t xml:space="preserve"> 东方环宇</t>
  </si>
  <si>
    <t xml:space="preserve"> 5709万</t>
  </si>
  <si>
    <t xml:space="preserve"> 7.47亿</t>
  </si>
  <si>
    <t xml:space="preserve"> 32.90亿</t>
  </si>
  <si>
    <t xml:space="preserve"> 莱茵生物</t>
  </si>
  <si>
    <t xml:space="preserve"> 5708万</t>
  </si>
  <si>
    <t xml:space="preserve"> 7.421亿</t>
  </si>
  <si>
    <t xml:space="preserve"> 59.22亿</t>
  </si>
  <si>
    <t xml:space="preserve"> 40.91亿</t>
  </si>
  <si>
    <t xml:space="preserve"> 金字火腿</t>
  </si>
  <si>
    <t xml:space="preserve"> 5706万</t>
  </si>
  <si>
    <t xml:space="preserve"> 68.40亿</t>
  </si>
  <si>
    <t xml:space="preserve"> 8.938亿</t>
  </si>
  <si>
    <t xml:space="preserve"> 能科科技</t>
  </si>
  <si>
    <t xml:space="preserve"> 5701万</t>
  </si>
  <si>
    <t xml:space="preserve"> 1.666亿</t>
  </si>
  <si>
    <t xml:space="preserve"> 长城军工</t>
  </si>
  <si>
    <t xml:space="preserve"> 5700万</t>
  </si>
  <si>
    <t xml:space="preserve"> 7.242亿</t>
  </si>
  <si>
    <t xml:space="preserve"> 89.37亿</t>
  </si>
  <si>
    <t xml:space="preserve"> 中电兴发</t>
  </si>
  <si>
    <t xml:space="preserve"> 5697万</t>
  </si>
  <si>
    <t xml:space="preserve"> 7.401亿</t>
  </si>
  <si>
    <t xml:space="preserve"> 6.395亿</t>
  </si>
  <si>
    <t xml:space="preserve"> 39.84亿</t>
  </si>
  <si>
    <t xml:space="preserve"> 广西广电</t>
  </si>
  <si>
    <t xml:space="preserve"> 5695万</t>
  </si>
  <si>
    <t xml:space="preserve"> 68.85亿</t>
  </si>
  <si>
    <t xml:space="preserve"> 永安行</t>
  </si>
  <si>
    <t xml:space="preserve"> 5682万</t>
  </si>
  <si>
    <t xml:space="preserve"> 2.322亿</t>
  </si>
  <si>
    <t xml:space="preserve"> 34.86亿</t>
  </si>
  <si>
    <t xml:space="preserve"> 阳光乳业</t>
  </si>
  <si>
    <t xml:space="preserve"> 2.827亿</t>
  </si>
  <si>
    <t xml:space="preserve"> 7706万</t>
  </si>
  <si>
    <t xml:space="preserve"> 云路股份</t>
  </si>
  <si>
    <t xml:space="preserve"> 5681万</t>
  </si>
  <si>
    <t xml:space="preserve"> 83.06亿</t>
  </si>
  <si>
    <t xml:space="preserve"> 5632万</t>
  </si>
  <si>
    <t xml:space="preserve"> 东百集团</t>
  </si>
  <si>
    <t xml:space="preserve"> 5679万</t>
  </si>
  <si>
    <t xml:space="preserve"> 8.698亿</t>
  </si>
  <si>
    <t xml:space="preserve"> 8.689亿</t>
  </si>
  <si>
    <t xml:space="preserve"> 37.19亿</t>
  </si>
  <si>
    <t xml:space="preserve"> 澳洋健康</t>
  </si>
  <si>
    <t xml:space="preserve"> 5678万</t>
  </si>
  <si>
    <t xml:space="preserve"> 7.657亿</t>
  </si>
  <si>
    <t xml:space="preserve"> 31.55亿</t>
  </si>
  <si>
    <t xml:space="preserve"> 7.653亿</t>
  </si>
  <si>
    <t xml:space="preserve"> 阿莱德</t>
  </si>
  <si>
    <t xml:space="preserve"> 5673万</t>
  </si>
  <si>
    <t xml:space="preserve"> 39.68亿</t>
  </si>
  <si>
    <t xml:space="preserve"> 2500万</t>
  </si>
  <si>
    <t xml:space="preserve"> 山东高速</t>
  </si>
  <si>
    <t xml:space="preserve"> 5672万</t>
  </si>
  <si>
    <t xml:space="preserve"> 48.40亿</t>
  </si>
  <si>
    <t xml:space="preserve"> 327.2亿</t>
  </si>
  <si>
    <t xml:space="preserve"> 凤凰航运</t>
  </si>
  <si>
    <t xml:space="preserve"> 5670万</t>
  </si>
  <si>
    <t xml:space="preserve"> 30.87亿</t>
  </si>
  <si>
    <t xml:space="preserve"> 贝斯美</t>
  </si>
  <si>
    <t xml:space="preserve"> 5655万</t>
  </si>
  <si>
    <t xml:space="preserve"> 3.611亿</t>
  </si>
  <si>
    <t xml:space="preserve"> 57.21亿</t>
  </si>
  <si>
    <t xml:space="preserve"> 济南高新</t>
  </si>
  <si>
    <t xml:space="preserve"> 5651万</t>
  </si>
  <si>
    <t xml:space="preserve"> 9.34万</t>
  </si>
  <si>
    <t xml:space="preserve"> 8.846亿</t>
  </si>
  <si>
    <t xml:space="preserve"> 7.870亿</t>
  </si>
  <si>
    <t xml:space="preserve"> 塔牌集团</t>
  </si>
  <si>
    <t xml:space="preserve"> 5650万</t>
  </si>
  <si>
    <t xml:space="preserve"> 86.68亿</t>
  </si>
  <si>
    <t xml:space="preserve"> 86.62亿</t>
  </si>
  <si>
    <t xml:space="preserve"> 激智科技</t>
  </si>
  <si>
    <t xml:space="preserve"> 5649万</t>
  </si>
  <si>
    <t xml:space="preserve"> 2.637亿</t>
  </si>
  <si>
    <t xml:space="preserve"> 46.08亿</t>
  </si>
  <si>
    <t xml:space="preserve"> 2.282亿</t>
  </si>
  <si>
    <t xml:space="preserve"> 环球印务</t>
  </si>
  <si>
    <t xml:space="preserve"> 5648万</t>
  </si>
  <si>
    <t xml:space="preserve"> 35.46亿</t>
  </si>
  <si>
    <t xml:space="preserve"> 深圳燃气</t>
  </si>
  <si>
    <t xml:space="preserve"> 5647万</t>
  </si>
  <si>
    <t xml:space="preserve"> 28.77亿</t>
  </si>
  <si>
    <t xml:space="preserve"> 西部材料</t>
  </si>
  <si>
    <t xml:space="preserve"> 5642万</t>
  </si>
  <si>
    <t xml:space="preserve"> 4.882亿</t>
  </si>
  <si>
    <t xml:space="preserve"> 4.881亿</t>
  </si>
  <si>
    <t xml:space="preserve"> 72.00亿</t>
  </si>
  <si>
    <t xml:space="preserve"> 公牛集团</t>
  </si>
  <si>
    <t xml:space="preserve"> 869.6亿</t>
  </si>
  <si>
    <t xml:space="preserve"> 8.880亿</t>
  </si>
  <si>
    <t xml:space="preserve"> 866.0亿</t>
  </si>
  <si>
    <t xml:space="preserve"> 沪农商行</t>
  </si>
  <si>
    <t xml:space="preserve"> 5641万</t>
  </si>
  <si>
    <t xml:space="preserve"> 96.44亿</t>
  </si>
  <si>
    <t xml:space="preserve"> 548.8亿</t>
  </si>
  <si>
    <t xml:space="preserve"> 263.0亿</t>
  </si>
  <si>
    <t xml:space="preserve"> 中孚实业</t>
  </si>
  <si>
    <t xml:space="preserve"> 5640万</t>
  </si>
  <si>
    <t xml:space="preserve"> 136亿</t>
  </si>
  <si>
    <t xml:space="preserve"> 39.65亿</t>
  </si>
  <si>
    <t xml:space="preserve"> 133.2亿</t>
  </si>
  <si>
    <t xml:space="preserve"> 天利科技</t>
  </si>
  <si>
    <t xml:space="preserve"> 5637万</t>
  </si>
  <si>
    <t xml:space="preserve"> 1.976亿</t>
  </si>
  <si>
    <t xml:space="preserve"> 27.03亿</t>
  </si>
  <si>
    <t xml:space="preserve"> 1.937亿</t>
  </si>
  <si>
    <t xml:space="preserve"> 26.50亿</t>
  </si>
  <si>
    <t xml:space="preserve"> 出版传媒</t>
  </si>
  <si>
    <t xml:space="preserve"> 5634万</t>
  </si>
  <si>
    <t xml:space="preserve"> 中船特气</t>
  </si>
  <si>
    <t xml:space="preserve"> 5629万</t>
  </si>
  <si>
    <t xml:space="preserve"> 5.294亿</t>
  </si>
  <si>
    <t xml:space="preserve"> 180.1亿</t>
  </si>
  <si>
    <t xml:space="preserve"> 6353万</t>
  </si>
  <si>
    <t xml:space="preserve"> 华特达因</t>
  </si>
  <si>
    <t xml:space="preserve"> 5626万</t>
  </si>
  <si>
    <t xml:space="preserve"> 80.68亿</t>
  </si>
  <si>
    <t xml:space="preserve"> 2.342亿</t>
  </si>
  <si>
    <t xml:space="preserve"> 80.64亿</t>
  </si>
  <si>
    <t xml:space="preserve"> 富安娜</t>
  </si>
  <si>
    <t xml:space="preserve"> 74.86亿</t>
  </si>
  <si>
    <t xml:space="preserve"> 4.865亿</t>
  </si>
  <si>
    <t xml:space="preserve"> 喜临门</t>
  </si>
  <si>
    <t xml:space="preserve"> 5624万</t>
  </si>
  <si>
    <t xml:space="preserve"> 60.7亿</t>
  </si>
  <si>
    <t xml:space="preserve"> 3.874亿</t>
  </si>
  <si>
    <t xml:space="preserve"> 鸿利智汇</t>
  </si>
  <si>
    <t xml:space="preserve"> 5623万</t>
  </si>
  <si>
    <t xml:space="preserve"> 7.079亿</t>
  </si>
  <si>
    <t xml:space="preserve"> 58.58亿</t>
  </si>
  <si>
    <t xml:space="preserve"> 西部黄金</t>
  </si>
  <si>
    <t xml:space="preserve"> 5610万</t>
  </si>
  <si>
    <t xml:space="preserve"> 9.229亿</t>
  </si>
  <si>
    <t xml:space="preserve"> 6.840亿</t>
  </si>
  <si>
    <t xml:space="preserve"> 86.80亿</t>
  </si>
  <si>
    <t xml:space="preserve"> 英联股份</t>
  </si>
  <si>
    <t xml:space="preserve"> 5609万</t>
  </si>
  <si>
    <t xml:space="preserve"> 2.411亿</t>
  </si>
  <si>
    <t xml:space="preserve"> 连云港</t>
  </si>
  <si>
    <t xml:space="preserve"> 5606万</t>
  </si>
  <si>
    <t xml:space="preserve"> 52.85亿</t>
  </si>
  <si>
    <t xml:space="preserve"> 金陵药业</t>
  </si>
  <si>
    <t xml:space="preserve"> 5605万</t>
  </si>
  <si>
    <t xml:space="preserve"> 5.111亿</t>
  </si>
  <si>
    <t xml:space="preserve"> 43.70亿</t>
  </si>
  <si>
    <t xml:space="preserve"> 5.033亿</t>
  </si>
  <si>
    <t xml:space="preserve"> 43.03亿</t>
  </si>
  <si>
    <t xml:space="preserve"> 海亮股份</t>
  </si>
  <si>
    <t xml:space="preserve"> 5602万</t>
  </si>
  <si>
    <t xml:space="preserve"> 221.0亿</t>
  </si>
  <si>
    <t xml:space="preserve"> 214.1亿</t>
  </si>
  <si>
    <t xml:space="preserve"> 金沃股份</t>
  </si>
  <si>
    <t xml:space="preserve"> 5598万</t>
  </si>
  <si>
    <t xml:space="preserve"> 7680万</t>
  </si>
  <si>
    <t xml:space="preserve"> 2972万</t>
  </si>
  <si>
    <t xml:space="preserve"> 7.677亿</t>
  </si>
  <si>
    <t xml:space="preserve"> 川发龙蟒</t>
  </si>
  <si>
    <t xml:space="preserve"> 5597万</t>
  </si>
  <si>
    <t xml:space="preserve"> 54.5亿</t>
  </si>
  <si>
    <t xml:space="preserve"> 13.65亿</t>
  </si>
  <si>
    <t xml:space="preserve"> 96.94亿</t>
  </si>
  <si>
    <t xml:space="preserve"> ST熊猫</t>
  </si>
  <si>
    <t xml:space="preserve"> 5596万</t>
  </si>
  <si>
    <t xml:space="preserve"> 1.660亿</t>
  </si>
  <si>
    <t xml:space="preserve"> 中兴商业</t>
  </si>
  <si>
    <t xml:space="preserve"> 5595万</t>
  </si>
  <si>
    <t xml:space="preserve"> 33.42亿</t>
  </si>
  <si>
    <t xml:space="preserve"> 4.151亿</t>
  </si>
  <si>
    <t xml:space="preserve"> 33.37亿</t>
  </si>
  <si>
    <t xml:space="preserve"> 利元亨</t>
  </si>
  <si>
    <t xml:space="preserve"> 5587万</t>
  </si>
  <si>
    <t xml:space="preserve"> 49.45亿</t>
  </si>
  <si>
    <t xml:space="preserve"> 5811万</t>
  </si>
  <si>
    <t xml:space="preserve"> 益民集团</t>
  </si>
  <si>
    <t xml:space="preserve"> 5585万</t>
  </si>
  <si>
    <t xml:space="preserve"> 8.40亿</t>
  </si>
  <si>
    <t xml:space="preserve"> 金城医药</t>
  </si>
  <si>
    <t xml:space="preserve"> 5580万</t>
  </si>
  <si>
    <t xml:space="preserve"> 3.839亿</t>
  </si>
  <si>
    <t xml:space="preserve"> 69.60亿</t>
  </si>
  <si>
    <t xml:space="preserve"> 嘉益股份</t>
  </si>
  <si>
    <t xml:space="preserve"> 49.60亿</t>
  </si>
  <si>
    <t xml:space="preserve"> 2613万</t>
  </si>
  <si>
    <t xml:space="preserve"> 12.46亿</t>
  </si>
  <si>
    <t xml:space="preserve"> 天能股份</t>
  </si>
  <si>
    <t xml:space="preserve"> 5577万</t>
  </si>
  <si>
    <t xml:space="preserve"> 9.721亿</t>
  </si>
  <si>
    <t xml:space="preserve"> 284.5亿</t>
  </si>
  <si>
    <t xml:space="preserve"> 金达威</t>
  </si>
  <si>
    <t xml:space="preserve"> 5574万</t>
  </si>
  <si>
    <t xml:space="preserve"> 6.099亿</t>
  </si>
  <si>
    <t xml:space="preserve"> 6.098亿</t>
  </si>
  <si>
    <t xml:space="preserve"> 众兴菌业</t>
  </si>
  <si>
    <t xml:space="preserve"> 5572万</t>
  </si>
  <si>
    <t xml:space="preserve"> 3.929亿</t>
  </si>
  <si>
    <t xml:space="preserve"> 33.75亿</t>
  </si>
  <si>
    <t xml:space="preserve"> 3.883亿</t>
  </si>
  <si>
    <t xml:space="preserve"> 33.36亿</t>
  </si>
  <si>
    <t xml:space="preserve"> 华阳新材</t>
  </si>
  <si>
    <t xml:space="preserve"> 5571万</t>
  </si>
  <si>
    <t xml:space="preserve"> 5.144亿</t>
  </si>
  <si>
    <t xml:space="preserve"> 24.28亿</t>
  </si>
  <si>
    <t xml:space="preserve"> 天阳科技</t>
  </si>
  <si>
    <t xml:space="preserve"> 5552万</t>
  </si>
  <si>
    <t xml:space="preserve"> 4.044亿</t>
  </si>
  <si>
    <t xml:space="preserve"> 57.67亿</t>
  </si>
  <si>
    <t xml:space="preserve"> 开勒股份</t>
  </si>
  <si>
    <t xml:space="preserve"> 5537万</t>
  </si>
  <si>
    <t xml:space="preserve"> 6456万</t>
  </si>
  <si>
    <t xml:space="preserve"> 3505万</t>
  </si>
  <si>
    <t xml:space="preserve"> 15.53亿</t>
  </si>
  <si>
    <t xml:space="preserve"> 蓝特光学</t>
  </si>
  <si>
    <t xml:space="preserve"> 5534万</t>
  </si>
  <si>
    <t xml:space="preserve"> 4.016亿</t>
  </si>
  <si>
    <t xml:space="preserve"> 81.28亿</t>
  </si>
  <si>
    <t xml:space="preserve"> 九州通</t>
  </si>
  <si>
    <t xml:space="preserve"> 5533万</t>
  </si>
  <si>
    <t xml:space="preserve"> 1144亿</t>
  </si>
  <si>
    <t xml:space="preserve"> 292.4亿</t>
  </si>
  <si>
    <t xml:space="preserve"> 乖宝宠物</t>
  </si>
  <si>
    <t xml:space="preserve"> 5531万</t>
  </si>
  <si>
    <t xml:space="preserve"> 3756万</t>
  </si>
  <si>
    <t xml:space="preserve"> 16.68亿</t>
  </si>
  <si>
    <t xml:space="preserve"> 斯迪克</t>
  </si>
  <si>
    <t xml:space="preserve"> 5527万</t>
  </si>
  <si>
    <t xml:space="preserve"> 70.35亿</t>
  </si>
  <si>
    <t xml:space="preserve"> 欧福蛋业</t>
  </si>
  <si>
    <t xml:space="preserve"> 5526万</t>
  </si>
  <si>
    <t xml:space="preserve"> 7.33亿</t>
  </si>
  <si>
    <t xml:space="preserve"> 5311万</t>
  </si>
  <si>
    <t xml:space="preserve"> 2.767亿</t>
  </si>
  <si>
    <t xml:space="preserve"> 渝 开 发</t>
  </si>
  <si>
    <t xml:space="preserve"> 5525万</t>
  </si>
  <si>
    <t xml:space="preserve"> 正威新材</t>
  </si>
  <si>
    <t xml:space="preserve"> 5524万</t>
  </si>
  <si>
    <t xml:space="preserve"> 6.516亿</t>
  </si>
  <si>
    <t xml:space="preserve"> 47.11亿</t>
  </si>
  <si>
    <t xml:space="preserve"> 6.503亿</t>
  </si>
  <si>
    <t xml:space="preserve"> 47.01亿</t>
  </si>
  <si>
    <t xml:space="preserve"> 百利科技</t>
  </si>
  <si>
    <t xml:space="preserve"> 5522万</t>
  </si>
  <si>
    <t xml:space="preserve"> 4.903亿</t>
  </si>
  <si>
    <t xml:space="preserve"> 广生堂</t>
  </si>
  <si>
    <t xml:space="preserve"> 5519万</t>
  </si>
  <si>
    <t xml:space="preserve"> 1.355亿</t>
  </si>
  <si>
    <t xml:space="preserve"> 健之佳</t>
  </si>
  <si>
    <t xml:space="preserve"> 5512万</t>
  </si>
  <si>
    <t xml:space="preserve"> 1.170亿</t>
  </si>
  <si>
    <t xml:space="preserve"> 光韵达</t>
  </si>
  <si>
    <t xml:space="preserve"> 5510万</t>
  </si>
  <si>
    <t xml:space="preserve"> 7.64亿</t>
  </si>
  <si>
    <t xml:space="preserve"> 4.998亿</t>
  </si>
  <si>
    <t xml:space="preserve"> 4.074亿</t>
  </si>
  <si>
    <t xml:space="preserve"> 科翔股份</t>
  </si>
  <si>
    <t xml:space="preserve"> 5508万</t>
  </si>
  <si>
    <t xml:space="preserve"> 4.147亿</t>
  </si>
  <si>
    <t xml:space="preserve"> 3.297亿</t>
  </si>
  <si>
    <t xml:space="preserve"> 三友化工</t>
  </si>
  <si>
    <t xml:space="preserve"> 5504万</t>
  </si>
  <si>
    <t xml:space="preserve"> 20.64亿</t>
  </si>
  <si>
    <t xml:space="preserve"> 石化油服</t>
  </si>
  <si>
    <t xml:space="preserve"> 5502万</t>
  </si>
  <si>
    <t xml:space="preserve"> 558亿</t>
  </si>
  <si>
    <t xml:space="preserve"> 189.8亿</t>
  </si>
  <si>
    <t xml:space="preserve"> 安宁股份</t>
  </si>
  <si>
    <t xml:space="preserve"> 5499万</t>
  </si>
  <si>
    <t xml:space="preserve"> 2.990亿</t>
  </si>
  <si>
    <t xml:space="preserve"> 97.41亿</t>
  </si>
  <si>
    <t xml:space="preserve"> 祥生医疗</t>
  </si>
  <si>
    <t xml:space="preserve"> 5496万</t>
  </si>
  <si>
    <t xml:space="preserve"> 1.121亿</t>
  </si>
  <si>
    <t xml:space="preserve"> 48.29亿</t>
  </si>
  <si>
    <t xml:space="preserve"> 富临运业</t>
  </si>
  <si>
    <t xml:space="preserve"> 5494万</t>
  </si>
  <si>
    <t xml:space="preserve"> 6.47亿</t>
  </si>
  <si>
    <t xml:space="preserve"> 25.11亿</t>
  </si>
  <si>
    <t xml:space="preserve"> 大连友谊</t>
  </si>
  <si>
    <t xml:space="preserve"> 5492万</t>
  </si>
  <si>
    <t xml:space="preserve"> 21.28亿</t>
  </si>
  <si>
    <t xml:space="preserve"> 青达环保</t>
  </si>
  <si>
    <t xml:space="preserve"> 5491万</t>
  </si>
  <si>
    <t xml:space="preserve"> 1.231亿</t>
  </si>
  <si>
    <t xml:space="preserve"> 20.76亿</t>
  </si>
  <si>
    <t xml:space="preserve"> 8172万</t>
  </si>
  <si>
    <t xml:space="preserve"> 金辰股份</t>
  </si>
  <si>
    <t xml:space="preserve"> 5488万</t>
  </si>
  <si>
    <t xml:space="preserve"> 1.161亿</t>
  </si>
  <si>
    <t xml:space="preserve"> 55.12亿</t>
  </si>
  <si>
    <t xml:space="preserve"> 1.160亿</t>
  </si>
  <si>
    <t xml:space="preserve"> 55.09亿</t>
  </si>
  <si>
    <t xml:space="preserve"> 振江股份</t>
  </si>
  <si>
    <t xml:space="preserve"> 35.32亿</t>
  </si>
  <si>
    <t xml:space="preserve"> *ST园城</t>
  </si>
  <si>
    <t xml:space="preserve"> 5487万</t>
  </si>
  <si>
    <t xml:space="preserve"> 2.242亿</t>
  </si>
  <si>
    <t xml:space="preserve"> 2.239亿</t>
  </si>
  <si>
    <t xml:space="preserve"> 37.73亿</t>
  </si>
  <si>
    <t xml:space="preserve"> 星帅尔</t>
  </si>
  <si>
    <t xml:space="preserve"> 5486万</t>
  </si>
  <si>
    <t xml:space="preserve"> 3.065亿</t>
  </si>
  <si>
    <t xml:space="preserve"> 39.94亿</t>
  </si>
  <si>
    <t xml:space="preserve"> 2.277亿</t>
  </si>
  <si>
    <t xml:space="preserve"> 益佰制药</t>
  </si>
  <si>
    <t xml:space="preserve"> *ST全筑</t>
  </si>
  <si>
    <t xml:space="preserve"> 6.351亿</t>
  </si>
  <si>
    <t xml:space="preserve"> 博济医药</t>
  </si>
  <si>
    <t xml:space="preserve"> 5481万</t>
  </si>
  <si>
    <t xml:space="preserve"> 36.13亿</t>
  </si>
  <si>
    <t xml:space="preserve"> 2.703亿</t>
  </si>
  <si>
    <t xml:space="preserve"> 26.39亿</t>
  </si>
  <si>
    <t xml:space="preserve"> 长药控股</t>
  </si>
  <si>
    <t xml:space="preserve"> 5474万</t>
  </si>
  <si>
    <t xml:space="preserve"> 3.503亿</t>
  </si>
  <si>
    <t xml:space="preserve"> 银河磁体</t>
  </si>
  <si>
    <t xml:space="preserve"> 5472万</t>
  </si>
  <si>
    <t xml:space="preserve"> 3.231亿</t>
  </si>
  <si>
    <t xml:space="preserve"> 56.87亿</t>
  </si>
  <si>
    <t xml:space="preserve"> 2.308亿</t>
  </si>
  <si>
    <t xml:space="preserve"> 40.62亿</t>
  </si>
  <si>
    <t xml:space="preserve"> 实朴检测</t>
  </si>
  <si>
    <t xml:space="preserve"> 5463万</t>
  </si>
  <si>
    <t xml:space="preserve"> 9.821亿</t>
  </si>
  <si>
    <t xml:space="preserve"> 创元科技</t>
  </si>
  <si>
    <t xml:space="preserve"> 5461万</t>
  </si>
  <si>
    <t xml:space="preserve"> 42.29亿</t>
  </si>
  <si>
    <t xml:space="preserve"> 帝奥微</t>
  </si>
  <si>
    <t xml:space="preserve"> 5456万</t>
  </si>
  <si>
    <t xml:space="preserve"> 48.21亿</t>
  </si>
  <si>
    <t xml:space="preserve"> 通达股份</t>
  </si>
  <si>
    <t xml:space="preserve"> 5455万</t>
  </si>
  <si>
    <t xml:space="preserve"> 5.267亿</t>
  </si>
  <si>
    <t xml:space="preserve"> 4.529亿</t>
  </si>
  <si>
    <t xml:space="preserve"> 德美化工</t>
  </si>
  <si>
    <t xml:space="preserve"> 5452万</t>
  </si>
  <si>
    <t xml:space="preserve"> 4.821亿</t>
  </si>
  <si>
    <t xml:space="preserve"> 33.99亿</t>
  </si>
  <si>
    <t xml:space="preserve"> 3.831亿</t>
  </si>
  <si>
    <t xml:space="preserve"> 艾比森</t>
  </si>
  <si>
    <t xml:space="preserve"> 5451万</t>
  </si>
  <si>
    <t xml:space="preserve"> 56.29亿</t>
  </si>
  <si>
    <t xml:space="preserve"> 35.52亿</t>
  </si>
  <si>
    <t xml:space="preserve"> 南网储能</t>
  </si>
  <si>
    <t xml:space="preserve"> 5449万</t>
  </si>
  <si>
    <t xml:space="preserve"> 31.96亿</t>
  </si>
  <si>
    <t xml:space="preserve"> 307.1亿</t>
  </si>
  <si>
    <t xml:space="preserve"> 力星股份</t>
  </si>
  <si>
    <t xml:space="preserve"> 5435万</t>
  </si>
  <si>
    <t xml:space="preserve"> 广济药业</t>
  </si>
  <si>
    <t xml:space="preserve"> 5433万</t>
  </si>
  <si>
    <t xml:space="preserve"> 29.59亿</t>
  </si>
  <si>
    <t xml:space="preserve"> 28.76亿</t>
  </si>
  <si>
    <t xml:space="preserve"> 金开新能</t>
  </si>
  <si>
    <t xml:space="preserve"> 5429万</t>
  </si>
  <si>
    <t xml:space="preserve"> -1.31万</t>
  </si>
  <si>
    <t xml:space="preserve"> 131.2亿</t>
  </si>
  <si>
    <t xml:space="preserve"> 亿通科技</t>
  </si>
  <si>
    <t xml:space="preserve"> 2.980亿</t>
  </si>
  <si>
    <t xml:space="preserve"> 赛伍技术</t>
  </si>
  <si>
    <t xml:space="preserve"> 5422万</t>
  </si>
  <si>
    <t xml:space="preserve"> 68.42亿</t>
  </si>
  <si>
    <t xml:space="preserve"> 68.03亿</t>
  </si>
  <si>
    <t xml:space="preserve"> 妙可蓝多</t>
  </si>
  <si>
    <t xml:space="preserve"> 5421万</t>
  </si>
  <si>
    <t xml:space="preserve"> 5.138亿</t>
  </si>
  <si>
    <t xml:space="preserve"> 88.27亿</t>
  </si>
  <si>
    <t xml:space="preserve"> 5.121亿</t>
  </si>
  <si>
    <t xml:space="preserve"> 87.97亿</t>
  </si>
  <si>
    <t xml:space="preserve"> 通宝能源</t>
  </si>
  <si>
    <t xml:space="preserve"> 5418万</t>
  </si>
  <si>
    <t xml:space="preserve"> 80.9亿</t>
  </si>
  <si>
    <t xml:space="preserve"> 瑞丰银行</t>
  </si>
  <si>
    <t xml:space="preserve"> 5417万</t>
  </si>
  <si>
    <t xml:space="preserve"> 29.0亿</t>
  </si>
  <si>
    <t xml:space="preserve"> 19.62亿</t>
  </si>
  <si>
    <t xml:space="preserve"> 98.89亿</t>
  </si>
  <si>
    <t xml:space="preserve"> 7.894亿</t>
  </si>
  <si>
    <t xml:space="preserve"> 39.78亿</t>
  </si>
  <si>
    <t xml:space="preserve"> 富满微</t>
  </si>
  <si>
    <t xml:space="preserve"> 5416万</t>
  </si>
  <si>
    <t xml:space="preserve"> 5.23亿</t>
  </si>
  <si>
    <t xml:space="preserve"> 2.177亿</t>
  </si>
  <si>
    <t xml:space="preserve"> 74.64亿</t>
  </si>
  <si>
    <t xml:space="preserve"> 2.170亿</t>
  </si>
  <si>
    <t xml:space="preserve"> 铁大科技</t>
  </si>
  <si>
    <t xml:space="preserve"> 5415万</t>
  </si>
  <si>
    <t xml:space="preserve"> 1.367亿</t>
  </si>
  <si>
    <t xml:space="preserve"> 8.612亿</t>
  </si>
  <si>
    <t xml:space="preserve"> 3.750亿</t>
  </si>
  <si>
    <t xml:space="preserve"> 海南橡胶</t>
  </si>
  <si>
    <t xml:space="preserve"> 5405万</t>
  </si>
  <si>
    <t xml:space="preserve"> 248亿</t>
  </si>
  <si>
    <t xml:space="preserve"> 42.79亿</t>
  </si>
  <si>
    <t xml:space="preserve"> ST鸿达</t>
  </si>
  <si>
    <t xml:space="preserve"> 5404万</t>
  </si>
  <si>
    <t xml:space="preserve"> -8.29万</t>
  </si>
  <si>
    <t xml:space="preserve"> 31.00亿</t>
  </si>
  <si>
    <t xml:space="preserve"> 大胜达</t>
  </si>
  <si>
    <t xml:space="preserve"> 5402万</t>
  </si>
  <si>
    <t xml:space="preserve"> 4.195亿</t>
  </si>
  <si>
    <t xml:space="preserve"> 伟创电气</t>
  </si>
  <si>
    <t xml:space="preserve"> 5399万</t>
  </si>
  <si>
    <t xml:space="preserve"> 2.103亿</t>
  </si>
  <si>
    <t xml:space="preserve"> 80.82亿</t>
  </si>
  <si>
    <t xml:space="preserve"> 4590万</t>
  </si>
  <si>
    <t xml:space="preserve"> 17.64亿</t>
  </si>
  <si>
    <t xml:space="preserve"> 亚华电子</t>
  </si>
  <si>
    <t xml:space="preserve"> 5397万</t>
  </si>
  <si>
    <t xml:space="preserve"> 1.042亿</t>
  </si>
  <si>
    <t xml:space="preserve"> 34.03亿</t>
  </si>
  <si>
    <t xml:space="preserve"> 2605万</t>
  </si>
  <si>
    <t xml:space="preserve"> 8.508亿</t>
  </si>
  <si>
    <t xml:space="preserve"> 岳阳林纸</t>
  </si>
  <si>
    <t xml:space="preserve"> 5396万</t>
  </si>
  <si>
    <t xml:space="preserve"> 112.6亿</t>
  </si>
  <si>
    <t xml:space="preserve"> 航天环宇</t>
  </si>
  <si>
    <t xml:space="preserve"> 5391万</t>
  </si>
  <si>
    <t xml:space="preserve"> 4.069亿</t>
  </si>
  <si>
    <t xml:space="preserve"> 3384万</t>
  </si>
  <si>
    <t xml:space="preserve"> 9.055亿</t>
  </si>
  <si>
    <t xml:space="preserve"> 皇台酒业</t>
  </si>
  <si>
    <t xml:space="preserve"> 5380万</t>
  </si>
  <si>
    <t xml:space="preserve"> 29.33亿</t>
  </si>
  <si>
    <t xml:space="preserve"> 华神科技</t>
  </si>
  <si>
    <t xml:space="preserve"> 5379万</t>
  </si>
  <si>
    <t xml:space="preserve"> 6.281亿</t>
  </si>
  <si>
    <t xml:space="preserve"> 6.202亿</t>
  </si>
  <si>
    <t xml:space="preserve"> 贵研铂业</t>
  </si>
  <si>
    <t xml:space="preserve"> 5378万</t>
  </si>
  <si>
    <t xml:space="preserve"> 7.610亿</t>
  </si>
  <si>
    <t xml:space="preserve"> 7.389亿</t>
  </si>
  <si>
    <t xml:space="preserve"> 106.8亿</t>
  </si>
  <si>
    <t xml:space="preserve"> 粤高速Ａ</t>
  </si>
  <si>
    <t xml:space="preserve"> 5368万</t>
  </si>
  <si>
    <t xml:space="preserve"> 20.91亿</t>
  </si>
  <si>
    <t xml:space="preserve"> 169.4亿</t>
  </si>
  <si>
    <t xml:space="preserve"> 105.6亿</t>
  </si>
  <si>
    <t xml:space="preserve"> 德宏股份</t>
  </si>
  <si>
    <t xml:space="preserve"> 5361万</t>
  </si>
  <si>
    <t xml:space="preserve"> 海印股份</t>
  </si>
  <si>
    <t xml:space="preserve"> -1.21万</t>
  </si>
  <si>
    <t xml:space="preserve"> 23.87亿</t>
  </si>
  <si>
    <t xml:space="preserve"> 稳健医疗</t>
  </si>
  <si>
    <t xml:space="preserve"> 5359万</t>
  </si>
  <si>
    <t xml:space="preserve"> 60.1亿</t>
  </si>
  <si>
    <t xml:space="preserve"> 5.944亿</t>
  </si>
  <si>
    <t xml:space="preserve"> 1.877亿</t>
  </si>
  <si>
    <t xml:space="preserve"> 72.66亿</t>
  </si>
  <si>
    <t xml:space="preserve"> 萤石网络</t>
  </si>
  <si>
    <t xml:space="preserve"> 5358万</t>
  </si>
  <si>
    <t xml:space="preserve"> 267.2亿</t>
  </si>
  <si>
    <t xml:space="preserve"> 8960万</t>
  </si>
  <si>
    <t xml:space="preserve"> 亚通股份</t>
  </si>
  <si>
    <t xml:space="preserve"> 5357万</t>
  </si>
  <si>
    <t xml:space="preserve"> 3.518亿</t>
  </si>
  <si>
    <t xml:space="preserve"> 22.34亿</t>
  </si>
  <si>
    <t xml:space="preserve"> 2.550亿</t>
  </si>
  <si>
    <t xml:space="preserve"> 16.19亿</t>
  </si>
  <si>
    <t xml:space="preserve"> 苏州高新</t>
  </si>
  <si>
    <t xml:space="preserve"> 5356万</t>
  </si>
  <si>
    <t xml:space="preserve"> 三孚新科</t>
  </si>
  <si>
    <t xml:space="preserve"> 5347万</t>
  </si>
  <si>
    <t xml:space="preserve"> 9292万</t>
  </si>
  <si>
    <t xml:space="preserve"> 4997万</t>
  </si>
  <si>
    <t xml:space="preserve"> 34.29亿</t>
  </si>
  <si>
    <t xml:space="preserve"> 中纺标</t>
  </si>
  <si>
    <t xml:space="preserve"> 1304万</t>
  </si>
  <si>
    <t xml:space="preserve"> 兴蓉环境</t>
  </si>
  <si>
    <t xml:space="preserve"> 5343万</t>
  </si>
  <si>
    <t xml:space="preserve"> 29.86亿</t>
  </si>
  <si>
    <t xml:space="preserve"> 164.8亿</t>
  </si>
  <si>
    <t xml:space="preserve"> 新智认知</t>
  </si>
  <si>
    <t xml:space="preserve"> 5341万</t>
  </si>
  <si>
    <t xml:space="preserve"> 5.045亿</t>
  </si>
  <si>
    <t xml:space="preserve"> 51.00亿</t>
  </si>
  <si>
    <t xml:space="preserve"> 西麦食品</t>
  </si>
  <si>
    <t xml:space="preserve"> 2.224亿</t>
  </si>
  <si>
    <t xml:space="preserve"> 33.47亿</t>
  </si>
  <si>
    <t xml:space="preserve"> 茂硕电源</t>
  </si>
  <si>
    <t xml:space="preserve"> 5337万</t>
  </si>
  <si>
    <t xml:space="preserve"> 34.38亿</t>
  </si>
  <si>
    <t xml:space="preserve"> 24.78亿</t>
  </si>
  <si>
    <t xml:space="preserve"> 滨化股份</t>
  </si>
  <si>
    <t xml:space="preserve"> 20.58亿</t>
  </si>
  <si>
    <t xml:space="preserve"> 88.29亿</t>
  </si>
  <si>
    <t xml:space="preserve"> 福蓉科技</t>
  </si>
  <si>
    <t xml:space="preserve"> 5336万</t>
  </si>
  <si>
    <t xml:space="preserve"> 6.777亿</t>
  </si>
  <si>
    <t xml:space="preserve"> 93.25亿</t>
  </si>
  <si>
    <t xml:space="preserve"> 远大智能</t>
  </si>
  <si>
    <t xml:space="preserve"> 5334万</t>
  </si>
  <si>
    <t xml:space="preserve"> 9.43亿</t>
  </si>
  <si>
    <t xml:space="preserve"> 46.95亿</t>
  </si>
  <si>
    <t xml:space="preserve"> 46.86亿</t>
  </si>
  <si>
    <t xml:space="preserve"> 英特集团</t>
  </si>
  <si>
    <t xml:space="preserve"> 5333万</t>
  </si>
  <si>
    <t xml:space="preserve"> 5.224亿</t>
  </si>
  <si>
    <t xml:space="preserve"> 63.32亿</t>
  </si>
  <si>
    <t xml:space="preserve"> 38.52亿</t>
  </si>
  <si>
    <t xml:space="preserve"> 雷神科技</t>
  </si>
  <si>
    <t xml:space="preserve"> 5330万</t>
  </si>
  <si>
    <t xml:space="preserve"> 5254万</t>
  </si>
  <si>
    <t xml:space="preserve"> 6.520亿</t>
  </si>
  <si>
    <t xml:space="preserve"> 鼎胜新材</t>
  </si>
  <si>
    <t xml:space="preserve"> 5323万</t>
  </si>
  <si>
    <t xml:space="preserve"> 8.809亿</t>
  </si>
  <si>
    <t xml:space="preserve"> 物产环能</t>
  </si>
  <si>
    <t xml:space="preserve"> 5320万</t>
  </si>
  <si>
    <t xml:space="preserve"> 5.580亿</t>
  </si>
  <si>
    <t xml:space="preserve"> 86.37亿</t>
  </si>
  <si>
    <t xml:space="preserve"> 36.79亿</t>
  </si>
  <si>
    <t xml:space="preserve"> 沃特股份</t>
  </si>
  <si>
    <t xml:space="preserve"> 5319万</t>
  </si>
  <si>
    <t xml:space="preserve"> 1.718亿</t>
  </si>
  <si>
    <t xml:space="preserve"> 33.15亿</t>
  </si>
  <si>
    <t xml:space="preserve"> 弘亚数控</t>
  </si>
  <si>
    <t xml:space="preserve"> 5318万</t>
  </si>
  <si>
    <t xml:space="preserve"> 4.242亿</t>
  </si>
  <si>
    <t xml:space="preserve"> 74.37亿</t>
  </si>
  <si>
    <t xml:space="preserve"> 2.554亿</t>
  </si>
  <si>
    <t xml:space="preserve"> 航发科技</t>
  </si>
  <si>
    <t xml:space="preserve"> 3.301亿</t>
  </si>
  <si>
    <t xml:space="preserve"> 兴通股份</t>
  </si>
  <si>
    <t xml:space="preserve"> 5316万</t>
  </si>
  <si>
    <t xml:space="preserve"> 9.07亿</t>
  </si>
  <si>
    <t xml:space="preserve"> 47.96亿</t>
  </si>
  <si>
    <t xml:space="preserve"> 1.832亿</t>
  </si>
  <si>
    <t xml:space="preserve"> 武进不锈</t>
  </si>
  <si>
    <t xml:space="preserve"> 5.611亿</t>
  </si>
  <si>
    <t xml:space="preserve"> 44.27亿</t>
  </si>
  <si>
    <t xml:space="preserve"> 南 京 港</t>
  </si>
  <si>
    <t xml:space="preserve"> 5309万</t>
  </si>
  <si>
    <t xml:space="preserve"> 4.912亿</t>
  </si>
  <si>
    <t xml:space="preserve"> 35.81亿</t>
  </si>
  <si>
    <t xml:space="preserve"> 智洋创新</t>
  </si>
  <si>
    <t xml:space="preserve"> 5308万</t>
  </si>
  <si>
    <t xml:space="preserve"> 29.52亿</t>
  </si>
  <si>
    <t xml:space="preserve"> 熵基科技</t>
  </si>
  <si>
    <t xml:space="preserve"> 5307万</t>
  </si>
  <si>
    <t xml:space="preserve"> 62.80亿</t>
  </si>
  <si>
    <t xml:space="preserve"> 21.41亿</t>
  </si>
  <si>
    <t xml:space="preserve"> 厦门港务</t>
  </si>
  <si>
    <t xml:space="preserve"> 佛塑科技</t>
  </si>
  <si>
    <t xml:space="preserve"> 5305万</t>
  </si>
  <si>
    <t xml:space="preserve"> 9.674亿</t>
  </si>
  <si>
    <t xml:space="preserve"> 通裕重工</t>
  </si>
  <si>
    <t xml:space="preserve"> 38.97亿</t>
  </si>
  <si>
    <t xml:space="preserve"> 94.70亿</t>
  </si>
  <si>
    <t xml:space="preserve"> 37.05亿</t>
  </si>
  <si>
    <t xml:space="preserve"> 杭叉集团</t>
  </si>
  <si>
    <t xml:space="preserve"> 5304万</t>
  </si>
  <si>
    <t xml:space="preserve"> 永顺泰</t>
  </si>
  <si>
    <t xml:space="preserve"> 5298万</t>
  </si>
  <si>
    <t xml:space="preserve"> 5.017亿</t>
  </si>
  <si>
    <t xml:space="preserve"> 63.17亿</t>
  </si>
  <si>
    <t xml:space="preserve"> 2.360亿</t>
  </si>
  <si>
    <t xml:space="preserve"> 华帝股份</t>
  </si>
  <si>
    <t xml:space="preserve"> 8.477亿</t>
  </si>
  <si>
    <t xml:space="preserve"> 国科军工</t>
  </si>
  <si>
    <t xml:space="preserve"> 5297万</t>
  </si>
  <si>
    <t xml:space="preserve"> 78.89亿</t>
  </si>
  <si>
    <t xml:space="preserve"> 3316万</t>
  </si>
  <si>
    <t xml:space="preserve"> 博迈科</t>
  </si>
  <si>
    <t xml:space="preserve"> 2.817亿</t>
  </si>
  <si>
    <t xml:space="preserve"> 中色股份</t>
  </si>
  <si>
    <t xml:space="preserve"> 5293万</t>
  </si>
  <si>
    <t xml:space="preserve"> 19.93亿</t>
  </si>
  <si>
    <t xml:space="preserve"> 19.69亿</t>
  </si>
  <si>
    <t xml:space="preserve"> 89.01亿</t>
  </si>
  <si>
    <t xml:space="preserve"> 信邦智能</t>
  </si>
  <si>
    <t xml:space="preserve"> 5291万</t>
  </si>
  <si>
    <t xml:space="preserve"> 3626万</t>
  </si>
  <si>
    <t xml:space="preserve"> 国中水务</t>
  </si>
  <si>
    <t xml:space="preserve"> 5290万</t>
  </si>
  <si>
    <t xml:space="preserve"> -5.90万</t>
  </si>
  <si>
    <t xml:space="preserve"> 新大洲A</t>
  </si>
  <si>
    <t xml:space="preserve"> 5285万</t>
  </si>
  <si>
    <t xml:space="preserve"> 8.337亿</t>
  </si>
  <si>
    <t xml:space="preserve"> 22.96亿</t>
  </si>
  <si>
    <t xml:space="preserve"> 邦德股份</t>
  </si>
  <si>
    <t xml:space="preserve"> 1.189亿</t>
  </si>
  <si>
    <t xml:space="preserve"> 5190万</t>
  </si>
  <si>
    <t xml:space="preserve"> 7.759亿</t>
  </si>
  <si>
    <t xml:space="preserve"> 时代新材</t>
  </si>
  <si>
    <t xml:space="preserve"> 5284万</t>
  </si>
  <si>
    <t xml:space="preserve"> 76.91亿</t>
  </si>
  <si>
    <t xml:space="preserve"> 朗进科技</t>
  </si>
  <si>
    <t xml:space="preserve"> 9188万</t>
  </si>
  <si>
    <t xml:space="preserve"> 9059万</t>
  </si>
  <si>
    <t xml:space="preserve"> 19.17亿</t>
  </si>
  <si>
    <t xml:space="preserve"> 明冠新材</t>
  </si>
  <si>
    <t xml:space="preserve"> 36.29亿</t>
  </si>
  <si>
    <t xml:space="preserve"> 1.275亿</t>
  </si>
  <si>
    <t xml:space="preserve"> 22.99亿</t>
  </si>
  <si>
    <t xml:space="preserve"> 长虹华意</t>
  </si>
  <si>
    <t xml:space="preserve"> 5277万</t>
  </si>
  <si>
    <t xml:space="preserve"> 6.960亿</t>
  </si>
  <si>
    <t xml:space="preserve"> 6.945亿</t>
  </si>
  <si>
    <t xml:space="preserve"> 涪陵电力</t>
  </si>
  <si>
    <t xml:space="preserve"> 5276万</t>
  </si>
  <si>
    <t xml:space="preserve"> 10.98亿</t>
  </si>
  <si>
    <t xml:space="preserve"> 中信重工</t>
  </si>
  <si>
    <t xml:space="preserve"> 5274万</t>
  </si>
  <si>
    <t xml:space="preserve"> 69.9亿</t>
  </si>
  <si>
    <t xml:space="preserve"> 43.39亿</t>
  </si>
  <si>
    <t xml:space="preserve"> 新瀚新材</t>
  </si>
  <si>
    <t xml:space="preserve"> 5271万</t>
  </si>
  <si>
    <t xml:space="preserve"> 29.99亿</t>
  </si>
  <si>
    <t xml:space="preserve"> 6933万</t>
  </si>
  <si>
    <t xml:space="preserve"> 上海凤凰</t>
  </si>
  <si>
    <t xml:space="preserve"> 5262万</t>
  </si>
  <si>
    <t xml:space="preserve"> 2.994亿</t>
  </si>
  <si>
    <t xml:space="preserve"> 27.73亿</t>
  </si>
  <si>
    <t xml:space="preserve"> 密封科技</t>
  </si>
  <si>
    <t xml:space="preserve"> 5261万</t>
  </si>
  <si>
    <t xml:space="preserve"> 31.99亿</t>
  </si>
  <si>
    <t xml:space="preserve"> 7292万</t>
  </si>
  <si>
    <t xml:space="preserve"> 畅联股份</t>
  </si>
  <si>
    <t xml:space="preserve"> 3.624亿</t>
  </si>
  <si>
    <t xml:space="preserve"> 航天晨光</t>
  </si>
  <si>
    <t xml:space="preserve"> 4.316亿</t>
  </si>
  <si>
    <t xml:space="preserve"> 61.16亿</t>
  </si>
  <si>
    <t xml:space="preserve"> 4.213亿</t>
  </si>
  <si>
    <t xml:space="preserve"> 59.70亿</t>
  </si>
  <si>
    <t xml:space="preserve"> 华邦健康</t>
  </si>
  <si>
    <t xml:space="preserve"> 5248万</t>
  </si>
  <si>
    <t xml:space="preserve"> 19.80亿</t>
  </si>
  <si>
    <t xml:space="preserve"> 97.21亿</t>
  </si>
  <si>
    <t xml:space="preserve"> 92.42亿</t>
  </si>
  <si>
    <t xml:space="preserve"> 广信股份</t>
  </si>
  <si>
    <t xml:space="preserve"> 5247万</t>
  </si>
  <si>
    <t xml:space="preserve"> 9.103亿</t>
  </si>
  <si>
    <t xml:space="preserve"> 9.087亿</t>
  </si>
  <si>
    <t xml:space="preserve"> 立高食品</t>
  </si>
  <si>
    <t xml:space="preserve"> 91.29亿</t>
  </si>
  <si>
    <t xml:space="preserve"> 38.30亿</t>
  </si>
  <si>
    <t xml:space="preserve"> 南侨食品</t>
  </si>
  <si>
    <t xml:space="preserve"> 5246万</t>
  </si>
  <si>
    <t xml:space="preserve"> 4.261亿</t>
  </si>
  <si>
    <t xml:space="preserve"> 84.33亿</t>
  </si>
  <si>
    <t xml:space="preserve"> 6779万</t>
  </si>
  <si>
    <t xml:space="preserve"> 聚杰微纤</t>
  </si>
  <si>
    <t xml:space="preserve"> 1.492亿</t>
  </si>
  <si>
    <t xml:space="preserve"> 1.348亿</t>
  </si>
  <si>
    <t xml:space="preserve"> 21.93亿</t>
  </si>
  <si>
    <t xml:space="preserve"> 长飞光纤</t>
  </si>
  <si>
    <t xml:space="preserve"> 5245万</t>
  </si>
  <si>
    <t xml:space="preserve"> 7.579亿</t>
  </si>
  <si>
    <t xml:space="preserve"> 222.8亿</t>
  </si>
  <si>
    <t xml:space="preserve"> 华峰测控</t>
  </si>
  <si>
    <t xml:space="preserve"> 5243万</t>
  </si>
  <si>
    <t xml:space="preserve"> 168.4亿</t>
  </si>
  <si>
    <t xml:space="preserve"> 泰山石油</t>
  </si>
  <si>
    <t xml:space="preserve"> 5236万</t>
  </si>
  <si>
    <t xml:space="preserve"> 26.9亿</t>
  </si>
  <si>
    <t xml:space="preserve"> 4.808亿</t>
  </si>
  <si>
    <t xml:space="preserve"> 信达地产</t>
  </si>
  <si>
    <t xml:space="preserve"> 5234万</t>
  </si>
  <si>
    <t xml:space="preserve"> 先锋新材</t>
  </si>
  <si>
    <t xml:space="preserve"> 5229万</t>
  </si>
  <si>
    <t xml:space="preserve"> 4.740亿</t>
  </si>
  <si>
    <t xml:space="preserve"> 4.168亿</t>
  </si>
  <si>
    <t xml:space="preserve"> 天保基建</t>
  </si>
  <si>
    <t xml:space="preserve"> 5225万</t>
  </si>
  <si>
    <t xml:space="preserve"> 38.29亿</t>
  </si>
  <si>
    <t xml:space="preserve"> 超声电子</t>
  </si>
  <si>
    <t xml:space="preserve"> 5224万</t>
  </si>
  <si>
    <t xml:space="preserve"> 5.370亿</t>
  </si>
  <si>
    <t xml:space="preserve"> 51.87亿</t>
  </si>
  <si>
    <t xml:space="preserve"> 5.369亿</t>
  </si>
  <si>
    <t xml:space="preserve"> 国林科技</t>
  </si>
  <si>
    <t xml:space="preserve"> 5223万</t>
  </si>
  <si>
    <t xml:space="preserve"> 1.376亿</t>
  </si>
  <si>
    <t xml:space="preserve"> 28.04亿</t>
  </si>
  <si>
    <t xml:space="preserve"> 美迪凯</t>
  </si>
  <si>
    <t xml:space="preserve"> 5217万</t>
  </si>
  <si>
    <t xml:space="preserve"> 4.013亿</t>
  </si>
  <si>
    <t xml:space="preserve"> 1.781亿</t>
  </si>
  <si>
    <t xml:space="preserve"> 20.93亿</t>
  </si>
  <si>
    <t xml:space="preserve"> 川恒股份</t>
  </si>
  <si>
    <t xml:space="preserve"> 5214万</t>
  </si>
  <si>
    <t xml:space="preserve"> 5.018亿</t>
  </si>
  <si>
    <t xml:space="preserve"> 93.33亿</t>
  </si>
  <si>
    <t xml:space="preserve"> 4.966亿</t>
  </si>
  <si>
    <t xml:space="preserve"> 92.36亿</t>
  </si>
  <si>
    <t xml:space="preserve"> 国机重装</t>
  </si>
  <si>
    <t xml:space="preserve"> 5210万</t>
  </si>
  <si>
    <t xml:space="preserve"> 81.3亿</t>
  </si>
  <si>
    <t xml:space="preserve"> 72.14亿</t>
  </si>
  <si>
    <t xml:space="preserve"> 楚天高速</t>
  </si>
  <si>
    <t xml:space="preserve"> 5203万</t>
  </si>
  <si>
    <t xml:space="preserve"> -2.04万</t>
  </si>
  <si>
    <t xml:space="preserve"> 16.10亿</t>
  </si>
  <si>
    <t xml:space="preserve"> 天壕能源</t>
  </si>
  <si>
    <t xml:space="preserve"> 5201万</t>
  </si>
  <si>
    <t xml:space="preserve"> 8.494亿</t>
  </si>
  <si>
    <t xml:space="preserve"> 69.23亿</t>
  </si>
  <si>
    <t xml:space="preserve"> 大众交通</t>
  </si>
  <si>
    <t xml:space="preserve"> 5197万</t>
  </si>
  <si>
    <t xml:space="preserve"> 74.47亿</t>
  </si>
  <si>
    <t xml:space="preserve"> 15.63亿</t>
  </si>
  <si>
    <t xml:space="preserve"> 49.24亿</t>
  </si>
  <si>
    <t xml:space="preserve"> 上海机电</t>
  </si>
  <si>
    <t xml:space="preserve"> 5192万</t>
  </si>
  <si>
    <t xml:space="preserve"> 173亿</t>
  </si>
  <si>
    <t xml:space="preserve"> 129.6亿</t>
  </si>
  <si>
    <t xml:space="preserve"> 8.065亿</t>
  </si>
  <si>
    <t xml:space="preserve"> 江南化工</t>
  </si>
  <si>
    <t xml:space="preserve"> 64.7亿</t>
  </si>
  <si>
    <t xml:space="preserve"> 118.4亿</t>
  </si>
  <si>
    <t xml:space="preserve"> 81.70亿</t>
  </si>
  <si>
    <t xml:space="preserve"> 中原高速</t>
  </si>
  <si>
    <t xml:space="preserve"> 5189万</t>
  </si>
  <si>
    <t xml:space="preserve"> 22.47亿</t>
  </si>
  <si>
    <t xml:space="preserve"> 79.11亿</t>
  </si>
  <si>
    <t xml:space="preserve"> 晨曦航空</t>
  </si>
  <si>
    <t xml:space="preserve"> 5184万</t>
  </si>
  <si>
    <t xml:space="preserve"> 金洲管道</t>
  </si>
  <si>
    <t xml:space="preserve"> 37.58亿</t>
  </si>
  <si>
    <t xml:space="preserve"> 5.194亿</t>
  </si>
  <si>
    <t xml:space="preserve"> 明德生物</t>
  </si>
  <si>
    <t xml:space="preserve"> 5178万</t>
  </si>
  <si>
    <t xml:space="preserve"> 2.325亿</t>
  </si>
  <si>
    <t xml:space="preserve"> 38.53亿</t>
  </si>
  <si>
    <t xml:space="preserve"> 飞科电器</t>
  </si>
  <si>
    <t xml:space="preserve"> 5176万</t>
  </si>
  <si>
    <t xml:space="preserve"> 4.356亿</t>
  </si>
  <si>
    <t xml:space="preserve"> 234.3亿</t>
  </si>
  <si>
    <t xml:space="preserve"> 首华燃气</t>
  </si>
  <si>
    <t xml:space="preserve"> 5175万</t>
  </si>
  <si>
    <t xml:space="preserve"> 2.686亿</t>
  </si>
  <si>
    <t xml:space="preserve"> 33.76亿</t>
  </si>
  <si>
    <t xml:space="preserve"> 圣阳股份</t>
  </si>
  <si>
    <t xml:space="preserve"> 5159万</t>
  </si>
  <si>
    <t xml:space="preserve"> 4.539亿</t>
  </si>
  <si>
    <t xml:space="preserve"> 39.49亿</t>
  </si>
  <si>
    <t xml:space="preserve"> 27.97亿</t>
  </si>
  <si>
    <t xml:space="preserve"> 节能风电</t>
  </si>
  <si>
    <t xml:space="preserve"> 5155万</t>
  </si>
  <si>
    <t xml:space="preserve"> 64.75亿</t>
  </si>
  <si>
    <t xml:space="preserve"> 59.52亿</t>
  </si>
  <si>
    <t xml:space="preserve"> 梅安森</t>
  </si>
  <si>
    <t xml:space="preserve"> 5154万</t>
  </si>
  <si>
    <t xml:space="preserve"> 3.023亿</t>
  </si>
  <si>
    <t xml:space="preserve"> 37.39亿</t>
  </si>
  <si>
    <t xml:space="preserve"> 30.93亿</t>
  </si>
  <si>
    <t xml:space="preserve"> 埃夫特-U</t>
  </si>
  <si>
    <t xml:space="preserve"> 5.218亿</t>
  </si>
  <si>
    <t xml:space="preserve"> 58.39亿</t>
  </si>
  <si>
    <t xml:space="preserve"> 福然德</t>
  </si>
  <si>
    <t xml:space="preserve"> 69.6亿</t>
  </si>
  <si>
    <t xml:space="preserve"> 62.24亿</t>
  </si>
  <si>
    <t xml:space="preserve"> 大为股份</t>
  </si>
  <si>
    <t xml:space="preserve"> 2.371亿</t>
  </si>
  <si>
    <t xml:space="preserve"> 宜安科技</t>
  </si>
  <si>
    <t xml:space="preserve"> 6.904亿</t>
  </si>
  <si>
    <t xml:space="preserve"> 49.02亿</t>
  </si>
  <si>
    <t xml:space="preserve"> 海通发展</t>
  </si>
  <si>
    <t xml:space="preserve"> 5146万</t>
  </si>
  <si>
    <t xml:space="preserve"> 6.148亿</t>
  </si>
  <si>
    <t xml:space="preserve"> 6109万</t>
  </si>
  <si>
    <t xml:space="preserve"> 凯中精密</t>
  </si>
  <si>
    <t xml:space="preserve"> 1.702亿</t>
  </si>
  <si>
    <t xml:space="preserve"> 新开源</t>
  </si>
  <si>
    <t xml:space="preserve"> 63.55亿</t>
  </si>
  <si>
    <t xml:space="preserve"> 56.17亿</t>
  </si>
  <si>
    <t xml:space="preserve"> 悦心健康</t>
  </si>
  <si>
    <t xml:space="preserve"> 5140万</t>
  </si>
  <si>
    <t xml:space="preserve"> 9.265亿</t>
  </si>
  <si>
    <t xml:space="preserve"> 41.60亿</t>
  </si>
  <si>
    <t xml:space="preserve"> 9.262亿</t>
  </si>
  <si>
    <t xml:space="preserve"> 恒星科技</t>
  </si>
  <si>
    <t xml:space="preserve"> 44.43亿</t>
  </si>
  <si>
    <t xml:space="preserve"> 13.99亿</t>
  </si>
  <si>
    <t xml:space="preserve"> 派克新材</t>
  </si>
  <si>
    <t xml:space="preserve"> 5125万</t>
  </si>
  <si>
    <t xml:space="preserve"> 1.212亿</t>
  </si>
  <si>
    <t xml:space="preserve"> 112.3亿</t>
  </si>
  <si>
    <t xml:space="preserve"> 德联集团</t>
  </si>
  <si>
    <t xml:space="preserve"> 5124万</t>
  </si>
  <si>
    <t xml:space="preserve"> 7.543亿</t>
  </si>
  <si>
    <t xml:space="preserve"> 4.509亿</t>
  </si>
  <si>
    <t xml:space="preserve"> 23.36亿</t>
  </si>
  <si>
    <t xml:space="preserve"> 迪贝电气</t>
  </si>
  <si>
    <t xml:space="preserve"> 5118万</t>
  </si>
  <si>
    <t xml:space="preserve"> 6.71亿</t>
  </si>
  <si>
    <t xml:space="preserve"> 龙建股份</t>
  </si>
  <si>
    <t xml:space="preserve"> 42.22亿</t>
  </si>
  <si>
    <t xml:space="preserve"> 41.80亿</t>
  </si>
  <si>
    <t xml:space="preserve"> 国创高新</t>
  </si>
  <si>
    <t xml:space="preserve"> 9.163亿</t>
  </si>
  <si>
    <t xml:space="preserve"> 9.160亿</t>
  </si>
  <si>
    <t xml:space="preserve"> 盐 田 港</t>
  </si>
  <si>
    <t xml:space="preserve"> 5117万</t>
  </si>
  <si>
    <t xml:space="preserve"> 成飞集成</t>
  </si>
  <si>
    <t xml:space="preserve"> 5113万</t>
  </si>
  <si>
    <t xml:space="preserve"> 怡和嘉业</t>
  </si>
  <si>
    <t xml:space="preserve"> 5103万</t>
  </si>
  <si>
    <t xml:space="preserve"> 6400万</t>
  </si>
  <si>
    <t xml:space="preserve"> 75.68亿</t>
  </si>
  <si>
    <t xml:space="preserve"> 天山电子</t>
  </si>
  <si>
    <t xml:space="preserve"> 5097万</t>
  </si>
  <si>
    <t xml:space="preserve"> 6560万</t>
  </si>
  <si>
    <t xml:space="preserve"> *ST西发</t>
  </si>
  <si>
    <t xml:space="preserve"> 5096万</t>
  </si>
  <si>
    <t xml:space="preserve"> 2.638亿</t>
  </si>
  <si>
    <t xml:space="preserve"> 18.57亿</t>
  </si>
  <si>
    <t xml:space="preserve"> 荣旗科技</t>
  </si>
  <si>
    <t xml:space="preserve"> 5094万</t>
  </si>
  <si>
    <t xml:space="preserve"> 40.93亿</t>
  </si>
  <si>
    <t xml:space="preserve"> 1264万</t>
  </si>
  <si>
    <t xml:space="preserve"> 9.696亿</t>
  </si>
  <si>
    <t xml:space="preserve"> 杭州热电</t>
  </si>
  <si>
    <t xml:space="preserve"> 5092万</t>
  </si>
  <si>
    <t xml:space="preserve"> 1.211亿</t>
  </si>
  <si>
    <t xml:space="preserve"> 29.37亿</t>
  </si>
  <si>
    <t xml:space="preserve"> 恩威医药</t>
  </si>
  <si>
    <t xml:space="preserve"> 5090万</t>
  </si>
  <si>
    <t xml:space="preserve"> 5.70亿</t>
  </si>
  <si>
    <t xml:space="preserve"> 2298万</t>
  </si>
  <si>
    <t xml:space="preserve"> 爱司凯</t>
  </si>
  <si>
    <t xml:space="preserve"> 思创医惠</t>
  </si>
  <si>
    <t xml:space="preserve"> 5087万</t>
  </si>
  <si>
    <t xml:space="preserve"> 8.01亿</t>
  </si>
  <si>
    <t xml:space="preserve"> 8.638亿</t>
  </si>
  <si>
    <t xml:space="preserve"> 8.363亿</t>
  </si>
  <si>
    <t xml:space="preserve"> 40.39亿</t>
  </si>
  <si>
    <t xml:space="preserve"> 运达股份</t>
  </si>
  <si>
    <t xml:space="preserve"> 5085万</t>
  </si>
  <si>
    <t xml:space="preserve"> 7.021亿</t>
  </si>
  <si>
    <t xml:space="preserve"> 73.58亿</t>
  </si>
  <si>
    <t xml:space="preserve"> 6.879亿</t>
  </si>
  <si>
    <t xml:space="preserve"> 72.09亿</t>
  </si>
  <si>
    <t xml:space="preserve"> 鸿路钢构</t>
  </si>
  <si>
    <t xml:space="preserve"> 160.8亿</t>
  </si>
  <si>
    <t xml:space="preserve"> 4.959亿</t>
  </si>
  <si>
    <t xml:space="preserve"> 创源股份</t>
  </si>
  <si>
    <t xml:space="preserve"> 1.804亿</t>
  </si>
  <si>
    <t xml:space="preserve"> 1.663亿</t>
  </si>
  <si>
    <t xml:space="preserve"> 18.84亿</t>
  </si>
  <si>
    <t xml:space="preserve"> 浙江交科</t>
  </si>
  <si>
    <t xml:space="preserve"> 5082万</t>
  </si>
  <si>
    <t xml:space="preserve"> 97.47亿</t>
  </si>
  <si>
    <t xml:space="preserve"> 海泰科</t>
  </si>
  <si>
    <t xml:space="preserve"> 8320万</t>
  </si>
  <si>
    <t xml:space="preserve"> 4242万</t>
  </si>
  <si>
    <t xml:space="preserve"> 12.48亿</t>
  </si>
  <si>
    <t xml:space="preserve"> 震安科技</t>
  </si>
  <si>
    <t xml:space="preserve"> 5081万</t>
  </si>
  <si>
    <t xml:space="preserve"> 45.89亿</t>
  </si>
  <si>
    <t xml:space="preserve"> 2.094亿</t>
  </si>
  <si>
    <t xml:space="preserve"> 博睿数据</t>
  </si>
  <si>
    <t xml:space="preserve"> 9513万</t>
  </si>
  <si>
    <t xml:space="preserve"> 4440万</t>
  </si>
  <si>
    <t xml:space="preserve"> 23.75亿</t>
  </si>
  <si>
    <t xml:space="preserve"> 锦泓集团</t>
  </si>
  <si>
    <t xml:space="preserve"> 5079万</t>
  </si>
  <si>
    <t xml:space="preserve"> 3.472亿</t>
  </si>
  <si>
    <t xml:space="preserve"> 33.68亿</t>
  </si>
  <si>
    <t xml:space="preserve"> 3.442亿</t>
  </si>
  <si>
    <t xml:space="preserve"> 33.39亿</t>
  </si>
  <si>
    <t xml:space="preserve"> 扬农化工</t>
  </si>
  <si>
    <t xml:space="preserve"> 5071万</t>
  </si>
  <si>
    <t xml:space="preserve"> 4.029亿</t>
  </si>
  <si>
    <t xml:space="preserve"> 三角轮胎</t>
  </si>
  <si>
    <t xml:space="preserve"> 5070万</t>
  </si>
  <si>
    <t xml:space="preserve"> 78.7亿</t>
  </si>
  <si>
    <t xml:space="preserve"> 中国核建</t>
  </si>
  <si>
    <t xml:space="preserve"> 5066万</t>
  </si>
  <si>
    <t xml:space="preserve"> 786亿</t>
  </si>
  <si>
    <t xml:space="preserve"> 30.19亿</t>
  </si>
  <si>
    <t xml:space="preserve"> 29.23亿</t>
  </si>
  <si>
    <t xml:space="preserve"> 罗 牛 山</t>
  </si>
  <si>
    <t xml:space="preserve"> 5065万</t>
  </si>
  <si>
    <t xml:space="preserve"> 67.25亿</t>
  </si>
  <si>
    <t xml:space="preserve"> 华兴源创</t>
  </si>
  <si>
    <t xml:space="preserve"> 4.420亿</t>
  </si>
  <si>
    <t xml:space="preserve"> 鸿日达</t>
  </si>
  <si>
    <t xml:space="preserve"> 5060万</t>
  </si>
  <si>
    <t xml:space="preserve"> 2.067亿</t>
  </si>
  <si>
    <t xml:space="preserve"> 11.56亿</t>
  </si>
  <si>
    <t xml:space="preserve"> 康德莱</t>
  </si>
  <si>
    <t xml:space="preserve"> 46.83亿</t>
  </si>
  <si>
    <t xml:space="preserve"> 综艺股份</t>
  </si>
  <si>
    <t xml:space="preserve"> 5049万</t>
  </si>
  <si>
    <t xml:space="preserve"> 66.30亿</t>
  </si>
  <si>
    <t xml:space="preserve"> 兆日科技</t>
  </si>
  <si>
    <t xml:space="preserve"> 26.31亿</t>
  </si>
  <si>
    <t xml:space="preserve"> 26.18亿</t>
  </si>
  <si>
    <t xml:space="preserve"> 常宝股份</t>
  </si>
  <si>
    <t xml:space="preserve"> 5047万</t>
  </si>
  <si>
    <t xml:space="preserve"> 51.2亿</t>
  </si>
  <si>
    <t xml:space="preserve"> 9.014亿</t>
  </si>
  <si>
    <t xml:space="preserve"> 6.892亿</t>
  </si>
  <si>
    <t xml:space="preserve"> 翔宇医疗</t>
  </si>
  <si>
    <t xml:space="preserve"> 5040万</t>
  </si>
  <si>
    <t xml:space="preserve"> 5251万</t>
  </si>
  <si>
    <t xml:space="preserve"> 中建环能</t>
  </si>
  <si>
    <t xml:space="preserve"> 5034万</t>
  </si>
  <si>
    <t xml:space="preserve"> 6.757亿</t>
  </si>
  <si>
    <t xml:space="preserve"> 32.97亿</t>
  </si>
  <si>
    <t xml:space="preserve"> 6.723亿</t>
  </si>
  <si>
    <t xml:space="preserve"> 青岛中程</t>
  </si>
  <si>
    <t xml:space="preserve"> 5033万</t>
  </si>
  <si>
    <t xml:space="preserve"> 7.495亿</t>
  </si>
  <si>
    <t xml:space="preserve"> 53.14亿</t>
  </si>
  <si>
    <t xml:space="preserve"> 6.873亿</t>
  </si>
  <si>
    <t xml:space="preserve"> 银河微电</t>
  </si>
  <si>
    <t xml:space="preserve"> 3710万</t>
  </si>
  <si>
    <t xml:space="preserve"> 飞天诚信</t>
  </si>
  <si>
    <t xml:space="preserve"> 5031万</t>
  </si>
  <si>
    <t xml:space="preserve"> 47.87亿</t>
  </si>
  <si>
    <t xml:space="preserve"> 27.99亿</t>
  </si>
  <si>
    <t xml:space="preserve"> 国航远洋</t>
  </si>
  <si>
    <t xml:space="preserve"> 5027万</t>
  </si>
  <si>
    <t xml:space="preserve"> 5.554亿</t>
  </si>
  <si>
    <t xml:space="preserve"> 2.198亿</t>
  </si>
  <si>
    <t xml:space="preserve"> 8.812亿</t>
  </si>
  <si>
    <t xml:space="preserve"> 成大生物</t>
  </si>
  <si>
    <t xml:space="preserve"> 5017万</t>
  </si>
  <si>
    <t xml:space="preserve"> 141.8亿</t>
  </si>
  <si>
    <t xml:space="preserve"> 1.888亿</t>
  </si>
  <si>
    <t xml:space="preserve"> 中信海直</t>
  </si>
  <si>
    <t xml:space="preserve"> 5016万</t>
  </si>
  <si>
    <t xml:space="preserve"> 7.758亿</t>
  </si>
  <si>
    <t xml:space="preserve"> 62.06亿</t>
  </si>
  <si>
    <t xml:space="preserve"> 上工申贝</t>
  </si>
  <si>
    <t xml:space="preserve"> 7.132亿</t>
  </si>
  <si>
    <t xml:space="preserve"> 4.692亿</t>
  </si>
  <si>
    <t xml:space="preserve"> 北巴传媒</t>
  </si>
  <si>
    <t xml:space="preserve"> 5012万</t>
  </si>
  <si>
    <t xml:space="preserve"> 8.064亿</t>
  </si>
  <si>
    <t xml:space="preserve"> 爱朋医疗</t>
  </si>
  <si>
    <t xml:space="preserve"> 5011万</t>
  </si>
  <si>
    <t xml:space="preserve"> 1.260亿</t>
  </si>
  <si>
    <t xml:space="preserve"> 8099万</t>
  </si>
  <si>
    <t xml:space="preserve"> 瑞联新材</t>
  </si>
  <si>
    <t xml:space="preserve"> 9.32亿</t>
  </si>
  <si>
    <t xml:space="preserve"> 1.375亿</t>
  </si>
  <si>
    <t xml:space="preserve"> 49.28亿</t>
  </si>
  <si>
    <t xml:space="preserve"> 36.46亿</t>
  </si>
  <si>
    <t xml:space="preserve"> 远达环保</t>
  </si>
  <si>
    <t xml:space="preserve"> 5010万</t>
  </si>
  <si>
    <t xml:space="preserve"> 7.808亿</t>
  </si>
  <si>
    <t xml:space="preserve"> 48.72亿</t>
  </si>
  <si>
    <t xml:space="preserve"> 安阳钢铁</t>
  </si>
  <si>
    <t xml:space="preserve"> 28.72亿</t>
  </si>
  <si>
    <t xml:space="preserve"> 65.78亿</t>
  </si>
  <si>
    <t xml:space="preserve"> 禾盛新材</t>
  </si>
  <si>
    <t xml:space="preserve"> 2.481亿</t>
  </si>
  <si>
    <t xml:space="preserve"> 31.71亿</t>
  </si>
  <si>
    <t xml:space="preserve"> 2.477亿</t>
  </si>
  <si>
    <t xml:space="preserve"> 31.65亿</t>
  </si>
  <si>
    <t xml:space="preserve"> 道氏技术</t>
  </si>
  <si>
    <t xml:space="preserve"> 5003万</t>
  </si>
  <si>
    <t xml:space="preserve"> 64.51亿</t>
  </si>
  <si>
    <t xml:space="preserve"> 4.870亿</t>
  </si>
  <si>
    <t xml:space="preserve"> 康泰医学</t>
  </si>
  <si>
    <t xml:space="preserve"> 5002万</t>
  </si>
  <si>
    <t xml:space="preserve"> 6.17亿</t>
  </si>
  <si>
    <t xml:space="preserve"> 4.018亿</t>
  </si>
  <si>
    <t xml:space="preserve"> 88.88亿</t>
  </si>
  <si>
    <t xml:space="preserve"> 1.993亿</t>
  </si>
  <si>
    <t xml:space="preserve"> 宏达电子</t>
  </si>
  <si>
    <t xml:space="preserve"> 4.118亿</t>
  </si>
  <si>
    <t xml:space="preserve"> 2.136亿</t>
  </si>
  <si>
    <t xml:space="preserve"> 69.01亿</t>
  </si>
  <si>
    <t xml:space="preserve"> 东方锆业</t>
  </si>
  <si>
    <t xml:space="preserve"> 5001万</t>
  </si>
  <si>
    <t xml:space="preserve"> 7.749亿</t>
  </si>
  <si>
    <t xml:space="preserve"> 50.99亿</t>
  </si>
  <si>
    <t xml:space="preserve"> 6.858亿</t>
  </si>
  <si>
    <t xml:space="preserve"> 贵绳股份</t>
  </si>
  <si>
    <t xml:space="preserve"> 2.451亿</t>
  </si>
  <si>
    <t xml:space="preserve"> 38.48亿</t>
  </si>
  <si>
    <t xml:space="preserve"> 阳光诺和</t>
  </si>
  <si>
    <t xml:space="preserve"> 4999万</t>
  </si>
  <si>
    <t xml:space="preserve"> 76.88亿</t>
  </si>
  <si>
    <t xml:space="preserve"> 中芯集成-U</t>
  </si>
  <si>
    <t xml:space="preserve"> 9.57万</t>
  </si>
  <si>
    <t xml:space="preserve"> 4998万</t>
  </si>
  <si>
    <t xml:space="preserve"> 70.45亿</t>
  </si>
  <si>
    <t xml:space="preserve"> 368.4亿</t>
  </si>
  <si>
    <t xml:space="preserve"> 恒顺醋业</t>
  </si>
  <si>
    <t xml:space="preserve"> 4995万</t>
  </si>
  <si>
    <t xml:space="preserve"> *ST新海</t>
  </si>
  <si>
    <t xml:space="preserve"> 4990万</t>
  </si>
  <si>
    <t xml:space="preserve"> 7410万</t>
  </si>
  <si>
    <t xml:space="preserve"> -3.15万</t>
  </si>
  <si>
    <t xml:space="preserve"> 11.89亿</t>
  </si>
  <si>
    <t xml:space="preserve"> 达刚控股</t>
  </si>
  <si>
    <t xml:space="preserve"> 4986万</t>
  </si>
  <si>
    <t xml:space="preserve"> 3.176亿</t>
  </si>
  <si>
    <t xml:space="preserve"> 21.69亿</t>
  </si>
  <si>
    <t xml:space="preserve"> 2.454亿</t>
  </si>
  <si>
    <t xml:space="preserve"> 紫江企业</t>
  </si>
  <si>
    <t xml:space="preserve"> 4984万</t>
  </si>
  <si>
    <t xml:space="preserve"> 浦东金桥</t>
  </si>
  <si>
    <t xml:space="preserve"> 4982万</t>
  </si>
  <si>
    <t xml:space="preserve"> 8.502亿</t>
  </si>
  <si>
    <t xml:space="preserve"> *ST越博</t>
  </si>
  <si>
    <t xml:space="preserve"> 4976万</t>
  </si>
  <si>
    <t xml:space="preserve"> 6.726亿</t>
  </si>
  <si>
    <t xml:space="preserve"> 凯普生物</t>
  </si>
  <si>
    <t xml:space="preserve"> 4971万</t>
  </si>
  <si>
    <t xml:space="preserve"> 6.491亿</t>
  </si>
  <si>
    <t xml:space="preserve"> 64.85亿</t>
  </si>
  <si>
    <t xml:space="preserve"> 6.378亿</t>
  </si>
  <si>
    <t xml:space="preserve"> 时代出版</t>
  </si>
  <si>
    <t xml:space="preserve"> 4970万</t>
  </si>
  <si>
    <t xml:space="preserve"> 62.2亿</t>
  </si>
  <si>
    <t xml:space="preserve"> 56.23亿</t>
  </si>
  <si>
    <t xml:space="preserve"> 山东墨龙</t>
  </si>
  <si>
    <t xml:space="preserve"> 7.978亿</t>
  </si>
  <si>
    <t xml:space="preserve"> 36.06亿</t>
  </si>
  <si>
    <t xml:space="preserve"> 5.416亿</t>
  </si>
  <si>
    <t xml:space="preserve"> 凌志软件</t>
  </si>
  <si>
    <t xml:space="preserve"> 49.12亿</t>
  </si>
  <si>
    <t xml:space="preserve"> 瑞贝卡</t>
  </si>
  <si>
    <t xml:space="preserve"> 30.90亿</t>
  </si>
  <si>
    <t xml:space="preserve"> 超捷股份</t>
  </si>
  <si>
    <t xml:space="preserve"> 4964万</t>
  </si>
  <si>
    <t xml:space="preserve"> 1.045亿</t>
  </si>
  <si>
    <t xml:space="preserve"> 4467万</t>
  </si>
  <si>
    <t xml:space="preserve"> 14.36亿</t>
  </si>
  <si>
    <t xml:space="preserve"> 兰州银行</t>
  </si>
  <si>
    <t xml:space="preserve"> 4963万</t>
  </si>
  <si>
    <t xml:space="preserve"> 62.4亿</t>
  </si>
  <si>
    <t xml:space="preserve"> 56.96亿</t>
  </si>
  <si>
    <t xml:space="preserve"> 76.12亿</t>
  </si>
  <si>
    <t xml:space="preserve"> 微电生理-U</t>
  </si>
  <si>
    <t xml:space="preserve"> 32.72亿</t>
  </si>
  <si>
    <t xml:space="preserve"> 报 喜 鸟</t>
  </si>
  <si>
    <t xml:space="preserve"> 4962万</t>
  </si>
  <si>
    <t xml:space="preserve"> 14.59亿</t>
  </si>
  <si>
    <t xml:space="preserve"> 86.98亿</t>
  </si>
  <si>
    <t xml:space="preserve"> 10.87亿</t>
  </si>
  <si>
    <t xml:space="preserve"> 64.81亿</t>
  </si>
  <si>
    <t xml:space="preserve"> 美达股份</t>
  </si>
  <si>
    <t xml:space="preserve"> 4961万</t>
  </si>
  <si>
    <t xml:space="preserve"> 5.281亿</t>
  </si>
  <si>
    <t xml:space="preserve"> 嘉元科技</t>
  </si>
  <si>
    <t xml:space="preserve"> 4960万</t>
  </si>
  <si>
    <t xml:space="preserve"> 4.262亿</t>
  </si>
  <si>
    <t xml:space="preserve"> 82.90亿</t>
  </si>
  <si>
    <t xml:space="preserve"> 华远地产</t>
  </si>
  <si>
    <t xml:space="preserve"> 4959万</t>
  </si>
  <si>
    <t xml:space="preserve"> 23.46亿</t>
  </si>
  <si>
    <t xml:space="preserve"> 东珠生态</t>
  </si>
  <si>
    <t xml:space="preserve"> 4958万</t>
  </si>
  <si>
    <t xml:space="preserve"> 4.461亿</t>
  </si>
  <si>
    <t xml:space="preserve"> 36.58亿</t>
  </si>
  <si>
    <t xml:space="preserve"> 中国铁物</t>
  </si>
  <si>
    <t xml:space="preserve"> 4948万</t>
  </si>
  <si>
    <t xml:space="preserve"> 44.60亿</t>
  </si>
  <si>
    <t xml:space="preserve"> 万胜智能</t>
  </si>
  <si>
    <t xml:space="preserve"> 4946万</t>
  </si>
  <si>
    <t xml:space="preserve"> 8.39亿</t>
  </si>
  <si>
    <t xml:space="preserve"> 2.044亿</t>
  </si>
  <si>
    <t xml:space="preserve"> 48.74亿</t>
  </si>
  <si>
    <t xml:space="preserve"> 小崧股份</t>
  </si>
  <si>
    <t xml:space="preserve"> 3.105亿</t>
  </si>
  <si>
    <t xml:space="preserve"> 35.50亿</t>
  </si>
  <si>
    <t xml:space="preserve"> 无锡银行</t>
  </si>
  <si>
    <t xml:space="preserve"> 91.84亿</t>
  </si>
  <si>
    <t xml:space="preserve"> 黑牡丹</t>
  </si>
  <si>
    <t xml:space="preserve"> 4945万</t>
  </si>
  <si>
    <t xml:space="preserve"> 59.5亿</t>
  </si>
  <si>
    <t xml:space="preserve"> 3.79万</t>
  </si>
  <si>
    <t xml:space="preserve"> 60.98亿</t>
  </si>
  <si>
    <t xml:space="preserve"> 60.00亿</t>
  </si>
  <si>
    <t xml:space="preserve"> 无锡振华</t>
  </si>
  <si>
    <t xml:space="preserve"> 4936万</t>
  </si>
  <si>
    <t xml:space="preserve"> 54.68亿</t>
  </si>
  <si>
    <t xml:space="preserve"> 6665万</t>
  </si>
  <si>
    <t xml:space="preserve"> 科德数控</t>
  </si>
  <si>
    <t xml:space="preserve"> 4935万</t>
  </si>
  <si>
    <t xml:space="preserve"> 9318万</t>
  </si>
  <si>
    <t xml:space="preserve"> 68.21亿</t>
  </si>
  <si>
    <t xml:space="preserve"> 江阴银行</t>
  </si>
  <si>
    <t xml:space="preserve"> 4931万</t>
  </si>
  <si>
    <t xml:space="preserve"> -1.26万</t>
  </si>
  <si>
    <t xml:space="preserve"> 21.72亿</t>
  </si>
  <si>
    <t xml:space="preserve"> 78.19亿</t>
  </si>
  <si>
    <t xml:space="preserve"> 78.09亿</t>
  </si>
  <si>
    <t xml:space="preserve"> 燕塘乳业</t>
  </si>
  <si>
    <t xml:space="preserve"> 4928万</t>
  </si>
  <si>
    <t xml:space="preserve"> 1.573亿</t>
  </si>
  <si>
    <t xml:space="preserve"> 32.00亿</t>
  </si>
  <si>
    <t xml:space="preserve"> 华光环能</t>
  </si>
  <si>
    <t xml:space="preserve"> 4922万</t>
  </si>
  <si>
    <t xml:space="preserve"> 97.39亿</t>
  </si>
  <si>
    <t xml:space="preserve"> 9.354亿</t>
  </si>
  <si>
    <t xml:space="preserve"> 96.53亿</t>
  </si>
  <si>
    <t xml:space="preserve"> 哈三联</t>
  </si>
  <si>
    <t xml:space="preserve"> 4917万</t>
  </si>
  <si>
    <t xml:space="preserve"> 3.166亿</t>
  </si>
  <si>
    <t xml:space="preserve"> 天山股份</t>
  </si>
  <si>
    <t xml:space="preserve"> 4911万</t>
  </si>
  <si>
    <t xml:space="preserve"> 804亿</t>
  </si>
  <si>
    <t xml:space="preserve"> 86.63亿</t>
  </si>
  <si>
    <t xml:space="preserve"> 606.4亿</t>
  </si>
  <si>
    <t xml:space="preserve"> 18.22亿</t>
  </si>
  <si>
    <t xml:space="preserve"> 127.5亿</t>
  </si>
  <si>
    <t xml:space="preserve"> 未名医药</t>
  </si>
  <si>
    <t xml:space="preserve"> 4909万</t>
  </si>
  <si>
    <t xml:space="preserve"> 6.597亿</t>
  </si>
  <si>
    <t xml:space="preserve"> 鲁阳节能</t>
  </si>
  <si>
    <t xml:space="preserve"> 4907万</t>
  </si>
  <si>
    <t xml:space="preserve"> 76.35亿</t>
  </si>
  <si>
    <t xml:space="preserve"> 4.449亿</t>
  </si>
  <si>
    <t xml:space="preserve"> 天禾股份</t>
  </si>
  <si>
    <t xml:space="preserve"> 4906万</t>
  </si>
  <si>
    <t xml:space="preserve"> 119亿</t>
  </si>
  <si>
    <t xml:space="preserve"> 3.417亿</t>
  </si>
  <si>
    <t xml:space="preserve"> 乐凯胶片</t>
  </si>
  <si>
    <t xml:space="preserve"> 4905万</t>
  </si>
  <si>
    <t xml:space="preserve"> 43.93亿</t>
  </si>
  <si>
    <t xml:space="preserve"> 康冠科技</t>
  </si>
  <si>
    <t xml:space="preserve"> 4902万</t>
  </si>
  <si>
    <t xml:space="preserve"> 6.839亿</t>
  </si>
  <si>
    <t xml:space="preserve"> 176.0亿</t>
  </si>
  <si>
    <t xml:space="preserve"> 7543万</t>
  </si>
  <si>
    <t xml:space="preserve"> 首钢股份</t>
  </si>
  <si>
    <t xml:space="preserve"> 4898万</t>
  </si>
  <si>
    <t xml:space="preserve"> 850亿</t>
  </si>
  <si>
    <t xml:space="preserve"> 78.20亿</t>
  </si>
  <si>
    <t xml:space="preserve"> 60.13亿</t>
  </si>
  <si>
    <t xml:space="preserve"> 康辰药业</t>
  </si>
  <si>
    <t xml:space="preserve"> 4896万</t>
  </si>
  <si>
    <t xml:space="preserve"> 7.20亿</t>
  </si>
  <si>
    <t xml:space="preserve"> 65.79亿</t>
  </si>
  <si>
    <t xml:space="preserve"> 1.575亿</t>
  </si>
  <si>
    <t xml:space="preserve"> 广州酒家</t>
  </si>
  <si>
    <t xml:space="preserve"> 4895万</t>
  </si>
  <si>
    <t xml:space="preserve"> 5.688亿</t>
  </si>
  <si>
    <t xml:space="preserve"> 三全食品</t>
  </si>
  <si>
    <t xml:space="preserve"> 4894万</t>
  </si>
  <si>
    <t xml:space="preserve"> 54.1亿</t>
  </si>
  <si>
    <t xml:space="preserve"> 8.792亿</t>
  </si>
  <si>
    <t xml:space="preserve"> 125.6亿</t>
  </si>
  <si>
    <t xml:space="preserve"> 6.302亿</t>
  </si>
  <si>
    <t xml:space="preserve"> 90.06亿</t>
  </si>
  <si>
    <t xml:space="preserve"> 中国天楹</t>
  </si>
  <si>
    <t xml:space="preserve"> 4893万</t>
  </si>
  <si>
    <t xml:space="preserve"> 25.24亿</t>
  </si>
  <si>
    <t xml:space="preserve"> 中国一重</t>
  </si>
  <si>
    <t xml:space="preserve"> 4890万</t>
  </si>
  <si>
    <t xml:space="preserve"> 68.58亿</t>
  </si>
  <si>
    <t xml:space="preserve"> 201.6亿</t>
  </si>
  <si>
    <t xml:space="preserve"> 长园集团</t>
  </si>
  <si>
    <t xml:space="preserve"> 4887万</t>
  </si>
  <si>
    <t xml:space="preserve"> 58.6亿</t>
  </si>
  <si>
    <t xml:space="preserve"> 72.45亿</t>
  </si>
  <si>
    <t xml:space="preserve"> 71.95亿</t>
  </si>
  <si>
    <t xml:space="preserve"> 苏州规划</t>
  </si>
  <si>
    <t xml:space="preserve"> 4886万</t>
  </si>
  <si>
    <t xml:space="preserve"> 1972万</t>
  </si>
  <si>
    <t xml:space="preserve"> 7.937亿</t>
  </si>
  <si>
    <t xml:space="preserve"> 优彩资源</t>
  </si>
  <si>
    <t xml:space="preserve"> 4885万</t>
  </si>
  <si>
    <t xml:space="preserve"> 禾望电气</t>
  </si>
  <si>
    <t xml:space="preserve"> 4.432亿</t>
  </si>
  <si>
    <t xml:space="preserve"> 鹿得医疗</t>
  </si>
  <si>
    <t xml:space="preserve"> 4882万</t>
  </si>
  <si>
    <t xml:space="preserve"> 5.379亿</t>
  </si>
  <si>
    <t xml:space="preserve"> 沪江材料</t>
  </si>
  <si>
    <t xml:space="preserve"> 7.601亿</t>
  </si>
  <si>
    <t xml:space="preserve"> 3838万</t>
  </si>
  <si>
    <t xml:space="preserve"> 海创药业-U</t>
  </si>
  <si>
    <t xml:space="preserve"> 4879万</t>
  </si>
  <si>
    <t xml:space="preserve"> 9902万</t>
  </si>
  <si>
    <t xml:space="preserve"> 34.98亿</t>
  </si>
  <si>
    <t xml:space="preserve"> 易瑞生物</t>
  </si>
  <si>
    <t xml:space="preserve"> 4878万</t>
  </si>
  <si>
    <t xml:space="preserve"> 均普智能</t>
  </si>
  <si>
    <t xml:space="preserve"> 4877万</t>
  </si>
  <si>
    <t xml:space="preserve"> 70.87亿</t>
  </si>
  <si>
    <t xml:space="preserve"> 4.564亿</t>
  </si>
  <si>
    <t xml:space="preserve"> 赛象科技</t>
  </si>
  <si>
    <t xml:space="preserve"> 4876万</t>
  </si>
  <si>
    <t xml:space="preserve"> 5.886亿</t>
  </si>
  <si>
    <t xml:space="preserve"> 35.02亿</t>
  </si>
  <si>
    <t xml:space="preserve"> 5.880亿</t>
  </si>
  <si>
    <t xml:space="preserve"> 毕得医药</t>
  </si>
  <si>
    <t xml:space="preserve"> 9088万</t>
  </si>
  <si>
    <t xml:space="preserve"> 3716万</t>
  </si>
  <si>
    <t xml:space="preserve"> 城发环境</t>
  </si>
  <si>
    <t xml:space="preserve"> 4874万</t>
  </si>
  <si>
    <t xml:space="preserve"> 6.421亿</t>
  </si>
  <si>
    <t xml:space="preserve"> 71.14亿</t>
  </si>
  <si>
    <t xml:space="preserve"> 华恒生物</t>
  </si>
  <si>
    <t xml:space="preserve"> 177.9亿</t>
  </si>
  <si>
    <t xml:space="preserve"> 豫能控股</t>
  </si>
  <si>
    <t xml:space="preserve"> 4871万</t>
  </si>
  <si>
    <t xml:space="preserve"> 87.8亿</t>
  </si>
  <si>
    <t xml:space="preserve"> 68.97亿</t>
  </si>
  <si>
    <t xml:space="preserve"> 新华锦</t>
  </si>
  <si>
    <t xml:space="preserve"> 4870万</t>
  </si>
  <si>
    <t xml:space="preserve"> 4.288亿</t>
  </si>
  <si>
    <t xml:space="preserve"> 4.255亿</t>
  </si>
  <si>
    <t xml:space="preserve"> 汉马科技</t>
  </si>
  <si>
    <t xml:space="preserve"> 6.543亿</t>
  </si>
  <si>
    <t xml:space="preserve"> 40.89亿</t>
  </si>
  <si>
    <t xml:space="preserve"> 中核科技</t>
  </si>
  <si>
    <t xml:space="preserve"> 3.845亿</t>
  </si>
  <si>
    <t xml:space="preserve"> 3.834亿</t>
  </si>
  <si>
    <t xml:space="preserve"> 同辉信息</t>
  </si>
  <si>
    <t xml:space="preserve"> 4865万</t>
  </si>
  <si>
    <t xml:space="preserve"> 7.654亿</t>
  </si>
  <si>
    <t xml:space="preserve"> 7.027亿</t>
  </si>
  <si>
    <t xml:space="preserve"> 中微半导</t>
  </si>
  <si>
    <t xml:space="preserve"> 4860万</t>
  </si>
  <si>
    <t xml:space="preserve"> 4.64亿</t>
  </si>
  <si>
    <t xml:space="preserve"> 4.004亿</t>
  </si>
  <si>
    <t xml:space="preserve"> 93.89亿</t>
  </si>
  <si>
    <t xml:space="preserve"> 1.291亿</t>
  </si>
  <si>
    <t xml:space="preserve"> 星云股份</t>
  </si>
  <si>
    <t xml:space="preserve"> 9527万</t>
  </si>
  <si>
    <t xml:space="preserve"> 华秦科技</t>
  </si>
  <si>
    <t xml:space="preserve"> 4857万</t>
  </si>
  <si>
    <t xml:space="preserve"> 1.391亿</t>
  </si>
  <si>
    <t xml:space="preserve"> 203.5亿</t>
  </si>
  <si>
    <t xml:space="preserve"> 3389万</t>
  </si>
  <si>
    <t xml:space="preserve"> 高乐股份</t>
  </si>
  <si>
    <t xml:space="preserve"> 9.472亿</t>
  </si>
  <si>
    <t xml:space="preserve"> 35.99亿</t>
  </si>
  <si>
    <t xml:space="preserve"> 8.890亿</t>
  </si>
  <si>
    <t xml:space="preserve"> 33.78亿</t>
  </si>
  <si>
    <t xml:space="preserve"> 国晟科技</t>
  </si>
  <si>
    <t xml:space="preserve"> 4854万</t>
  </si>
  <si>
    <t xml:space="preserve"> 9.06亿</t>
  </si>
  <si>
    <t xml:space="preserve"> 6.429亿</t>
  </si>
  <si>
    <t xml:space="preserve"> 35.74亿</t>
  </si>
  <si>
    <t xml:space="preserve"> 万东医疗</t>
  </si>
  <si>
    <t xml:space="preserve"> 4849万</t>
  </si>
  <si>
    <t xml:space="preserve"> 9.26亿</t>
  </si>
  <si>
    <t xml:space="preserve"> 7.031亿</t>
  </si>
  <si>
    <t xml:space="preserve"> 5.408亿</t>
  </si>
  <si>
    <t xml:space="preserve"> 96.97亿</t>
  </si>
  <si>
    <t xml:space="preserve"> 和林微纳</t>
  </si>
  <si>
    <t xml:space="preserve"> 4846万</t>
  </si>
  <si>
    <t xml:space="preserve"> 8987万</t>
  </si>
  <si>
    <t xml:space="preserve"> 3573万</t>
  </si>
  <si>
    <t xml:space="preserve"> 信安世纪</t>
  </si>
  <si>
    <t xml:space="preserve"> 9423万</t>
  </si>
  <si>
    <t xml:space="preserve"> *ST佳沃</t>
  </si>
  <si>
    <t xml:space="preserve"> 4841万</t>
  </si>
  <si>
    <t xml:space="preserve"> 24.61亿</t>
  </si>
  <si>
    <t xml:space="preserve"> 1.336亿</t>
  </si>
  <si>
    <t xml:space="preserve"> 18.88亿</t>
  </si>
  <si>
    <t xml:space="preserve"> 哈空调</t>
  </si>
  <si>
    <t xml:space="preserve"> 4839万</t>
  </si>
  <si>
    <t xml:space="preserve"> 3.833亿</t>
  </si>
  <si>
    <t xml:space="preserve"> 23.23亿</t>
  </si>
  <si>
    <t xml:space="preserve"> 新亚制程</t>
  </si>
  <si>
    <t xml:space="preserve"> 4837万</t>
  </si>
  <si>
    <t xml:space="preserve"> 5.055亿</t>
  </si>
  <si>
    <t xml:space="preserve"> 4.990亿</t>
  </si>
  <si>
    <t xml:space="preserve"> 32.89亿</t>
  </si>
  <si>
    <t xml:space="preserve"> 冠城大通</t>
  </si>
  <si>
    <t xml:space="preserve"> 4834万</t>
  </si>
  <si>
    <t xml:space="preserve"> 58.3亿</t>
  </si>
  <si>
    <t xml:space="preserve"> 麦迪科技</t>
  </si>
  <si>
    <t xml:space="preserve"> 4832万</t>
  </si>
  <si>
    <t xml:space="preserve"> 3.063亿</t>
  </si>
  <si>
    <t xml:space="preserve"> 同济科技</t>
  </si>
  <si>
    <t xml:space="preserve"> 6.248亿</t>
  </si>
  <si>
    <t xml:space="preserve"> 迎丰股份</t>
  </si>
  <si>
    <t xml:space="preserve"> 4831万</t>
  </si>
  <si>
    <t xml:space="preserve"> 9895万</t>
  </si>
  <si>
    <t xml:space="preserve"> 7.193亿</t>
  </si>
  <si>
    <t xml:space="preserve"> 中材节能</t>
  </si>
  <si>
    <t xml:space="preserve"> 4830万</t>
  </si>
  <si>
    <t xml:space="preserve"> 43.04亿</t>
  </si>
  <si>
    <t xml:space="preserve"> ST澄星</t>
  </si>
  <si>
    <t xml:space="preserve"> 4828万</t>
  </si>
  <si>
    <t xml:space="preserve"> 24.3亿</t>
  </si>
  <si>
    <t xml:space="preserve"> 6.626亿</t>
  </si>
  <si>
    <t xml:space="preserve"> 55.26亿</t>
  </si>
  <si>
    <t xml:space="preserve"> 吉电股份</t>
  </si>
  <si>
    <t xml:space="preserve"> 27.90亿</t>
  </si>
  <si>
    <t xml:space="preserve"> 24.46亿</t>
  </si>
  <si>
    <t xml:space="preserve"> 柏诚股份</t>
  </si>
  <si>
    <t xml:space="preserve"> 4825万</t>
  </si>
  <si>
    <t xml:space="preserve"> 5.225亿</t>
  </si>
  <si>
    <t xml:space="preserve"> 72.21亿</t>
  </si>
  <si>
    <t xml:space="preserve"> 中密控股</t>
  </si>
  <si>
    <t xml:space="preserve"> 9.89亿</t>
  </si>
  <si>
    <t xml:space="preserve"> 2.082亿</t>
  </si>
  <si>
    <t xml:space="preserve"> 77.21亿</t>
  </si>
  <si>
    <t xml:space="preserve"> 新疆众和</t>
  </si>
  <si>
    <t xml:space="preserve"> 4823万</t>
  </si>
  <si>
    <t xml:space="preserve"> 48.6亿</t>
  </si>
  <si>
    <t xml:space="preserve"> 98.42亿</t>
  </si>
  <si>
    <t xml:space="preserve"> 97.68亿</t>
  </si>
  <si>
    <t xml:space="preserve"> 五芳斋</t>
  </si>
  <si>
    <t xml:space="preserve"> 4822万</t>
  </si>
  <si>
    <t xml:space="preserve"> 1.438亿</t>
  </si>
  <si>
    <t xml:space="preserve"> 42.78亿</t>
  </si>
  <si>
    <t xml:space="preserve"> 25.88亿</t>
  </si>
  <si>
    <t xml:space="preserve"> 美瑞新材</t>
  </si>
  <si>
    <t xml:space="preserve"> 4821万</t>
  </si>
  <si>
    <t xml:space="preserve"> 65.60亿</t>
  </si>
  <si>
    <t xml:space="preserve"> 1.795亿</t>
  </si>
  <si>
    <t xml:space="preserve"> 36.96亿</t>
  </si>
  <si>
    <t xml:space="preserve"> 科净源</t>
  </si>
  <si>
    <t xml:space="preserve"> 4815万</t>
  </si>
  <si>
    <t xml:space="preserve"> 6857万</t>
  </si>
  <si>
    <t xml:space="preserve"> 32.98亿</t>
  </si>
  <si>
    <t xml:space="preserve"> 1626万</t>
  </si>
  <si>
    <t xml:space="preserve"> 7.820亿</t>
  </si>
  <si>
    <t xml:space="preserve"> 龙源技术</t>
  </si>
  <si>
    <t xml:space="preserve"> 5.161亿</t>
  </si>
  <si>
    <t xml:space="preserve"> 34.84亿</t>
  </si>
  <si>
    <t xml:space="preserve"> 5.132亿</t>
  </si>
  <si>
    <t xml:space="preserve"> 第一医药</t>
  </si>
  <si>
    <t xml:space="preserve"> 4809万</t>
  </si>
  <si>
    <t xml:space="preserve"> 汉邦高科</t>
  </si>
  <si>
    <t xml:space="preserve"> 4803万</t>
  </si>
  <si>
    <t xml:space="preserve"> 6879万</t>
  </si>
  <si>
    <t xml:space="preserve"> 2.983亿</t>
  </si>
  <si>
    <t xml:space="preserve"> 2.961亿</t>
  </si>
  <si>
    <t xml:space="preserve"> 金安国纪</t>
  </si>
  <si>
    <t xml:space="preserve"> 26.4亿</t>
  </si>
  <si>
    <t xml:space="preserve"> 7.280亿</t>
  </si>
  <si>
    <t xml:space="preserve"> 69.38亿</t>
  </si>
  <si>
    <t xml:space="preserve"> 7.231亿</t>
  </si>
  <si>
    <t xml:space="preserve"> 宏景科技</t>
  </si>
  <si>
    <t xml:space="preserve"> 4801万</t>
  </si>
  <si>
    <t xml:space="preserve"> 1.097亿</t>
  </si>
  <si>
    <t xml:space="preserve"> 4669万</t>
  </si>
  <si>
    <t xml:space="preserve"> 13.67亿</t>
  </si>
  <si>
    <t xml:space="preserve"> 秀强股份</t>
  </si>
  <si>
    <t xml:space="preserve"> 7.729亿</t>
  </si>
  <si>
    <t xml:space="preserve"> 47.30亿</t>
  </si>
  <si>
    <t xml:space="preserve"> 7.236亿</t>
  </si>
  <si>
    <t xml:space="preserve"> 44.28亿</t>
  </si>
  <si>
    <t xml:space="preserve"> 华灿光电</t>
  </si>
  <si>
    <t xml:space="preserve"> 4789万</t>
  </si>
  <si>
    <t xml:space="preserve"> 7.392亿</t>
  </si>
  <si>
    <t xml:space="preserve"> 50.49亿</t>
  </si>
  <si>
    <t xml:space="preserve"> 睿能科技</t>
  </si>
  <si>
    <t xml:space="preserve"> 2.102亿</t>
  </si>
  <si>
    <t xml:space="preserve"> 34.44亿</t>
  </si>
  <si>
    <t xml:space="preserve"> 2.073亿</t>
  </si>
  <si>
    <t xml:space="preserve"> 33.96亿</t>
  </si>
  <si>
    <t xml:space="preserve"> 农 产 品</t>
  </si>
  <si>
    <t xml:space="preserve"> 4787万</t>
  </si>
  <si>
    <t xml:space="preserve"> 16.97亿</t>
  </si>
  <si>
    <t xml:space="preserve"> 天亿马</t>
  </si>
  <si>
    <t xml:space="preserve"> 4784万</t>
  </si>
  <si>
    <t xml:space="preserve"> 6724万</t>
  </si>
  <si>
    <t xml:space="preserve"> 4360万</t>
  </si>
  <si>
    <t xml:space="preserve"> 15.25亿</t>
  </si>
  <si>
    <t xml:space="preserve"> 胜华新材</t>
  </si>
  <si>
    <t xml:space="preserve"> 4782万</t>
  </si>
  <si>
    <t xml:space="preserve"> 44.0亿</t>
  </si>
  <si>
    <t xml:space="preserve"> 2.027亿</t>
  </si>
  <si>
    <t xml:space="preserve"> 98.62亿</t>
  </si>
  <si>
    <t xml:space="preserve"> 黄山旅游</t>
  </si>
  <si>
    <t xml:space="preserve"> 4780万</t>
  </si>
  <si>
    <t xml:space="preserve"> 7.294亿</t>
  </si>
  <si>
    <t xml:space="preserve"> 白银有色</t>
  </si>
  <si>
    <t xml:space="preserve"> 4773万</t>
  </si>
  <si>
    <t xml:space="preserve"> 696亿</t>
  </si>
  <si>
    <t xml:space="preserve"> 74.05亿</t>
  </si>
  <si>
    <t xml:space="preserve"> 199.2亿</t>
  </si>
  <si>
    <t xml:space="preserve"> 华电重工</t>
  </si>
  <si>
    <t xml:space="preserve"> 4770万</t>
  </si>
  <si>
    <t xml:space="preserve"> 65.56亿</t>
  </si>
  <si>
    <t xml:space="preserve"> 11.59亿</t>
  </si>
  <si>
    <t xml:space="preserve"> 金百泽</t>
  </si>
  <si>
    <t xml:space="preserve"> 4763万</t>
  </si>
  <si>
    <t xml:space="preserve"> 29.87亿</t>
  </si>
  <si>
    <t xml:space="preserve"> 汉缆股份</t>
  </si>
  <si>
    <t xml:space="preserve"> -2.03万</t>
  </si>
  <si>
    <t xml:space="preserve"> 33.27亿</t>
  </si>
  <si>
    <t xml:space="preserve"> 海天精工</t>
  </si>
  <si>
    <t xml:space="preserve"> 4762万</t>
  </si>
  <si>
    <t xml:space="preserve"> 华英农业</t>
  </si>
  <si>
    <t xml:space="preserve"> 4761万</t>
  </si>
  <si>
    <t xml:space="preserve"> 21.33亿</t>
  </si>
  <si>
    <t xml:space="preserve"> 53.11亿</t>
  </si>
  <si>
    <t xml:space="preserve"> 锴威特</t>
  </si>
  <si>
    <t xml:space="preserve"> 4752万</t>
  </si>
  <si>
    <t xml:space="preserve"> 7368万</t>
  </si>
  <si>
    <t xml:space="preserve"> 1645万</t>
  </si>
  <si>
    <t xml:space="preserve"> 珠江股份</t>
  </si>
  <si>
    <t xml:space="preserve"> 8.535亿</t>
  </si>
  <si>
    <t xml:space="preserve"> 张  裕Ａ</t>
  </si>
  <si>
    <t xml:space="preserve"> 4747万</t>
  </si>
  <si>
    <t xml:space="preserve"> 6.922亿</t>
  </si>
  <si>
    <t xml:space="preserve"> 金正大</t>
  </si>
  <si>
    <t xml:space="preserve"> 4746万</t>
  </si>
  <si>
    <t xml:space="preserve"> -3.21万</t>
  </si>
  <si>
    <t xml:space="preserve"> 32.86亿</t>
  </si>
  <si>
    <t xml:space="preserve"> 57.05亿</t>
  </si>
  <si>
    <t xml:space="preserve"> 太钢不锈</t>
  </si>
  <si>
    <t xml:space="preserve"> 4744万</t>
  </si>
  <si>
    <t xml:space="preserve"> 221.3亿</t>
  </si>
  <si>
    <t xml:space="preserve"> 220.4亿</t>
  </si>
  <si>
    <t xml:space="preserve"> 南新制药</t>
  </si>
  <si>
    <t xml:space="preserve"> 2.744亿</t>
  </si>
  <si>
    <t xml:space="preserve"> 29.28亿</t>
  </si>
  <si>
    <t xml:space="preserve"> 宁波建工</t>
  </si>
  <si>
    <t xml:space="preserve"> 4733万</t>
  </si>
  <si>
    <t xml:space="preserve"> 46.84亿</t>
  </si>
  <si>
    <t xml:space="preserve"> 内蒙一机</t>
  </si>
  <si>
    <t xml:space="preserve"> 4732万</t>
  </si>
  <si>
    <t xml:space="preserve"> 78.4亿</t>
  </si>
  <si>
    <t xml:space="preserve"> 147.5亿</t>
  </si>
  <si>
    <t xml:space="preserve"> 凤竹纺织</t>
  </si>
  <si>
    <t xml:space="preserve"> 4730万</t>
  </si>
  <si>
    <t xml:space="preserve"> 2.720亿</t>
  </si>
  <si>
    <t xml:space="preserve"> 济民医疗</t>
  </si>
  <si>
    <t xml:space="preserve"> 4728万</t>
  </si>
  <si>
    <t xml:space="preserve"> 5.372亿</t>
  </si>
  <si>
    <t xml:space="preserve"> 48.89亿</t>
  </si>
  <si>
    <t xml:space="preserve"> 新里程</t>
  </si>
  <si>
    <t xml:space="preserve"> -1.44万</t>
  </si>
  <si>
    <t xml:space="preserve"> 豪迈科技</t>
  </si>
  <si>
    <t xml:space="preserve"> 4725万</t>
  </si>
  <si>
    <t xml:space="preserve"> 5.334亿</t>
  </si>
  <si>
    <t xml:space="preserve"> 民士达</t>
  </si>
  <si>
    <t xml:space="preserve"> 4722万</t>
  </si>
  <si>
    <t xml:space="preserve"> 4231万</t>
  </si>
  <si>
    <t xml:space="preserve"> 6.677亿</t>
  </si>
  <si>
    <t xml:space="preserve"> 尤夫股份</t>
  </si>
  <si>
    <t xml:space="preserve"> 4721万</t>
  </si>
  <si>
    <t xml:space="preserve"> 9.854亿</t>
  </si>
  <si>
    <t xml:space="preserve"> 56.20亿</t>
  </si>
  <si>
    <t xml:space="preserve"> 阿拉丁</t>
  </si>
  <si>
    <t xml:space="preserve"> 4718万</t>
  </si>
  <si>
    <t xml:space="preserve"> 1.981亿</t>
  </si>
  <si>
    <t xml:space="preserve"> 艾华集团</t>
  </si>
  <si>
    <t xml:space="preserve"> 4715万</t>
  </si>
  <si>
    <t xml:space="preserve"> 89.78亿</t>
  </si>
  <si>
    <t xml:space="preserve"> 中科蓝讯</t>
  </si>
  <si>
    <t xml:space="preserve"> 4714万</t>
  </si>
  <si>
    <t xml:space="preserve"> 4282万</t>
  </si>
  <si>
    <t xml:space="preserve"> 天键股份</t>
  </si>
  <si>
    <t xml:space="preserve"> 4710万</t>
  </si>
  <si>
    <t xml:space="preserve"> 48.70亿</t>
  </si>
  <si>
    <t xml:space="preserve"> 2756万</t>
  </si>
  <si>
    <t xml:space="preserve"> 11.55亿</t>
  </si>
  <si>
    <t xml:space="preserve"> 吉林碳谷</t>
  </si>
  <si>
    <t xml:space="preserve"> 4709万</t>
  </si>
  <si>
    <t xml:space="preserve"> 2.721亿</t>
  </si>
  <si>
    <t xml:space="preserve"> 42.80亿</t>
  </si>
  <si>
    <t xml:space="preserve"> 戴维医疗</t>
  </si>
  <si>
    <t xml:space="preserve"> 4706万</t>
  </si>
  <si>
    <t xml:space="preserve"> 43.34亿</t>
  </si>
  <si>
    <t xml:space="preserve"> 28.50亿</t>
  </si>
  <si>
    <t xml:space="preserve"> 圣诺生物</t>
  </si>
  <si>
    <t xml:space="preserve"> 4703万</t>
  </si>
  <si>
    <t xml:space="preserve"> 31.90亿</t>
  </si>
  <si>
    <t xml:space="preserve"> 18.86亿</t>
  </si>
  <si>
    <t xml:space="preserve"> 凯美特气</t>
  </si>
  <si>
    <t xml:space="preserve"> 7.142亿</t>
  </si>
  <si>
    <t xml:space="preserve"> 77.85亿</t>
  </si>
  <si>
    <t xml:space="preserve"> 67.66亿</t>
  </si>
  <si>
    <t xml:space="preserve"> 依依股份</t>
  </si>
  <si>
    <t xml:space="preserve"> 4697万</t>
  </si>
  <si>
    <t xml:space="preserve"> 1.849亿</t>
  </si>
  <si>
    <t xml:space="preserve"> 30.64亿</t>
  </si>
  <si>
    <t xml:space="preserve"> 8967万</t>
  </si>
  <si>
    <t xml:space="preserve"> 14.86亿</t>
  </si>
  <si>
    <t xml:space="preserve"> 佳电股份</t>
  </si>
  <si>
    <t xml:space="preserve"> 5.959亿</t>
  </si>
  <si>
    <t xml:space="preserve"> 60.06亿</t>
  </si>
  <si>
    <t xml:space="preserve"> 5.851亿</t>
  </si>
  <si>
    <t xml:space="preserve"> 58.98亿</t>
  </si>
  <si>
    <t xml:space="preserve"> 罗欣药业</t>
  </si>
  <si>
    <t xml:space="preserve"> 64.39亿</t>
  </si>
  <si>
    <t xml:space="preserve"> 10.86亿</t>
  </si>
  <si>
    <t xml:space="preserve"> 64.29亿</t>
  </si>
  <si>
    <t xml:space="preserve"> 瑞可达</t>
  </si>
  <si>
    <t xml:space="preserve"> 4694万</t>
  </si>
  <si>
    <t xml:space="preserve"> 68.96亿</t>
  </si>
  <si>
    <t xml:space="preserve"> 1.066亿</t>
  </si>
  <si>
    <t xml:space="preserve"> 46.40亿</t>
  </si>
  <si>
    <t xml:space="preserve"> 奥维通信</t>
  </si>
  <si>
    <t xml:space="preserve"> 3.469亿</t>
  </si>
  <si>
    <t xml:space="preserve"> 2.948亿</t>
  </si>
  <si>
    <t xml:space="preserve"> 欧陆通</t>
  </si>
  <si>
    <t xml:space="preserve"> 4685万</t>
  </si>
  <si>
    <t xml:space="preserve"> 48.51亿</t>
  </si>
  <si>
    <t xml:space="preserve"> 科顺股份</t>
  </si>
  <si>
    <t xml:space="preserve"> 4681万</t>
  </si>
  <si>
    <t xml:space="preserve"> 11.77亿</t>
  </si>
  <si>
    <t xml:space="preserve"> 78.53亿</t>
  </si>
  <si>
    <t xml:space="preserve"> 桂林旅游</t>
  </si>
  <si>
    <t xml:space="preserve"> 4680万</t>
  </si>
  <si>
    <t xml:space="preserve"> 4.681亿</t>
  </si>
  <si>
    <t xml:space="preserve"> 26.53亿</t>
  </si>
  <si>
    <t xml:space="preserve"> 狮头股份</t>
  </si>
  <si>
    <t xml:space="preserve"> 4677万</t>
  </si>
  <si>
    <t xml:space="preserve"> 新安股份</t>
  </si>
  <si>
    <t xml:space="preserve"> 11.46亿</t>
  </si>
  <si>
    <t xml:space="preserve"> 坤彩科技</t>
  </si>
  <si>
    <t xml:space="preserve"> 4671万</t>
  </si>
  <si>
    <t xml:space="preserve"> 4.680亿</t>
  </si>
  <si>
    <t xml:space="preserve"> 庄园牧场</t>
  </si>
  <si>
    <t xml:space="preserve"> 7.15亿</t>
  </si>
  <si>
    <t xml:space="preserve"> 斯莱克</t>
  </si>
  <si>
    <t xml:space="preserve"> 4670万</t>
  </si>
  <si>
    <t xml:space="preserve"> 6.284亿</t>
  </si>
  <si>
    <t xml:space="preserve"> 6.283亿</t>
  </si>
  <si>
    <t xml:space="preserve"> 64.15亿</t>
  </si>
  <si>
    <t xml:space="preserve"> 晨光生物</t>
  </si>
  <si>
    <t xml:space="preserve"> 4662万</t>
  </si>
  <si>
    <t xml:space="preserve"> 51.7亿</t>
  </si>
  <si>
    <t xml:space="preserve"> 5.328亿</t>
  </si>
  <si>
    <t xml:space="preserve"> 4.302亿</t>
  </si>
  <si>
    <t xml:space="preserve"> 59.42亿</t>
  </si>
  <si>
    <t xml:space="preserve"> 中集环科</t>
  </si>
  <si>
    <t xml:space="preserve"> 4661万</t>
  </si>
  <si>
    <t xml:space="preserve"> 38.4亿</t>
  </si>
  <si>
    <t xml:space="preserve"> 8451万</t>
  </si>
  <si>
    <t xml:space="preserve"> 沃顿科技</t>
  </si>
  <si>
    <t xml:space="preserve"> 4658万</t>
  </si>
  <si>
    <t xml:space="preserve"> 45.56亿</t>
  </si>
  <si>
    <t xml:space="preserve"> 40.68亿</t>
  </si>
  <si>
    <t xml:space="preserve"> 华亚智能</t>
  </si>
  <si>
    <t xml:space="preserve"> 42.00亿</t>
  </si>
  <si>
    <t xml:space="preserve"> 2899万</t>
  </si>
  <si>
    <t xml:space="preserve"> 15.22亿</t>
  </si>
  <si>
    <t xml:space="preserve"> 盘古智能</t>
  </si>
  <si>
    <t xml:space="preserve"> 4652万</t>
  </si>
  <si>
    <t xml:space="preserve"> 1.486亿</t>
  </si>
  <si>
    <t xml:space="preserve"> 49.03亿</t>
  </si>
  <si>
    <t xml:space="preserve"> 3459万</t>
  </si>
  <si>
    <t xml:space="preserve"> 11.42亿</t>
  </si>
  <si>
    <t xml:space="preserve"> 美凯龙</t>
  </si>
  <si>
    <t xml:space="preserve"> 4647万</t>
  </si>
  <si>
    <t xml:space="preserve"> 43.55亿</t>
  </si>
  <si>
    <t xml:space="preserve"> 云中马</t>
  </si>
  <si>
    <t xml:space="preserve"> 1.400亿</t>
  </si>
  <si>
    <t xml:space="preserve"> 5355万</t>
  </si>
  <si>
    <t xml:space="preserve"> 标榜股份</t>
  </si>
  <si>
    <t xml:space="preserve"> 4646万</t>
  </si>
  <si>
    <t xml:space="preserve"> 35.14亿</t>
  </si>
  <si>
    <t xml:space="preserve"> 3900万</t>
  </si>
  <si>
    <t xml:space="preserve"> 国茂股份</t>
  </si>
  <si>
    <t xml:space="preserve"> 4644万</t>
  </si>
  <si>
    <t xml:space="preserve"> 6.619亿</t>
  </si>
  <si>
    <t xml:space="preserve"> 6.566亿</t>
  </si>
  <si>
    <t xml:space="preserve"> 重庆百货</t>
  </si>
  <si>
    <t xml:space="preserve"> 4638万</t>
  </si>
  <si>
    <t xml:space="preserve"> 4.065亿</t>
  </si>
  <si>
    <t xml:space="preserve"> 田中精机</t>
  </si>
  <si>
    <t xml:space="preserve"> 4637万</t>
  </si>
  <si>
    <t xml:space="preserve"> 1.557亿</t>
  </si>
  <si>
    <t xml:space="preserve"> 33.06亿</t>
  </si>
  <si>
    <t xml:space="preserve"> 聚赛龙</t>
  </si>
  <si>
    <t xml:space="preserve"> 4778万</t>
  </si>
  <si>
    <t xml:space="preserve"> 2307万</t>
  </si>
  <si>
    <t xml:space="preserve"> 中南文化</t>
  </si>
  <si>
    <t xml:space="preserve"> 4630万</t>
  </si>
  <si>
    <t xml:space="preserve"> 23.92亿</t>
  </si>
  <si>
    <t xml:space="preserve"> 23.81亿</t>
  </si>
  <si>
    <t xml:space="preserve"> 仁智股份</t>
  </si>
  <si>
    <t xml:space="preserve"> 4629万</t>
  </si>
  <si>
    <t xml:space="preserve"> 4.366亿</t>
  </si>
  <si>
    <t xml:space="preserve"> 14.99亿</t>
  </si>
  <si>
    <t xml:space="preserve"> 康尼机电</t>
  </si>
  <si>
    <t xml:space="preserve"> 9.933亿</t>
  </si>
  <si>
    <t xml:space="preserve"> 8.360亿</t>
  </si>
  <si>
    <t xml:space="preserve"> 46.82亿</t>
  </si>
  <si>
    <t xml:space="preserve"> 长盛轴承</t>
  </si>
  <si>
    <t xml:space="preserve"> 4622万</t>
  </si>
  <si>
    <t xml:space="preserve"> 2.989亿</t>
  </si>
  <si>
    <t xml:space="preserve"> 康比特</t>
  </si>
  <si>
    <t xml:space="preserve"> 4618万</t>
  </si>
  <si>
    <t xml:space="preserve"> 1.245亿</t>
  </si>
  <si>
    <t xml:space="preserve"> 5093万</t>
  </si>
  <si>
    <t xml:space="preserve"> 中红医疗</t>
  </si>
  <si>
    <t xml:space="preserve"> 4610万</t>
  </si>
  <si>
    <t xml:space="preserve"> 63.38亿</t>
  </si>
  <si>
    <t xml:space="preserve"> 普蕊斯</t>
  </si>
  <si>
    <t xml:space="preserve"> 6116万</t>
  </si>
  <si>
    <t xml:space="preserve"> 圣晖集成</t>
  </si>
  <si>
    <t xml:space="preserve"> 3500万</t>
  </si>
  <si>
    <t xml:space="preserve"> 12.25亿</t>
  </si>
  <si>
    <t xml:space="preserve"> 烽火电子</t>
  </si>
  <si>
    <t xml:space="preserve"> 4608万</t>
  </si>
  <si>
    <t xml:space="preserve"> 6.047亿</t>
  </si>
  <si>
    <t xml:space="preserve"> 6.020亿</t>
  </si>
  <si>
    <t xml:space="preserve"> 浙江东方</t>
  </si>
  <si>
    <t xml:space="preserve"> 4604万</t>
  </si>
  <si>
    <t xml:space="preserve"> 明阳电路</t>
  </si>
  <si>
    <t xml:space="preserve"> 4603万</t>
  </si>
  <si>
    <t xml:space="preserve"> 2.988亿</t>
  </si>
  <si>
    <t xml:space="preserve"> 2.927亿</t>
  </si>
  <si>
    <t xml:space="preserve"> 大众公用</t>
  </si>
  <si>
    <t xml:space="preserve"> 7.56万</t>
  </si>
  <si>
    <t xml:space="preserve"> 91.53亿</t>
  </si>
  <si>
    <t xml:space="preserve"> 24.19亿</t>
  </si>
  <si>
    <t xml:space="preserve"> 74.98亿</t>
  </si>
  <si>
    <t xml:space="preserve"> 飞南资源</t>
  </si>
  <si>
    <t xml:space="preserve"> 4602万</t>
  </si>
  <si>
    <t xml:space="preserve"> 90.00亿</t>
  </si>
  <si>
    <t xml:space="preserve"> 3757万</t>
  </si>
  <si>
    <t xml:space="preserve"> 中科环保</t>
  </si>
  <si>
    <t xml:space="preserve"> 4601万</t>
  </si>
  <si>
    <t xml:space="preserve"> 78.30亿</t>
  </si>
  <si>
    <t xml:space="preserve"> 6.219亿</t>
  </si>
  <si>
    <t xml:space="preserve"> 九阳股份</t>
  </si>
  <si>
    <t xml:space="preserve"> 4599万</t>
  </si>
  <si>
    <t xml:space="preserve"> 67.8亿</t>
  </si>
  <si>
    <t xml:space="preserve"> 7.670亿</t>
  </si>
  <si>
    <t xml:space="preserve"> 102.9亿</t>
  </si>
  <si>
    <t xml:space="preserve"> 康斯特</t>
  </si>
  <si>
    <t xml:space="preserve"> 4597万</t>
  </si>
  <si>
    <t xml:space="preserve"> 2.124亿</t>
  </si>
  <si>
    <t xml:space="preserve"> 1.382亿</t>
  </si>
  <si>
    <t xml:space="preserve"> 21.97亿</t>
  </si>
  <si>
    <t xml:space="preserve"> 酒钢宏兴</t>
  </si>
  <si>
    <t xml:space="preserve"> 301亿</t>
  </si>
  <si>
    <t xml:space="preserve"> -4.09万</t>
  </si>
  <si>
    <t xml:space="preserve"> 98.33亿</t>
  </si>
  <si>
    <t xml:space="preserve"> 大悦城</t>
  </si>
  <si>
    <t xml:space="preserve"> 4586万</t>
  </si>
  <si>
    <t xml:space="preserve"> 42.86亿</t>
  </si>
  <si>
    <t xml:space="preserve"> 双一科技</t>
  </si>
  <si>
    <t xml:space="preserve"> 4583万</t>
  </si>
  <si>
    <t xml:space="preserve"> 1.653亿</t>
  </si>
  <si>
    <t xml:space="preserve"> 1.096亿</t>
  </si>
  <si>
    <t xml:space="preserve"> 19.49亿</t>
  </si>
  <si>
    <t xml:space="preserve"> 云鼎科技</t>
  </si>
  <si>
    <t xml:space="preserve"> 4582万</t>
  </si>
  <si>
    <t xml:space="preserve"> 6.642亿</t>
  </si>
  <si>
    <t xml:space="preserve"> 53.67亿</t>
  </si>
  <si>
    <t xml:space="preserve"> 青海华鼎</t>
  </si>
  <si>
    <t xml:space="preserve"> 水发燃气</t>
  </si>
  <si>
    <t xml:space="preserve"> 4576万</t>
  </si>
  <si>
    <t xml:space="preserve"> 4.591亿</t>
  </si>
  <si>
    <t xml:space="preserve"> 3.835亿</t>
  </si>
  <si>
    <t xml:space="preserve"> 众源新材</t>
  </si>
  <si>
    <t xml:space="preserve"> 4575万</t>
  </si>
  <si>
    <t xml:space="preserve"> 嘉泽新能</t>
  </si>
  <si>
    <t xml:space="preserve"> 4574万</t>
  </si>
  <si>
    <t xml:space="preserve"> 24.34亿</t>
  </si>
  <si>
    <t xml:space="preserve"> 85.45亿</t>
  </si>
  <si>
    <t xml:space="preserve"> 24.21亿</t>
  </si>
  <si>
    <t xml:space="preserve"> 新洋丰</t>
  </si>
  <si>
    <t xml:space="preserve"> 4573万</t>
  </si>
  <si>
    <t xml:space="preserve"> 13.05亿</t>
  </si>
  <si>
    <t xml:space="preserve"> 147.3亿</t>
  </si>
  <si>
    <t xml:space="preserve"> 海王生物</t>
  </si>
  <si>
    <t xml:space="preserve"> 27.51亿</t>
  </si>
  <si>
    <t xml:space="preserve"> 87.20亿</t>
  </si>
  <si>
    <t xml:space="preserve"> 联发股份</t>
  </si>
  <si>
    <t xml:space="preserve"> 4572万</t>
  </si>
  <si>
    <t xml:space="preserve"> 3.237亿</t>
  </si>
  <si>
    <t xml:space="preserve"> 27.55亿</t>
  </si>
  <si>
    <t xml:space="preserve"> 27.48亿</t>
  </si>
  <si>
    <t xml:space="preserve"> 纵横通信</t>
  </si>
  <si>
    <t xml:space="preserve"> 4571万</t>
  </si>
  <si>
    <t xml:space="preserve"> 8.79亿</t>
  </si>
  <si>
    <t xml:space="preserve"> 2.038亿</t>
  </si>
  <si>
    <t xml:space="preserve"> 龙利得</t>
  </si>
  <si>
    <t xml:space="preserve"> 4569万</t>
  </si>
  <si>
    <t xml:space="preserve"> 3.460亿</t>
  </si>
  <si>
    <t xml:space="preserve"> 3.284亿</t>
  </si>
  <si>
    <t xml:space="preserve"> 23.06亿</t>
  </si>
  <si>
    <t xml:space="preserve"> 承德露露</t>
  </si>
  <si>
    <t xml:space="preserve"> 4568万</t>
  </si>
  <si>
    <t xml:space="preserve"> 10.53亿</t>
  </si>
  <si>
    <t xml:space="preserve"> 86.73亿</t>
  </si>
  <si>
    <t xml:space="preserve"> 浙农股份</t>
  </si>
  <si>
    <t xml:space="preserve"> 4560万</t>
  </si>
  <si>
    <t xml:space="preserve"> 5.148亿</t>
  </si>
  <si>
    <t xml:space="preserve"> 57.30亿</t>
  </si>
  <si>
    <t xml:space="preserve"> 碧兴物联</t>
  </si>
  <si>
    <t xml:space="preserve"> 1661万</t>
  </si>
  <si>
    <t xml:space="preserve"> 6.340亿</t>
  </si>
  <si>
    <t xml:space="preserve"> 津药药业</t>
  </si>
  <si>
    <t xml:space="preserve"> 4555万</t>
  </si>
  <si>
    <t xml:space="preserve"> 58.53亿</t>
  </si>
  <si>
    <t xml:space="preserve"> 腾达建设</t>
  </si>
  <si>
    <t xml:space="preserve"> 41.73亿</t>
  </si>
  <si>
    <t xml:space="preserve"> 15.82亿</t>
  </si>
  <si>
    <t xml:space="preserve"> 41.30亿</t>
  </si>
  <si>
    <t xml:space="preserve"> 海默科技</t>
  </si>
  <si>
    <t xml:space="preserve"> 4553万</t>
  </si>
  <si>
    <t xml:space="preserve"> 3.938亿</t>
  </si>
  <si>
    <t xml:space="preserve"> 3.298亿</t>
  </si>
  <si>
    <t xml:space="preserve"> 25.23亿</t>
  </si>
  <si>
    <t xml:space="preserve"> 光智科技</t>
  </si>
  <si>
    <t xml:space="preserve"> 7.21亿</t>
  </si>
  <si>
    <t xml:space="preserve"> 28.03亿</t>
  </si>
  <si>
    <t xml:space="preserve"> 韩建河山</t>
  </si>
  <si>
    <t xml:space="preserve"> 4550万</t>
  </si>
  <si>
    <t xml:space="preserve"> 晋控电力</t>
  </si>
  <si>
    <t xml:space="preserve"> 95.08亿</t>
  </si>
  <si>
    <t xml:space="preserve"> 29.12亿</t>
  </si>
  <si>
    <t xml:space="preserve"> 89.99亿</t>
  </si>
  <si>
    <t xml:space="preserve"> 国统股份</t>
  </si>
  <si>
    <t xml:space="preserve"> 4547万</t>
  </si>
  <si>
    <t xml:space="preserve"> 常青科技</t>
  </si>
  <si>
    <t xml:space="preserve"> 4543万</t>
  </si>
  <si>
    <t xml:space="preserve"> 1.925亿</t>
  </si>
  <si>
    <t xml:space="preserve"> 57.53亿</t>
  </si>
  <si>
    <t xml:space="preserve"> 4814万</t>
  </si>
  <si>
    <t xml:space="preserve"> 14.38亿</t>
  </si>
  <si>
    <t xml:space="preserve"> 博汇科技</t>
  </si>
  <si>
    <t xml:space="preserve"> 4542万</t>
  </si>
  <si>
    <t xml:space="preserve"> 5680万</t>
  </si>
  <si>
    <t xml:space="preserve"> 索通发展</t>
  </si>
  <si>
    <t xml:space="preserve"> 4541万</t>
  </si>
  <si>
    <t xml:space="preserve"> 86.81亿</t>
  </si>
  <si>
    <t xml:space="preserve"> 4.700亿</t>
  </si>
  <si>
    <t xml:space="preserve"> 75.44亿</t>
  </si>
  <si>
    <t xml:space="preserve"> 深圳瑞捷</t>
  </si>
  <si>
    <t xml:space="preserve"> 4539万</t>
  </si>
  <si>
    <t xml:space="preserve"> 3878万</t>
  </si>
  <si>
    <t xml:space="preserve"> 7.569亿</t>
  </si>
  <si>
    <t xml:space="preserve"> 恒锋信息</t>
  </si>
  <si>
    <t xml:space="preserve"> 4537万</t>
  </si>
  <si>
    <t xml:space="preserve"> 1.645亿</t>
  </si>
  <si>
    <t xml:space="preserve"> 雅本化学</t>
  </si>
  <si>
    <t xml:space="preserve"> 9.633亿</t>
  </si>
  <si>
    <t xml:space="preserve"> 73.50亿</t>
  </si>
  <si>
    <t xml:space="preserve"> 9.371亿</t>
  </si>
  <si>
    <t xml:space="preserve"> 71.50亿</t>
  </si>
  <si>
    <t xml:space="preserve"> 上海建科</t>
  </si>
  <si>
    <t xml:space="preserve"> 4536万</t>
  </si>
  <si>
    <t xml:space="preserve"> 67.01亿</t>
  </si>
  <si>
    <t xml:space="preserve"> 5500万</t>
  </si>
  <si>
    <t xml:space="preserve"> 8.993亿</t>
  </si>
  <si>
    <t xml:space="preserve"> 海达股份</t>
  </si>
  <si>
    <t xml:space="preserve"> 4534万</t>
  </si>
  <si>
    <t xml:space="preserve"> 6.012亿</t>
  </si>
  <si>
    <t xml:space="preserve"> 4.923亿</t>
  </si>
  <si>
    <t xml:space="preserve"> 湖南投资</t>
  </si>
  <si>
    <t xml:space="preserve"> 4.992亿</t>
  </si>
  <si>
    <t xml:space="preserve"> 27.46亿</t>
  </si>
  <si>
    <t xml:space="preserve"> 新经典</t>
  </si>
  <si>
    <t xml:space="preserve"> 4532万</t>
  </si>
  <si>
    <t xml:space="preserve"> 6.57亿</t>
  </si>
  <si>
    <t xml:space="preserve"> 1.625亿</t>
  </si>
  <si>
    <t xml:space="preserve"> 南方路机</t>
  </si>
  <si>
    <t xml:space="preserve"> 4524万</t>
  </si>
  <si>
    <t xml:space="preserve"> 2794万</t>
  </si>
  <si>
    <t xml:space="preserve"> 6.812亿</t>
  </si>
  <si>
    <t xml:space="preserve"> 双飞集团</t>
  </si>
  <si>
    <t xml:space="preserve"> 1.746亿</t>
  </si>
  <si>
    <t xml:space="preserve"> 28.54亿</t>
  </si>
  <si>
    <t xml:space="preserve"> 16.24亿</t>
  </si>
  <si>
    <t xml:space="preserve"> 上实发展</t>
  </si>
  <si>
    <t xml:space="preserve"> 4518万</t>
  </si>
  <si>
    <t xml:space="preserve"> 50.8亿</t>
  </si>
  <si>
    <t xml:space="preserve"> 18.45亿</t>
  </si>
  <si>
    <t xml:space="preserve"> 义翘神州</t>
  </si>
  <si>
    <t xml:space="preserve"> 4511万</t>
  </si>
  <si>
    <t xml:space="preserve"> 1.292亿</t>
  </si>
  <si>
    <t xml:space="preserve"> 5846万</t>
  </si>
  <si>
    <t xml:space="preserve"> 51.72亿</t>
  </si>
  <si>
    <t xml:space="preserve"> 登康口腔</t>
  </si>
  <si>
    <t xml:space="preserve"> 4510万</t>
  </si>
  <si>
    <t xml:space="preserve"> 4304万</t>
  </si>
  <si>
    <t xml:space="preserve"> 劲嘉股份</t>
  </si>
  <si>
    <t xml:space="preserve"> 4507万</t>
  </si>
  <si>
    <t xml:space="preserve"> 14.62亿</t>
  </si>
  <si>
    <t xml:space="preserve"> 86.12亿</t>
  </si>
  <si>
    <t xml:space="preserve"> 14.30亿</t>
  </si>
  <si>
    <t xml:space="preserve"> 84.22亿</t>
  </si>
  <si>
    <t xml:space="preserve"> 全柴动力</t>
  </si>
  <si>
    <t xml:space="preserve"> 4503万</t>
  </si>
  <si>
    <t xml:space="preserve"> 4.127亿</t>
  </si>
  <si>
    <t xml:space="preserve"> 37.30亿</t>
  </si>
  <si>
    <t xml:space="preserve"> 西安银行</t>
  </si>
  <si>
    <t xml:space="preserve"> 151.6亿</t>
  </si>
  <si>
    <t xml:space="preserve"> 115.2亿</t>
  </si>
  <si>
    <t xml:space="preserve"> 城投控股</t>
  </si>
  <si>
    <t xml:space="preserve"> 4502万</t>
  </si>
  <si>
    <t xml:space="preserve"> -1.98万</t>
  </si>
  <si>
    <t xml:space="preserve"> 25.30亿</t>
  </si>
  <si>
    <t xml:space="preserve"> 长江健康</t>
  </si>
  <si>
    <t xml:space="preserve"> 4501万</t>
  </si>
  <si>
    <t xml:space="preserve"> 12.36亿</t>
  </si>
  <si>
    <t xml:space="preserve"> 58.21亿</t>
  </si>
  <si>
    <t xml:space="preserve"> 56.64亿</t>
  </si>
  <si>
    <t xml:space="preserve"> 卓郎智能</t>
  </si>
  <si>
    <t xml:space="preserve"> 4500万</t>
  </si>
  <si>
    <t xml:space="preserve"> 17.88亿</t>
  </si>
  <si>
    <t xml:space="preserve"> 51.13亿</t>
  </si>
  <si>
    <t xml:space="preserve"> 海容冷链</t>
  </si>
  <si>
    <t xml:space="preserve"> 62.84亿</t>
  </si>
  <si>
    <t xml:space="preserve"> 3.844亿</t>
  </si>
  <si>
    <t xml:space="preserve"> 62.51亿</t>
  </si>
  <si>
    <t xml:space="preserve"> 北陆药业</t>
  </si>
  <si>
    <t xml:space="preserve"> 4.919亿</t>
  </si>
  <si>
    <t xml:space="preserve"> 4.911亿</t>
  </si>
  <si>
    <t xml:space="preserve"> 高华科技</t>
  </si>
  <si>
    <t xml:space="preserve"> 1.328亿</t>
  </si>
  <si>
    <t xml:space="preserve"> 3081万</t>
  </si>
  <si>
    <t xml:space="preserve"> 未来电器</t>
  </si>
  <si>
    <t xml:space="preserve"> 9.020亿</t>
  </si>
  <si>
    <t xml:space="preserve"> 迪普科技</t>
  </si>
  <si>
    <t xml:space="preserve"> 4496万</t>
  </si>
  <si>
    <t xml:space="preserve"> 6.438亿</t>
  </si>
  <si>
    <t xml:space="preserve"> 3.755亿</t>
  </si>
  <si>
    <t xml:space="preserve"> 58.73亿</t>
  </si>
  <si>
    <t xml:space="preserve"> 隆华科技</t>
  </si>
  <si>
    <t xml:space="preserve"> 4495万</t>
  </si>
  <si>
    <t xml:space="preserve"> 9.043亿</t>
  </si>
  <si>
    <t xml:space="preserve"> 7.721亿</t>
  </si>
  <si>
    <t xml:space="preserve"> 55.75亿</t>
  </si>
  <si>
    <t xml:space="preserve"> 阳光股份</t>
  </si>
  <si>
    <t xml:space="preserve"> 22.80亿</t>
  </si>
  <si>
    <t xml:space="preserve"> *ST柏龙</t>
  </si>
  <si>
    <t xml:space="preserve"> 4484万</t>
  </si>
  <si>
    <t xml:space="preserve"> -6.59万</t>
  </si>
  <si>
    <t xml:space="preserve"> 5.380亿</t>
  </si>
  <si>
    <t xml:space="preserve"> 5.057亿</t>
  </si>
  <si>
    <t xml:space="preserve"> 泰达股份</t>
  </si>
  <si>
    <t xml:space="preserve"> 4483万</t>
  </si>
  <si>
    <t xml:space="preserve"> 华致酒行</t>
  </si>
  <si>
    <t xml:space="preserve"> 4481万</t>
  </si>
  <si>
    <t xml:space="preserve"> 82.5亿</t>
  </si>
  <si>
    <t xml:space="preserve"> 81.23亿</t>
  </si>
  <si>
    <t xml:space="preserve"> 希荻微</t>
  </si>
  <si>
    <t xml:space="preserve"> 4478万</t>
  </si>
  <si>
    <t xml:space="preserve"> 4.092亿</t>
  </si>
  <si>
    <t xml:space="preserve"> 75.41亿</t>
  </si>
  <si>
    <t xml:space="preserve"> 2.394亿</t>
  </si>
  <si>
    <t xml:space="preserve"> 燕麦科技</t>
  </si>
  <si>
    <t xml:space="preserve"> 4472万</t>
  </si>
  <si>
    <t xml:space="preserve"> 29.20亿</t>
  </si>
  <si>
    <t xml:space="preserve"> 睿智医药</t>
  </si>
  <si>
    <t xml:space="preserve"> 4466万</t>
  </si>
  <si>
    <t xml:space="preserve"> 43.40亿</t>
  </si>
  <si>
    <t xml:space="preserve"> 富恒新材</t>
  </si>
  <si>
    <t xml:space="preserve"> 4465万</t>
  </si>
  <si>
    <t xml:space="preserve"> 9.888亿</t>
  </si>
  <si>
    <t xml:space="preserve"> 3180万</t>
  </si>
  <si>
    <t xml:space="preserve"> 2.900亿</t>
  </si>
  <si>
    <t xml:space="preserve"> 华茂股份</t>
  </si>
  <si>
    <t xml:space="preserve"> 4458万</t>
  </si>
  <si>
    <t xml:space="preserve"> 36.80亿</t>
  </si>
  <si>
    <t xml:space="preserve"> 9.434亿</t>
  </si>
  <si>
    <t xml:space="preserve"> 穗恒运Ａ</t>
  </si>
  <si>
    <t xml:space="preserve"> 8.221亿</t>
  </si>
  <si>
    <t xml:space="preserve"> 57.46亿</t>
  </si>
  <si>
    <t xml:space="preserve"> 北京科锐</t>
  </si>
  <si>
    <t xml:space="preserve"> 4457万</t>
  </si>
  <si>
    <t xml:space="preserve"> 5.424亿</t>
  </si>
  <si>
    <t xml:space="preserve"> 银座股份</t>
  </si>
  <si>
    <t xml:space="preserve"> 4453万</t>
  </si>
  <si>
    <t xml:space="preserve"> 5.175亿</t>
  </si>
  <si>
    <t xml:space="preserve"> 29.45亿</t>
  </si>
  <si>
    <t xml:space="preserve"> 兰生股份</t>
  </si>
  <si>
    <t xml:space="preserve"> 4448万</t>
  </si>
  <si>
    <t xml:space="preserve"> 9.63亿</t>
  </si>
  <si>
    <t xml:space="preserve"> 49.80亿</t>
  </si>
  <si>
    <t xml:space="preserve"> 4.175亿</t>
  </si>
  <si>
    <t xml:space="preserve"> 39.33亿</t>
  </si>
  <si>
    <t xml:space="preserve"> 浦东建设</t>
  </si>
  <si>
    <t xml:space="preserve"> 4445万</t>
  </si>
  <si>
    <t xml:space="preserve"> 9.703亿</t>
  </si>
  <si>
    <t xml:space="preserve"> 62.68亿</t>
  </si>
  <si>
    <t xml:space="preserve"> 美盈森</t>
  </si>
  <si>
    <t xml:space="preserve"> 55.43亿</t>
  </si>
  <si>
    <t xml:space="preserve"> 9.520亿</t>
  </si>
  <si>
    <t xml:space="preserve"> 丰林集团</t>
  </si>
  <si>
    <t xml:space="preserve"> 世联行</t>
  </si>
  <si>
    <t xml:space="preserve"> 4436万</t>
  </si>
  <si>
    <t xml:space="preserve"> 53.41亿</t>
  </si>
  <si>
    <t xml:space="preserve"> 宝兰德</t>
  </si>
  <si>
    <t xml:space="preserve"> 4435万</t>
  </si>
  <si>
    <t xml:space="preserve"> 5600万</t>
  </si>
  <si>
    <t xml:space="preserve"> 29.04亿</t>
  </si>
  <si>
    <t xml:space="preserve"> 名家汇</t>
  </si>
  <si>
    <t xml:space="preserve"> 4432万</t>
  </si>
  <si>
    <t xml:space="preserve"> 6.956亿</t>
  </si>
  <si>
    <t xml:space="preserve"> 5.725亿</t>
  </si>
  <si>
    <t xml:space="preserve"> 35.67亿</t>
  </si>
  <si>
    <t xml:space="preserve"> 诚达药业</t>
  </si>
  <si>
    <t xml:space="preserve"> 4430万</t>
  </si>
  <si>
    <t xml:space="preserve"> 1.547亿</t>
  </si>
  <si>
    <t xml:space="preserve"> 42.58亿</t>
  </si>
  <si>
    <t xml:space="preserve"> 8719万</t>
  </si>
  <si>
    <t xml:space="preserve"> 信测标准</t>
  </si>
  <si>
    <t xml:space="preserve"> 4429万</t>
  </si>
  <si>
    <t xml:space="preserve"> 40.28亿</t>
  </si>
  <si>
    <t xml:space="preserve"> 5342万</t>
  </si>
  <si>
    <t xml:space="preserve"> 爱乐达</t>
  </si>
  <si>
    <t xml:space="preserve"> 4427万</t>
  </si>
  <si>
    <t xml:space="preserve"> 浩辰软件</t>
  </si>
  <si>
    <t xml:space="preserve"> 4426万</t>
  </si>
  <si>
    <t xml:space="preserve"> 4487万</t>
  </si>
  <si>
    <t xml:space="preserve"> 946.9万</t>
  </si>
  <si>
    <t xml:space="preserve"> 7.717亿</t>
  </si>
  <si>
    <t xml:space="preserve"> 创力集团</t>
  </si>
  <si>
    <t xml:space="preserve"> 4425万</t>
  </si>
  <si>
    <t xml:space="preserve"> 38.44亿</t>
  </si>
  <si>
    <t xml:space="preserve"> 37.89亿</t>
  </si>
  <si>
    <t xml:space="preserve"> 石化机械</t>
  </si>
  <si>
    <t xml:space="preserve"> 61.3亿</t>
  </si>
  <si>
    <t xml:space="preserve"> 9.557亿</t>
  </si>
  <si>
    <t xml:space="preserve"> 9.034亿</t>
  </si>
  <si>
    <t xml:space="preserve"> 57.82亿</t>
  </si>
  <si>
    <t xml:space="preserve"> 壶化股份</t>
  </si>
  <si>
    <t xml:space="preserve"> 30.02亿</t>
  </si>
  <si>
    <t xml:space="preserve"> 1.979亿</t>
  </si>
  <si>
    <t xml:space="preserve"> 29.70亿</t>
  </si>
  <si>
    <t xml:space="preserve"> ST吉药</t>
  </si>
  <si>
    <t xml:space="preserve"> 4424万</t>
  </si>
  <si>
    <t xml:space="preserve"> 21.78亿</t>
  </si>
  <si>
    <t xml:space="preserve"> 厦门银行</t>
  </si>
  <si>
    <t xml:space="preserve"> 4422万</t>
  </si>
  <si>
    <t xml:space="preserve"> 135.9亿</t>
  </si>
  <si>
    <t xml:space="preserve"> 66.05亿</t>
  </si>
  <si>
    <t xml:space="preserve"> 浙江恒威</t>
  </si>
  <si>
    <t xml:space="preserve"> 4420万</t>
  </si>
  <si>
    <t xml:space="preserve"> 2918万</t>
  </si>
  <si>
    <t xml:space="preserve"> 8.551亿</t>
  </si>
  <si>
    <t xml:space="preserve"> 重庆水务</t>
  </si>
  <si>
    <t xml:space="preserve"> 4416万</t>
  </si>
  <si>
    <t xml:space="preserve"> 惠泉啤酒</t>
  </si>
  <si>
    <t xml:space="preserve"> 4415万</t>
  </si>
  <si>
    <t xml:space="preserve"> 2.500亿</t>
  </si>
  <si>
    <t xml:space="preserve"> 26.97亿</t>
  </si>
  <si>
    <t xml:space="preserve"> 迪森股份</t>
  </si>
  <si>
    <t xml:space="preserve"> 9.37亿</t>
  </si>
  <si>
    <t xml:space="preserve"> 4.770亿</t>
  </si>
  <si>
    <t xml:space="preserve"> 27.14亿</t>
  </si>
  <si>
    <t xml:space="preserve"> 3.865亿</t>
  </si>
  <si>
    <t xml:space="preserve"> 荣晟环保</t>
  </si>
  <si>
    <t xml:space="preserve"> 4410万</t>
  </si>
  <si>
    <t xml:space="preserve"> 四川成渝</t>
  </si>
  <si>
    <t xml:space="preserve"> 4404万</t>
  </si>
  <si>
    <t xml:space="preserve"> 30.58亿</t>
  </si>
  <si>
    <t xml:space="preserve"> 21.63亿</t>
  </si>
  <si>
    <t xml:space="preserve"> 93.21亿</t>
  </si>
  <si>
    <t xml:space="preserve"> 鹏欣资源</t>
  </si>
  <si>
    <t xml:space="preserve"> 66.61亿</t>
  </si>
  <si>
    <t xml:space="preserve"> 瀚蓝环境</t>
  </si>
  <si>
    <t xml:space="preserve"> 4403万</t>
  </si>
  <si>
    <t xml:space="preserve"> 89.6亿</t>
  </si>
  <si>
    <t xml:space="preserve"> 8.153亿</t>
  </si>
  <si>
    <t xml:space="preserve"> 神剑股份</t>
  </si>
  <si>
    <t xml:space="preserve"> 9.510亿</t>
  </si>
  <si>
    <t xml:space="preserve"> 7.954亿</t>
  </si>
  <si>
    <t xml:space="preserve"> 32.37亿</t>
  </si>
  <si>
    <t xml:space="preserve"> 国光连锁</t>
  </si>
  <si>
    <t xml:space="preserve"> 4395万</t>
  </si>
  <si>
    <t xml:space="preserve"> 泰坦科技</t>
  </si>
  <si>
    <t xml:space="preserve"> 65.05亿</t>
  </si>
  <si>
    <t xml:space="preserve"> 爱玛科技</t>
  </si>
  <si>
    <t xml:space="preserve"> 4394万</t>
  </si>
  <si>
    <t xml:space="preserve"> 8.619亿</t>
  </si>
  <si>
    <t xml:space="preserve"> 246.1亿</t>
  </si>
  <si>
    <t xml:space="preserve"> 2.235亿</t>
  </si>
  <si>
    <t xml:space="preserve"> 63.82亿</t>
  </si>
  <si>
    <t xml:space="preserve"> 恒逸石化</t>
  </si>
  <si>
    <t xml:space="preserve"> 4393万</t>
  </si>
  <si>
    <t xml:space="preserve"> 1015亿</t>
  </si>
  <si>
    <t xml:space="preserve"> 36.66亿</t>
  </si>
  <si>
    <t xml:space="preserve"> 248.9亿</t>
  </si>
  <si>
    <t xml:space="preserve"> 36.47亿</t>
  </si>
  <si>
    <t xml:space="preserve"> 247.6亿</t>
  </si>
  <si>
    <t xml:space="preserve"> 中国国贸</t>
  </si>
  <si>
    <t xml:space="preserve"> 4389万</t>
  </si>
  <si>
    <t xml:space="preserve"> 204.6亿</t>
  </si>
  <si>
    <t xml:space="preserve"> 铁建重工</t>
  </si>
  <si>
    <t xml:space="preserve"> 4387万</t>
  </si>
  <si>
    <t xml:space="preserve"> 61.04亿</t>
  </si>
  <si>
    <t xml:space="preserve"> 华立科技</t>
  </si>
  <si>
    <t xml:space="preserve"> 31.67亿</t>
  </si>
  <si>
    <t xml:space="preserve"> 润禾材料</t>
  </si>
  <si>
    <t xml:space="preserve"> 4386万</t>
  </si>
  <si>
    <t xml:space="preserve"> GQY视讯</t>
  </si>
  <si>
    <t xml:space="preserve"> ST数源</t>
  </si>
  <si>
    <t xml:space="preserve"> 4380万</t>
  </si>
  <si>
    <t xml:space="preserve"> 6.79亿</t>
  </si>
  <si>
    <t xml:space="preserve"> 4.538亿</t>
  </si>
  <si>
    <t xml:space="preserve"> 奥美医疗</t>
  </si>
  <si>
    <t xml:space="preserve"> 4375万</t>
  </si>
  <si>
    <t xml:space="preserve"> 4.520亿</t>
  </si>
  <si>
    <t xml:space="preserve"> 46.33亿</t>
  </si>
  <si>
    <t xml:space="preserve"> 开创国际</t>
  </si>
  <si>
    <t xml:space="preserve"> 2.409亿</t>
  </si>
  <si>
    <t xml:space="preserve"> 25.49亿</t>
  </si>
  <si>
    <t xml:space="preserve"> 大东南</t>
  </si>
  <si>
    <t xml:space="preserve"> 4373万</t>
  </si>
  <si>
    <t xml:space="preserve"> 18.78亿</t>
  </si>
  <si>
    <t xml:space="preserve"> 晋西车轴</t>
  </si>
  <si>
    <t xml:space="preserve"> 4372万</t>
  </si>
  <si>
    <t xml:space="preserve"> -1.50万</t>
  </si>
  <si>
    <t xml:space="preserve"> 48.69亿</t>
  </si>
  <si>
    <t xml:space="preserve"> 陆家嘴</t>
  </si>
  <si>
    <t xml:space="preserve"> 57.8亿</t>
  </si>
  <si>
    <t xml:space="preserve"> 432.7亿</t>
  </si>
  <si>
    <t xml:space="preserve"> 百邦科技</t>
  </si>
  <si>
    <t xml:space="preserve"> 4370万</t>
  </si>
  <si>
    <t xml:space="preserve"> 5.35亿</t>
  </si>
  <si>
    <t xml:space="preserve"> 1.301亿</t>
  </si>
  <si>
    <t xml:space="preserve"> 龙磁科技</t>
  </si>
  <si>
    <t xml:space="preserve"> 34.56亿</t>
  </si>
  <si>
    <t xml:space="preserve"> 8059万</t>
  </si>
  <si>
    <t xml:space="preserve"> 23.19亿</t>
  </si>
  <si>
    <t xml:space="preserve"> 经纬辉开</t>
  </si>
  <si>
    <t xml:space="preserve"> 4365万</t>
  </si>
  <si>
    <t xml:space="preserve"> 5.744亿</t>
  </si>
  <si>
    <t xml:space="preserve"> 5.213亿</t>
  </si>
  <si>
    <t xml:space="preserve"> 38.73亿</t>
  </si>
  <si>
    <t xml:space="preserve"> 科华生物</t>
  </si>
  <si>
    <t xml:space="preserve"> 4364万</t>
  </si>
  <si>
    <t xml:space="preserve"> 5.143亿</t>
  </si>
  <si>
    <t xml:space="preserve"> 47.68亿</t>
  </si>
  <si>
    <t xml:space="preserve"> 5.141亿</t>
  </si>
  <si>
    <t xml:space="preserve"> 47.66亿</t>
  </si>
  <si>
    <t xml:space="preserve"> 沪宁股份</t>
  </si>
  <si>
    <t xml:space="preserve"> 4363万</t>
  </si>
  <si>
    <t xml:space="preserve"> 1.927亿</t>
  </si>
  <si>
    <t xml:space="preserve"> 1.794亿</t>
  </si>
  <si>
    <t xml:space="preserve"> 迪马股份</t>
  </si>
  <si>
    <t xml:space="preserve"> 4361万</t>
  </si>
  <si>
    <t xml:space="preserve"> 动力新科</t>
  </si>
  <si>
    <t xml:space="preserve"> 4358万</t>
  </si>
  <si>
    <t xml:space="preserve"> 90.07亿</t>
  </si>
  <si>
    <t xml:space="preserve"> 9.201亿</t>
  </si>
  <si>
    <t xml:space="preserve"> 金迪克</t>
  </si>
  <si>
    <t xml:space="preserve"> 4356万</t>
  </si>
  <si>
    <t xml:space="preserve"> 42.85亿</t>
  </si>
  <si>
    <t xml:space="preserve"> 4414万</t>
  </si>
  <si>
    <t xml:space="preserve"> 15.35亿</t>
  </si>
  <si>
    <t xml:space="preserve"> 金通灵</t>
  </si>
  <si>
    <t xml:space="preserve"> 14.89亿</t>
  </si>
  <si>
    <t xml:space="preserve"> 42.14亿</t>
  </si>
  <si>
    <t xml:space="preserve"> 31.14亿</t>
  </si>
  <si>
    <t xml:space="preserve"> 赛科希德</t>
  </si>
  <si>
    <t xml:space="preserve"> 6369万</t>
  </si>
  <si>
    <t xml:space="preserve"> 22.12亿</t>
  </si>
  <si>
    <t xml:space="preserve"> 浔兴股份</t>
  </si>
  <si>
    <t xml:space="preserve"> 4350万</t>
  </si>
  <si>
    <t xml:space="preserve"> 3.580亿</t>
  </si>
  <si>
    <t xml:space="preserve"> 24.77亿</t>
  </si>
  <si>
    <t xml:space="preserve"> 秦港股份</t>
  </si>
  <si>
    <t xml:space="preserve"> 4349万</t>
  </si>
  <si>
    <t xml:space="preserve"> 53.6亿</t>
  </si>
  <si>
    <t xml:space="preserve"> 47.58亿</t>
  </si>
  <si>
    <t xml:space="preserve"> 140.3亿</t>
  </si>
  <si>
    <t xml:space="preserve"> 极米科技</t>
  </si>
  <si>
    <t xml:space="preserve"> 4345万</t>
  </si>
  <si>
    <t xml:space="preserve"> 4567万</t>
  </si>
  <si>
    <t xml:space="preserve"> 53.37亿</t>
  </si>
  <si>
    <t xml:space="preserve"> 启迪环境</t>
  </si>
  <si>
    <t xml:space="preserve"> 4344万</t>
  </si>
  <si>
    <t xml:space="preserve"> 38.1亿</t>
  </si>
  <si>
    <t xml:space="preserve"> 14.25亿</t>
  </si>
  <si>
    <t xml:space="preserve"> 亿利洁能</t>
  </si>
  <si>
    <t xml:space="preserve"> 4343万</t>
  </si>
  <si>
    <t xml:space="preserve"> 35.61亿</t>
  </si>
  <si>
    <t xml:space="preserve"> 95.07亿</t>
  </si>
  <si>
    <t xml:space="preserve"> 泰恩康</t>
  </si>
  <si>
    <t xml:space="preserve"> 4336万</t>
  </si>
  <si>
    <t xml:space="preserve"> 76.55亿</t>
  </si>
  <si>
    <t xml:space="preserve"> 2.680亿</t>
  </si>
  <si>
    <t xml:space="preserve"> 吉林高速</t>
  </si>
  <si>
    <t xml:space="preserve"> 4326万</t>
  </si>
  <si>
    <t xml:space="preserve"> 50.67亿</t>
  </si>
  <si>
    <t xml:space="preserve"> 成都燃气</t>
  </si>
  <si>
    <t xml:space="preserve"> 8.889亿</t>
  </si>
  <si>
    <t xml:space="preserve"> 93.69亿</t>
  </si>
  <si>
    <t xml:space="preserve"> 史丹利</t>
  </si>
  <si>
    <t xml:space="preserve"> 4325万</t>
  </si>
  <si>
    <t xml:space="preserve"> 73.23亿</t>
  </si>
  <si>
    <t xml:space="preserve"> 64.86亿</t>
  </si>
  <si>
    <t xml:space="preserve"> 亚盛集团</t>
  </si>
  <si>
    <t xml:space="preserve"> 4322万</t>
  </si>
  <si>
    <t xml:space="preserve"> -3.53万</t>
  </si>
  <si>
    <t xml:space="preserve"> 19.47亿</t>
  </si>
  <si>
    <t xml:space="preserve"> 广宇发展</t>
  </si>
  <si>
    <t xml:space="preserve"> 4321万</t>
  </si>
  <si>
    <t xml:space="preserve"> 旺成科技</t>
  </si>
  <si>
    <t xml:space="preserve"> 4316万</t>
  </si>
  <si>
    <t xml:space="preserve"> 2546万</t>
  </si>
  <si>
    <t xml:space="preserve"> 朗科智能</t>
  </si>
  <si>
    <t xml:space="preserve"> 4315万</t>
  </si>
  <si>
    <t xml:space="preserve"> 公元股份</t>
  </si>
  <si>
    <t xml:space="preserve"> 4314万</t>
  </si>
  <si>
    <t xml:space="preserve"> 55.2亿</t>
  </si>
  <si>
    <t xml:space="preserve"> 12.29亿</t>
  </si>
  <si>
    <t xml:space="preserve"> 合纵科技</t>
  </si>
  <si>
    <t xml:space="preserve"> 4313万</t>
  </si>
  <si>
    <t xml:space="preserve"> 9.355亿</t>
  </si>
  <si>
    <t xml:space="preserve"> 红 宝 丽</t>
  </si>
  <si>
    <t xml:space="preserve"> 4312万</t>
  </si>
  <si>
    <t xml:space="preserve"> 31.98亿</t>
  </si>
  <si>
    <t xml:space="preserve"> 7.276亿</t>
  </si>
  <si>
    <t xml:space="preserve"> 隆利科技</t>
  </si>
  <si>
    <t xml:space="preserve"> 4311万</t>
  </si>
  <si>
    <t xml:space="preserve"> 2.276亿</t>
  </si>
  <si>
    <t xml:space="preserve"> 25.65亿</t>
  </si>
  <si>
    <t xml:space="preserve"> 陕天然气</t>
  </si>
  <si>
    <t xml:space="preserve"> 4310万</t>
  </si>
  <si>
    <t xml:space="preserve"> 天智航-U</t>
  </si>
  <si>
    <t xml:space="preserve"> 4306万</t>
  </si>
  <si>
    <t xml:space="preserve"> 4.494亿</t>
  </si>
  <si>
    <t xml:space="preserve"> 64.62亿</t>
  </si>
  <si>
    <t xml:space="preserve"> 3.393亿</t>
  </si>
  <si>
    <t xml:space="preserve"> 48.79亿</t>
  </si>
  <si>
    <t xml:space="preserve"> 巨力索具</t>
  </si>
  <si>
    <t xml:space="preserve"> 9.600亿</t>
  </si>
  <si>
    <t xml:space="preserve"> 41.86亿</t>
  </si>
  <si>
    <t xml:space="preserve"> 9.547亿</t>
  </si>
  <si>
    <t xml:space="preserve"> 冠农股份</t>
  </si>
  <si>
    <t xml:space="preserve"> 4298万</t>
  </si>
  <si>
    <t xml:space="preserve"> 7.770亿</t>
  </si>
  <si>
    <t xml:space="preserve"> 科博达</t>
  </si>
  <si>
    <t xml:space="preserve"> 4297万</t>
  </si>
  <si>
    <t xml:space="preserve"> 297.2亿</t>
  </si>
  <si>
    <t xml:space="preserve"> 295.2亿</t>
  </si>
  <si>
    <t xml:space="preserve"> 青山纸业</t>
  </si>
  <si>
    <t xml:space="preserve"> 4296万</t>
  </si>
  <si>
    <t xml:space="preserve"> 56.49亿</t>
  </si>
  <si>
    <t xml:space="preserve"> 东方集团</t>
  </si>
  <si>
    <t xml:space="preserve"> 36.59亿</t>
  </si>
  <si>
    <t xml:space="preserve"> 80.86亿</t>
  </si>
  <si>
    <t xml:space="preserve"> 深粮控股</t>
  </si>
  <si>
    <t xml:space="preserve"> 86.67亿</t>
  </si>
  <si>
    <t xml:space="preserve"> 博亚精工</t>
  </si>
  <si>
    <t xml:space="preserve"> 4293万</t>
  </si>
  <si>
    <t xml:space="preserve"> 21.10亿</t>
  </si>
  <si>
    <t xml:space="preserve"> 5465万</t>
  </si>
  <si>
    <t xml:space="preserve"> 13.73亿</t>
  </si>
  <si>
    <t xml:space="preserve"> 大立科技</t>
  </si>
  <si>
    <t xml:space="preserve"> 4292万</t>
  </si>
  <si>
    <t xml:space="preserve"> 5.992亿</t>
  </si>
  <si>
    <t xml:space="preserve"> 72.93亿</t>
  </si>
  <si>
    <t xml:space="preserve"> 4.779亿</t>
  </si>
  <si>
    <t xml:space="preserve"> 博汇纸业</t>
  </si>
  <si>
    <t xml:space="preserve"> 4290万</t>
  </si>
  <si>
    <t xml:space="preserve"> 13.37亿</t>
  </si>
  <si>
    <t xml:space="preserve"> 88.10亿</t>
  </si>
  <si>
    <t xml:space="preserve"> 司太立</t>
  </si>
  <si>
    <t xml:space="preserve"> 4288万</t>
  </si>
  <si>
    <t xml:space="preserve"> 3.425亿</t>
  </si>
  <si>
    <t xml:space="preserve"> 广电计量</t>
  </si>
  <si>
    <t xml:space="preserve"> 4285万</t>
  </si>
  <si>
    <t xml:space="preserve"> 5.752亿</t>
  </si>
  <si>
    <t xml:space="preserve"> 5.151亿</t>
  </si>
  <si>
    <t xml:space="preserve"> 76.08亿</t>
  </si>
  <si>
    <t xml:space="preserve"> 纳睿雷达</t>
  </si>
  <si>
    <t xml:space="preserve"> 3819万</t>
  </si>
  <si>
    <t xml:space="preserve"> 20.21亿</t>
  </si>
  <si>
    <t xml:space="preserve"> 冰山冷热</t>
  </si>
  <si>
    <t xml:space="preserve"> 4283万</t>
  </si>
  <si>
    <t xml:space="preserve"> 8.432亿</t>
  </si>
  <si>
    <t xml:space="preserve"> 47.47亿</t>
  </si>
  <si>
    <t xml:space="preserve"> 冠昊生物</t>
  </si>
  <si>
    <t xml:space="preserve"> 2.651亿</t>
  </si>
  <si>
    <t xml:space="preserve"> 清源股份</t>
  </si>
  <si>
    <t xml:space="preserve"> 4280万</t>
  </si>
  <si>
    <t xml:space="preserve"> 华特气体</t>
  </si>
  <si>
    <t xml:space="preserve"> 4279万</t>
  </si>
  <si>
    <t xml:space="preserve"> 89.83亿</t>
  </si>
  <si>
    <t xml:space="preserve"> 89.63亿</t>
  </si>
  <si>
    <t xml:space="preserve"> 中元股份</t>
  </si>
  <si>
    <t xml:space="preserve"> 4276万</t>
  </si>
  <si>
    <t xml:space="preserve"> 大地电气</t>
  </si>
  <si>
    <t xml:space="preserve"> 3.798亿</t>
  </si>
  <si>
    <t xml:space="preserve"> 南网科技</t>
  </si>
  <si>
    <t xml:space="preserve"> 4275万</t>
  </si>
  <si>
    <t xml:space="preserve"> 5.647亿</t>
  </si>
  <si>
    <t xml:space="preserve"> 8162万</t>
  </si>
  <si>
    <t xml:space="preserve"> 国网英大</t>
  </si>
  <si>
    <t xml:space="preserve"> 73.5亿</t>
  </si>
  <si>
    <t xml:space="preserve"> 57.18亿</t>
  </si>
  <si>
    <t xml:space="preserve"> 277.3亿</t>
  </si>
  <si>
    <t xml:space="preserve"> 中山公用</t>
  </si>
  <si>
    <t xml:space="preserve"> 4274万</t>
  </si>
  <si>
    <t xml:space="preserve"> 91.36亿</t>
  </si>
  <si>
    <t xml:space="preserve"> 汇成股份</t>
  </si>
  <si>
    <t xml:space="preserve"> 4272万</t>
  </si>
  <si>
    <t xml:space="preserve"> 8.349亿</t>
  </si>
  <si>
    <t xml:space="preserve"> 浙江新能</t>
  </si>
  <si>
    <t xml:space="preserve"> 歌力思</t>
  </si>
  <si>
    <t xml:space="preserve"> 4270万</t>
  </si>
  <si>
    <t xml:space="preserve"> 3.691亿</t>
  </si>
  <si>
    <t xml:space="preserve"> 37.02亿</t>
  </si>
  <si>
    <t xml:space="preserve"> 建投能源</t>
  </si>
  <si>
    <t xml:space="preserve"> 8.09万</t>
  </si>
  <si>
    <t xml:space="preserve"> 4269万</t>
  </si>
  <si>
    <t xml:space="preserve"> 133亿</t>
  </si>
  <si>
    <t xml:space="preserve"> 17.92亿</t>
  </si>
  <si>
    <t xml:space="preserve"> 94.60亿</t>
  </si>
  <si>
    <t xml:space="preserve"> 57.55亿</t>
  </si>
  <si>
    <t xml:space="preserve"> 众辰科技</t>
  </si>
  <si>
    <t xml:space="preserve"> 4268万</t>
  </si>
  <si>
    <t xml:space="preserve"> 1.488亿</t>
  </si>
  <si>
    <t xml:space="preserve"> 3645万</t>
  </si>
  <si>
    <t xml:space="preserve"> 恒天海龙</t>
  </si>
  <si>
    <t xml:space="preserve"> 4266万</t>
  </si>
  <si>
    <t xml:space="preserve"> 万顺新材</t>
  </si>
  <si>
    <t xml:space="preserve"> 4258万</t>
  </si>
  <si>
    <t xml:space="preserve"> 9.100亿</t>
  </si>
  <si>
    <t xml:space="preserve"> 7.382亿</t>
  </si>
  <si>
    <t xml:space="preserve"> 47.10亿</t>
  </si>
  <si>
    <t xml:space="preserve"> 德邦股份</t>
  </si>
  <si>
    <t xml:space="preserve"> 4257万</t>
  </si>
  <si>
    <t xml:space="preserve"> 149.6亿</t>
  </si>
  <si>
    <t xml:space="preserve"> 139.9亿</t>
  </si>
  <si>
    <t xml:space="preserve"> 国电南自</t>
  </si>
  <si>
    <t xml:space="preserve"> 8.469亿</t>
  </si>
  <si>
    <t xml:space="preserve"> 58.61亿</t>
  </si>
  <si>
    <t xml:space="preserve"> 8.343亿</t>
  </si>
  <si>
    <t xml:space="preserve"> 欣天科技</t>
  </si>
  <si>
    <t xml:space="preserve"> 4252万</t>
  </si>
  <si>
    <t xml:space="preserve"> 1.914亿</t>
  </si>
  <si>
    <t xml:space="preserve"> 1.293亿</t>
  </si>
  <si>
    <t xml:space="preserve"> 21.25亿</t>
  </si>
  <si>
    <t xml:space="preserve"> 谱尼测试</t>
  </si>
  <si>
    <t xml:space="preserve"> 4250万</t>
  </si>
  <si>
    <t xml:space="preserve"> 76.29亿</t>
  </si>
  <si>
    <t xml:space="preserve"> 3.621亿</t>
  </si>
  <si>
    <t xml:space="preserve"> 50.58亿</t>
  </si>
  <si>
    <t xml:space="preserve"> 大商股份</t>
  </si>
  <si>
    <t xml:space="preserve"> 2.937亿</t>
  </si>
  <si>
    <t xml:space="preserve"> 51.28亿</t>
  </si>
  <si>
    <t xml:space="preserve"> 浙富控股</t>
  </si>
  <si>
    <t xml:space="preserve"> 4249万</t>
  </si>
  <si>
    <t xml:space="preserve"> 48.97亿</t>
  </si>
  <si>
    <t xml:space="preserve"> 179.2亿</t>
  </si>
  <si>
    <t xml:space="preserve"> 梦洁股份</t>
  </si>
  <si>
    <t xml:space="preserve"> 4247万</t>
  </si>
  <si>
    <t xml:space="preserve"> 7.508亿</t>
  </si>
  <si>
    <t xml:space="preserve"> 21.92亿</t>
  </si>
  <si>
    <t xml:space="preserve"> 奥佳华</t>
  </si>
  <si>
    <t xml:space="preserve"> 4246万</t>
  </si>
  <si>
    <t xml:space="preserve"> 6.235亿</t>
  </si>
  <si>
    <t xml:space="preserve"> 天玛智控</t>
  </si>
  <si>
    <t xml:space="preserve"> 4245万</t>
  </si>
  <si>
    <t xml:space="preserve"> 5514万</t>
  </si>
  <si>
    <t xml:space="preserve"> 安通控股</t>
  </si>
  <si>
    <t xml:space="preserve"> 4243万</t>
  </si>
  <si>
    <t xml:space="preserve"> 99.33亿</t>
  </si>
  <si>
    <t xml:space="preserve"> 金宏气体</t>
  </si>
  <si>
    <t xml:space="preserve"> 4241万</t>
  </si>
  <si>
    <t xml:space="preserve"> 4.869亿</t>
  </si>
  <si>
    <t xml:space="preserve"> 中粮科技</t>
  </si>
  <si>
    <t xml:space="preserve"> 百胜智能</t>
  </si>
  <si>
    <t xml:space="preserve"> 4239万</t>
  </si>
  <si>
    <t xml:space="preserve"> 1.779亿</t>
  </si>
  <si>
    <t xml:space="preserve"> 30.56亿</t>
  </si>
  <si>
    <t xml:space="preserve"> 驰诚股份</t>
  </si>
  <si>
    <t xml:space="preserve"> 4238万</t>
  </si>
  <si>
    <t xml:space="preserve"> 6568万</t>
  </si>
  <si>
    <t xml:space="preserve"> 6.896亿</t>
  </si>
  <si>
    <t xml:space="preserve"> 1.483亿</t>
  </si>
  <si>
    <t xml:space="preserve"> 长春燃气</t>
  </si>
  <si>
    <t xml:space="preserve"> 6.090亿</t>
  </si>
  <si>
    <t xml:space="preserve"> 金海通</t>
  </si>
  <si>
    <t xml:space="preserve"> 4236万</t>
  </si>
  <si>
    <t xml:space="preserve"> 1500万</t>
  </si>
  <si>
    <t xml:space="preserve"> 宁波富达</t>
  </si>
  <si>
    <t xml:space="preserve"> 14.45亿</t>
  </si>
  <si>
    <t xml:space="preserve"> 58.24亿</t>
  </si>
  <si>
    <t xml:space="preserve"> 58.23亿</t>
  </si>
  <si>
    <t xml:space="preserve"> 玉马遮阳</t>
  </si>
  <si>
    <t xml:space="preserve"> 9946万</t>
  </si>
  <si>
    <t xml:space="preserve"> 苏州科达</t>
  </si>
  <si>
    <t xml:space="preserve"> 4235万</t>
  </si>
  <si>
    <t xml:space="preserve"> 5.029亿</t>
  </si>
  <si>
    <t xml:space="preserve"> 4.942亿</t>
  </si>
  <si>
    <t xml:space="preserve"> 威领股份</t>
  </si>
  <si>
    <t xml:space="preserve"> 2.425亿</t>
  </si>
  <si>
    <t xml:space="preserve"> 28.88亿</t>
  </si>
  <si>
    <t xml:space="preserve"> 28.18亿</t>
  </si>
  <si>
    <t xml:space="preserve"> 魅视科技</t>
  </si>
  <si>
    <t xml:space="preserve"> 34.94亿</t>
  </si>
  <si>
    <t xml:space="preserve"> 2941万</t>
  </si>
  <si>
    <t xml:space="preserve"> 津荣天宇</t>
  </si>
  <si>
    <t xml:space="preserve"> 5775万</t>
  </si>
  <si>
    <t xml:space="preserve"> 鼎泰高科</t>
  </si>
  <si>
    <t xml:space="preserve"> 4226万</t>
  </si>
  <si>
    <t xml:space="preserve"> 84.01亿</t>
  </si>
  <si>
    <t xml:space="preserve"> 7102万</t>
  </si>
  <si>
    <t xml:space="preserve"> 中洲控股</t>
  </si>
  <si>
    <t xml:space="preserve"> 4223万</t>
  </si>
  <si>
    <t xml:space="preserve"> 6.648亿</t>
  </si>
  <si>
    <t xml:space="preserve"> 6.640亿</t>
  </si>
  <si>
    <t xml:space="preserve"> 华峰铝业</t>
  </si>
  <si>
    <t xml:space="preserve"> 4219万</t>
  </si>
  <si>
    <t xml:space="preserve"> 9.985亿</t>
  </si>
  <si>
    <t xml:space="preserve"> 纽威数控</t>
  </si>
  <si>
    <t xml:space="preserve"> 17.4亿</t>
  </si>
  <si>
    <t xml:space="preserve"> 3.267亿</t>
  </si>
  <si>
    <t xml:space="preserve"> 66.67亿</t>
  </si>
  <si>
    <t xml:space="preserve"> 8167万</t>
  </si>
  <si>
    <t xml:space="preserve"> 16.67亿</t>
  </si>
  <si>
    <t xml:space="preserve"> 硕世生物</t>
  </si>
  <si>
    <t xml:space="preserve"> 4216万</t>
  </si>
  <si>
    <t xml:space="preserve"> 5862万</t>
  </si>
  <si>
    <t xml:space="preserve"> 宸展光电</t>
  </si>
  <si>
    <t xml:space="preserve"> 1.630亿</t>
  </si>
  <si>
    <t xml:space="preserve"> 珈伟新能</t>
  </si>
  <si>
    <t xml:space="preserve"> 8.260亿</t>
  </si>
  <si>
    <t xml:space="preserve"> 42.38亿</t>
  </si>
  <si>
    <t xml:space="preserve"> 8.259亿</t>
  </si>
  <si>
    <t xml:space="preserve"> 纬达光电</t>
  </si>
  <si>
    <t xml:space="preserve"> 4215万</t>
  </si>
  <si>
    <t xml:space="preserve"> 3842万</t>
  </si>
  <si>
    <t xml:space="preserve"> 2.959亿</t>
  </si>
  <si>
    <t xml:space="preserve"> 中顺洁柔</t>
  </si>
  <si>
    <t xml:space="preserve"> 4206万</t>
  </si>
  <si>
    <t xml:space="preserve"> 68.2亿</t>
  </si>
  <si>
    <t xml:space="preserve"> 12.96亿</t>
  </si>
  <si>
    <t xml:space="preserve"> 澳华内镜</t>
  </si>
  <si>
    <t xml:space="preserve"> 4201万</t>
  </si>
  <si>
    <t xml:space="preserve"> 88.32亿</t>
  </si>
  <si>
    <t xml:space="preserve"> 百亚股份</t>
  </si>
  <si>
    <t xml:space="preserve"> 4196万</t>
  </si>
  <si>
    <t xml:space="preserve"> 4.294亿</t>
  </si>
  <si>
    <t xml:space="preserve"> 69.00亿</t>
  </si>
  <si>
    <t xml:space="preserve"> 4.279亿</t>
  </si>
  <si>
    <t xml:space="preserve"> 68.77亿</t>
  </si>
  <si>
    <t xml:space="preserve"> 康盛股份</t>
  </si>
  <si>
    <t xml:space="preserve"> 4191万</t>
  </si>
  <si>
    <t xml:space="preserve"> 盛视科技</t>
  </si>
  <si>
    <t xml:space="preserve"> 4188万</t>
  </si>
  <si>
    <t xml:space="preserve"> 2.561亿</t>
  </si>
  <si>
    <t xml:space="preserve"> 79.12亿</t>
  </si>
  <si>
    <t xml:space="preserve"> 1.325亿</t>
  </si>
  <si>
    <t xml:space="preserve"> 格尔软件</t>
  </si>
  <si>
    <t xml:space="preserve"> 2.333亿</t>
  </si>
  <si>
    <t xml:space="preserve"> 33.74亿</t>
  </si>
  <si>
    <t xml:space="preserve"> 锦州港</t>
  </si>
  <si>
    <t xml:space="preserve"> 4182万</t>
  </si>
  <si>
    <t xml:space="preserve"> 60.27亿</t>
  </si>
  <si>
    <t xml:space="preserve"> 17.79亿</t>
  </si>
  <si>
    <t xml:space="preserve"> 53.56亿</t>
  </si>
  <si>
    <t xml:space="preserve"> 晨鸣纸业</t>
  </si>
  <si>
    <t xml:space="preserve"> 4180万</t>
  </si>
  <si>
    <t xml:space="preserve"> 118.3亿</t>
  </si>
  <si>
    <t xml:space="preserve"> 惠丰钻石</t>
  </si>
  <si>
    <t xml:space="preserve"> 4176万</t>
  </si>
  <si>
    <t xml:space="preserve"> 9230万</t>
  </si>
  <si>
    <t xml:space="preserve"> 4208万</t>
  </si>
  <si>
    <t xml:space="preserve"> 6.387亿</t>
  </si>
  <si>
    <t xml:space="preserve"> 三未信安</t>
  </si>
  <si>
    <t xml:space="preserve"> 4174万</t>
  </si>
  <si>
    <t xml:space="preserve"> 2539万</t>
  </si>
  <si>
    <t xml:space="preserve"> 11.97亿</t>
  </si>
  <si>
    <t xml:space="preserve"> 北元集团</t>
  </si>
  <si>
    <t xml:space="preserve"> 4172万</t>
  </si>
  <si>
    <t xml:space="preserve"> 83.6亿</t>
  </si>
  <si>
    <t xml:space="preserve"> 194.2亿</t>
  </si>
  <si>
    <t xml:space="preserve"> 湘潭电化</t>
  </si>
  <si>
    <t xml:space="preserve"> 4167万</t>
  </si>
  <si>
    <t xml:space="preserve"> 6.295亿</t>
  </si>
  <si>
    <t xml:space="preserve"> 金隅集团</t>
  </si>
  <si>
    <t xml:space="preserve"> 726亿</t>
  </si>
  <si>
    <t xml:space="preserve"> 215.7亿</t>
  </si>
  <si>
    <t xml:space="preserve"> 83.34亿</t>
  </si>
  <si>
    <t xml:space="preserve"> 百隆东方</t>
  </si>
  <si>
    <t xml:space="preserve"> 4165万</t>
  </si>
  <si>
    <t xml:space="preserve"> 81.00亿</t>
  </si>
  <si>
    <t xml:space="preserve"> 顺钠股份</t>
  </si>
  <si>
    <t xml:space="preserve"> 4164万</t>
  </si>
  <si>
    <t xml:space="preserve"> 6.908亿</t>
  </si>
  <si>
    <t xml:space="preserve"> 6.849亿</t>
  </si>
  <si>
    <t xml:space="preserve"> 纳微科技</t>
  </si>
  <si>
    <t xml:space="preserve"> 4163万</t>
  </si>
  <si>
    <t xml:space="preserve"> 4.51亿</t>
  </si>
  <si>
    <t xml:space="preserve"> 4.038亿</t>
  </si>
  <si>
    <t xml:space="preserve"> 62.12亿</t>
  </si>
  <si>
    <t xml:space="preserve"> 汉森制药</t>
  </si>
  <si>
    <t xml:space="preserve"> 4162万</t>
  </si>
  <si>
    <t xml:space="preserve"> 5.032亿</t>
  </si>
  <si>
    <t xml:space="preserve"> 35.83亿</t>
  </si>
  <si>
    <t xml:space="preserve"> 4.922亿</t>
  </si>
  <si>
    <t xml:space="preserve"> 金枫酒业</t>
  </si>
  <si>
    <t xml:space="preserve"> 4159万</t>
  </si>
  <si>
    <t xml:space="preserve"> 6.690亿</t>
  </si>
  <si>
    <t xml:space="preserve"> 拓日新能</t>
  </si>
  <si>
    <t xml:space="preserve"> 4151万</t>
  </si>
  <si>
    <t xml:space="preserve"> 62.52亿</t>
  </si>
  <si>
    <t xml:space="preserve"> 迦南科技</t>
  </si>
  <si>
    <t xml:space="preserve"> 4149万</t>
  </si>
  <si>
    <t xml:space="preserve"> 4.978亿</t>
  </si>
  <si>
    <t xml:space="preserve"> 4.729亿</t>
  </si>
  <si>
    <t xml:space="preserve"> 27.38亿</t>
  </si>
  <si>
    <t xml:space="preserve"> 派生科技</t>
  </si>
  <si>
    <t xml:space="preserve"> 4142万</t>
  </si>
  <si>
    <t xml:space="preserve"> 3.873亿</t>
  </si>
  <si>
    <t xml:space="preserve"> 国机通用</t>
  </si>
  <si>
    <t xml:space="preserve"> 4138万</t>
  </si>
  <si>
    <t xml:space="preserve"> 20.59亿</t>
  </si>
  <si>
    <t xml:space="preserve"> 巴安水务</t>
  </si>
  <si>
    <t xml:space="preserve"> 4136万</t>
  </si>
  <si>
    <t xml:space="preserve"> 20.43亿</t>
  </si>
  <si>
    <t xml:space="preserve"> 20.36亿</t>
  </si>
  <si>
    <t xml:space="preserve"> 东易日盛</t>
  </si>
  <si>
    <t xml:space="preserve"> 4135万</t>
  </si>
  <si>
    <t xml:space="preserve"> 29.83亿</t>
  </si>
  <si>
    <t xml:space="preserve"> 4.061亿</t>
  </si>
  <si>
    <t xml:space="preserve"> 易德龙</t>
  </si>
  <si>
    <t xml:space="preserve"> 4134万</t>
  </si>
  <si>
    <t xml:space="preserve"> 1.604亿</t>
  </si>
  <si>
    <t xml:space="preserve"> 39.28亿</t>
  </si>
  <si>
    <t xml:space="preserve"> 中洲特材</t>
  </si>
  <si>
    <t xml:space="preserve"> 4132万</t>
  </si>
  <si>
    <t xml:space="preserve"> 2.340亿</t>
  </si>
  <si>
    <t xml:space="preserve"> 三钢闽光</t>
  </si>
  <si>
    <t xml:space="preserve"> 344亿</t>
  </si>
  <si>
    <t xml:space="preserve"> 24.52亿</t>
  </si>
  <si>
    <t xml:space="preserve"> 振华风光</t>
  </si>
  <si>
    <t xml:space="preserve"> 4131万</t>
  </si>
  <si>
    <t xml:space="preserve"> 9517万</t>
  </si>
  <si>
    <t xml:space="preserve"> 89.46亿</t>
  </si>
  <si>
    <t xml:space="preserve"> 鲍斯股份</t>
  </si>
  <si>
    <t xml:space="preserve"> 4124万</t>
  </si>
  <si>
    <t xml:space="preserve"> 6.572亿</t>
  </si>
  <si>
    <t xml:space="preserve"> 诺思兰德</t>
  </si>
  <si>
    <t xml:space="preserve"> 4123万</t>
  </si>
  <si>
    <t xml:space="preserve"> 1.640亿</t>
  </si>
  <si>
    <t xml:space="preserve"> 28.81亿</t>
  </si>
  <si>
    <t xml:space="preserve"> 吉贝尔</t>
  </si>
  <si>
    <t xml:space="preserve"> 4118万</t>
  </si>
  <si>
    <t xml:space="preserve"> 1.891亿</t>
  </si>
  <si>
    <t xml:space="preserve"> 55.25亿</t>
  </si>
  <si>
    <t xml:space="preserve"> 仙鹤股份</t>
  </si>
  <si>
    <t xml:space="preserve"> 4109万</t>
  </si>
  <si>
    <t xml:space="preserve"> 7.060亿</t>
  </si>
  <si>
    <t xml:space="preserve"> 新联电子</t>
  </si>
  <si>
    <t xml:space="preserve"> 4108万</t>
  </si>
  <si>
    <t xml:space="preserve"> 8.340亿</t>
  </si>
  <si>
    <t xml:space="preserve"> 8.012亿</t>
  </si>
  <si>
    <t xml:space="preserve"> 银禧科技</t>
  </si>
  <si>
    <t xml:space="preserve"> 7.10万</t>
  </si>
  <si>
    <t xml:space="preserve"> 4104万</t>
  </si>
  <si>
    <t xml:space="preserve"> 4.548亿</t>
  </si>
  <si>
    <t xml:space="preserve"> 26.29亿</t>
  </si>
  <si>
    <t xml:space="preserve"> 向日葵</t>
  </si>
  <si>
    <t xml:space="preserve"> 4103万</t>
  </si>
  <si>
    <t xml:space="preserve"> 12.87亿</t>
  </si>
  <si>
    <t xml:space="preserve"> 41.45亿</t>
  </si>
  <si>
    <t xml:space="preserve"> 江苏神通</t>
  </si>
  <si>
    <t xml:space="preserve"> 4102万</t>
  </si>
  <si>
    <t xml:space="preserve"> 5.075亿</t>
  </si>
  <si>
    <t xml:space="preserve"> 4.689亿</t>
  </si>
  <si>
    <t xml:space="preserve"> 佳合科技</t>
  </si>
  <si>
    <t xml:space="preserve"> 4101万</t>
  </si>
  <si>
    <t xml:space="preserve"> 5870万</t>
  </si>
  <si>
    <t xml:space="preserve"> 1513万</t>
  </si>
  <si>
    <t xml:space="preserve"> 1.574亿</t>
  </si>
  <si>
    <t xml:space="preserve"> 广汇物流</t>
  </si>
  <si>
    <t xml:space="preserve"> 4099万</t>
  </si>
  <si>
    <t xml:space="preserve"> 81.34亿</t>
  </si>
  <si>
    <t xml:space="preserve"> 兆讯传媒</t>
  </si>
  <si>
    <t xml:space="preserve"> 4095万</t>
  </si>
  <si>
    <t xml:space="preserve"> 58.64亿</t>
  </si>
  <si>
    <t xml:space="preserve"> 7114万</t>
  </si>
  <si>
    <t xml:space="preserve"> 瑞泰新材</t>
  </si>
  <si>
    <t xml:space="preserve"> 2.133亿</t>
  </si>
  <si>
    <t xml:space="preserve"> 36.99亿</t>
  </si>
  <si>
    <t xml:space="preserve"> 曼卡龙</t>
  </si>
  <si>
    <t xml:space="preserve"> 4091万</t>
  </si>
  <si>
    <t xml:space="preserve"> 39.71亿</t>
  </si>
  <si>
    <t xml:space="preserve"> 7687万</t>
  </si>
  <si>
    <t xml:space="preserve"> 星辰科技</t>
  </si>
  <si>
    <t xml:space="preserve"> 4082万</t>
  </si>
  <si>
    <t xml:space="preserve"> 8691万</t>
  </si>
  <si>
    <t xml:space="preserve"> 派斯林</t>
  </si>
  <si>
    <t xml:space="preserve"> 4.650亿</t>
  </si>
  <si>
    <t xml:space="preserve"> 41.90亿</t>
  </si>
  <si>
    <t xml:space="preserve"> 科新发展</t>
  </si>
  <si>
    <t xml:space="preserve"> 4081万</t>
  </si>
  <si>
    <t xml:space="preserve"> 7352万</t>
  </si>
  <si>
    <t xml:space="preserve"> 2.625亿</t>
  </si>
  <si>
    <t xml:space="preserve"> 2.024亿</t>
  </si>
  <si>
    <t xml:space="preserve"> 15.39亿</t>
  </si>
  <si>
    <t xml:space="preserve"> 海翔药业</t>
  </si>
  <si>
    <t xml:space="preserve"> 4075万</t>
  </si>
  <si>
    <t xml:space="preserve"> 何氏眼科</t>
  </si>
  <si>
    <t xml:space="preserve"> 4072万</t>
  </si>
  <si>
    <t xml:space="preserve"> 1.580亿</t>
  </si>
  <si>
    <t xml:space="preserve"> 27.31亿</t>
  </si>
  <si>
    <t xml:space="preserve"> 珠江啤酒</t>
  </si>
  <si>
    <t xml:space="preserve"> 4071万</t>
  </si>
  <si>
    <t xml:space="preserve"> 新研股份</t>
  </si>
  <si>
    <t xml:space="preserve"> 4070万</t>
  </si>
  <si>
    <t xml:space="preserve"> 雪榕生物</t>
  </si>
  <si>
    <t xml:space="preserve"> 4068万</t>
  </si>
  <si>
    <t xml:space="preserve"> 4.988亿</t>
  </si>
  <si>
    <t xml:space="preserve"> 28.98亿</t>
  </si>
  <si>
    <t xml:space="preserve"> 同心传动</t>
  </si>
  <si>
    <t xml:space="preserve"> 4064万</t>
  </si>
  <si>
    <t xml:space="preserve"> 7.336亿</t>
  </si>
  <si>
    <t xml:space="preserve"> 5999万</t>
  </si>
  <si>
    <t xml:space="preserve"> 4.187亿</t>
  </si>
  <si>
    <t xml:space="preserve"> 重庆银行</t>
  </si>
  <si>
    <t xml:space="preserve"> 4058万</t>
  </si>
  <si>
    <t xml:space="preserve"> 250.2亿</t>
  </si>
  <si>
    <t xml:space="preserve"> 6.914亿</t>
  </si>
  <si>
    <t xml:space="preserve"> *ST新联</t>
  </si>
  <si>
    <t xml:space="preserve"> 4057万</t>
  </si>
  <si>
    <t xml:space="preserve"> 18.97亿</t>
  </si>
  <si>
    <t xml:space="preserve"> 31.86亿</t>
  </si>
  <si>
    <t xml:space="preserve"> 敷尔佳</t>
  </si>
  <si>
    <t xml:space="preserve"> 4055万</t>
  </si>
  <si>
    <t xml:space="preserve"> 165.6亿</t>
  </si>
  <si>
    <t xml:space="preserve"> 3763万</t>
  </si>
  <si>
    <t xml:space="preserve"> 东望时代</t>
  </si>
  <si>
    <t xml:space="preserve"> 8.442亿</t>
  </si>
  <si>
    <t xml:space="preserve"> 益方生物-U</t>
  </si>
  <si>
    <t xml:space="preserve"> 4053万</t>
  </si>
  <si>
    <t xml:space="preserve"> 5.750亿</t>
  </si>
  <si>
    <t xml:space="preserve"> 95.79亿</t>
  </si>
  <si>
    <t xml:space="preserve"> 3.945亿</t>
  </si>
  <si>
    <t xml:space="preserve"> 65.73亿</t>
  </si>
  <si>
    <t xml:space="preserve"> 嘉应制药</t>
  </si>
  <si>
    <t xml:space="preserve"> 4049万</t>
  </si>
  <si>
    <t xml:space="preserve"> 映翰通</t>
  </si>
  <si>
    <t xml:space="preserve"> 4048万</t>
  </si>
  <si>
    <t xml:space="preserve"> 29.85亿</t>
  </si>
  <si>
    <t xml:space="preserve"> 智信精密</t>
  </si>
  <si>
    <t xml:space="preserve"> 4045万</t>
  </si>
  <si>
    <t xml:space="preserve"> 31.37亿</t>
  </si>
  <si>
    <t xml:space="preserve"> 1333万</t>
  </si>
  <si>
    <t xml:space="preserve"> 骏创科技</t>
  </si>
  <si>
    <t xml:space="preserve"> 4039万</t>
  </si>
  <si>
    <t xml:space="preserve"> 3424万</t>
  </si>
  <si>
    <t xml:space="preserve"> 5.410亿</t>
  </si>
  <si>
    <t xml:space="preserve"> 湘佳股份</t>
  </si>
  <si>
    <t xml:space="preserve"> 4037万</t>
  </si>
  <si>
    <t xml:space="preserve"> 1.426亿</t>
  </si>
  <si>
    <t xml:space="preserve"> 32.02亿</t>
  </si>
  <si>
    <t xml:space="preserve"> 9224万</t>
  </si>
  <si>
    <t xml:space="preserve"> 20.71亿</t>
  </si>
  <si>
    <t xml:space="preserve"> 优利德</t>
  </si>
  <si>
    <t xml:space="preserve"> 4036万</t>
  </si>
  <si>
    <t xml:space="preserve"> 1.108亿</t>
  </si>
  <si>
    <t xml:space="preserve"> 4526万</t>
  </si>
  <si>
    <t xml:space="preserve"> 江南水务</t>
  </si>
  <si>
    <t xml:space="preserve"> 9.352亿</t>
  </si>
  <si>
    <t xml:space="preserve"> 比音勒芬</t>
  </si>
  <si>
    <t xml:space="preserve"> 4026万</t>
  </si>
  <si>
    <t xml:space="preserve"> 5.707亿</t>
  </si>
  <si>
    <t xml:space="preserve"> 190.2亿</t>
  </si>
  <si>
    <t xml:space="preserve"> 耀皮玻璃</t>
  </si>
  <si>
    <t xml:space="preserve"> 4025万</t>
  </si>
  <si>
    <t xml:space="preserve"> 47.40亿</t>
  </si>
  <si>
    <t xml:space="preserve"> 7.474亿</t>
  </si>
  <si>
    <t xml:space="preserve"> 深康佳Ａ</t>
  </si>
  <si>
    <t xml:space="preserve"> 24.08亿</t>
  </si>
  <si>
    <t xml:space="preserve"> 66.74亿</t>
  </si>
  <si>
    <t xml:space="preserve"> 方大特钢</t>
  </si>
  <si>
    <t xml:space="preserve"> 23.31亿</t>
  </si>
  <si>
    <t xml:space="preserve"> 川仪股份</t>
  </si>
  <si>
    <t xml:space="preserve"> 4020万</t>
  </si>
  <si>
    <t xml:space="preserve"> 54.8亿</t>
  </si>
  <si>
    <t xml:space="preserve"> 3.950亿</t>
  </si>
  <si>
    <t xml:space="preserve"> 北大医药</t>
  </si>
  <si>
    <t xml:space="preserve"> 4018万</t>
  </si>
  <si>
    <t xml:space="preserve"> 天准科技</t>
  </si>
  <si>
    <t xml:space="preserve"> 4017万</t>
  </si>
  <si>
    <t xml:space="preserve"> 74.51亿</t>
  </si>
  <si>
    <t xml:space="preserve"> 冀东水泥</t>
  </si>
  <si>
    <t xml:space="preserve"> 4015万</t>
  </si>
  <si>
    <t xml:space="preserve"> 15.47亿</t>
  </si>
  <si>
    <t xml:space="preserve"> 新元科技</t>
  </si>
  <si>
    <t xml:space="preserve"> 4012万</t>
  </si>
  <si>
    <t xml:space="preserve"> 2.753亿</t>
  </si>
  <si>
    <t xml:space="preserve"> 2.514亿</t>
  </si>
  <si>
    <t xml:space="preserve"> 大有能源</t>
  </si>
  <si>
    <t xml:space="preserve"> 23.91亿</t>
  </si>
  <si>
    <t xml:space="preserve"> 97.31亿</t>
  </si>
  <si>
    <t xml:space="preserve"> 加加食品</t>
  </si>
  <si>
    <t xml:space="preserve"> 4001万</t>
  </si>
  <si>
    <t xml:space="preserve"> 众业达</t>
  </si>
  <si>
    <t xml:space="preserve"> 3998万</t>
  </si>
  <si>
    <t xml:space="preserve"> 89.5亿</t>
  </si>
  <si>
    <t xml:space="preserve"> 52.49亿</t>
  </si>
  <si>
    <t xml:space="preserve"> 3.989亿</t>
  </si>
  <si>
    <t xml:space="preserve"> 38.45亿</t>
  </si>
  <si>
    <t xml:space="preserve"> 宿迁联盛</t>
  </si>
  <si>
    <t xml:space="preserve"> 59.87亿</t>
  </si>
  <si>
    <t xml:space="preserve"> 4190万</t>
  </si>
  <si>
    <t xml:space="preserve"> 5.988亿</t>
  </si>
  <si>
    <t xml:space="preserve"> 汇源通信</t>
  </si>
  <si>
    <t xml:space="preserve"> 3993万</t>
  </si>
  <si>
    <t xml:space="preserve"> 1.934亿</t>
  </si>
  <si>
    <t xml:space="preserve"> 美康生物</t>
  </si>
  <si>
    <t xml:space="preserve"> 3992万</t>
  </si>
  <si>
    <t xml:space="preserve"> 3.830亿</t>
  </si>
  <si>
    <t xml:space="preserve"> 47.07亿</t>
  </si>
  <si>
    <t xml:space="preserve"> 2.774亿</t>
  </si>
  <si>
    <t xml:space="preserve"> 盛航股份</t>
  </si>
  <si>
    <t xml:space="preserve"> 3991万</t>
  </si>
  <si>
    <t xml:space="preserve"> 光华科技</t>
  </si>
  <si>
    <t xml:space="preserve"> 3.616亿</t>
  </si>
  <si>
    <t xml:space="preserve"> 宝钢包装</t>
  </si>
  <si>
    <t xml:space="preserve"> 3990万</t>
  </si>
  <si>
    <t xml:space="preserve"> 58.2亿</t>
  </si>
  <si>
    <t xml:space="preserve"> 11.33亿</t>
  </si>
  <si>
    <t xml:space="preserve"> 63.68亿</t>
  </si>
  <si>
    <t xml:space="preserve"> 9.051亿</t>
  </si>
  <si>
    <t xml:space="preserve"> 50.87亿</t>
  </si>
  <si>
    <t xml:space="preserve"> 凯恩股份</t>
  </si>
  <si>
    <t xml:space="preserve"> 3989万</t>
  </si>
  <si>
    <t xml:space="preserve"> 4.676亿</t>
  </si>
  <si>
    <t xml:space="preserve"> 26.19亿</t>
  </si>
  <si>
    <t xml:space="preserve"> 4.662亿</t>
  </si>
  <si>
    <t xml:space="preserve"> 26.11亿</t>
  </si>
  <si>
    <t xml:space="preserve"> 金能科技</t>
  </si>
  <si>
    <t xml:space="preserve"> 3980万</t>
  </si>
  <si>
    <t xml:space="preserve"> 109亿</t>
  </si>
  <si>
    <t xml:space="preserve"> 8.479亿</t>
  </si>
  <si>
    <t xml:space="preserve"> 72.25亿</t>
  </si>
  <si>
    <t xml:space="preserve"> 司尔特</t>
  </si>
  <si>
    <t xml:space="preserve"> 3975万</t>
  </si>
  <si>
    <t xml:space="preserve"> 8.536亿</t>
  </si>
  <si>
    <t xml:space="preserve"> 51.04亿</t>
  </si>
  <si>
    <t xml:space="preserve"> 日联科技</t>
  </si>
  <si>
    <t xml:space="preserve"> 7941万</t>
  </si>
  <si>
    <t xml:space="preserve"> 83.13亿</t>
  </si>
  <si>
    <t xml:space="preserve"> 1855万</t>
  </si>
  <si>
    <t xml:space="preserve"> 利柏特</t>
  </si>
  <si>
    <t xml:space="preserve"> 3971万</t>
  </si>
  <si>
    <t xml:space="preserve"> 4.491亿</t>
  </si>
  <si>
    <t xml:space="preserve"> 40.06亿</t>
  </si>
  <si>
    <t xml:space="preserve"> 青岛双星</t>
  </si>
  <si>
    <t xml:space="preserve"> 3969万</t>
  </si>
  <si>
    <t xml:space="preserve"> 34.7亿</t>
  </si>
  <si>
    <t xml:space="preserve"> 8.168亿</t>
  </si>
  <si>
    <t xml:space="preserve"> 37.82亿</t>
  </si>
  <si>
    <t xml:space="preserve"> 轻纺城</t>
  </si>
  <si>
    <t xml:space="preserve"> 3967万</t>
  </si>
  <si>
    <t xml:space="preserve"> 59.36亿</t>
  </si>
  <si>
    <t xml:space="preserve"> 上海环境</t>
  </si>
  <si>
    <t xml:space="preserve"> 3963万</t>
  </si>
  <si>
    <t xml:space="preserve"> 104.4亿</t>
  </si>
  <si>
    <t xml:space="preserve"> 精工科技</t>
  </si>
  <si>
    <t xml:space="preserve"> 70.46亿</t>
  </si>
  <si>
    <t xml:space="preserve"> 融捷健康</t>
  </si>
  <si>
    <t xml:space="preserve"> 3958万</t>
  </si>
  <si>
    <t xml:space="preserve"> 3.74亿</t>
  </si>
  <si>
    <t xml:space="preserve"> 8.033亿</t>
  </si>
  <si>
    <t xml:space="preserve"> 诺思格</t>
  </si>
  <si>
    <t xml:space="preserve"> 3955万</t>
  </si>
  <si>
    <t xml:space="preserve"> 40.15亿</t>
  </si>
  <si>
    <t xml:space="preserve"> 浙江永强</t>
  </si>
  <si>
    <t xml:space="preserve"> 3953万</t>
  </si>
  <si>
    <t xml:space="preserve"> 70.28亿</t>
  </si>
  <si>
    <t xml:space="preserve"> 18.75亿</t>
  </si>
  <si>
    <t xml:space="preserve"> 奥马电器</t>
  </si>
  <si>
    <t xml:space="preserve"> 3948万</t>
  </si>
  <si>
    <t xml:space="preserve"> 77.30亿</t>
  </si>
  <si>
    <t xml:space="preserve"> 顺灏股份</t>
  </si>
  <si>
    <t xml:space="preserve"> 10.60亿</t>
  </si>
  <si>
    <t xml:space="preserve"> 航天动力</t>
  </si>
  <si>
    <t xml:space="preserve"> 3946万</t>
  </si>
  <si>
    <t xml:space="preserve"> 6.382亿</t>
  </si>
  <si>
    <t xml:space="preserve"> 千红制药</t>
  </si>
  <si>
    <t xml:space="preserve"> 71.54亿</t>
  </si>
  <si>
    <t xml:space="preserve"> 9.222亿</t>
  </si>
  <si>
    <t xml:space="preserve"> 51.55亿</t>
  </si>
  <si>
    <t xml:space="preserve"> 正和生态</t>
  </si>
  <si>
    <t xml:space="preserve"> 8416万</t>
  </si>
  <si>
    <t xml:space="preserve"> 交建股份</t>
  </si>
  <si>
    <t xml:space="preserve"> 3943万</t>
  </si>
  <si>
    <t xml:space="preserve"> 6.189亿</t>
  </si>
  <si>
    <t xml:space="preserve"> 49.70亿</t>
  </si>
  <si>
    <t xml:space="preserve"> 湖南发展</t>
  </si>
  <si>
    <t xml:space="preserve"> 3940万</t>
  </si>
  <si>
    <t xml:space="preserve"> 4.642亿</t>
  </si>
  <si>
    <t xml:space="preserve"> 路桥信息</t>
  </si>
  <si>
    <t xml:space="preserve"> 7674万</t>
  </si>
  <si>
    <t xml:space="preserve"> 1344万</t>
  </si>
  <si>
    <t xml:space="preserve"> 1.821亿</t>
  </si>
  <si>
    <t xml:space="preserve"> 大中矿业</t>
  </si>
  <si>
    <t xml:space="preserve"> 15.08亿</t>
  </si>
  <si>
    <t xml:space="preserve"> 45.29亿</t>
  </si>
  <si>
    <t xml:space="preserve"> 永冠新材</t>
  </si>
  <si>
    <t xml:space="preserve"> 28.65亿</t>
  </si>
  <si>
    <t xml:space="preserve"> 中复神鹰</t>
  </si>
  <si>
    <t xml:space="preserve"> 3936万</t>
  </si>
  <si>
    <t xml:space="preserve"> 9.000亿</t>
  </si>
  <si>
    <t xml:space="preserve"> 均瑶健康</t>
  </si>
  <si>
    <t xml:space="preserve"> 3932万</t>
  </si>
  <si>
    <t xml:space="preserve"> 纽威股份</t>
  </si>
  <si>
    <t xml:space="preserve"> 7.604亿</t>
  </si>
  <si>
    <t xml:space="preserve"> 103.9亿</t>
  </si>
  <si>
    <t xml:space="preserve"> 7.491亿</t>
  </si>
  <si>
    <t xml:space="preserve"> 漳州发展</t>
  </si>
  <si>
    <t xml:space="preserve"> 3927万</t>
  </si>
  <si>
    <t xml:space="preserve"> 9.915亿</t>
  </si>
  <si>
    <t xml:space="preserve"> 华信永道</t>
  </si>
  <si>
    <t xml:space="preserve"> 8.608亿</t>
  </si>
  <si>
    <t xml:space="preserve"> 1493万</t>
  </si>
  <si>
    <t xml:space="preserve"> ST中利</t>
  </si>
  <si>
    <t xml:space="preserve"> 3925万</t>
  </si>
  <si>
    <t xml:space="preserve"> 8.718亿</t>
  </si>
  <si>
    <t xml:space="preserve"> 8.678亿</t>
  </si>
  <si>
    <t xml:space="preserve"> 奥锐特</t>
  </si>
  <si>
    <t xml:space="preserve"> 4.062亿</t>
  </si>
  <si>
    <t xml:space="preserve"> 3.954亿</t>
  </si>
  <si>
    <t xml:space="preserve"> 江苏国信</t>
  </si>
  <si>
    <t xml:space="preserve"> 3920万</t>
  </si>
  <si>
    <t xml:space="preserve"> 254.6亿</t>
  </si>
  <si>
    <t xml:space="preserve"> 森霸传感</t>
  </si>
  <si>
    <t xml:space="preserve"> 2.408亿</t>
  </si>
  <si>
    <t xml:space="preserve"> 27.58亿</t>
  </si>
  <si>
    <t xml:space="preserve"> 钢研纳克</t>
  </si>
  <si>
    <t xml:space="preserve"> 3918万</t>
  </si>
  <si>
    <t xml:space="preserve"> 50.85亿</t>
  </si>
  <si>
    <t xml:space="preserve"> 3.723亿</t>
  </si>
  <si>
    <t xml:space="preserve"> 49.40亿</t>
  </si>
  <si>
    <t xml:space="preserve"> 天瑞仪器</t>
  </si>
  <si>
    <t xml:space="preserve"> 3917万</t>
  </si>
  <si>
    <t xml:space="preserve"> 4.955亿</t>
  </si>
  <si>
    <t xml:space="preserve"> 4.002亿</t>
  </si>
  <si>
    <t xml:space="preserve"> 25.42亿</t>
  </si>
  <si>
    <t xml:space="preserve"> 东星医疗</t>
  </si>
  <si>
    <t xml:space="preserve"> 3916万</t>
  </si>
  <si>
    <t xml:space="preserve"> 30.75亿</t>
  </si>
  <si>
    <t xml:space="preserve"> 金陵体育</t>
  </si>
  <si>
    <t xml:space="preserve"> 3909万</t>
  </si>
  <si>
    <t xml:space="preserve"> 26.45亿</t>
  </si>
  <si>
    <t xml:space="preserve"> 7075万</t>
  </si>
  <si>
    <t xml:space="preserve"> 联动科技</t>
  </si>
  <si>
    <t xml:space="preserve"> 3907万</t>
  </si>
  <si>
    <t xml:space="preserve"> 2426万</t>
  </si>
  <si>
    <t xml:space="preserve"> 科兴制药</t>
  </si>
  <si>
    <t xml:space="preserve"> 3904万</t>
  </si>
  <si>
    <t xml:space="preserve"> 40.74亿</t>
  </si>
  <si>
    <t xml:space="preserve"> 6742万</t>
  </si>
  <si>
    <t xml:space="preserve"> 永东股份</t>
  </si>
  <si>
    <t xml:space="preserve"> 3903万</t>
  </si>
  <si>
    <t xml:space="preserve"> 2.428亿</t>
  </si>
  <si>
    <t xml:space="preserve"> 新特电气</t>
  </si>
  <si>
    <t xml:space="preserve"> 3901万</t>
  </si>
  <si>
    <t xml:space="preserve"> 3.714亿</t>
  </si>
  <si>
    <t xml:space="preserve"> 44.35亿</t>
  </si>
  <si>
    <t xml:space="preserve"> 1.473亿</t>
  </si>
  <si>
    <t xml:space="preserve"> 17.58亿</t>
  </si>
  <si>
    <t xml:space="preserve"> 新 华 都</t>
  </si>
  <si>
    <t xml:space="preserve"> 7.199亿</t>
  </si>
  <si>
    <t xml:space="preserve"> 41.76亿</t>
  </si>
  <si>
    <t xml:space="preserve"> 6.538亿</t>
  </si>
  <si>
    <t xml:space="preserve"> 金自天正</t>
  </si>
  <si>
    <t xml:space="preserve"> 3899万</t>
  </si>
  <si>
    <t xml:space="preserve"> 力王股份</t>
  </si>
  <si>
    <t xml:space="preserve"> 3897万</t>
  </si>
  <si>
    <t xml:space="preserve"> 9445万</t>
  </si>
  <si>
    <t xml:space="preserve"> 8.642亿</t>
  </si>
  <si>
    <t xml:space="preserve"> 2450万</t>
  </si>
  <si>
    <t xml:space="preserve"> 航天长峰</t>
  </si>
  <si>
    <t xml:space="preserve"> 4.742亿</t>
  </si>
  <si>
    <t xml:space="preserve"> 53.49亿</t>
  </si>
  <si>
    <t xml:space="preserve"> 52.66亿</t>
  </si>
  <si>
    <t xml:space="preserve"> 汇创达</t>
  </si>
  <si>
    <t xml:space="preserve"> 3893万</t>
  </si>
  <si>
    <t xml:space="preserve"> 1.071亿</t>
  </si>
  <si>
    <t xml:space="preserve"> 29.53亿</t>
  </si>
  <si>
    <t xml:space="preserve"> 金田股份</t>
  </si>
  <si>
    <t xml:space="preserve"> 3891万</t>
  </si>
  <si>
    <t xml:space="preserve"> 822亿</t>
  </si>
  <si>
    <t xml:space="preserve"> 101.2亿</t>
  </si>
  <si>
    <t xml:space="preserve"> 天桥起重</t>
  </si>
  <si>
    <t xml:space="preserve"> 39.81亿</t>
  </si>
  <si>
    <t xml:space="preserve"> 京能置业</t>
  </si>
  <si>
    <t xml:space="preserve"> 3890万</t>
  </si>
  <si>
    <t xml:space="preserve"> 21.67亿</t>
  </si>
  <si>
    <t xml:space="preserve"> 天津普林</t>
  </si>
  <si>
    <t xml:space="preserve"> 3889万</t>
  </si>
  <si>
    <t xml:space="preserve"> 巨一科技</t>
  </si>
  <si>
    <t xml:space="preserve"> 3885万</t>
  </si>
  <si>
    <t xml:space="preserve"> 23.4亿</t>
  </si>
  <si>
    <t xml:space="preserve"> 1.373亿</t>
  </si>
  <si>
    <t xml:space="preserve"> 4862万</t>
  </si>
  <si>
    <t xml:space="preserve"> 铭利达</t>
  </si>
  <si>
    <t xml:space="preserve"> 62.94亿</t>
  </si>
  <si>
    <t xml:space="preserve"> 爱建集团</t>
  </si>
  <si>
    <t xml:space="preserve"> 85.81亿</t>
  </si>
  <si>
    <t xml:space="preserve"> 镇洋发展</t>
  </si>
  <si>
    <t xml:space="preserve"> 4.348亿</t>
  </si>
  <si>
    <t xml:space="preserve"> 50.35亿</t>
  </si>
  <si>
    <t xml:space="preserve"> 1.558亿</t>
  </si>
  <si>
    <t xml:space="preserve"> 国子软件</t>
  </si>
  <si>
    <t xml:space="preserve"> 3877万</t>
  </si>
  <si>
    <t xml:space="preserve"> 9190万</t>
  </si>
  <si>
    <t xml:space="preserve"> 2151万</t>
  </si>
  <si>
    <t xml:space="preserve"> 新天科技</t>
  </si>
  <si>
    <t xml:space="preserve"> 43.62亿</t>
  </si>
  <si>
    <t xml:space="preserve"> 法兰泰克</t>
  </si>
  <si>
    <t xml:space="preserve"> 3876万</t>
  </si>
  <si>
    <t xml:space="preserve"> 3.601亿</t>
  </si>
  <si>
    <t xml:space="preserve"> 29.75亿</t>
  </si>
  <si>
    <t xml:space="preserve"> 锐新科技</t>
  </si>
  <si>
    <t xml:space="preserve"> 3875万</t>
  </si>
  <si>
    <t xml:space="preserve"> 双乐股份</t>
  </si>
  <si>
    <t xml:space="preserve"> 3874万</t>
  </si>
  <si>
    <t xml:space="preserve"> 4033万</t>
  </si>
  <si>
    <t xml:space="preserve"> 9.143亿</t>
  </si>
  <si>
    <t xml:space="preserve"> 同为股份</t>
  </si>
  <si>
    <t xml:space="preserve"> 3871万</t>
  </si>
  <si>
    <t xml:space="preserve"> 1.273亿</t>
  </si>
  <si>
    <t xml:space="preserve"> 22.55亿</t>
  </si>
  <si>
    <t xml:space="preserve"> 东杰智能</t>
  </si>
  <si>
    <t xml:space="preserve"> 3870万</t>
  </si>
  <si>
    <t xml:space="preserve"> 3.922亿</t>
  </si>
  <si>
    <t xml:space="preserve"> 台华新材</t>
  </si>
  <si>
    <t xml:space="preserve"> 8.905亿</t>
  </si>
  <si>
    <t xml:space="preserve"> 8.876亿</t>
  </si>
  <si>
    <t xml:space="preserve"> 106.1亿</t>
  </si>
  <si>
    <t xml:space="preserve"> 火炬电子</t>
  </si>
  <si>
    <t xml:space="preserve"> 3866万</t>
  </si>
  <si>
    <t xml:space="preserve"> 4.589亿</t>
  </si>
  <si>
    <t xml:space="preserve"> *ST爱迪</t>
  </si>
  <si>
    <t xml:space="preserve"> 3865万</t>
  </si>
  <si>
    <t xml:space="preserve"> 6.402亿</t>
  </si>
  <si>
    <t xml:space="preserve"> 4.130亿</t>
  </si>
  <si>
    <t xml:space="preserve"> *ST中捷</t>
  </si>
  <si>
    <t xml:space="preserve"> 6.878亿</t>
  </si>
  <si>
    <t xml:space="preserve"> 龙江交通</t>
  </si>
  <si>
    <t xml:space="preserve"> 3864万</t>
  </si>
  <si>
    <t xml:space="preserve"> 雷迪克</t>
  </si>
  <si>
    <t xml:space="preserve"> 3862万</t>
  </si>
  <si>
    <t xml:space="preserve"> 1.026亿</t>
  </si>
  <si>
    <t xml:space="preserve"> 26.88亿</t>
  </si>
  <si>
    <t xml:space="preserve"> 9209万</t>
  </si>
  <si>
    <t xml:space="preserve"> 松霖科技</t>
  </si>
  <si>
    <t xml:space="preserve"> 71.74亿</t>
  </si>
  <si>
    <t xml:space="preserve"> 精进电动-UW</t>
  </si>
  <si>
    <t xml:space="preserve"> 3860万</t>
  </si>
  <si>
    <t xml:space="preserve"> 5.902亿</t>
  </si>
  <si>
    <t xml:space="preserve"> 4.597亿</t>
  </si>
  <si>
    <t xml:space="preserve"> 基蛋生物</t>
  </si>
  <si>
    <t xml:space="preserve"> 3859万</t>
  </si>
  <si>
    <t xml:space="preserve"> 59.69亿</t>
  </si>
  <si>
    <t xml:space="preserve"> 宏盛股份</t>
  </si>
  <si>
    <t xml:space="preserve"> 3856万</t>
  </si>
  <si>
    <t xml:space="preserve"> 仲景食品</t>
  </si>
  <si>
    <t xml:space="preserve"> 44.33亿</t>
  </si>
  <si>
    <t xml:space="preserve"> 广大特材</t>
  </si>
  <si>
    <t xml:space="preserve"> 3855万</t>
  </si>
  <si>
    <t xml:space="preserve"> 2.142亿</t>
  </si>
  <si>
    <t xml:space="preserve"> 41.99亿</t>
  </si>
  <si>
    <t xml:space="preserve"> 英飞特</t>
  </si>
  <si>
    <t xml:space="preserve"> 3853万</t>
  </si>
  <si>
    <t xml:space="preserve"> 2.987亿</t>
  </si>
  <si>
    <t xml:space="preserve"> 37.04亿</t>
  </si>
  <si>
    <t xml:space="preserve"> 27.25亿</t>
  </si>
  <si>
    <t xml:space="preserve"> 中晶科技</t>
  </si>
  <si>
    <t xml:space="preserve"> 3852万</t>
  </si>
  <si>
    <t xml:space="preserve"> 37.86亿</t>
  </si>
  <si>
    <t xml:space="preserve"> 5568万</t>
  </si>
  <si>
    <t xml:space="preserve"> 20.95亿</t>
  </si>
  <si>
    <t xml:space="preserve"> 容知日新</t>
  </si>
  <si>
    <t xml:space="preserve"> 益盛药业</t>
  </si>
  <si>
    <t xml:space="preserve"> 3850万</t>
  </si>
  <si>
    <t xml:space="preserve"> 3.310亿</t>
  </si>
  <si>
    <t xml:space="preserve"> 信捷电气</t>
  </si>
  <si>
    <t xml:space="preserve"> 3847万</t>
  </si>
  <si>
    <t xml:space="preserve"> 1.406亿</t>
  </si>
  <si>
    <t xml:space="preserve"> 广宇集团</t>
  </si>
  <si>
    <t xml:space="preserve"> 3845万</t>
  </si>
  <si>
    <t xml:space="preserve"> 7.741亿</t>
  </si>
  <si>
    <t xml:space="preserve"> 28.57亿</t>
  </si>
  <si>
    <t xml:space="preserve"> 7.699亿</t>
  </si>
  <si>
    <t xml:space="preserve"> 万和电气</t>
  </si>
  <si>
    <t xml:space="preserve"> 7.436亿</t>
  </si>
  <si>
    <t xml:space="preserve"> 62.09亿</t>
  </si>
  <si>
    <t xml:space="preserve"> 55.24亿</t>
  </si>
  <si>
    <t xml:space="preserve"> 优宁维</t>
  </si>
  <si>
    <t xml:space="preserve"> 3840万</t>
  </si>
  <si>
    <t xml:space="preserve"> 8667万</t>
  </si>
  <si>
    <t xml:space="preserve"> 36.69亿</t>
  </si>
  <si>
    <t xml:space="preserve"> 4127万</t>
  </si>
  <si>
    <t xml:space="preserve"> 17.47亿</t>
  </si>
  <si>
    <t xml:space="preserve"> 隆扬电子</t>
  </si>
  <si>
    <t xml:space="preserve"> 2.835亿</t>
  </si>
  <si>
    <t xml:space="preserve"> 贤丰控股</t>
  </si>
  <si>
    <t xml:space="preserve"> 3837万</t>
  </si>
  <si>
    <t xml:space="preserve"> 广农糖业</t>
  </si>
  <si>
    <t xml:space="preserve"> 3836万</t>
  </si>
  <si>
    <t xml:space="preserve"> 芯能科技</t>
  </si>
  <si>
    <t xml:space="preserve"> 59.50亿</t>
  </si>
  <si>
    <t xml:space="preserve"> 荣亿精密</t>
  </si>
  <si>
    <t xml:space="preserve"> 3832万</t>
  </si>
  <si>
    <t xml:space="preserve"> 5.820亿</t>
  </si>
  <si>
    <t xml:space="preserve"> 8016万</t>
  </si>
  <si>
    <t xml:space="preserve"> 2.966亿</t>
  </si>
  <si>
    <t xml:space="preserve"> 张家界</t>
  </si>
  <si>
    <t xml:space="preserve"> 3830万</t>
  </si>
  <si>
    <t xml:space="preserve"> 4.048亿</t>
  </si>
  <si>
    <t xml:space="preserve"> 28.01亿</t>
  </si>
  <si>
    <t xml:space="preserve"> 3.317亿</t>
  </si>
  <si>
    <t xml:space="preserve"> 颀中科技</t>
  </si>
  <si>
    <t xml:space="preserve"> 3829万</t>
  </si>
  <si>
    <t xml:space="preserve"> 162.9亿</t>
  </si>
  <si>
    <t xml:space="preserve"> 22.33亿</t>
  </si>
  <si>
    <t xml:space="preserve"> 海鸥股份</t>
  </si>
  <si>
    <t xml:space="preserve"> 3828万</t>
  </si>
  <si>
    <t xml:space="preserve"> 23.09亿</t>
  </si>
  <si>
    <t xml:space="preserve"> 海目星</t>
  </si>
  <si>
    <t xml:space="preserve"> 33.6亿</t>
  </si>
  <si>
    <t xml:space="preserve"> 75.14亿</t>
  </si>
  <si>
    <t xml:space="preserve"> 香江控股</t>
  </si>
  <si>
    <t xml:space="preserve"> 3817万</t>
  </si>
  <si>
    <t xml:space="preserve"> 32.68亿</t>
  </si>
  <si>
    <t xml:space="preserve"> 康力电梯</t>
  </si>
  <si>
    <t xml:space="preserve"> 63.18亿</t>
  </si>
  <si>
    <t xml:space="preserve"> 5.258亿</t>
  </si>
  <si>
    <t xml:space="preserve"> 泰德股份</t>
  </si>
  <si>
    <t xml:space="preserve"> 3809万</t>
  </si>
  <si>
    <t xml:space="preserve"> 1.555亿</t>
  </si>
  <si>
    <t xml:space="preserve"> 6.408亿</t>
  </si>
  <si>
    <t xml:space="preserve"> 9751万</t>
  </si>
  <si>
    <t xml:space="preserve"> 宏华数科</t>
  </si>
  <si>
    <t xml:space="preserve"> 3808万</t>
  </si>
  <si>
    <t xml:space="preserve"> 118.8亿</t>
  </si>
  <si>
    <t xml:space="preserve"> 7092万</t>
  </si>
  <si>
    <t xml:space="preserve"> 概伦电子</t>
  </si>
  <si>
    <t xml:space="preserve"> 4.338亿</t>
  </si>
  <si>
    <t xml:space="preserve"> 36.00亿</t>
  </si>
  <si>
    <t xml:space="preserve"> 易普力</t>
  </si>
  <si>
    <t xml:space="preserve"> 62.8亿</t>
  </si>
  <si>
    <t xml:space="preserve"> 112.1亿</t>
  </si>
  <si>
    <t xml:space="preserve"> 44.15亿</t>
  </si>
  <si>
    <t xml:space="preserve"> 红豆股份</t>
  </si>
  <si>
    <t xml:space="preserve"> 3805万</t>
  </si>
  <si>
    <t xml:space="preserve"> 23.00亿</t>
  </si>
  <si>
    <t xml:space="preserve"> 67.40亿</t>
  </si>
  <si>
    <t xml:space="preserve"> 22.91亿</t>
  </si>
  <si>
    <t xml:space="preserve"> 67.14亿</t>
  </si>
  <si>
    <t xml:space="preserve"> 三川智慧</t>
  </si>
  <si>
    <t xml:space="preserve"> 3803万</t>
  </si>
  <si>
    <t xml:space="preserve"> 55.02亿</t>
  </si>
  <si>
    <t xml:space="preserve"> 安达维尔</t>
  </si>
  <si>
    <t xml:space="preserve"> 3796万</t>
  </si>
  <si>
    <t xml:space="preserve"> 2.552亿</t>
  </si>
  <si>
    <t xml:space="preserve"> 24.57亿</t>
  </si>
  <si>
    <t xml:space="preserve"> 华岭股份</t>
  </si>
  <si>
    <t xml:space="preserve"> 3795万</t>
  </si>
  <si>
    <t xml:space="preserve"> 34.79亿</t>
  </si>
  <si>
    <t xml:space="preserve"> 1.327亿</t>
  </si>
  <si>
    <t xml:space="preserve"> 17.31亿</t>
  </si>
  <si>
    <t xml:space="preserve"> 乐歌股份</t>
  </si>
  <si>
    <t xml:space="preserve"> 3.123亿</t>
  </si>
  <si>
    <t xml:space="preserve"> 44.91亿</t>
  </si>
  <si>
    <t xml:space="preserve"> 2.970亿</t>
  </si>
  <si>
    <t xml:space="preserve"> 开能健康</t>
  </si>
  <si>
    <t xml:space="preserve"> 5.772亿</t>
  </si>
  <si>
    <t xml:space="preserve"> 37.00亿</t>
  </si>
  <si>
    <t xml:space="preserve"> 4.306亿</t>
  </si>
  <si>
    <t xml:space="preserve"> 27.60亿</t>
  </si>
  <si>
    <t xml:space="preserve"> 桂冠电力</t>
  </si>
  <si>
    <t xml:space="preserve"> 3794万</t>
  </si>
  <si>
    <t xml:space="preserve"> 443.8亿</t>
  </si>
  <si>
    <t xml:space="preserve"> 奇正藏药</t>
  </si>
  <si>
    <t xml:space="preserve"> 3793万</t>
  </si>
  <si>
    <t xml:space="preserve"> 5.302亿</t>
  </si>
  <si>
    <t xml:space="preserve"> 达瑞电子</t>
  </si>
  <si>
    <t xml:space="preserve"> 3792万</t>
  </si>
  <si>
    <t xml:space="preserve"> 9.25亿</t>
  </si>
  <si>
    <t xml:space="preserve"> 招商积余</t>
  </si>
  <si>
    <t xml:space="preserve"> 3791万</t>
  </si>
  <si>
    <t xml:space="preserve"> 云图控股</t>
  </si>
  <si>
    <t xml:space="preserve"> 3790万</t>
  </si>
  <si>
    <t xml:space="preserve"> 8.833亿</t>
  </si>
  <si>
    <t xml:space="preserve"> 奔朗新材</t>
  </si>
  <si>
    <t xml:space="preserve"> 8013万</t>
  </si>
  <si>
    <t xml:space="preserve"> 4.888亿</t>
  </si>
  <si>
    <t xml:space="preserve"> 法尔胜</t>
  </si>
  <si>
    <t xml:space="preserve"> 汉维科技</t>
  </si>
  <si>
    <t xml:space="preserve"> 3785万</t>
  </si>
  <si>
    <t xml:space="preserve"> 1.073亿</t>
  </si>
  <si>
    <t xml:space="preserve"> 8.015亿</t>
  </si>
  <si>
    <t xml:space="preserve"> 2683万</t>
  </si>
  <si>
    <t xml:space="preserve"> 艾融软件</t>
  </si>
  <si>
    <t xml:space="preserve"> 2.104亿</t>
  </si>
  <si>
    <t xml:space="preserve"> 20.26亿</t>
  </si>
  <si>
    <t xml:space="preserve"> 鄂尔多斯</t>
  </si>
  <si>
    <t xml:space="preserve"> 3781万</t>
  </si>
  <si>
    <t xml:space="preserve"> 广联航空</t>
  </si>
  <si>
    <t xml:space="preserve"> 3776万</t>
  </si>
  <si>
    <t xml:space="preserve"> 5.45亿</t>
  </si>
  <si>
    <t xml:space="preserve"> 52.98亿</t>
  </si>
  <si>
    <t xml:space="preserve"> 38.41亿</t>
  </si>
  <si>
    <t xml:space="preserve"> 招商港口</t>
  </si>
  <si>
    <t xml:space="preserve"> 24.99亿</t>
  </si>
  <si>
    <t xml:space="preserve"> 401.4亿</t>
  </si>
  <si>
    <t xml:space="preserve"> 顺控发展</t>
  </si>
  <si>
    <t xml:space="preserve"> 3774万</t>
  </si>
  <si>
    <t xml:space="preserve"> 6.175亿</t>
  </si>
  <si>
    <t xml:space="preserve"> 96.39亿</t>
  </si>
  <si>
    <t xml:space="preserve"> 1.225亿</t>
  </si>
  <si>
    <t xml:space="preserve"> 19.13亿</t>
  </si>
  <si>
    <t xml:space="preserve"> 三德科技</t>
  </si>
  <si>
    <t xml:space="preserve"> 3773万</t>
  </si>
  <si>
    <t xml:space="preserve"> 1.838亿</t>
  </si>
  <si>
    <t xml:space="preserve"> 22.06亿</t>
  </si>
  <si>
    <t xml:space="preserve"> 天地数码</t>
  </si>
  <si>
    <t xml:space="preserve"> 18.47亿</t>
  </si>
  <si>
    <t xml:space="preserve"> 华荣股份</t>
  </si>
  <si>
    <t xml:space="preserve"> 3769万</t>
  </si>
  <si>
    <t xml:space="preserve"> 3.376亿</t>
  </si>
  <si>
    <t xml:space="preserve"> 65.76亿</t>
  </si>
  <si>
    <t xml:space="preserve"> 3.309亿</t>
  </si>
  <si>
    <t xml:space="preserve"> 64.46亿</t>
  </si>
  <si>
    <t xml:space="preserve"> 球冠电缆</t>
  </si>
  <si>
    <t xml:space="preserve"> 3768万</t>
  </si>
  <si>
    <t xml:space="preserve"> 7993万</t>
  </si>
  <si>
    <t xml:space="preserve"> 5.284亿</t>
  </si>
  <si>
    <t xml:space="preserve"> 中达安</t>
  </si>
  <si>
    <t xml:space="preserve"> 1.363亿</t>
  </si>
  <si>
    <t xml:space="preserve"> 彩蝶实业</t>
  </si>
  <si>
    <t xml:space="preserve"> 3766万</t>
  </si>
  <si>
    <t xml:space="preserve"> 6.041亿</t>
  </si>
  <si>
    <t xml:space="preserve"> 正业科技</t>
  </si>
  <si>
    <t xml:space="preserve"> 3762万</t>
  </si>
  <si>
    <t xml:space="preserve"> 3.677亿</t>
  </si>
  <si>
    <t xml:space="preserve"> 31.80亿</t>
  </si>
  <si>
    <t xml:space="preserve"> 3.675亿</t>
  </si>
  <si>
    <t xml:space="preserve"> 31.79亿</t>
  </si>
  <si>
    <t xml:space="preserve"> 英特科技</t>
  </si>
  <si>
    <t xml:space="preserve"> 36.37亿</t>
  </si>
  <si>
    <t xml:space="preserve"> 2200万</t>
  </si>
  <si>
    <t xml:space="preserve"> 9.093亿</t>
  </si>
  <si>
    <t xml:space="preserve"> 永安林业</t>
  </si>
  <si>
    <t xml:space="preserve"> 3760万</t>
  </si>
  <si>
    <t xml:space="preserve"> 3.367亿</t>
  </si>
  <si>
    <t xml:space="preserve"> 26.68亿</t>
  </si>
  <si>
    <t xml:space="preserve"> 瑞茂通</t>
  </si>
  <si>
    <t xml:space="preserve"> 354亿</t>
  </si>
  <si>
    <t xml:space="preserve"> 66.94亿</t>
  </si>
  <si>
    <t xml:space="preserve"> 思林杰</t>
  </si>
  <si>
    <t xml:space="preserve"> 24.95亿</t>
  </si>
  <si>
    <t xml:space="preserve"> 4147万</t>
  </si>
  <si>
    <t xml:space="preserve"> 15.52亿</t>
  </si>
  <si>
    <t xml:space="preserve"> 上海沿浦</t>
  </si>
  <si>
    <t xml:space="preserve"> 3754万</t>
  </si>
  <si>
    <t xml:space="preserve"> 42.99亿</t>
  </si>
  <si>
    <t xml:space="preserve"> 普莱柯</t>
  </si>
  <si>
    <t xml:space="preserve"> 3.529亿</t>
  </si>
  <si>
    <t xml:space="preserve"> 74.57亿</t>
  </si>
  <si>
    <t xml:space="preserve"> 3.512亿</t>
  </si>
  <si>
    <t xml:space="preserve"> 申华控股</t>
  </si>
  <si>
    <t xml:space="preserve"> 3753万</t>
  </si>
  <si>
    <t xml:space="preserve"> 金杨股份</t>
  </si>
  <si>
    <t xml:space="preserve"> 3752万</t>
  </si>
  <si>
    <t xml:space="preserve"> 8246万</t>
  </si>
  <si>
    <t xml:space="preserve"> 37.64亿</t>
  </si>
  <si>
    <t xml:space="preserve"> 1644万</t>
  </si>
  <si>
    <t xml:space="preserve"> 7.503亿</t>
  </si>
  <si>
    <t xml:space="preserve"> 京基智农</t>
  </si>
  <si>
    <t xml:space="preserve"> 3745万</t>
  </si>
  <si>
    <t xml:space="preserve"> 5.232亿</t>
  </si>
  <si>
    <t xml:space="preserve"> 97.85亿</t>
  </si>
  <si>
    <t xml:space="preserve"> 玉禾田</t>
  </si>
  <si>
    <t xml:space="preserve"> 3.986亿</t>
  </si>
  <si>
    <t xml:space="preserve"> 60.07亿</t>
  </si>
  <si>
    <t xml:space="preserve"> 3.878亿</t>
  </si>
  <si>
    <t xml:space="preserve"> 58.44亿</t>
  </si>
  <si>
    <t xml:space="preserve"> 苏交科</t>
  </si>
  <si>
    <t xml:space="preserve"> 3744万</t>
  </si>
  <si>
    <t xml:space="preserve"> 12.63亿</t>
  </si>
  <si>
    <t xml:space="preserve"> 71.60亿</t>
  </si>
  <si>
    <t xml:space="preserve"> 美心翼申</t>
  </si>
  <si>
    <t xml:space="preserve"> 8056万</t>
  </si>
  <si>
    <t xml:space="preserve"> 2651万</t>
  </si>
  <si>
    <t xml:space="preserve"> 扬子新材</t>
  </si>
  <si>
    <t xml:space="preserve"> 3743万</t>
  </si>
  <si>
    <t xml:space="preserve"> 5.117亿</t>
  </si>
  <si>
    <t xml:space="preserve"> 联合精密</t>
  </si>
  <si>
    <t xml:space="preserve"> 1.079亿</t>
  </si>
  <si>
    <t xml:space="preserve"> 3634万</t>
  </si>
  <si>
    <t xml:space="preserve"> 9.442亿</t>
  </si>
  <si>
    <t xml:space="preserve"> 海南高速</t>
  </si>
  <si>
    <t xml:space="preserve"> 3741万</t>
  </si>
  <si>
    <t xml:space="preserve"> 42.52亿</t>
  </si>
  <si>
    <t xml:space="preserve"> 9.755亿</t>
  </si>
  <si>
    <t xml:space="preserve"> 富森美</t>
  </si>
  <si>
    <t xml:space="preserve"> 7.485亿</t>
  </si>
  <si>
    <t xml:space="preserve"> 2.984亿</t>
  </si>
  <si>
    <t xml:space="preserve"> 嘉友国际</t>
  </si>
  <si>
    <t xml:space="preserve"> 51.0亿</t>
  </si>
  <si>
    <t xml:space="preserve"> 6.988亿</t>
  </si>
  <si>
    <t xml:space="preserve"> 海程邦达</t>
  </si>
  <si>
    <t xml:space="preserve"> 3739万</t>
  </si>
  <si>
    <t xml:space="preserve"> 44.9亿</t>
  </si>
  <si>
    <t xml:space="preserve"> 32.71亿</t>
  </si>
  <si>
    <t xml:space="preserve"> 8573万</t>
  </si>
  <si>
    <t xml:space="preserve"> 四会富仕</t>
  </si>
  <si>
    <t xml:space="preserve"> 3738万</t>
  </si>
  <si>
    <t xml:space="preserve"> 欧普照明</t>
  </si>
  <si>
    <t xml:space="preserve"> 55.1亿</t>
  </si>
  <si>
    <t xml:space="preserve"> 7.464亿</t>
  </si>
  <si>
    <t xml:space="preserve"> 7.396亿</t>
  </si>
  <si>
    <t xml:space="preserve"> 乐通股份</t>
  </si>
  <si>
    <t xml:space="preserve"> 26.28亿</t>
  </si>
  <si>
    <t xml:space="preserve"> 康拓医疗</t>
  </si>
  <si>
    <t xml:space="preserve"> 3735万</t>
  </si>
  <si>
    <t xml:space="preserve"> 8124万</t>
  </si>
  <si>
    <t xml:space="preserve"> 3669万</t>
  </si>
  <si>
    <t xml:space="preserve"> 12.72亿</t>
  </si>
  <si>
    <t xml:space="preserve"> 万凯新材</t>
  </si>
  <si>
    <t xml:space="preserve"> 3734万</t>
  </si>
  <si>
    <t xml:space="preserve"> 72.16亿</t>
  </si>
  <si>
    <t xml:space="preserve"> 32.16亿</t>
  </si>
  <si>
    <t xml:space="preserve"> 宁波色母</t>
  </si>
  <si>
    <t xml:space="preserve"> 3733万</t>
  </si>
  <si>
    <t xml:space="preserve"> 27.30亿</t>
  </si>
  <si>
    <t xml:space="preserve"> 5744万</t>
  </si>
  <si>
    <t xml:space="preserve"> 晶丰明源</t>
  </si>
  <si>
    <t xml:space="preserve"> 3730万</t>
  </si>
  <si>
    <t xml:space="preserve"> 6294万</t>
  </si>
  <si>
    <t xml:space="preserve"> 69.49亿</t>
  </si>
  <si>
    <t xml:space="preserve"> 艾迪药业</t>
  </si>
  <si>
    <t xml:space="preserve"> 3728万</t>
  </si>
  <si>
    <t xml:space="preserve"> 4.208亿</t>
  </si>
  <si>
    <t xml:space="preserve"> 捷强装备</t>
  </si>
  <si>
    <t xml:space="preserve"> 3726万</t>
  </si>
  <si>
    <t xml:space="preserve"> 9983万</t>
  </si>
  <si>
    <t xml:space="preserve"> 31.24亿</t>
  </si>
  <si>
    <t xml:space="preserve"> 6594万</t>
  </si>
  <si>
    <t xml:space="preserve"> 新点软件</t>
  </si>
  <si>
    <t xml:space="preserve"> 3.300亿</t>
  </si>
  <si>
    <t xml:space="preserve"> 9911万</t>
  </si>
  <si>
    <t xml:space="preserve"> 38.12亿</t>
  </si>
  <si>
    <t xml:space="preserve"> 伟明环保</t>
  </si>
  <si>
    <t xml:space="preserve"> 3721万</t>
  </si>
  <si>
    <t xml:space="preserve"> 46.2亿</t>
  </si>
  <si>
    <t xml:space="preserve"> 17.05亿</t>
  </si>
  <si>
    <t xml:space="preserve"> 298.1亿</t>
  </si>
  <si>
    <t xml:space="preserve"> 296.3亿</t>
  </si>
  <si>
    <t xml:space="preserve"> 神开股份</t>
  </si>
  <si>
    <t xml:space="preserve"> 3.411亿</t>
  </si>
  <si>
    <t xml:space="preserve"> 20.40亿</t>
  </si>
  <si>
    <t xml:space="preserve"> 国泰集团</t>
  </si>
  <si>
    <t xml:space="preserve"> 53.86亿</t>
  </si>
  <si>
    <t xml:space="preserve"> 栖霞建设</t>
  </si>
  <si>
    <t xml:space="preserve"> 交运股份</t>
  </si>
  <si>
    <t xml:space="preserve"> 46.49亿</t>
  </si>
  <si>
    <t xml:space="preserve"> 艾德生物</t>
  </si>
  <si>
    <t xml:space="preserve"> 3715万</t>
  </si>
  <si>
    <t xml:space="preserve"> 7.08亿</t>
  </si>
  <si>
    <t xml:space="preserve"> 89.13亿</t>
  </si>
  <si>
    <t xml:space="preserve"> 3.936亿</t>
  </si>
  <si>
    <t xml:space="preserve"> 88.02亿</t>
  </si>
  <si>
    <t xml:space="preserve"> 宁波方正</t>
  </si>
  <si>
    <t xml:space="preserve"> 1.372亿</t>
  </si>
  <si>
    <t xml:space="preserve"> 32.66亿</t>
  </si>
  <si>
    <t xml:space="preserve"> 振德医疗</t>
  </si>
  <si>
    <t xml:space="preserve"> 3713万</t>
  </si>
  <si>
    <t xml:space="preserve"> 2.272亿</t>
  </si>
  <si>
    <t xml:space="preserve"> 60.23亿</t>
  </si>
  <si>
    <t xml:space="preserve"> 日播时尚</t>
  </si>
  <si>
    <t xml:space="preserve"> 3705万</t>
  </si>
  <si>
    <t xml:space="preserve"> 2.387亿</t>
  </si>
  <si>
    <t xml:space="preserve"> 2.378亿</t>
  </si>
  <si>
    <t xml:space="preserve"> 34.32亿</t>
  </si>
  <si>
    <t xml:space="preserve"> 合肥城建</t>
  </si>
  <si>
    <t xml:space="preserve"> 54.79亿</t>
  </si>
  <si>
    <t xml:space="preserve"> 利尔达</t>
  </si>
  <si>
    <t xml:space="preserve"> 3704万</t>
  </si>
  <si>
    <t xml:space="preserve"> 4.216亿</t>
  </si>
  <si>
    <t xml:space="preserve"> 6.036亿</t>
  </si>
  <si>
    <t xml:space="preserve"> 振华股份</t>
  </si>
  <si>
    <t xml:space="preserve"> 5.090亿</t>
  </si>
  <si>
    <t xml:space="preserve"> 5.059亿</t>
  </si>
  <si>
    <t xml:space="preserve"> 51.30亿</t>
  </si>
  <si>
    <t xml:space="preserve"> 福建金森</t>
  </si>
  <si>
    <t xml:space="preserve"> 3695万</t>
  </si>
  <si>
    <t xml:space="preserve"> 7277万</t>
  </si>
  <si>
    <t xml:space="preserve"> 2.358亿</t>
  </si>
  <si>
    <t xml:space="preserve"> 光大嘉宝</t>
  </si>
  <si>
    <t xml:space="preserve"> 3694万</t>
  </si>
  <si>
    <t xml:space="preserve"> 40.49亿</t>
  </si>
  <si>
    <t xml:space="preserve"> 广哈通信</t>
  </si>
  <si>
    <t xml:space="preserve"> 3693万</t>
  </si>
  <si>
    <t xml:space="preserve"> 35.36亿</t>
  </si>
  <si>
    <t xml:space="preserve"> 天铭科技</t>
  </si>
  <si>
    <t xml:space="preserve"> 8718万</t>
  </si>
  <si>
    <t xml:space="preserve"> 2221万</t>
  </si>
  <si>
    <t xml:space="preserve"> 华锡有色</t>
  </si>
  <si>
    <t xml:space="preserve"> 3691万</t>
  </si>
  <si>
    <t xml:space="preserve"> 6.326亿</t>
  </si>
  <si>
    <t xml:space="preserve"> 79.58亿</t>
  </si>
  <si>
    <t xml:space="preserve"> 雄帝科技</t>
  </si>
  <si>
    <t xml:space="preserve"> 3687万</t>
  </si>
  <si>
    <t xml:space="preserve"> 1.855亿</t>
  </si>
  <si>
    <t xml:space="preserve"> 31.54亿</t>
  </si>
  <si>
    <t xml:space="preserve"> 22.11亿</t>
  </si>
  <si>
    <t xml:space="preserve"> 同庆楼</t>
  </si>
  <si>
    <t xml:space="preserve"> 3686万</t>
  </si>
  <si>
    <t xml:space="preserve"> 2.600亿</t>
  </si>
  <si>
    <t xml:space="preserve"> 84.68亿</t>
  </si>
  <si>
    <t xml:space="preserve"> 路德环境</t>
  </si>
  <si>
    <t xml:space="preserve"> 3683万</t>
  </si>
  <si>
    <t xml:space="preserve"> 9237万</t>
  </si>
  <si>
    <t xml:space="preserve"> 海德股份</t>
  </si>
  <si>
    <t xml:space="preserve"> 3681万</t>
  </si>
  <si>
    <t xml:space="preserve"> 13.48亿</t>
  </si>
  <si>
    <t xml:space="preserve"> 151.0亿</t>
  </si>
  <si>
    <t xml:space="preserve"> 鲁信创投</t>
  </si>
  <si>
    <t xml:space="preserve"> 7771万</t>
  </si>
  <si>
    <t xml:space="preserve"> 89.47亿</t>
  </si>
  <si>
    <t xml:space="preserve"> 元琛科技</t>
  </si>
  <si>
    <t xml:space="preserve"> 3679万</t>
  </si>
  <si>
    <t xml:space="preserve"> 20.08亿</t>
  </si>
  <si>
    <t xml:space="preserve"> 8797万</t>
  </si>
  <si>
    <t xml:space="preserve"> 正元地信</t>
  </si>
  <si>
    <t xml:space="preserve"> 3678万</t>
  </si>
  <si>
    <t xml:space="preserve"> 3.848亿</t>
  </si>
  <si>
    <t xml:space="preserve"> 奥赛康</t>
  </si>
  <si>
    <t xml:space="preserve"> 3677万</t>
  </si>
  <si>
    <t xml:space="preserve"> 9.282亿</t>
  </si>
  <si>
    <t xml:space="preserve"> 95.14亿</t>
  </si>
  <si>
    <t xml:space="preserve"> 京运通</t>
  </si>
  <si>
    <t xml:space="preserve"> 3673万</t>
  </si>
  <si>
    <t xml:space="preserve"> 79.8亿</t>
  </si>
  <si>
    <t xml:space="preserve"> 24.15亿</t>
  </si>
  <si>
    <t xml:space="preserve"> 110.6亿</t>
  </si>
  <si>
    <t xml:space="preserve"> 利尔化学</t>
  </si>
  <si>
    <t xml:space="preserve"> 3672万</t>
  </si>
  <si>
    <t xml:space="preserve"> 8.004亿</t>
  </si>
  <si>
    <t xml:space="preserve"> 7.992亿</t>
  </si>
  <si>
    <t xml:space="preserve"> 海象新材</t>
  </si>
  <si>
    <t xml:space="preserve"> 1.027亿</t>
  </si>
  <si>
    <t xml:space="preserve"> 22.65亿</t>
  </si>
  <si>
    <t xml:space="preserve"> 7652万</t>
  </si>
  <si>
    <t xml:space="preserve"> 杰美特</t>
  </si>
  <si>
    <t xml:space="preserve"> 3667万</t>
  </si>
  <si>
    <t xml:space="preserve"> 4.67亿</t>
  </si>
  <si>
    <t xml:space="preserve"> 28.62亿</t>
  </si>
  <si>
    <t xml:space="preserve"> 5864万</t>
  </si>
  <si>
    <t xml:space="preserve"> 国睿科技</t>
  </si>
  <si>
    <t xml:space="preserve"> 3666万</t>
  </si>
  <si>
    <t xml:space="preserve"> 12.42亿</t>
  </si>
  <si>
    <t xml:space="preserve"> 万朗磁塑</t>
  </si>
  <si>
    <t xml:space="preserve"> 3663万</t>
  </si>
  <si>
    <t xml:space="preserve"> 8549万</t>
  </si>
  <si>
    <t xml:space="preserve"> 5228万</t>
  </si>
  <si>
    <t xml:space="preserve"> 三维股份</t>
  </si>
  <si>
    <t xml:space="preserve"> 3660万</t>
  </si>
  <si>
    <t xml:space="preserve"> 165.0亿</t>
  </si>
  <si>
    <t xml:space="preserve"> 161.2亿</t>
  </si>
  <si>
    <t xml:space="preserve"> 建研院</t>
  </si>
  <si>
    <t xml:space="preserve"> 3659万</t>
  </si>
  <si>
    <t xml:space="preserve"> 23.85亿</t>
  </si>
  <si>
    <t xml:space="preserve"> 4.917亿</t>
  </si>
  <si>
    <t xml:space="preserve"> 23.41亿</t>
  </si>
  <si>
    <t xml:space="preserve"> 鼎际得</t>
  </si>
  <si>
    <t xml:space="preserve"> 3653万</t>
  </si>
  <si>
    <t xml:space="preserve"> 5.87亿</t>
  </si>
  <si>
    <t xml:space="preserve"> 50.90亿</t>
  </si>
  <si>
    <t xml:space="preserve"> 22.97亿</t>
  </si>
  <si>
    <t xml:space="preserve"> 全信股份</t>
  </si>
  <si>
    <t xml:space="preserve"> 3651万</t>
  </si>
  <si>
    <t xml:space="preserve"> 8.15亿</t>
  </si>
  <si>
    <t xml:space="preserve"> 47.50亿</t>
  </si>
  <si>
    <t xml:space="preserve"> 欧圣电气</t>
  </si>
  <si>
    <t xml:space="preserve"> 1.826亿</t>
  </si>
  <si>
    <t xml:space="preserve"> 9.292亿</t>
  </si>
  <si>
    <t xml:space="preserve"> 颖泰生物</t>
  </si>
  <si>
    <t xml:space="preserve"> 3649万</t>
  </si>
  <si>
    <t xml:space="preserve"> 52.34亿</t>
  </si>
  <si>
    <t xml:space="preserve"> 51.58亿</t>
  </si>
  <si>
    <t xml:space="preserve"> 洪兴股份</t>
  </si>
  <si>
    <t xml:space="preserve"> 3648万</t>
  </si>
  <si>
    <t xml:space="preserve"> 4029万</t>
  </si>
  <si>
    <t xml:space="preserve"> 7.191亿</t>
  </si>
  <si>
    <t xml:space="preserve"> 天力锂能</t>
  </si>
  <si>
    <t xml:space="preserve"> 精工钢构</t>
  </si>
  <si>
    <t xml:space="preserve"> 64.21亿</t>
  </si>
  <si>
    <t xml:space="preserve"> 德力股份</t>
  </si>
  <si>
    <t xml:space="preserve"> 3643万</t>
  </si>
  <si>
    <t xml:space="preserve"> 9.56亿</t>
  </si>
  <si>
    <t xml:space="preserve"> 3.920亿</t>
  </si>
  <si>
    <t xml:space="preserve"> 京华激光</t>
  </si>
  <si>
    <t xml:space="preserve"> 3642万</t>
  </si>
  <si>
    <t xml:space="preserve"> 1.785亿</t>
  </si>
  <si>
    <t xml:space="preserve"> 28.69亿</t>
  </si>
  <si>
    <t xml:space="preserve"> 江山股份</t>
  </si>
  <si>
    <t xml:space="preserve"> 3639万</t>
  </si>
  <si>
    <t xml:space="preserve"> 赛托生物</t>
  </si>
  <si>
    <t xml:space="preserve"> 1.897亿</t>
  </si>
  <si>
    <t xml:space="preserve"> 37.20亿</t>
  </si>
  <si>
    <t xml:space="preserve"> 36.41亿</t>
  </si>
  <si>
    <t xml:space="preserve"> 禾昌聚合</t>
  </si>
  <si>
    <t xml:space="preserve"> 1.076亿</t>
  </si>
  <si>
    <t xml:space="preserve"> 6679万</t>
  </si>
  <si>
    <t xml:space="preserve"> 11.03亿</t>
  </si>
  <si>
    <t xml:space="preserve"> 尤洛卡</t>
  </si>
  <si>
    <t xml:space="preserve"> 3638万</t>
  </si>
  <si>
    <t xml:space="preserve"> 7.373亿</t>
  </si>
  <si>
    <t xml:space="preserve"> 46.45亿</t>
  </si>
  <si>
    <t xml:space="preserve"> 5.794亿</t>
  </si>
  <si>
    <t xml:space="preserve"> 36.50亿</t>
  </si>
  <si>
    <t xml:space="preserve"> 科润智控</t>
  </si>
  <si>
    <t xml:space="preserve"> 3636万</t>
  </si>
  <si>
    <t xml:space="preserve"> 1.841亿</t>
  </si>
  <si>
    <t xml:space="preserve"> 10.09亿</t>
  </si>
  <si>
    <t xml:space="preserve"> 北化股份</t>
  </si>
  <si>
    <t xml:space="preserve"> 3635万</t>
  </si>
  <si>
    <t xml:space="preserve"> 5.490亿</t>
  </si>
  <si>
    <t xml:space="preserve"> 昂利康</t>
  </si>
  <si>
    <t xml:space="preserve"> 2.017亿</t>
  </si>
  <si>
    <t xml:space="preserve"> 1.853亿</t>
  </si>
  <si>
    <t xml:space="preserve"> 长高电新</t>
  </si>
  <si>
    <t xml:space="preserve"> 6.203亿</t>
  </si>
  <si>
    <t xml:space="preserve"> 5.159亿</t>
  </si>
  <si>
    <t xml:space="preserve"> 36.22亿</t>
  </si>
  <si>
    <t xml:space="preserve"> 天洋新材</t>
  </si>
  <si>
    <t xml:space="preserve"> 3631万</t>
  </si>
  <si>
    <t xml:space="preserve"> 4.266亿</t>
  </si>
  <si>
    <t xml:space="preserve"> 33.79亿</t>
  </si>
  <si>
    <t xml:space="preserve"> 新筑股份</t>
  </si>
  <si>
    <t xml:space="preserve"> 7.692亿</t>
  </si>
  <si>
    <t xml:space="preserve"> 37.77亿</t>
  </si>
  <si>
    <t xml:space="preserve"> 7.673亿</t>
  </si>
  <si>
    <t xml:space="preserve"> 欧林生物</t>
  </si>
  <si>
    <t xml:space="preserve"> 3629万</t>
  </si>
  <si>
    <t xml:space="preserve"> 56.55亿</t>
  </si>
  <si>
    <t xml:space="preserve"> 海南矿业</t>
  </si>
  <si>
    <t xml:space="preserve"> 3623万</t>
  </si>
  <si>
    <t xml:space="preserve"> 20.38亿</t>
  </si>
  <si>
    <t xml:space="preserve"> 贵州燃气</t>
  </si>
  <si>
    <t xml:space="preserve"> 3622万</t>
  </si>
  <si>
    <t xml:space="preserve"> 44.6亿</t>
  </si>
  <si>
    <t xml:space="preserve"> 台基股份</t>
  </si>
  <si>
    <t xml:space="preserve"> 3621万</t>
  </si>
  <si>
    <t xml:space="preserve"> 2.372亿</t>
  </si>
  <si>
    <t xml:space="preserve"> 2.365亿</t>
  </si>
  <si>
    <t xml:space="preserve"> 东瑞股份</t>
  </si>
  <si>
    <t xml:space="preserve"> 3620万</t>
  </si>
  <si>
    <t xml:space="preserve"> 9183万</t>
  </si>
  <si>
    <t xml:space="preserve"> 硅宝科技</t>
  </si>
  <si>
    <t xml:space="preserve"> 65.43亿</t>
  </si>
  <si>
    <t xml:space="preserve"> 3.354亿</t>
  </si>
  <si>
    <t xml:space="preserve"> 凯迪股份</t>
  </si>
  <si>
    <t xml:space="preserve"> 7020万</t>
  </si>
  <si>
    <t xml:space="preserve"> 捷邦科技</t>
  </si>
  <si>
    <t xml:space="preserve"> 7219万</t>
  </si>
  <si>
    <t xml:space="preserve"> 27.40亿</t>
  </si>
  <si>
    <t xml:space="preserve"> 2219万</t>
  </si>
  <si>
    <t xml:space="preserve"> 8.422亿</t>
  </si>
  <si>
    <t xml:space="preserve"> 盈峰环境</t>
  </si>
  <si>
    <t xml:space="preserve"> 3615万</t>
  </si>
  <si>
    <t xml:space="preserve"> 89.9亿</t>
  </si>
  <si>
    <t xml:space="preserve"> 156.1亿</t>
  </si>
  <si>
    <t xml:space="preserve"> 31.78亿</t>
  </si>
  <si>
    <t xml:space="preserve"> 快意电梯</t>
  </si>
  <si>
    <t xml:space="preserve"> 2.818亿</t>
  </si>
  <si>
    <t xml:space="preserve"> 长源电力</t>
  </si>
  <si>
    <t xml:space="preserve"> 3614万</t>
  </si>
  <si>
    <t xml:space="preserve"> 27.49亿</t>
  </si>
  <si>
    <t xml:space="preserve"> 59.38亿</t>
  </si>
  <si>
    <t xml:space="preserve"> 安博通</t>
  </si>
  <si>
    <t xml:space="preserve"> 7629万</t>
  </si>
  <si>
    <t xml:space="preserve"> 燕东微</t>
  </si>
  <si>
    <t xml:space="preserve"> 3612万</t>
  </si>
  <si>
    <t xml:space="preserve"> 23.68亿</t>
  </si>
  <si>
    <t xml:space="preserve"> 美晨生态</t>
  </si>
  <si>
    <t xml:space="preserve"> 3608万</t>
  </si>
  <si>
    <t xml:space="preserve"> -2.67万</t>
  </si>
  <si>
    <t xml:space="preserve"> 30.57亿</t>
  </si>
  <si>
    <t xml:space="preserve"> 30.50亿</t>
  </si>
  <si>
    <t xml:space="preserve"> 恒而达</t>
  </si>
  <si>
    <t xml:space="preserve"> 3606万</t>
  </si>
  <si>
    <t xml:space="preserve"> 39.22亿</t>
  </si>
  <si>
    <t xml:space="preserve"> 3415万</t>
  </si>
  <si>
    <t xml:space="preserve"> 达嘉维康</t>
  </si>
  <si>
    <t xml:space="preserve"> 华瓷股份</t>
  </si>
  <si>
    <t xml:space="preserve"> 3604万</t>
  </si>
  <si>
    <t xml:space="preserve"> 8.99亿</t>
  </si>
  <si>
    <t xml:space="preserve"> 2.519亿</t>
  </si>
  <si>
    <t xml:space="preserve"> 6297万</t>
  </si>
  <si>
    <t xml:space="preserve"> 8.223亿</t>
  </si>
  <si>
    <t xml:space="preserve"> 罗平锌电</t>
  </si>
  <si>
    <t xml:space="preserve"> 3598万</t>
  </si>
  <si>
    <t xml:space="preserve"> 3.234亿</t>
  </si>
  <si>
    <t xml:space="preserve"> 凯瑞德</t>
  </si>
  <si>
    <t xml:space="preserve"> 3596万</t>
  </si>
  <si>
    <t xml:space="preserve"> 24.30亿</t>
  </si>
  <si>
    <t xml:space="preserve"> 17.03亿</t>
  </si>
  <si>
    <t xml:space="preserve"> 普源精电</t>
  </si>
  <si>
    <t xml:space="preserve"> 3595万</t>
  </si>
  <si>
    <t xml:space="preserve"> 1.851亿</t>
  </si>
  <si>
    <t xml:space="preserve"> 89.88亿</t>
  </si>
  <si>
    <t xml:space="preserve"> 5630万</t>
  </si>
  <si>
    <t xml:space="preserve"> 澳柯玛</t>
  </si>
  <si>
    <t xml:space="preserve"> 7.980亿</t>
  </si>
  <si>
    <t xml:space="preserve"> 44.69亿</t>
  </si>
  <si>
    <t xml:space="preserve"> 四川金顶</t>
  </si>
  <si>
    <t xml:space="preserve"> 3594万</t>
  </si>
  <si>
    <t xml:space="preserve"> 三峡旅游</t>
  </si>
  <si>
    <t xml:space="preserve"> 7.381亿</t>
  </si>
  <si>
    <t xml:space="preserve"> 6.970亿</t>
  </si>
  <si>
    <t xml:space="preserve"> 迪哲医药-U</t>
  </si>
  <si>
    <t xml:space="preserve"> 3587万</t>
  </si>
  <si>
    <t xml:space="preserve"> 55.20亿</t>
  </si>
  <si>
    <t xml:space="preserve"> 勤上股份</t>
  </si>
  <si>
    <t xml:space="preserve"> 3586万</t>
  </si>
  <si>
    <t xml:space="preserve"> 13.47亿</t>
  </si>
  <si>
    <t xml:space="preserve"> 沙钢股份</t>
  </si>
  <si>
    <t xml:space="preserve"> 3585万</t>
  </si>
  <si>
    <t xml:space="preserve"> 21.94亿</t>
  </si>
  <si>
    <t xml:space="preserve"> 87.53亿</t>
  </si>
  <si>
    <t xml:space="preserve"> 飞力达</t>
  </si>
  <si>
    <t xml:space="preserve"> 3.701亿</t>
  </si>
  <si>
    <t xml:space="preserve"> 26.57亿</t>
  </si>
  <si>
    <t xml:space="preserve"> 光正眼科</t>
  </si>
  <si>
    <t xml:space="preserve"> 3582万</t>
  </si>
  <si>
    <t xml:space="preserve"> 5.180亿</t>
  </si>
  <si>
    <t xml:space="preserve"> 35.33亿</t>
  </si>
  <si>
    <t xml:space="preserve"> 5.081亿</t>
  </si>
  <si>
    <t xml:space="preserve"> 拓山重工</t>
  </si>
  <si>
    <t xml:space="preserve"> 3577万</t>
  </si>
  <si>
    <t xml:space="preserve"> 1867万</t>
  </si>
  <si>
    <t xml:space="preserve"> 兰州黄河</t>
  </si>
  <si>
    <t xml:space="preserve"> 3576万</t>
  </si>
  <si>
    <t xml:space="preserve"> 亚厦股份</t>
  </si>
  <si>
    <t xml:space="preserve"> 13.31亿</t>
  </si>
  <si>
    <t xml:space="preserve"> 浙商中拓</t>
  </si>
  <si>
    <t xml:space="preserve"> 3574万</t>
  </si>
  <si>
    <t xml:space="preserve"> 1518亿</t>
  </si>
  <si>
    <t xml:space="preserve"> 6.995亿</t>
  </si>
  <si>
    <t xml:space="preserve"> 51.76亿</t>
  </si>
  <si>
    <t xml:space="preserve"> 6.920亿</t>
  </si>
  <si>
    <t xml:space="preserve"> 51.21亿</t>
  </si>
  <si>
    <t xml:space="preserve"> 润本股份</t>
  </si>
  <si>
    <t xml:space="preserve"> 8.24亿</t>
  </si>
  <si>
    <t xml:space="preserve"> 69.31亿</t>
  </si>
  <si>
    <t xml:space="preserve"> 绿能慧充</t>
  </si>
  <si>
    <t xml:space="preserve"> 6.652亿</t>
  </si>
  <si>
    <t xml:space="preserve"> 思维列控</t>
  </si>
  <si>
    <t xml:space="preserve"> 3572万</t>
  </si>
  <si>
    <t xml:space="preserve"> 3.813亿</t>
  </si>
  <si>
    <t xml:space="preserve"> 中光防雷</t>
  </si>
  <si>
    <t xml:space="preserve"> 4.25亿</t>
  </si>
  <si>
    <t xml:space="preserve"> 3.113亿</t>
  </si>
  <si>
    <t xml:space="preserve"> 31.59亿</t>
  </si>
  <si>
    <t xml:space="preserve"> 惠博普</t>
  </si>
  <si>
    <t xml:space="preserve"> 3570万</t>
  </si>
  <si>
    <t xml:space="preserve"> 30.30亿</t>
  </si>
  <si>
    <t xml:space="preserve"> 广日股份</t>
  </si>
  <si>
    <t xml:space="preserve"> 3568万</t>
  </si>
  <si>
    <t xml:space="preserve"> 8.599亿</t>
  </si>
  <si>
    <t xml:space="preserve"> 西高院</t>
  </si>
  <si>
    <t xml:space="preserve"> 3566万</t>
  </si>
  <si>
    <t xml:space="preserve"> 华兰股份</t>
  </si>
  <si>
    <t xml:space="preserve"> 46.60亿</t>
  </si>
  <si>
    <t xml:space="preserve"> 9669万</t>
  </si>
  <si>
    <t xml:space="preserve"> 33.18亿</t>
  </si>
  <si>
    <t xml:space="preserve"> 科恒股份</t>
  </si>
  <si>
    <t xml:space="preserve"> 3565万</t>
  </si>
  <si>
    <t xml:space="preserve"> 26.40亿</t>
  </si>
  <si>
    <t xml:space="preserve"> 长阳科技</t>
  </si>
  <si>
    <t xml:space="preserve"> 3564万</t>
  </si>
  <si>
    <t xml:space="preserve"> 2.905亿</t>
  </si>
  <si>
    <t xml:space="preserve"> 41.07亿</t>
  </si>
  <si>
    <t xml:space="preserve"> 乔治白</t>
  </si>
  <si>
    <t xml:space="preserve"> 9.64亿</t>
  </si>
  <si>
    <t xml:space="preserve"> 27.50亿</t>
  </si>
  <si>
    <t xml:space="preserve"> 友好集团</t>
  </si>
  <si>
    <t xml:space="preserve"> 3.115亿</t>
  </si>
  <si>
    <t xml:space="preserve"> 3.112亿</t>
  </si>
  <si>
    <t xml:space="preserve"> 现代投资</t>
  </si>
  <si>
    <t xml:space="preserve"> -2.07万</t>
  </si>
  <si>
    <t xml:space="preserve"> ST国安</t>
  </si>
  <si>
    <t xml:space="preserve"> 90.55亿</t>
  </si>
  <si>
    <t xml:space="preserve"> 梦百合</t>
  </si>
  <si>
    <t xml:space="preserve"> 3560万</t>
  </si>
  <si>
    <t xml:space="preserve"> 5.706亿</t>
  </si>
  <si>
    <t xml:space="preserve"> 57.17亿</t>
  </si>
  <si>
    <t xml:space="preserve"> 4.853亿</t>
  </si>
  <si>
    <t xml:space="preserve"> 48.63亿</t>
  </si>
  <si>
    <t xml:space="preserve"> 长江材料</t>
  </si>
  <si>
    <t xml:space="preserve"> 3557万</t>
  </si>
  <si>
    <t xml:space="preserve"> 6.55亿</t>
  </si>
  <si>
    <t xml:space="preserve"> 25.60亿</t>
  </si>
  <si>
    <t xml:space="preserve"> 3765万</t>
  </si>
  <si>
    <t xml:space="preserve"> 皖天然气</t>
  </si>
  <si>
    <t xml:space="preserve"> 3556万</t>
  </si>
  <si>
    <t xml:space="preserve"> 42.47亿</t>
  </si>
  <si>
    <t xml:space="preserve"> 长荣股份</t>
  </si>
  <si>
    <t xml:space="preserve"> 20.50亿</t>
  </si>
  <si>
    <t xml:space="preserve"> 中国海防</t>
  </si>
  <si>
    <t xml:space="preserve"> 3553万</t>
  </si>
  <si>
    <t xml:space="preserve"> 7.106亿</t>
  </si>
  <si>
    <t xml:space="preserve"> 162.7亿</t>
  </si>
  <si>
    <t xml:space="preserve"> 杭萧钢构</t>
  </si>
  <si>
    <t xml:space="preserve"> 3552万</t>
  </si>
  <si>
    <t xml:space="preserve"> 23.69亿</t>
  </si>
  <si>
    <t xml:space="preserve"> 79.60亿</t>
  </si>
  <si>
    <t xml:space="preserve"> 捷安高科</t>
  </si>
  <si>
    <t xml:space="preserve"> 3551万</t>
  </si>
  <si>
    <t xml:space="preserve"> 1.113亿</t>
  </si>
  <si>
    <t xml:space="preserve"> 21.83亿</t>
  </si>
  <si>
    <t xml:space="preserve"> 豪声电子</t>
  </si>
  <si>
    <t xml:space="preserve"> 9800万</t>
  </si>
  <si>
    <t xml:space="preserve"> 9.134亿</t>
  </si>
  <si>
    <t xml:space="preserve"> 1960万</t>
  </si>
  <si>
    <t xml:space="preserve"> 1.827亿</t>
  </si>
  <si>
    <t xml:space="preserve"> 吉林化纤</t>
  </si>
  <si>
    <t xml:space="preserve"> 3550万</t>
  </si>
  <si>
    <t xml:space="preserve"> 27.6亿</t>
  </si>
  <si>
    <t xml:space="preserve"> 75.00亿</t>
  </si>
  <si>
    <t xml:space="preserve"> 74.97亿</t>
  </si>
  <si>
    <t xml:space="preserve"> 科威尔</t>
  </si>
  <si>
    <t xml:space="preserve"> 3549万</t>
  </si>
  <si>
    <t xml:space="preserve"> 8030万</t>
  </si>
  <si>
    <t xml:space="preserve"> 39.92亿</t>
  </si>
  <si>
    <t xml:space="preserve"> 5315万</t>
  </si>
  <si>
    <t xml:space="preserve"> 杰恩设计</t>
  </si>
  <si>
    <t xml:space="preserve"> 7885万</t>
  </si>
  <si>
    <t xml:space="preserve"> 英力股份</t>
  </si>
  <si>
    <t xml:space="preserve"> 24.10亿</t>
  </si>
  <si>
    <t xml:space="preserve"> 中天火箭</t>
  </si>
  <si>
    <t xml:space="preserve"> 3548万</t>
  </si>
  <si>
    <t xml:space="preserve"> 1.554亿</t>
  </si>
  <si>
    <t xml:space="preserve"> 远信工业</t>
  </si>
  <si>
    <t xml:space="preserve"> 3546万</t>
  </si>
  <si>
    <t xml:space="preserve"> 21.60亿</t>
  </si>
  <si>
    <t xml:space="preserve"> 2326万</t>
  </si>
  <si>
    <t xml:space="preserve"> 6.147亿</t>
  </si>
  <si>
    <t xml:space="preserve"> 广州浪奇</t>
  </si>
  <si>
    <t xml:space="preserve"> 3545万</t>
  </si>
  <si>
    <t xml:space="preserve"> -1.69万</t>
  </si>
  <si>
    <t xml:space="preserve"> 18.35亿</t>
  </si>
  <si>
    <t xml:space="preserve"> 60.75亿</t>
  </si>
  <si>
    <t xml:space="preserve"> 13.77亿</t>
  </si>
  <si>
    <t xml:space="preserve"> 45.57亿</t>
  </si>
  <si>
    <t xml:space="preserve"> 中广核技</t>
  </si>
  <si>
    <t xml:space="preserve"> 3542万</t>
  </si>
  <si>
    <t xml:space="preserve"> 9.454亿</t>
  </si>
  <si>
    <t xml:space="preserve"> 69.96亿</t>
  </si>
  <si>
    <t xml:space="preserve"> 7.760亿</t>
  </si>
  <si>
    <t xml:space="preserve"> 57.42亿</t>
  </si>
  <si>
    <t xml:space="preserve"> 华绿生物</t>
  </si>
  <si>
    <t xml:space="preserve"> 3540万</t>
  </si>
  <si>
    <t xml:space="preserve"> 7.51亿</t>
  </si>
  <si>
    <t xml:space="preserve"> 1.179亿</t>
  </si>
  <si>
    <t xml:space="preserve"> 6945万</t>
  </si>
  <si>
    <t xml:space="preserve"> 汇宇制药-W</t>
  </si>
  <si>
    <t xml:space="preserve"> 3537万</t>
  </si>
  <si>
    <t xml:space="preserve"> 63.88亿</t>
  </si>
  <si>
    <t xml:space="preserve"> 43.90亿</t>
  </si>
  <si>
    <t xml:space="preserve"> 蜀道装备</t>
  </si>
  <si>
    <t xml:space="preserve"> 3535万</t>
  </si>
  <si>
    <t xml:space="preserve"> 1.648亿</t>
  </si>
  <si>
    <t xml:space="preserve"> 39.19亿</t>
  </si>
  <si>
    <t xml:space="preserve"> 1.090亿</t>
  </si>
  <si>
    <t xml:space="preserve"> 25.93亿</t>
  </si>
  <si>
    <t xml:space="preserve"> 富邦股份</t>
  </si>
  <si>
    <t xml:space="preserve"> 3532万</t>
  </si>
  <si>
    <t xml:space="preserve"> 2.891亿</t>
  </si>
  <si>
    <t xml:space="preserve"> 2.812亿</t>
  </si>
  <si>
    <t xml:space="preserve"> 21.68亿</t>
  </si>
  <si>
    <t xml:space="preserve"> 南网能源</t>
  </si>
  <si>
    <t xml:space="preserve"> 3530万</t>
  </si>
  <si>
    <t xml:space="preserve"> 16.36亿</t>
  </si>
  <si>
    <t xml:space="preserve"> 88.18亿</t>
  </si>
  <si>
    <t xml:space="preserve"> 中南股份</t>
  </si>
  <si>
    <t xml:space="preserve"> 3527万</t>
  </si>
  <si>
    <t xml:space="preserve"> 69.08亿</t>
  </si>
  <si>
    <t xml:space="preserve"> 69.07亿</t>
  </si>
  <si>
    <t xml:space="preserve"> 杰华特</t>
  </si>
  <si>
    <t xml:space="preserve"> 4.469亿</t>
  </si>
  <si>
    <t xml:space="preserve"> 5231万</t>
  </si>
  <si>
    <t xml:space="preserve"> 东阳光</t>
  </si>
  <si>
    <t xml:space="preserve"> 3520万</t>
  </si>
  <si>
    <t xml:space="preserve"> 200.1亿</t>
  </si>
  <si>
    <t xml:space="preserve"> 北矿科技</t>
  </si>
  <si>
    <t xml:space="preserve"> 利君股份</t>
  </si>
  <si>
    <t xml:space="preserve"> 3516万</t>
  </si>
  <si>
    <t xml:space="preserve"> 8.70亿</t>
  </si>
  <si>
    <t xml:space="preserve"> 72.86亿</t>
  </si>
  <si>
    <t xml:space="preserve"> 准油股份</t>
  </si>
  <si>
    <t xml:space="preserve"> 2.608亿</t>
  </si>
  <si>
    <t xml:space="preserve"> 京能电力</t>
  </si>
  <si>
    <t xml:space="preserve"> 3503万</t>
  </si>
  <si>
    <t xml:space="preserve"> -1.94万</t>
  </si>
  <si>
    <t xml:space="preserve"> 66.95亿</t>
  </si>
  <si>
    <t xml:space="preserve"> 200.8亿</t>
  </si>
  <si>
    <t xml:space="preserve"> 上海临港</t>
  </si>
  <si>
    <t xml:space="preserve"> 25.22亿</t>
  </si>
  <si>
    <t xml:space="preserve"> 260.0亿</t>
  </si>
  <si>
    <t xml:space="preserve"> 厦钨新能</t>
  </si>
  <si>
    <t xml:space="preserve"> 3502万</t>
  </si>
  <si>
    <t xml:space="preserve"> 166.8亿</t>
  </si>
  <si>
    <t xml:space="preserve"> 1.356亿</t>
  </si>
  <si>
    <t xml:space="preserve"> 53.74亿</t>
  </si>
  <si>
    <t xml:space="preserve"> 海川智能</t>
  </si>
  <si>
    <t xml:space="preserve"> 3501万</t>
  </si>
  <si>
    <t xml:space="preserve"> 1.949亿</t>
  </si>
  <si>
    <t xml:space="preserve"> 1.733亿</t>
  </si>
  <si>
    <t xml:space="preserve"> 23.34亿</t>
  </si>
  <si>
    <t xml:space="preserve"> 皖维高新</t>
  </si>
  <si>
    <t xml:space="preserve"> 67.0亿</t>
  </si>
  <si>
    <t xml:space="preserve"> 21.59亿</t>
  </si>
  <si>
    <t xml:space="preserve"> 97.81亿</t>
  </si>
  <si>
    <t xml:space="preserve"> 87.24亿</t>
  </si>
  <si>
    <t xml:space="preserve"> 尚纬股份</t>
  </si>
  <si>
    <t xml:space="preserve"> 6.215亿</t>
  </si>
  <si>
    <t xml:space="preserve"> 31.01亿</t>
  </si>
  <si>
    <t xml:space="preserve"> 三一重能</t>
  </si>
  <si>
    <t xml:space="preserve"> 3499万</t>
  </si>
  <si>
    <t xml:space="preserve"> 12.06亿</t>
  </si>
  <si>
    <t xml:space="preserve"> 354.2亿</t>
  </si>
  <si>
    <t xml:space="preserve"> 54.21亿</t>
  </si>
  <si>
    <t xml:space="preserve"> 四川双马</t>
  </si>
  <si>
    <t xml:space="preserve"> 3497万</t>
  </si>
  <si>
    <t xml:space="preserve"> 7.634亿</t>
  </si>
  <si>
    <t xml:space="preserve"> 品茗科技</t>
  </si>
  <si>
    <t xml:space="preserve"> 7884万</t>
  </si>
  <si>
    <t xml:space="preserve"> 3869万</t>
  </si>
  <si>
    <t xml:space="preserve"> 通达海</t>
  </si>
  <si>
    <t xml:space="preserve"> 3489万</t>
  </si>
  <si>
    <t xml:space="preserve"> 6900万</t>
  </si>
  <si>
    <t xml:space="preserve"> 35.73亿</t>
  </si>
  <si>
    <t xml:space="preserve"> 1725万</t>
  </si>
  <si>
    <t xml:space="preserve"> 8.932亿</t>
  </si>
  <si>
    <t xml:space="preserve"> 康达新材</t>
  </si>
  <si>
    <t xml:space="preserve"> 3.054亿</t>
  </si>
  <si>
    <t xml:space="preserve"> 37.41亿</t>
  </si>
  <si>
    <t xml:space="preserve"> 2.907亿</t>
  </si>
  <si>
    <t xml:space="preserve"> 凯盛新材</t>
  </si>
  <si>
    <t xml:space="preserve"> 3488万</t>
  </si>
  <si>
    <t xml:space="preserve"> 7.28亿</t>
  </si>
  <si>
    <t xml:space="preserve"> 4.206亿</t>
  </si>
  <si>
    <t xml:space="preserve"> 80.26亿</t>
  </si>
  <si>
    <t xml:space="preserve"> 超华科技</t>
  </si>
  <si>
    <t xml:space="preserve"> 9.316亿</t>
  </si>
  <si>
    <t xml:space="preserve"> 43.23亿</t>
  </si>
  <si>
    <t xml:space="preserve"> 8.011亿</t>
  </si>
  <si>
    <t xml:space="preserve"> 苏垦农发</t>
  </si>
  <si>
    <t xml:space="preserve"> 3486万</t>
  </si>
  <si>
    <t xml:space="preserve"> 86.2亿</t>
  </si>
  <si>
    <t xml:space="preserve"> 金卡智能</t>
  </si>
  <si>
    <t xml:space="preserve"> 3485万</t>
  </si>
  <si>
    <t xml:space="preserve"> 3.729亿</t>
  </si>
  <si>
    <t xml:space="preserve"> 振华新材</t>
  </si>
  <si>
    <t xml:space="preserve"> 3483万</t>
  </si>
  <si>
    <t xml:space="preserve"> 4.429亿</t>
  </si>
  <si>
    <t xml:space="preserve"> 95.45亿</t>
  </si>
  <si>
    <t xml:space="preserve"> 粤 水 电</t>
  </si>
  <si>
    <t xml:space="preserve"> 3482万</t>
  </si>
  <si>
    <t xml:space="preserve"> 37.54亿</t>
  </si>
  <si>
    <t xml:space="preserve"> 61.07亿</t>
  </si>
  <si>
    <t xml:space="preserve"> 郑州银行</t>
  </si>
  <si>
    <t xml:space="preserve"> 3481万</t>
  </si>
  <si>
    <t xml:space="preserve"> -12.7万</t>
  </si>
  <si>
    <t xml:space="preserve"> 90.92亿</t>
  </si>
  <si>
    <t xml:space="preserve"> 187.3亿</t>
  </si>
  <si>
    <t xml:space="preserve"> 66.99亿</t>
  </si>
  <si>
    <t xml:space="preserve"> 138.0亿</t>
  </si>
  <si>
    <t xml:space="preserve"> 深圳华强</t>
  </si>
  <si>
    <t xml:space="preserve"> 122.9亿</t>
  </si>
  <si>
    <t xml:space="preserve"> 悦达投资</t>
  </si>
  <si>
    <t xml:space="preserve"> 3475万</t>
  </si>
  <si>
    <t xml:space="preserve"> 8.509亿</t>
  </si>
  <si>
    <t xml:space="preserve"> 39.82亿</t>
  </si>
  <si>
    <t xml:space="preserve"> 8.503亿</t>
  </si>
  <si>
    <t xml:space="preserve"> 39.79亿</t>
  </si>
  <si>
    <t xml:space="preserve"> 和仁科技</t>
  </si>
  <si>
    <t xml:space="preserve"> 3473万</t>
  </si>
  <si>
    <t xml:space="preserve"> 2.626亿</t>
  </si>
  <si>
    <t xml:space="preserve"> 39.96亿</t>
  </si>
  <si>
    <t xml:space="preserve"> 2.618亿</t>
  </si>
  <si>
    <t xml:space="preserve"> 华西能源</t>
  </si>
  <si>
    <t xml:space="preserve"> 3472万</t>
  </si>
  <si>
    <t xml:space="preserve"> 26.81亿</t>
  </si>
  <si>
    <t xml:space="preserve"> 华昌化工</t>
  </si>
  <si>
    <t xml:space="preserve"> 9.524亿</t>
  </si>
  <si>
    <t xml:space="preserve"> 70.19亿</t>
  </si>
  <si>
    <t xml:space="preserve"> 9.380亿</t>
  </si>
  <si>
    <t xml:space="preserve"> 69.13亿</t>
  </si>
  <si>
    <t xml:space="preserve"> 骏成科技</t>
  </si>
  <si>
    <t xml:space="preserve"> 3468万</t>
  </si>
  <si>
    <t xml:space="preserve"> 7259万</t>
  </si>
  <si>
    <t xml:space="preserve"> 2085万</t>
  </si>
  <si>
    <t xml:space="preserve"> 9.010亿</t>
  </si>
  <si>
    <t xml:space="preserve"> 五新隧装</t>
  </si>
  <si>
    <t xml:space="preserve"> 9001万</t>
  </si>
  <si>
    <t xml:space="preserve"> 4987万</t>
  </si>
  <si>
    <t xml:space="preserve"> 8.248亿</t>
  </si>
  <si>
    <t xml:space="preserve"> 美埃科技</t>
  </si>
  <si>
    <t xml:space="preserve"> 3467万</t>
  </si>
  <si>
    <t xml:space="preserve"> 1.344亿</t>
  </si>
  <si>
    <t xml:space="preserve"> 50.41亿</t>
  </si>
  <si>
    <t xml:space="preserve"> 4974万</t>
  </si>
  <si>
    <t xml:space="preserve"> 18.66亿</t>
  </si>
  <si>
    <t xml:space="preserve"> 观想科技</t>
  </si>
  <si>
    <t xml:space="preserve"> 4663万</t>
  </si>
  <si>
    <t xml:space="preserve"> 宁波联合</t>
  </si>
  <si>
    <t xml:space="preserve"> 3454万</t>
  </si>
  <si>
    <t xml:space="preserve"> 博闻科技</t>
  </si>
  <si>
    <t xml:space="preserve"> 3449万</t>
  </si>
  <si>
    <t xml:space="preserve"> 855万</t>
  </si>
  <si>
    <t xml:space="preserve"> 2.361亿</t>
  </si>
  <si>
    <t xml:space="preserve"> 20.35亿</t>
  </si>
  <si>
    <t xml:space="preserve"> 科新机电</t>
  </si>
  <si>
    <t xml:space="preserve"> 3446万</t>
  </si>
  <si>
    <t xml:space="preserve"> 2.739亿</t>
  </si>
  <si>
    <t xml:space="preserve"> 2.099亿</t>
  </si>
  <si>
    <t xml:space="preserve"> 节能铁汉</t>
  </si>
  <si>
    <t xml:space="preserve"> 3443万</t>
  </si>
  <si>
    <t xml:space="preserve"> 29.65亿</t>
  </si>
  <si>
    <t xml:space="preserve"> 68.50亿</t>
  </si>
  <si>
    <t xml:space="preserve"> 锦和商管</t>
  </si>
  <si>
    <t xml:space="preserve"> 7.68亿</t>
  </si>
  <si>
    <t xml:space="preserve"> 道恩股份</t>
  </si>
  <si>
    <t xml:space="preserve"> 3437万</t>
  </si>
  <si>
    <t xml:space="preserve"> 4.480亿</t>
  </si>
  <si>
    <t xml:space="preserve"> 59.04亿</t>
  </si>
  <si>
    <t xml:space="preserve"> 3.877亿</t>
  </si>
  <si>
    <t xml:space="preserve"> 新兴装备</t>
  </si>
  <si>
    <t xml:space="preserve"> 3435万</t>
  </si>
  <si>
    <t xml:space="preserve"> 1.173亿</t>
  </si>
  <si>
    <t xml:space="preserve"> 33.49亿</t>
  </si>
  <si>
    <t xml:space="preserve"> 江山欧派</t>
  </si>
  <si>
    <t xml:space="preserve"> 3431万</t>
  </si>
  <si>
    <t xml:space="preserve"> 1.772亿</t>
  </si>
  <si>
    <t xml:space="preserve"> 双环科技</t>
  </si>
  <si>
    <t xml:space="preserve"> 28.5亿</t>
  </si>
  <si>
    <t xml:space="preserve"> 4.641亿</t>
  </si>
  <si>
    <t xml:space="preserve"> 37.09亿</t>
  </si>
  <si>
    <t xml:space="preserve"> 尚太科技</t>
  </si>
  <si>
    <t xml:space="preserve"> 3428万</t>
  </si>
  <si>
    <t xml:space="preserve"> 6494万</t>
  </si>
  <si>
    <t xml:space="preserve"> 鸿泉物联</t>
  </si>
  <si>
    <t xml:space="preserve"> 3426万</t>
  </si>
  <si>
    <t xml:space="preserve"> 1.003亿</t>
  </si>
  <si>
    <t xml:space="preserve"> 安达科技</t>
  </si>
  <si>
    <t xml:space="preserve"> 42.7亿</t>
  </si>
  <si>
    <t xml:space="preserve"> 6.115亿</t>
  </si>
  <si>
    <t xml:space="preserve"> 3.316亿</t>
  </si>
  <si>
    <t xml:space="preserve"> 17.08亿</t>
  </si>
  <si>
    <t xml:space="preserve"> 安徽凤凰</t>
  </si>
  <si>
    <t xml:space="preserve"> 3423万</t>
  </si>
  <si>
    <t xml:space="preserve"> 7.472亿</t>
  </si>
  <si>
    <t xml:space="preserve"> 3281万</t>
  </si>
  <si>
    <t xml:space="preserve"> 宁波精达</t>
  </si>
  <si>
    <t xml:space="preserve"> 3418万</t>
  </si>
  <si>
    <t xml:space="preserve"> 4.379亿</t>
  </si>
  <si>
    <t xml:space="preserve"> 4.333亿</t>
  </si>
  <si>
    <t xml:space="preserve"> 36.31亿</t>
  </si>
  <si>
    <t xml:space="preserve"> 苏能股份</t>
  </si>
  <si>
    <t xml:space="preserve"> 3417万</t>
  </si>
  <si>
    <t xml:space="preserve"> 389.2亿</t>
  </si>
  <si>
    <t xml:space="preserve"> 6.889亿</t>
  </si>
  <si>
    <t xml:space="preserve"> 38.92亿</t>
  </si>
  <si>
    <t xml:space="preserve"> 建科机械</t>
  </si>
  <si>
    <t xml:space="preserve"> 3416万</t>
  </si>
  <si>
    <t xml:space="preserve"> 20.23亿</t>
  </si>
  <si>
    <t xml:space="preserve"> 哈焊华通</t>
  </si>
  <si>
    <t xml:space="preserve"> 3410万</t>
  </si>
  <si>
    <t xml:space="preserve"> 1.818亿</t>
  </si>
  <si>
    <t xml:space="preserve"> 福建水泥</t>
  </si>
  <si>
    <t xml:space="preserve"> 3409万</t>
  </si>
  <si>
    <t xml:space="preserve"> 4.582亿</t>
  </si>
  <si>
    <t xml:space="preserve"> 敏芯股份</t>
  </si>
  <si>
    <t xml:space="preserve"> 3408万</t>
  </si>
  <si>
    <t xml:space="preserve"> 凯尔达</t>
  </si>
  <si>
    <t xml:space="preserve"> 汉商集团</t>
  </si>
  <si>
    <t xml:space="preserve"> 3407万</t>
  </si>
  <si>
    <t xml:space="preserve"> 2.950亿</t>
  </si>
  <si>
    <t xml:space="preserve"> 30.54亿</t>
  </si>
  <si>
    <t xml:space="preserve"> 江苏阳光</t>
  </si>
  <si>
    <t xml:space="preserve"> 3404万</t>
  </si>
  <si>
    <t xml:space="preserve"> 林海股份</t>
  </si>
  <si>
    <t xml:space="preserve"> 3403万</t>
  </si>
  <si>
    <t xml:space="preserve"> 22.37亿</t>
  </si>
  <si>
    <t xml:space="preserve"> 常铝股份</t>
  </si>
  <si>
    <t xml:space="preserve"> 3401万</t>
  </si>
  <si>
    <t xml:space="preserve"> 7.935亿</t>
  </si>
  <si>
    <t xml:space="preserve"> 阳普医疗</t>
  </si>
  <si>
    <t xml:space="preserve"> 3395万</t>
  </si>
  <si>
    <t xml:space="preserve"> 3.092亿</t>
  </si>
  <si>
    <t xml:space="preserve"> 2.706亿</t>
  </si>
  <si>
    <t xml:space="preserve"> 粤海饲料</t>
  </si>
  <si>
    <t xml:space="preserve"> 3393万</t>
  </si>
  <si>
    <t xml:space="preserve"> 53.2亿</t>
  </si>
  <si>
    <t xml:space="preserve"> 7.000亿</t>
  </si>
  <si>
    <t xml:space="preserve"> 65.38亿</t>
  </si>
  <si>
    <t xml:space="preserve"> 新北洋</t>
  </si>
  <si>
    <t xml:space="preserve"> 3391万</t>
  </si>
  <si>
    <t xml:space="preserve"> 6.485亿</t>
  </si>
  <si>
    <t xml:space="preserve"> 51.29亿</t>
  </si>
  <si>
    <t xml:space="preserve"> 49.47亿</t>
  </si>
  <si>
    <t xml:space="preserve"> 东贝集团</t>
  </si>
  <si>
    <t xml:space="preserve"> 3390万</t>
  </si>
  <si>
    <t xml:space="preserve"> 3.224亿</t>
  </si>
  <si>
    <t xml:space="preserve"> 比依股份</t>
  </si>
  <si>
    <t xml:space="preserve"> 3383万</t>
  </si>
  <si>
    <t xml:space="preserve"> 1.887亿</t>
  </si>
  <si>
    <t xml:space="preserve"> 32.41亿</t>
  </si>
  <si>
    <t xml:space="preserve"> 7046万</t>
  </si>
  <si>
    <t xml:space="preserve"> 威派格</t>
  </si>
  <si>
    <t xml:space="preserve"> 3382万</t>
  </si>
  <si>
    <t xml:space="preserve"> 5.084亿</t>
  </si>
  <si>
    <t xml:space="preserve"> 太平鸟</t>
  </si>
  <si>
    <t xml:space="preserve"> 3381万</t>
  </si>
  <si>
    <t xml:space="preserve"> 4.738亿</t>
  </si>
  <si>
    <t xml:space="preserve"> 75.25亿</t>
  </si>
  <si>
    <t xml:space="preserve"> 4.727亿</t>
  </si>
  <si>
    <t xml:space="preserve"> 75.06亿</t>
  </si>
  <si>
    <t xml:space="preserve"> 辰安科技</t>
  </si>
  <si>
    <t xml:space="preserve"> 3378万</t>
  </si>
  <si>
    <t xml:space="preserve"> 2.326亿</t>
  </si>
  <si>
    <t xml:space="preserve"> 江西长运</t>
  </si>
  <si>
    <t xml:space="preserve"> 3377万</t>
  </si>
  <si>
    <t xml:space="preserve"> 智能自控</t>
  </si>
  <si>
    <t xml:space="preserve"> 3376万</t>
  </si>
  <si>
    <t xml:space="preserve"> 2.085亿</t>
  </si>
  <si>
    <t xml:space="preserve"> 嘉必优</t>
  </si>
  <si>
    <t xml:space="preserve"> 1.683亿</t>
  </si>
  <si>
    <t xml:space="preserve"> 32.38亿</t>
  </si>
  <si>
    <t xml:space="preserve"> 航天软件</t>
  </si>
  <si>
    <t xml:space="preserve"> 3370万</t>
  </si>
  <si>
    <t xml:space="preserve"> 16.72亿</t>
  </si>
  <si>
    <t xml:space="preserve"> 智光电气</t>
  </si>
  <si>
    <t xml:space="preserve"> 3369万</t>
  </si>
  <si>
    <t xml:space="preserve"> 7.878亿</t>
  </si>
  <si>
    <t xml:space="preserve"> 55.93亿</t>
  </si>
  <si>
    <t xml:space="preserve"> 7.638亿</t>
  </si>
  <si>
    <t xml:space="preserve"> 54.23亿</t>
  </si>
  <si>
    <t xml:space="preserve"> 佳士科技</t>
  </si>
  <si>
    <t xml:space="preserve"> 8.56亿</t>
  </si>
  <si>
    <t xml:space="preserve"> 39.41亿</t>
  </si>
  <si>
    <t xml:space="preserve"> 4.367亿</t>
  </si>
  <si>
    <t xml:space="preserve"> 长虹能源</t>
  </si>
  <si>
    <t xml:space="preserve"> 3367万</t>
  </si>
  <si>
    <t xml:space="preserve"> 6.612亿</t>
  </si>
  <si>
    <t xml:space="preserve"> 新坐标</t>
  </si>
  <si>
    <t xml:space="preserve"> 1.351亿</t>
  </si>
  <si>
    <t xml:space="preserve"> 亚泰集团</t>
  </si>
  <si>
    <t xml:space="preserve"> 32.49亿</t>
  </si>
  <si>
    <t xml:space="preserve"> 69.85亿</t>
  </si>
  <si>
    <t xml:space="preserve"> 华塑控股</t>
  </si>
  <si>
    <t xml:space="preserve"> 3363万</t>
  </si>
  <si>
    <t xml:space="preserve"> 东南网架</t>
  </si>
  <si>
    <t xml:space="preserve"> 98.2亿</t>
  </si>
  <si>
    <t xml:space="preserve"> 66.33亿</t>
  </si>
  <si>
    <t xml:space="preserve"> 62.20亿</t>
  </si>
  <si>
    <t xml:space="preserve"> 宝莱特</t>
  </si>
  <si>
    <t xml:space="preserve"> 3362万</t>
  </si>
  <si>
    <t xml:space="preserve"> 9.52亿</t>
  </si>
  <si>
    <t xml:space="preserve"> 24.07亿</t>
  </si>
  <si>
    <t xml:space="preserve"> 博迁新材</t>
  </si>
  <si>
    <t xml:space="preserve"> 3360万</t>
  </si>
  <si>
    <t xml:space="preserve"> 76.18亿</t>
  </si>
  <si>
    <t xml:space="preserve"> 50.97亿</t>
  </si>
  <si>
    <t xml:space="preserve"> 倍轻松</t>
  </si>
  <si>
    <t xml:space="preserve"> 3358万</t>
  </si>
  <si>
    <t xml:space="preserve"> 9.42亿</t>
  </si>
  <si>
    <t xml:space="preserve"> 8595万</t>
  </si>
  <si>
    <t xml:space="preserve"> 3314万</t>
  </si>
  <si>
    <t xml:space="preserve"> 中基健康</t>
  </si>
  <si>
    <t xml:space="preserve"> 3357万</t>
  </si>
  <si>
    <t xml:space="preserve"> 7.713亿</t>
  </si>
  <si>
    <t xml:space="preserve"> 29.00亿</t>
  </si>
  <si>
    <t xml:space="preserve"> 中科云网</t>
  </si>
  <si>
    <t xml:space="preserve"> 3355万</t>
  </si>
  <si>
    <t xml:space="preserve"> 8.133亿</t>
  </si>
  <si>
    <t xml:space="preserve"> *ST左江</t>
  </si>
  <si>
    <t xml:space="preserve"> 3351万</t>
  </si>
  <si>
    <t xml:space="preserve"> 3372万</t>
  </si>
  <si>
    <t xml:space="preserve"> 228.4亿</t>
  </si>
  <si>
    <t xml:space="preserve"> 宁水集团</t>
  </si>
  <si>
    <t xml:space="preserve"> 北方铜业</t>
  </si>
  <si>
    <t xml:space="preserve"> 3350万</t>
  </si>
  <si>
    <t xml:space="preserve"> 69.8亿</t>
  </si>
  <si>
    <t xml:space="preserve"> 7.263亿</t>
  </si>
  <si>
    <t xml:space="preserve"> 山东路桥</t>
  </si>
  <si>
    <t xml:space="preserve"> 3349万</t>
  </si>
  <si>
    <t xml:space="preserve"> 89.76亿</t>
  </si>
  <si>
    <t xml:space="preserve"> 红星发展</t>
  </si>
  <si>
    <t xml:space="preserve"> 3348万</t>
  </si>
  <si>
    <t xml:space="preserve"> 43.97亿</t>
  </si>
  <si>
    <t xml:space="preserve"> 37.80亿</t>
  </si>
  <si>
    <t xml:space="preserve"> 光电股份</t>
  </si>
  <si>
    <t xml:space="preserve"> 3346万</t>
  </si>
  <si>
    <t xml:space="preserve"> 同益中</t>
  </si>
  <si>
    <t xml:space="preserve"> 3345万</t>
  </si>
  <si>
    <t xml:space="preserve"> 2.247亿</t>
  </si>
  <si>
    <t xml:space="preserve"> 1.279亿</t>
  </si>
  <si>
    <t xml:space="preserve"> 17.90亿</t>
  </si>
  <si>
    <t xml:space="preserve"> 凯利泰</t>
  </si>
  <si>
    <t xml:space="preserve"> 3341万</t>
  </si>
  <si>
    <t xml:space="preserve"> 7.166亿</t>
  </si>
  <si>
    <t xml:space="preserve"> 中天服务</t>
  </si>
  <si>
    <t xml:space="preserve"> 2.925亿</t>
  </si>
  <si>
    <t xml:space="preserve"> 乐惠国际</t>
  </si>
  <si>
    <t xml:space="preserve"> 34.22亿</t>
  </si>
  <si>
    <t xml:space="preserve"> 华升股份</t>
  </si>
  <si>
    <t xml:space="preserve"> 3331万</t>
  </si>
  <si>
    <t xml:space="preserve"> 山河药辅</t>
  </si>
  <si>
    <t xml:space="preserve"> 3328万</t>
  </si>
  <si>
    <t xml:space="preserve"> 山外山</t>
  </si>
  <si>
    <t xml:space="preserve"> 3324万</t>
  </si>
  <si>
    <t xml:space="preserve"> 2.156亿</t>
  </si>
  <si>
    <t xml:space="preserve"> 60.81亿</t>
  </si>
  <si>
    <t xml:space="preserve"> 锋尚文化</t>
  </si>
  <si>
    <t xml:space="preserve"> 3319万</t>
  </si>
  <si>
    <t xml:space="preserve"> 70.31亿</t>
  </si>
  <si>
    <t xml:space="preserve"> 伟隆股份</t>
  </si>
  <si>
    <t xml:space="preserve"> 3317万</t>
  </si>
  <si>
    <t xml:space="preserve"> 1.197亿</t>
  </si>
  <si>
    <t xml:space="preserve"> 嘉美包装</t>
  </si>
  <si>
    <t xml:space="preserve"> 9.591亿</t>
  </si>
  <si>
    <t xml:space="preserve"> 40.09亿</t>
  </si>
  <si>
    <t xml:space="preserve"> 中胤时尚</t>
  </si>
  <si>
    <t xml:space="preserve"> 3315万</t>
  </si>
  <si>
    <t xml:space="preserve"> 恒兴新材</t>
  </si>
  <si>
    <t xml:space="preserve"> 3801万</t>
  </si>
  <si>
    <t xml:space="preserve"> 8.827亿</t>
  </si>
  <si>
    <t xml:space="preserve"> 有研硅</t>
  </si>
  <si>
    <t xml:space="preserve"> 23.38亿</t>
  </si>
  <si>
    <t xml:space="preserve"> 海普瑞</t>
  </si>
  <si>
    <t xml:space="preserve"> 3311万</t>
  </si>
  <si>
    <t xml:space="preserve"> 12.47亿</t>
  </si>
  <si>
    <t xml:space="preserve"> 明微电子</t>
  </si>
  <si>
    <t xml:space="preserve"> 3310万</t>
  </si>
  <si>
    <t xml:space="preserve"> 1.101亿</t>
  </si>
  <si>
    <t xml:space="preserve"> 5239万</t>
  </si>
  <si>
    <t xml:space="preserve"> 22.21亿</t>
  </si>
  <si>
    <t xml:space="preserve"> 章源钨业</t>
  </si>
  <si>
    <t xml:space="preserve"> 3307万</t>
  </si>
  <si>
    <t xml:space="preserve"> 12.01亿</t>
  </si>
  <si>
    <t xml:space="preserve"> 运达科技</t>
  </si>
  <si>
    <t xml:space="preserve"> 3304万</t>
  </si>
  <si>
    <t xml:space="preserve"> 4.447亿</t>
  </si>
  <si>
    <t xml:space="preserve"> 33.66亿</t>
  </si>
  <si>
    <t xml:space="preserve"> 4.433亿</t>
  </si>
  <si>
    <t xml:space="preserve"> 亚邦股份</t>
  </si>
  <si>
    <t xml:space="preserve"> 3303万</t>
  </si>
  <si>
    <t xml:space="preserve"> 6.65亿</t>
  </si>
  <si>
    <t xml:space="preserve"> 5.702亿</t>
  </si>
  <si>
    <t xml:space="preserve"> 浪莎股份</t>
  </si>
  <si>
    <t xml:space="preserve"> 3302万</t>
  </si>
  <si>
    <t xml:space="preserve"> 18.90亿</t>
  </si>
  <si>
    <t xml:space="preserve"> 杭州园林</t>
  </si>
  <si>
    <t xml:space="preserve"> 信音电子</t>
  </si>
  <si>
    <t xml:space="preserve"> 3298万</t>
  </si>
  <si>
    <t xml:space="preserve"> 4078万</t>
  </si>
  <si>
    <t xml:space="preserve"> 8.984亿</t>
  </si>
  <si>
    <t xml:space="preserve"> 芯朋微</t>
  </si>
  <si>
    <t xml:space="preserve"> 3296万</t>
  </si>
  <si>
    <t xml:space="preserve"> 1.312亿</t>
  </si>
  <si>
    <t xml:space="preserve"> 72.08亿</t>
  </si>
  <si>
    <t xml:space="preserve"> 盈建科</t>
  </si>
  <si>
    <t xml:space="preserve"> 3294万</t>
  </si>
  <si>
    <t xml:space="preserve"> 7943万</t>
  </si>
  <si>
    <t xml:space="preserve"> 23.88亿</t>
  </si>
  <si>
    <t xml:space="preserve"> 3987万</t>
  </si>
  <si>
    <t xml:space="preserve"> 嘉事堂</t>
  </si>
  <si>
    <t xml:space="preserve"> 3293万</t>
  </si>
  <si>
    <t xml:space="preserve"> 2.917亿</t>
  </si>
  <si>
    <t xml:space="preserve"> 43.49亿</t>
  </si>
  <si>
    <t xml:space="preserve"> 2.915亿</t>
  </si>
  <si>
    <t xml:space="preserve"> 43.46亿</t>
  </si>
  <si>
    <t xml:space="preserve"> 海洋王</t>
  </si>
  <si>
    <t xml:space="preserve"> 3292万</t>
  </si>
  <si>
    <t xml:space="preserve"> 7.715亿</t>
  </si>
  <si>
    <t xml:space="preserve"> 63.19亿</t>
  </si>
  <si>
    <t xml:space="preserve"> 5.710亿</t>
  </si>
  <si>
    <t xml:space="preserve"> 八一钢铁</t>
  </si>
  <si>
    <t xml:space="preserve"> 15.33亿</t>
  </si>
  <si>
    <t xml:space="preserve"> 60.55亿</t>
  </si>
  <si>
    <t xml:space="preserve"> 名雕股份</t>
  </si>
  <si>
    <t xml:space="preserve"> 9.994亿</t>
  </si>
  <si>
    <t xml:space="preserve"> 福元医药</t>
  </si>
  <si>
    <t xml:space="preserve"> 3288万</t>
  </si>
  <si>
    <t xml:space="preserve"> 87.12亿</t>
  </si>
  <si>
    <t xml:space="preserve"> 2.053亿</t>
  </si>
  <si>
    <t xml:space="preserve"> 37.27亿</t>
  </si>
  <si>
    <t xml:space="preserve"> 盛邦安全</t>
  </si>
  <si>
    <t xml:space="preserve"> 3286万</t>
  </si>
  <si>
    <t xml:space="preserve"> 7540万</t>
  </si>
  <si>
    <t xml:space="preserve"> 1578万</t>
  </si>
  <si>
    <t xml:space="preserve"> 奥泰生物</t>
  </si>
  <si>
    <t xml:space="preserve"> 7928万</t>
  </si>
  <si>
    <t xml:space="preserve"> 3746万</t>
  </si>
  <si>
    <t xml:space="preserve"> 三房巷</t>
  </si>
  <si>
    <t xml:space="preserve"> 3285万</t>
  </si>
  <si>
    <t xml:space="preserve"> 99.36亿</t>
  </si>
  <si>
    <t xml:space="preserve"> 元祖股份</t>
  </si>
  <si>
    <t xml:space="preserve"> 3284万</t>
  </si>
  <si>
    <t xml:space="preserve"> 诺邦股份</t>
  </si>
  <si>
    <t xml:space="preserve"> 和顺电气</t>
  </si>
  <si>
    <t xml:space="preserve"> 2.539亿</t>
  </si>
  <si>
    <t xml:space="preserve"> 1.905亿</t>
  </si>
  <si>
    <t xml:space="preserve"> 金马游乐</t>
  </si>
  <si>
    <t xml:space="preserve"> 3272万</t>
  </si>
  <si>
    <t xml:space="preserve"> 9922万</t>
  </si>
  <si>
    <t xml:space="preserve"> 万邦德</t>
  </si>
  <si>
    <t xml:space="preserve"> 3267万</t>
  </si>
  <si>
    <t xml:space="preserve"> 6.167亿</t>
  </si>
  <si>
    <t xml:space="preserve"> 42.43亿</t>
  </si>
  <si>
    <t xml:space="preserve"> 爱婴室</t>
  </si>
  <si>
    <t xml:space="preserve"> 3265万</t>
  </si>
  <si>
    <t xml:space="preserve"> 1.405亿</t>
  </si>
  <si>
    <t xml:space="preserve"> 24.01亿</t>
  </si>
  <si>
    <t xml:space="preserve"> 安科瑞</t>
  </si>
  <si>
    <t xml:space="preserve"> 2.147亿</t>
  </si>
  <si>
    <t xml:space="preserve"> 47.64亿</t>
  </si>
  <si>
    <t xml:space="preserve"> 祥龙电业</t>
  </si>
  <si>
    <t xml:space="preserve"> 5148万</t>
  </si>
  <si>
    <t xml:space="preserve"> 世纪瑞尔</t>
  </si>
  <si>
    <t xml:space="preserve"> 3262万</t>
  </si>
  <si>
    <t xml:space="preserve"> 29.08亿</t>
  </si>
  <si>
    <t xml:space="preserve"> 5.147亿</t>
  </si>
  <si>
    <t xml:space="preserve"> 森源电气</t>
  </si>
  <si>
    <t xml:space="preserve"> 3261万</t>
  </si>
  <si>
    <t xml:space="preserve"> 9.298亿</t>
  </si>
  <si>
    <t xml:space="preserve"> 41.25亿</t>
  </si>
  <si>
    <t xml:space="preserve"> 江苏华辰</t>
  </si>
  <si>
    <t xml:space="preserve"> 3258万</t>
  </si>
  <si>
    <t xml:space="preserve"> 8.560亿</t>
  </si>
  <si>
    <t xml:space="preserve"> 欧亚集团</t>
  </si>
  <si>
    <t xml:space="preserve"> 3253万</t>
  </si>
  <si>
    <t xml:space="preserve"> 54.7亿</t>
  </si>
  <si>
    <t xml:space="preserve"> 1.591亿</t>
  </si>
  <si>
    <t xml:space="preserve"> 20.39亿</t>
  </si>
  <si>
    <t xml:space="preserve"> 尚荣医疗</t>
  </si>
  <si>
    <t xml:space="preserve"> 3251万</t>
  </si>
  <si>
    <t xml:space="preserve"> 9.19亿</t>
  </si>
  <si>
    <t xml:space="preserve"> 8.448亿</t>
  </si>
  <si>
    <t xml:space="preserve"> 6.104亿</t>
  </si>
  <si>
    <t xml:space="preserve"> 龙软科技</t>
  </si>
  <si>
    <t xml:space="preserve"> 3247万</t>
  </si>
  <si>
    <t xml:space="preserve"> 安居宝</t>
  </si>
  <si>
    <t xml:space="preserve"> 5.612亿</t>
  </si>
  <si>
    <t xml:space="preserve"> 3.303亿</t>
  </si>
  <si>
    <t xml:space="preserve"> 19.39亿</t>
  </si>
  <si>
    <t xml:space="preserve"> 翔丰华</t>
  </si>
  <si>
    <t xml:space="preserve"> 3246万</t>
  </si>
  <si>
    <t xml:space="preserve"> 36.73亿</t>
  </si>
  <si>
    <t xml:space="preserve"> 天德钰</t>
  </si>
  <si>
    <t xml:space="preserve"> 3243万</t>
  </si>
  <si>
    <t xml:space="preserve"> 8.26亿</t>
  </si>
  <si>
    <t xml:space="preserve"> 4.090亿</t>
  </si>
  <si>
    <t xml:space="preserve"> 84.09亿</t>
  </si>
  <si>
    <t xml:space="preserve"> 37.11亿</t>
  </si>
  <si>
    <t xml:space="preserve"> 鹭燕医药</t>
  </si>
  <si>
    <t xml:space="preserve"> 3241万</t>
  </si>
  <si>
    <t xml:space="preserve"> 3.885亿</t>
  </si>
  <si>
    <t xml:space="preserve"> 3.805亿</t>
  </si>
  <si>
    <t xml:space="preserve"> 36.26亿</t>
  </si>
  <si>
    <t xml:space="preserve"> 天禄科技</t>
  </si>
  <si>
    <t xml:space="preserve"> 3240万</t>
  </si>
  <si>
    <t xml:space="preserve"> 5532万</t>
  </si>
  <si>
    <t xml:space="preserve"> 上峰水泥</t>
  </si>
  <si>
    <t xml:space="preserve"> 3239万</t>
  </si>
  <si>
    <t xml:space="preserve"> 9.694亿</t>
  </si>
  <si>
    <t xml:space="preserve"> 81.04亿</t>
  </si>
  <si>
    <t xml:space="preserve"> 聚力文化</t>
  </si>
  <si>
    <t xml:space="preserve"> 3238万</t>
  </si>
  <si>
    <t xml:space="preserve"> 辉隆股份</t>
  </si>
  <si>
    <t xml:space="preserve"> 3237万</t>
  </si>
  <si>
    <t xml:space="preserve"> 9.540亿</t>
  </si>
  <si>
    <t xml:space="preserve"> 58.38亿</t>
  </si>
  <si>
    <t xml:space="preserve"> 9.429亿</t>
  </si>
  <si>
    <t xml:space="preserve"> 渤海股份</t>
  </si>
  <si>
    <t xml:space="preserve"> 中原环保</t>
  </si>
  <si>
    <t xml:space="preserve"> 3233万</t>
  </si>
  <si>
    <t xml:space="preserve"> 52.6亿</t>
  </si>
  <si>
    <t xml:space="preserve"> 9.747亿</t>
  </si>
  <si>
    <t xml:space="preserve"> 69.98亿</t>
  </si>
  <si>
    <t xml:space="preserve"> 永新股份</t>
  </si>
  <si>
    <t xml:space="preserve"> 6.038亿</t>
  </si>
  <si>
    <t xml:space="preserve"> 三联虹普</t>
  </si>
  <si>
    <t xml:space="preserve"> 3230万</t>
  </si>
  <si>
    <t xml:space="preserve"> 9.24亿</t>
  </si>
  <si>
    <t xml:space="preserve"> 36.55亿</t>
  </si>
  <si>
    <t xml:space="preserve"> 先河环保</t>
  </si>
  <si>
    <t xml:space="preserve"> 3229万</t>
  </si>
  <si>
    <t xml:space="preserve"> 5.366亿</t>
  </si>
  <si>
    <t xml:space="preserve"> 32.46亿</t>
  </si>
  <si>
    <t xml:space="preserve"> 28.86亿</t>
  </si>
  <si>
    <t xml:space="preserve"> 苑东生物</t>
  </si>
  <si>
    <t xml:space="preserve"> 华鼎股份</t>
  </si>
  <si>
    <t xml:space="preserve"> 3227万</t>
  </si>
  <si>
    <t xml:space="preserve"> 39.53亿</t>
  </si>
  <si>
    <t xml:space="preserve"> 山河智能</t>
  </si>
  <si>
    <t xml:space="preserve"> 3226万</t>
  </si>
  <si>
    <t xml:space="preserve"> 67.52亿</t>
  </si>
  <si>
    <t xml:space="preserve"> 10.85亿</t>
  </si>
  <si>
    <t xml:space="preserve"> 67.39亿</t>
  </si>
  <si>
    <t xml:space="preserve"> 大连重工</t>
  </si>
  <si>
    <t xml:space="preserve"> 3225万</t>
  </si>
  <si>
    <t xml:space="preserve"> 92.3亿</t>
  </si>
  <si>
    <t xml:space="preserve"> 19.31亿</t>
  </si>
  <si>
    <t xml:space="preserve"> 89.23亿</t>
  </si>
  <si>
    <t xml:space="preserve"> 飞鹿股份</t>
  </si>
  <si>
    <t xml:space="preserve"> 3220万</t>
  </si>
  <si>
    <t xml:space="preserve"> 1.895亿</t>
  </si>
  <si>
    <t xml:space="preserve"> 1.493亿</t>
  </si>
  <si>
    <t xml:space="preserve"> 锐奇股份</t>
  </si>
  <si>
    <t xml:space="preserve"> 3219万</t>
  </si>
  <si>
    <t xml:space="preserve"> 3.040亿</t>
  </si>
  <si>
    <t xml:space="preserve"> 21.85亿</t>
  </si>
  <si>
    <t xml:space="preserve"> 15.13亿</t>
  </si>
  <si>
    <t xml:space="preserve"> 五洲医疗</t>
  </si>
  <si>
    <t xml:space="preserve"> 24.35亿</t>
  </si>
  <si>
    <t xml:space="preserve"> 1843万</t>
  </si>
  <si>
    <t xml:space="preserve"> 6.599亿</t>
  </si>
  <si>
    <t xml:space="preserve"> 国际实业</t>
  </si>
  <si>
    <t xml:space="preserve"> 3217万</t>
  </si>
  <si>
    <t xml:space="preserve"> 4.807亿</t>
  </si>
  <si>
    <t xml:space="preserve"> 南矿集团</t>
  </si>
  <si>
    <t xml:space="preserve"> 35.25亿</t>
  </si>
  <si>
    <t xml:space="preserve"> 5100万</t>
  </si>
  <si>
    <t xml:space="preserve"> 8.813亿</t>
  </si>
  <si>
    <t xml:space="preserve"> 迈普医学</t>
  </si>
  <si>
    <t xml:space="preserve"> 3215万</t>
  </si>
  <si>
    <t xml:space="preserve"> 3755万</t>
  </si>
  <si>
    <t xml:space="preserve"> 深高速</t>
  </si>
  <si>
    <t xml:space="preserve"> 3214万</t>
  </si>
  <si>
    <t xml:space="preserve"> 盟科药业-U</t>
  </si>
  <si>
    <t xml:space="preserve"> 3213万</t>
  </si>
  <si>
    <t xml:space="preserve"> 6827万</t>
  </si>
  <si>
    <t xml:space="preserve"> 6.552亿</t>
  </si>
  <si>
    <t xml:space="preserve"> 3.454亿</t>
  </si>
  <si>
    <t xml:space="preserve"> 西部建设</t>
  </si>
  <si>
    <t xml:space="preserve"> 3204万</t>
  </si>
  <si>
    <t xml:space="preserve"> 12.62亿</t>
  </si>
  <si>
    <t xml:space="preserve"> 利安隆</t>
  </si>
  <si>
    <t xml:space="preserve"> 3197万</t>
  </si>
  <si>
    <t xml:space="preserve"> 2.144亿</t>
  </si>
  <si>
    <t xml:space="preserve"> 64.41亿</t>
  </si>
  <si>
    <t xml:space="preserve"> 深华发Ａ</t>
  </si>
  <si>
    <t xml:space="preserve"> 3195万</t>
  </si>
  <si>
    <t xml:space="preserve"> 1.812亿</t>
  </si>
  <si>
    <t xml:space="preserve"> 22.95亿</t>
  </si>
  <si>
    <t xml:space="preserve"> 爱普股份</t>
  </si>
  <si>
    <t xml:space="preserve"> 33.57亿</t>
  </si>
  <si>
    <t xml:space="preserve"> 物产金轮</t>
  </si>
  <si>
    <t xml:space="preserve"> 3194万</t>
  </si>
  <si>
    <t xml:space="preserve"> 2.066亿</t>
  </si>
  <si>
    <t xml:space="preserve"> 嘉曼服饰</t>
  </si>
  <si>
    <t xml:space="preserve"> 3193万</t>
  </si>
  <si>
    <t xml:space="preserve"> 确成股份</t>
  </si>
  <si>
    <t xml:space="preserve"> 3190万</t>
  </si>
  <si>
    <t xml:space="preserve"> 60.77亿</t>
  </si>
  <si>
    <t xml:space="preserve"> 1.368亿</t>
  </si>
  <si>
    <t xml:space="preserve"> 瑞普生物</t>
  </si>
  <si>
    <t xml:space="preserve"> 3183万</t>
  </si>
  <si>
    <t xml:space="preserve"> 4.663亿</t>
  </si>
  <si>
    <t xml:space="preserve"> 80.62亿</t>
  </si>
  <si>
    <t xml:space="preserve"> 3.343亿</t>
  </si>
  <si>
    <t xml:space="preserve"> 57.80亿</t>
  </si>
  <si>
    <t xml:space="preserve"> 杭州高新</t>
  </si>
  <si>
    <t xml:space="preserve"> 15.48亿</t>
  </si>
  <si>
    <t xml:space="preserve"> 花园生物</t>
  </si>
  <si>
    <t xml:space="preserve"> 5.510亿</t>
  </si>
  <si>
    <t xml:space="preserve"> *ST东洋</t>
  </si>
  <si>
    <t xml:space="preserve"> 3178万</t>
  </si>
  <si>
    <t xml:space="preserve"> 7.564亿</t>
  </si>
  <si>
    <t xml:space="preserve"> 6.324亿</t>
  </si>
  <si>
    <t xml:space="preserve"> 东晶电子</t>
  </si>
  <si>
    <t xml:space="preserve"> 3172万</t>
  </si>
  <si>
    <t xml:space="preserve"> 2.434亿</t>
  </si>
  <si>
    <t xml:space="preserve"> 长盈通</t>
  </si>
  <si>
    <t xml:space="preserve"> 3166万</t>
  </si>
  <si>
    <t xml:space="preserve"> 2640万</t>
  </si>
  <si>
    <t xml:space="preserve"> 9.761亿</t>
  </si>
  <si>
    <t xml:space="preserve"> 则成电子</t>
  </si>
  <si>
    <t xml:space="preserve"> 3160万</t>
  </si>
  <si>
    <t xml:space="preserve"> 7059万</t>
  </si>
  <si>
    <t xml:space="preserve"> 8.097亿</t>
  </si>
  <si>
    <t xml:space="preserve"> 1826万</t>
  </si>
  <si>
    <t xml:space="preserve"> 海能实业</t>
  </si>
  <si>
    <t xml:space="preserve"> 3156万</t>
  </si>
  <si>
    <t xml:space="preserve"> 1.444亿</t>
  </si>
  <si>
    <t xml:space="preserve"> 25.25亿</t>
  </si>
  <si>
    <t xml:space="preserve"> 华纺股份</t>
  </si>
  <si>
    <t xml:space="preserve"> 3154万</t>
  </si>
  <si>
    <t xml:space="preserve"> 6.298亿</t>
  </si>
  <si>
    <t xml:space="preserve"> 20.72亿</t>
  </si>
  <si>
    <t xml:space="preserve"> 中化岩土</t>
  </si>
  <si>
    <t xml:space="preserve"> 3152万</t>
  </si>
  <si>
    <t xml:space="preserve"> 15.90亿</t>
  </si>
  <si>
    <t xml:space="preserve"> 41.67亿</t>
  </si>
  <si>
    <t xml:space="preserve"> 罗普特</t>
  </si>
  <si>
    <t xml:space="preserve"> 唐源电气</t>
  </si>
  <si>
    <t xml:space="preserve"> 1.094亿</t>
  </si>
  <si>
    <t xml:space="preserve"> 24.39亿</t>
  </si>
  <si>
    <t xml:space="preserve"> 7496万</t>
  </si>
  <si>
    <t xml:space="preserve"> 裕同科技</t>
  </si>
  <si>
    <t xml:space="preserve"> 9.305亿</t>
  </si>
  <si>
    <t xml:space="preserve"> 241.8亿</t>
  </si>
  <si>
    <t xml:space="preserve"> 5.204亿</t>
  </si>
  <si>
    <t xml:space="preserve"> 闽东电力</t>
  </si>
  <si>
    <t xml:space="preserve"> 3142万</t>
  </si>
  <si>
    <t xml:space="preserve"> 43.09亿</t>
  </si>
  <si>
    <t xml:space="preserve"> 国邦医药</t>
  </si>
  <si>
    <t xml:space="preserve"> 5.588亿</t>
  </si>
  <si>
    <t xml:space="preserve"> 德石股份</t>
  </si>
  <si>
    <t xml:space="preserve"> 3138万</t>
  </si>
  <si>
    <t xml:space="preserve"> 25.53亿</t>
  </si>
  <si>
    <t xml:space="preserve"> 沧州明珠</t>
  </si>
  <si>
    <t xml:space="preserve"> 68.25亿</t>
  </si>
  <si>
    <t xml:space="preserve"> 凯添燃气</t>
  </si>
  <si>
    <t xml:space="preserve"> 3137万</t>
  </si>
  <si>
    <t xml:space="preserve"> 1.612亿</t>
  </si>
  <si>
    <t xml:space="preserve"> 绿城水务</t>
  </si>
  <si>
    <t xml:space="preserve"> 3135万</t>
  </si>
  <si>
    <t xml:space="preserve"> 8.830亿</t>
  </si>
  <si>
    <t xml:space="preserve"> 47.95亿</t>
  </si>
  <si>
    <t xml:space="preserve"> 哈森股份</t>
  </si>
  <si>
    <t xml:space="preserve"> 3134万</t>
  </si>
  <si>
    <t xml:space="preserve"> 2.211亿</t>
  </si>
  <si>
    <t xml:space="preserve"> 2.194亿</t>
  </si>
  <si>
    <t xml:space="preserve"> 20.47亿</t>
  </si>
  <si>
    <t xml:space="preserve"> 富春环保</t>
  </si>
  <si>
    <t xml:space="preserve"> -1.07万</t>
  </si>
  <si>
    <t xml:space="preserve"> 8.650亿</t>
  </si>
  <si>
    <t xml:space="preserve"> 41.87亿</t>
  </si>
  <si>
    <t xml:space="preserve"> 8.607亿</t>
  </si>
  <si>
    <t xml:space="preserve"> 41.66亿</t>
  </si>
  <si>
    <t xml:space="preserve"> 高铁电气</t>
  </si>
  <si>
    <t xml:space="preserve"> 3128万</t>
  </si>
  <si>
    <t xml:space="preserve"> 9410万</t>
  </si>
  <si>
    <t xml:space="preserve"> 8.544亿</t>
  </si>
  <si>
    <t xml:space="preserve"> 海利尔</t>
  </si>
  <si>
    <t xml:space="preserve"> 3127万</t>
  </si>
  <si>
    <t xml:space="preserve"> 3.402亿</t>
  </si>
  <si>
    <t xml:space="preserve"> 3.369亿</t>
  </si>
  <si>
    <t xml:space="preserve"> 55.01亿</t>
  </si>
  <si>
    <t xml:space="preserve"> 祥源新材</t>
  </si>
  <si>
    <t xml:space="preserve"> 3123万</t>
  </si>
  <si>
    <t xml:space="preserve"> 5101万</t>
  </si>
  <si>
    <t xml:space="preserve"> 中 关 村</t>
  </si>
  <si>
    <t xml:space="preserve"> 3121万</t>
  </si>
  <si>
    <t xml:space="preserve"> 47.08亿</t>
  </si>
  <si>
    <t xml:space="preserve"> 恒盛能源</t>
  </si>
  <si>
    <t xml:space="preserve"> 3120万</t>
  </si>
  <si>
    <t xml:space="preserve"> 7155万</t>
  </si>
  <si>
    <t xml:space="preserve"> 集泰股份</t>
  </si>
  <si>
    <t xml:space="preserve"> 3.728亿</t>
  </si>
  <si>
    <t xml:space="preserve"> 28.85亿</t>
  </si>
  <si>
    <t xml:space="preserve"> 3.618亿</t>
  </si>
  <si>
    <t xml:space="preserve"> 28.00亿</t>
  </si>
  <si>
    <t xml:space="preserve"> 北路智控</t>
  </si>
  <si>
    <t xml:space="preserve"> 3115万</t>
  </si>
  <si>
    <t xml:space="preserve"> 54.95亿</t>
  </si>
  <si>
    <t xml:space="preserve"> 4615万</t>
  </si>
  <si>
    <t xml:space="preserve"> 19.28亿</t>
  </si>
  <si>
    <t xml:space="preserve"> 国光股份</t>
  </si>
  <si>
    <t xml:space="preserve"> 3112万</t>
  </si>
  <si>
    <t xml:space="preserve"> 4.349亿</t>
  </si>
  <si>
    <t xml:space="preserve"> 粤宏远Ａ</t>
  </si>
  <si>
    <t xml:space="preserve"> 3109万</t>
  </si>
  <si>
    <t xml:space="preserve"> 6.383亿</t>
  </si>
  <si>
    <t xml:space="preserve"> 6.329亿</t>
  </si>
  <si>
    <t xml:space="preserve"> 舜禹股份</t>
  </si>
  <si>
    <t xml:space="preserve"> 1.642亿</t>
  </si>
  <si>
    <t xml:space="preserve"> 35.20亿</t>
  </si>
  <si>
    <t xml:space="preserve"> 8.369亿</t>
  </si>
  <si>
    <t xml:space="preserve"> 宣泰医药</t>
  </si>
  <si>
    <t xml:space="preserve"> 3104万</t>
  </si>
  <si>
    <t xml:space="preserve"> 54.04亿</t>
  </si>
  <si>
    <t xml:space="preserve"> 江航装备</t>
  </si>
  <si>
    <t xml:space="preserve"> 3103万</t>
  </si>
  <si>
    <t xml:space="preserve"> 9.11亿</t>
  </si>
  <si>
    <t xml:space="preserve"> 7.913亿</t>
  </si>
  <si>
    <t xml:space="preserve"> 92.51亿</t>
  </si>
  <si>
    <t xml:space="preserve"> 亚玛顿</t>
  </si>
  <si>
    <t xml:space="preserve"> 3102万</t>
  </si>
  <si>
    <t xml:space="preserve"> 1.991亿</t>
  </si>
  <si>
    <t xml:space="preserve"> 53.27亿</t>
  </si>
  <si>
    <t xml:space="preserve"> 1.986亿</t>
  </si>
  <si>
    <t xml:space="preserve"> 东旭蓝天</t>
  </si>
  <si>
    <t xml:space="preserve"> 3101万</t>
  </si>
  <si>
    <t xml:space="preserve"> 56.80亿</t>
  </si>
  <si>
    <t xml:space="preserve"> 天宏锂电</t>
  </si>
  <si>
    <t xml:space="preserve"> 8.068亿</t>
  </si>
  <si>
    <t xml:space="preserve"> 3.057亿</t>
  </si>
  <si>
    <t xml:space="preserve"> 寿仙谷</t>
  </si>
  <si>
    <t xml:space="preserve"> 5.43亿</t>
  </si>
  <si>
    <t xml:space="preserve"> 2.018亿</t>
  </si>
  <si>
    <t xml:space="preserve"> 74.17亿</t>
  </si>
  <si>
    <t xml:space="preserve"> 华控赛格</t>
  </si>
  <si>
    <t xml:space="preserve"> 3100万</t>
  </si>
  <si>
    <t xml:space="preserve"> 37.35亿</t>
  </si>
  <si>
    <t xml:space="preserve"> 中国电研</t>
  </si>
  <si>
    <t xml:space="preserve"> 3099万</t>
  </si>
  <si>
    <t xml:space="preserve"> 4.045亿</t>
  </si>
  <si>
    <t xml:space="preserve"> 83.81亿</t>
  </si>
  <si>
    <t xml:space="preserve"> 快可电子</t>
  </si>
  <si>
    <t xml:space="preserve"> 3373万</t>
  </si>
  <si>
    <t xml:space="preserve"> 北京利尔</t>
  </si>
  <si>
    <t xml:space="preserve"> 3095万</t>
  </si>
  <si>
    <t xml:space="preserve"> 8.977亿</t>
  </si>
  <si>
    <t xml:space="preserve"> 34.02亿</t>
  </si>
  <si>
    <t xml:space="preserve"> 海南发展</t>
  </si>
  <si>
    <t xml:space="preserve"> 3094万</t>
  </si>
  <si>
    <t xml:space="preserve"> 8.450亿</t>
  </si>
  <si>
    <t xml:space="preserve"> 77.14亿</t>
  </si>
  <si>
    <t xml:space="preserve"> 8.036亿</t>
  </si>
  <si>
    <t xml:space="preserve"> 73.36亿</t>
  </si>
  <si>
    <t xml:space="preserve"> 江苏索普</t>
  </si>
  <si>
    <t xml:space="preserve"> 85.37亿</t>
  </si>
  <si>
    <t xml:space="preserve"> 85.24亿</t>
  </si>
  <si>
    <t xml:space="preserve"> 华纳药厂</t>
  </si>
  <si>
    <t xml:space="preserve"> 3091万</t>
  </si>
  <si>
    <t xml:space="preserve"> 9380万</t>
  </si>
  <si>
    <t xml:space="preserve"> 25.27亿</t>
  </si>
  <si>
    <t xml:space="preserve"> 风范股份</t>
  </si>
  <si>
    <t xml:space="preserve"> 金明精机</t>
  </si>
  <si>
    <t xml:space="preserve"> 3090万</t>
  </si>
  <si>
    <t xml:space="preserve"> 3.973亿</t>
  </si>
  <si>
    <t xml:space="preserve"> 万年青</t>
  </si>
  <si>
    <t xml:space="preserve"> 59.9亿</t>
  </si>
  <si>
    <t xml:space="preserve"> 7.974亿</t>
  </si>
  <si>
    <t xml:space="preserve"> 57.97亿</t>
  </si>
  <si>
    <t xml:space="preserve"> 东方铁塔</t>
  </si>
  <si>
    <t xml:space="preserve"> 海森药业</t>
  </si>
  <si>
    <t xml:space="preserve"> 3088万</t>
  </si>
  <si>
    <t xml:space="preserve"> 30.63亿</t>
  </si>
  <si>
    <t xml:space="preserve"> 再升科技</t>
  </si>
  <si>
    <t xml:space="preserve"> 46.38亿</t>
  </si>
  <si>
    <t xml:space="preserve"> 天宇股份</t>
  </si>
  <si>
    <t xml:space="preserve"> 81.32亿</t>
  </si>
  <si>
    <t xml:space="preserve"> 新华百货</t>
  </si>
  <si>
    <t xml:space="preserve"> 3086万</t>
  </si>
  <si>
    <t xml:space="preserve"> 32.56亿</t>
  </si>
  <si>
    <t xml:space="preserve"> 恒立实业</t>
  </si>
  <si>
    <t xml:space="preserve"> 3085万</t>
  </si>
  <si>
    <t xml:space="preserve"> 4.252亿</t>
  </si>
  <si>
    <t xml:space="preserve"> 19.56亿</t>
  </si>
  <si>
    <t xml:space="preserve"> 明新旭腾</t>
  </si>
  <si>
    <t xml:space="preserve"> 3082万</t>
  </si>
  <si>
    <t xml:space="preserve"> 维宏股份</t>
  </si>
  <si>
    <t xml:space="preserve"> 1.091亿</t>
  </si>
  <si>
    <t xml:space="preserve"> 海泰新能</t>
  </si>
  <si>
    <t xml:space="preserve"> 3079万</t>
  </si>
  <si>
    <t xml:space="preserve"> 惠同新材</t>
  </si>
  <si>
    <t xml:space="preserve"> 5.979亿</t>
  </si>
  <si>
    <t xml:space="preserve"> 4237万</t>
  </si>
  <si>
    <t xml:space="preserve"> 威腾电气</t>
  </si>
  <si>
    <t xml:space="preserve"> 3078万</t>
  </si>
  <si>
    <t xml:space="preserve"> 8426万</t>
  </si>
  <si>
    <t xml:space="preserve"> 瑞泰科技</t>
  </si>
  <si>
    <t xml:space="preserve"> 3074万</t>
  </si>
  <si>
    <t xml:space="preserve"> 博杰股份</t>
  </si>
  <si>
    <t xml:space="preserve"> 3073万</t>
  </si>
  <si>
    <t xml:space="preserve"> 7144万</t>
  </si>
  <si>
    <t xml:space="preserve"> 智迪科技</t>
  </si>
  <si>
    <t xml:space="preserve"> 3072万</t>
  </si>
  <si>
    <t xml:space="preserve"> 28.29亿</t>
  </si>
  <si>
    <t xml:space="preserve"> 7.072亿</t>
  </si>
  <si>
    <t xml:space="preserve"> 莱克电气</t>
  </si>
  <si>
    <t xml:space="preserve"> 5.738亿</t>
  </si>
  <si>
    <t xml:space="preserve"> 5.689亿</t>
  </si>
  <si>
    <t xml:space="preserve"> 浙海德曼</t>
  </si>
  <si>
    <t xml:space="preserve"> 3068万</t>
  </si>
  <si>
    <t xml:space="preserve"> 精艺股份</t>
  </si>
  <si>
    <t xml:space="preserve"> 3067万</t>
  </si>
  <si>
    <t xml:space="preserve"> 2.506亿</t>
  </si>
  <si>
    <t xml:space="preserve"> 2.503亿</t>
  </si>
  <si>
    <t xml:space="preserve"> 19.67亿</t>
  </si>
  <si>
    <t xml:space="preserve"> 北玻股份</t>
  </si>
  <si>
    <t xml:space="preserve"> 3066万</t>
  </si>
  <si>
    <t xml:space="preserve"> 9.372亿</t>
  </si>
  <si>
    <t xml:space="preserve"> 41.89亿</t>
  </si>
  <si>
    <t xml:space="preserve"> 蕾奥规划</t>
  </si>
  <si>
    <t xml:space="preserve"> 3065万</t>
  </si>
  <si>
    <t xml:space="preserve"> 4050万</t>
  </si>
  <si>
    <t xml:space="preserve"> 7.804亿</t>
  </si>
  <si>
    <t xml:space="preserve"> 南华仪器</t>
  </si>
  <si>
    <t xml:space="preserve"> 3060万</t>
  </si>
  <si>
    <t xml:space="preserve"> 8502万</t>
  </si>
  <si>
    <t xml:space="preserve"> 8511万</t>
  </si>
  <si>
    <t xml:space="preserve"> 华宝股份</t>
  </si>
  <si>
    <t xml:space="preserve"> 6.159亿</t>
  </si>
  <si>
    <t xml:space="preserve"> 湖南海利</t>
  </si>
  <si>
    <t xml:space="preserve"> 3059万</t>
  </si>
  <si>
    <t xml:space="preserve"> 36.54亿</t>
  </si>
  <si>
    <t xml:space="preserve"> 5.352亿</t>
  </si>
  <si>
    <t xml:space="preserve"> 广弘控股</t>
  </si>
  <si>
    <t xml:space="preserve"> 3058万</t>
  </si>
  <si>
    <t xml:space="preserve"> 5.838亿</t>
  </si>
  <si>
    <t xml:space="preserve"> 39.46亿</t>
  </si>
  <si>
    <t xml:space="preserve"> 5.699亿</t>
  </si>
  <si>
    <t xml:space="preserve"> 中能电气</t>
  </si>
  <si>
    <t xml:space="preserve"> 3057万</t>
  </si>
  <si>
    <t xml:space="preserve"> 5.576亿</t>
  </si>
  <si>
    <t xml:space="preserve"> 24.09亿</t>
  </si>
  <si>
    <t xml:space="preserve"> 新锦动力</t>
  </si>
  <si>
    <t xml:space="preserve"> 7.256亿</t>
  </si>
  <si>
    <t xml:space="preserve"> 6.974亿</t>
  </si>
  <si>
    <t xml:space="preserve"> 新乡化纤</t>
  </si>
  <si>
    <t xml:space="preserve"> 3053万</t>
  </si>
  <si>
    <t xml:space="preserve"> 康平科技</t>
  </si>
  <si>
    <t xml:space="preserve"> 21.37亿</t>
  </si>
  <si>
    <t xml:space="preserve"> 长城科技</t>
  </si>
  <si>
    <t xml:space="preserve"> 3052万</t>
  </si>
  <si>
    <t xml:space="preserve"> 2.064亿</t>
  </si>
  <si>
    <t xml:space="preserve"> 赛微微电</t>
  </si>
  <si>
    <t xml:space="preserve"> 8333万</t>
  </si>
  <si>
    <t xml:space="preserve"> 久吾高科</t>
  </si>
  <si>
    <t xml:space="preserve"> 3050万</t>
  </si>
  <si>
    <t xml:space="preserve"> 磁谷科技</t>
  </si>
  <si>
    <t xml:space="preserve"> 26.56亿</t>
  </si>
  <si>
    <t xml:space="preserve"> 3255万</t>
  </si>
  <si>
    <t xml:space="preserve"> 德源药业</t>
  </si>
  <si>
    <t xml:space="preserve"> 3048万</t>
  </si>
  <si>
    <t xml:space="preserve"> 7825万</t>
  </si>
  <si>
    <t xml:space="preserve"> 23.79亿</t>
  </si>
  <si>
    <t xml:space="preserve"> 5477万</t>
  </si>
  <si>
    <t xml:space="preserve"> 五洲特纸</t>
  </si>
  <si>
    <t xml:space="preserve"> 3046万</t>
  </si>
  <si>
    <t xml:space="preserve"> 4.039亿</t>
  </si>
  <si>
    <t xml:space="preserve"> 4.006亿</t>
  </si>
  <si>
    <t xml:space="preserve"> 品高股份</t>
  </si>
  <si>
    <t xml:space="preserve"> 3045万</t>
  </si>
  <si>
    <t xml:space="preserve"> 23.61亿</t>
  </si>
  <si>
    <t xml:space="preserve"> 太原重工</t>
  </si>
  <si>
    <t xml:space="preserve"> 3044万</t>
  </si>
  <si>
    <t xml:space="preserve"> 66.5亿</t>
  </si>
  <si>
    <t xml:space="preserve"> -2.32万</t>
  </si>
  <si>
    <t xml:space="preserve"> 81.14亿</t>
  </si>
  <si>
    <t xml:space="preserve"> 61.53亿</t>
  </si>
  <si>
    <t xml:space="preserve"> 观典防务</t>
  </si>
  <si>
    <t xml:space="preserve"> 3041万</t>
  </si>
  <si>
    <t xml:space="preserve"> 3.705亿</t>
  </si>
  <si>
    <t xml:space="preserve"> 福成股份</t>
  </si>
  <si>
    <t xml:space="preserve"> 3040万</t>
  </si>
  <si>
    <t xml:space="preserve"> 8.187亿</t>
  </si>
  <si>
    <t xml:space="preserve"> 三峡水利</t>
  </si>
  <si>
    <t xml:space="preserve"> 3039万</t>
  </si>
  <si>
    <t xml:space="preserve"> 83.9亿</t>
  </si>
  <si>
    <t xml:space="preserve"> 19.12亿</t>
  </si>
  <si>
    <t xml:space="preserve"> 145.1亿</t>
  </si>
  <si>
    <t xml:space="preserve"> 阳煤化工</t>
  </si>
  <si>
    <t xml:space="preserve"> 9.32万</t>
  </si>
  <si>
    <t xml:space="preserve"> 77.46亿</t>
  </si>
  <si>
    <t xml:space="preserve"> 申昊科技</t>
  </si>
  <si>
    <t xml:space="preserve"> 3036万</t>
  </si>
  <si>
    <t xml:space="preserve"> 25.38亿</t>
  </si>
  <si>
    <t xml:space="preserve"> 太和水</t>
  </si>
  <si>
    <t xml:space="preserve"> 3035万</t>
  </si>
  <si>
    <t xml:space="preserve"> 8541万</t>
  </si>
  <si>
    <t xml:space="preserve"> 中金辐照</t>
  </si>
  <si>
    <t xml:space="preserve"> 3031万</t>
  </si>
  <si>
    <t xml:space="preserve"> 43.67亿</t>
  </si>
  <si>
    <t xml:space="preserve"> 外高桥</t>
  </si>
  <si>
    <t xml:space="preserve"> 3030万</t>
  </si>
  <si>
    <t xml:space="preserve"> 9.348亿</t>
  </si>
  <si>
    <t xml:space="preserve"> 99.09亿</t>
  </si>
  <si>
    <t xml:space="preserve"> 喜悦智行</t>
  </si>
  <si>
    <t xml:space="preserve"> 3029万</t>
  </si>
  <si>
    <t xml:space="preserve"> 苏盐井神</t>
  </si>
  <si>
    <t xml:space="preserve"> 3027万</t>
  </si>
  <si>
    <t xml:space="preserve"> 7.821亿</t>
  </si>
  <si>
    <t xml:space="preserve"> 68.59亿</t>
  </si>
  <si>
    <t xml:space="preserve"> 7.701亿</t>
  </si>
  <si>
    <t xml:space="preserve"> 67.54亿</t>
  </si>
  <si>
    <t xml:space="preserve"> 长鸿高科</t>
  </si>
  <si>
    <t xml:space="preserve"> 6.424亿</t>
  </si>
  <si>
    <t xml:space="preserve"> 卓然股份</t>
  </si>
  <si>
    <t xml:space="preserve"> 3024万</t>
  </si>
  <si>
    <t xml:space="preserve"> 49.31亿</t>
  </si>
  <si>
    <t xml:space="preserve"> 1.416亿</t>
  </si>
  <si>
    <t xml:space="preserve"> 睿昂基因</t>
  </si>
  <si>
    <t xml:space="preserve"> 3021万</t>
  </si>
  <si>
    <t xml:space="preserve"> 5586万</t>
  </si>
  <si>
    <t xml:space="preserve"> 22.09亿</t>
  </si>
  <si>
    <t xml:space="preserve"> 阳光照明</t>
  </si>
  <si>
    <t xml:space="preserve"> 3020万</t>
  </si>
  <si>
    <t xml:space="preserve"> 23.0亿</t>
  </si>
  <si>
    <t xml:space="preserve"> 金三江</t>
  </si>
  <si>
    <t xml:space="preserve"> 2.312亿</t>
  </si>
  <si>
    <t xml:space="preserve"> 29.36亿</t>
  </si>
  <si>
    <t xml:space="preserve"> 8.390亿</t>
  </si>
  <si>
    <t xml:space="preserve"> 克明食品</t>
  </si>
  <si>
    <t xml:space="preserve"> 3.331亿</t>
  </si>
  <si>
    <t xml:space="preserve"> 金岭矿业</t>
  </si>
  <si>
    <t xml:space="preserve"> 3018万</t>
  </si>
  <si>
    <t xml:space="preserve"> 5.953亿</t>
  </si>
  <si>
    <t xml:space="preserve"> 43.22亿</t>
  </si>
  <si>
    <t xml:space="preserve"> 沃华医药</t>
  </si>
  <si>
    <t xml:space="preserve"> 3014万</t>
  </si>
  <si>
    <t xml:space="preserve"> 5.696亿</t>
  </si>
  <si>
    <t xml:space="preserve"> 艾可蓝</t>
  </si>
  <si>
    <t xml:space="preserve"> 20.66亿</t>
  </si>
  <si>
    <t xml:space="preserve"> 4749万</t>
  </si>
  <si>
    <t xml:space="preserve"> 12.27亿</t>
  </si>
  <si>
    <t xml:space="preserve"> 艾能聚</t>
  </si>
  <si>
    <t xml:space="preserve"> 3013万</t>
  </si>
  <si>
    <t xml:space="preserve"> 6581万</t>
  </si>
  <si>
    <t xml:space="preserve"> 4.080亿</t>
  </si>
  <si>
    <t xml:space="preserve"> 昇兴股份</t>
  </si>
  <si>
    <t xml:space="preserve"> 3012万</t>
  </si>
  <si>
    <t xml:space="preserve"> 9.769亿</t>
  </si>
  <si>
    <t xml:space="preserve"> 9.754亿</t>
  </si>
  <si>
    <t xml:space="preserve"> 53.06亿</t>
  </si>
  <si>
    <t xml:space="preserve"> 航材股份</t>
  </si>
  <si>
    <t xml:space="preserve"> 274.9亿</t>
  </si>
  <si>
    <t xml:space="preserve"> 迪阿股份</t>
  </si>
  <si>
    <t xml:space="preserve"> 3009万</t>
  </si>
  <si>
    <t xml:space="preserve"> 宝鹰股份</t>
  </si>
  <si>
    <t xml:space="preserve"> 3008万</t>
  </si>
  <si>
    <t xml:space="preserve"> 36.62亿</t>
  </si>
  <si>
    <t xml:space="preserve"> 芳源股份</t>
  </si>
  <si>
    <t xml:space="preserve"> 3006万</t>
  </si>
  <si>
    <t xml:space="preserve"> 5.102亿</t>
  </si>
  <si>
    <t xml:space="preserve"> 40.86亿</t>
  </si>
  <si>
    <t xml:space="preserve"> 海鸥住工</t>
  </si>
  <si>
    <t xml:space="preserve"> 3005万</t>
  </si>
  <si>
    <t xml:space="preserve"> 6.509亿</t>
  </si>
  <si>
    <t xml:space="preserve"> 26.67亿</t>
  </si>
  <si>
    <t xml:space="preserve"> 德众汽车</t>
  </si>
  <si>
    <t xml:space="preserve"> 2997万</t>
  </si>
  <si>
    <t xml:space="preserve"> 1.788亿</t>
  </si>
  <si>
    <t xml:space="preserve"> 6.385亿</t>
  </si>
  <si>
    <t xml:space="preserve"> 9539万</t>
  </si>
  <si>
    <t xml:space="preserve"> 3.405亿</t>
  </si>
  <si>
    <t xml:space="preserve"> 富士达</t>
  </si>
  <si>
    <t xml:space="preserve"> 2995万</t>
  </si>
  <si>
    <t xml:space="preserve"> 6.63亿</t>
  </si>
  <si>
    <t xml:space="preserve"> 派瑞股份</t>
  </si>
  <si>
    <t xml:space="preserve"> 2994万</t>
  </si>
  <si>
    <t xml:space="preserve"> 41.31亿</t>
  </si>
  <si>
    <t xml:space="preserve"> 23.82亿</t>
  </si>
  <si>
    <t xml:space="preserve"> 光莆股份</t>
  </si>
  <si>
    <t xml:space="preserve"> 2.148亿</t>
  </si>
  <si>
    <t xml:space="preserve"> 恒基达鑫</t>
  </si>
  <si>
    <t xml:space="preserve"> 2993万</t>
  </si>
  <si>
    <t xml:space="preserve"> 4.050亿</t>
  </si>
  <si>
    <t xml:space="preserve"> 3.981亿</t>
  </si>
  <si>
    <t xml:space="preserve"> 24.72亿</t>
  </si>
  <si>
    <t xml:space="preserve"> 大禹节水</t>
  </si>
  <si>
    <t xml:space="preserve"> 8.581亿</t>
  </si>
  <si>
    <t xml:space="preserve"> 42.39亿</t>
  </si>
  <si>
    <t xml:space="preserve"> 7.010亿</t>
  </si>
  <si>
    <t xml:space="preserve"> 海利生物</t>
  </si>
  <si>
    <t xml:space="preserve"> 6.579亿</t>
  </si>
  <si>
    <t xml:space="preserve"> 74.01亿</t>
  </si>
  <si>
    <t xml:space="preserve"> 保利联合</t>
  </si>
  <si>
    <t xml:space="preserve"> 2988万</t>
  </si>
  <si>
    <t xml:space="preserve"> 49.9亿</t>
  </si>
  <si>
    <t xml:space="preserve"> 4.839亿</t>
  </si>
  <si>
    <t xml:space="preserve"> 帝欧家居</t>
  </si>
  <si>
    <t xml:space="preserve"> 2987万</t>
  </si>
  <si>
    <t xml:space="preserve"> 25.83亿</t>
  </si>
  <si>
    <t xml:space="preserve"> 2.928亿</t>
  </si>
  <si>
    <t xml:space="preserve"> 19.65亿</t>
  </si>
  <si>
    <t xml:space="preserve"> 瀚叶股份</t>
  </si>
  <si>
    <t xml:space="preserve"> 2986万</t>
  </si>
  <si>
    <t xml:space="preserve"> -1.25万</t>
  </si>
  <si>
    <t xml:space="preserve"> 31.15亿</t>
  </si>
  <si>
    <t xml:space="preserve"> 合富中国</t>
  </si>
  <si>
    <t xml:space="preserve"> 2984万</t>
  </si>
  <si>
    <t xml:space="preserve"> 8.33亿</t>
  </si>
  <si>
    <t xml:space="preserve"> 1.791亿</t>
  </si>
  <si>
    <t xml:space="preserve"> 达 意 隆</t>
  </si>
  <si>
    <t xml:space="preserve"> 2981万</t>
  </si>
  <si>
    <t xml:space="preserve"> 1.990亿</t>
  </si>
  <si>
    <t xml:space="preserve"> 1.542亿</t>
  </si>
  <si>
    <t xml:space="preserve"> 尚品宅配</t>
  </si>
  <si>
    <t xml:space="preserve"> 23.47亿</t>
  </si>
  <si>
    <t xml:space="preserve"> 海泰发展</t>
  </si>
  <si>
    <t xml:space="preserve"> 2978万</t>
  </si>
  <si>
    <t xml:space="preserve"> 6.461亿</t>
  </si>
  <si>
    <t xml:space="preserve"> 22.81亿</t>
  </si>
  <si>
    <t xml:space="preserve"> 6.343亿</t>
  </si>
  <si>
    <t xml:space="preserve"> 西子洁能</t>
  </si>
  <si>
    <t xml:space="preserve"> 2976万</t>
  </si>
  <si>
    <t xml:space="preserve"> 7.308亿</t>
  </si>
  <si>
    <t xml:space="preserve"> 劲旅环境</t>
  </si>
  <si>
    <t xml:space="preserve"> 1.114亿</t>
  </si>
  <si>
    <t xml:space="preserve"> 9.707亿</t>
  </si>
  <si>
    <t xml:space="preserve"> 龙迅股份</t>
  </si>
  <si>
    <t xml:space="preserve"> 2974万</t>
  </si>
  <si>
    <t xml:space="preserve"> 6926万</t>
  </si>
  <si>
    <t xml:space="preserve"> 70.22亿</t>
  </si>
  <si>
    <t xml:space="preserve"> 1559万</t>
  </si>
  <si>
    <t xml:space="preserve"> 15.81亿</t>
  </si>
  <si>
    <t xml:space="preserve"> 森特股份</t>
  </si>
  <si>
    <t xml:space="preserve"> 2973万</t>
  </si>
  <si>
    <t xml:space="preserve"> 5.397亿</t>
  </si>
  <si>
    <t xml:space="preserve"> 79.39亿</t>
  </si>
  <si>
    <t xml:space="preserve"> 5.388亿</t>
  </si>
  <si>
    <t xml:space="preserve"> 恒锋工具</t>
  </si>
  <si>
    <t xml:space="preserve"> 冠豪高新</t>
  </si>
  <si>
    <t xml:space="preserve"> 65.19亿</t>
  </si>
  <si>
    <t xml:space="preserve"> 14.39亿</t>
  </si>
  <si>
    <t xml:space="preserve"> 50.81亿</t>
  </si>
  <si>
    <t xml:space="preserve"> 万向德农</t>
  </si>
  <si>
    <t xml:space="preserve"> 2971万</t>
  </si>
  <si>
    <t xml:space="preserve"> 2.926亿</t>
  </si>
  <si>
    <t xml:space="preserve"> 凯大催化</t>
  </si>
  <si>
    <t xml:space="preserve"> 2967万</t>
  </si>
  <si>
    <t xml:space="preserve"> 1.638亿</t>
  </si>
  <si>
    <t xml:space="preserve"> 10.83亿</t>
  </si>
  <si>
    <t xml:space="preserve"> 7.068亿</t>
  </si>
  <si>
    <t xml:space="preserve"> 苏州龙杰</t>
  </si>
  <si>
    <t xml:space="preserve"> 2.163亿</t>
  </si>
  <si>
    <t xml:space="preserve"> 22.07亿</t>
  </si>
  <si>
    <t xml:space="preserve"> 松原股份</t>
  </si>
  <si>
    <t xml:space="preserve"> 2965万</t>
  </si>
  <si>
    <t xml:space="preserve"> 65.65亿</t>
  </si>
  <si>
    <t xml:space="preserve"> 1.125亿</t>
  </si>
  <si>
    <t xml:space="preserve"> 32.74亿</t>
  </si>
  <si>
    <t xml:space="preserve"> 逸飞激光</t>
  </si>
  <si>
    <t xml:space="preserve"> 9516万</t>
  </si>
  <si>
    <t xml:space="preserve"> 37.10亿</t>
  </si>
  <si>
    <t xml:space="preserve"> 1789万</t>
  </si>
  <si>
    <t xml:space="preserve"> 6.975亿</t>
  </si>
  <si>
    <t xml:space="preserve"> 永利股份</t>
  </si>
  <si>
    <t xml:space="preserve"> 2964万</t>
  </si>
  <si>
    <t xml:space="preserve"> 8.162亿</t>
  </si>
  <si>
    <t xml:space="preserve"> 6.328亿</t>
  </si>
  <si>
    <t xml:space="preserve"> 三维化学</t>
  </si>
  <si>
    <t xml:space="preserve"> 2962万</t>
  </si>
  <si>
    <t xml:space="preserve"> 6.489亿</t>
  </si>
  <si>
    <t xml:space="preserve"> 6.187亿</t>
  </si>
  <si>
    <t xml:space="preserve"> 赤天化</t>
  </si>
  <si>
    <t xml:space="preserve"> 2961万</t>
  </si>
  <si>
    <t xml:space="preserve"> 16.93亿</t>
  </si>
  <si>
    <t xml:space="preserve"> 36.17亿</t>
  </si>
  <si>
    <t xml:space="preserve"> 必得科技</t>
  </si>
  <si>
    <t xml:space="preserve"> 2960万</t>
  </si>
  <si>
    <t xml:space="preserve"> 隆华新材</t>
  </si>
  <si>
    <t xml:space="preserve"> 2958万</t>
  </si>
  <si>
    <t xml:space="preserve"> 51.99亿</t>
  </si>
  <si>
    <t xml:space="preserve"> 新世界</t>
  </si>
  <si>
    <t xml:space="preserve"> 6.469亿</t>
  </si>
  <si>
    <t xml:space="preserve"> 森赫股份</t>
  </si>
  <si>
    <t xml:space="preserve"> 2956万</t>
  </si>
  <si>
    <t xml:space="preserve"> 6.903亿</t>
  </si>
  <si>
    <t xml:space="preserve"> 长青集团</t>
  </si>
  <si>
    <t xml:space="preserve"> 7.420亿</t>
  </si>
  <si>
    <t xml:space="preserve"> 4.702亿</t>
  </si>
  <si>
    <t xml:space="preserve"> 上海港湾</t>
  </si>
  <si>
    <t xml:space="preserve"> 2955万</t>
  </si>
  <si>
    <t xml:space="preserve"> 69.99亿</t>
  </si>
  <si>
    <t xml:space="preserve"> 20.99亿</t>
  </si>
  <si>
    <t xml:space="preserve"> 宁科生物</t>
  </si>
  <si>
    <t xml:space="preserve"> 24.45亿</t>
  </si>
  <si>
    <t xml:space="preserve"> 田野股份</t>
  </si>
  <si>
    <t xml:space="preserve"> 2954万</t>
  </si>
  <si>
    <t xml:space="preserve"> 3.273亿</t>
  </si>
  <si>
    <t xml:space="preserve"> 2.460亿</t>
  </si>
  <si>
    <t xml:space="preserve"> 7.945亿</t>
  </si>
  <si>
    <t xml:space="preserve"> 电投产融</t>
  </si>
  <si>
    <t xml:space="preserve"> 2952万</t>
  </si>
  <si>
    <t xml:space="preserve"> 53.83亿</t>
  </si>
  <si>
    <t xml:space="preserve"> 安凯微</t>
  </si>
  <si>
    <t xml:space="preserve"> 2950万</t>
  </si>
  <si>
    <t xml:space="preserve"> 8427万</t>
  </si>
  <si>
    <t xml:space="preserve"> 延江股份</t>
  </si>
  <si>
    <t xml:space="preserve"> 2949万</t>
  </si>
  <si>
    <t xml:space="preserve"> 普邦股份</t>
  </si>
  <si>
    <t xml:space="preserve"> 2948万</t>
  </si>
  <si>
    <t xml:space="preserve"> -1.59万</t>
  </si>
  <si>
    <t xml:space="preserve"> 吉鑫科技</t>
  </si>
  <si>
    <t xml:space="preserve"> 2945万</t>
  </si>
  <si>
    <t xml:space="preserve"> 9.771亿</t>
  </si>
  <si>
    <t xml:space="preserve"> 38.60亿</t>
  </si>
  <si>
    <t xml:space="preserve"> 9.760亿</t>
  </si>
  <si>
    <t xml:space="preserve"> 箭牌家居</t>
  </si>
  <si>
    <t xml:space="preserve"> 2943万</t>
  </si>
  <si>
    <t xml:space="preserve"> 9.701亿</t>
  </si>
  <si>
    <t xml:space="preserve"> 121.1亿</t>
  </si>
  <si>
    <t xml:space="preserve"> 1.526亿</t>
  </si>
  <si>
    <t xml:space="preserve"> 大庆华科</t>
  </si>
  <si>
    <t xml:space="preserve"> 1.296亿</t>
  </si>
  <si>
    <t xml:space="preserve"> 唯捷创芯</t>
  </si>
  <si>
    <t xml:space="preserve"> 2942万</t>
  </si>
  <si>
    <t xml:space="preserve"> 4.182亿</t>
  </si>
  <si>
    <t xml:space="preserve"> 273.5亿</t>
  </si>
  <si>
    <t xml:space="preserve"> 锌业股份</t>
  </si>
  <si>
    <t xml:space="preserve"> 53.15亿</t>
  </si>
  <si>
    <t xml:space="preserve"> 安杰思</t>
  </si>
  <si>
    <t xml:space="preserve"> 68.06亿</t>
  </si>
  <si>
    <t xml:space="preserve"> 1396万</t>
  </si>
  <si>
    <t xml:space="preserve"> 可川科技</t>
  </si>
  <si>
    <t xml:space="preserve"> 9632万</t>
  </si>
  <si>
    <t xml:space="preserve"> 32.52亿</t>
  </si>
  <si>
    <t xml:space="preserve"> 2926万</t>
  </si>
  <si>
    <t xml:space="preserve"> 9.878亿</t>
  </si>
  <si>
    <t xml:space="preserve"> 智莱科技</t>
  </si>
  <si>
    <t xml:space="preserve"> 2938万</t>
  </si>
  <si>
    <t xml:space="preserve"> 26.47亿</t>
  </si>
  <si>
    <t xml:space="preserve"> 19.99亿</t>
  </si>
  <si>
    <t xml:space="preserve"> 利德曼</t>
  </si>
  <si>
    <t xml:space="preserve"> 2937万</t>
  </si>
  <si>
    <t xml:space="preserve"> 5.440亿</t>
  </si>
  <si>
    <t xml:space="preserve"> 27.06亿</t>
  </si>
  <si>
    <t xml:space="preserve"> 神驰机电</t>
  </si>
  <si>
    <t xml:space="preserve"> 2934万</t>
  </si>
  <si>
    <t xml:space="preserve"> 2.089亿</t>
  </si>
  <si>
    <t xml:space="preserve"> 威海广泰</t>
  </si>
  <si>
    <t xml:space="preserve"> 50.76亿</t>
  </si>
  <si>
    <t xml:space="preserve"> 4.754亿</t>
  </si>
  <si>
    <t xml:space="preserve"> 45.16亿</t>
  </si>
  <si>
    <t xml:space="preserve"> 华立股份</t>
  </si>
  <si>
    <t xml:space="preserve"> 2928万</t>
  </si>
  <si>
    <t xml:space="preserve"> 21.43亿</t>
  </si>
  <si>
    <t xml:space="preserve"> ST华铁</t>
  </si>
  <si>
    <t xml:space="preserve"> 2927万</t>
  </si>
  <si>
    <t xml:space="preserve"> -2.27万</t>
  </si>
  <si>
    <t xml:space="preserve"> 15.96亿</t>
  </si>
  <si>
    <t xml:space="preserve"> 31.25亿</t>
  </si>
  <si>
    <t xml:space="preserve"> 皓宸医疗</t>
  </si>
  <si>
    <t xml:space="preserve"> 建工修复</t>
  </si>
  <si>
    <t xml:space="preserve"> 1.567亿</t>
  </si>
  <si>
    <t xml:space="preserve"> 7697万</t>
  </si>
  <si>
    <t xml:space="preserve"> 14.24亿</t>
  </si>
  <si>
    <t xml:space="preserve"> 海欣股份</t>
  </si>
  <si>
    <t xml:space="preserve"> 2925万</t>
  </si>
  <si>
    <t xml:space="preserve"> 86.30亿</t>
  </si>
  <si>
    <t xml:space="preserve"> 52.78亿</t>
  </si>
  <si>
    <t xml:space="preserve"> 德固特</t>
  </si>
  <si>
    <t xml:space="preserve"> 2923万</t>
  </si>
  <si>
    <t xml:space="preserve"> 辽港股份</t>
  </si>
  <si>
    <t xml:space="preserve"> 2920万</t>
  </si>
  <si>
    <t xml:space="preserve"> -22.4万</t>
  </si>
  <si>
    <t xml:space="preserve"> 239.9亿</t>
  </si>
  <si>
    <t xml:space="preserve"> 359.8亿</t>
  </si>
  <si>
    <t xml:space="preserve"> 万泽股份</t>
  </si>
  <si>
    <t xml:space="preserve"> 69.53亿</t>
  </si>
  <si>
    <t xml:space="preserve"> 4.945亿</t>
  </si>
  <si>
    <t xml:space="preserve"> 67.55亿</t>
  </si>
  <si>
    <t xml:space="preserve"> 天秦装备</t>
  </si>
  <si>
    <t xml:space="preserve"> 8702万</t>
  </si>
  <si>
    <t xml:space="preserve"> 铁科轨道</t>
  </si>
  <si>
    <t xml:space="preserve"> 2914万</t>
  </si>
  <si>
    <t xml:space="preserve"> 1.317亿</t>
  </si>
  <si>
    <t xml:space="preserve"> 黄山胶囊</t>
  </si>
  <si>
    <t xml:space="preserve"> 2913万</t>
  </si>
  <si>
    <t xml:space="preserve"> 2.991亿</t>
  </si>
  <si>
    <t xml:space="preserve"> 26.83亿</t>
  </si>
  <si>
    <t xml:space="preserve"> 蓝帆医疗</t>
  </si>
  <si>
    <t xml:space="preserve"> 2911万</t>
  </si>
  <si>
    <t xml:space="preserve"> 71.71亿</t>
  </si>
  <si>
    <t xml:space="preserve"> 71.31亿</t>
  </si>
  <si>
    <t xml:space="preserve"> 聚石化学</t>
  </si>
  <si>
    <t xml:space="preserve"> 22.90亿</t>
  </si>
  <si>
    <t xml:space="preserve"> 6089万</t>
  </si>
  <si>
    <t xml:space="preserve"> 华达新材</t>
  </si>
  <si>
    <t xml:space="preserve"> 2906万</t>
  </si>
  <si>
    <t xml:space="preserve"> 5.114亿</t>
  </si>
  <si>
    <t xml:space="preserve"> 39.74亿</t>
  </si>
  <si>
    <t xml:space="preserve"> 成都路桥</t>
  </si>
  <si>
    <t xml:space="preserve"> 2905万</t>
  </si>
  <si>
    <t xml:space="preserve"> 7.571亿</t>
  </si>
  <si>
    <t xml:space="preserve"> 7.549亿</t>
  </si>
  <si>
    <t xml:space="preserve"> 25.36亿</t>
  </si>
  <si>
    <t xml:space="preserve"> 保龄宝</t>
  </si>
  <si>
    <t xml:space="preserve"> 2902万</t>
  </si>
  <si>
    <t xml:space="preserve"> 3.708亿</t>
  </si>
  <si>
    <t xml:space="preserve"> 30.74亿</t>
  </si>
  <si>
    <t xml:space="preserve"> 3.698亿</t>
  </si>
  <si>
    <t xml:space="preserve"> 威高骨科</t>
  </si>
  <si>
    <t xml:space="preserve"> 2898万</t>
  </si>
  <si>
    <t xml:space="preserve"> 7667万</t>
  </si>
  <si>
    <t xml:space="preserve"> 32.07亿</t>
  </si>
  <si>
    <t xml:space="preserve"> 英集芯</t>
  </si>
  <si>
    <t xml:space="preserve"> 2895万</t>
  </si>
  <si>
    <t xml:space="preserve"> 71.53亿</t>
  </si>
  <si>
    <t xml:space="preserve"> 49.32亿</t>
  </si>
  <si>
    <t xml:space="preserve"> 大族数控</t>
  </si>
  <si>
    <t xml:space="preserve"> 2894万</t>
  </si>
  <si>
    <t xml:space="preserve"> 159.8亿</t>
  </si>
  <si>
    <t xml:space="preserve"> 宏和科技</t>
  </si>
  <si>
    <t xml:space="preserve"> 2892万</t>
  </si>
  <si>
    <t xml:space="preserve"> 8.825亿</t>
  </si>
  <si>
    <t xml:space="preserve"> 8.797亿</t>
  </si>
  <si>
    <t xml:space="preserve"> 73.99亿</t>
  </si>
  <si>
    <t xml:space="preserve"> 恒丰纸业</t>
  </si>
  <si>
    <t xml:space="preserve"> 2888万</t>
  </si>
  <si>
    <t xml:space="preserve"> 水星家纺</t>
  </si>
  <si>
    <t xml:space="preserve"> 2886万</t>
  </si>
  <si>
    <t xml:space="preserve"> 39.54亿</t>
  </si>
  <si>
    <t xml:space="preserve"> 浙江美大</t>
  </si>
  <si>
    <t xml:space="preserve"> 2884万</t>
  </si>
  <si>
    <t xml:space="preserve"> 66.41亿</t>
  </si>
  <si>
    <t xml:space="preserve"> 3.797亿</t>
  </si>
  <si>
    <t xml:space="preserve"> 39.04亿</t>
  </si>
  <si>
    <t xml:space="preserve"> 晓鸣股份</t>
  </si>
  <si>
    <t xml:space="preserve"> 2883万</t>
  </si>
  <si>
    <t xml:space="preserve"> 28.08亿</t>
  </si>
  <si>
    <t xml:space="preserve"> 润丰股份</t>
  </si>
  <si>
    <t xml:space="preserve"> 2879万</t>
  </si>
  <si>
    <t xml:space="preserve"> 85.2亿</t>
  </si>
  <si>
    <t xml:space="preserve"> 8935万</t>
  </si>
  <si>
    <t xml:space="preserve"> 66.56亿</t>
  </si>
  <si>
    <t xml:space="preserve"> 深物业A</t>
  </si>
  <si>
    <t xml:space="preserve"> 5.265亿</t>
  </si>
  <si>
    <t xml:space="preserve"> 奕东电子</t>
  </si>
  <si>
    <t xml:space="preserve"> 2.336亿</t>
  </si>
  <si>
    <t xml:space="preserve"> 7642万</t>
  </si>
  <si>
    <t xml:space="preserve"> 正源股份</t>
  </si>
  <si>
    <t xml:space="preserve"> 7.11亿</t>
  </si>
  <si>
    <t xml:space="preserve"> -1.83万</t>
  </si>
  <si>
    <t xml:space="preserve"> 维海德</t>
  </si>
  <si>
    <t xml:space="preserve"> 2874万</t>
  </si>
  <si>
    <t xml:space="preserve"> 1.041亿</t>
  </si>
  <si>
    <t xml:space="preserve"> 诺诚健华-U</t>
  </si>
  <si>
    <t xml:space="preserve"> 2871万</t>
  </si>
  <si>
    <t xml:space="preserve"> 17.63亿</t>
  </si>
  <si>
    <t xml:space="preserve"> 197.0亿</t>
  </si>
  <si>
    <t xml:space="preserve"> 2.567亿</t>
  </si>
  <si>
    <t xml:space="preserve"> 28.67亿</t>
  </si>
  <si>
    <t xml:space="preserve"> 泽宇智能</t>
  </si>
  <si>
    <t xml:space="preserve"> 2870万</t>
  </si>
  <si>
    <t xml:space="preserve"> 2.392亿</t>
  </si>
  <si>
    <t xml:space="preserve"> 6098万</t>
  </si>
  <si>
    <t xml:space="preserve"> 16.35亿</t>
  </si>
  <si>
    <t xml:space="preserve"> 中信尼雅</t>
  </si>
  <si>
    <t xml:space="preserve"> 2867万</t>
  </si>
  <si>
    <t xml:space="preserve"> 91.25亿</t>
  </si>
  <si>
    <t xml:space="preserve"> 豪鹏科技</t>
  </si>
  <si>
    <t xml:space="preserve"> 2864万</t>
  </si>
  <si>
    <t xml:space="preserve"> 8229万</t>
  </si>
  <si>
    <t xml:space="preserve"> 37.61亿</t>
  </si>
  <si>
    <t xml:space="preserve"> 5725万</t>
  </si>
  <si>
    <t xml:space="preserve"> 26.16亿</t>
  </si>
  <si>
    <t xml:space="preserve"> 科强股份</t>
  </si>
  <si>
    <t xml:space="preserve"> 3299万</t>
  </si>
  <si>
    <t xml:space="preserve"> 2.785亿</t>
  </si>
  <si>
    <t xml:space="preserve"> 交大思诺</t>
  </si>
  <si>
    <t xml:space="preserve"> 2861万</t>
  </si>
  <si>
    <t xml:space="preserve"> 华康医疗</t>
  </si>
  <si>
    <t xml:space="preserve"> 1.056亿</t>
  </si>
  <si>
    <t xml:space="preserve"> 27.59亿</t>
  </si>
  <si>
    <t xml:space="preserve"> 5009万</t>
  </si>
  <si>
    <t xml:space="preserve"> 中粮科工</t>
  </si>
  <si>
    <t xml:space="preserve"> 2860万</t>
  </si>
  <si>
    <t xml:space="preserve"> 2.034亿</t>
  </si>
  <si>
    <t xml:space="preserve"> 24.02亿</t>
  </si>
  <si>
    <t xml:space="preserve"> 安靠智电</t>
  </si>
  <si>
    <t xml:space="preserve"> 2858万</t>
  </si>
  <si>
    <t xml:space="preserve"> 51.41亿</t>
  </si>
  <si>
    <t xml:space="preserve"> 浙江大农</t>
  </si>
  <si>
    <t xml:space="preserve"> 7473万</t>
  </si>
  <si>
    <t xml:space="preserve"> 2103万</t>
  </si>
  <si>
    <t xml:space="preserve"> 奥雅股份</t>
  </si>
  <si>
    <t xml:space="preserve"> 2857万</t>
  </si>
  <si>
    <t xml:space="preserve"> 华瑞股份</t>
  </si>
  <si>
    <t xml:space="preserve"> 2854万</t>
  </si>
  <si>
    <t xml:space="preserve"> 18.77亿</t>
  </si>
  <si>
    <t xml:space="preserve"> 复旦张江</t>
  </si>
  <si>
    <t xml:space="preserve"> 2849万</t>
  </si>
  <si>
    <t xml:space="preserve"> 72.48亿</t>
  </si>
  <si>
    <t xml:space="preserve"> 键凯科技</t>
  </si>
  <si>
    <t xml:space="preserve"> 2848万</t>
  </si>
  <si>
    <t xml:space="preserve"> 天能重工</t>
  </si>
  <si>
    <t xml:space="preserve"> 2847万</t>
  </si>
  <si>
    <t xml:space="preserve"> 26.3亿</t>
  </si>
  <si>
    <t xml:space="preserve"> 72.10亿</t>
  </si>
  <si>
    <t xml:space="preserve"> 天臣医疗</t>
  </si>
  <si>
    <t xml:space="preserve"> 8116万</t>
  </si>
  <si>
    <t xml:space="preserve"> 银都股份</t>
  </si>
  <si>
    <t xml:space="preserve"> 中新集团</t>
  </si>
  <si>
    <t xml:space="preserve"> 2846万</t>
  </si>
  <si>
    <t xml:space="preserve"> 金冠电气</t>
  </si>
  <si>
    <t xml:space="preserve"> 2842万</t>
  </si>
  <si>
    <t xml:space="preserve"> 8550万</t>
  </si>
  <si>
    <t xml:space="preserve"> 大丰实业</t>
  </si>
  <si>
    <t xml:space="preserve"> 2839万</t>
  </si>
  <si>
    <t xml:space="preserve"> 4.096亿</t>
  </si>
  <si>
    <t xml:space="preserve"> 45.92亿</t>
  </si>
  <si>
    <t xml:space="preserve"> 45.28亿</t>
  </si>
  <si>
    <t xml:space="preserve"> 智动力</t>
  </si>
  <si>
    <t xml:space="preserve"> 2.656亿</t>
  </si>
  <si>
    <t xml:space="preserve"> 28.71亿</t>
  </si>
  <si>
    <t xml:space="preserve"> 辰光医疗</t>
  </si>
  <si>
    <t xml:space="preserve"> 9948万</t>
  </si>
  <si>
    <t xml:space="preserve"> 8585万</t>
  </si>
  <si>
    <t xml:space="preserve"> 7.203亿</t>
  </si>
  <si>
    <t xml:space="preserve"> 4.382亿</t>
  </si>
  <si>
    <t xml:space="preserve"> 博迅生物</t>
  </si>
  <si>
    <t xml:space="preserve"> 2836万</t>
  </si>
  <si>
    <t xml:space="preserve"> 4333万</t>
  </si>
  <si>
    <t xml:space="preserve"> 6.231亿</t>
  </si>
  <si>
    <t xml:space="preserve"> 1099万</t>
  </si>
  <si>
    <t xml:space="preserve"> 康鹏科技</t>
  </si>
  <si>
    <t xml:space="preserve"> 2831万</t>
  </si>
  <si>
    <t xml:space="preserve"> 59.83亿</t>
  </si>
  <si>
    <t xml:space="preserve"> 8473万</t>
  </si>
  <si>
    <t xml:space="preserve"> 紫建电子</t>
  </si>
  <si>
    <t xml:space="preserve"> 2830万</t>
  </si>
  <si>
    <t xml:space="preserve"> 7080万</t>
  </si>
  <si>
    <t xml:space="preserve"> 29.38亿</t>
  </si>
  <si>
    <t xml:space="preserve"> 金银河</t>
  </si>
  <si>
    <t xml:space="preserve"> 2826万</t>
  </si>
  <si>
    <t xml:space="preserve"> 8903万</t>
  </si>
  <si>
    <t xml:space="preserve"> 48.86亿</t>
  </si>
  <si>
    <t xml:space="preserve"> 7230万</t>
  </si>
  <si>
    <t xml:space="preserve"> 国城矿业</t>
  </si>
  <si>
    <t xml:space="preserve"> 2821万</t>
  </si>
  <si>
    <t xml:space="preserve"> 宝塔实业</t>
  </si>
  <si>
    <t xml:space="preserve"> 58.30亿</t>
  </si>
  <si>
    <t xml:space="preserve"> 58.28亿</t>
  </si>
  <si>
    <t xml:space="preserve"> 利仁科技</t>
  </si>
  <si>
    <t xml:space="preserve"> 2816万</t>
  </si>
  <si>
    <t xml:space="preserve"> 7359万</t>
  </si>
  <si>
    <t xml:space="preserve"> 1848万</t>
  </si>
  <si>
    <t xml:space="preserve"> 新天药业</t>
  </si>
  <si>
    <t xml:space="preserve"> 2815万</t>
  </si>
  <si>
    <t xml:space="preserve"> 7.76亿</t>
  </si>
  <si>
    <t xml:space="preserve"> 2.315亿</t>
  </si>
  <si>
    <t xml:space="preserve"> 30.00亿</t>
  </si>
  <si>
    <t xml:space="preserve"> 2.241亿</t>
  </si>
  <si>
    <t xml:space="preserve"> *ST三盛</t>
  </si>
  <si>
    <t xml:space="preserve"> 2811万</t>
  </si>
  <si>
    <t xml:space="preserve"> 3.743亿</t>
  </si>
  <si>
    <t xml:space="preserve"> 一致魔芋</t>
  </si>
  <si>
    <t xml:space="preserve"> 7375万</t>
  </si>
  <si>
    <t xml:space="preserve"> 9.278亿</t>
  </si>
  <si>
    <t xml:space="preserve"> 2642万</t>
  </si>
  <si>
    <t xml:space="preserve"> 3.323亿</t>
  </si>
  <si>
    <t xml:space="preserve"> 胜蓝股份</t>
  </si>
  <si>
    <t xml:space="preserve"> 2809万</t>
  </si>
  <si>
    <t xml:space="preserve"> 1.417亿</t>
  </si>
  <si>
    <t xml:space="preserve"> 32.03亿</t>
  </si>
  <si>
    <t xml:space="preserve"> 晶赛科技</t>
  </si>
  <si>
    <t xml:space="preserve"> 2808万</t>
  </si>
  <si>
    <t xml:space="preserve"> 7647万</t>
  </si>
  <si>
    <t xml:space="preserve"> 5.787亿</t>
  </si>
  <si>
    <t xml:space="preserve"> 铜冠铜箔</t>
  </si>
  <si>
    <t xml:space="preserve"> 2806万</t>
  </si>
  <si>
    <t xml:space="preserve"> 27.71亿</t>
  </si>
  <si>
    <t xml:space="preserve"> 格林达</t>
  </si>
  <si>
    <t xml:space="preserve"> 2805万</t>
  </si>
  <si>
    <t xml:space="preserve"> 1.996亿</t>
  </si>
  <si>
    <t xml:space="preserve"> 三元股份</t>
  </si>
  <si>
    <t xml:space="preserve"> 72.64亿</t>
  </si>
  <si>
    <t xml:space="preserve"> 恒林股份</t>
  </si>
  <si>
    <t xml:space="preserve"> 亚太实业</t>
  </si>
  <si>
    <t xml:space="preserve"> 2804万</t>
  </si>
  <si>
    <t xml:space="preserve"> 3.233亿</t>
  </si>
  <si>
    <t xml:space="preserve"> 百川畅银</t>
  </si>
  <si>
    <t xml:space="preserve"> 2802万</t>
  </si>
  <si>
    <t xml:space="preserve"> 8900万</t>
  </si>
  <si>
    <t xml:space="preserve"> ST中安</t>
  </si>
  <si>
    <t xml:space="preserve"> 2799万</t>
  </si>
  <si>
    <t xml:space="preserve"> -2.55万</t>
  </si>
  <si>
    <t xml:space="preserve"> 28.63亿</t>
  </si>
  <si>
    <t xml:space="preserve"> 69.87亿</t>
  </si>
  <si>
    <t xml:space="preserve"> 之江生物</t>
  </si>
  <si>
    <t xml:space="preserve"> 45.25亿</t>
  </si>
  <si>
    <t xml:space="preserve"> 阳谷华泰</t>
  </si>
  <si>
    <t xml:space="preserve"> 38.65亿</t>
  </si>
  <si>
    <t xml:space="preserve"> 37.28亿</t>
  </si>
  <si>
    <t xml:space="preserve"> 健盛集团</t>
  </si>
  <si>
    <t xml:space="preserve"> 2795万</t>
  </si>
  <si>
    <t xml:space="preserve"> 视声智能</t>
  </si>
  <si>
    <t xml:space="preserve"> 5068万</t>
  </si>
  <si>
    <t xml:space="preserve"> 6.355亿</t>
  </si>
  <si>
    <t xml:space="preserve"> 1587万</t>
  </si>
  <si>
    <t xml:space="preserve"> 雪峰科技</t>
  </si>
  <si>
    <t xml:space="preserve"> 77.16亿</t>
  </si>
  <si>
    <t xml:space="preserve"> 55.00亿</t>
  </si>
  <si>
    <t xml:space="preserve"> 松发股份</t>
  </si>
  <si>
    <t xml:space="preserve"> 1.242亿</t>
  </si>
  <si>
    <t xml:space="preserve"> 20.67亿</t>
  </si>
  <si>
    <t xml:space="preserve"> 龙腾光电</t>
  </si>
  <si>
    <t xml:space="preserve"> 27.7亿</t>
  </si>
  <si>
    <t xml:space="preserve"> 161.0亿</t>
  </si>
  <si>
    <t xml:space="preserve"> 三旺通信</t>
  </si>
  <si>
    <t xml:space="preserve"> 2791万</t>
  </si>
  <si>
    <t xml:space="preserve"> 7513万</t>
  </si>
  <si>
    <t xml:space="preserve"> 43.57亿</t>
  </si>
  <si>
    <t xml:space="preserve"> 2524万</t>
  </si>
  <si>
    <t xml:space="preserve"> 河化股份</t>
  </si>
  <si>
    <t xml:space="preserve"> 2790万</t>
  </si>
  <si>
    <t xml:space="preserve"> 3.661亿</t>
  </si>
  <si>
    <t xml:space="preserve"> 天际股份</t>
  </si>
  <si>
    <t xml:space="preserve"> 4.051亿</t>
  </si>
  <si>
    <t xml:space="preserve"> 45.65亿</t>
  </si>
  <si>
    <t xml:space="preserve"> 晨光电缆</t>
  </si>
  <si>
    <t xml:space="preserve"> 2787万</t>
  </si>
  <si>
    <t xml:space="preserve"> 8.870亿</t>
  </si>
  <si>
    <t xml:space="preserve"> 8831万</t>
  </si>
  <si>
    <t xml:space="preserve"> 3.886亿</t>
  </si>
  <si>
    <t xml:space="preserve"> 迅安科技</t>
  </si>
  <si>
    <t xml:space="preserve"> 2784万</t>
  </si>
  <si>
    <t xml:space="preserve"> 4700万</t>
  </si>
  <si>
    <t xml:space="preserve"> 8.408亿</t>
  </si>
  <si>
    <t xml:space="preserve"> 1200万</t>
  </si>
  <si>
    <t xml:space="preserve"> 康乐卫士</t>
  </si>
  <si>
    <t xml:space="preserve"> 2783万</t>
  </si>
  <si>
    <t xml:space="preserve"> 2.809亿</t>
  </si>
  <si>
    <t xml:space="preserve"> 47.06亿</t>
  </si>
  <si>
    <t xml:space="preserve"> 22.87亿</t>
  </si>
  <si>
    <t xml:space="preserve"> 重庆港</t>
  </si>
  <si>
    <t xml:space="preserve"> 豪悦护理</t>
  </si>
  <si>
    <t xml:space="preserve"> 2780万</t>
  </si>
  <si>
    <t xml:space="preserve"> 64.53亿</t>
  </si>
  <si>
    <t xml:space="preserve"> 道森股份</t>
  </si>
  <si>
    <t xml:space="preserve"> 2779万</t>
  </si>
  <si>
    <t xml:space="preserve"> 58.05亿</t>
  </si>
  <si>
    <t xml:space="preserve"> 奥精医疗</t>
  </si>
  <si>
    <t xml:space="preserve"> 31.64亿</t>
  </si>
  <si>
    <t xml:space="preserve"> 24.98亿</t>
  </si>
  <si>
    <t xml:space="preserve"> 嘉麟杰</t>
  </si>
  <si>
    <t xml:space="preserve"> 2778万</t>
  </si>
  <si>
    <t xml:space="preserve"> 8.320亿</t>
  </si>
  <si>
    <t xml:space="preserve"> 广电电气</t>
  </si>
  <si>
    <t xml:space="preserve"> 2776万</t>
  </si>
  <si>
    <t xml:space="preserve"> 32.28亿</t>
  </si>
  <si>
    <t xml:space="preserve"> 国义招标</t>
  </si>
  <si>
    <t xml:space="preserve"> 1.538亿</t>
  </si>
  <si>
    <t xml:space="preserve"> 兴业科技</t>
  </si>
  <si>
    <t xml:space="preserve"> 2775万</t>
  </si>
  <si>
    <t xml:space="preserve"> 2.919亿</t>
  </si>
  <si>
    <t xml:space="preserve"> 37.48亿</t>
  </si>
  <si>
    <t xml:space="preserve"> 2.889亿</t>
  </si>
  <si>
    <t xml:space="preserve"> ST沪科</t>
  </si>
  <si>
    <t xml:space="preserve"> 2774万</t>
  </si>
  <si>
    <t xml:space="preserve"> 3.184亿</t>
  </si>
  <si>
    <t xml:space="preserve"> 15.15亿</t>
  </si>
  <si>
    <t xml:space="preserve"> 宁波东力</t>
  </si>
  <si>
    <t xml:space="preserve"> 2770万</t>
  </si>
  <si>
    <t xml:space="preserve"> 4.809亿</t>
  </si>
  <si>
    <t xml:space="preserve"> 建科院</t>
  </si>
  <si>
    <t xml:space="preserve"> 22.53亿</t>
  </si>
  <si>
    <t xml:space="preserve"> 崇德科技</t>
  </si>
  <si>
    <t xml:space="preserve"> 2769万</t>
  </si>
  <si>
    <t xml:space="preserve"> 1422万</t>
  </si>
  <si>
    <t xml:space="preserve"> 9.205亿</t>
  </si>
  <si>
    <t xml:space="preserve"> 远大控股</t>
  </si>
  <si>
    <t xml:space="preserve"> 2768万</t>
  </si>
  <si>
    <t xml:space="preserve"> 652亿</t>
  </si>
  <si>
    <t xml:space="preserve"> 5.089亿</t>
  </si>
  <si>
    <t xml:space="preserve"> 37.31亿</t>
  </si>
  <si>
    <t xml:space="preserve"> 5.020亿</t>
  </si>
  <si>
    <t xml:space="preserve"> 永福股份</t>
  </si>
  <si>
    <t xml:space="preserve"> 1.875亿</t>
  </si>
  <si>
    <t xml:space="preserve"> 洛凯股份</t>
  </si>
  <si>
    <t xml:space="preserve"> 百川股份</t>
  </si>
  <si>
    <t xml:space="preserve"> 2764万</t>
  </si>
  <si>
    <t xml:space="preserve"> 5.932亿</t>
  </si>
  <si>
    <t xml:space="preserve"> 42.89亿</t>
  </si>
  <si>
    <t xml:space="preserve"> 万辰集团</t>
  </si>
  <si>
    <t xml:space="preserve"> 7601万</t>
  </si>
  <si>
    <t xml:space="preserve"> 25.08亿</t>
  </si>
  <si>
    <t xml:space="preserve"> ST工智</t>
  </si>
  <si>
    <t xml:space="preserve"> 7.609亿</t>
  </si>
  <si>
    <t xml:space="preserve"> 7.492亿</t>
  </si>
  <si>
    <t xml:space="preserve"> 倍杰特</t>
  </si>
  <si>
    <t xml:space="preserve"> 2754万</t>
  </si>
  <si>
    <t xml:space="preserve"> 普路通</t>
  </si>
  <si>
    <t xml:space="preserve"> 3.733亿</t>
  </si>
  <si>
    <t xml:space="preserve"> 33.11亿</t>
  </si>
  <si>
    <t xml:space="preserve"> 3.306亿</t>
  </si>
  <si>
    <t xml:space="preserve"> 索辰科技</t>
  </si>
  <si>
    <t xml:space="preserve"> 2751万</t>
  </si>
  <si>
    <t xml:space="preserve"> 75.51亿</t>
  </si>
  <si>
    <t xml:space="preserve"> 1443万</t>
  </si>
  <si>
    <t xml:space="preserve"> 深南电A</t>
  </si>
  <si>
    <t xml:space="preserve"> 2749万</t>
  </si>
  <si>
    <t xml:space="preserve"> 6.028亿</t>
  </si>
  <si>
    <t xml:space="preserve"> 3.389亿</t>
  </si>
  <si>
    <t xml:space="preserve"> 绿通科技</t>
  </si>
  <si>
    <t xml:space="preserve"> 2747万</t>
  </si>
  <si>
    <t xml:space="preserve"> 1.049亿</t>
  </si>
  <si>
    <t xml:space="preserve"> 46.58亿</t>
  </si>
  <si>
    <t xml:space="preserve"> 2624万</t>
  </si>
  <si>
    <t xml:space="preserve"> 联科科技</t>
  </si>
  <si>
    <t xml:space="preserve"> 2745万</t>
  </si>
  <si>
    <t xml:space="preserve"> 6483万</t>
  </si>
  <si>
    <t xml:space="preserve"> 集智股份</t>
  </si>
  <si>
    <t xml:space="preserve"> 地素时尚</t>
  </si>
  <si>
    <t xml:space="preserve"> 4.774亿</t>
  </si>
  <si>
    <t xml:space="preserve"> 66.40亿</t>
  </si>
  <si>
    <t xml:space="preserve"> 4.714亿</t>
  </si>
  <si>
    <t xml:space="preserve"> 65.58亿</t>
  </si>
  <si>
    <t xml:space="preserve"> 芭田股份</t>
  </si>
  <si>
    <t xml:space="preserve"> 2743万</t>
  </si>
  <si>
    <t xml:space="preserve"> 8.899亿</t>
  </si>
  <si>
    <t xml:space="preserve"> 49.21亿</t>
  </si>
  <si>
    <t xml:space="preserve"> 39.17亿</t>
  </si>
  <si>
    <t xml:space="preserve"> 海 利 得</t>
  </si>
  <si>
    <t xml:space="preserve"> 42.6亿</t>
  </si>
  <si>
    <t xml:space="preserve"> 61.54亿</t>
  </si>
  <si>
    <t xml:space="preserve"> 汇隆活塞</t>
  </si>
  <si>
    <t xml:space="preserve"> 2739万</t>
  </si>
  <si>
    <t xml:space="preserve"> 7.861亿</t>
  </si>
  <si>
    <t xml:space="preserve"> 1.912亿</t>
  </si>
  <si>
    <t xml:space="preserve"> 濮耐股份</t>
  </si>
  <si>
    <t xml:space="preserve"> 8.255亿</t>
  </si>
  <si>
    <t xml:space="preserve"> 双枪科技</t>
  </si>
  <si>
    <t xml:space="preserve"> 2734万</t>
  </si>
  <si>
    <t xml:space="preserve"> 7200万</t>
  </si>
  <si>
    <t xml:space="preserve"> 17.91亿</t>
  </si>
  <si>
    <t xml:space="preserve"> 同德化工</t>
  </si>
  <si>
    <t xml:space="preserve"> 28.20亿</t>
  </si>
  <si>
    <t xml:space="preserve"> 3.195亿</t>
  </si>
  <si>
    <t xml:space="preserve"> 22.43亿</t>
  </si>
  <si>
    <t xml:space="preserve"> 宁新新材</t>
  </si>
  <si>
    <t xml:space="preserve"> 2729万</t>
  </si>
  <si>
    <t xml:space="preserve"> 9309万</t>
  </si>
  <si>
    <t xml:space="preserve"> 龙竹科技</t>
  </si>
  <si>
    <t xml:space="preserve"> 2727万</t>
  </si>
  <si>
    <t xml:space="preserve"> 1.491亿</t>
  </si>
  <si>
    <t xml:space="preserve"> 8.958亿</t>
  </si>
  <si>
    <t xml:space="preserve"> 9246万</t>
  </si>
  <si>
    <t xml:space="preserve"> 5.557亿</t>
  </si>
  <si>
    <t xml:space="preserve"> 中农立华</t>
  </si>
  <si>
    <t xml:space="preserve"> 2.688亿</t>
  </si>
  <si>
    <t xml:space="preserve"> 43.30亿</t>
  </si>
  <si>
    <t xml:space="preserve"> 怡球资源</t>
  </si>
  <si>
    <t xml:space="preserve"> 2724万</t>
  </si>
  <si>
    <t xml:space="preserve"> 51.4亿</t>
  </si>
  <si>
    <t xml:space="preserve"> 22.01亿</t>
  </si>
  <si>
    <t xml:space="preserve"> 58.33亿</t>
  </si>
  <si>
    <t xml:space="preserve"> 云南旅游</t>
  </si>
  <si>
    <t xml:space="preserve"> 2723万</t>
  </si>
  <si>
    <t xml:space="preserve"> 58.32亿</t>
  </si>
  <si>
    <t xml:space="preserve"> 54.37亿</t>
  </si>
  <si>
    <t xml:space="preserve"> 启迪药业</t>
  </si>
  <si>
    <t xml:space="preserve"> 2.395亿</t>
  </si>
  <si>
    <t xml:space="preserve"> 22.46亿</t>
  </si>
  <si>
    <t xml:space="preserve"> 22.45亿</t>
  </si>
  <si>
    <t xml:space="preserve"> 维业股份</t>
  </si>
  <si>
    <t xml:space="preserve"> 2722万</t>
  </si>
  <si>
    <t xml:space="preserve"> 1.960亿</t>
  </si>
  <si>
    <t xml:space="preserve"> 三雄极光</t>
  </si>
  <si>
    <t xml:space="preserve"> 2721万</t>
  </si>
  <si>
    <t xml:space="preserve"> 2.793亿</t>
  </si>
  <si>
    <t xml:space="preserve"> 40.61亿</t>
  </si>
  <si>
    <t xml:space="preserve"> 外服控股</t>
  </si>
  <si>
    <t xml:space="preserve"> 140亿</t>
  </si>
  <si>
    <t xml:space="preserve"> 119.0亿</t>
  </si>
  <si>
    <t xml:space="preserve"> 透景生命</t>
  </si>
  <si>
    <t xml:space="preserve"> 民丰特纸</t>
  </si>
  <si>
    <t xml:space="preserve"> 3.513亿</t>
  </si>
  <si>
    <t xml:space="preserve"> 杭电股份</t>
  </si>
  <si>
    <t xml:space="preserve"> 6.911亿</t>
  </si>
  <si>
    <t xml:space="preserve"> 科泰电源</t>
  </si>
  <si>
    <t xml:space="preserve"> 2719万</t>
  </si>
  <si>
    <t xml:space="preserve"> 25.57亿</t>
  </si>
  <si>
    <t xml:space="preserve"> 易成新能</t>
  </si>
  <si>
    <t xml:space="preserve"> 2715万</t>
  </si>
  <si>
    <t xml:space="preserve"> 72.5亿</t>
  </si>
  <si>
    <t xml:space="preserve"> 104.5亿</t>
  </si>
  <si>
    <t xml:space="preserve"> 永信至诚</t>
  </si>
  <si>
    <t xml:space="preserve"> 2713万</t>
  </si>
  <si>
    <t xml:space="preserve"> 3280万</t>
  </si>
  <si>
    <t xml:space="preserve"> 18.89亿</t>
  </si>
  <si>
    <t xml:space="preserve"> 大亚圣象</t>
  </si>
  <si>
    <t xml:space="preserve"> 2712万</t>
  </si>
  <si>
    <t xml:space="preserve"> 5.474亿</t>
  </si>
  <si>
    <t xml:space="preserve"> 5.471亿</t>
  </si>
  <si>
    <t xml:space="preserve"> 45.14亿</t>
  </si>
  <si>
    <t xml:space="preserve"> 楚环科技</t>
  </si>
  <si>
    <t xml:space="preserve"> 2856万</t>
  </si>
  <si>
    <t xml:space="preserve"> 欧克科技</t>
  </si>
  <si>
    <t xml:space="preserve"> 1668万</t>
  </si>
  <si>
    <t xml:space="preserve"> 中创物流</t>
  </si>
  <si>
    <t xml:space="preserve"> 2710万</t>
  </si>
  <si>
    <t xml:space="preserve"> 3.467亿</t>
  </si>
  <si>
    <t xml:space="preserve"> 闽发铝业</t>
  </si>
  <si>
    <t xml:space="preserve"> 2706万</t>
  </si>
  <si>
    <t xml:space="preserve"> 9.386亿</t>
  </si>
  <si>
    <t xml:space="preserve"> 35.48亿</t>
  </si>
  <si>
    <t xml:space="preserve"> 32.55亿</t>
  </si>
  <si>
    <t xml:space="preserve"> 岳阳兴长</t>
  </si>
  <si>
    <t xml:space="preserve"> 2699万</t>
  </si>
  <si>
    <t xml:space="preserve"> 57.92亿</t>
  </si>
  <si>
    <t xml:space="preserve"> 2.992亿</t>
  </si>
  <si>
    <t xml:space="preserve"> 56.24亿</t>
  </si>
  <si>
    <t xml:space="preserve"> 四方科技</t>
  </si>
  <si>
    <t xml:space="preserve"> 2696万</t>
  </si>
  <si>
    <t xml:space="preserve"> 3.094亿</t>
  </si>
  <si>
    <t xml:space="preserve"> 西山科技</t>
  </si>
  <si>
    <t xml:space="preserve"> 2694万</t>
  </si>
  <si>
    <t xml:space="preserve"> 5300万</t>
  </si>
  <si>
    <t xml:space="preserve"> 49.06亿</t>
  </si>
  <si>
    <t xml:space="preserve"> 1234万</t>
  </si>
  <si>
    <t xml:space="preserve"> 肇民科技</t>
  </si>
  <si>
    <t xml:space="preserve"> 2693万</t>
  </si>
  <si>
    <t xml:space="preserve"> 30.43亿</t>
  </si>
  <si>
    <t xml:space="preserve"> 6912万</t>
  </si>
  <si>
    <t xml:space="preserve"> 百傲化学</t>
  </si>
  <si>
    <t xml:space="preserve"> 3.603亿</t>
  </si>
  <si>
    <t xml:space="preserve"> 英华特</t>
  </si>
  <si>
    <t xml:space="preserve"> 2691万</t>
  </si>
  <si>
    <t xml:space="preserve"> 31.41亿</t>
  </si>
  <si>
    <t xml:space="preserve"> 1388万</t>
  </si>
  <si>
    <t xml:space="preserve"> 7.447亿</t>
  </si>
  <si>
    <t xml:space="preserve"> 港通医疗</t>
  </si>
  <si>
    <t xml:space="preserve"> 2689万</t>
  </si>
  <si>
    <t xml:space="preserve"> 7.546亿</t>
  </si>
  <si>
    <t xml:space="preserve"> 同享科技</t>
  </si>
  <si>
    <t xml:space="preserve"> 2686万</t>
  </si>
  <si>
    <t xml:space="preserve"> 6511万</t>
  </si>
  <si>
    <t xml:space="preserve"> 8.666亿</t>
  </si>
  <si>
    <t xml:space="preserve"> 泰福泵业</t>
  </si>
  <si>
    <t xml:space="preserve"> 2681万</t>
  </si>
  <si>
    <t xml:space="preserve"> 9080万</t>
  </si>
  <si>
    <t xml:space="preserve"> 4355万</t>
  </si>
  <si>
    <t xml:space="preserve"> 七彩化学</t>
  </si>
  <si>
    <t xml:space="preserve"> 2675万</t>
  </si>
  <si>
    <t xml:space="preserve"> 4.081亿</t>
  </si>
  <si>
    <t xml:space="preserve"> 3.158亿</t>
  </si>
  <si>
    <t xml:space="preserve"> 32.30亿</t>
  </si>
  <si>
    <t xml:space="preserve"> 地铁设计</t>
  </si>
  <si>
    <t xml:space="preserve"> 2674万</t>
  </si>
  <si>
    <t xml:space="preserve"> 66.44亿</t>
  </si>
  <si>
    <t xml:space="preserve"> 东岳硅材</t>
  </si>
  <si>
    <t xml:space="preserve"> 2672万</t>
  </si>
  <si>
    <t xml:space="preserve"> 华光新材</t>
  </si>
  <si>
    <t xml:space="preserve"> 8875万</t>
  </si>
  <si>
    <t xml:space="preserve"> 18.09亿</t>
  </si>
  <si>
    <t xml:space="preserve"> 电光科技</t>
  </si>
  <si>
    <t xml:space="preserve"> 2670万</t>
  </si>
  <si>
    <t xml:space="preserve"> 34.43亿</t>
  </si>
  <si>
    <t xml:space="preserve"> 会通股份</t>
  </si>
  <si>
    <t xml:space="preserve"> 2668万</t>
  </si>
  <si>
    <t xml:space="preserve"> 4.593亿</t>
  </si>
  <si>
    <t xml:space="preserve"> 泓博医药</t>
  </si>
  <si>
    <t xml:space="preserve"> 2667万</t>
  </si>
  <si>
    <t xml:space="preserve"> 5937万</t>
  </si>
  <si>
    <t xml:space="preserve"> 航亚科技</t>
  </si>
  <si>
    <t xml:space="preserve"> 2.584亿</t>
  </si>
  <si>
    <t xml:space="preserve"> 45.58亿</t>
  </si>
  <si>
    <t xml:space="preserve"> 1.661亿</t>
  </si>
  <si>
    <t xml:space="preserve"> 29.29亿</t>
  </si>
  <si>
    <t xml:space="preserve"> 新风光</t>
  </si>
  <si>
    <t xml:space="preserve"> 2666万</t>
  </si>
  <si>
    <t xml:space="preserve"> 9.97亿</t>
  </si>
  <si>
    <t xml:space="preserve"> 1.399亿</t>
  </si>
  <si>
    <t xml:space="preserve"> 37.84亿</t>
  </si>
  <si>
    <t xml:space="preserve"> 8642万</t>
  </si>
  <si>
    <t xml:space="preserve"> 23.37亿</t>
  </si>
  <si>
    <t xml:space="preserve"> 神马电力</t>
  </si>
  <si>
    <t xml:space="preserve"> 6.73亿</t>
  </si>
  <si>
    <t xml:space="preserve"> 4.323亿</t>
  </si>
  <si>
    <t xml:space="preserve"> 68.60亿</t>
  </si>
  <si>
    <t xml:space="preserve"> 华塑股份</t>
  </si>
  <si>
    <t xml:space="preserve"> 124.9亿</t>
  </si>
  <si>
    <t xml:space="preserve"> 西藏旅游</t>
  </si>
  <si>
    <t xml:space="preserve"> 2661万</t>
  </si>
  <si>
    <t xml:space="preserve"> 27.42亿</t>
  </si>
  <si>
    <t xml:space="preserve"> 得邦照明</t>
  </si>
  <si>
    <t xml:space="preserve"> 4.769亿</t>
  </si>
  <si>
    <t xml:space="preserve"> 62.86亿</t>
  </si>
  <si>
    <t xml:space="preserve"> 三孚股份</t>
  </si>
  <si>
    <t xml:space="preserve"> 2659万</t>
  </si>
  <si>
    <t xml:space="preserve"> 3.826亿</t>
  </si>
  <si>
    <t xml:space="preserve"> 65.28亿</t>
  </si>
  <si>
    <t xml:space="preserve"> 旺能环境</t>
  </si>
  <si>
    <t xml:space="preserve"> 4.295亿</t>
  </si>
  <si>
    <t xml:space="preserve"> 65.11亿</t>
  </si>
  <si>
    <t xml:space="preserve"> 蒙泰高新</t>
  </si>
  <si>
    <t xml:space="preserve"> 2658万</t>
  </si>
  <si>
    <t xml:space="preserve"> 24.70亿</t>
  </si>
  <si>
    <t xml:space="preserve"> 6839万</t>
  </si>
  <si>
    <t xml:space="preserve"> 17.60亿</t>
  </si>
  <si>
    <t xml:space="preserve"> 德尔未来</t>
  </si>
  <si>
    <t xml:space="preserve"> 6.587亿</t>
  </si>
  <si>
    <t xml:space="preserve"> 6.549亿</t>
  </si>
  <si>
    <t xml:space="preserve"> 冀东装备</t>
  </si>
  <si>
    <t xml:space="preserve"> 2655万</t>
  </si>
  <si>
    <t xml:space="preserve"> 云维股份</t>
  </si>
  <si>
    <t xml:space="preserve"> 2654万</t>
  </si>
  <si>
    <t xml:space="preserve"> 36.48亿</t>
  </si>
  <si>
    <t xml:space="preserve"> 拱东医疗</t>
  </si>
  <si>
    <t xml:space="preserve"> 1.126亿</t>
  </si>
  <si>
    <t xml:space="preserve"> 67.57亿</t>
  </si>
  <si>
    <t xml:space="preserve"> 大元泵业</t>
  </si>
  <si>
    <t xml:space="preserve"> 2653万</t>
  </si>
  <si>
    <t xml:space="preserve"> 1.667亿</t>
  </si>
  <si>
    <t xml:space="preserve"> 泓淋电力</t>
  </si>
  <si>
    <t xml:space="preserve"> 2650万</t>
  </si>
  <si>
    <t xml:space="preserve"> 3.891亿</t>
  </si>
  <si>
    <t xml:space="preserve"> 58.99亿</t>
  </si>
  <si>
    <t xml:space="preserve"> 苏博特</t>
  </si>
  <si>
    <t xml:space="preserve"> 4.203亿</t>
  </si>
  <si>
    <t xml:space="preserve"> 中际联合</t>
  </si>
  <si>
    <t xml:space="preserve"> 1.518亿</t>
  </si>
  <si>
    <t xml:space="preserve"> 潍柴重机</t>
  </si>
  <si>
    <t xml:space="preserve"> 3.313亿</t>
  </si>
  <si>
    <t xml:space="preserve"> 晟楠科技</t>
  </si>
  <si>
    <t xml:space="preserve"> 9029万</t>
  </si>
  <si>
    <t xml:space="preserve"> 2882万</t>
  </si>
  <si>
    <t xml:space="preserve"> 星徽股份</t>
  </si>
  <si>
    <t xml:space="preserve"> 2649万</t>
  </si>
  <si>
    <t xml:space="preserve"> 29.98亿</t>
  </si>
  <si>
    <t xml:space="preserve"> 天原股份</t>
  </si>
  <si>
    <t xml:space="preserve"> 68.73亿</t>
  </si>
  <si>
    <t xml:space="preserve"> 61.15亿</t>
  </si>
  <si>
    <t xml:space="preserve"> 鹿山新材</t>
  </si>
  <si>
    <t xml:space="preserve"> 2647万</t>
  </si>
  <si>
    <t xml:space="preserve"> 9332万</t>
  </si>
  <si>
    <t xml:space="preserve"> 华电能源</t>
  </si>
  <si>
    <t xml:space="preserve"> 盛剑环境</t>
  </si>
  <si>
    <t xml:space="preserve"> 1.247亿</t>
  </si>
  <si>
    <t xml:space="preserve"> 41.34亿</t>
  </si>
  <si>
    <t xml:space="preserve"> 4438万</t>
  </si>
  <si>
    <t xml:space="preserve"> 恒进感应</t>
  </si>
  <si>
    <t xml:space="preserve"> 2645万</t>
  </si>
  <si>
    <t xml:space="preserve"> 6600万</t>
  </si>
  <si>
    <t xml:space="preserve"> 通用电梯</t>
  </si>
  <si>
    <t xml:space="preserve"> 2.401亿</t>
  </si>
  <si>
    <t xml:space="preserve"> 1.059亿</t>
  </si>
  <si>
    <t xml:space="preserve"> 9.083亿</t>
  </si>
  <si>
    <t xml:space="preserve"> 康力源</t>
  </si>
  <si>
    <t xml:space="preserve"> 1667万</t>
  </si>
  <si>
    <t xml:space="preserve"> 上海雅仕</t>
  </si>
  <si>
    <t xml:space="preserve"> 2644万</t>
  </si>
  <si>
    <t xml:space="preserve"> 卫信康</t>
  </si>
  <si>
    <t xml:space="preserve"> 2643万</t>
  </si>
  <si>
    <t xml:space="preserve"> 4.352亿</t>
  </si>
  <si>
    <t xml:space="preserve"> 4.291亿</t>
  </si>
  <si>
    <t xml:space="preserve"> 47.76亿</t>
  </si>
  <si>
    <t xml:space="preserve"> 雪天盐业</t>
  </si>
  <si>
    <t xml:space="preserve"> 44.2亿</t>
  </si>
  <si>
    <t xml:space="preserve"> 68.22亿</t>
  </si>
  <si>
    <t xml:space="preserve"> 博云新材</t>
  </si>
  <si>
    <t xml:space="preserve"> 2641万</t>
  </si>
  <si>
    <t xml:space="preserve"> 5.731亿</t>
  </si>
  <si>
    <t xml:space="preserve"> 纳川股份</t>
  </si>
  <si>
    <t xml:space="preserve"> 2637万</t>
  </si>
  <si>
    <t xml:space="preserve"> 9.082亿</t>
  </si>
  <si>
    <t xml:space="preserve"> 25.61亿</t>
  </si>
  <si>
    <t xml:space="preserve"> ST交昂</t>
  </si>
  <si>
    <t xml:space="preserve"> 2636万</t>
  </si>
  <si>
    <t xml:space="preserve"> 金徽股份</t>
  </si>
  <si>
    <t xml:space="preserve"> 2634万</t>
  </si>
  <si>
    <t xml:space="preserve"> 9.780亿</t>
  </si>
  <si>
    <t xml:space="preserve"> 1.596亿</t>
  </si>
  <si>
    <t xml:space="preserve"> 20.48亿</t>
  </si>
  <si>
    <t xml:space="preserve"> 宝鼎科技</t>
  </si>
  <si>
    <t xml:space="preserve"> 2631万</t>
  </si>
  <si>
    <t xml:space="preserve"> 3.156亿</t>
  </si>
  <si>
    <t xml:space="preserve"> 48.26亿</t>
  </si>
  <si>
    <t xml:space="preserve"> 佰仁医疗</t>
  </si>
  <si>
    <t xml:space="preserve"> 2629万</t>
  </si>
  <si>
    <t xml:space="preserve"> 189.4亿</t>
  </si>
  <si>
    <t xml:space="preserve"> 怡达股份</t>
  </si>
  <si>
    <t xml:space="preserve"> 春兰股份</t>
  </si>
  <si>
    <t xml:space="preserve"> 2623万</t>
  </si>
  <si>
    <t xml:space="preserve"> 5.195亿</t>
  </si>
  <si>
    <t xml:space="preserve"> 北京人力</t>
  </si>
  <si>
    <t xml:space="preserve"> 2622万</t>
  </si>
  <si>
    <t xml:space="preserve"> 287亿</t>
  </si>
  <si>
    <t xml:space="preserve"> 3.168亿</t>
  </si>
  <si>
    <t xml:space="preserve"> 66.75亿</t>
  </si>
  <si>
    <t xml:space="preserve"> 越剑智能</t>
  </si>
  <si>
    <t xml:space="preserve"> 2620万</t>
  </si>
  <si>
    <t xml:space="preserve"> 1.848亿</t>
  </si>
  <si>
    <t xml:space="preserve"> 圣达生物</t>
  </si>
  <si>
    <t xml:space="preserve"> 2619万</t>
  </si>
  <si>
    <t xml:space="preserve"> 华图山鼎</t>
  </si>
  <si>
    <t xml:space="preserve"> 4437万</t>
  </si>
  <si>
    <t xml:space="preserve"> 澄天伟业</t>
  </si>
  <si>
    <t xml:space="preserve"> 9962万</t>
  </si>
  <si>
    <t xml:space="preserve"> 20.84亿</t>
  </si>
  <si>
    <t xml:space="preserve"> 华伍股份</t>
  </si>
  <si>
    <t xml:space="preserve"> 2617万</t>
  </si>
  <si>
    <t xml:space="preserve"> 35.75亿</t>
  </si>
  <si>
    <t xml:space="preserve"> 28.64亿</t>
  </si>
  <si>
    <t xml:space="preserve"> 德艺文创</t>
  </si>
  <si>
    <t xml:space="preserve"> 3.125亿</t>
  </si>
  <si>
    <t xml:space="preserve"> 20.28亿</t>
  </si>
  <si>
    <t xml:space="preserve"> 九洲集团</t>
  </si>
  <si>
    <t xml:space="preserve"> 33.32亿</t>
  </si>
  <si>
    <t xml:space="preserve"> 泰坦股份</t>
  </si>
  <si>
    <t xml:space="preserve"> 2612万</t>
  </si>
  <si>
    <t xml:space="preserve"> 5671万</t>
  </si>
  <si>
    <t xml:space="preserve"> 7.332亿</t>
  </si>
  <si>
    <t xml:space="preserve"> 航新科技</t>
  </si>
  <si>
    <t xml:space="preserve"> 2611万</t>
  </si>
  <si>
    <t xml:space="preserve"> 国发股份</t>
  </si>
  <si>
    <t xml:space="preserve"> 5.242亿</t>
  </si>
  <si>
    <t xml:space="preserve"> 24.22亿</t>
  </si>
  <si>
    <t xml:space="preserve"> 朗特智能</t>
  </si>
  <si>
    <t xml:space="preserve"> 5.98亿</t>
  </si>
  <si>
    <t xml:space="preserve"> 1.446亿</t>
  </si>
  <si>
    <t xml:space="preserve"> 安诺其</t>
  </si>
  <si>
    <t xml:space="preserve"> 2610万</t>
  </si>
  <si>
    <t xml:space="preserve"> 7.732亿</t>
  </si>
  <si>
    <t xml:space="preserve"> 24.51亿</t>
  </si>
  <si>
    <t xml:space="preserve"> 中兰环保</t>
  </si>
  <si>
    <t xml:space="preserve"> 4592万</t>
  </si>
  <si>
    <t xml:space="preserve"> 豪江智能</t>
  </si>
  <si>
    <t xml:space="preserve"> 2607万</t>
  </si>
  <si>
    <t xml:space="preserve"> 34.36亿</t>
  </si>
  <si>
    <t xml:space="preserve"> 海南瑞泽</t>
  </si>
  <si>
    <t xml:space="preserve"> 2606万</t>
  </si>
  <si>
    <t xml:space="preserve"> 钱江水利</t>
  </si>
  <si>
    <t xml:space="preserve"> 3.530亿</t>
  </si>
  <si>
    <t xml:space="preserve"> 46.35亿</t>
  </si>
  <si>
    <t xml:space="preserve"> 南山智尚</t>
  </si>
  <si>
    <t xml:space="preserve"> 天域生态</t>
  </si>
  <si>
    <t xml:space="preserve"> 2604万</t>
  </si>
  <si>
    <t xml:space="preserve"> 2.901亿</t>
  </si>
  <si>
    <t xml:space="preserve"> 四川美丰</t>
  </si>
  <si>
    <t xml:space="preserve"> 2603万</t>
  </si>
  <si>
    <t xml:space="preserve"> 41.94亿</t>
  </si>
  <si>
    <t xml:space="preserve"> 罗普斯金</t>
  </si>
  <si>
    <t xml:space="preserve"> 2600万</t>
  </si>
  <si>
    <t xml:space="preserve"> 41.91亿</t>
  </si>
  <si>
    <t xml:space="preserve"> 4.026亿</t>
  </si>
  <si>
    <t xml:space="preserve"> 25.00亿</t>
  </si>
  <si>
    <t xml:space="preserve"> 智新电子</t>
  </si>
  <si>
    <t xml:space="preserve"> 2597万</t>
  </si>
  <si>
    <t xml:space="preserve"> 7.597亿</t>
  </si>
  <si>
    <t xml:space="preserve"> 5218万</t>
  </si>
  <si>
    <t xml:space="preserve"> 3.736亿</t>
  </si>
  <si>
    <t xml:space="preserve"> 棕榈股份</t>
  </si>
  <si>
    <t xml:space="preserve"> 2596万</t>
  </si>
  <si>
    <t xml:space="preserve"> 45.32亿</t>
  </si>
  <si>
    <t xml:space="preserve"> 36.23亿</t>
  </si>
  <si>
    <t xml:space="preserve"> 法狮龙</t>
  </si>
  <si>
    <t xml:space="preserve"> 2594万</t>
  </si>
  <si>
    <t xml:space="preserve"> 华旺科技</t>
  </si>
  <si>
    <t xml:space="preserve"> 2592万</t>
  </si>
  <si>
    <t xml:space="preserve"> 3.322亿</t>
  </si>
  <si>
    <t xml:space="preserve"> 34.59亿</t>
  </si>
  <si>
    <t xml:space="preserve"> 富煌钢构</t>
  </si>
  <si>
    <t xml:space="preserve"> 2589万</t>
  </si>
  <si>
    <t xml:space="preserve"> 25.59亿</t>
  </si>
  <si>
    <t xml:space="preserve"> 4.345亿</t>
  </si>
  <si>
    <t xml:space="preserve"> 25.55亿</t>
  </si>
  <si>
    <t xml:space="preserve"> 苏宁环球</t>
  </si>
  <si>
    <t xml:space="preserve"> 2588万</t>
  </si>
  <si>
    <t xml:space="preserve"> 64.11亿</t>
  </si>
  <si>
    <t xml:space="preserve"> 首药控股-U</t>
  </si>
  <si>
    <t xml:space="preserve"> 2586万</t>
  </si>
  <si>
    <t xml:space="preserve"> 500万</t>
  </si>
  <si>
    <t xml:space="preserve"> 86.15亿</t>
  </si>
  <si>
    <t xml:space="preserve"> 5476万</t>
  </si>
  <si>
    <t xml:space="preserve"> 31.73亿</t>
  </si>
  <si>
    <t xml:space="preserve"> 华洋赛车</t>
  </si>
  <si>
    <t xml:space="preserve"> 2584万</t>
  </si>
  <si>
    <t xml:space="preserve"> 8.512亿</t>
  </si>
  <si>
    <t xml:space="preserve"> 1124万</t>
  </si>
  <si>
    <t xml:space="preserve"> 安必平</t>
  </si>
  <si>
    <t xml:space="preserve"> 9357万</t>
  </si>
  <si>
    <t xml:space="preserve"> 润农节水</t>
  </si>
  <si>
    <t xml:space="preserve"> 2583万</t>
  </si>
  <si>
    <t xml:space="preserve"> 8.855亿</t>
  </si>
  <si>
    <t xml:space="preserve"> 6.082亿</t>
  </si>
  <si>
    <t xml:space="preserve"> 福立旺</t>
  </si>
  <si>
    <t xml:space="preserve"> 2582万</t>
  </si>
  <si>
    <t xml:space="preserve"> 31.31亿</t>
  </si>
  <si>
    <t xml:space="preserve"> 春晖智控</t>
  </si>
  <si>
    <t xml:space="preserve"> 1.008亿</t>
  </si>
  <si>
    <t xml:space="preserve"> 吉峰科技</t>
  </si>
  <si>
    <t xml:space="preserve"> 2581万</t>
  </si>
  <si>
    <t xml:space="preserve"> 4.972亿</t>
  </si>
  <si>
    <t xml:space="preserve"> 24.17亿</t>
  </si>
  <si>
    <t xml:space="preserve"> 3.235亿</t>
  </si>
  <si>
    <t xml:space="preserve"> 金橙子</t>
  </si>
  <si>
    <t xml:space="preserve"> 9.990亿</t>
  </si>
  <si>
    <t xml:space="preserve"> 天地源</t>
  </si>
  <si>
    <t xml:space="preserve"> 2580万</t>
  </si>
  <si>
    <t xml:space="preserve"> 52.1亿</t>
  </si>
  <si>
    <t xml:space="preserve"> 8.641亿</t>
  </si>
  <si>
    <t xml:space="preserve"> 34.39亿</t>
  </si>
  <si>
    <t xml:space="preserve"> 金河生物</t>
  </si>
  <si>
    <t xml:space="preserve"> 2579万</t>
  </si>
  <si>
    <t xml:space="preserve"> 宇新股份</t>
  </si>
  <si>
    <t xml:space="preserve"> 2578万</t>
  </si>
  <si>
    <t xml:space="preserve"> 46.7亿</t>
  </si>
  <si>
    <t xml:space="preserve"> 3.203亿</t>
  </si>
  <si>
    <t xml:space="preserve"> 40.25亿</t>
  </si>
  <si>
    <t xml:space="preserve"> 冠中生态</t>
  </si>
  <si>
    <t xml:space="preserve"> 6966万</t>
  </si>
  <si>
    <t xml:space="preserve"> 瑞纳智能</t>
  </si>
  <si>
    <t xml:space="preserve"> 2576万</t>
  </si>
  <si>
    <t xml:space="preserve"> 中旗股份</t>
  </si>
  <si>
    <t xml:space="preserve"> 2575万</t>
  </si>
  <si>
    <t xml:space="preserve"> 3.441亿</t>
  </si>
  <si>
    <t xml:space="preserve"> 恒宇信通</t>
  </si>
  <si>
    <t xml:space="preserve"> 2574万</t>
  </si>
  <si>
    <t xml:space="preserve"> 1643万</t>
  </si>
  <si>
    <t xml:space="preserve"> 9.085亿</t>
  </si>
  <si>
    <t xml:space="preserve"> 采纳股份</t>
  </si>
  <si>
    <t xml:space="preserve"> 52.15亿</t>
  </si>
  <si>
    <t xml:space="preserve"> 华生科技</t>
  </si>
  <si>
    <t xml:space="preserve"> 2567万</t>
  </si>
  <si>
    <t xml:space="preserve"> 4859万</t>
  </si>
  <si>
    <t xml:space="preserve"> 6.963亿</t>
  </si>
  <si>
    <t xml:space="preserve"> 帅丰电器</t>
  </si>
  <si>
    <t xml:space="preserve"> 28.23亿</t>
  </si>
  <si>
    <t xml:space="preserve"> 28.14亿</t>
  </si>
  <si>
    <t xml:space="preserve"> 鹏鹞环保</t>
  </si>
  <si>
    <t xml:space="preserve"> 7.925亿</t>
  </si>
  <si>
    <t xml:space="preserve"> 7.688亿</t>
  </si>
  <si>
    <t xml:space="preserve"> 43.44亿</t>
  </si>
  <si>
    <t xml:space="preserve"> *ST红相</t>
  </si>
  <si>
    <t xml:space="preserve"> 3.217亿</t>
  </si>
  <si>
    <t xml:space="preserve"> 22.94亿</t>
  </si>
  <si>
    <t xml:space="preserve"> 凯盛新能</t>
  </si>
  <si>
    <t xml:space="preserve"> 2563万</t>
  </si>
  <si>
    <t xml:space="preserve"> 6.457亿</t>
  </si>
  <si>
    <t xml:space="preserve"> 88.91亿</t>
  </si>
  <si>
    <t xml:space="preserve"> 3.824亿</t>
  </si>
  <si>
    <t xml:space="preserve"> 耐科装备</t>
  </si>
  <si>
    <t xml:space="preserve"> 8200万</t>
  </si>
  <si>
    <t xml:space="preserve"> 31.34亿</t>
  </si>
  <si>
    <t xml:space="preserve"> 1998万</t>
  </si>
  <si>
    <t xml:space="preserve"> 聆达股份</t>
  </si>
  <si>
    <t xml:space="preserve"> 2.676亿</t>
  </si>
  <si>
    <t xml:space="preserve"> 2.629亿</t>
  </si>
  <si>
    <t xml:space="preserve"> 36.20亿</t>
  </si>
  <si>
    <t xml:space="preserve"> 富士莱</t>
  </si>
  <si>
    <t xml:space="preserve"> 2555万</t>
  </si>
  <si>
    <t xml:space="preserve"> 31.63亿</t>
  </si>
  <si>
    <t xml:space="preserve"> 创新新材</t>
  </si>
  <si>
    <t xml:space="preserve"> 2553万</t>
  </si>
  <si>
    <t xml:space="preserve"> 535亿</t>
  </si>
  <si>
    <t xml:space="preserve"> 43.36亿</t>
  </si>
  <si>
    <t xml:space="preserve"> 215.9亿</t>
  </si>
  <si>
    <t xml:space="preserve"> 中电电机</t>
  </si>
  <si>
    <t xml:space="preserve"> 雷尔伟</t>
  </si>
  <si>
    <t xml:space="preserve"> 27.36亿</t>
  </si>
  <si>
    <t xml:space="preserve"> 杰克股份</t>
  </si>
  <si>
    <t xml:space="preserve"> 4.844亿</t>
  </si>
  <si>
    <t xml:space="preserve"> 4.735亿</t>
  </si>
  <si>
    <t xml:space="preserve"> 盛帮股份</t>
  </si>
  <si>
    <t xml:space="preserve"> 2550万</t>
  </si>
  <si>
    <t xml:space="preserve"> 5147万</t>
  </si>
  <si>
    <t xml:space="preserve"> 1846万</t>
  </si>
  <si>
    <t xml:space="preserve"> 8.189亿</t>
  </si>
  <si>
    <t xml:space="preserve"> 瑞丰高材</t>
  </si>
  <si>
    <t xml:space="preserve"> 神马股份</t>
  </si>
  <si>
    <t xml:space="preserve"> 2548万</t>
  </si>
  <si>
    <t xml:space="preserve"> 94.3亿</t>
  </si>
  <si>
    <t xml:space="preserve"> 81.76亿</t>
  </si>
  <si>
    <t xml:space="preserve"> 国安达</t>
  </si>
  <si>
    <t xml:space="preserve"> 2544万</t>
  </si>
  <si>
    <t xml:space="preserve"> 京能热力</t>
  </si>
  <si>
    <t xml:space="preserve"> 2.636亿</t>
  </si>
  <si>
    <t xml:space="preserve"> 友车科技</t>
  </si>
  <si>
    <t xml:space="preserve"> 2543万</t>
  </si>
  <si>
    <t xml:space="preserve"> 1.443亿</t>
  </si>
  <si>
    <t xml:space="preserve"> 3559万</t>
  </si>
  <si>
    <t xml:space="preserve"> 8.979亿</t>
  </si>
  <si>
    <t xml:space="preserve"> 金鹰重工</t>
  </si>
  <si>
    <t xml:space="preserve"> 2533万</t>
  </si>
  <si>
    <t xml:space="preserve"> 5.333亿</t>
  </si>
  <si>
    <t xml:space="preserve"> 57.28亿</t>
  </si>
  <si>
    <t xml:space="preserve"> 14.32亿</t>
  </si>
  <si>
    <t xml:space="preserve"> 山科智能</t>
  </si>
  <si>
    <t xml:space="preserve"> 4263万</t>
  </si>
  <si>
    <t xml:space="preserve"> ST天顺</t>
  </si>
  <si>
    <t xml:space="preserve"> 2532万</t>
  </si>
  <si>
    <t xml:space="preserve"> 18.79亿</t>
  </si>
  <si>
    <t xml:space="preserve"> 红墙股份</t>
  </si>
  <si>
    <t xml:space="preserve"> 2531万</t>
  </si>
  <si>
    <t xml:space="preserve"> 明牌珠宝</t>
  </si>
  <si>
    <t xml:space="preserve"> 2526万</t>
  </si>
  <si>
    <t xml:space="preserve"> 沐邦高科</t>
  </si>
  <si>
    <t xml:space="preserve"> 2525万</t>
  </si>
  <si>
    <t xml:space="preserve"> 3.426亿</t>
  </si>
  <si>
    <t xml:space="preserve"> 研奥股份</t>
  </si>
  <si>
    <t xml:space="preserve"> 7860万</t>
  </si>
  <si>
    <t xml:space="preserve"> 海顺新材</t>
  </si>
  <si>
    <t xml:space="preserve"> 2523万</t>
  </si>
  <si>
    <t xml:space="preserve"> 1.935亿</t>
  </si>
  <si>
    <t xml:space="preserve"> 1.252亿</t>
  </si>
  <si>
    <t xml:space="preserve"> 18.70亿</t>
  </si>
  <si>
    <t xml:space="preserve"> 永安药业</t>
  </si>
  <si>
    <t xml:space="preserve"> 2522万</t>
  </si>
  <si>
    <t xml:space="preserve"> 2.442亿</t>
  </si>
  <si>
    <t xml:space="preserve"> 赛特新材</t>
  </si>
  <si>
    <t xml:space="preserve"> 2521万</t>
  </si>
  <si>
    <t xml:space="preserve"> 5.92亿</t>
  </si>
  <si>
    <t xml:space="preserve"> 建设机械</t>
  </si>
  <si>
    <t xml:space="preserve"> 2520万</t>
  </si>
  <si>
    <t xml:space="preserve"> 24.4亿</t>
  </si>
  <si>
    <t xml:space="preserve"> 爱克股份</t>
  </si>
  <si>
    <t xml:space="preserve"> 8889万</t>
  </si>
  <si>
    <t xml:space="preserve"> 迈得医疗</t>
  </si>
  <si>
    <t xml:space="preserve"> 2517万</t>
  </si>
  <si>
    <t xml:space="preserve"> 43.60亿</t>
  </si>
  <si>
    <t xml:space="preserve"> 恒通股份</t>
  </si>
  <si>
    <t xml:space="preserve"> 2516万</t>
  </si>
  <si>
    <t xml:space="preserve"> 29.7亿</t>
  </si>
  <si>
    <t xml:space="preserve"> 69.28亿</t>
  </si>
  <si>
    <t xml:space="preserve"> 5.532亿</t>
  </si>
  <si>
    <t xml:space="preserve"> 新黄浦</t>
  </si>
  <si>
    <t xml:space="preserve"> 2515万</t>
  </si>
  <si>
    <t xml:space="preserve"> 6.734亿</t>
  </si>
  <si>
    <t xml:space="preserve"> 合肥高科</t>
  </si>
  <si>
    <t xml:space="preserve"> 2511万</t>
  </si>
  <si>
    <t xml:space="preserve"> 9067万</t>
  </si>
  <si>
    <t xml:space="preserve"> 2439万</t>
  </si>
  <si>
    <t xml:space="preserve"> 2.251亿</t>
  </si>
  <si>
    <t xml:space="preserve"> 沧州大化</t>
  </si>
  <si>
    <t xml:space="preserve"> 4.161亿</t>
  </si>
  <si>
    <t xml:space="preserve"> 56.51亿</t>
  </si>
  <si>
    <t xml:space="preserve"> 4.119亿</t>
  </si>
  <si>
    <t xml:space="preserve"> 兆丰股份</t>
  </si>
  <si>
    <t xml:space="preserve"> 2507万</t>
  </si>
  <si>
    <t xml:space="preserve"> 7093万</t>
  </si>
  <si>
    <t xml:space="preserve"> 潜能恒信</t>
  </si>
  <si>
    <t xml:space="preserve"> 2506万</t>
  </si>
  <si>
    <t xml:space="preserve"> 54.72亿</t>
  </si>
  <si>
    <t xml:space="preserve"> 2.201亿</t>
  </si>
  <si>
    <t xml:space="preserve"> 37.63亿</t>
  </si>
  <si>
    <t xml:space="preserve"> 慧为智能</t>
  </si>
  <si>
    <t xml:space="preserve"> 2504万</t>
  </si>
  <si>
    <t xml:space="preserve"> 6418万</t>
  </si>
  <si>
    <t xml:space="preserve"> 6.611亿</t>
  </si>
  <si>
    <t xml:space="preserve"> 2123万</t>
  </si>
  <si>
    <t xml:space="preserve"> 2.187亿</t>
  </si>
  <si>
    <t xml:space="preserve"> 诚益通</t>
  </si>
  <si>
    <t xml:space="preserve"> 2.732亿</t>
  </si>
  <si>
    <t xml:space="preserve"> 42.04亿</t>
  </si>
  <si>
    <t xml:space="preserve"> 2.568亿</t>
  </si>
  <si>
    <t xml:space="preserve"> 晶华新材</t>
  </si>
  <si>
    <t xml:space="preserve"> 2502万</t>
  </si>
  <si>
    <t xml:space="preserve"> 29.61亿</t>
  </si>
  <si>
    <t xml:space="preserve"> 三鑫医疗</t>
  </si>
  <si>
    <t xml:space="preserve"> 2498万</t>
  </si>
  <si>
    <t xml:space="preserve"> 5.196亿</t>
  </si>
  <si>
    <t xml:space="preserve"> 41.57亿</t>
  </si>
  <si>
    <t xml:space="preserve"> 3.605亿</t>
  </si>
  <si>
    <t xml:space="preserve"> 麒盛科技</t>
  </si>
  <si>
    <t xml:space="preserve"> 2497万</t>
  </si>
  <si>
    <t xml:space="preserve"> 43.95亿</t>
  </si>
  <si>
    <t xml:space="preserve"> 北新路桥</t>
  </si>
  <si>
    <t xml:space="preserve"> 2495万</t>
  </si>
  <si>
    <t xml:space="preserve"> 57.45亿</t>
  </si>
  <si>
    <t xml:space="preserve"> 锦好医疗</t>
  </si>
  <si>
    <t xml:space="preserve"> 9807万</t>
  </si>
  <si>
    <t xml:space="preserve"> 5530万</t>
  </si>
  <si>
    <t xml:space="preserve"> 6.508亿</t>
  </si>
  <si>
    <t xml:space="preserve"> 安德利</t>
  </si>
  <si>
    <t xml:space="preserve"> 3.577亿</t>
  </si>
  <si>
    <t xml:space="preserve"> 76.98亿</t>
  </si>
  <si>
    <t xml:space="preserve"> 2.705亿</t>
  </si>
  <si>
    <t xml:space="preserve"> 58.22亿</t>
  </si>
  <si>
    <t xml:space="preserve"> 通光线缆</t>
  </si>
  <si>
    <t xml:space="preserve"> 2494万</t>
  </si>
  <si>
    <t xml:space="preserve"> 4.583亿</t>
  </si>
  <si>
    <t xml:space="preserve"> 3.647亿</t>
  </si>
  <si>
    <t xml:space="preserve"> 33.84亿</t>
  </si>
  <si>
    <t xml:space="preserve"> 博深股份</t>
  </si>
  <si>
    <t xml:space="preserve"> 2493万</t>
  </si>
  <si>
    <t xml:space="preserve"> 5.439亿</t>
  </si>
  <si>
    <t xml:space="preserve"> 42.10亿</t>
  </si>
  <si>
    <t xml:space="preserve"> 4.868亿</t>
  </si>
  <si>
    <t xml:space="preserve"> 37.68亿</t>
  </si>
  <si>
    <t xml:space="preserve"> 晶品特装</t>
  </si>
  <si>
    <t xml:space="preserve"> 2491万</t>
  </si>
  <si>
    <t xml:space="preserve"> 8401万</t>
  </si>
  <si>
    <t xml:space="preserve"> 7566万</t>
  </si>
  <si>
    <t xml:space="preserve"> 1830万</t>
  </si>
  <si>
    <t xml:space="preserve"> 建邦科技</t>
  </si>
  <si>
    <t xml:space="preserve"> 2489万</t>
  </si>
  <si>
    <t xml:space="preserve"> 3396万</t>
  </si>
  <si>
    <t xml:space="preserve"> 4.823亿</t>
  </si>
  <si>
    <t xml:space="preserve"> 威胜信息</t>
  </si>
  <si>
    <t xml:space="preserve"> 2487万</t>
  </si>
  <si>
    <t xml:space="preserve"> 云南能投</t>
  </si>
  <si>
    <t xml:space="preserve"> 2485万</t>
  </si>
  <si>
    <t xml:space="preserve"> 9.207亿</t>
  </si>
  <si>
    <t xml:space="preserve"> 89.59亿</t>
  </si>
  <si>
    <t xml:space="preserve"> 82.92亿</t>
  </si>
  <si>
    <t xml:space="preserve"> 金花股份</t>
  </si>
  <si>
    <t xml:space="preserve"> 2484万</t>
  </si>
  <si>
    <t xml:space="preserve"> 赞宇科技</t>
  </si>
  <si>
    <t xml:space="preserve"> 72.6亿</t>
  </si>
  <si>
    <t xml:space="preserve"> 3.946亿</t>
  </si>
  <si>
    <t xml:space="preserve"> 42.19亿</t>
  </si>
  <si>
    <t xml:space="preserve"> 王子新材</t>
  </si>
  <si>
    <t xml:space="preserve"> 3.015亿</t>
  </si>
  <si>
    <t xml:space="preserve"> 1.913亿</t>
  </si>
  <si>
    <t xml:space="preserve"> 格力博</t>
  </si>
  <si>
    <t xml:space="preserve"> 2483万</t>
  </si>
  <si>
    <t xml:space="preserve"> 4.862亿</t>
  </si>
  <si>
    <t xml:space="preserve"> 83.72亿</t>
  </si>
  <si>
    <t xml:space="preserve"> 1.215亿</t>
  </si>
  <si>
    <t xml:space="preserve"> 奥浦迈</t>
  </si>
  <si>
    <t xml:space="preserve"> 2480万</t>
  </si>
  <si>
    <t xml:space="preserve"> 7594万</t>
  </si>
  <si>
    <t xml:space="preserve"> 45.64亿</t>
  </si>
  <si>
    <t xml:space="preserve"> 银星能源</t>
  </si>
  <si>
    <t xml:space="preserve"> 2479万</t>
  </si>
  <si>
    <t xml:space="preserve"> 5.014亿</t>
  </si>
  <si>
    <t xml:space="preserve"> 开润股份</t>
  </si>
  <si>
    <t xml:space="preserve"> 2.398亿</t>
  </si>
  <si>
    <t xml:space="preserve"> 20.57亿</t>
  </si>
  <si>
    <t xml:space="preserve"> 宏达新材</t>
  </si>
  <si>
    <t xml:space="preserve"> 2476万</t>
  </si>
  <si>
    <t xml:space="preserve"> 利源股份</t>
  </si>
  <si>
    <t xml:space="preserve"> 2474万</t>
  </si>
  <si>
    <t xml:space="preserve"> 东宝生物</t>
  </si>
  <si>
    <t xml:space="preserve"> 2473万</t>
  </si>
  <si>
    <t xml:space="preserve"> 5.156亿</t>
  </si>
  <si>
    <t xml:space="preserve"> *ST美盛</t>
  </si>
  <si>
    <t xml:space="preserve"> -2.19万</t>
  </si>
  <si>
    <t xml:space="preserve"> 9.096亿</t>
  </si>
  <si>
    <t xml:space="preserve"> 9.095亿</t>
  </si>
  <si>
    <t xml:space="preserve"> 友发集团</t>
  </si>
  <si>
    <t xml:space="preserve"> 2472万</t>
  </si>
  <si>
    <t xml:space="preserve"> 88.64亿</t>
  </si>
  <si>
    <t xml:space="preserve"> 梅雁吉祥</t>
  </si>
  <si>
    <t xml:space="preserve"> 18.98亿</t>
  </si>
  <si>
    <t xml:space="preserve"> 49.92亿</t>
  </si>
  <si>
    <t xml:space="preserve"> 八亿时空</t>
  </si>
  <si>
    <t xml:space="preserve"> 2471万</t>
  </si>
  <si>
    <t xml:space="preserve"> 宏创控股</t>
  </si>
  <si>
    <t xml:space="preserve"> 52.05亿</t>
  </si>
  <si>
    <t xml:space="preserve"> 9.264亿</t>
  </si>
  <si>
    <t xml:space="preserve"> 宁波能源</t>
  </si>
  <si>
    <t xml:space="preserve"> 46.72亿</t>
  </si>
  <si>
    <t xml:space="preserve"> 华蓝集团</t>
  </si>
  <si>
    <t xml:space="preserve"> 1.005亿</t>
  </si>
  <si>
    <t xml:space="preserve"> 国力股份</t>
  </si>
  <si>
    <t xml:space="preserve"> 9584万</t>
  </si>
  <si>
    <t xml:space="preserve"> 50.26亿</t>
  </si>
  <si>
    <t xml:space="preserve"> 6340万</t>
  </si>
  <si>
    <t xml:space="preserve"> 天元股份</t>
  </si>
  <si>
    <t xml:space="preserve"> 13.56亿</t>
  </si>
  <si>
    <t xml:space="preserve"> 合兴包装</t>
  </si>
  <si>
    <t xml:space="preserve"> 2465万</t>
  </si>
  <si>
    <t xml:space="preserve"> 东亚药业</t>
  </si>
  <si>
    <t xml:space="preserve"> 1.136亿</t>
  </si>
  <si>
    <t xml:space="preserve"> 32.19亿</t>
  </si>
  <si>
    <t xml:space="preserve"> 严牌股份</t>
  </si>
  <si>
    <t xml:space="preserve"> 2.048亿</t>
  </si>
  <si>
    <t xml:space="preserve"> 23.27亿</t>
  </si>
  <si>
    <t xml:space="preserve"> 8438万</t>
  </si>
  <si>
    <t xml:space="preserve"> 9.586亿</t>
  </si>
  <si>
    <t xml:space="preserve"> 明阳电气</t>
  </si>
  <si>
    <t xml:space="preserve"> 88.82亿</t>
  </si>
  <si>
    <t xml:space="preserve"> 7132万</t>
  </si>
  <si>
    <t xml:space="preserve"> 20.29亿</t>
  </si>
  <si>
    <t xml:space="preserve"> 克劳斯</t>
  </si>
  <si>
    <t xml:space="preserve"> 82.2亿</t>
  </si>
  <si>
    <t xml:space="preserve"> 4.965亿</t>
  </si>
  <si>
    <t xml:space="preserve"> 唯特偶</t>
  </si>
  <si>
    <t xml:space="preserve"> 2463万</t>
  </si>
  <si>
    <t xml:space="preserve"> 34.60亿</t>
  </si>
  <si>
    <t xml:space="preserve"> 大地熊</t>
  </si>
  <si>
    <t xml:space="preserve"> 2461万</t>
  </si>
  <si>
    <t xml:space="preserve"> 三元基因</t>
  </si>
  <si>
    <t xml:space="preserve"> 2460万</t>
  </si>
  <si>
    <t xml:space="preserve"> 1.218亿</t>
  </si>
  <si>
    <t xml:space="preserve"> 23.33亿</t>
  </si>
  <si>
    <t xml:space="preserve"> 21.75亿</t>
  </si>
  <si>
    <t xml:space="preserve"> 珠海中富</t>
  </si>
  <si>
    <t xml:space="preserve"> 2459万</t>
  </si>
  <si>
    <t xml:space="preserve"> 12.86亿</t>
  </si>
  <si>
    <t xml:space="preserve"> 安利股份</t>
  </si>
  <si>
    <t xml:space="preserve"> 29.02亿</t>
  </si>
  <si>
    <t xml:space="preserve"> 双箭股份</t>
  </si>
  <si>
    <t xml:space="preserve"> 3.220亿</t>
  </si>
  <si>
    <t xml:space="preserve"> 24.96亿</t>
  </si>
  <si>
    <t xml:space="preserve"> 宁波富邦</t>
  </si>
  <si>
    <t xml:space="preserve"> 2458万</t>
  </si>
  <si>
    <t xml:space="preserve"> 立霸股份</t>
  </si>
  <si>
    <t xml:space="preserve"> 2457万</t>
  </si>
  <si>
    <t xml:space="preserve"> 2.663亿</t>
  </si>
  <si>
    <t xml:space="preserve"> 京粮控股</t>
  </si>
  <si>
    <t xml:space="preserve"> 2456万</t>
  </si>
  <si>
    <t xml:space="preserve"> 7.270亿</t>
  </si>
  <si>
    <t xml:space="preserve"> 南风股份</t>
  </si>
  <si>
    <t xml:space="preserve"> 2455万</t>
  </si>
  <si>
    <t xml:space="preserve"> 4.776亿</t>
  </si>
  <si>
    <t xml:space="preserve"> 建龙微纳</t>
  </si>
  <si>
    <t xml:space="preserve"> 2454万</t>
  </si>
  <si>
    <t xml:space="preserve"> 8323万</t>
  </si>
  <si>
    <t xml:space="preserve"> 溢多利</t>
  </si>
  <si>
    <t xml:space="preserve"> 2452万</t>
  </si>
  <si>
    <t xml:space="preserve"> 4.901亿</t>
  </si>
  <si>
    <t xml:space="preserve"> 39.23亿</t>
  </si>
  <si>
    <t xml:space="preserve"> 川金诺</t>
  </si>
  <si>
    <t xml:space="preserve"> 2444万</t>
  </si>
  <si>
    <t xml:space="preserve"> 1.650亿</t>
  </si>
  <si>
    <t xml:space="preserve"> 23.57亿</t>
  </si>
  <si>
    <t xml:space="preserve"> 华丰股份</t>
  </si>
  <si>
    <t xml:space="preserve"> 2442万</t>
  </si>
  <si>
    <t xml:space="preserve"> 1.699亿</t>
  </si>
  <si>
    <t xml:space="preserve"> 百合股份</t>
  </si>
  <si>
    <t xml:space="preserve"> 2441万</t>
  </si>
  <si>
    <t xml:space="preserve"> 25.77亿</t>
  </si>
  <si>
    <t xml:space="preserve"> 3579万</t>
  </si>
  <si>
    <t xml:space="preserve"> 14.41亿</t>
  </si>
  <si>
    <t xml:space="preserve"> 中环海陆</t>
  </si>
  <si>
    <t xml:space="preserve"> 2437万</t>
  </si>
  <si>
    <t xml:space="preserve"> 4.85亿</t>
  </si>
  <si>
    <t xml:space="preserve"> 19.02亿</t>
  </si>
  <si>
    <t xml:space="preserve"> 6957万</t>
  </si>
  <si>
    <t xml:space="preserve"> 13.23亿</t>
  </si>
  <si>
    <t xml:space="preserve"> 长城电工</t>
  </si>
  <si>
    <t xml:space="preserve"> 2435万</t>
  </si>
  <si>
    <t xml:space="preserve"> 4.417亿</t>
  </si>
  <si>
    <t xml:space="preserve"> 邦彦技术</t>
  </si>
  <si>
    <t xml:space="preserve"> 2433万</t>
  </si>
  <si>
    <t xml:space="preserve"> 1.070亿</t>
  </si>
  <si>
    <t xml:space="preserve"> 明月镜片</t>
  </si>
  <si>
    <t xml:space="preserve"> 2431万</t>
  </si>
  <si>
    <t xml:space="preserve"> 2.015亿</t>
  </si>
  <si>
    <t xml:space="preserve"> 78.95亿</t>
  </si>
  <si>
    <t xml:space="preserve"> 7147万</t>
  </si>
  <si>
    <t xml:space="preserve"> 美思德</t>
  </si>
  <si>
    <t xml:space="preserve"> 正虹科技</t>
  </si>
  <si>
    <t xml:space="preserve"> 2430万</t>
  </si>
  <si>
    <t xml:space="preserve"> 3.466亿</t>
  </si>
  <si>
    <t xml:space="preserve"> 2.666亿</t>
  </si>
  <si>
    <t xml:space="preserve"> 西大门</t>
  </si>
  <si>
    <t xml:space="preserve"> 2429万</t>
  </si>
  <si>
    <t xml:space="preserve"> 21.88亿</t>
  </si>
  <si>
    <t xml:space="preserve"> 4684万</t>
  </si>
  <si>
    <t xml:space="preserve"> 乐山电力</t>
  </si>
  <si>
    <t xml:space="preserve"> 2428万</t>
  </si>
  <si>
    <t xml:space="preserve"> 扬电科技</t>
  </si>
  <si>
    <t xml:space="preserve"> 7518万</t>
  </si>
  <si>
    <t xml:space="preserve"> 15.12亿</t>
  </si>
  <si>
    <t xml:space="preserve"> 新疆天业</t>
  </si>
  <si>
    <t xml:space="preserve"> 86.3亿</t>
  </si>
  <si>
    <t xml:space="preserve"> 17.07亿</t>
  </si>
  <si>
    <t xml:space="preserve"> 75.81亿</t>
  </si>
  <si>
    <t xml:space="preserve"> 智慧农业</t>
  </si>
  <si>
    <t xml:space="preserve"> 2423万</t>
  </si>
  <si>
    <t xml:space="preserve"> 14.37亿</t>
  </si>
  <si>
    <t xml:space="preserve"> 胜利股份</t>
  </si>
  <si>
    <t xml:space="preserve"> 2421万</t>
  </si>
  <si>
    <t xml:space="preserve"> 32.6亿</t>
  </si>
  <si>
    <t xml:space="preserve"> 8.801亿</t>
  </si>
  <si>
    <t xml:space="preserve"> 33.00亿</t>
  </si>
  <si>
    <t xml:space="preserve"> 8.758亿</t>
  </si>
  <si>
    <t xml:space="preserve"> 华骐环保</t>
  </si>
  <si>
    <t xml:space="preserve"> 华宝新能</t>
  </si>
  <si>
    <t xml:space="preserve"> 83.70亿</t>
  </si>
  <si>
    <t xml:space="preserve"> 3463万</t>
  </si>
  <si>
    <t xml:space="preserve"> 能辉科技</t>
  </si>
  <si>
    <t xml:space="preserve"> 2419万</t>
  </si>
  <si>
    <t xml:space="preserve"> 1.497亿</t>
  </si>
  <si>
    <t xml:space="preserve"> 5899万</t>
  </si>
  <si>
    <t xml:space="preserve"> 宝丽迪</t>
  </si>
  <si>
    <t xml:space="preserve"> 35.10亿</t>
  </si>
  <si>
    <t xml:space="preserve"> 安迪苏</t>
  </si>
  <si>
    <t xml:space="preserve"> 96.1亿</t>
  </si>
  <si>
    <t xml:space="preserve"> 210.3亿</t>
  </si>
  <si>
    <t xml:space="preserve"> 佰奥智能</t>
  </si>
  <si>
    <t xml:space="preserve"> 6403万</t>
  </si>
  <si>
    <t xml:space="preserve"> 丸美股份</t>
  </si>
  <si>
    <t xml:space="preserve"> 2417万</t>
  </si>
  <si>
    <t xml:space="preserve"> 皖仪科技</t>
  </si>
  <si>
    <t xml:space="preserve"> 1.342亿</t>
  </si>
  <si>
    <t xml:space="preserve"> 中岩大地</t>
  </si>
  <si>
    <t xml:space="preserve"> 2415万</t>
  </si>
  <si>
    <t xml:space="preserve"> 4939万</t>
  </si>
  <si>
    <t xml:space="preserve"> 统联精密</t>
  </si>
  <si>
    <t xml:space="preserve"> 2414万</t>
  </si>
  <si>
    <t xml:space="preserve"> 27.76亿</t>
  </si>
  <si>
    <t xml:space="preserve"> 金丹科技</t>
  </si>
  <si>
    <t xml:space="preserve"> 38.23亿</t>
  </si>
  <si>
    <t xml:space="preserve"> 1.169亿</t>
  </si>
  <si>
    <t xml:space="preserve"> 贝仕达克</t>
  </si>
  <si>
    <t xml:space="preserve"> 2412万</t>
  </si>
  <si>
    <t xml:space="preserve"> 33.63亿</t>
  </si>
  <si>
    <t xml:space="preserve"> 欣贺股份</t>
  </si>
  <si>
    <t xml:space="preserve"> 2411万</t>
  </si>
  <si>
    <t xml:space="preserve"> 37.62亿</t>
  </si>
  <si>
    <t xml:space="preserve"> 仁度生物</t>
  </si>
  <si>
    <t xml:space="preserve"> 19.18亿</t>
  </si>
  <si>
    <t xml:space="preserve"> 14.27亿</t>
  </si>
  <si>
    <t xml:space="preserve"> 嘉寓股份</t>
  </si>
  <si>
    <t xml:space="preserve"> 2407万</t>
  </si>
  <si>
    <t xml:space="preserve"> 7.168亿</t>
  </si>
  <si>
    <t xml:space="preserve"> 浙矿股份</t>
  </si>
  <si>
    <t xml:space="preserve"> 2402万</t>
  </si>
  <si>
    <t xml:space="preserve"> 7058万</t>
  </si>
  <si>
    <t xml:space="preserve"> 云里物里</t>
  </si>
  <si>
    <t xml:space="preserve"> 2401万</t>
  </si>
  <si>
    <t xml:space="preserve"> 8152万</t>
  </si>
  <si>
    <t xml:space="preserve"> 8.054亿</t>
  </si>
  <si>
    <t xml:space="preserve"> 伟星股份</t>
  </si>
  <si>
    <t xml:space="preserve"> 8.709亿</t>
  </si>
  <si>
    <t xml:space="preserve"> 90.57亿</t>
  </si>
  <si>
    <t xml:space="preserve"> 海科新源</t>
  </si>
  <si>
    <t xml:space="preserve"> 2400万</t>
  </si>
  <si>
    <t xml:space="preserve"> 4289万</t>
  </si>
  <si>
    <t xml:space="preserve"> 8.603亿</t>
  </si>
  <si>
    <t xml:space="preserve"> 泉为科技</t>
  </si>
  <si>
    <t xml:space="preserve"> 2393万</t>
  </si>
  <si>
    <t xml:space="preserve"> 8.91亿</t>
  </si>
  <si>
    <t xml:space="preserve"> 万盛股份</t>
  </si>
  <si>
    <t xml:space="preserve"> 2391万</t>
  </si>
  <si>
    <t xml:space="preserve"> 5.896亿</t>
  </si>
  <si>
    <t xml:space="preserve"> 65.74亿</t>
  </si>
  <si>
    <t xml:space="preserve"> 西点药业</t>
  </si>
  <si>
    <t xml:space="preserve"> 2390万</t>
  </si>
  <si>
    <t xml:space="preserve"> 8080万</t>
  </si>
  <si>
    <t xml:space="preserve"> 5803万</t>
  </si>
  <si>
    <t xml:space="preserve"> 利通科技</t>
  </si>
  <si>
    <t xml:space="preserve"> 2388万</t>
  </si>
  <si>
    <t xml:space="preserve"> 1.058亿</t>
  </si>
  <si>
    <t xml:space="preserve"> 5764万</t>
  </si>
  <si>
    <t xml:space="preserve"> 9.263亿</t>
  </si>
  <si>
    <t xml:space="preserve"> 腾亚精工</t>
  </si>
  <si>
    <t xml:space="preserve"> 2386万</t>
  </si>
  <si>
    <t xml:space="preserve"> 1.014亿</t>
  </si>
  <si>
    <t xml:space="preserve"> 诺禾致源</t>
  </si>
  <si>
    <t xml:space="preserve"> 2382万</t>
  </si>
  <si>
    <t xml:space="preserve"> 国风新材</t>
  </si>
  <si>
    <t xml:space="preserve"> 2380万</t>
  </si>
  <si>
    <t xml:space="preserve"> 国盛智科</t>
  </si>
  <si>
    <t xml:space="preserve"> 百龙创园</t>
  </si>
  <si>
    <t xml:space="preserve"> 68.82亿</t>
  </si>
  <si>
    <t xml:space="preserve"> 1.249亿</t>
  </si>
  <si>
    <t xml:space="preserve"> 氯碱化工</t>
  </si>
  <si>
    <t xml:space="preserve"> 52.7亿</t>
  </si>
  <si>
    <t xml:space="preserve"> 7.498亿</t>
  </si>
  <si>
    <t xml:space="preserve"> 嘉欣丝绸</t>
  </si>
  <si>
    <t xml:space="preserve"> 2379万</t>
  </si>
  <si>
    <t xml:space="preserve"> 5.777亿</t>
  </si>
  <si>
    <t xml:space="preserve"> 36.68亿</t>
  </si>
  <si>
    <t xml:space="preserve"> 4.699亿</t>
  </si>
  <si>
    <t xml:space="preserve"> 29.84亿</t>
  </si>
  <si>
    <t xml:space="preserve"> 中再资环</t>
  </si>
  <si>
    <t xml:space="preserve"> 凯旺科技</t>
  </si>
  <si>
    <t xml:space="preserve"> 9582万</t>
  </si>
  <si>
    <t xml:space="preserve"> 23.73亿</t>
  </si>
  <si>
    <t xml:space="preserve"> 3597万</t>
  </si>
  <si>
    <t xml:space="preserve"> 8.907亿</t>
  </si>
  <si>
    <t xml:space="preserve"> 侨银股份</t>
  </si>
  <si>
    <t xml:space="preserve"> 4.087亿</t>
  </si>
  <si>
    <t xml:space="preserve"> 45.36亿</t>
  </si>
  <si>
    <t xml:space="preserve"> 爱科科技</t>
  </si>
  <si>
    <t xml:space="preserve"> 2370万</t>
  </si>
  <si>
    <t xml:space="preserve"> 5930万</t>
  </si>
  <si>
    <t xml:space="preserve"> 2698万</t>
  </si>
  <si>
    <t xml:space="preserve"> 8.409亿</t>
  </si>
  <si>
    <t xml:space="preserve"> 华翔股份</t>
  </si>
  <si>
    <t xml:space="preserve"> 2366万</t>
  </si>
  <si>
    <t xml:space="preserve"> 4.372亿</t>
  </si>
  <si>
    <t xml:space="preserve"> 55.39亿</t>
  </si>
  <si>
    <t xml:space="preserve"> 54.41亿</t>
  </si>
  <si>
    <t xml:space="preserve"> 科隆股份</t>
  </si>
  <si>
    <t xml:space="preserve"> 2365万</t>
  </si>
  <si>
    <t xml:space="preserve"> 2.844亿</t>
  </si>
  <si>
    <t xml:space="preserve"> 17.66亿</t>
  </si>
  <si>
    <t xml:space="preserve"> 2.188亿</t>
  </si>
  <si>
    <t xml:space="preserve"> 前沿生物-U</t>
  </si>
  <si>
    <t xml:space="preserve"> 2363万</t>
  </si>
  <si>
    <t xml:space="preserve"> 3.746亿</t>
  </si>
  <si>
    <t xml:space="preserve"> 2.146亿</t>
  </si>
  <si>
    <t xml:space="preserve"> 华银电力</t>
  </si>
  <si>
    <t xml:space="preserve"> 2362万</t>
  </si>
  <si>
    <t xml:space="preserve"> 78.8亿</t>
  </si>
  <si>
    <t xml:space="preserve"> 20.31亿</t>
  </si>
  <si>
    <t xml:space="preserve"> 68.86亿</t>
  </si>
  <si>
    <t xml:space="preserve"> 振邦智能</t>
  </si>
  <si>
    <t xml:space="preserve"> 2360万</t>
  </si>
  <si>
    <t xml:space="preserve"> 45.11亿</t>
  </si>
  <si>
    <t xml:space="preserve"> 2803万</t>
  </si>
  <si>
    <t xml:space="preserve"> 博信股份</t>
  </si>
  <si>
    <t xml:space="preserve"> 2.280亿</t>
  </si>
  <si>
    <t xml:space="preserve"> 飞乐音响</t>
  </si>
  <si>
    <t xml:space="preserve"> 2358万</t>
  </si>
  <si>
    <t xml:space="preserve"> 25.07亿</t>
  </si>
  <si>
    <t xml:space="preserve"> 89.25亿</t>
  </si>
  <si>
    <t xml:space="preserve"> 珠海港</t>
  </si>
  <si>
    <t xml:space="preserve"> 2357万</t>
  </si>
  <si>
    <t xml:space="preserve"> 9.197亿</t>
  </si>
  <si>
    <t xml:space="preserve"> 9.023亿</t>
  </si>
  <si>
    <t xml:space="preserve"> 起帆电缆</t>
  </si>
  <si>
    <t xml:space="preserve"> 2354万</t>
  </si>
  <si>
    <t xml:space="preserve"> 169亿</t>
  </si>
  <si>
    <t xml:space="preserve"> 4.181亿</t>
  </si>
  <si>
    <t xml:space="preserve"> 80.11亿</t>
  </si>
  <si>
    <t xml:space="preserve"> 航天工程</t>
  </si>
  <si>
    <t xml:space="preserve"> 2352万</t>
  </si>
  <si>
    <t xml:space="preserve"> 5.360亿</t>
  </si>
  <si>
    <t xml:space="preserve"> 78.42亿</t>
  </si>
  <si>
    <t xml:space="preserve"> 廊坊发展</t>
  </si>
  <si>
    <t xml:space="preserve"> 2348万</t>
  </si>
  <si>
    <t xml:space="preserve"> 3.802亿</t>
  </si>
  <si>
    <t xml:space="preserve"> 龙星化工</t>
  </si>
  <si>
    <t xml:space="preserve"> 4.857亿</t>
  </si>
  <si>
    <t xml:space="preserve"> 凯德石英</t>
  </si>
  <si>
    <t xml:space="preserve"> 2347万</t>
  </si>
  <si>
    <t xml:space="preserve"> 13.87亿</t>
  </si>
  <si>
    <t xml:space="preserve"> 山石网科</t>
  </si>
  <si>
    <t xml:space="preserve"> 1.802亿</t>
  </si>
  <si>
    <t xml:space="preserve"> 特瑞斯</t>
  </si>
  <si>
    <t xml:space="preserve"> 1.257亿</t>
  </si>
  <si>
    <t xml:space="preserve"> 3.907亿</t>
  </si>
  <si>
    <t xml:space="preserve"> 雅达股份</t>
  </si>
  <si>
    <t xml:space="preserve"> 1.613亿</t>
  </si>
  <si>
    <t xml:space="preserve"> 7919万</t>
  </si>
  <si>
    <t xml:space="preserve"> 3.809亿</t>
  </si>
  <si>
    <t xml:space="preserve"> 天正电气</t>
  </si>
  <si>
    <t xml:space="preserve"> 4.059亿</t>
  </si>
  <si>
    <t xml:space="preserve"> 36.77亿</t>
  </si>
  <si>
    <t xml:space="preserve"> 36.33亿</t>
  </si>
  <si>
    <t xml:space="preserve"> 三峡新材</t>
  </si>
  <si>
    <t xml:space="preserve"> 2343万</t>
  </si>
  <si>
    <t xml:space="preserve"> 38.17亿</t>
  </si>
  <si>
    <t xml:space="preserve"> 万里股份</t>
  </si>
  <si>
    <t xml:space="preserve"> 18.26亿</t>
  </si>
  <si>
    <t xml:space="preserve"> 节能环境</t>
  </si>
  <si>
    <t xml:space="preserve"> 茂业商业</t>
  </si>
  <si>
    <t xml:space="preserve"> 68.24亿</t>
  </si>
  <si>
    <t xml:space="preserve"> 厦门空港</t>
  </si>
  <si>
    <t xml:space="preserve"> 诚意药业</t>
  </si>
  <si>
    <t xml:space="preserve"> 2338万</t>
  </si>
  <si>
    <t xml:space="preserve"> 岩石股份</t>
  </si>
  <si>
    <t xml:space="preserve"> 3.345亿</t>
  </si>
  <si>
    <t xml:space="preserve"> 76.93亿</t>
  </si>
  <si>
    <t xml:space="preserve"> 新莱福</t>
  </si>
  <si>
    <t xml:space="preserve"> 凌钢股份</t>
  </si>
  <si>
    <t xml:space="preserve"> 2333万</t>
  </si>
  <si>
    <t xml:space="preserve"> 155亿</t>
  </si>
  <si>
    <t xml:space="preserve"> -3.14万</t>
  </si>
  <si>
    <t xml:space="preserve"> 65.88亿</t>
  </si>
  <si>
    <t xml:space="preserve"> 天承科技</t>
  </si>
  <si>
    <t xml:space="preserve"> 5814万</t>
  </si>
  <si>
    <t xml:space="preserve"> 1202万</t>
  </si>
  <si>
    <t xml:space="preserve"> 爱丽家居</t>
  </si>
  <si>
    <t xml:space="preserve"> 7.89亿</t>
  </si>
  <si>
    <t xml:space="preserve"> 镇海股份</t>
  </si>
  <si>
    <t xml:space="preserve"> 2.437亿</t>
  </si>
  <si>
    <t xml:space="preserve"> 21.32亿</t>
  </si>
  <si>
    <t xml:space="preserve"> 沈阳化工</t>
  </si>
  <si>
    <t xml:space="preserve"> 2330万</t>
  </si>
  <si>
    <t xml:space="preserve"> 34.83亿</t>
  </si>
  <si>
    <t xml:space="preserve"> 招标股份</t>
  </si>
  <si>
    <t xml:space="preserve"> 2328万</t>
  </si>
  <si>
    <t xml:space="preserve"> 2.752亿</t>
  </si>
  <si>
    <t xml:space="preserve"> 36.71亿</t>
  </si>
  <si>
    <t xml:space="preserve"> 13.86亿</t>
  </si>
  <si>
    <t xml:space="preserve"> 金鹰股份</t>
  </si>
  <si>
    <t xml:space="preserve"> 2327万</t>
  </si>
  <si>
    <t xml:space="preserve"> 22.32亿</t>
  </si>
  <si>
    <t xml:space="preserve"> 恒达新材</t>
  </si>
  <si>
    <t xml:space="preserve"> 2325万</t>
  </si>
  <si>
    <t xml:space="preserve"> 6.13亿</t>
  </si>
  <si>
    <t xml:space="preserve"> 8948万</t>
  </si>
  <si>
    <t xml:space="preserve"> 33.02亿</t>
  </si>
  <si>
    <t xml:space="preserve"> 2077万</t>
  </si>
  <si>
    <t xml:space="preserve"> 7.664亿</t>
  </si>
  <si>
    <t xml:space="preserve"> 江河集团</t>
  </si>
  <si>
    <t xml:space="preserve"> 2324万</t>
  </si>
  <si>
    <t xml:space="preserve"> 76.48亿</t>
  </si>
  <si>
    <t xml:space="preserve"> 华菱精工</t>
  </si>
  <si>
    <t xml:space="preserve"> 绿康生化</t>
  </si>
  <si>
    <t xml:space="preserve"> 2323万</t>
  </si>
  <si>
    <t xml:space="preserve"> 会稽山</t>
  </si>
  <si>
    <t xml:space="preserve"> 2322万</t>
  </si>
  <si>
    <t xml:space="preserve"> 9.35亿</t>
  </si>
  <si>
    <t xml:space="preserve"> 4.795亿</t>
  </si>
  <si>
    <t xml:space="preserve"> 54.56亿</t>
  </si>
  <si>
    <t xml:space="preserve"> 创业环保</t>
  </si>
  <si>
    <t xml:space="preserve"> 2321万</t>
  </si>
  <si>
    <t xml:space="preserve"> 89.04亿</t>
  </si>
  <si>
    <t xml:space="preserve"> 69.76亿</t>
  </si>
  <si>
    <t xml:space="preserve"> 维远股份</t>
  </si>
  <si>
    <t xml:space="preserve"> 2320万</t>
  </si>
  <si>
    <t xml:space="preserve"> 3.649亿</t>
  </si>
  <si>
    <t xml:space="preserve"> 杭齿前进</t>
  </si>
  <si>
    <t xml:space="preserve"> 深圳新星</t>
  </si>
  <si>
    <t xml:space="preserve"> 2318万</t>
  </si>
  <si>
    <t xml:space="preserve"> 有研粉材</t>
  </si>
  <si>
    <t xml:space="preserve"> 2317万</t>
  </si>
  <si>
    <t xml:space="preserve"> 1.037亿</t>
  </si>
  <si>
    <t xml:space="preserve"> 32.12亿</t>
  </si>
  <si>
    <t xml:space="preserve"> 海达尔</t>
  </si>
  <si>
    <t xml:space="preserve"> 4563万</t>
  </si>
  <si>
    <t xml:space="preserve"> 5.603亿</t>
  </si>
  <si>
    <t xml:space="preserve"> 1263万</t>
  </si>
  <si>
    <t xml:space="preserve"> 金埔园林</t>
  </si>
  <si>
    <t xml:space="preserve"> 2316万</t>
  </si>
  <si>
    <t xml:space="preserve"> 12.74亿</t>
  </si>
  <si>
    <t xml:space="preserve"> 泰瑞机器</t>
  </si>
  <si>
    <t xml:space="preserve"> 2315万</t>
  </si>
  <si>
    <t xml:space="preserve"> 2.956亿</t>
  </si>
  <si>
    <t xml:space="preserve"> 甘咨询</t>
  </si>
  <si>
    <t xml:space="preserve"> 2314万</t>
  </si>
  <si>
    <t xml:space="preserve"> 4.687亿</t>
  </si>
  <si>
    <t xml:space="preserve"> 48.46亿</t>
  </si>
  <si>
    <t xml:space="preserve"> 3.762亿</t>
  </si>
  <si>
    <t xml:space="preserve"> 38.90亿</t>
  </si>
  <si>
    <t xml:space="preserve"> 垒知集团</t>
  </si>
  <si>
    <t xml:space="preserve"> 2312万</t>
  </si>
  <si>
    <t xml:space="preserve"> 35.82亿</t>
  </si>
  <si>
    <t xml:space="preserve"> 上海易连</t>
  </si>
  <si>
    <t xml:space="preserve"> 2311万</t>
  </si>
  <si>
    <t xml:space="preserve"> 新动力</t>
  </si>
  <si>
    <t xml:space="preserve"> 7.128亿</t>
  </si>
  <si>
    <t xml:space="preserve"> 文科园林</t>
  </si>
  <si>
    <t xml:space="preserve"> 6.128亿</t>
  </si>
  <si>
    <t xml:space="preserve"> 4.463亿</t>
  </si>
  <si>
    <t xml:space="preserve"> 18.12亿</t>
  </si>
  <si>
    <t xml:space="preserve"> 三峰环境</t>
  </si>
  <si>
    <t xml:space="preserve"> 新美星</t>
  </si>
  <si>
    <t xml:space="preserve"> 2306万</t>
  </si>
  <si>
    <t xml:space="preserve"> 2.471亿</t>
  </si>
  <si>
    <t xml:space="preserve"> 联美控股</t>
  </si>
  <si>
    <t xml:space="preserve"> 2304万</t>
  </si>
  <si>
    <t xml:space="preserve"> 中欣氟材</t>
  </si>
  <si>
    <t xml:space="preserve"> 2302万</t>
  </si>
  <si>
    <t xml:space="preserve"> 9.18亿</t>
  </si>
  <si>
    <t xml:space="preserve"> 3.280亿</t>
  </si>
  <si>
    <t xml:space="preserve"> 2.879亿</t>
  </si>
  <si>
    <t xml:space="preserve"> ST易购</t>
  </si>
  <si>
    <t xml:space="preserve"> -1.28万</t>
  </si>
  <si>
    <t xml:space="preserve"> 93.10亿</t>
  </si>
  <si>
    <t xml:space="preserve"> 173.2亿</t>
  </si>
  <si>
    <t xml:space="preserve"> 今创集团</t>
  </si>
  <si>
    <t xml:space="preserve"> 2295万</t>
  </si>
  <si>
    <t xml:space="preserve"> 7.837亿</t>
  </si>
  <si>
    <t xml:space="preserve"> 76.26亿</t>
  </si>
  <si>
    <t xml:space="preserve"> 青松股份</t>
  </si>
  <si>
    <t xml:space="preserve"> 2294万</t>
  </si>
  <si>
    <t xml:space="preserve"> 5.166亿</t>
  </si>
  <si>
    <t xml:space="preserve"> 奇德新材</t>
  </si>
  <si>
    <t xml:space="preserve"> 2291万</t>
  </si>
  <si>
    <t xml:space="preserve"> 18.41亿</t>
  </si>
  <si>
    <t xml:space="preserve"> 6.366亿</t>
  </si>
  <si>
    <t xml:space="preserve"> 中天精装</t>
  </si>
  <si>
    <t xml:space="preserve"> 2288万</t>
  </si>
  <si>
    <t xml:space="preserve"> 1.817亿</t>
  </si>
  <si>
    <t xml:space="preserve"> 棒杰股份</t>
  </si>
  <si>
    <t xml:space="preserve"> 2284万</t>
  </si>
  <si>
    <t xml:space="preserve"> 4.739亿</t>
  </si>
  <si>
    <t xml:space="preserve"> 3.817亿</t>
  </si>
  <si>
    <t xml:space="preserve"> 26.07亿</t>
  </si>
  <si>
    <t xml:space="preserve"> 冠福股份</t>
  </si>
  <si>
    <t xml:space="preserve"> 2283万</t>
  </si>
  <si>
    <t xml:space="preserve"> 67.60亿</t>
  </si>
  <si>
    <t xml:space="preserve"> 中裕科技</t>
  </si>
  <si>
    <t xml:space="preserve"> 2282万</t>
  </si>
  <si>
    <t xml:space="preserve"> 15.09亿</t>
  </si>
  <si>
    <t xml:space="preserve"> 2513万</t>
  </si>
  <si>
    <t xml:space="preserve"> 3.774亿</t>
  </si>
  <si>
    <t xml:space="preserve"> 永悦科技</t>
  </si>
  <si>
    <t xml:space="preserve"> 2275万</t>
  </si>
  <si>
    <t xml:space="preserve"> 3.607亿</t>
  </si>
  <si>
    <t xml:space="preserve"> 3.593亿</t>
  </si>
  <si>
    <t xml:space="preserve"> 华康股份</t>
  </si>
  <si>
    <t xml:space="preserve"> 2274万</t>
  </si>
  <si>
    <t xml:space="preserve"> 2.285亿</t>
  </si>
  <si>
    <t xml:space="preserve"> 34.71亿</t>
  </si>
  <si>
    <t xml:space="preserve"> 方邦股份</t>
  </si>
  <si>
    <t xml:space="preserve"> 2272万</t>
  </si>
  <si>
    <t xml:space="preserve"> 8052万</t>
  </si>
  <si>
    <t xml:space="preserve"> ST迪威迅</t>
  </si>
  <si>
    <t xml:space="preserve"> 2271万</t>
  </si>
  <si>
    <t xml:space="preserve"> 3.606亿</t>
  </si>
  <si>
    <t xml:space="preserve"> 12.19亿</t>
  </si>
  <si>
    <t xml:space="preserve"> 3.368亿</t>
  </si>
  <si>
    <t xml:space="preserve"> 美农生物</t>
  </si>
  <si>
    <t xml:space="preserve"> 21.01亿</t>
  </si>
  <si>
    <t xml:space="preserve"> 8.824亿</t>
  </si>
  <si>
    <t xml:space="preserve"> 远方信息</t>
  </si>
  <si>
    <t xml:space="preserve"> 2268万</t>
  </si>
  <si>
    <t xml:space="preserve"> 33.43亿</t>
  </si>
  <si>
    <t xml:space="preserve"> 永泰运</t>
  </si>
  <si>
    <t xml:space="preserve"> 崧盛股份</t>
  </si>
  <si>
    <t xml:space="preserve"> 2265万</t>
  </si>
  <si>
    <t xml:space="preserve"> 博力威</t>
  </si>
  <si>
    <t xml:space="preserve"> 2264万</t>
  </si>
  <si>
    <t xml:space="preserve"> 2538万</t>
  </si>
  <si>
    <t xml:space="preserve"> 7.942亿</t>
  </si>
  <si>
    <t xml:space="preserve"> 达威股份</t>
  </si>
  <si>
    <t xml:space="preserve"> 2262万</t>
  </si>
  <si>
    <t xml:space="preserve"> 1.048亿</t>
  </si>
  <si>
    <t xml:space="preserve"> 7631万</t>
  </si>
  <si>
    <t xml:space="preserve"> 海源复材</t>
  </si>
  <si>
    <t xml:space="preserve"> 2260万</t>
  </si>
  <si>
    <t xml:space="preserve"> 中铝国际</t>
  </si>
  <si>
    <t xml:space="preserve"> 150亿</t>
  </si>
  <si>
    <t xml:space="preserve"> 舒华体育</t>
  </si>
  <si>
    <t xml:space="preserve"> 1.123亿</t>
  </si>
  <si>
    <t xml:space="preserve"> 东来技术</t>
  </si>
  <si>
    <t xml:space="preserve"> 2259万</t>
  </si>
  <si>
    <t xml:space="preserve"> 海峡环保</t>
  </si>
  <si>
    <t xml:space="preserve"> 5.344亿</t>
  </si>
  <si>
    <t xml:space="preserve"> 韶能股份</t>
  </si>
  <si>
    <t xml:space="preserve"> 2257万</t>
  </si>
  <si>
    <t xml:space="preserve"> 34.0亿</t>
  </si>
  <si>
    <t xml:space="preserve"> 49.38亿</t>
  </si>
  <si>
    <t xml:space="preserve"> 山东章鼓</t>
  </si>
  <si>
    <t xml:space="preserve"> 2256万</t>
  </si>
  <si>
    <t xml:space="preserve"> 中科海讯</t>
  </si>
  <si>
    <t xml:space="preserve"> 2253万</t>
  </si>
  <si>
    <t xml:space="preserve"> 大烨智能</t>
  </si>
  <si>
    <t xml:space="preserve"> 2252万</t>
  </si>
  <si>
    <t xml:space="preserve"> 科拓生物</t>
  </si>
  <si>
    <t xml:space="preserve"> 2246万</t>
  </si>
  <si>
    <t xml:space="preserve"> 2.635亿</t>
  </si>
  <si>
    <t xml:space="preserve"> 1.916亿</t>
  </si>
  <si>
    <t xml:space="preserve"> 38.84亿</t>
  </si>
  <si>
    <t xml:space="preserve"> 凌霄泵业</t>
  </si>
  <si>
    <t xml:space="preserve"> 2245万</t>
  </si>
  <si>
    <t xml:space="preserve"> 2.730亿</t>
  </si>
  <si>
    <t xml:space="preserve"> 柘中股份</t>
  </si>
  <si>
    <t xml:space="preserve"> 4.416亿</t>
  </si>
  <si>
    <t xml:space="preserve"> 42.97亿</t>
  </si>
  <si>
    <t xml:space="preserve"> 绿岛风</t>
  </si>
  <si>
    <t xml:space="preserve"> 2241万</t>
  </si>
  <si>
    <t xml:space="preserve"> 1800万</t>
  </si>
  <si>
    <t xml:space="preserve"> 5.980亿</t>
  </si>
  <si>
    <t xml:space="preserve"> 匠心家居</t>
  </si>
  <si>
    <t xml:space="preserve"> 54.89亿</t>
  </si>
  <si>
    <t xml:space="preserve"> 3200万</t>
  </si>
  <si>
    <t xml:space="preserve"> 13.72亿</t>
  </si>
  <si>
    <t xml:space="preserve"> 柯利达</t>
  </si>
  <si>
    <t xml:space="preserve"> 2235万</t>
  </si>
  <si>
    <t xml:space="preserve"> 安旭生物</t>
  </si>
  <si>
    <t xml:space="preserve"> 1.271亿</t>
  </si>
  <si>
    <t xml:space="preserve"> 55.15亿</t>
  </si>
  <si>
    <t xml:space="preserve"> 3177万</t>
  </si>
  <si>
    <t xml:space="preserve"> 东南电子</t>
  </si>
  <si>
    <t xml:space="preserve"> 8584万</t>
  </si>
  <si>
    <t xml:space="preserve"> 22.98亿</t>
  </si>
  <si>
    <t xml:space="preserve"> 7.059亿</t>
  </si>
  <si>
    <t xml:space="preserve"> 佛燃能源</t>
  </si>
  <si>
    <t xml:space="preserve"> 2234万</t>
  </si>
  <si>
    <t xml:space="preserve"> 9.794亿</t>
  </si>
  <si>
    <t xml:space="preserve"> 9.516亿</t>
  </si>
  <si>
    <t xml:space="preserve"> 莱绅通灵</t>
  </si>
  <si>
    <t xml:space="preserve"> 2233万</t>
  </si>
  <si>
    <t xml:space="preserve"> 国源科技</t>
  </si>
  <si>
    <t xml:space="preserve"> 1.338亿</t>
  </si>
  <si>
    <t xml:space="preserve"> 8.201亿</t>
  </si>
  <si>
    <t xml:space="preserve"> 8843万</t>
  </si>
  <si>
    <t xml:space="preserve"> 5.421亿</t>
  </si>
  <si>
    <t xml:space="preserve"> 瑞德智能</t>
  </si>
  <si>
    <t xml:space="preserve"> 25.67亿</t>
  </si>
  <si>
    <t xml:space="preserve"> 国泰环保</t>
  </si>
  <si>
    <t xml:space="preserve"> 2232万</t>
  </si>
  <si>
    <t xml:space="preserve"> 1984万</t>
  </si>
  <si>
    <t xml:space="preserve"> 百大集团</t>
  </si>
  <si>
    <t xml:space="preserve"> 2231万</t>
  </si>
  <si>
    <t xml:space="preserve"> 建新股份</t>
  </si>
  <si>
    <t xml:space="preserve"> 2226万</t>
  </si>
  <si>
    <t xml:space="preserve"> 3.408亿</t>
  </si>
  <si>
    <t xml:space="preserve"> 17.82亿</t>
  </si>
  <si>
    <t xml:space="preserve"> 汇洁股份</t>
  </si>
  <si>
    <t xml:space="preserve"> 鲁银投资</t>
  </si>
  <si>
    <t xml:space="preserve"> 34.72亿</t>
  </si>
  <si>
    <t xml:space="preserve"> 江南奕帆</t>
  </si>
  <si>
    <t xml:space="preserve"> 2222万</t>
  </si>
  <si>
    <t xml:space="preserve"> 9.815亿</t>
  </si>
  <si>
    <t xml:space="preserve"> 菲达环保</t>
  </si>
  <si>
    <t xml:space="preserve"> 8.872亿</t>
  </si>
  <si>
    <t xml:space="preserve"> 7.116亿</t>
  </si>
  <si>
    <t xml:space="preserve"> 东亚机械</t>
  </si>
  <si>
    <t xml:space="preserve"> 2218万</t>
  </si>
  <si>
    <t xml:space="preserve"> 3.789亿</t>
  </si>
  <si>
    <t xml:space="preserve"> 星光股份</t>
  </si>
  <si>
    <t xml:space="preserve"> 2216万</t>
  </si>
  <si>
    <t xml:space="preserve"> 民爆光电</t>
  </si>
  <si>
    <t xml:space="preserve"> 2214万</t>
  </si>
  <si>
    <t xml:space="preserve"> 1.047亿</t>
  </si>
  <si>
    <t xml:space="preserve"> 9.611亿</t>
  </si>
  <si>
    <t xml:space="preserve"> 汇金通</t>
  </si>
  <si>
    <t xml:space="preserve"> 2.883亿</t>
  </si>
  <si>
    <t xml:space="preserve"> 万控智造</t>
  </si>
  <si>
    <t xml:space="preserve"> 2209万</t>
  </si>
  <si>
    <t xml:space="preserve"> 8109万</t>
  </si>
  <si>
    <t xml:space="preserve"> 朗博科技</t>
  </si>
  <si>
    <t xml:space="preserve"> 1.060亿</t>
  </si>
  <si>
    <t xml:space="preserve"> 海伦钢琴</t>
  </si>
  <si>
    <t xml:space="preserve"> 2205万</t>
  </si>
  <si>
    <t xml:space="preserve"> 2.529亿</t>
  </si>
  <si>
    <t xml:space="preserve"> 申联生物</t>
  </si>
  <si>
    <t xml:space="preserve"> 2203万</t>
  </si>
  <si>
    <t xml:space="preserve"> 宝地矿业</t>
  </si>
  <si>
    <t xml:space="preserve"> 2202万</t>
  </si>
  <si>
    <t xml:space="preserve"> 57.84亿</t>
  </si>
  <si>
    <t xml:space="preserve"> 上海亚虹</t>
  </si>
  <si>
    <t xml:space="preserve"> 23.21亿</t>
  </si>
  <si>
    <t xml:space="preserve"> 盛德鑫泰</t>
  </si>
  <si>
    <t xml:space="preserve"> 2201万</t>
  </si>
  <si>
    <t xml:space="preserve"> 30.17亿</t>
  </si>
  <si>
    <t xml:space="preserve"> 浙江力诺</t>
  </si>
  <si>
    <t xml:space="preserve"> 2197万</t>
  </si>
  <si>
    <t xml:space="preserve"> 百达精工</t>
  </si>
  <si>
    <t xml:space="preserve"> 2193万</t>
  </si>
  <si>
    <t xml:space="preserve"> 海星股份</t>
  </si>
  <si>
    <t xml:space="preserve"> 2191万</t>
  </si>
  <si>
    <t xml:space="preserve"> 雅博股份</t>
  </si>
  <si>
    <t xml:space="preserve"> 2186万</t>
  </si>
  <si>
    <t xml:space="preserve"> 万润新能</t>
  </si>
  <si>
    <t xml:space="preserve"> 2182万</t>
  </si>
  <si>
    <t xml:space="preserve"> 1.261亿</t>
  </si>
  <si>
    <t xml:space="preserve"> 43.19亿</t>
  </si>
  <si>
    <t xml:space="preserve"> 锦盛新材</t>
  </si>
  <si>
    <t xml:space="preserve"> 2181万</t>
  </si>
  <si>
    <t xml:space="preserve"> 瑜欣电子</t>
  </si>
  <si>
    <t xml:space="preserve"> 2179万</t>
  </si>
  <si>
    <t xml:space="preserve"> 2091万</t>
  </si>
  <si>
    <t xml:space="preserve"> 力源科技</t>
  </si>
  <si>
    <t xml:space="preserve"> 2169万</t>
  </si>
  <si>
    <t xml:space="preserve"> 8.606亿</t>
  </si>
  <si>
    <t xml:space="preserve"> 天宸股份</t>
  </si>
  <si>
    <t xml:space="preserve"> 6.867亿</t>
  </si>
  <si>
    <t xml:space="preserve"> 宏川智慧</t>
  </si>
  <si>
    <t xml:space="preserve"> 2168万</t>
  </si>
  <si>
    <t xml:space="preserve"> 4.565亿</t>
  </si>
  <si>
    <t xml:space="preserve"> 95.12亿</t>
  </si>
  <si>
    <t xml:space="preserve"> 宏裕包材</t>
  </si>
  <si>
    <t xml:space="preserve"> 2167万</t>
  </si>
  <si>
    <t xml:space="preserve"> 8133万</t>
  </si>
  <si>
    <t xml:space="preserve"> 7.995亿</t>
  </si>
  <si>
    <t xml:space="preserve"> 1627万</t>
  </si>
  <si>
    <t xml:space="preserve"> 1.599亿</t>
  </si>
  <si>
    <t xml:space="preserve"> 天润科技</t>
  </si>
  <si>
    <t xml:space="preserve"> 2165万</t>
  </si>
  <si>
    <t xml:space="preserve"> 7391万</t>
  </si>
  <si>
    <t xml:space="preserve"> 6.068亿</t>
  </si>
  <si>
    <t xml:space="preserve"> 2020万</t>
  </si>
  <si>
    <t xml:space="preserve"> 亿利达</t>
  </si>
  <si>
    <t xml:space="preserve"> 36.98亿</t>
  </si>
  <si>
    <t xml:space="preserve"> 3.917亿</t>
  </si>
  <si>
    <t xml:space="preserve"> 格利尔</t>
  </si>
  <si>
    <t xml:space="preserve"> 7508万</t>
  </si>
  <si>
    <t xml:space="preserve"> 2569万</t>
  </si>
  <si>
    <t xml:space="preserve"> 洪涛股份</t>
  </si>
  <si>
    <t xml:space="preserve"> 2163万</t>
  </si>
  <si>
    <t xml:space="preserve"> 辉丰股份</t>
  </si>
  <si>
    <t xml:space="preserve"> 2161万</t>
  </si>
  <si>
    <t xml:space="preserve"> 31.06亿</t>
  </si>
  <si>
    <t xml:space="preserve"> 鼎阳科技</t>
  </si>
  <si>
    <t xml:space="preserve"> 2159万</t>
  </si>
  <si>
    <t xml:space="preserve"> 1.592亿</t>
  </si>
  <si>
    <t xml:space="preserve"> 4595万</t>
  </si>
  <si>
    <t xml:space="preserve"> 18.21亿</t>
  </si>
  <si>
    <t xml:space="preserve"> 晋亿实业</t>
  </si>
  <si>
    <t xml:space="preserve"> 2158万</t>
  </si>
  <si>
    <t xml:space="preserve"> 46.88亿</t>
  </si>
  <si>
    <t xml:space="preserve"> 46.77亿</t>
  </si>
  <si>
    <t xml:space="preserve"> 安道麦A</t>
  </si>
  <si>
    <t xml:space="preserve"> 2156万</t>
  </si>
  <si>
    <t xml:space="preserve"> 178.2亿</t>
  </si>
  <si>
    <t xml:space="preserve"> 166.5亿</t>
  </si>
  <si>
    <t xml:space="preserve"> 宏润建设</t>
  </si>
  <si>
    <t xml:space="preserve"> 2154万</t>
  </si>
  <si>
    <t xml:space="preserve"> 45.3亿</t>
  </si>
  <si>
    <t xml:space="preserve"> 世荣兆业</t>
  </si>
  <si>
    <t xml:space="preserve"> 8.091亿</t>
  </si>
  <si>
    <t xml:space="preserve"> 宇通重工</t>
  </si>
  <si>
    <t xml:space="preserve"> 53.18亿</t>
  </si>
  <si>
    <t xml:space="preserve"> 趣睡科技</t>
  </si>
  <si>
    <t xml:space="preserve"> 2150万</t>
  </si>
  <si>
    <t xml:space="preserve"> 神雾节能</t>
  </si>
  <si>
    <t xml:space="preserve"> 2138万</t>
  </si>
  <si>
    <t xml:space="preserve"> 8727万</t>
  </si>
  <si>
    <t xml:space="preserve"> 6.372亿</t>
  </si>
  <si>
    <t xml:space="preserve"> 2.877亿</t>
  </si>
  <si>
    <t xml:space="preserve"> 森鹰窗业</t>
  </si>
  <si>
    <t xml:space="preserve"> 2137万</t>
  </si>
  <si>
    <t xml:space="preserve"> 上海艾录</t>
  </si>
  <si>
    <t xml:space="preserve"> 2136万</t>
  </si>
  <si>
    <t xml:space="preserve"> 2.393亿</t>
  </si>
  <si>
    <t xml:space="preserve"> 26.59亿</t>
  </si>
  <si>
    <t xml:space="preserve"> 亚星化学</t>
  </si>
  <si>
    <t xml:space="preserve"> 2134万</t>
  </si>
  <si>
    <t xml:space="preserve"> 21.09亿</t>
  </si>
  <si>
    <t xml:space="preserve"> 克莱特</t>
  </si>
  <si>
    <t xml:space="preserve"> 8.507亿</t>
  </si>
  <si>
    <t xml:space="preserve"> 3569万</t>
  </si>
  <si>
    <t xml:space="preserve"> 4.136亿</t>
  </si>
  <si>
    <t xml:space="preserve"> 柳钢股份</t>
  </si>
  <si>
    <t xml:space="preserve"> 2130万</t>
  </si>
  <si>
    <t xml:space="preserve"> 570亿</t>
  </si>
  <si>
    <t xml:space="preserve"> 启迪设计</t>
  </si>
  <si>
    <t xml:space="preserve"> 艾隆科技</t>
  </si>
  <si>
    <t xml:space="preserve"> 2129万</t>
  </si>
  <si>
    <t xml:space="preserve"> 7720万</t>
  </si>
  <si>
    <t xml:space="preserve"> 4566万</t>
  </si>
  <si>
    <t xml:space="preserve"> 华润材料</t>
  </si>
  <si>
    <t xml:space="preserve"> 159.9亿</t>
  </si>
  <si>
    <t xml:space="preserve"> 2.219亿</t>
  </si>
  <si>
    <t xml:space="preserve"> 秉扬科技</t>
  </si>
  <si>
    <t xml:space="preserve"> 7829万</t>
  </si>
  <si>
    <t xml:space="preserve"> 4.713亿</t>
  </si>
  <si>
    <t xml:space="preserve"> 华菱线缆</t>
  </si>
  <si>
    <t xml:space="preserve"> 2125万</t>
  </si>
  <si>
    <t xml:space="preserve"> 22.70亿</t>
  </si>
  <si>
    <t xml:space="preserve"> 新锐股份</t>
  </si>
  <si>
    <t xml:space="preserve"> 2122万</t>
  </si>
  <si>
    <t xml:space="preserve"> 1.299亿</t>
  </si>
  <si>
    <t xml:space="preserve"> 9547万</t>
  </si>
  <si>
    <t xml:space="preserve"> 中设股份</t>
  </si>
  <si>
    <t xml:space="preserve"> 金盾股份</t>
  </si>
  <si>
    <t xml:space="preserve"> 2121万</t>
  </si>
  <si>
    <t xml:space="preserve"> 2.702亿</t>
  </si>
  <si>
    <t xml:space="preserve"> 杭华股份</t>
  </si>
  <si>
    <t xml:space="preserve"> 8.60亿</t>
  </si>
  <si>
    <t xml:space="preserve"> 4.160亿</t>
  </si>
  <si>
    <t xml:space="preserve"> 30.49亿</t>
  </si>
  <si>
    <t xml:space="preserve"> 蔚蓝生物</t>
  </si>
  <si>
    <t xml:space="preserve"> 8.80亿</t>
  </si>
  <si>
    <t xml:space="preserve"> 2.530亿</t>
  </si>
  <si>
    <t xml:space="preserve"> 宝光股份</t>
  </si>
  <si>
    <t xml:space="preserve"> 2119万</t>
  </si>
  <si>
    <t xml:space="preserve"> 3.302亿</t>
  </si>
  <si>
    <t xml:space="preserve"> 32.33亿</t>
  </si>
  <si>
    <t xml:space="preserve"> 星湖科技</t>
  </si>
  <si>
    <t xml:space="preserve"> 2115万</t>
  </si>
  <si>
    <t xml:space="preserve"> 86.56亿</t>
  </si>
  <si>
    <t xml:space="preserve"> 7.390亿</t>
  </si>
  <si>
    <t xml:space="preserve"> 38.50亿</t>
  </si>
  <si>
    <t xml:space="preserve"> 德才股份</t>
  </si>
  <si>
    <t xml:space="preserve"> 2114万</t>
  </si>
  <si>
    <t xml:space="preserve"> 8796万</t>
  </si>
  <si>
    <t xml:space="preserve"> *ST全新</t>
  </si>
  <si>
    <t xml:space="preserve"> 15.51亿</t>
  </si>
  <si>
    <t xml:space="preserve"> 2113万</t>
  </si>
  <si>
    <t xml:space="preserve"> 1.899亿</t>
  </si>
  <si>
    <t xml:space="preserve"> 复旦复华</t>
  </si>
  <si>
    <t xml:space="preserve"> 6.847亿</t>
  </si>
  <si>
    <t xml:space="preserve"> 41.29亿</t>
  </si>
  <si>
    <t xml:space="preserve"> *ST商城</t>
  </si>
  <si>
    <t xml:space="preserve"> 2112万</t>
  </si>
  <si>
    <t xml:space="preserve"> 21.86亿</t>
  </si>
  <si>
    <t xml:space="preserve"> 倍加洁</t>
  </si>
  <si>
    <t xml:space="preserve"> 7.66亿</t>
  </si>
  <si>
    <t xml:space="preserve"> 柏星龙</t>
  </si>
  <si>
    <t xml:space="preserve"> 2109万</t>
  </si>
  <si>
    <t xml:space="preserve"> 6482万</t>
  </si>
  <si>
    <t xml:space="preserve"> 2462万</t>
  </si>
  <si>
    <t xml:space="preserve"> 2.369亿</t>
  </si>
  <si>
    <t xml:space="preserve"> ST世茂</t>
  </si>
  <si>
    <t xml:space="preserve"> 2108万</t>
  </si>
  <si>
    <t xml:space="preserve"> 润都股份</t>
  </si>
  <si>
    <t xml:space="preserve"> 2101万</t>
  </si>
  <si>
    <t xml:space="preserve"> 3.349亿</t>
  </si>
  <si>
    <t xml:space="preserve"> 2.574亿</t>
  </si>
  <si>
    <t xml:space="preserve"> 35.06亿</t>
  </si>
  <si>
    <t xml:space="preserve"> 中自科技</t>
  </si>
  <si>
    <t xml:space="preserve"> 2098万</t>
  </si>
  <si>
    <t xml:space="preserve"> 实丰文化</t>
  </si>
  <si>
    <t xml:space="preserve"> 2097万</t>
  </si>
  <si>
    <t xml:space="preserve"> 南模生物</t>
  </si>
  <si>
    <t xml:space="preserve"> 32.15亿</t>
  </si>
  <si>
    <t xml:space="preserve"> 4884万</t>
  </si>
  <si>
    <t xml:space="preserve"> 20.14亿</t>
  </si>
  <si>
    <t xml:space="preserve"> 迅捷兴</t>
  </si>
  <si>
    <t xml:space="preserve"> 2096万</t>
  </si>
  <si>
    <t xml:space="preserve"> 福莱新材</t>
  </si>
  <si>
    <t xml:space="preserve"> 2094万</t>
  </si>
  <si>
    <t xml:space="preserve"> 27.24亿</t>
  </si>
  <si>
    <t xml:space="preserve"> 4352万</t>
  </si>
  <si>
    <t xml:space="preserve"> 新安洁</t>
  </si>
  <si>
    <t xml:space="preserve"> 9.035亿</t>
  </si>
  <si>
    <t xml:space="preserve"> 7.891亿</t>
  </si>
  <si>
    <t xml:space="preserve"> 祥明智能</t>
  </si>
  <si>
    <t xml:space="preserve"> 2092万</t>
  </si>
  <si>
    <t xml:space="preserve"> 4908万</t>
  </si>
  <si>
    <t xml:space="preserve"> 润阳科技</t>
  </si>
  <si>
    <t xml:space="preserve"> 2090万</t>
  </si>
  <si>
    <t xml:space="preserve"> 清水源</t>
  </si>
  <si>
    <t xml:space="preserve"> 2087万</t>
  </si>
  <si>
    <t xml:space="preserve"> 1.778亿</t>
  </si>
  <si>
    <t xml:space="preserve"> 22.30亿</t>
  </si>
  <si>
    <t xml:space="preserve"> 华研精机</t>
  </si>
  <si>
    <t xml:space="preserve"> 35.78亿</t>
  </si>
  <si>
    <t xml:space="preserve"> 8.946亿</t>
  </si>
  <si>
    <t xml:space="preserve"> 福莱蒽特</t>
  </si>
  <si>
    <t xml:space="preserve"> 洁特生物</t>
  </si>
  <si>
    <t xml:space="preserve"> 2081万</t>
  </si>
  <si>
    <t xml:space="preserve"> 1.402亿</t>
  </si>
  <si>
    <t xml:space="preserve"> 清研环境</t>
  </si>
  <si>
    <t xml:space="preserve"> 2080万</t>
  </si>
  <si>
    <t xml:space="preserve"> 9796万</t>
  </si>
  <si>
    <t xml:space="preserve"> 9.329亿</t>
  </si>
  <si>
    <t xml:space="preserve"> 福事特</t>
  </si>
  <si>
    <t xml:space="preserve"> 2079万</t>
  </si>
  <si>
    <t xml:space="preserve"> 26.13亿</t>
  </si>
  <si>
    <t xml:space="preserve"> 6.532亿</t>
  </si>
  <si>
    <t xml:space="preserve"> 信隆健康</t>
  </si>
  <si>
    <t xml:space="preserve"> 2076万</t>
  </si>
  <si>
    <t xml:space="preserve"> ST曙光</t>
  </si>
  <si>
    <t xml:space="preserve"> 2075万</t>
  </si>
  <si>
    <t xml:space="preserve"> 9.62亿</t>
  </si>
  <si>
    <t xml:space="preserve"> 6.756亿</t>
  </si>
  <si>
    <t xml:space="preserve"> 森林包装</t>
  </si>
  <si>
    <t xml:space="preserve"> 2074万</t>
  </si>
  <si>
    <t xml:space="preserve"> 4.144亿</t>
  </si>
  <si>
    <t xml:space="preserve"> 8.537亿</t>
  </si>
  <si>
    <t xml:space="preserve"> 运机集团</t>
  </si>
  <si>
    <t xml:space="preserve"> 26.51亿</t>
  </si>
  <si>
    <t xml:space="preserve"> 花溪科技</t>
  </si>
  <si>
    <t xml:space="preserve"> 6552万</t>
  </si>
  <si>
    <t xml:space="preserve"> 5652万</t>
  </si>
  <si>
    <t xml:space="preserve"> 1860万</t>
  </si>
  <si>
    <t xml:space="preserve"> 1.549亿</t>
  </si>
  <si>
    <t xml:space="preserve"> 丽岛新材</t>
  </si>
  <si>
    <t xml:space="preserve"> 2066万</t>
  </si>
  <si>
    <t xml:space="preserve"> 26.32亿</t>
  </si>
  <si>
    <t xml:space="preserve"> 禾丰股份</t>
  </si>
  <si>
    <t xml:space="preserve"> 2065万</t>
  </si>
  <si>
    <t xml:space="preserve"> 269亿</t>
  </si>
  <si>
    <t xml:space="preserve"> 天微电子</t>
  </si>
  <si>
    <t xml:space="preserve"> 2062万</t>
  </si>
  <si>
    <t xml:space="preserve"> 9755万</t>
  </si>
  <si>
    <t xml:space="preserve"> 4093万</t>
  </si>
  <si>
    <t xml:space="preserve"> 威奥股份</t>
  </si>
  <si>
    <t xml:space="preserve"> 2059万</t>
  </si>
  <si>
    <t xml:space="preserve"> 广东明珠</t>
  </si>
  <si>
    <t xml:space="preserve"> 2056万</t>
  </si>
  <si>
    <t xml:space="preserve"> 海天股份</t>
  </si>
  <si>
    <t xml:space="preserve"> 2055万</t>
  </si>
  <si>
    <t xml:space="preserve"> 4.618亿</t>
  </si>
  <si>
    <t xml:space="preserve"> 时空科技</t>
  </si>
  <si>
    <t xml:space="preserve"> 6208万</t>
  </si>
  <si>
    <t xml:space="preserve"> 百川能源</t>
  </si>
  <si>
    <t xml:space="preserve"> 2054万</t>
  </si>
  <si>
    <t xml:space="preserve"> 55.91亿</t>
  </si>
  <si>
    <t xml:space="preserve"> 信宇人</t>
  </si>
  <si>
    <t xml:space="preserve"> 2046万</t>
  </si>
  <si>
    <t xml:space="preserve"> 9775万</t>
  </si>
  <si>
    <t xml:space="preserve"> 29.15亿</t>
  </si>
  <si>
    <t xml:space="preserve"> 1952万</t>
  </si>
  <si>
    <t xml:space="preserve"> 5.822亿</t>
  </si>
  <si>
    <t xml:space="preserve"> 鲁  泰Ａ</t>
  </si>
  <si>
    <t xml:space="preserve"> 2044万</t>
  </si>
  <si>
    <t xml:space="preserve"> 8.636亿</t>
  </si>
  <si>
    <t xml:space="preserve"> 39.08亿</t>
  </si>
  <si>
    <t xml:space="preserve"> 重庆燃气</t>
  </si>
  <si>
    <t xml:space="preserve"> 长华化学</t>
  </si>
  <si>
    <t xml:space="preserve"> 2043万</t>
  </si>
  <si>
    <t xml:space="preserve"> 8.062亿</t>
  </si>
  <si>
    <t xml:space="preserve"> 同和药业</t>
  </si>
  <si>
    <t xml:space="preserve"> 2042万</t>
  </si>
  <si>
    <t xml:space="preserve"> 2.916亿</t>
  </si>
  <si>
    <t xml:space="preserve"> 康众医疗</t>
  </si>
  <si>
    <t xml:space="preserve"> 8813万</t>
  </si>
  <si>
    <t xml:space="preserve"> 6651万</t>
  </si>
  <si>
    <t xml:space="preserve"> 东方碳素</t>
  </si>
  <si>
    <t xml:space="preserve"> 1.190亿</t>
  </si>
  <si>
    <t xml:space="preserve"> 5570万</t>
  </si>
  <si>
    <t xml:space="preserve"> 5.364亿</t>
  </si>
  <si>
    <t xml:space="preserve"> 纬德信息</t>
  </si>
  <si>
    <t xml:space="preserve"> 2039万</t>
  </si>
  <si>
    <t xml:space="preserve"> 8307万</t>
  </si>
  <si>
    <t xml:space="preserve"> 5030万</t>
  </si>
  <si>
    <t xml:space="preserve"> 方大集团</t>
  </si>
  <si>
    <t xml:space="preserve"> 6.759亿</t>
  </si>
  <si>
    <t xml:space="preserve"> 翔鹭钨业</t>
  </si>
  <si>
    <t xml:space="preserve"> 2034万</t>
  </si>
  <si>
    <t xml:space="preserve"> 2.762亿</t>
  </si>
  <si>
    <t xml:space="preserve"> 春光科技</t>
  </si>
  <si>
    <t xml:space="preserve"> 2033万</t>
  </si>
  <si>
    <t xml:space="preserve"> 1.352亿</t>
  </si>
  <si>
    <t xml:space="preserve"> 东宏股份</t>
  </si>
  <si>
    <t xml:space="preserve"> 2.569亿</t>
  </si>
  <si>
    <t xml:space="preserve"> 2.564亿</t>
  </si>
  <si>
    <t xml:space="preserve"> 30.21亿</t>
  </si>
  <si>
    <t xml:space="preserve"> ST鼎龙</t>
  </si>
  <si>
    <t xml:space="preserve"> 2032万</t>
  </si>
  <si>
    <t xml:space="preserve"> 9.200亿</t>
  </si>
  <si>
    <t xml:space="preserve"> 8.330亿</t>
  </si>
  <si>
    <t xml:space="preserve"> 佳华科技</t>
  </si>
  <si>
    <t xml:space="preserve"> 2031万</t>
  </si>
  <si>
    <t xml:space="preserve"> 7733万</t>
  </si>
  <si>
    <t xml:space="preserve"> 东华科技</t>
  </si>
  <si>
    <t xml:space="preserve"> 59.6亿</t>
  </si>
  <si>
    <t xml:space="preserve"> 7.082亿</t>
  </si>
  <si>
    <t xml:space="preserve"> 5.381亿</t>
  </si>
  <si>
    <t xml:space="preserve"> 蓝丰生化</t>
  </si>
  <si>
    <t xml:space="preserve"> 7.63亿</t>
  </si>
  <si>
    <t xml:space="preserve"> 3.739亿</t>
  </si>
  <si>
    <t xml:space="preserve"> 25.28亿</t>
  </si>
  <si>
    <t xml:space="preserve"> 雅艺科技</t>
  </si>
  <si>
    <t xml:space="preserve"> 2019万</t>
  </si>
  <si>
    <t xml:space="preserve"> 22.86亿</t>
  </si>
  <si>
    <t xml:space="preserve"> 万事利</t>
  </si>
  <si>
    <t xml:space="preserve"> 2018万</t>
  </si>
  <si>
    <t xml:space="preserve"> 25.94亿</t>
  </si>
  <si>
    <t xml:space="preserve"> 9.921亿</t>
  </si>
  <si>
    <t xml:space="preserve"> 润贝航科</t>
  </si>
  <si>
    <t xml:space="preserve"> 2016万</t>
  </si>
  <si>
    <t xml:space="preserve"> 8221万</t>
  </si>
  <si>
    <t xml:space="preserve"> 新天绿能</t>
  </si>
  <si>
    <t xml:space="preserve"> 2015万</t>
  </si>
  <si>
    <t xml:space="preserve"> 328.3亿</t>
  </si>
  <si>
    <t xml:space="preserve"> 常润股份</t>
  </si>
  <si>
    <t xml:space="preserve"> 2014万</t>
  </si>
  <si>
    <t xml:space="preserve"> 1.128亿</t>
  </si>
  <si>
    <t xml:space="preserve"> 罗莱生活</t>
  </si>
  <si>
    <t xml:space="preserve"> 2013万</t>
  </si>
  <si>
    <t xml:space="preserve"> 8.347亿</t>
  </si>
  <si>
    <t xml:space="preserve"> 81.22亿</t>
  </si>
  <si>
    <t xml:space="preserve"> 8.269亿</t>
  </si>
  <si>
    <t xml:space="preserve"> 80.46亿</t>
  </si>
  <si>
    <t xml:space="preserve"> ST天龙</t>
  </si>
  <si>
    <t xml:space="preserve"> 2009万</t>
  </si>
  <si>
    <t xml:space="preserve"> 2.005亿</t>
  </si>
  <si>
    <t xml:space="preserve"> 军信股份</t>
  </si>
  <si>
    <t xml:space="preserve"> 2008万</t>
  </si>
  <si>
    <t xml:space="preserve"> 66.83亿</t>
  </si>
  <si>
    <t xml:space="preserve"> 9865万</t>
  </si>
  <si>
    <t xml:space="preserve"> 音飞储存</t>
  </si>
  <si>
    <t xml:space="preserve"> 3.007亿</t>
  </si>
  <si>
    <t xml:space="preserve"> 30.94亿</t>
  </si>
  <si>
    <t xml:space="preserve"> 瑞华泰</t>
  </si>
  <si>
    <t xml:space="preserve"> 1999万</t>
  </si>
  <si>
    <t xml:space="preserve"> 9773万</t>
  </si>
  <si>
    <t xml:space="preserve"> 三友联众</t>
  </si>
  <si>
    <t xml:space="preserve"> 1.759亿</t>
  </si>
  <si>
    <t xml:space="preserve"> 9069万</t>
  </si>
  <si>
    <t xml:space="preserve"> 百合花</t>
  </si>
  <si>
    <t xml:space="preserve"> 1997万</t>
  </si>
  <si>
    <t xml:space="preserve"> 4.110亿</t>
  </si>
  <si>
    <t xml:space="preserve"> 联德股份</t>
  </si>
  <si>
    <t xml:space="preserve"> 1991万</t>
  </si>
  <si>
    <t xml:space="preserve"> 2.413亿</t>
  </si>
  <si>
    <t xml:space="preserve"> 8160万</t>
  </si>
  <si>
    <t xml:space="preserve"> 中一科技</t>
  </si>
  <si>
    <t xml:space="preserve"> 48.28亿</t>
  </si>
  <si>
    <t xml:space="preserve"> 真爱美家</t>
  </si>
  <si>
    <t xml:space="preserve"> 7.885亿</t>
  </si>
  <si>
    <t xml:space="preserve"> 长青股份</t>
  </si>
  <si>
    <t xml:space="preserve"> 1986万</t>
  </si>
  <si>
    <t xml:space="preserve"> 6.496亿</t>
  </si>
  <si>
    <t xml:space="preserve"> 42.03亿</t>
  </si>
  <si>
    <t xml:space="preserve"> 洪通燃气</t>
  </si>
  <si>
    <t xml:space="preserve"> 7072万</t>
  </si>
  <si>
    <t xml:space="preserve"> 8.147亿</t>
  </si>
  <si>
    <t xml:space="preserve"> 瑞松科技</t>
  </si>
  <si>
    <t xml:space="preserve"> 6698万</t>
  </si>
  <si>
    <t xml:space="preserve"> 20.86亿</t>
  </si>
  <si>
    <t xml:space="preserve"> 清新环境</t>
  </si>
  <si>
    <t xml:space="preserve"> 1982万</t>
  </si>
  <si>
    <t xml:space="preserve"> 59.8亿</t>
  </si>
  <si>
    <t xml:space="preserve"> 74.74亿</t>
  </si>
  <si>
    <t xml:space="preserve"> 远航精密</t>
  </si>
  <si>
    <t xml:space="preserve"> 1981万</t>
  </si>
  <si>
    <t xml:space="preserve"> 9.800亿</t>
  </si>
  <si>
    <t xml:space="preserve"> 5.900亿</t>
  </si>
  <si>
    <t xml:space="preserve"> 申达股份</t>
  </si>
  <si>
    <t xml:space="preserve"> 50.06亿</t>
  </si>
  <si>
    <t xml:space="preserve"> 8.523亿</t>
  </si>
  <si>
    <t xml:space="preserve"> 重庆建工</t>
  </si>
  <si>
    <t xml:space="preserve"> 1980万</t>
  </si>
  <si>
    <t xml:space="preserve"> 323亿</t>
  </si>
  <si>
    <t xml:space="preserve"> 64.47亿</t>
  </si>
  <si>
    <t xml:space="preserve"> 科前生物</t>
  </si>
  <si>
    <t xml:space="preserve"> 1978万</t>
  </si>
  <si>
    <t xml:space="preserve"> 90.02亿</t>
  </si>
  <si>
    <t xml:space="preserve"> 4.661亿</t>
  </si>
  <si>
    <t xml:space="preserve"> 90.01亿</t>
  </si>
  <si>
    <t xml:space="preserve"> 卓越新能</t>
  </si>
  <si>
    <t xml:space="preserve"> 1976万</t>
  </si>
  <si>
    <t xml:space="preserve"> 锦江在线</t>
  </si>
  <si>
    <t xml:space="preserve"> 1974万</t>
  </si>
  <si>
    <t xml:space="preserve"> 5.516亿</t>
  </si>
  <si>
    <t xml:space="preserve"> 3.906亿</t>
  </si>
  <si>
    <t xml:space="preserve"> 38.20亿</t>
  </si>
  <si>
    <t xml:space="preserve"> 天纺标</t>
  </si>
  <si>
    <t xml:space="preserve"> 8140万</t>
  </si>
  <si>
    <t xml:space="preserve"> 7.424亿</t>
  </si>
  <si>
    <t xml:space="preserve"> 1.946亿</t>
  </si>
  <si>
    <t xml:space="preserve"> 日月明</t>
  </si>
  <si>
    <t xml:space="preserve"> 20.41亿</t>
  </si>
  <si>
    <t xml:space="preserve"> 7169万</t>
  </si>
  <si>
    <t xml:space="preserve"> 鲁北化工</t>
  </si>
  <si>
    <t xml:space="preserve"> 1970万</t>
  </si>
  <si>
    <t xml:space="preserve"> 经纬股份</t>
  </si>
  <si>
    <t xml:space="preserve"> 1968万</t>
  </si>
  <si>
    <t xml:space="preserve"> 6.405亿</t>
  </si>
  <si>
    <t xml:space="preserve"> 工大科雅</t>
  </si>
  <si>
    <t xml:space="preserve"> 6711万</t>
  </si>
  <si>
    <t xml:space="preserve"> 元利科技</t>
  </si>
  <si>
    <t xml:space="preserve"> 41.22亿</t>
  </si>
  <si>
    <t xml:space="preserve"> 2.056亿</t>
  </si>
  <si>
    <t xml:space="preserve"> *ST洲际</t>
  </si>
  <si>
    <t xml:space="preserve"> 1963万</t>
  </si>
  <si>
    <t xml:space="preserve"> 22.64亿</t>
  </si>
  <si>
    <t xml:space="preserve"> 57.36亿</t>
  </si>
  <si>
    <t xml:space="preserve"> 泛亚微透</t>
  </si>
  <si>
    <t xml:space="preserve"> 三晖电气</t>
  </si>
  <si>
    <t xml:space="preserve"> 1962万</t>
  </si>
  <si>
    <t xml:space="preserve"> 中晟高科</t>
  </si>
  <si>
    <t xml:space="preserve"> 1961万</t>
  </si>
  <si>
    <t xml:space="preserve"> 1.234亿</t>
  </si>
  <si>
    <t xml:space="preserve"> 德马科技</t>
  </si>
  <si>
    <t xml:space="preserve"> 1.199亿</t>
  </si>
  <si>
    <t xml:space="preserve"> 24.47亿</t>
  </si>
  <si>
    <t xml:space="preserve"> 新宏泽</t>
  </si>
  <si>
    <t xml:space="preserve"> 2.304亿</t>
  </si>
  <si>
    <t xml:space="preserve"> 侨源股份</t>
  </si>
  <si>
    <t xml:space="preserve"> 1959万</t>
  </si>
  <si>
    <t xml:space="preserve"> 7.49亿</t>
  </si>
  <si>
    <t xml:space="preserve"> 3973万</t>
  </si>
  <si>
    <t xml:space="preserve"> 本立科技</t>
  </si>
  <si>
    <t xml:space="preserve"> 1958万</t>
  </si>
  <si>
    <t xml:space="preserve"> 中闽能源</t>
  </si>
  <si>
    <t xml:space="preserve"> 1956万</t>
  </si>
  <si>
    <t xml:space="preserve"> 19.03亿</t>
  </si>
  <si>
    <t xml:space="preserve"> 85.63亿</t>
  </si>
  <si>
    <t xml:space="preserve"> 英 力 特</t>
  </si>
  <si>
    <t xml:space="preserve"> 1953万</t>
  </si>
  <si>
    <t xml:space="preserve"> 3.031亿</t>
  </si>
  <si>
    <t xml:space="preserve"> 申科股份</t>
  </si>
  <si>
    <t xml:space="preserve"> 江南高纤</t>
  </si>
  <si>
    <t xml:space="preserve"> -3.94万</t>
  </si>
  <si>
    <t xml:space="preserve"> 新威凌</t>
  </si>
  <si>
    <t xml:space="preserve"> 6232万</t>
  </si>
  <si>
    <t xml:space="preserve"> 5.746亿</t>
  </si>
  <si>
    <t xml:space="preserve"> 1549万</t>
  </si>
  <si>
    <t xml:space="preserve"> 安彩高科</t>
  </si>
  <si>
    <t xml:space="preserve"> 1951万</t>
  </si>
  <si>
    <t xml:space="preserve"> 51.16亿</t>
  </si>
  <si>
    <t xml:space="preserve"> 众智科技</t>
  </si>
  <si>
    <t xml:space="preserve"> 1950万</t>
  </si>
  <si>
    <t xml:space="preserve"> 1.163亿</t>
  </si>
  <si>
    <t xml:space="preserve"> 2908万</t>
  </si>
  <si>
    <t xml:space="preserve"> 7.070亿</t>
  </si>
  <si>
    <t xml:space="preserve"> 本钢板材</t>
  </si>
  <si>
    <t xml:space="preserve"> 1949万</t>
  </si>
  <si>
    <t xml:space="preserve"> 435亿</t>
  </si>
  <si>
    <t xml:space="preserve"> 41.08亿</t>
  </si>
  <si>
    <t xml:space="preserve"> 161.5亿</t>
  </si>
  <si>
    <t xml:space="preserve"> 嘉华股份</t>
  </si>
  <si>
    <t xml:space="preserve"> 1948万</t>
  </si>
  <si>
    <t xml:space="preserve"> 24.76亿</t>
  </si>
  <si>
    <t xml:space="preserve"> 9308万</t>
  </si>
  <si>
    <t xml:space="preserve"> 明志科技</t>
  </si>
  <si>
    <t xml:space="preserve"> 1946万</t>
  </si>
  <si>
    <t xml:space="preserve"> 邵阳液压</t>
  </si>
  <si>
    <t xml:space="preserve"> 1945万</t>
  </si>
  <si>
    <t xml:space="preserve"> 10.34亿</t>
  </si>
  <si>
    <t xml:space="preserve"> 大宏立</t>
  </si>
  <si>
    <t xml:space="preserve"> 9568万</t>
  </si>
  <si>
    <t xml:space="preserve"> 6759万</t>
  </si>
  <si>
    <t xml:space="preserve"> 西力科技</t>
  </si>
  <si>
    <t xml:space="preserve"> 1944万</t>
  </si>
  <si>
    <t xml:space="preserve"> 5607万</t>
  </si>
  <si>
    <t xml:space="preserve"> 风光股份</t>
  </si>
  <si>
    <t xml:space="preserve"> 1939万</t>
  </si>
  <si>
    <t xml:space="preserve"> 5000万</t>
  </si>
  <si>
    <t xml:space="preserve"> 9.455亿</t>
  </si>
  <si>
    <t xml:space="preserve"> 三星新材</t>
  </si>
  <si>
    <t xml:space="preserve"> 25.95亿</t>
  </si>
  <si>
    <t xml:space="preserve"> 凤形股份</t>
  </si>
  <si>
    <t xml:space="preserve"> 1938万</t>
  </si>
  <si>
    <t xml:space="preserve"> 8798万</t>
  </si>
  <si>
    <t xml:space="preserve"> 科思科技</t>
  </si>
  <si>
    <t xml:space="preserve"> 1937万</t>
  </si>
  <si>
    <t xml:space="preserve"> 1.057亿</t>
  </si>
  <si>
    <t xml:space="preserve"> 42.05亿</t>
  </si>
  <si>
    <t xml:space="preserve"> 景业智能</t>
  </si>
  <si>
    <t xml:space="preserve"> 1.022亿</t>
  </si>
  <si>
    <t xml:space="preserve"> 4806万</t>
  </si>
  <si>
    <t xml:space="preserve"> 19.63亿</t>
  </si>
  <si>
    <t xml:space="preserve"> 曲美家居</t>
  </si>
  <si>
    <t xml:space="preserve"> 32.62亿</t>
  </si>
  <si>
    <t xml:space="preserve"> 万丰股份</t>
  </si>
  <si>
    <t xml:space="preserve"> 1933万</t>
  </si>
  <si>
    <t xml:space="preserve"> 3338万</t>
  </si>
  <si>
    <t xml:space="preserve"> 5.708亿</t>
  </si>
  <si>
    <t xml:space="preserve"> 华原股份</t>
  </si>
  <si>
    <t xml:space="preserve"> 1932万</t>
  </si>
  <si>
    <t xml:space="preserve"> 3.66亿</t>
  </si>
  <si>
    <t xml:space="preserve"> 1.517亿</t>
  </si>
  <si>
    <t xml:space="preserve"> 久日新材</t>
  </si>
  <si>
    <t xml:space="preserve"> 1928万</t>
  </si>
  <si>
    <t xml:space="preserve"> 久祺股份</t>
  </si>
  <si>
    <t xml:space="preserve"> 1924万</t>
  </si>
  <si>
    <t xml:space="preserve"> 2.331亿</t>
  </si>
  <si>
    <t xml:space="preserve"> 大千生态</t>
  </si>
  <si>
    <t xml:space="preserve"> 1923万</t>
  </si>
  <si>
    <t xml:space="preserve"> 9253万</t>
  </si>
  <si>
    <t xml:space="preserve"> 华塑科技</t>
  </si>
  <si>
    <t xml:space="preserve"> 6.807亿</t>
  </si>
  <si>
    <t xml:space="preserve"> 雅葆轩</t>
  </si>
  <si>
    <t xml:space="preserve"> 1921万</t>
  </si>
  <si>
    <t xml:space="preserve"> 8008万</t>
  </si>
  <si>
    <t xml:space="preserve"> 2.088亿</t>
  </si>
  <si>
    <t xml:space="preserve"> 宏源药业</t>
  </si>
  <si>
    <t xml:space="preserve"> 1920万</t>
  </si>
  <si>
    <t xml:space="preserve"> 4726万</t>
  </si>
  <si>
    <t xml:space="preserve"> 建研设计</t>
  </si>
  <si>
    <t xml:space="preserve"> 6660万</t>
  </si>
  <si>
    <t xml:space="preserve"> 科瑞思</t>
  </si>
  <si>
    <t xml:space="preserve"> 1918万</t>
  </si>
  <si>
    <t xml:space="preserve"> 1381万</t>
  </si>
  <si>
    <t xml:space="preserve"> 牧高笛</t>
  </si>
  <si>
    <t xml:space="preserve"> 6669万</t>
  </si>
  <si>
    <t xml:space="preserve"> 华盛昌</t>
  </si>
  <si>
    <t xml:space="preserve"> 7183万</t>
  </si>
  <si>
    <t xml:space="preserve"> 金春股份</t>
  </si>
  <si>
    <t xml:space="preserve"> 1917万</t>
  </si>
  <si>
    <t xml:space="preserve"> 6.58亿</t>
  </si>
  <si>
    <t xml:space="preserve"> 欧科亿</t>
  </si>
  <si>
    <t xml:space="preserve"> 49.22亿</t>
  </si>
  <si>
    <t xml:space="preserve"> 1.110亿</t>
  </si>
  <si>
    <t xml:space="preserve"> 利民股份</t>
  </si>
  <si>
    <t xml:space="preserve"> 1916万</t>
  </si>
  <si>
    <t xml:space="preserve"> 3.712亿</t>
  </si>
  <si>
    <t xml:space="preserve"> 31.29亿</t>
  </si>
  <si>
    <t xml:space="preserve"> 3.251亿</t>
  </si>
  <si>
    <t xml:space="preserve"> 鸿富瀚</t>
  </si>
  <si>
    <t xml:space="preserve"> 1915万</t>
  </si>
  <si>
    <t xml:space="preserve"> 42.69亿</t>
  </si>
  <si>
    <t xml:space="preserve"> 3250万</t>
  </si>
  <si>
    <t xml:space="preserve"> 15.41亿</t>
  </si>
  <si>
    <t xml:space="preserve"> 神力股份</t>
  </si>
  <si>
    <t xml:space="preserve"> 1914万</t>
  </si>
  <si>
    <t xml:space="preserve"> 真兰仪表</t>
  </si>
  <si>
    <t xml:space="preserve"> 7300万</t>
  </si>
  <si>
    <t xml:space="preserve"> 远翔新材</t>
  </si>
  <si>
    <t xml:space="preserve"> 1912万</t>
  </si>
  <si>
    <t xml:space="preserve"> 6415万</t>
  </si>
  <si>
    <t xml:space="preserve"> 2917万</t>
  </si>
  <si>
    <t xml:space="preserve"> 9.303亿</t>
  </si>
  <si>
    <t xml:space="preserve"> 铁岭新城</t>
  </si>
  <si>
    <t xml:space="preserve"> 3844万</t>
  </si>
  <si>
    <t xml:space="preserve"> 27.05亿</t>
  </si>
  <si>
    <t xml:space="preserve"> 长缆科技</t>
  </si>
  <si>
    <t xml:space="preserve"> 1911万</t>
  </si>
  <si>
    <t xml:space="preserve"> 1.931亿</t>
  </si>
  <si>
    <t xml:space="preserve"> 30.40亿</t>
  </si>
  <si>
    <t xml:space="preserve"> 21.11亿</t>
  </si>
  <si>
    <t xml:space="preserve"> 泸天化</t>
  </si>
  <si>
    <t xml:space="preserve"> 67.74亿</t>
  </si>
  <si>
    <t xml:space="preserve"> 华融化学</t>
  </si>
  <si>
    <t xml:space="preserve"> 40.37亿</t>
  </si>
  <si>
    <t xml:space="preserve"> 正平股份</t>
  </si>
  <si>
    <t xml:space="preserve"> 1910万</t>
  </si>
  <si>
    <t xml:space="preserve"> 6.996亿</t>
  </si>
  <si>
    <t xml:space="preserve"> 世龙实业</t>
  </si>
  <si>
    <t xml:space="preserve"> 1909万</t>
  </si>
  <si>
    <t xml:space="preserve"> 23.90亿</t>
  </si>
  <si>
    <t xml:space="preserve"> ST路通</t>
  </si>
  <si>
    <t xml:space="preserve"> 思进智能</t>
  </si>
  <si>
    <t xml:space="preserve"> 1904万</t>
  </si>
  <si>
    <t xml:space="preserve"> 29.79亿</t>
  </si>
  <si>
    <t xml:space="preserve"> 梅轮电梯</t>
  </si>
  <si>
    <t xml:space="preserve"> 1903万</t>
  </si>
  <si>
    <t xml:space="preserve"> 万德斯</t>
  </si>
  <si>
    <t xml:space="preserve"> 8528万</t>
  </si>
  <si>
    <t xml:space="preserve"> 8500万</t>
  </si>
  <si>
    <t xml:space="preserve"> 汇中股份</t>
  </si>
  <si>
    <t xml:space="preserve"> 1901万</t>
  </si>
  <si>
    <t xml:space="preserve"> 25.39亿</t>
  </si>
  <si>
    <t xml:space="preserve"> 17.14亿</t>
  </si>
  <si>
    <t xml:space="preserve"> 电气风电</t>
  </si>
  <si>
    <t xml:space="preserve"> 59.2亿</t>
  </si>
  <si>
    <t xml:space="preserve"> 13.33亿</t>
  </si>
  <si>
    <t xml:space="preserve"> 登云股份</t>
  </si>
  <si>
    <t xml:space="preserve"> 1894万</t>
  </si>
  <si>
    <t xml:space="preserve"> 殷图网联</t>
  </si>
  <si>
    <t xml:space="preserve"> 1893万</t>
  </si>
  <si>
    <t xml:space="preserve"> 3976万</t>
  </si>
  <si>
    <t xml:space="preserve"> 4.910亿</t>
  </si>
  <si>
    <t xml:space="preserve"> 2.557亿</t>
  </si>
  <si>
    <t xml:space="preserve"> 中衡设计</t>
  </si>
  <si>
    <t xml:space="preserve"> 1892万</t>
  </si>
  <si>
    <t xml:space="preserve"> 2.759亿</t>
  </si>
  <si>
    <t xml:space="preserve"> 新农开发</t>
  </si>
  <si>
    <t xml:space="preserve"> 1891万</t>
  </si>
  <si>
    <t xml:space="preserve"> 3.815亿</t>
  </si>
  <si>
    <t xml:space="preserve"> 28.96亿</t>
  </si>
  <si>
    <t xml:space="preserve"> 筑博设计</t>
  </si>
  <si>
    <t xml:space="preserve"> 1890万</t>
  </si>
  <si>
    <t xml:space="preserve"> 丰山集团</t>
  </si>
  <si>
    <t xml:space="preserve"> 1889万</t>
  </si>
  <si>
    <t xml:space="preserve"> 1.623亿</t>
  </si>
  <si>
    <t xml:space="preserve"> 建霖家居</t>
  </si>
  <si>
    <t xml:space="preserve"> 53.22亿</t>
  </si>
  <si>
    <t xml:space="preserve"> 海能技术</t>
  </si>
  <si>
    <t xml:space="preserve"> 1888万</t>
  </si>
  <si>
    <t xml:space="preserve"> 8609万</t>
  </si>
  <si>
    <t xml:space="preserve"> 6071万</t>
  </si>
  <si>
    <t xml:space="preserve"> 7.619亿</t>
  </si>
  <si>
    <t xml:space="preserve"> 亚信安全</t>
  </si>
  <si>
    <t xml:space="preserve"> 75.52亿</t>
  </si>
  <si>
    <t xml:space="preserve"> 厦工股份</t>
  </si>
  <si>
    <t xml:space="preserve"> 17.74亿</t>
  </si>
  <si>
    <t xml:space="preserve"> 钱江生化</t>
  </si>
  <si>
    <t xml:space="preserve"> 1885万</t>
  </si>
  <si>
    <t xml:space="preserve"> 3.014亿</t>
  </si>
  <si>
    <t xml:space="preserve"> 17.12亿</t>
  </si>
  <si>
    <t xml:space="preserve"> 近岸蛋白</t>
  </si>
  <si>
    <t xml:space="preserve"> 38.75亿</t>
  </si>
  <si>
    <t xml:space="preserve"> 2716万</t>
  </si>
  <si>
    <t xml:space="preserve"> 赛伦生物</t>
  </si>
  <si>
    <t xml:space="preserve"> 1884万</t>
  </si>
  <si>
    <t xml:space="preserve"> 1.082亿</t>
  </si>
  <si>
    <t xml:space="preserve"> 9.133亿</t>
  </si>
  <si>
    <t xml:space="preserve"> 江瀚新材</t>
  </si>
  <si>
    <t xml:space="preserve"> 9333万</t>
  </si>
  <si>
    <t xml:space="preserve"> 宝色股份</t>
  </si>
  <si>
    <t xml:space="preserve"> 1881万</t>
  </si>
  <si>
    <t xml:space="preserve"> 2.436亿</t>
  </si>
  <si>
    <t xml:space="preserve"> 41.54亿</t>
  </si>
  <si>
    <t xml:space="preserve"> 2.020亿</t>
  </si>
  <si>
    <t xml:space="preserve"> 大叶股份</t>
  </si>
  <si>
    <t xml:space="preserve"> 1878万</t>
  </si>
  <si>
    <t xml:space="preserve"> 争光股份</t>
  </si>
  <si>
    <t xml:space="preserve"> 1873万</t>
  </si>
  <si>
    <t xml:space="preserve"> 4286万</t>
  </si>
  <si>
    <t xml:space="preserve"> 万通液压</t>
  </si>
  <si>
    <t xml:space="preserve"> 1871万</t>
  </si>
  <si>
    <t xml:space="preserve"> 1.193亿</t>
  </si>
  <si>
    <t xml:space="preserve"> 6438万</t>
  </si>
  <si>
    <t xml:space="preserve"> 5.827亿</t>
  </si>
  <si>
    <t xml:space="preserve"> 荣丰控股</t>
  </si>
  <si>
    <t xml:space="preserve"> 1869万</t>
  </si>
  <si>
    <t xml:space="preserve"> 17.71亿</t>
  </si>
  <si>
    <t xml:space="preserve"> 松井股份</t>
  </si>
  <si>
    <t xml:space="preserve"> 1.117亿</t>
  </si>
  <si>
    <t xml:space="preserve"> 德必集团</t>
  </si>
  <si>
    <t xml:space="preserve"> 1.536亿</t>
  </si>
  <si>
    <t xml:space="preserve"> 9529万</t>
  </si>
  <si>
    <t xml:space="preserve"> 15.03亿</t>
  </si>
  <si>
    <t xml:space="preserve"> 生物谷</t>
  </si>
  <si>
    <t xml:space="preserve"> 1868万</t>
  </si>
  <si>
    <t xml:space="preserve"> 9840万</t>
  </si>
  <si>
    <t xml:space="preserve"> 8.098亿</t>
  </si>
  <si>
    <t xml:space="preserve"> 四方光电</t>
  </si>
  <si>
    <t xml:space="preserve"> 2155万</t>
  </si>
  <si>
    <t xml:space="preserve"> 设研院</t>
  </si>
  <si>
    <t xml:space="preserve"> 1861万</t>
  </si>
  <si>
    <t xml:space="preserve"> 30.10亿</t>
  </si>
  <si>
    <t xml:space="preserve"> 3.236亿</t>
  </si>
  <si>
    <t xml:space="preserve"> 家联科技</t>
  </si>
  <si>
    <t xml:space="preserve"> 浩通科技</t>
  </si>
  <si>
    <t xml:space="preserve"> 33.13亿</t>
  </si>
  <si>
    <t xml:space="preserve"> 5723万</t>
  </si>
  <si>
    <t xml:space="preserve"> *ST广田</t>
  </si>
  <si>
    <t xml:space="preserve"> 1859万</t>
  </si>
  <si>
    <t xml:space="preserve"> 35.51亿</t>
  </si>
  <si>
    <t xml:space="preserve"> 中源家居</t>
  </si>
  <si>
    <t xml:space="preserve"> 1856万</t>
  </si>
  <si>
    <t xml:space="preserve"> 7.48亿</t>
  </si>
  <si>
    <t xml:space="preserve"> 海螺新材</t>
  </si>
  <si>
    <t xml:space="preserve"> 萃华珠宝</t>
  </si>
  <si>
    <t xml:space="preserve"> 1852万</t>
  </si>
  <si>
    <t xml:space="preserve"> 2.562亿</t>
  </si>
  <si>
    <t xml:space="preserve"> 28.87亿</t>
  </si>
  <si>
    <t xml:space="preserve"> 顺博合金</t>
  </si>
  <si>
    <t xml:space="preserve"> 49.69亿</t>
  </si>
  <si>
    <t xml:space="preserve"> 28.95亿</t>
  </si>
  <si>
    <t xml:space="preserve"> 三友科技</t>
  </si>
  <si>
    <t xml:space="preserve"> 8.247亿</t>
  </si>
  <si>
    <t xml:space="preserve"> 4552万</t>
  </si>
  <si>
    <t xml:space="preserve"> 3.646亿</t>
  </si>
  <si>
    <t xml:space="preserve"> 博世科</t>
  </si>
  <si>
    <t xml:space="preserve"> 1847万</t>
  </si>
  <si>
    <t xml:space="preserve"> 三达膜</t>
  </si>
  <si>
    <t xml:space="preserve"> 9.58亿</t>
  </si>
  <si>
    <t xml:space="preserve"> 3.339亿</t>
  </si>
  <si>
    <t xml:space="preserve"> ST有棵树</t>
  </si>
  <si>
    <t xml:space="preserve"> 1842万</t>
  </si>
  <si>
    <t xml:space="preserve"> 4.221亿</t>
  </si>
  <si>
    <t xml:space="preserve"> 3.947亿</t>
  </si>
  <si>
    <t xml:space="preserve"> 永艺股份</t>
  </si>
  <si>
    <t xml:space="preserve"> 1840万</t>
  </si>
  <si>
    <t xml:space="preserve"> 3.329亿</t>
  </si>
  <si>
    <t xml:space="preserve"> 3.025亿</t>
  </si>
  <si>
    <t xml:space="preserve"> 祖名股份</t>
  </si>
  <si>
    <t xml:space="preserve"> 1838万</t>
  </si>
  <si>
    <t xml:space="preserve"> 山西路桥</t>
  </si>
  <si>
    <t xml:space="preserve"> 6.100亿</t>
  </si>
  <si>
    <t xml:space="preserve"> 大地海洋</t>
  </si>
  <si>
    <t xml:space="preserve"> 1837万</t>
  </si>
  <si>
    <t xml:space="preserve"> 6.86亿</t>
  </si>
  <si>
    <t xml:space="preserve"> 3965万</t>
  </si>
  <si>
    <t xml:space="preserve"> 美硕科技</t>
  </si>
  <si>
    <t xml:space="preserve"> 24.66亿</t>
  </si>
  <si>
    <t xml:space="preserve"> 1707万</t>
  </si>
  <si>
    <t xml:space="preserve"> 5.847亿</t>
  </si>
  <si>
    <t xml:space="preserve"> 东江环保</t>
  </si>
  <si>
    <t xml:space="preserve"> 1834万</t>
  </si>
  <si>
    <t xml:space="preserve"> 29.9亿</t>
  </si>
  <si>
    <t xml:space="preserve"> 60.90亿</t>
  </si>
  <si>
    <t xml:space="preserve"> 8.397亿</t>
  </si>
  <si>
    <t xml:space="preserve"> 46.27亿</t>
  </si>
  <si>
    <t xml:space="preserve"> 开尔新材</t>
  </si>
  <si>
    <t xml:space="preserve"> 1831万</t>
  </si>
  <si>
    <t xml:space="preserve"> 必易微</t>
  </si>
  <si>
    <t xml:space="preserve"> 6905万</t>
  </si>
  <si>
    <t xml:space="preserve"> 3618万</t>
  </si>
  <si>
    <t xml:space="preserve"> 六国化工</t>
  </si>
  <si>
    <t xml:space="preserve"> 1825万</t>
  </si>
  <si>
    <t xml:space="preserve"> 5.216亿</t>
  </si>
  <si>
    <t xml:space="preserve"> 29.31亿</t>
  </si>
  <si>
    <t xml:space="preserve"> 戎美股份</t>
  </si>
  <si>
    <t xml:space="preserve"> 1823万</t>
  </si>
  <si>
    <t xml:space="preserve"> 5770万</t>
  </si>
  <si>
    <t xml:space="preserve"> 9.422亿</t>
  </si>
  <si>
    <t xml:space="preserve"> 尖峰集团</t>
  </si>
  <si>
    <t xml:space="preserve"> 1821万</t>
  </si>
  <si>
    <t xml:space="preserve"> 南都物业</t>
  </si>
  <si>
    <t xml:space="preserve"> 1819万</t>
  </si>
  <si>
    <t xml:space="preserve"> 伟思医疗</t>
  </si>
  <si>
    <t xml:space="preserve"> 1816万</t>
  </si>
  <si>
    <t xml:space="preserve"> 6862万</t>
  </si>
  <si>
    <t xml:space="preserve"> 46.96亿</t>
  </si>
  <si>
    <t xml:space="preserve"> 隆达股份</t>
  </si>
  <si>
    <t xml:space="preserve"> 1814万</t>
  </si>
  <si>
    <t xml:space="preserve"> 2.469亿</t>
  </si>
  <si>
    <t xml:space="preserve"> 好太太</t>
  </si>
  <si>
    <t xml:space="preserve"> 1813万</t>
  </si>
  <si>
    <t xml:space="preserve"> 灿瑞科技</t>
  </si>
  <si>
    <t xml:space="preserve"> 1.149亿</t>
  </si>
  <si>
    <t xml:space="preserve"> 4128万</t>
  </si>
  <si>
    <t xml:space="preserve"> 16.62亿</t>
  </si>
  <si>
    <t xml:space="preserve"> 科汇股份</t>
  </si>
  <si>
    <t xml:space="preserve"> 1811万</t>
  </si>
  <si>
    <t xml:space="preserve"> 6699万</t>
  </si>
  <si>
    <t xml:space="preserve"> 气派科技</t>
  </si>
  <si>
    <t xml:space="preserve"> 1805万</t>
  </si>
  <si>
    <t xml:space="preserve"> 汇隆新材</t>
  </si>
  <si>
    <t xml:space="preserve"> 1804万</t>
  </si>
  <si>
    <t xml:space="preserve"> 1.175亿</t>
  </si>
  <si>
    <t xml:space="preserve"> 7.712亿</t>
  </si>
  <si>
    <t xml:space="preserve"> 汇绿生态</t>
  </si>
  <si>
    <t xml:space="preserve"> 1801万</t>
  </si>
  <si>
    <t xml:space="preserve"> 7.797亿</t>
  </si>
  <si>
    <t xml:space="preserve"> 3.617亿</t>
  </si>
  <si>
    <t xml:space="preserve"> 兰剑智能</t>
  </si>
  <si>
    <t xml:space="preserve"> 7267万</t>
  </si>
  <si>
    <t xml:space="preserve"> 南亚新材</t>
  </si>
  <si>
    <t xml:space="preserve"> 1796万</t>
  </si>
  <si>
    <t xml:space="preserve"> 9191万</t>
  </si>
  <si>
    <t xml:space="preserve"> 爱威科技</t>
  </si>
  <si>
    <t xml:space="preserve"> 16.44亿</t>
  </si>
  <si>
    <t xml:space="preserve"> 9.918亿</t>
  </si>
  <si>
    <t xml:space="preserve"> 浩洋股份</t>
  </si>
  <si>
    <t xml:space="preserve"> 1794万</t>
  </si>
  <si>
    <t xml:space="preserve"> 8433万</t>
  </si>
  <si>
    <t xml:space="preserve"> 69.44亿</t>
  </si>
  <si>
    <t xml:space="preserve"> 5354万</t>
  </si>
  <si>
    <t xml:space="preserve"> 安正时尚</t>
  </si>
  <si>
    <t xml:space="preserve"> 1792万</t>
  </si>
  <si>
    <t xml:space="preserve"> 3.992亿</t>
  </si>
  <si>
    <t xml:space="preserve"> 康普顿</t>
  </si>
  <si>
    <t xml:space="preserve"> 1791万</t>
  </si>
  <si>
    <t xml:space="preserve"> 汇得科技</t>
  </si>
  <si>
    <t xml:space="preserve"> 1790万</t>
  </si>
  <si>
    <t xml:space="preserve"> 1.387亿</t>
  </si>
  <si>
    <t xml:space="preserve"> 龙源电力</t>
  </si>
  <si>
    <t xml:space="preserve"> 1787万</t>
  </si>
  <si>
    <t xml:space="preserve"> 281亿</t>
  </si>
  <si>
    <t xml:space="preserve"> 1634亿</t>
  </si>
  <si>
    <t xml:space="preserve"> 大洋生物</t>
  </si>
  <si>
    <t xml:space="preserve"> 6715万</t>
  </si>
  <si>
    <t xml:space="preserve"> 兄弟科技</t>
  </si>
  <si>
    <t xml:space="preserve"> 1782万</t>
  </si>
  <si>
    <t xml:space="preserve"> 7.008亿</t>
  </si>
  <si>
    <t xml:space="preserve"> 郴电国际</t>
  </si>
  <si>
    <t xml:space="preserve"> 1781万</t>
  </si>
  <si>
    <t xml:space="preserve"> 汉嘉设计</t>
  </si>
  <si>
    <t xml:space="preserve"> 1779万</t>
  </si>
  <si>
    <t xml:space="preserve"> 安孚科技</t>
  </si>
  <si>
    <t xml:space="preserve"> 53.65亿</t>
  </si>
  <si>
    <t xml:space="preserve"> 海融科技</t>
  </si>
  <si>
    <t xml:space="preserve"> 1778万</t>
  </si>
  <si>
    <t xml:space="preserve"> 7.07亿</t>
  </si>
  <si>
    <t xml:space="preserve"> 8.463亿</t>
  </si>
  <si>
    <t xml:space="preserve"> 利群股份</t>
  </si>
  <si>
    <t xml:space="preserve"> 1775万</t>
  </si>
  <si>
    <t xml:space="preserve"> 8.418亿</t>
  </si>
  <si>
    <t xml:space="preserve"> 48.15亿</t>
  </si>
  <si>
    <t xml:space="preserve"> 力合科技</t>
  </si>
  <si>
    <t xml:space="preserve"> 2.384亿</t>
  </si>
  <si>
    <t xml:space="preserve"> 博汇股份</t>
  </si>
  <si>
    <t xml:space="preserve"> 2.455亿</t>
  </si>
  <si>
    <t xml:space="preserve"> 宁波中百</t>
  </si>
  <si>
    <t xml:space="preserve"> 1774万</t>
  </si>
  <si>
    <t xml:space="preserve"> 9.66亿</t>
  </si>
  <si>
    <t xml:space="preserve"> 2.243亿</t>
  </si>
  <si>
    <t xml:space="preserve"> 弘宇股份</t>
  </si>
  <si>
    <t xml:space="preserve"> 1771万</t>
  </si>
  <si>
    <t xml:space="preserve"> 德尔玛</t>
  </si>
  <si>
    <t xml:space="preserve"> 1769万</t>
  </si>
  <si>
    <t xml:space="preserve"> 新日股份</t>
  </si>
  <si>
    <t xml:space="preserve"> 1768万</t>
  </si>
  <si>
    <t xml:space="preserve"> 2.301亿</t>
  </si>
  <si>
    <t xml:space="preserve"> 新宏泰</t>
  </si>
  <si>
    <t xml:space="preserve"> 1767万</t>
  </si>
  <si>
    <t xml:space="preserve"> 炜冈科技</t>
  </si>
  <si>
    <t xml:space="preserve"> 6.478亿</t>
  </si>
  <si>
    <t xml:space="preserve"> *ST惠天</t>
  </si>
  <si>
    <t xml:space="preserve"> 1760万</t>
  </si>
  <si>
    <t xml:space="preserve"> 14.28亿</t>
  </si>
  <si>
    <t xml:space="preserve"> ST步森</t>
  </si>
  <si>
    <t xml:space="preserve"> 1758万</t>
  </si>
  <si>
    <t xml:space="preserve"> 9903万</t>
  </si>
  <si>
    <t xml:space="preserve"> 超卓航科</t>
  </si>
  <si>
    <t xml:space="preserve"> 1757万</t>
  </si>
  <si>
    <t xml:space="preserve"> 34.96亿</t>
  </si>
  <si>
    <t xml:space="preserve"> ST高升</t>
  </si>
  <si>
    <t xml:space="preserve"> 10.49亿</t>
  </si>
  <si>
    <t xml:space="preserve"> 8.467亿</t>
  </si>
  <si>
    <t xml:space="preserve"> 荣泰健康</t>
  </si>
  <si>
    <t xml:space="preserve"> 1755万</t>
  </si>
  <si>
    <t xml:space="preserve"> 30.39亿</t>
  </si>
  <si>
    <t xml:space="preserve"> 正弦电气</t>
  </si>
  <si>
    <t xml:space="preserve"> 8600万</t>
  </si>
  <si>
    <t xml:space="preserve"> 3908万</t>
  </si>
  <si>
    <t xml:space="preserve"> 9.275亿</t>
  </si>
  <si>
    <t xml:space="preserve"> 瑞凌股份</t>
  </si>
  <si>
    <t xml:space="preserve"> 1753万</t>
  </si>
  <si>
    <t xml:space="preserve"> 4.544亿</t>
  </si>
  <si>
    <t xml:space="preserve"> 3.194亿</t>
  </si>
  <si>
    <t xml:space="preserve"> 聚胶股份</t>
  </si>
  <si>
    <t xml:space="preserve"> 1751万</t>
  </si>
  <si>
    <t xml:space="preserve"> 4439万</t>
  </si>
  <si>
    <t xml:space="preserve"> 中荣股份</t>
  </si>
  <si>
    <t xml:space="preserve"> 1750万</t>
  </si>
  <si>
    <t xml:space="preserve"> 21.05亿</t>
  </si>
  <si>
    <t xml:space="preserve"> 惠而浦</t>
  </si>
  <si>
    <t xml:space="preserve"> 1745万</t>
  </si>
  <si>
    <t xml:space="preserve"> 保丽洁</t>
  </si>
  <si>
    <t xml:space="preserve"> 6308万</t>
  </si>
  <si>
    <t xml:space="preserve"> 5.715亿</t>
  </si>
  <si>
    <t xml:space="preserve"> 1605万</t>
  </si>
  <si>
    <t xml:space="preserve"> 1.454亿</t>
  </si>
  <si>
    <t xml:space="preserve"> 康普化学</t>
  </si>
  <si>
    <t xml:space="preserve"> 1743万</t>
  </si>
  <si>
    <t xml:space="preserve"> 9164万</t>
  </si>
  <si>
    <t xml:space="preserve"> 3083万</t>
  </si>
  <si>
    <t xml:space="preserve"> 天振股份</t>
  </si>
  <si>
    <t xml:space="preserve"> 1741万</t>
  </si>
  <si>
    <t xml:space="preserve"> 5400万</t>
  </si>
  <si>
    <t xml:space="preserve"> 10.20亿</t>
  </si>
  <si>
    <t xml:space="preserve"> 四方新材</t>
  </si>
  <si>
    <t xml:space="preserve"> 1737万</t>
  </si>
  <si>
    <t xml:space="preserve"> 1.724亿</t>
  </si>
  <si>
    <t xml:space="preserve"> 5867万</t>
  </si>
  <si>
    <t xml:space="preserve"> 9.441亿</t>
  </si>
  <si>
    <t xml:space="preserve"> 奇精机械</t>
  </si>
  <si>
    <t xml:space="preserve"> 1733万</t>
  </si>
  <si>
    <t xml:space="preserve"> 新中港</t>
  </si>
  <si>
    <t xml:space="preserve"> 1731万</t>
  </si>
  <si>
    <t xml:space="preserve"> 1.015亿</t>
  </si>
  <si>
    <t xml:space="preserve"> 9.384亿</t>
  </si>
  <si>
    <t xml:space="preserve"> 欧康医药</t>
  </si>
  <si>
    <t xml:space="preserve"> 7563万</t>
  </si>
  <si>
    <t xml:space="preserve"> 7.669亿</t>
  </si>
  <si>
    <t xml:space="preserve"> 兴图新科</t>
  </si>
  <si>
    <t xml:space="preserve"> 1729万</t>
  </si>
  <si>
    <t xml:space="preserve"> 7395万</t>
  </si>
  <si>
    <t xml:space="preserve"> 新柴股份</t>
  </si>
  <si>
    <t xml:space="preserve"> 8259万</t>
  </si>
  <si>
    <t xml:space="preserve"> 8.234亿</t>
  </si>
  <si>
    <t xml:space="preserve"> 新大正</t>
  </si>
  <si>
    <t xml:space="preserve"> 1727万</t>
  </si>
  <si>
    <t xml:space="preserve"> 2.278亿</t>
  </si>
  <si>
    <t xml:space="preserve"> 30.41亿</t>
  </si>
  <si>
    <t xml:space="preserve"> 2.141亿</t>
  </si>
  <si>
    <t xml:space="preserve"> 上海凯鑫</t>
  </si>
  <si>
    <t xml:space="preserve"> 1726万</t>
  </si>
  <si>
    <t xml:space="preserve"> 7003万</t>
  </si>
  <si>
    <t xml:space="preserve"> 6378万</t>
  </si>
  <si>
    <t xml:space="preserve"> 4094万</t>
  </si>
  <si>
    <t xml:space="preserve"> 朗鸿科技</t>
  </si>
  <si>
    <t xml:space="preserve"> 7.764亿</t>
  </si>
  <si>
    <t xml:space="preserve"> 2.347亿</t>
  </si>
  <si>
    <t xml:space="preserve"> 联合化学</t>
  </si>
  <si>
    <t xml:space="preserve"> 1709万</t>
  </si>
  <si>
    <t xml:space="preserve"> 20.12亿</t>
  </si>
  <si>
    <t xml:space="preserve"> 嘉戎技术</t>
  </si>
  <si>
    <t xml:space="preserve"> 1708万</t>
  </si>
  <si>
    <t xml:space="preserve"> 4.21亿</t>
  </si>
  <si>
    <t xml:space="preserve"> 27.12亿</t>
  </si>
  <si>
    <t xml:space="preserve"> 3849万</t>
  </si>
  <si>
    <t xml:space="preserve"> 安 纳 达</t>
  </si>
  <si>
    <t xml:space="preserve"> 1703万</t>
  </si>
  <si>
    <t xml:space="preserve"> 山高环能</t>
  </si>
  <si>
    <t xml:space="preserve"> 1702万</t>
  </si>
  <si>
    <t xml:space="preserve"> 4.789亿</t>
  </si>
  <si>
    <t xml:space="preserve"> 4.566亿</t>
  </si>
  <si>
    <t xml:space="preserve"> 金牌厨柜</t>
  </si>
  <si>
    <t xml:space="preserve"> 1701万</t>
  </si>
  <si>
    <t xml:space="preserve"> 40.77亿</t>
  </si>
  <si>
    <t xml:space="preserve"> 标准股份</t>
  </si>
  <si>
    <t xml:space="preserve"> 霍莱沃</t>
  </si>
  <si>
    <t xml:space="preserve"> 7274万</t>
  </si>
  <si>
    <t xml:space="preserve"> 36.64亿</t>
  </si>
  <si>
    <t xml:space="preserve"> 4334万</t>
  </si>
  <si>
    <t xml:space="preserve"> 奥克股份</t>
  </si>
  <si>
    <t xml:space="preserve"> 1699万</t>
  </si>
  <si>
    <t xml:space="preserve"> 6.801亿</t>
  </si>
  <si>
    <t xml:space="preserve"> 47.74亿</t>
  </si>
  <si>
    <t xml:space="preserve"> 47.61亿</t>
  </si>
  <si>
    <t xml:space="preserve"> *ST围海</t>
  </si>
  <si>
    <t xml:space="preserve"> 1698万</t>
  </si>
  <si>
    <t xml:space="preserve"> 38.67亿</t>
  </si>
  <si>
    <t xml:space="preserve"> 8.970亿</t>
  </si>
  <si>
    <t xml:space="preserve"> 金富科技</t>
  </si>
  <si>
    <t xml:space="preserve"> 1696万</t>
  </si>
  <si>
    <t xml:space="preserve"> 华阳国际</t>
  </si>
  <si>
    <t xml:space="preserve"> 22.17亿</t>
  </si>
  <si>
    <t xml:space="preserve"> 中旗新材</t>
  </si>
  <si>
    <t xml:space="preserve"> 1695万</t>
  </si>
  <si>
    <t xml:space="preserve"> 29.21亿</t>
  </si>
  <si>
    <t xml:space="preserve"> 5482万</t>
  </si>
  <si>
    <t xml:space="preserve"> 西昌电力</t>
  </si>
  <si>
    <t xml:space="preserve"> 津膜科技</t>
  </si>
  <si>
    <t xml:space="preserve"> 1693万</t>
  </si>
  <si>
    <t xml:space="preserve"> 3.021亿</t>
  </si>
  <si>
    <t xml:space="preserve"> 23.65亿</t>
  </si>
  <si>
    <t xml:space="preserve"> 3.020亿</t>
  </si>
  <si>
    <t xml:space="preserve"> 迈拓股份</t>
  </si>
  <si>
    <t xml:space="preserve"> 1692万</t>
  </si>
  <si>
    <t xml:space="preserve"> 1.393亿</t>
  </si>
  <si>
    <t xml:space="preserve"> 25.96亿</t>
  </si>
  <si>
    <t xml:space="preserve"> 6407万</t>
  </si>
  <si>
    <t xml:space="preserve"> 兴化股份</t>
  </si>
  <si>
    <t xml:space="preserve"> 万邦达</t>
  </si>
  <si>
    <t xml:space="preserve"> 1691万</t>
  </si>
  <si>
    <t xml:space="preserve"> 8.367亿</t>
  </si>
  <si>
    <t xml:space="preserve"> 6.243亿</t>
  </si>
  <si>
    <t xml:space="preserve"> 42.95亿</t>
  </si>
  <si>
    <t xml:space="preserve"> 埃科光电</t>
  </si>
  <si>
    <t xml:space="preserve"> 1690万</t>
  </si>
  <si>
    <t xml:space="preserve"> 1352万</t>
  </si>
  <si>
    <t xml:space="preserve"> 7.216亿</t>
  </si>
  <si>
    <t xml:space="preserve"> 深水海纳</t>
  </si>
  <si>
    <t xml:space="preserve"> 19.25亿</t>
  </si>
  <si>
    <t xml:space="preserve"> 金牛化工</t>
  </si>
  <si>
    <t xml:space="preserve"> 1689万</t>
  </si>
  <si>
    <t xml:space="preserve"> 珠城科技</t>
  </si>
  <si>
    <t xml:space="preserve"> 1687万</t>
  </si>
  <si>
    <t xml:space="preserve"> 9770万</t>
  </si>
  <si>
    <t xml:space="preserve"> 8.648亿</t>
  </si>
  <si>
    <t xml:space="preserve"> 武汉控股</t>
  </si>
  <si>
    <t xml:space="preserve"> 1684万</t>
  </si>
  <si>
    <t xml:space="preserve"> 同大股份</t>
  </si>
  <si>
    <t xml:space="preserve"> 8534万</t>
  </si>
  <si>
    <t xml:space="preserve"> 金道科技</t>
  </si>
  <si>
    <t xml:space="preserve"> 1683万</t>
  </si>
  <si>
    <t xml:space="preserve"> 7.337亿</t>
  </si>
  <si>
    <t xml:space="preserve"> 瑞和股份</t>
  </si>
  <si>
    <t xml:space="preserve"> 3.775亿</t>
  </si>
  <si>
    <t xml:space="preserve"> 3.151亿</t>
  </si>
  <si>
    <t xml:space="preserve"> 钜泉科技</t>
  </si>
  <si>
    <t xml:space="preserve"> 1680万</t>
  </si>
  <si>
    <t xml:space="preserve"> 8352万</t>
  </si>
  <si>
    <t xml:space="preserve"> 22.20亿</t>
  </si>
  <si>
    <t xml:space="preserve"> 电科院</t>
  </si>
  <si>
    <t xml:space="preserve"> 1677万</t>
  </si>
  <si>
    <t xml:space="preserve"> 7.583亿</t>
  </si>
  <si>
    <t xml:space="preserve"> 6.997亿</t>
  </si>
  <si>
    <t xml:space="preserve"> 鑫汇科</t>
  </si>
  <si>
    <t xml:space="preserve"> 6.023亿</t>
  </si>
  <si>
    <t xml:space="preserve"> 2021万</t>
  </si>
  <si>
    <t xml:space="preserve"> 奥福环保</t>
  </si>
  <si>
    <t xml:space="preserve"> 1675万</t>
  </si>
  <si>
    <t xml:space="preserve"> 17.48亿</t>
  </si>
  <si>
    <t xml:space="preserve"> 节能国祯</t>
  </si>
  <si>
    <t xml:space="preserve"> 1674万</t>
  </si>
  <si>
    <t xml:space="preserve"> 6.991亿</t>
  </si>
  <si>
    <t xml:space="preserve"> 47.75亿</t>
  </si>
  <si>
    <t xml:space="preserve"> 6.973亿</t>
  </si>
  <si>
    <t xml:space="preserve"> 友邦吊顶</t>
  </si>
  <si>
    <t xml:space="preserve"> 1673万</t>
  </si>
  <si>
    <t xml:space="preserve"> 22.35亿</t>
  </si>
  <si>
    <t xml:space="preserve"> *ST西钢</t>
  </si>
  <si>
    <t xml:space="preserve"> 1669万</t>
  </si>
  <si>
    <t xml:space="preserve"> 微光股份</t>
  </si>
  <si>
    <t xml:space="preserve"> 1665万</t>
  </si>
  <si>
    <t xml:space="preserve"> 1.158亿</t>
  </si>
  <si>
    <t xml:space="preserve"> 国新能源</t>
  </si>
  <si>
    <t xml:space="preserve"> 1664万</t>
  </si>
  <si>
    <t xml:space="preserve"> 56.36亿</t>
  </si>
  <si>
    <t xml:space="preserve"> 9.749亿</t>
  </si>
  <si>
    <t xml:space="preserve"> 柳化股份</t>
  </si>
  <si>
    <t xml:space="preserve"> 1663万</t>
  </si>
  <si>
    <t xml:space="preserve"> 9299万</t>
  </si>
  <si>
    <t xml:space="preserve"> 立新能源</t>
  </si>
  <si>
    <t xml:space="preserve"> 9.333亿</t>
  </si>
  <si>
    <t xml:space="preserve"> 73.45亿</t>
  </si>
  <si>
    <t xml:space="preserve"> 36.89亿</t>
  </si>
  <si>
    <t xml:space="preserve"> 圣元环保</t>
  </si>
  <si>
    <t xml:space="preserve"> 1659万</t>
  </si>
  <si>
    <t xml:space="preserve"> 2.717亿</t>
  </si>
  <si>
    <t xml:space="preserve"> 恒拓开源</t>
  </si>
  <si>
    <t xml:space="preserve"> 1657万</t>
  </si>
  <si>
    <t xml:space="preserve"> 7.018亿</t>
  </si>
  <si>
    <t xml:space="preserve"> 正丹股份</t>
  </si>
  <si>
    <t xml:space="preserve"> 1654万</t>
  </si>
  <si>
    <t xml:space="preserve"> 4.896亿</t>
  </si>
  <si>
    <t xml:space="preserve"> 鸿智科技</t>
  </si>
  <si>
    <t xml:space="preserve"> 1650万</t>
  </si>
  <si>
    <t xml:space="preserve"> 6.453亿</t>
  </si>
  <si>
    <t xml:space="preserve"> 965.2万</t>
  </si>
  <si>
    <t xml:space="preserve"> ST中嘉</t>
  </si>
  <si>
    <t xml:space="preserve"> 1648万</t>
  </si>
  <si>
    <t xml:space="preserve"> 9.363亿</t>
  </si>
  <si>
    <t xml:space="preserve"> 17.40亿</t>
  </si>
  <si>
    <t xml:space="preserve"> 瑞尔特</t>
  </si>
  <si>
    <t xml:space="preserve"> 4.179亿</t>
  </si>
  <si>
    <t xml:space="preserve"> 30.11亿</t>
  </si>
  <si>
    <t xml:space="preserve"> 凯立新材</t>
  </si>
  <si>
    <t xml:space="preserve"> 美邦股份</t>
  </si>
  <si>
    <t xml:space="preserve"> 1639万</t>
  </si>
  <si>
    <t xml:space="preserve"> 3380万</t>
  </si>
  <si>
    <t xml:space="preserve"> 浩欧博</t>
  </si>
  <si>
    <t xml:space="preserve"> 1637万</t>
  </si>
  <si>
    <t xml:space="preserve"> 1806万</t>
  </si>
  <si>
    <t xml:space="preserve"> 德创环保</t>
  </si>
  <si>
    <t xml:space="preserve"> 1636万</t>
  </si>
  <si>
    <t xml:space="preserve"> 2.042亿</t>
  </si>
  <si>
    <t xml:space="preserve"> 金海高科</t>
  </si>
  <si>
    <t xml:space="preserve"> 1635万</t>
  </si>
  <si>
    <t xml:space="preserve"> 2.359亿</t>
  </si>
  <si>
    <t xml:space="preserve"> 慕思股份</t>
  </si>
  <si>
    <t xml:space="preserve"> 1633万</t>
  </si>
  <si>
    <t xml:space="preserve"> 127.3亿</t>
  </si>
  <si>
    <t xml:space="preserve"> 新澳股份</t>
  </si>
  <si>
    <t xml:space="preserve"> 1631万</t>
  </si>
  <si>
    <t xml:space="preserve"> 7.164亿</t>
  </si>
  <si>
    <t xml:space="preserve"> 50.37亿</t>
  </si>
  <si>
    <t xml:space="preserve"> 凌玮科技</t>
  </si>
  <si>
    <t xml:space="preserve"> 1629万</t>
  </si>
  <si>
    <t xml:space="preserve"> 1.085亿</t>
  </si>
  <si>
    <t xml:space="preserve"> *ST目药</t>
  </si>
  <si>
    <t xml:space="preserve"> 1628万</t>
  </si>
  <si>
    <t xml:space="preserve"> 武汉蓝电</t>
  </si>
  <si>
    <t xml:space="preserve"> 1217万</t>
  </si>
  <si>
    <t xml:space="preserve"> 东和新材</t>
  </si>
  <si>
    <t xml:space="preserve"> 3.562亿</t>
  </si>
  <si>
    <t xml:space="preserve"> 绿茵生态</t>
  </si>
  <si>
    <t xml:space="preserve"> 1625万</t>
  </si>
  <si>
    <t xml:space="preserve"> 豪森股份</t>
  </si>
  <si>
    <t xml:space="preserve"> 1624万</t>
  </si>
  <si>
    <t xml:space="preserve"> 1.673亿</t>
  </si>
  <si>
    <t xml:space="preserve"> 播恩集团</t>
  </si>
  <si>
    <t xml:space="preserve"> 1623万</t>
  </si>
  <si>
    <t xml:space="preserve"> 1.607亿</t>
  </si>
  <si>
    <t xml:space="preserve"> 4035万</t>
  </si>
  <si>
    <t xml:space="preserve"> 6.210亿</t>
  </si>
  <si>
    <t xml:space="preserve"> 禾信仪器</t>
  </si>
  <si>
    <t xml:space="preserve"> 1618万</t>
  </si>
  <si>
    <t xml:space="preserve"> 25.35亿</t>
  </si>
  <si>
    <t xml:space="preserve"> 3884万</t>
  </si>
  <si>
    <t xml:space="preserve"> 兴业股份</t>
  </si>
  <si>
    <t xml:space="preserve"> 1616万</t>
  </si>
  <si>
    <t xml:space="preserve"> 朱老六</t>
  </si>
  <si>
    <t xml:space="preserve"> 9.926亿</t>
  </si>
  <si>
    <t xml:space="preserve"> 5594万</t>
  </si>
  <si>
    <t xml:space="preserve"> 5.449亿</t>
  </si>
  <si>
    <t xml:space="preserve"> 深中华A</t>
  </si>
  <si>
    <t xml:space="preserve"> 1615万</t>
  </si>
  <si>
    <t xml:space="preserve"> 3.030亿</t>
  </si>
  <si>
    <t xml:space="preserve"> 香飘飘</t>
  </si>
  <si>
    <t xml:space="preserve"> 4.107亿</t>
  </si>
  <si>
    <t xml:space="preserve"> 绿色动力</t>
  </si>
  <si>
    <t xml:space="preserve"> 1614万</t>
  </si>
  <si>
    <t xml:space="preserve"> 96.01亿</t>
  </si>
  <si>
    <t xml:space="preserve"> 9.891亿</t>
  </si>
  <si>
    <t xml:space="preserve"> ST富润</t>
  </si>
  <si>
    <t xml:space="preserve"> 9552万</t>
  </si>
  <si>
    <t xml:space="preserve"> 5.074亿</t>
  </si>
  <si>
    <t xml:space="preserve"> 广脉科技</t>
  </si>
  <si>
    <t xml:space="preserve"> 1613万</t>
  </si>
  <si>
    <t xml:space="preserve"> 8300万</t>
  </si>
  <si>
    <t xml:space="preserve"> 4.376亿</t>
  </si>
  <si>
    <t xml:space="preserve"> 祥和实业</t>
  </si>
  <si>
    <t xml:space="preserve"> 1612万</t>
  </si>
  <si>
    <t xml:space="preserve"> 28.70亿</t>
  </si>
  <si>
    <t xml:space="preserve"> 回盛生物</t>
  </si>
  <si>
    <t xml:space="preserve"> 1611万</t>
  </si>
  <si>
    <t xml:space="preserve"> 1.659亿</t>
  </si>
  <si>
    <t xml:space="preserve"> 25.33亿</t>
  </si>
  <si>
    <t xml:space="preserve"> 25.31亿</t>
  </si>
  <si>
    <t xml:space="preserve"> 扬州金泉</t>
  </si>
  <si>
    <t xml:space="preserve"> 1609万</t>
  </si>
  <si>
    <t xml:space="preserve"> 6.67亿</t>
  </si>
  <si>
    <t xml:space="preserve"> 百甲科技</t>
  </si>
  <si>
    <t xml:space="preserve"> 1608万</t>
  </si>
  <si>
    <t xml:space="preserve"> 1.813亿</t>
  </si>
  <si>
    <t xml:space="preserve"> 7.214亿</t>
  </si>
  <si>
    <t xml:space="preserve"> 勘设股份</t>
  </si>
  <si>
    <t xml:space="preserve"> 1604万</t>
  </si>
  <si>
    <t xml:space="preserve"> 3.138亿</t>
  </si>
  <si>
    <t xml:space="preserve"> 黔源电力</t>
  </si>
  <si>
    <t xml:space="preserve"> 1602万</t>
  </si>
  <si>
    <t xml:space="preserve"> 4.276亿</t>
  </si>
  <si>
    <t xml:space="preserve"> 60.16亿</t>
  </si>
  <si>
    <t xml:space="preserve"> 屹通新材</t>
  </si>
  <si>
    <t xml:space="preserve"> 7.369亿</t>
  </si>
  <si>
    <t xml:space="preserve"> 晶雪节能</t>
  </si>
  <si>
    <t xml:space="preserve"> 1601万</t>
  </si>
  <si>
    <t xml:space="preserve"> 皇马科技</t>
  </si>
  <si>
    <t xml:space="preserve"> 1600万</t>
  </si>
  <si>
    <t xml:space="preserve"> 5.887亿</t>
  </si>
  <si>
    <t xml:space="preserve"> 66.17亿</t>
  </si>
  <si>
    <t xml:space="preserve"> 科创新材</t>
  </si>
  <si>
    <t xml:space="preserve"> 1598万</t>
  </si>
  <si>
    <t xml:space="preserve"> 5.160亿</t>
  </si>
  <si>
    <t xml:space="preserve"> 5590万</t>
  </si>
  <si>
    <t xml:space="preserve"> 郑中设计</t>
  </si>
  <si>
    <t xml:space="preserve"> 1594万</t>
  </si>
  <si>
    <t xml:space="preserve"> 8.32亿</t>
  </si>
  <si>
    <t xml:space="preserve"> 23.80亿</t>
  </si>
  <si>
    <t xml:space="preserve"> 联迪信息</t>
  </si>
  <si>
    <t xml:space="preserve"> 1592万</t>
  </si>
  <si>
    <t xml:space="preserve"> 7897万</t>
  </si>
  <si>
    <t xml:space="preserve"> 3555万</t>
  </si>
  <si>
    <t xml:space="preserve"> 2.642亿</t>
  </si>
  <si>
    <t xml:space="preserve"> 康欣新材</t>
  </si>
  <si>
    <t xml:space="preserve"> 1591万</t>
  </si>
  <si>
    <t xml:space="preserve"> 9959万</t>
  </si>
  <si>
    <t xml:space="preserve"> 众望布艺</t>
  </si>
  <si>
    <t xml:space="preserve"> 1589万</t>
  </si>
  <si>
    <t xml:space="preserve"> 光格科技</t>
  </si>
  <si>
    <t xml:space="preserve"> 25.69亿</t>
  </si>
  <si>
    <t xml:space="preserve"> 1479万</t>
  </si>
  <si>
    <t xml:space="preserve"> 5.758亿</t>
  </si>
  <si>
    <t xml:space="preserve"> 联泰环保</t>
  </si>
  <si>
    <t xml:space="preserve"> 1588万</t>
  </si>
  <si>
    <t xml:space="preserve"> 5.841亿</t>
  </si>
  <si>
    <t xml:space="preserve"> 通源环境</t>
  </si>
  <si>
    <t xml:space="preserve"> 17.25亿</t>
  </si>
  <si>
    <t xml:space="preserve"> 5969万</t>
  </si>
  <si>
    <t xml:space="preserve"> 裕兴股份</t>
  </si>
  <si>
    <t xml:space="preserve"> 1585万</t>
  </si>
  <si>
    <t xml:space="preserve"> 2.888亿</t>
  </si>
  <si>
    <t xml:space="preserve"> 29.19亿</t>
  </si>
  <si>
    <t xml:space="preserve"> 中寰股份</t>
  </si>
  <si>
    <t xml:space="preserve"> 1.036亿</t>
  </si>
  <si>
    <t xml:space="preserve"> 4096万</t>
  </si>
  <si>
    <t xml:space="preserve"> 煜邦电力</t>
  </si>
  <si>
    <t xml:space="preserve"> 1584万</t>
  </si>
  <si>
    <t xml:space="preserve"> 22.24亿</t>
  </si>
  <si>
    <t xml:space="preserve"> 16.30亿</t>
  </si>
  <si>
    <t xml:space="preserve"> 南王科技</t>
  </si>
  <si>
    <t xml:space="preserve"> 1583万</t>
  </si>
  <si>
    <t xml:space="preserve"> 1.951亿</t>
  </si>
  <si>
    <t xml:space="preserve"> 4626万</t>
  </si>
  <si>
    <t xml:space="preserve"> 新能泰山</t>
  </si>
  <si>
    <t xml:space="preserve"> 1582万</t>
  </si>
  <si>
    <t xml:space="preserve"> 佩蒂股份</t>
  </si>
  <si>
    <t xml:space="preserve"> 1580万</t>
  </si>
  <si>
    <t xml:space="preserve"> 2.534亿</t>
  </si>
  <si>
    <t xml:space="preserve"> 33.86亿</t>
  </si>
  <si>
    <t xml:space="preserve"> 1.637亿</t>
  </si>
  <si>
    <t xml:space="preserve"> 国检集团</t>
  </si>
  <si>
    <t xml:space="preserve"> 8.025亿</t>
  </si>
  <si>
    <t xml:space="preserve"> 唯科科技</t>
  </si>
  <si>
    <t xml:space="preserve"> 1573万</t>
  </si>
  <si>
    <t xml:space="preserve"> 9.20亿</t>
  </si>
  <si>
    <t xml:space="preserve"> 43.75亿</t>
  </si>
  <si>
    <t xml:space="preserve"> 宏德股份</t>
  </si>
  <si>
    <t xml:space="preserve"> 2682万</t>
  </si>
  <si>
    <t xml:space="preserve"> 7.501亿</t>
  </si>
  <si>
    <t xml:space="preserve"> 安达智能</t>
  </si>
  <si>
    <t xml:space="preserve"> 8081万</t>
  </si>
  <si>
    <t xml:space="preserve"> 31.60亿</t>
  </si>
  <si>
    <t xml:space="preserve"> 2050万</t>
  </si>
  <si>
    <t xml:space="preserve"> 普莱得</t>
  </si>
  <si>
    <t xml:space="preserve"> 1570万</t>
  </si>
  <si>
    <t xml:space="preserve"> 1900万</t>
  </si>
  <si>
    <t xml:space="preserve"> 康隆达</t>
  </si>
  <si>
    <t xml:space="preserve"> 1567万</t>
  </si>
  <si>
    <t xml:space="preserve"> 金浦钛业</t>
  </si>
  <si>
    <t xml:space="preserve"> 1565万</t>
  </si>
  <si>
    <t xml:space="preserve"> 9.868亿</t>
  </si>
  <si>
    <t xml:space="preserve"> 30.59亿</t>
  </si>
  <si>
    <t xml:space="preserve"> 星光农机</t>
  </si>
  <si>
    <t xml:space="preserve"> 1555万</t>
  </si>
  <si>
    <t xml:space="preserve"> 2.771亿</t>
  </si>
  <si>
    <t xml:space="preserve"> 南大环境</t>
  </si>
  <si>
    <t xml:space="preserve"> 1552万</t>
  </si>
  <si>
    <t xml:space="preserve"> 35.86亿</t>
  </si>
  <si>
    <t xml:space="preserve"> 江苏新能</t>
  </si>
  <si>
    <t xml:space="preserve"> 1550万</t>
  </si>
  <si>
    <t xml:space="preserve"> 8.915亿</t>
  </si>
  <si>
    <t xml:space="preserve"> 8.034亿</t>
  </si>
  <si>
    <t xml:space="preserve"> 91.19亿</t>
  </si>
  <si>
    <t xml:space="preserve"> 富春染织</t>
  </si>
  <si>
    <t xml:space="preserve"> 1545万</t>
  </si>
  <si>
    <t xml:space="preserve"> 1.498亿</t>
  </si>
  <si>
    <t xml:space="preserve"> 4992万</t>
  </si>
  <si>
    <t xml:space="preserve"> 8.407亿</t>
  </si>
  <si>
    <t xml:space="preserve"> 泰林生物</t>
  </si>
  <si>
    <t xml:space="preserve"> 1539万</t>
  </si>
  <si>
    <t xml:space="preserve"> 1.087亿</t>
  </si>
  <si>
    <t xml:space="preserve"> 28.75亿</t>
  </si>
  <si>
    <t xml:space="preserve"> 5880万</t>
  </si>
  <si>
    <t xml:space="preserve"> 15.55亿</t>
  </si>
  <si>
    <t xml:space="preserve"> 渝三峡Ａ</t>
  </si>
  <si>
    <t xml:space="preserve"> 1538万</t>
  </si>
  <si>
    <t xml:space="preserve"> 4.336亿</t>
  </si>
  <si>
    <t xml:space="preserve"> 26.62亿</t>
  </si>
  <si>
    <t xml:space="preserve"> 理工光科</t>
  </si>
  <si>
    <t xml:space="preserve"> 1537万</t>
  </si>
  <si>
    <t xml:space="preserve"> 晨光新材</t>
  </si>
  <si>
    <t xml:space="preserve"> 1536万</t>
  </si>
  <si>
    <t xml:space="preserve"> 金鸿顺</t>
  </si>
  <si>
    <t xml:space="preserve"> 1534万</t>
  </si>
  <si>
    <t xml:space="preserve"> *ST中期</t>
  </si>
  <si>
    <t xml:space="preserve"> 1532万</t>
  </si>
  <si>
    <t xml:space="preserve"> 1076万</t>
  </si>
  <si>
    <t xml:space="preserve"> 3.450亿</t>
  </si>
  <si>
    <t xml:space="preserve"> 16.84亿</t>
  </si>
  <si>
    <t xml:space="preserve"> 王力安防</t>
  </si>
  <si>
    <t xml:space="preserve"> 1528万</t>
  </si>
  <si>
    <t xml:space="preserve"> 4.396亿</t>
  </si>
  <si>
    <t xml:space="preserve"> 45.06亿</t>
  </si>
  <si>
    <t xml:space="preserve"> 7.624亿</t>
  </si>
  <si>
    <t xml:space="preserve"> 九牧王</t>
  </si>
  <si>
    <t xml:space="preserve"> 1526万</t>
  </si>
  <si>
    <t xml:space="preserve"> 华民股份</t>
  </si>
  <si>
    <t xml:space="preserve"> 1525万</t>
  </si>
  <si>
    <t xml:space="preserve"> 46.62亿</t>
  </si>
  <si>
    <t xml:space="preserve"> 4.427亿</t>
  </si>
  <si>
    <t xml:space="preserve"> 惠云钛业</t>
  </si>
  <si>
    <t xml:space="preserve"> 32.61亿</t>
  </si>
  <si>
    <t xml:space="preserve"> 善水科技</t>
  </si>
  <si>
    <t xml:space="preserve"> 1524万</t>
  </si>
  <si>
    <t xml:space="preserve"> 42.61亿</t>
  </si>
  <si>
    <t xml:space="preserve"> 奥普家居</t>
  </si>
  <si>
    <t xml:space="preserve"> 1523万</t>
  </si>
  <si>
    <t xml:space="preserve"> 3.990亿</t>
  </si>
  <si>
    <t xml:space="preserve"> 42.94亿</t>
  </si>
  <si>
    <t xml:space="preserve"> 晨丰科技</t>
  </si>
  <si>
    <t xml:space="preserve"> 1518万</t>
  </si>
  <si>
    <t xml:space="preserve"> 亚振家居</t>
  </si>
  <si>
    <t xml:space="preserve"> 1517万</t>
  </si>
  <si>
    <t xml:space="preserve"> 2.628亿</t>
  </si>
  <si>
    <t xml:space="preserve"> 诚邦股份</t>
  </si>
  <si>
    <t xml:space="preserve"> 1514万</t>
  </si>
  <si>
    <t xml:space="preserve"> 2.643亿</t>
  </si>
  <si>
    <t xml:space="preserve"> 18.15亿</t>
  </si>
  <si>
    <t xml:space="preserve"> 康为世纪</t>
  </si>
  <si>
    <t xml:space="preserve"> 3688万</t>
  </si>
  <si>
    <t xml:space="preserve"> 森泰股份</t>
  </si>
  <si>
    <t xml:space="preserve"> 1512万</t>
  </si>
  <si>
    <t xml:space="preserve"> 6.208亿</t>
  </si>
  <si>
    <t xml:space="preserve"> 世华科技</t>
  </si>
  <si>
    <t xml:space="preserve"> 晨化股份</t>
  </si>
  <si>
    <t xml:space="preserve"> 1511万</t>
  </si>
  <si>
    <t xml:space="preserve"> 2.129亿</t>
  </si>
  <si>
    <t xml:space="preserve"> 18.24亿</t>
  </si>
  <si>
    <t xml:space="preserve"> 丽臣实业</t>
  </si>
  <si>
    <t xml:space="preserve"> 1510万</t>
  </si>
  <si>
    <t xml:space="preserve"> 7402万</t>
  </si>
  <si>
    <t xml:space="preserve"> 16.34亿</t>
  </si>
  <si>
    <t xml:space="preserve"> 三和管桩</t>
  </si>
  <si>
    <t xml:space="preserve"> 1507万</t>
  </si>
  <si>
    <t xml:space="preserve"> 49.8亿</t>
  </si>
  <si>
    <t xml:space="preserve"> 5.991亿</t>
  </si>
  <si>
    <t xml:space="preserve"> 9102万</t>
  </si>
  <si>
    <t xml:space="preserve"> 原尚股份</t>
  </si>
  <si>
    <t xml:space="preserve"> 1506万</t>
  </si>
  <si>
    <t xml:space="preserve"> 8994万</t>
  </si>
  <si>
    <t xml:space="preserve"> 通易航天</t>
  </si>
  <si>
    <t xml:space="preserve"> 7.827亿</t>
  </si>
  <si>
    <t xml:space="preserve"> 永创智能</t>
  </si>
  <si>
    <t xml:space="preserve"> 1505万</t>
  </si>
  <si>
    <t xml:space="preserve"> 4.879亿</t>
  </si>
  <si>
    <t xml:space="preserve"> 57.75亿</t>
  </si>
  <si>
    <t xml:space="preserve"> 复洁环保</t>
  </si>
  <si>
    <t xml:space="preserve"> 1502万</t>
  </si>
  <si>
    <t xml:space="preserve"> 19.79亿</t>
  </si>
  <si>
    <t xml:space="preserve"> 1.009亿</t>
  </si>
  <si>
    <t xml:space="preserve"> 13.52亿</t>
  </si>
  <si>
    <t xml:space="preserve"> 张小泉</t>
  </si>
  <si>
    <t xml:space="preserve"> 5845万</t>
  </si>
  <si>
    <t xml:space="preserve"> 8.697亿</t>
  </si>
  <si>
    <t xml:space="preserve"> 欧普泰</t>
  </si>
  <si>
    <t xml:space="preserve"> 1496万</t>
  </si>
  <si>
    <t xml:space="preserve"> 7.134亿</t>
  </si>
  <si>
    <t xml:space="preserve"> 博盈特焊</t>
  </si>
  <si>
    <t xml:space="preserve"> 1494万</t>
  </si>
  <si>
    <t xml:space="preserve"> 3130万</t>
  </si>
  <si>
    <t xml:space="preserve"> 梦天家居</t>
  </si>
  <si>
    <t xml:space="preserve"> 1492万</t>
  </si>
  <si>
    <t xml:space="preserve"> 2.240亿</t>
  </si>
  <si>
    <t xml:space="preserve"> 29.93亿</t>
  </si>
  <si>
    <t xml:space="preserve"> 5669万</t>
  </si>
  <si>
    <t xml:space="preserve"> 7.574亿</t>
  </si>
  <si>
    <t xml:space="preserve"> 奥尼电子</t>
  </si>
  <si>
    <t xml:space="preserve"> 1490万</t>
  </si>
  <si>
    <t xml:space="preserve"> 锡装股份</t>
  </si>
  <si>
    <t xml:space="preserve"> 1489万</t>
  </si>
  <si>
    <t xml:space="preserve"> 36.43亿</t>
  </si>
  <si>
    <t xml:space="preserve"> 2700万</t>
  </si>
  <si>
    <t xml:space="preserve"> 9.107亿</t>
  </si>
  <si>
    <t xml:space="preserve"> 科安达</t>
  </si>
  <si>
    <t xml:space="preserve"> 1486万</t>
  </si>
  <si>
    <t xml:space="preserve"> 华信新材</t>
  </si>
  <si>
    <t xml:space="preserve"> 1481万</t>
  </si>
  <si>
    <t xml:space="preserve"> S佳通</t>
  </si>
  <si>
    <t xml:space="preserve"> 1474万</t>
  </si>
  <si>
    <t xml:space="preserve"> 宏力达</t>
  </si>
  <si>
    <t xml:space="preserve"> 1471万</t>
  </si>
  <si>
    <t xml:space="preserve"> 42.15亿</t>
  </si>
  <si>
    <t xml:space="preserve"> 浙江自然</t>
  </si>
  <si>
    <t xml:space="preserve"> 1468万</t>
  </si>
  <si>
    <t xml:space="preserve"> 4707万</t>
  </si>
  <si>
    <t xml:space="preserve"> 申通地铁</t>
  </si>
  <si>
    <t xml:space="preserve"> 1463万</t>
  </si>
  <si>
    <t xml:space="preserve"> 中环环保</t>
  </si>
  <si>
    <t xml:space="preserve"> 4.238亿</t>
  </si>
  <si>
    <t xml:space="preserve"> 欣灵电气</t>
  </si>
  <si>
    <t xml:space="preserve"> 1462万</t>
  </si>
  <si>
    <t xml:space="preserve"> 2561万</t>
  </si>
  <si>
    <t xml:space="preserve"> 保立佳</t>
  </si>
  <si>
    <t xml:space="preserve"> 1456万</t>
  </si>
  <si>
    <t xml:space="preserve"> 1.001亿</t>
  </si>
  <si>
    <t xml:space="preserve"> 2825万</t>
  </si>
  <si>
    <t xml:space="preserve"> 5.716亿</t>
  </si>
  <si>
    <t xml:space="preserve"> 维尔利</t>
  </si>
  <si>
    <t xml:space="preserve"> 1455万</t>
  </si>
  <si>
    <t xml:space="preserve"> 7.816亿</t>
  </si>
  <si>
    <t xml:space="preserve"> 34.08亿</t>
  </si>
  <si>
    <t xml:space="preserve"> 迪尔化工</t>
  </si>
  <si>
    <t xml:space="preserve"> 3.554亿</t>
  </si>
  <si>
    <t xml:space="preserve"> 三元生物</t>
  </si>
  <si>
    <t xml:space="preserve"> 1454万</t>
  </si>
  <si>
    <t xml:space="preserve"> 悦安新材</t>
  </si>
  <si>
    <t xml:space="preserve"> 1453万</t>
  </si>
  <si>
    <t xml:space="preserve"> 8560万</t>
  </si>
  <si>
    <t xml:space="preserve"> 永顺生物</t>
  </si>
  <si>
    <t xml:space="preserve"> 1450万</t>
  </si>
  <si>
    <t xml:space="preserve"> 6.965亿</t>
  </si>
  <si>
    <t xml:space="preserve"> 春光药装</t>
  </si>
  <si>
    <t xml:space="preserve"> 1449万</t>
  </si>
  <si>
    <t xml:space="preserve"> 6850万</t>
  </si>
  <si>
    <t xml:space="preserve"> 1.929亿</t>
  </si>
  <si>
    <t xml:space="preserve"> 莱斯信息</t>
  </si>
  <si>
    <t xml:space="preserve"> 1448万</t>
  </si>
  <si>
    <t xml:space="preserve"> 先达股份</t>
  </si>
  <si>
    <t xml:space="preserve"> 1447万</t>
  </si>
  <si>
    <t xml:space="preserve"> 誉辰智能</t>
  </si>
  <si>
    <t xml:space="preserve"> 1445万</t>
  </si>
  <si>
    <t xml:space="preserve"> 894.7万</t>
  </si>
  <si>
    <t xml:space="preserve"> 5.497亿</t>
  </si>
  <si>
    <t xml:space="preserve"> 天罡股份</t>
  </si>
  <si>
    <t xml:space="preserve"> 1441万</t>
  </si>
  <si>
    <t xml:space="preserve"> 8.912亿</t>
  </si>
  <si>
    <t xml:space="preserve"> 1421万</t>
  </si>
  <si>
    <t xml:space="preserve"> 2.076亿</t>
  </si>
  <si>
    <t xml:space="preserve"> 星华新材</t>
  </si>
  <si>
    <t xml:space="preserve"> 1437万</t>
  </si>
  <si>
    <t xml:space="preserve"> 4287万</t>
  </si>
  <si>
    <t xml:space="preserve"> 京源环保</t>
  </si>
  <si>
    <t xml:space="preserve"> 1433万</t>
  </si>
  <si>
    <t xml:space="preserve"> 中亚股份</t>
  </si>
  <si>
    <t xml:space="preserve"> 3.272亿</t>
  </si>
  <si>
    <t xml:space="preserve"> 菜百股份</t>
  </si>
  <si>
    <t xml:space="preserve"> 1432万</t>
  </si>
  <si>
    <t xml:space="preserve"> 7.778亿</t>
  </si>
  <si>
    <t xml:space="preserve"> 79.79亿</t>
  </si>
  <si>
    <t xml:space="preserve"> 天新药业</t>
  </si>
  <si>
    <t xml:space="preserve"> 4.378亿</t>
  </si>
  <si>
    <t xml:space="preserve"> 4378万</t>
  </si>
  <si>
    <t xml:space="preserve"> 中钢洛耐</t>
  </si>
  <si>
    <t xml:space="preserve"> 1427万</t>
  </si>
  <si>
    <t xml:space="preserve"> 57.15亿</t>
  </si>
  <si>
    <t xml:space="preserve"> 长海股份</t>
  </si>
  <si>
    <t xml:space="preserve"> 1426万</t>
  </si>
  <si>
    <t xml:space="preserve"> 新巨丰</t>
  </si>
  <si>
    <t xml:space="preserve"> 1425万</t>
  </si>
  <si>
    <t xml:space="preserve"> 50.36亿</t>
  </si>
  <si>
    <t xml:space="preserve"> 顾地科技</t>
  </si>
  <si>
    <t xml:space="preserve"> 7.631亿</t>
  </si>
  <si>
    <t xml:space="preserve"> 48.99亿</t>
  </si>
  <si>
    <t xml:space="preserve"> 5.398亿</t>
  </si>
  <si>
    <t xml:space="preserve"> 建业股份</t>
  </si>
  <si>
    <t xml:space="preserve"> 1424万</t>
  </si>
  <si>
    <t xml:space="preserve"> 37.46亿</t>
  </si>
  <si>
    <t xml:space="preserve"> 建艺集团</t>
  </si>
  <si>
    <t xml:space="preserve"> 23.13亿</t>
  </si>
  <si>
    <t xml:space="preserve"> 唯赛勃</t>
  </si>
  <si>
    <t xml:space="preserve"> 1420万</t>
  </si>
  <si>
    <t xml:space="preserve"> 1.738亿</t>
  </si>
  <si>
    <t xml:space="preserve"> 8.618亿</t>
  </si>
  <si>
    <t xml:space="preserve"> 芯导科技</t>
  </si>
  <si>
    <t xml:space="preserve"> 1417万</t>
  </si>
  <si>
    <t xml:space="preserve"> 2940万</t>
  </si>
  <si>
    <t xml:space="preserve"> 时创能源</t>
  </si>
  <si>
    <t xml:space="preserve"> 1416万</t>
  </si>
  <si>
    <t xml:space="preserve"> 3176万</t>
  </si>
  <si>
    <t xml:space="preserve"> ST九有</t>
  </si>
  <si>
    <t xml:space="preserve"> 1415万</t>
  </si>
  <si>
    <t xml:space="preserve"> 6.171亿</t>
  </si>
  <si>
    <t xml:space="preserve"> 6.005亿</t>
  </si>
  <si>
    <t xml:space="preserve"> 南华生物</t>
  </si>
  <si>
    <t xml:space="preserve"> 1409万</t>
  </si>
  <si>
    <t xml:space="preserve"> 3.116亿</t>
  </si>
  <si>
    <t xml:space="preserve"> 3.107亿</t>
  </si>
  <si>
    <t xml:space="preserve"> 亚香股份</t>
  </si>
  <si>
    <t xml:space="preserve"> 泰和科技</t>
  </si>
  <si>
    <t xml:space="preserve"> 1408万</t>
  </si>
  <si>
    <t xml:space="preserve"> 雅运股份</t>
  </si>
  <si>
    <t xml:space="preserve"> 1404万</t>
  </si>
  <si>
    <t xml:space="preserve"> 华业香料</t>
  </si>
  <si>
    <t xml:space="preserve"> 7456万</t>
  </si>
  <si>
    <t xml:space="preserve"> 盛泰集团</t>
  </si>
  <si>
    <t xml:space="preserve"> 1400万</t>
  </si>
  <si>
    <t xml:space="preserve"> 5.556亿</t>
  </si>
  <si>
    <t xml:space="preserve"> 45.00亿</t>
  </si>
  <si>
    <t xml:space="preserve"> 2.973亿</t>
  </si>
  <si>
    <t xml:space="preserve"> 建科股份</t>
  </si>
  <si>
    <t xml:space="preserve"> 1397万</t>
  </si>
  <si>
    <t xml:space="preserve"> 1.854亿</t>
  </si>
  <si>
    <t xml:space="preserve"> 34.67亿</t>
  </si>
  <si>
    <t xml:space="preserve"> 9849万</t>
  </si>
  <si>
    <t xml:space="preserve"> 雷特科技</t>
  </si>
  <si>
    <t xml:space="preserve"> 6.029亿</t>
  </si>
  <si>
    <t xml:space="preserve"> 1203万</t>
  </si>
  <si>
    <t xml:space="preserve"> 1.859亿</t>
  </si>
  <si>
    <t xml:space="preserve"> 恒尚节能</t>
  </si>
  <si>
    <t xml:space="preserve"> 亿能电力</t>
  </si>
  <si>
    <t xml:space="preserve"> 7225万</t>
  </si>
  <si>
    <t xml:space="preserve"> 3208万</t>
  </si>
  <si>
    <t xml:space="preserve"> 基康仪器</t>
  </si>
  <si>
    <t xml:space="preserve"> 1392万</t>
  </si>
  <si>
    <t xml:space="preserve"> 5244万</t>
  </si>
  <si>
    <t xml:space="preserve"> 4.614亿</t>
  </si>
  <si>
    <t xml:space="preserve"> 驱动力</t>
  </si>
  <si>
    <t xml:space="preserve"> 1391万</t>
  </si>
  <si>
    <t xml:space="preserve"> 5.690亿</t>
  </si>
  <si>
    <t xml:space="preserve"> 9019万</t>
  </si>
  <si>
    <t xml:space="preserve"> 广康生化</t>
  </si>
  <si>
    <t xml:space="preserve"> 1384万</t>
  </si>
  <si>
    <t xml:space="preserve"> 7400万</t>
  </si>
  <si>
    <t xml:space="preserve"> *ST金一</t>
  </si>
  <si>
    <t xml:space="preserve"> 1382万</t>
  </si>
  <si>
    <t xml:space="preserve"> 26.70亿</t>
  </si>
  <si>
    <t xml:space="preserve"> 82.22亿</t>
  </si>
  <si>
    <t xml:space="preserve"> 大禹生物</t>
  </si>
  <si>
    <t xml:space="preserve"> 1376万</t>
  </si>
  <si>
    <t xml:space="preserve"> 5270万</t>
  </si>
  <si>
    <t xml:space="preserve"> ST实达</t>
  </si>
  <si>
    <t xml:space="preserve"> 1375万</t>
  </si>
  <si>
    <t xml:space="preserve"> 81.47亿</t>
  </si>
  <si>
    <t xml:space="preserve"> 78.55亿</t>
  </si>
  <si>
    <t xml:space="preserve"> ST起步</t>
  </si>
  <si>
    <t xml:space="preserve"> 1374万</t>
  </si>
  <si>
    <t xml:space="preserve"> 惠达卫浴</t>
  </si>
  <si>
    <t xml:space="preserve"> 1373万</t>
  </si>
  <si>
    <t xml:space="preserve"> 30.53亿</t>
  </si>
  <si>
    <t xml:space="preserve"> ST三圣</t>
  </si>
  <si>
    <t xml:space="preserve"> 1371万</t>
  </si>
  <si>
    <t xml:space="preserve"> 4.319亿</t>
  </si>
  <si>
    <t xml:space="preserve"> 14.68亿</t>
  </si>
  <si>
    <t xml:space="preserve"> 万德股份</t>
  </si>
  <si>
    <t xml:space="preserve"> 8926万</t>
  </si>
  <si>
    <t xml:space="preserve"> 7.658亿</t>
  </si>
  <si>
    <t xml:space="preserve"> 3.140亿</t>
  </si>
  <si>
    <t xml:space="preserve"> 德瑞锂电</t>
  </si>
  <si>
    <t xml:space="preserve"> 1366万</t>
  </si>
  <si>
    <t xml:space="preserve"> 7792万</t>
  </si>
  <si>
    <t xml:space="preserve"> 8.782亿</t>
  </si>
  <si>
    <t xml:space="preserve"> 5.083亿</t>
  </si>
  <si>
    <t xml:space="preserve"> 天益医疗</t>
  </si>
  <si>
    <t xml:space="preserve"> 1365万</t>
  </si>
  <si>
    <t xml:space="preserve"> 5895万</t>
  </si>
  <si>
    <t xml:space="preserve"> 1835万</t>
  </si>
  <si>
    <t xml:space="preserve"> 嘉亨家化</t>
  </si>
  <si>
    <t xml:space="preserve"> 1361万</t>
  </si>
  <si>
    <t xml:space="preserve"> 4486万</t>
  </si>
  <si>
    <t xml:space="preserve"> *ST慧辰</t>
  </si>
  <si>
    <t xml:space="preserve"> 1353万</t>
  </si>
  <si>
    <t xml:space="preserve"> 派特尔</t>
  </si>
  <si>
    <t xml:space="preserve"> 1347万</t>
  </si>
  <si>
    <t xml:space="preserve"> 7374万</t>
  </si>
  <si>
    <t xml:space="preserve"> 3960万</t>
  </si>
  <si>
    <t xml:space="preserve"> ST恒久</t>
  </si>
  <si>
    <t xml:space="preserve"> 1346万</t>
  </si>
  <si>
    <t xml:space="preserve"> 10.47亿</t>
  </si>
  <si>
    <t xml:space="preserve"> 新光光电</t>
  </si>
  <si>
    <t xml:space="preserve"> 1345万</t>
  </si>
  <si>
    <t xml:space="preserve"> 8939万</t>
  </si>
  <si>
    <t xml:space="preserve"> 江苏博云</t>
  </si>
  <si>
    <t xml:space="preserve"> 1342万</t>
  </si>
  <si>
    <t xml:space="preserve"> 9905万</t>
  </si>
  <si>
    <t xml:space="preserve"> 6875万</t>
  </si>
  <si>
    <t xml:space="preserve"> 17.19亿</t>
  </si>
  <si>
    <t xml:space="preserve"> 超越科技</t>
  </si>
  <si>
    <t xml:space="preserve"> 1340万</t>
  </si>
  <si>
    <t xml:space="preserve"> 9425万</t>
  </si>
  <si>
    <t xml:space="preserve"> 2568万</t>
  </si>
  <si>
    <t xml:space="preserve"> 中触媒</t>
  </si>
  <si>
    <t xml:space="preserve"> 1335万</t>
  </si>
  <si>
    <t xml:space="preserve"> 1.762亿</t>
  </si>
  <si>
    <t xml:space="preserve"> 35.54亿</t>
  </si>
  <si>
    <t xml:space="preserve"> 8219万</t>
  </si>
  <si>
    <t xml:space="preserve"> 16.58亿</t>
  </si>
  <si>
    <t xml:space="preserve"> *ST雪发</t>
  </si>
  <si>
    <t xml:space="preserve"> 逸豪新材</t>
  </si>
  <si>
    <t xml:space="preserve"> 1320万</t>
  </si>
  <si>
    <t xml:space="preserve"> 5636万</t>
  </si>
  <si>
    <t xml:space="preserve"> 9.834亿</t>
  </si>
  <si>
    <t xml:space="preserve"> 优机股份</t>
  </si>
  <si>
    <t xml:space="preserve"> 1318万</t>
  </si>
  <si>
    <t xml:space="preserve"> 6.27亿</t>
  </si>
  <si>
    <t xml:space="preserve"> 9.685亿</t>
  </si>
  <si>
    <t xml:space="preserve"> 科捷智能</t>
  </si>
  <si>
    <t xml:space="preserve"> 1315万</t>
  </si>
  <si>
    <t xml:space="preserve"> 1.808亿</t>
  </si>
  <si>
    <t xml:space="preserve"> 好莱客</t>
  </si>
  <si>
    <t xml:space="preserve"> 1310万</t>
  </si>
  <si>
    <t xml:space="preserve"> 开普检测</t>
  </si>
  <si>
    <t xml:space="preserve"> 1309万</t>
  </si>
  <si>
    <t xml:space="preserve"> 16.33亿</t>
  </si>
  <si>
    <t xml:space="preserve"> 华盛锂电</t>
  </si>
  <si>
    <t xml:space="preserve"> 1306万</t>
  </si>
  <si>
    <t xml:space="preserve"> 1.595亿</t>
  </si>
  <si>
    <t xml:space="preserve"> 5553万</t>
  </si>
  <si>
    <t xml:space="preserve"> 春立医疗</t>
  </si>
  <si>
    <t xml:space="preserve"> 7.92亿</t>
  </si>
  <si>
    <t xml:space="preserve"> 3.836亿</t>
  </si>
  <si>
    <t xml:space="preserve"> 7776万</t>
  </si>
  <si>
    <t xml:space="preserve"> 光华股份</t>
  </si>
  <si>
    <t xml:space="preserve"> 1302万</t>
  </si>
  <si>
    <t xml:space="preserve"> 7.248亿</t>
  </si>
  <si>
    <t xml:space="preserve"> 云涌科技</t>
  </si>
  <si>
    <t xml:space="preserve"> 1300万</t>
  </si>
  <si>
    <t xml:space="preserve"> 华嵘控股</t>
  </si>
  <si>
    <t xml:space="preserve"> 1294万</t>
  </si>
  <si>
    <t xml:space="preserve"> 9012万</t>
  </si>
  <si>
    <t xml:space="preserve"> 1.956亿</t>
  </si>
  <si>
    <t xml:space="preserve"> 莱伯泰科</t>
  </si>
  <si>
    <t xml:space="preserve"> 1287万</t>
  </si>
  <si>
    <t xml:space="preserve"> 秦川物联</t>
  </si>
  <si>
    <t xml:space="preserve"> 1286万</t>
  </si>
  <si>
    <t xml:space="preserve"> 6683万</t>
  </si>
  <si>
    <t xml:space="preserve"> 7.439亿</t>
  </si>
  <si>
    <t xml:space="preserve"> 凯伦股份</t>
  </si>
  <si>
    <t xml:space="preserve"> 1282万</t>
  </si>
  <si>
    <t xml:space="preserve"> 3.849亿</t>
  </si>
  <si>
    <t xml:space="preserve"> 47.27亿</t>
  </si>
  <si>
    <t xml:space="preserve"> 2.789亿</t>
  </si>
  <si>
    <t xml:space="preserve"> 联翔股份</t>
  </si>
  <si>
    <t xml:space="preserve"> 1281万</t>
  </si>
  <si>
    <t xml:space="preserve"> 7.536亿</t>
  </si>
  <si>
    <t xml:space="preserve"> 江天化学</t>
  </si>
  <si>
    <t xml:space="preserve"> 8668万</t>
  </si>
  <si>
    <t xml:space="preserve"> 富淼科技</t>
  </si>
  <si>
    <t xml:space="preserve"> 1275万</t>
  </si>
  <si>
    <t xml:space="preserve"> 6271万</t>
  </si>
  <si>
    <t xml:space="preserve"> 聚合顺</t>
  </si>
  <si>
    <t xml:space="preserve"> 1273万</t>
  </si>
  <si>
    <t xml:space="preserve"> 北鼎股份</t>
  </si>
  <si>
    <t xml:space="preserve"> 1272万</t>
  </si>
  <si>
    <t xml:space="preserve"> 3.161亿</t>
  </si>
  <si>
    <t xml:space="preserve"> 华尔泰</t>
  </si>
  <si>
    <t xml:space="preserve"> 1265万</t>
  </si>
  <si>
    <t xml:space="preserve"> 1.329亿</t>
  </si>
  <si>
    <t xml:space="preserve"> 亚光股份</t>
  </si>
  <si>
    <t xml:space="preserve"> 华光源海</t>
  </si>
  <si>
    <t xml:space="preserve"> 1255万</t>
  </si>
  <si>
    <t xml:space="preserve"> 9114万</t>
  </si>
  <si>
    <t xml:space="preserve"> 哈铁科技</t>
  </si>
  <si>
    <t xml:space="preserve"> 1253万</t>
  </si>
  <si>
    <t xml:space="preserve"> 英科再生</t>
  </si>
  <si>
    <t xml:space="preserve"> 1252万</t>
  </si>
  <si>
    <t xml:space="preserve"> 瑞晟智能</t>
  </si>
  <si>
    <t xml:space="preserve"> 4004万</t>
  </si>
  <si>
    <t xml:space="preserve"> 金房能源</t>
  </si>
  <si>
    <t xml:space="preserve"> 1250万</t>
  </si>
  <si>
    <t xml:space="preserve"> 22.48亿</t>
  </si>
  <si>
    <t xml:space="preserve"> 4843万</t>
  </si>
  <si>
    <t xml:space="preserve"> 宏柏新材</t>
  </si>
  <si>
    <t xml:space="preserve"> 1249万</t>
  </si>
  <si>
    <t xml:space="preserve"> 6.123亿</t>
  </si>
  <si>
    <t xml:space="preserve"> 50.70亿</t>
  </si>
  <si>
    <t xml:space="preserve"> 6.062亿</t>
  </si>
  <si>
    <t xml:space="preserve"> 50.19亿</t>
  </si>
  <si>
    <t xml:space="preserve"> 正川股份</t>
  </si>
  <si>
    <t xml:space="preserve"> 1241万</t>
  </si>
  <si>
    <t xml:space="preserve"> 31.57亿</t>
  </si>
  <si>
    <t xml:space="preserve"> 灿能电力</t>
  </si>
  <si>
    <t xml:space="preserve"> 1239万</t>
  </si>
  <si>
    <t xml:space="preserve"> 6548万</t>
  </si>
  <si>
    <t xml:space="preserve"> 9011万</t>
  </si>
  <si>
    <t xml:space="preserve"> 2714万</t>
  </si>
  <si>
    <t xml:space="preserve"> 1.577亿</t>
  </si>
  <si>
    <t xml:space="preserve"> ST花王</t>
  </si>
  <si>
    <t xml:space="preserve"> 3.499亿</t>
  </si>
  <si>
    <t xml:space="preserve"> 恒光股份</t>
  </si>
  <si>
    <t xml:space="preserve"> 1235万</t>
  </si>
  <si>
    <t xml:space="preserve"> 5414万</t>
  </si>
  <si>
    <t xml:space="preserve"> 太湖雪</t>
  </si>
  <si>
    <t xml:space="preserve"> 1232万</t>
  </si>
  <si>
    <t xml:space="preserve"> 6.247亿</t>
  </si>
  <si>
    <t xml:space="preserve"> 唯万密封</t>
  </si>
  <si>
    <t xml:space="preserve"> 1231万</t>
  </si>
  <si>
    <t xml:space="preserve"> 中坚科技</t>
  </si>
  <si>
    <t xml:space="preserve"> 1229万</t>
  </si>
  <si>
    <t xml:space="preserve"> 莱尔科技</t>
  </si>
  <si>
    <t xml:space="preserve"> 6318万</t>
  </si>
  <si>
    <t xml:space="preserve"> *ST碳元</t>
  </si>
  <si>
    <t xml:space="preserve"> 1226万</t>
  </si>
  <si>
    <t xml:space="preserve"> 8878万</t>
  </si>
  <si>
    <t xml:space="preserve"> 长龄液压</t>
  </si>
  <si>
    <t xml:space="preserve"> 1225万</t>
  </si>
  <si>
    <t xml:space="preserve"> 1.441亿</t>
  </si>
  <si>
    <t xml:space="preserve"> 8.701亿</t>
  </si>
  <si>
    <t xml:space="preserve"> 博菲电气</t>
  </si>
  <si>
    <t xml:space="preserve"> 1224万</t>
  </si>
  <si>
    <t xml:space="preserve"> 6.844亿</t>
  </si>
  <si>
    <t xml:space="preserve"> 七丰精工</t>
  </si>
  <si>
    <t xml:space="preserve"> 1223万</t>
  </si>
  <si>
    <t xml:space="preserve"> 8271万</t>
  </si>
  <si>
    <t xml:space="preserve"> 4.963亿</t>
  </si>
  <si>
    <t xml:space="preserve"> 2.873亿</t>
  </si>
  <si>
    <t xml:space="preserve"> 工大高科</t>
  </si>
  <si>
    <t xml:space="preserve"> 1222万</t>
  </si>
  <si>
    <t xml:space="preserve"> 8710万</t>
  </si>
  <si>
    <t xml:space="preserve"> 6551万</t>
  </si>
  <si>
    <t xml:space="preserve"> 微创光电</t>
  </si>
  <si>
    <t xml:space="preserve"> 1.614亿</t>
  </si>
  <si>
    <t xml:space="preserve"> 8.149亿</t>
  </si>
  <si>
    <t xml:space="preserve"> 6313万</t>
  </si>
  <si>
    <t xml:space="preserve"> 晶华微</t>
  </si>
  <si>
    <t xml:space="preserve"> 1221万</t>
  </si>
  <si>
    <t xml:space="preserve"> 6656万</t>
  </si>
  <si>
    <t xml:space="preserve"> 29.27亿</t>
  </si>
  <si>
    <t xml:space="preserve"> 1597万</t>
  </si>
  <si>
    <t xml:space="preserve"> 7.026亿</t>
  </si>
  <si>
    <t xml:space="preserve"> 吉华集团</t>
  </si>
  <si>
    <t xml:space="preserve"> 金瑞矿业</t>
  </si>
  <si>
    <t xml:space="preserve"> 1218万</t>
  </si>
  <si>
    <t xml:space="preserve"> 灵康药业</t>
  </si>
  <si>
    <t xml:space="preserve"> 1216万</t>
  </si>
  <si>
    <t xml:space="preserve"> 7.212亿</t>
  </si>
  <si>
    <t xml:space="preserve"> 41.11亿</t>
  </si>
  <si>
    <t xml:space="preserve"> 矩阵股份</t>
  </si>
  <si>
    <t xml:space="preserve"> 1214万</t>
  </si>
  <si>
    <t xml:space="preserve"> 4635万</t>
  </si>
  <si>
    <t xml:space="preserve"> 朗坤环境</t>
  </si>
  <si>
    <t xml:space="preserve"> 5914万</t>
  </si>
  <si>
    <t xml:space="preserve"> 上纬新材</t>
  </si>
  <si>
    <t xml:space="preserve"> 1213万</t>
  </si>
  <si>
    <t xml:space="preserve"> 4.033亿</t>
  </si>
  <si>
    <t xml:space="preserve"> 海希通讯</t>
  </si>
  <si>
    <t xml:space="preserve"> 1212万</t>
  </si>
  <si>
    <t xml:space="preserve"> 井松智能</t>
  </si>
  <si>
    <t xml:space="preserve"> 1211万</t>
  </si>
  <si>
    <t xml:space="preserve"> 17.36亿</t>
  </si>
  <si>
    <t xml:space="preserve"> 3480万</t>
  </si>
  <si>
    <t xml:space="preserve"> 拾比佰</t>
  </si>
  <si>
    <t xml:space="preserve"> 7.41亿</t>
  </si>
  <si>
    <t xml:space="preserve"> 3.879亿</t>
  </si>
  <si>
    <t xml:space="preserve"> 永清环保</t>
  </si>
  <si>
    <t xml:space="preserve"> 1209万</t>
  </si>
  <si>
    <t xml:space="preserve"> 6.456亿</t>
  </si>
  <si>
    <t xml:space="preserve"> 6.445亿</t>
  </si>
  <si>
    <t xml:space="preserve"> 雪浪环境</t>
  </si>
  <si>
    <t xml:space="preserve"> 1206万</t>
  </si>
  <si>
    <t xml:space="preserve"> 2.886亿</t>
  </si>
  <si>
    <t xml:space="preserve"> ST海越</t>
  </si>
  <si>
    <t xml:space="preserve"> 山东玻纤</t>
  </si>
  <si>
    <t xml:space="preserve"> 1199万</t>
  </si>
  <si>
    <t xml:space="preserve"> 6.106亿</t>
  </si>
  <si>
    <t xml:space="preserve"> 42.87亿</t>
  </si>
  <si>
    <t xml:space="preserve"> 星球石墨</t>
  </si>
  <si>
    <t xml:space="preserve"> 1198万</t>
  </si>
  <si>
    <t xml:space="preserve"> 1.044亿</t>
  </si>
  <si>
    <t xml:space="preserve"> 3451万</t>
  </si>
  <si>
    <t xml:space="preserve"> 日科化学</t>
  </si>
  <si>
    <t xml:space="preserve"> 1193万</t>
  </si>
  <si>
    <t xml:space="preserve"> 中设咨询</t>
  </si>
  <si>
    <t xml:space="preserve"> 1189万</t>
  </si>
  <si>
    <t xml:space="preserve"> 5.261亿</t>
  </si>
  <si>
    <t xml:space="preserve"> 3.637亿</t>
  </si>
  <si>
    <t xml:space="preserve"> 中科美菱</t>
  </si>
  <si>
    <t xml:space="preserve"> 1188万</t>
  </si>
  <si>
    <t xml:space="preserve"> 9673万</t>
  </si>
  <si>
    <t xml:space="preserve"> 8.435亿</t>
  </si>
  <si>
    <t xml:space="preserve"> 海锅股份</t>
  </si>
  <si>
    <t xml:space="preserve"> 九菱科技</t>
  </si>
  <si>
    <t xml:space="preserve"> 1182万</t>
  </si>
  <si>
    <t xml:space="preserve"> 9978万</t>
  </si>
  <si>
    <t xml:space="preserve"> 4482万</t>
  </si>
  <si>
    <t xml:space="preserve"> 6.656亿</t>
  </si>
  <si>
    <t xml:space="preserve"> 1122万</t>
  </si>
  <si>
    <t xml:space="preserve"> 1.665亿</t>
  </si>
  <si>
    <t xml:space="preserve"> 海正生材</t>
  </si>
  <si>
    <t xml:space="preserve"> 27.22亿</t>
  </si>
  <si>
    <t xml:space="preserve"> 7311万</t>
  </si>
  <si>
    <t xml:space="preserve"> 9.819亿</t>
  </si>
  <si>
    <t xml:space="preserve"> *ST长方</t>
  </si>
  <si>
    <t xml:space="preserve"> 1175万</t>
  </si>
  <si>
    <t xml:space="preserve"> 7.901亿</t>
  </si>
  <si>
    <t xml:space="preserve"> 绿田机械</t>
  </si>
  <si>
    <t xml:space="preserve"> 28.48亿</t>
  </si>
  <si>
    <t xml:space="preserve"> 5370万</t>
  </si>
  <si>
    <t xml:space="preserve"> 时代万恒</t>
  </si>
  <si>
    <t xml:space="preserve"> 2.943亿</t>
  </si>
  <si>
    <t xml:space="preserve"> 可靠股份</t>
  </si>
  <si>
    <t xml:space="preserve"> 1172万</t>
  </si>
  <si>
    <t xml:space="preserve"> 2.719亿</t>
  </si>
  <si>
    <t xml:space="preserve"> 珠江钢琴</t>
  </si>
  <si>
    <t xml:space="preserve"> 1171万</t>
  </si>
  <si>
    <t xml:space="preserve"> 9.02亿</t>
  </si>
  <si>
    <t xml:space="preserve"> 76.57亿</t>
  </si>
  <si>
    <t xml:space="preserve"> 中航泰达</t>
  </si>
  <si>
    <t xml:space="preserve"> 1168万</t>
  </si>
  <si>
    <t xml:space="preserve"> *ST金山</t>
  </si>
  <si>
    <t xml:space="preserve"> 1165万</t>
  </si>
  <si>
    <t xml:space="preserve"> 14.73亿</t>
  </si>
  <si>
    <t xml:space="preserve"> 38.00亿</t>
  </si>
  <si>
    <t xml:space="preserve"> 瑞奇智造</t>
  </si>
  <si>
    <t xml:space="preserve"> 1158万</t>
  </si>
  <si>
    <t xml:space="preserve"> 6.745亿</t>
  </si>
  <si>
    <t xml:space="preserve"> 9171万</t>
  </si>
  <si>
    <t xml:space="preserve"> 交控科技</t>
  </si>
  <si>
    <t xml:space="preserve"> 1154万</t>
  </si>
  <si>
    <t xml:space="preserve"> 霍普股份</t>
  </si>
  <si>
    <t xml:space="preserve"> 1150万</t>
  </si>
  <si>
    <t xml:space="preserve"> 5.259亿</t>
  </si>
  <si>
    <t xml:space="preserve"> 九州一轨</t>
  </si>
  <si>
    <t xml:space="preserve"> 1148万</t>
  </si>
  <si>
    <t xml:space="preserve"> 1.503亿</t>
  </si>
  <si>
    <t xml:space="preserve"> 路斯股份</t>
  </si>
  <si>
    <t xml:space="preserve"> 9.527亿</t>
  </si>
  <si>
    <t xml:space="preserve"> 9276万</t>
  </si>
  <si>
    <t xml:space="preserve"> 8.543亿</t>
  </si>
  <si>
    <t xml:space="preserve"> ST天成</t>
  </si>
  <si>
    <t xml:space="preserve"> 1146万</t>
  </si>
  <si>
    <t xml:space="preserve"> 5.092亿</t>
  </si>
  <si>
    <t xml:space="preserve"> 和顺科技</t>
  </si>
  <si>
    <t xml:space="preserve"> 领湃科技</t>
  </si>
  <si>
    <t xml:space="preserve"> 1137万</t>
  </si>
  <si>
    <t xml:space="preserve"> 1.720亿</t>
  </si>
  <si>
    <t xml:space="preserve"> 卓锦股份</t>
  </si>
  <si>
    <t xml:space="preserve"> 1.343亿</t>
  </si>
  <si>
    <t xml:space="preserve"> 6731万</t>
  </si>
  <si>
    <t xml:space="preserve"> 6.273亿</t>
  </si>
  <si>
    <t xml:space="preserve"> 呈和科技</t>
  </si>
  <si>
    <t xml:space="preserve"> 1133万</t>
  </si>
  <si>
    <t xml:space="preserve"> 8228万</t>
  </si>
  <si>
    <t xml:space="preserve"> 园林股份</t>
  </si>
  <si>
    <t xml:space="preserve"> 1131万</t>
  </si>
  <si>
    <t xml:space="preserve"> 嘉澳环保</t>
  </si>
  <si>
    <t xml:space="preserve"> 1127万</t>
  </si>
  <si>
    <t xml:space="preserve"> 7716万</t>
  </si>
  <si>
    <t xml:space="preserve"> 立航科技</t>
  </si>
  <si>
    <t xml:space="preserve"> 2630万</t>
  </si>
  <si>
    <t xml:space="preserve"> 坤恒顺维</t>
  </si>
  <si>
    <t xml:space="preserve"> 51.66亿</t>
  </si>
  <si>
    <t xml:space="preserve"> 5791万</t>
  </si>
  <si>
    <t xml:space="preserve"> *ST新纺</t>
  </si>
  <si>
    <t xml:space="preserve"> 1120万</t>
  </si>
  <si>
    <t xml:space="preserve"> 8.154亿</t>
  </si>
  <si>
    <t xml:space="preserve"> 雄塑科技</t>
  </si>
  <si>
    <t xml:space="preserve"> 1119万</t>
  </si>
  <si>
    <t xml:space="preserve"> 3.581亿</t>
  </si>
  <si>
    <t xml:space="preserve"> 一诺威</t>
  </si>
  <si>
    <t xml:space="preserve"> 1118万</t>
  </si>
  <si>
    <t xml:space="preserve"> 洁雅股份</t>
  </si>
  <si>
    <t xml:space="preserve"> 3524万</t>
  </si>
  <si>
    <t xml:space="preserve"> 昆工科技</t>
  </si>
  <si>
    <t xml:space="preserve"> 1117万</t>
  </si>
  <si>
    <t xml:space="preserve"> 1.086亿</t>
  </si>
  <si>
    <t xml:space="preserve"> 8369万</t>
  </si>
  <si>
    <t xml:space="preserve"> 鑫磊股份</t>
  </si>
  <si>
    <t xml:space="preserve"> 1112万</t>
  </si>
  <si>
    <t xml:space="preserve"> 1.572亿</t>
  </si>
  <si>
    <t xml:space="preserve"> 3930万</t>
  </si>
  <si>
    <t xml:space="preserve"> 迪威尔</t>
  </si>
  <si>
    <t xml:space="preserve"> 1111万</t>
  </si>
  <si>
    <t xml:space="preserve"> 9.36亿</t>
  </si>
  <si>
    <t xml:space="preserve"> 丰安股份</t>
  </si>
  <si>
    <t xml:space="preserve"> 1091万</t>
  </si>
  <si>
    <t xml:space="preserve"> 7945万</t>
  </si>
  <si>
    <t xml:space="preserve"> 2.165亿</t>
  </si>
  <si>
    <t xml:space="preserve"> 爱慕股份</t>
  </si>
  <si>
    <t xml:space="preserve"> 1087万</t>
  </si>
  <si>
    <t xml:space="preserve"> 66.81亿</t>
  </si>
  <si>
    <t xml:space="preserve"> 5444万</t>
  </si>
  <si>
    <t xml:space="preserve"> 8.911亿</t>
  </si>
  <si>
    <t xml:space="preserve"> 佳先股份</t>
  </si>
  <si>
    <t xml:space="preserve"> 1085万</t>
  </si>
  <si>
    <t xml:space="preserve"> 7.505亿</t>
  </si>
  <si>
    <t xml:space="preserve"> 8569万</t>
  </si>
  <si>
    <t xml:space="preserve"> 恒合股份</t>
  </si>
  <si>
    <t xml:space="preserve"> 1084万</t>
  </si>
  <si>
    <t xml:space="preserve"> 7055万</t>
  </si>
  <si>
    <t xml:space="preserve"> 3.916亿</t>
  </si>
  <si>
    <t xml:space="preserve"> 2.488亿</t>
  </si>
  <si>
    <t xml:space="preserve"> 高凌信息</t>
  </si>
  <si>
    <t xml:space="preserve"> 1081万</t>
  </si>
  <si>
    <t xml:space="preserve"> 12.73亿</t>
  </si>
  <si>
    <t xml:space="preserve"> 创兴资源</t>
  </si>
  <si>
    <t xml:space="preserve"> 1079万</t>
  </si>
  <si>
    <t xml:space="preserve"> 4.254亿</t>
  </si>
  <si>
    <t xml:space="preserve"> 中科微至</t>
  </si>
  <si>
    <t xml:space="preserve"> 海波重科</t>
  </si>
  <si>
    <t xml:space="preserve"> 联盛化学</t>
  </si>
  <si>
    <t xml:space="preserve"> 1063万</t>
  </si>
  <si>
    <t xml:space="preserve"> 30.38亿</t>
  </si>
  <si>
    <t xml:space="preserve"> 7.595亿</t>
  </si>
  <si>
    <t xml:space="preserve"> 源飞宠物</t>
  </si>
  <si>
    <t xml:space="preserve"> 1061万</t>
  </si>
  <si>
    <t xml:space="preserve"> 1.909亿</t>
  </si>
  <si>
    <t xml:space="preserve"> 28.92亿</t>
  </si>
  <si>
    <t xml:space="preserve"> 6524万</t>
  </si>
  <si>
    <t xml:space="preserve"> 金利华电</t>
  </si>
  <si>
    <t xml:space="preserve"> 1060万</t>
  </si>
  <si>
    <t xml:space="preserve"> *ST明诚</t>
  </si>
  <si>
    <t xml:space="preserve"> 5.831亿</t>
  </si>
  <si>
    <t xml:space="preserve"> 4.854亿</t>
  </si>
  <si>
    <t xml:space="preserve"> 青矩技术</t>
  </si>
  <si>
    <t xml:space="preserve"> 1058万</t>
  </si>
  <si>
    <t xml:space="preserve"> 1130万</t>
  </si>
  <si>
    <t xml:space="preserve"> 3.660亿</t>
  </si>
  <si>
    <t xml:space="preserve"> 醋化股份</t>
  </si>
  <si>
    <t xml:space="preserve"> 1057万</t>
  </si>
  <si>
    <t xml:space="preserve"> 2.093亿</t>
  </si>
  <si>
    <t xml:space="preserve"> 31.61亿</t>
  </si>
  <si>
    <t xml:space="preserve"> 旭杰科技</t>
  </si>
  <si>
    <t xml:space="preserve"> 1051万</t>
  </si>
  <si>
    <t xml:space="preserve"> 7376万</t>
  </si>
  <si>
    <t xml:space="preserve"> 3.976亿</t>
  </si>
  <si>
    <t xml:space="preserve"> 2.580亿</t>
  </si>
  <si>
    <t xml:space="preserve"> 农心科技</t>
  </si>
  <si>
    <t xml:space="preserve"> 1041万</t>
  </si>
  <si>
    <t xml:space="preserve"> 7.608亿</t>
  </si>
  <si>
    <t xml:space="preserve"> 万得凯</t>
  </si>
  <si>
    <t xml:space="preserve"> 1035万</t>
  </si>
  <si>
    <t xml:space="preserve"> 6.855亿</t>
  </si>
  <si>
    <t xml:space="preserve"> 苏利股份</t>
  </si>
  <si>
    <t xml:space="preserve"> 1033万</t>
  </si>
  <si>
    <t xml:space="preserve"> 泓禧科技</t>
  </si>
  <si>
    <t xml:space="preserve"> 1031万</t>
  </si>
  <si>
    <t xml:space="preserve"> 7.379亿</t>
  </si>
  <si>
    <t xml:space="preserve"> 金科环境</t>
  </si>
  <si>
    <t xml:space="preserve"> 仁信新材</t>
  </si>
  <si>
    <t xml:space="preserve"> 1021万</t>
  </si>
  <si>
    <t xml:space="preserve"> 1.449亿</t>
  </si>
  <si>
    <t xml:space="preserve"> 3436万</t>
  </si>
  <si>
    <t xml:space="preserve"> 艾艾精工</t>
  </si>
  <si>
    <t xml:space="preserve"> 1016万</t>
  </si>
  <si>
    <t xml:space="preserve"> 邦基科技</t>
  </si>
  <si>
    <t xml:space="preserve"> 1013万</t>
  </si>
  <si>
    <t xml:space="preserve"> 25.86亿</t>
  </si>
  <si>
    <t xml:space="preserve"> ST瑞德</t>
  </si>
  <si>
    <t xml:space="preserve"> 1012万</t>
  </si>
  <si>
    <t xml:space="preserve"> 24.20亿</t>
  </si>
  <si>
    <t xml:space="preserve"> 宜宾纸业</t>
  </si>
  <si>
    <t xml:space="preserve"> 1011万</t>
  </si>
  <si>
    <t xml:space="preserve"> 瑞晨环保</t>
  </si>
  <si>
    <t xml:space="preserve"> 998万</t>
  </si>
  <si>
    <t xml:space="preserve"> 7164万</t>
  </si>
  <si>
    <t xml:space="preserve"> 9.599亿</t>
  </si>
  <si>
    <t xml:space="preserve"> 双元科技</t>
  </si>
  <si>
    <t xml:space="preserve"> 996万</t>
  </si>
  <si>
    <t xml:space="preserve"> 44.04亿</t>
  </si>
  <si>
    <t xml:space="preserve"> 1383万</t>
  </si>
  <si>
    <t xml:space="preserve"> 润普食品</t>
  </si>
  <si>
    <t xml:space="preserve"> 995万</t>
  </si>
  <si>
    <t xml:space="preserve"> 5.813亿</t>
  </si>
  <si>
    <t xml:space="preserve"> 同兴环保</t>
  </si>
  <si>
    <t xml:space="preserve"> 994万</t>
  </si>
  <si>
    <t xml:space="preserve"> 24.36亿</t>
  </si>
  <si>
    <t xml:space="preserve"> 汇通集团</t>
  </si>
  <si>
    <t xml:space="preserve"> 9.465亿</t>
  </si>
  <si>
    <t xml:space="preserve"> 飞沃科技</t>
  </si>
  <si>
    <t xml:space="preserve"> 989万</t>
  </si>
  <si>
    <t xml:space="preserve"> 5369万</t>
  </si>
  <si>
    <t xml:space="preserve"> 1277万</t>
  </si>
  <si>
    <t xml:space="preserve"> 6.432亿</t>
  </si>
  <si>
    <t xml:space="preserve"> 共创草坪</t>
  </si>
  <si>
    <t xml:space="preserve"> 987万</t>
  </si>
  <si>
    <t xml:space="preserve"> 83.42亿</t>
  </si>
  <si>
    <t xml:space="preserve"> 绿亨科技</t>
  </si>
  <si>
    <t xml:space="preserve"> 983万</t>
  </si>
  <si>
    <t xml:space="preserve"> 5497万</t>
  </si>
  <si>
    <t xml:space="preserve"> 3.413亿</t>
  </si>
  <si>
    <t xml:space="preserve"> *ST莫高</t>
  </si>
  <si>
    <t xml:space="preserve"> 979万</t>
  </si>
  <si>
    <t xml:space="preserve"> 3.211亿</t>
  </si>
  <si>
    <t xml:space="preserve"> 新芝生物</t>
  </si>
  <si>
    <t xml:space="preserve"> 977万</t>
  </si>
  <si>
    <t xml:space="preserve"> 4.815亿</t>
  </si>
  <si>
    <t xml:space="preserve"> 威尔药业</t>
  </si>
  <si>
    <t xml:space="preserve"> 945万</t>
  </si>
  <si>
    <t xml:space="preserve"> 36.72亿</t>
  </si>
  <si>
    <t xml:space="preserve"> 凯腾精工</t>
  </si>
  <si>
    <t xml:space="preserve"> 940万</t>
  </si>
  <si>
    <t xml:space="preserve"> 1.437亿</t>
  </si>
  <si>
    <t xml:space="preserve"> 5.920亿</t>
  </si>
  <si>
    <t xml:space="preserve"> 3.816亿</t>
  </si>
  <si>
    <t xml:space="preserve"> 德林海</t>
  </si>
  <si>
    <t xml:space="preserve"> 929万</t>
  </si>
  <si>
    <t xml:space="preserve"> 帕瓦股份</t>
  </si>
  <si>
    <t xml:space="preserve"> 925万</t>
  </si>
  <si>
    <t xml:space="preserve"> 5970万</t>
  </si>
  <si>
    <t xml:space="preserve"> 12.52亿</t>
  </si>
  <si>
    <t xml:space="preserve"> 鸿铭股份</t>
  </si>
  <si>
    <t xml:space="preserve"> 922万</t>
  </si>
  <si>
    <t xml:space="preserve"> 4.683亿</t>
  </si>
  <si>
    <t xml:space="preserve"> 星辉环材</t>
  </si>
  <si>
    <t xml:space="preserve"> 905万</t>
  </si>
  <si>
    <t xml:space="preserve"> 6141万</t>
  </si>
  <si>
    <t xml:space="preserve"> *ST美尚</t>
  </si>
  <si>
    <t xml:space="preserve"> 894万</t>
  </si>
  <si>
    <t xml:space="preserve"> 6.743亿</t>
  </si>
  <si>
    <t xml:space="preserve"> 6.733亿</t>
  </si>
  <si>
    <t xml:space="preserve"> ST通葡</t>
  </si>
  <si>
    <t xml:space="preserve"> 892万</t>
  </si>
  <si>
    <t xml:space="preserve"> 4.274亿</t>
  </si>
  <si>
    <t xml:space="preserve"> 16.75亿</t>
  </si>
  <si>
    <t xml:space="preserve"> *ST博天</t>
  </si>
  <si>
    <t xml:space="preserve"> 890万</t>
  </si>
  <si>
    <t xml:space="preserve"> 8.175亿</t>
  </si>
  <si>
    <t xml:space="preserve"> 26.90亿</t>
  </si>
  <si>
    <t xml:space="preserve"> 美腾科技</t>
  </si>
  <si>
    <t xml:space="preserve"> 888万</t>
  </si>
  <si>
    <t xml:space="preserve"> 尤安设计</t>
  </si>
  <si>
    <t xml:space="preserve"> 873万</t>
  </si>
  <si>
    <t xml:space="preserve"> ST宇顺</t>
  </si>
  <si>
    <t xml:space="preserve"> 856万</t>
  </si>
  <si>
    <t xml:space="preserve"> 建发合诚</t>
  </si>
  <si>
    <t xml:space="preserve"> 854万</t>
  </si>
  <si>
    <t xml:space="preserve"> 31.05亿</t>
  </si>
  <si>
    <t xml:space="preserve"> 美邦科技</t>
  </si>
  <si>
    <t xml:space="preserve"> 852万</t>
  </si>
  <si>
    <t xml:space="preserve"> 华强科技</t>
  </si>
  <si>
    <t xml:space="preserve"> 3.445亿</t>
  </si>
  <si>
    <t xml:space="preserve"> 66.14亿</t>
  </si>
  <si>
    <t xml:space="preserve"> 9976万</t>
  </si>
  <si>
    <t xml:space="preserve"> 纵横股份</t>
  </si>
  <si>
    <t xml:space="preserve"> 851万</t>
  </si>
  <si>
    <t xml:space="preserve"> 联测科技</t>
  </si>
  <si>
    <t xml:space="preserve"> 847万</t>
  </si>
  <si>
    <t xml:space="preserve"> 4141万</t>
  </si>
  <si>
    <t xml:space="preserve"> 18.99亿</t>
  </si>
  <si>
    <t xml:space="preserve"> 恒太照明</t>
  </si>
  <si>
    <t xml:space="preserve"> 840万</t>
  </si>
  <si>
    <t xml:space="preserve"> 2.202亿</t>
  </si>
  <si>
    <t xml:space="preserve"> 5957万</t>
  </si>
  <si>
    <t xml:space="preserve"> 方大新材</t>
  </si>
  <si>
    <t xml:space="preserve"> 836万</t>
  </si>
  <si>
    <t xml:space="preserve"> 1.284亿</t>
  </si>
  <si>
    <t xml:space="preserve"> 华新环保</t>
  </si>
  <si>
    <t xml:space="preserve"> 832万</t>
  </si>
  <si>
    <t xml:space="preserve"> 7575万</t>
  </si>
  <si>
    <t xml:space="preserve"> 8.552亿</t>
  </si>
  <si>
    <t xml:space="preserve"> 滨海能源</t>
  </si>
  <si>
    <t xml:space="preserve"> 826万</t>
  </si>
  <si>
    <t xml:space="preserve"> 24.84亿</t>
  </si>
  <si>
    <t xml:space="preserve"> 2.217亿</t>
  </si>
  <si>
    <t xml:space="preserve"> 24.79亿</t>
  </si>
  <si>
    <t xml:space="preserve"> 恒誉环保</t>
  </si>
  <si>
    <t xml:space="preserve"> 812万</t>
  </si>
  <si>
    <t xml:space="preserve"> *ST民控</t>
  </si>
  <si>
    <t xml:space="preserve"> 796万</t>
  </si>
  <si>
    <t xml:space="preserve"> 力佳科技</t>
  </si>
  <si>
    <t xml:space="preserve"> 792万</t>
  </si>
  <si>
    <t xml:space="preserve"> 5142万</t>
  </si>
  <si>
    <t xml:space="preserve"> 3439万</t>
  </si>
  <si>
    <t xml:space="preserve"> 夜光明</t>
  </si>
  <si>
    <t xml:space="preserve"> 778万</t>
  </si>
  <si>
    <t xml:space="preserve"> 恒立钻具</t>
  </si>
  <si>
    <t xml:space="preserve"> 758万</t>
  </si>
  <si>
    <t xml:space="preserve"> 6.268亿</t>
  </si>
  <si>
    <t xml:space="preserve"> ST实华</t>
  </si>
  <si>
    <t xml:space="preserve"> 3.680亿</t>
  </si>
  <si>
    <t xml:space="preserve"> 新亚强</t>
  </si>
  <si>
    <t xml:space="preserve"> 756万</t>
  </si>
  <si>
    <t xml:space="preserve"> 53.46亿</t>
  </si>
  <si>
    <t xml:space="preserve"> 金达莱</t>
  </si>
  <si>
    <t xml:space="preserve"> 750万</t>
  </si>
  <si>
    <t xml:space="preserve"> 威博液压</t>
  </si>
  <si>
    <t xml:space="preserve"> 732万</t>
  </si>
  <si>
    <t xml:space="preserve"> 4875万</t>
  </si>
  <si>
    <t xml:space="preserve"> 2276万</t>
  </si>
  <si>
    <t xml:space="preserve"> 2.262亿</t>
  </si>
  <si>
    <t xml:space="preserve"> ST中珠</t>
  </si>
  <si>
    <t xml:space="preserve"> 723万</t>
  </si>
  <si>
    <t xml:space="preserve"> 27.39亿</t>
  </si>
  <si>
    <t xml:space="preserve"> *ST富吉</t>
  </si>
  <si>
    <t xml:space="preserve"> 721万</t>
  </si>
  <si>
    <t xml:space="preserve"> 2763万</t>
  </si>
  <si>
    <t xml:space="preserve"> ST升达</t>
  </si>
  <si>
    <t xml:space="preserve"> 719万</t>
  </si>
  <si>
    <t xml:space="preserve"> 7.523亿</t>
  </si>
  <si>
    <t xml:space="preserve"> 广咨国际</t>
  </si>
  <si>
    <t xml:space="preserve"> 713万</t>
  </si>
  <si>
    <t xml:space="preserve"> ST通脉</t>
  </si>
  <si>
    <t xml:space="preserve"> 712万</t>
  </si>
  <si>
    <t xml:space="preserve"> 1.433亿</t>
  </si>
  <si>
    <t xml:space="preserve"> 和泰机电</t>
  </si>
  <si>
    <t xml:space="preserve"> 708万</t>
  </si>
  <si>
    <t xml:space="preserve"> 6467万</t>
  </si>
  <si>
    <t xml:space="preserve"> 1617万</t>
  </si>
  <si>
    <t xml:space="preserve"> 6.539亿</t>
  </si>
  <si>
    <t xml:space="preserve"> ST奥康</t>
  </si>
  <si>
    <t xml:space="preserve"> 707万</t>
  </si>
  <si>
    <t xml:space="preserve"> 23.66亿</t>
  </si>
  <si>
    <t xml:space="preserve"> 同惠电子</t>
  </si>
  <si>
    <t xml:space="preserve"> 698万</t>
  </si>
  <si>
    <t xml:space="preserve"> 1.634亿</t>
  </si>
  <si>
    <t xml:space="preserve"> 8169万</t>
  </si>
  <si>
    <t xml:space="preserve"> ST金运</t>
  </si>
  <si>
    <t xml:space="preserve"> 673万</t>
  </si>
  <si>
    <t xml:space="preserve"> 天元宠物</t>
  </si>
  <si>
    <t xml:space="preserve"> 671万</t>
  </si>
  <si>
    <t xml:space="preserve"> 29.22亿</t>
  </si>
  <si>
    <t xml:space="preserve"> 4988万</t>
  </si>
  <si>
    <t xml:space="preserve"> 齐鲁华信</t>
  </si>
  <si>
    <t xml:space="preserve"> 667万</t>
  </si>
  <si>
    <t xml:space="preserve"> 1.388亿</t>
  </si>
  <si>
    <t xml:space="preserve"> 5.481亿</t>
  </si>
  <si>
    <t xml:space="preserve"> ST交投</t>
  </si>
  <si>
    <t xml:space="preserve"> 661万</t>
  </si>
  <si>
    <t xml:space="preserve"> 14.97亿</t>
  </si>
  <si>
    <t xml:space="preserve"> 浩淼科技</t>
  </si>
  <si>
    <t xml:space="preserve"> 660万</t>
  </si>
  <si>
    <t xml:space="preserve"> 8703万</t>
  </si>
  <si>
    <t xml:space="preserve"> 5.169亿</t>
  </si>
  <si>
    <t xml:space="preserve"> 华维设计</t>
  </si>
  <si>
    <t xml:space="preserve"> 652万</t>
  </si>
  <si>
    <t xml:space="preserve"> 8563万</t>
  </si>
  <si>
    <t xml:space="preserve"> 6.577亿</t>
  </si>
  <si>
    <t xml:space="preserve"> 3937万</t>
  </si>
  <si>
    <t xml:space="preserve"> 2.512亿</t>
  </si>
  <si>
    <t xml:space="preserve"> ST浩源</t>
  </si>
  <si>
    <t xml:space="preserve"> 649万</t>
  </si>
  <si>
    <t xml:space="preserve"> 20.82亿</t>
  </si>
  <si>
    <t xml:space="preserve"> ST天圣</t>
  </si>
  <si>
    <t xml:space="preserve"> 646万</t>
  </si>
  <si>
    <t xml:space="preserve"> ST深天</t>
  </si>
  <si>
    <t xml:space="preserve"> 632万</t>
  </si>
  <si>
    <t xml:space="preserve"> 8.631亿</t>
  </si>
  <si>
    <t xml:space="preserve"> ST摩登</t>
  </si>
  <si>
    <t xml:space="preserve"> 626万</t>
  </si>
  <si>
    <t xml:space="preserve"> 7.125亿</t>
  </si>
  <si>
    <t xml:space="preserve"> 6.095亿</t>
  </si>
  <si>
    <t xml:space="preserve"> ST美讯</t>
  </si>
  <si>
    <t xml:space="preserve"> 593万</t>
  </si>
  <si>
    <t xml:space="preserve"> 2.854亿</t>
  </si>
  <si>
    <t xml:space="preserve"> 2.525亿</t>
  </si>
  <si>
    <t xml:space="preserve"> 8.056亿</t>
  </si>
  <si>
    <t xml:space="preserve"> ST金时</t>
  </si>
  <si>
    <t xml:space="preserve"> 585万</t>
  </si>
  <si>
    <t xml:space="preserve"> 新农股份</t>
  </si>
  <si>
    <t xml:space="preserve"> 571万</t>
  </si>
  <si>
    <t xml:space="preserve"> ST同洲</t>
  </si>
  <si>
    <t xml:space="preserve"> 497万</t>
  </si>
  <si>
    <t xml:space="preserve"> 7.460亿</t>
  </si>
  <si>
    <t xml:space="preserve"> ST德豪</t>
  </si>
  <si>
    <t xml:space="preserve"> 美之高</t>
  </si>
  <si>
    <t xml:space="preserve"> 483万</t>
  </si>
  <si>
    <t xml:space="preserve"> 4.601亿</t>
  </si>
  <si>
    <t xml:space="preserve"> 2.908亿</t>
  </si>
  <si>
    <t xml:space="preserve"> 丛麟科技</t>
  </si>
  <si>
    <t xml:space="preserve"> 480万</t>
  </si>
  <si>
    <t xml:space="preserve"> 4366万</t>
  </si>
  <si>
    <t xml:space="preserve"> ST信通</t>
  </si>
  <si>
    <t xml:space="preserve"> 475万</t>
  </si>
  <si>
    <t xml:space="preserve"> 15.34亿</t>
  </si>
  <si>
    <t xml:space="preserve"> *ST和科</t>
  </si>
  <si>
    <t xml:space="preserve"> 467万</t>
  </si>
  <si>
    <t xml:space="preserve"> 6650万</t>
  </si>
  <si>
    <t xml:space="preserve"> 常辅股份</t>
  </si>
  <si>
    <t xml:space="preserve"> 389万</t>
  </si>
  <si>
    <t xml:space="preserve"> 5977万</t>
  </si>
  <si>
    <t xml:space="preserve"> 4.860亿</t>
  </si>
  <si>
    <t xml:space="preserve"> 3888万</t>
  </si>
  <si>
    <t xml:space="preserve"> 倍益康</t>
  </si>
  <si>
    <t xml:space="preserve"> 367万</t>
  </si>
  <si>
    <t xml:space="preserve"> ST南卫</t>
  </si>
  <si>
    <t xml:space="preserve"> 2.890亿</t>
  </si>
  <si>
    <t xml:space="preserve"> 14.91亿</t>
  </si>
  <si>
    <t xml:space="preserve"> ST星源</t>
  </si>
  <si>
    <t xml:space="preserve"> 340万</t>
  </si>
  <si>
    <t xml:space="preserve"> 14.82亿</t>
  </si>
  <si>
    <t xml:space="preserve"> ST万林</t>
  </si>
  <si>
    <t xml:space="preserve"> 336万</t>
  </si>
  <si>
    <t xml:space="preserve"> 6.331亿</t>
  </si>
  <si>
    <t xml:space="preserve"> *ST华仪</t>
  </si>
  <si>
    <t xml:space="preserve"> 290万</t>
  </si>
  <si>
    <t xml:space="preserve"> -87.6万</t>
  </si>
  <si>
    <t xml:space="preserve"> 86.6万</t>
  </si>
  <si>
    <t xml:space="preserve"> ST景谷</t>
  </si>
  <si>
    <t xml:space="preserve"> 245万</t>
  </si>
  <si>
    <t xml:space="preserve"> 1.298亿</t>
  </si>
  <si>
    <t xml:space="preserve"> *ST同达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</si>
</sst>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0">
    <font>
      <sz val="11"/>
      <color theme="1"/>
      <name val="等线"/>
      <charset val="134"/>
      <scheme val="minor"/>
    </font>
    <font>
      <sz val="11"/>
      <color theme="0"/>
      <name val="等线"/>
      <charset val="134"/>
      <scheme val="minor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FA7D00"/>
      <name val="等线"/>
      <charset val="134"/>
      <scheme val="minor"/>
    </font>
    <font>
      <sz val="11"/>
      <color rgb="FFFF0000"/>
      <name val="等线"/>
      <charset val="134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i/>
      <sz val="11"/>
      <color rgb="FF7F7F7F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1"/>
      <color rgb="FF3F3F3F"/>
      <name val="等线"/>
      <charset val="134"/>
      <scheme val="minor"/>
    </font>
    <font>
      <b/>
      <sz val="11"/>
      <color theme="0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rgb="FF9C5700"/>
      <name val="等线"/>
      <charset val="134"/>
      <scheme val="minor"/>
    </font>
    <font>
      <sz val="11"/>
      <color rgb="FF3F3F76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rgb="FF006100"/>
      <name val="等线"/>
      <charset val="134"/>
      <scheme val="minor"/>
    </font>
    <font>
      <sz val="18"/>
      <color theme="3"/>
      <name val="等线 Light"/>
      <charset val="134"/>
      <scheme val="major"/>
    </font>
    <font>
      <b/>
      <sz val="11"/>
      <color rgb="FFFA7D00"/>
      <name val="等线"/>
      <charset val="134"/>
      <scheme val="minor"/>
    </font>
    <font>
      <sz val="11"/>
      <color rgb="FF9C0006"/>
      <name val="等线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399975585192419"/>
      </bottom>
      <diagonal/>
    </border>
    <border>
      <left/>
      <right/>
      <top/>
      <bottom style="thick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0" fillId="32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4" fillId="19" borderId="7" applyNumberFormat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18" fillId="10" borderId="7" applyNumberFormat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1" fillId="13" borderId="5" applyNumberFormat="0" applyAlignment="0" applyProtection="0">
      <alignment vertical="center"/>
    </xf>
    <xf numFmtId="0" fontId="10" fillId="10" borderId="4" applyNumberFormat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8" borderId="9" applyNumberFormat="0" applyFont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P5315"/>
  <sheetViews>
    <sheetView tabSelected="1" topLeftCell="A5276" workbookViewId="0">
      <selection activeCell="D5296" sqref="D5296"/>
    </sheetView>
  </sheetViews>
  <sheetFormatPr defaultColWidth="9" defaultRowHeight="16.8"/>
  <cols>
    <col min="3" max="3" width="13.875" customWidth="1"/>
    <col min="13" max="13" width="11.625" customWidth="1"/>
    <col min="14" max="14" width="11" customWidth="1"/>
    <col min="34" max="34" width="9.125" customWidth="1"/>
  </cols>
  <sheetData>
    <row r="1" spans="1:4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</row>
    <row r="2" spans="1:42">
      <c r="A2">
        <v>1</v>
      </c>
      <c r="B2" t="str">
        <f>"000625"</f>
        <v>000625</v>
      </c>
      <c r="C2" t="s">
        <v>42</v>
      </c>
      <c r="D2">
        <v>19.18</v>
      </c>
      <c r="E2">
        <v>-5.89</v>
      </c>
      <c r="F2">
        <v>-1.2</v>
      </c>
      <c r="G2" t="s">
        <v>43</v>
      </c>
      <c r="H2" t="s">
        <v>44</v>
      </c>
      <c r="I2">
        <v>19.17</v>
      </c>
      <c r="J2">
        <v>19.18</v>
      </c>
      <c r="K2" t="s">
        <v>45</v>
      </c>
      <c r="L2">
        <v>6.97</v>
      </c>
      <c r="M2" t="s">
        <v>46</v>
      </c>
      <c r="N2" t="s">
        <v>47</v>
      </c>
      <c r="O2">
        <v>20.45</v>
      </c>
      <c r="P2">
        <v>19.04</v>
      </c>
      <c r="Q2">
        <v>20.44</v>
      </c>
      <c r="R2">
        <v>20.38</v>
      </c>
      <c r="S2">
        <v>6.92</v>
      </c>
      <c r="T2">
        <v>1.06</v>
      </c>
      <c r="U2">
        <v>38.05</v>
      </c>
      <c r="V2" t="s">
        <v>48</v>
      </c>
      <c r="W2">
        <v>19.4</v>
      </c>
      <c r="X2" t="s">
        <v>49</v>
      </c>
      <c r="Y2" t="s">
        <v>50</v>
      </c>
      <c r="Z2">
        <v>1.14</v>
      </c>
      <c r="AA2" t="s">
        <v>51</v>
      </c>
      <c r="AB2">
        <v>7259</v>
      </c>
      <c r="AC2">
        <v>2.71</v>
      </c>
      <c r="AD2" t="s">
        <v>52</v>
      </c>
      <c r="AE2" t="s">
        <v>53</v>
      </c>
      <c r="AF2" t="s">
        <v>54</v>
      </c>
      <c r="AG2" t="s">
        <v>55</v>
      </c>
      <c r="AH2">
        <v>-10.71</v>
      </c>
      <c r="AI2">
        <v>10.23</v>
      </c>
      <c r="AJ2">
        <v>20.88</v>
      </c>
      <c r="AK2">
        <v>39.9</v>
      </c>
      <c r="AL2">
        <v>-3</v>
      </c>
      <c r="AM2">
        <v>-5.89</v>
      </c>
      <c r="AN2">
        <v>58.91</v>
      </c>
      <c r="AO2">
        <v>25.44</v>
      </c>
      <c r="AP2">
        <v>63.93</v>
      </c>
    </row>
    <row r="3" spans="1:42">
      <c r="A3">
        <v>2</v>
      </c>
      <c r="B3" t="str">
        <f>"600519"</f>
        <v>600519</v>
      </c>
      <c r="C3" t="s">
        <v>56</v>
      </c>
      <c r="D3">
        <v>1760.28</v>
      </c>
      <c r="E3">
        <v>-1.74</v>
      </c>
      <c r="F3">
        <v>-31.22</v>
      </c>
      <c r="G3" t="s">
        <v>57</v>
      </c>
      <c r="H3">
        <v>303</v>
      </c>
      <c r="I3">
        <v>1760.28</v>
      </c>
      <c r="J3">
        <v>1760.29</v>
      </c>
      <c r="K3" t="s">
        <v>58</v>
      </c>
      <c r="L3">
        <v>0.26</v>
      </c>
      <c r="M3" t="s">
        <v>46</v>
      </c>
      <c r="N3" t="s">
        <v>59</v>
      </c>
      <c r="O3">
        <v>1789.7</v>
      </c>
      <c r="P3">
        <v>1748</v>
      </c>
      <c r="Q3">
        <v>1789.31</v>
      </c>
      <c r="R3">
        <v>1791.5</v>
      </c>
      <c r="S3">
        <v>2.33</v>
      </c>
      <c r="T3">
        <v>2.01</v>
      </c>
      <c r="U3">
        <v>-26.4</v>
      </c>
      <c r="V3">
        <v>-8</v>
      </c>
      <c r="W3">
        <v>1764.18</v>
      </c>
      <c r="X3" t="s">
        <v>60</v>
      </c>
      <c r="Y3" t="s">
        <v>61</v>
      </c>
      <c r="Z3">
        <v>1.17</v>
      </c>
      <c r="AA3">
        <v>5</v>
      </c>
      <c r="AB3">
        <v>2</v>
      </c>
      <c r="AC3">
        <v>10.15</v>
      </c>
      <c r="AD3" t="s">
        <v>62</v>
      </c>
      <c r="AE3" t="s">
        <v>63</v>
      </c>
      <c r="AF3" t="s">
        <v>62</v>
      </c>
      <c r="AG3" t="s">
        <v>63</v>
      </c>
      <c r="AH3">
        <v>-0.5</v>
      </c>
      <c r="AI3">
        <v>-1.44</v>
      </c>
      <c r="AJ3">
        <v>0.57</v>
      </c>
      <c r="AK3">
        <v>0.92</v>
      </c>
      <c r="AL3">
        <v>-1</v>
      </c>
      <c r="AM3">
        <v>-1.74</v>
      </c>
      <c r="AN3">
        <v>3.48</v>
      </c>
      <c r="AO3">
        <v>-2.81</v>
      </c>
      <c r="AP3">
        <v>17.97</v>
      </c>
    </row>
    <row r="4" spans="1:42">
      <c r="A4">
        <v>3</v>
      </c>
      <c r="B4" t="str">
        <f>"300502"</f>
        <v>300502</v>
      </c>
      <c r="C4" t="s">
        <v>64</v>
      </c>
      <c r="D4">
        <v>49.83</v>
      </c>
      <c r="E4">
        <v>7.62</v>
      </c>
      <c r="F4">
        <v>3.53</v>
      </c>
      <c r="G4" t="s">
        <v>65</v>
      </c>
      <c r="H4">
        <v>8487</v>
      </c>
      <c r="I4">
        <v>49.83</v>
      </c>
      <c r="J4">
        <v>49.84</v>
      </c>
      <c r="K4" t="s">
        <v>66</v>
      </c>
      <c r="L4">
        <v>17.14</v>
      </c>
      <c r="M4" t="s">
        <v>46</v>
      </c>
      <c r="N4" t="s">
        <v>67</v>
      </c>
      <c r="O4">
        <v>51.83</v>
      </c>
      <c r="P4">
        <v>45.6</v>
      </c>
      <c r="Q4">
        <v>45.81</v>
      </c>
      <c r="R4">
        <v>46.3</v>
      </c>
      <c r="S4">
        <v>13.46</v>
      </c>
      <c r="T4">
        <v>2</v>
      </c>
      <c r="U4">
        <v>43.22</v>
      </c>
      <c r="V4">
        <v>2854</v>
      </c>
      <c r="W4">
        <v>48.91</v>
      </c>
      <c r="X4" t="s">
        <v>68</v>
      </c>
      <c r="Y4" t="s">
        <v>69</v>
      </c>
      <c r="Z4">
        <v>0.75</v>
      </c>
      <c r="AA4">
        <v>4000</v>
      </c>
      <c r="AB4">
        <v>250</v>
      </c>
      <c r="AC4">
        <v>6.8</v>
      </c>
      <c r="AD4" t="s">
        <v>70</v>
      </c>
      <c r="AE4" t="s">
        <v>71</v>
      </c>
      <c r="AF4" t="s">
        <v>72</v>
      </c>
      <c r="AG4" t="s">
        <v>73</v>
      </c>
      <c r="AH4">
        <v>11.1</v>
      </c>
      <c r="AI4">
        <v>11.6</v>
      </c>
      <c r="AJ4">
        <v>35.04</v>
      </c>
      <c r="AK4">
        <v>60.04</v>
      </c>
      <c r="AL4">
        <v>2</v>
      </c>
      <c r="AM4">
        <v>7.62</v>
      </c>
      <c r="AN4">
        <v>195.38</v>
      </c>
      <c r="AO4">
        <v>55.72</v>
      </c>
      <c r="AP4">
        <v>156.72</v>
      </c>
    </row>
    <row r="5" spans="1:42">
      <c r="A5">
        <v>4</v>
      </c>
      <c r="B5" t="str">
        <f>"300418"</f>
        <v>300418</v>
      </c>
      <c r="C5" t="s">
        <v>74</v>
      </c>
      <c r="D5">
        <v>38.82</v>
      </c>
      <c r="E5">
        <v>20</v>
      </c>
      <c r="F5">
        <v>6.47</v>
      </c>
      <c r="G5" t="s">
        <v>75</v>
      </c>
      <c r="H5">
        <v>5176</v>
      </c>
      <c r="I5">
        <v>38.82</v>
      </c>
      <c r="J5" t="s">
        <v>76</v>
      </c>
      <c r="K5" t="s">
        <v>77</v>
      </c>
      <c r="L5">
        <v>12.54</v>
      </c>
      <c r="M5" t="s">
        <v>46</v>
      </c>
      <c r="N5" t="s">
        <v>78</v>
      </c>
      <c r="O5">
        <v>38.82</v>
      </c>
      <c r="P5">
        <v>32.5</v>
      </c>
      <c r="Q5">
        <v>32.5</v>
      </c>
      <c r="R5">
        <v>32.35</v>
      </c>
      <c r="S5">
        <v>19.54</v>
      </c>
      <c r="T5">
        <v>4.24</v>
      </c>
      <c r="U5">
        <v>100</v>
      </c>
      <c r="V5" t="s">
        <v>79</v>
      </c>
      <c r="W5">
        <v>35.98</v>
      </c>
      <c r="X5" t="s">
        <v>80</v>
      </c>
      <c r="Y5" t="s">
        <v>81</v>
      </c>
      <c r="Z5">
        <v>0.65</v>
      </c>
      <c r="AA5" t="s">
        <v>82</v>
      </c>
      <c r="AB5">
        <v>0</v>
      </c>
      <c r="AC5">
        <v>3.29</v>
      </c>
      <c r="AD5" t="s">
        <v>83</v>
      </c>
      <c r="AE5" t="s">
        <v>84</v>
      </c>
      <c r="AF5" t="s">
        <v>85</v>
      </c>
      <c r="AG5" t="s">
        <v>86</v>
      </c>
      <c r="AH5">
        <v>17.17</v>
      </c>
      <c r="AI5">
        <v>12.59</v>
      </c>
      <c r="AJ5">
        <v>17.38</v>
      </c>
      <c r="AK5">
        <v>27.33</v>
      </c>
      <c r="AL5">
        <v>1</v>
      </c>
      <c r="AM5">
        <v>20</v>
      </c>
      <c r="AN5">
        <v>169.4</v>
      </c>
      <c r="AO5">
        <v>19.96</v>
      </c>
      <c r="AP5">
        <v>168.28</v>
      </c>
    </row>
    <row r="6" spans="1:42">
      <c r="A6">
        <v>5</v>
      </c>
      <c r="B6" t="str">
        <f>"601127"</f>
        <v>601127</v>
      </c>
      <c r="C6" t="s">
        <v>87</v>
      </c>
      <c r="D6">
        <v>77.38</v>
      </c>
      <c r="E6">
        <v>2.23</v>
      </c>
      <c r="F6">
        <v>1.69</v>
      </c>
      <c r="G6" t="s">
        <v>88</v>
      </c>
      <c r="H6">
        <v>6649</v>
      </c>
      <c r="I6">
        <v>77.37</v>
      </c>
      <c r="J6">
        <v>77.38</v>
      </c>
      <c r="K6" t="s">
        <v>89</v>
      </c>
      <c r="L6">
        <v>3.67</v>
      </c>
      <c r="M6" t="s">
        <v>46</v>
      </c>
      <c r="N6" t="s">
        <v>90</v>
      </c>
      <c r="O6">
        <v>78.38</v>
      </c>
      <c r="P6">
        <v>74.88</v>
      </c>
      <c r="Q6">
        <v>75.62</v>
      </c>
      <c r="R6">
        <v>75.69</v>
      </c>
      <c r="S6">
        <v>4.62</v>
      </c>
      <c r="T6">
        <v>0.75</v>
      </c>
      <c r="U6">
        <v>-69.53</v>
      </c>
      <c r="V6">
        <v>-2004</v>
      </c>
      <c r="W6">
        <v>76.89</v>
      </c>
      <c r="X6" t="s">
        <v>91</v>
      </c>
      <c r="Y6" t="s">
        <v>92</v>
      </c>
      <c r="Z6">
        <v>0.96</v>
      </c>
      <c r="AA6">
        <v>241</v>
      </c>
      <c r="AB6">
        <v>1704</v>
      </c>
      <c r="AC6">
        <v>12.58</v>
      </c>
      <c r="AD6" t="s">
        <v>93</v>
      </c>
      <c r="AE6" t="s">
        <v>94</v>
      </c>
      <c r="AF6" t="s">
        <v>93</v>
      </c>
      <c r="AG6" t="s">
        <v>94</v>
      </c>
      <c r="AH6">
        <v>-1.96</v>
      </c>
      <c r="AI6">
        <v>-1.69</v>
      </c>
      <c r="AJ6">
        <v>10.74</v>
      </c>
      <c r="AK6">
        <v>28.31</v>
      </c>
      <c r="AL6">
        <v>2</v>
      </c>
      <c r="AM6">
        <v>2.23</v>
      </c>
      <c r="AN6">
        <v>93.5</v>
      </c>
      <c r="AO6">
        <v>-13.06</v>
      </c>
      <c r="AP6">
        <v>59.88</v>
      </c>
    </row>
    <row r="7" spans="1:42">
      <c r="A7">
        <v>6</v>
      </c>
      <c r="B7" t="str">
        <f>"300308"</f>
        <v>300308</v>
      </c>
      <c r="C7" t="s">
        <v>95</v>
      </c>
      <c r="D7">
        <v>100</v>
      </c>
      <c r="E7">
        <v>5.35</v>
      </c>
      <c r="F7">
        <v>5.08</v>
      </c>
      <c r="G7" t="s">
        <v>96</v>
      </c>
      <c r="H7">
        <v>3568</v>
      </c>
      <c r="I7">
        <v>99.99</v>
      </c>
      <c r="J7">
        <v>100</v>
      </c>
      <c r="K7" t="s">
        <v>97</v>
      </c>
      <c r="L7">
        <v>5.47</v>
      </c>
      <c r="M7" t="s">
        <v>46</v>
      </c>
      <c r="N7" t="s">
        <v>98</v>
      </c>
      <c r="O7">
        <v>101.54</v>
      </c>
      <c r="P7">
        <v>93.14</v>
      </c>
      <c r="Q7">
        <v>94.89</v>
      </c>
      <c r="R7">
        <v>94.92</v>
      </c>
      <c r="S7">
        <v>8.85</v>
      </c>
      <c r="T7">
        <v>2.16</v>
      </c>
      <c r="U7">
        <v>-25.19</v>
      </c>
      <c r="V7">
        <v>-200</v>
      </c>
      <c r="W7">
        <v>97.65</v>
      </c>
      <c r="X7" t="s">
        <v>99</v>
      </c>
      <c r="Y7" t="s">
        <v>100</v>
      </c>
      <c r="Z7">
        <v>0.82</v>
      </c>
      <c r="AA7">
        <v>26</v>
      </c>
      <c r="AB7">
        <v>18</v>
      </c>
      <c r="AC7">
        <v>5.92</v>
      </c>
      <c r="AD7" t="s">
        <v>101</v>
      </c>
      <c r="AE7" t="s">
        <v>102</v>
      </c>
      <c r="AF7" t="s">
        <v>103</v>
      </c>
      <c r="AG7" t="s">
        <v>104</v>
      </c>
      <c r="AH7">
        <v>5.54</v>
      </c>
      <c r="AI7">
        <v>1.9</v>
      </c>
      <c r="AJ7">
        <v>9.62</v>
      </c>
      <c r="AK7">
        <v>18.15</v>
      </c>
      <c r="AL7">
        <v>2</v>
      </c>
      <c r="AM7">
        <v>5.35</v>
      </c>
      <c r="AN7">
        <v>272.72</v>
      </c>
      <c r="AO7">
        <v>12.8</v>
      </c>
      <c r="AP7">
        <v>241.88</v>
      </c>
    </row>
    <row r="8" spans="1:42">
      <c r="A8">
        <v>7</v>
      </c>
      <c r="B8" t="str">
        <f>"002594"</f>
        <v>002594</v>
      </c>
      <c r="C8" t="s">
        <v>105</v>
      </c>
      <c r="D8">
        <v>197.05</v>
      </c>
      <c r="E8">
        <v>-1.05</v>
      </c>
      <c r="F8">
        <v>-2.1</v>
      </c>
      <c r="G8" t="s">
        <v>106</v>
      </c>
      <c r="H8">
        <v>1591</v>
      </c>
      <c r="I8">
        <v>197.04</v>
      </c>
      <c r="J8">
        <v>197.05</v>
      </c>
      <c r="K8" t="s">
        <v>107</v>
      </c>
      <c r="L8">
        <v>1.67</v>
      </c>
      <c r="M8" t="s">
        <v>46</v>
      </c>
      <c r="N8" t="s">
        <v>108</v>
      </c>
      <c r="O8">
        <v>200.82</v>
      </c>
      <c r="P8">
        <v>192.81</v>
      </c>
      <c r="Q8">
        <v>200.48</v>
      </c>
      <c r="R8">
        <v>199.15</v>
      </c>
      <c r="S8">
        <v>4.02</v>
      </c>
      <c r="T8">
        <v>0.95</v>
      </c>
      <c r="U8">
        <v>-6.32</v>
      </c>
      <c r="V8">
        <v>-44</v>
      </c>
      <c r="W8">
        <v>195.66</v>
      </c>
      <c r="X8" t="s">
        <v>109</v>
      </c>
      <c r="Y8" t="s">
        <v>110</v>
      </c>
      <c r="Z8">
        <v>0.92</v>
      </c>
      <c r="AA8">
        <v>3</v>
      </c>
      <c r="AB8">
        <v>116</v>
      </c>
      <c r="AC8">
        <v>4.42</v>
      </c>
      <c r="AD8" t="s">
        <v>111</v>
      </c>
      <c r="AE8" t="s">
        <v>112</v>
      </c>
      <c r="AF8" t="s">
        <v>113</v>
      </c>
      <c r="AG8" t="s">
        <v>114</v>
      </c>
      <c r="AH8">
        <v>-6.13</v>
      </c>
      <c r="AI8">
        <v>-13.89</v>
      </c>
      <c r="AJ8">
        <v>5.16</v>
      </c>
      <c r="AK8">
        <v>10.47</v>
      </c>
      <c r="AL8">
        <v>-3</v>
      </c>
      <c r="AM8">
        <v>-1.05</v>
      </c>
      <c r="AN8">
        <v>-22.98</v>
      </c>
      <c r="AO8">
        <v>-17.43</v>
      </c>
      <c r="AP8">
        <v>-20.97</v>
      </c>
    </row>
    <row r="9" spans="1:42">
      <c r="A9">
        <v>8</v>
      </c>
      <c r="B9" t="str">
        <f>"300364"</f>
        <v>300364</v>
      </c>
      <c r="C9" t="s">
        <v>115</v>
      </c>
      <c r="D9">
        <v>29.9</v>
      </c>
      <c r="E9">
        <v>1.39</v>
      </c>
      <c r="F9">
        <v>0.41</v>
      </c>
      <c r="G9" t="s">
        <v>116</v>
      </c>
      <c r="H9" t="s">
        <v>117</v>
      </c>
      <c r="I9">
        <v>29.9</v>
      </c>
      <c r="J9">
        <v>29.91</v>
      </c>
      <c r="K9" t="s">
        <v>118</v>
      </c>
      <c r="L9">
        <v>18.25</v>
      </c>
      <c r="M9" t="s">
        <v>46</v>
      </c>
      <c r="N9" t="s">
        <v>119</v>
      </c>
      <c r="O9">
        <v>30.95</v>
      </c>
      <c r="P9">
        <v>29.05</v>
      </c>
      <c r="Q9">
        <v>29.56</v>
      </c>
      <c r="R9">
        <v>29.49</v>
      </c>
      <c r="S9">
        <v>6.44</v>
      </c>
      <c r="T9">
        <v>0.92</v>
      </c>
      <c r="U9">
        <v>59.07</v>
      </c>
      <c r="V9">
        <v>6082</v>
      </c>
      <c r="W9">
        <v>30.11</v>
      </c>
      <c r="X9" t="s">
        <v>120</v>
      </c>
      <c r="Y9" t="s">
        <v>121</v>
      </c>
      <c r="Z9">
        <v>0.92</v>
      </c>
      <c r="AA9">
        <v>6166</v>
      </c>
      <c r="AB9">
        <v>376</v>
      </c>
      <c r="AC9">
        <v>18.55</v>
      </c>
      <c r="AD9" t="s">
        <v>122</v>
      </c>
      <c r="AE9" t="s">
        <v>123</v>
      </c>
      <c r="AF9" t="s">
        <v>124</v>
      </c>
      <c r="AG9" t="s">
        <v>125</v>
      </c>
      <c r="AH9">
        <v>9.56</v>
      </c>
      <c r="AI9">
        <v>-5.92</v>
      </c>
      <c r="AJ9">
        <v>54.04</v>
      </c>
      <c r="AK9">
        <v>117.85</v>
      </c>
      <c r="AL9">
        <v>4</v>
      </c>
      <c r="AM9">
        <v>1.39</v>
      </c>
      <c r="AN9">
        <v>201.41</v>
      </c>
      <c r="AO9">
        <v>91.79</v>
      </c>
      <c r="AP9">
        <v>199</v>
      </c>
    </row>
    <row r="10" spans="1:42">
      <c r="A10">
        <v>9</v>
      </c>
      <c r="B10" t="str">
        <f>"000977"</f>
        <v>000977</v>
      </c>
      <c r="C10" t="s">
        <v>126</v>
      </c>
      <c r="D10">
        <v>36.52</v>
      </c>
      <c r="E10">
        <v>3.66</v>
      </c>
      <c r="F10">
        <v>1.29</v>
      </c>
      <c r="G10" t="s">
        <v>127</v>
      </c>
      <c r="H10" t="s">
        <v>128</v>
      </c>
      <c r="I10">
        <v>36.51</v>
      </c>
      <c r="J10">
        <v>36.52</v>
      </c>
      <c r="K10" t="s">
        <v>129</v>
      </c>
      <c r="L10">
        <v>6.59</v>
      </c>
      <c r="M10" t="s">
        <v>46</v>
      </c>
      <c r="N10" t="s">
        <v>130</v>
      </c>
      <c r="O10">
        <v>36.75</v>
      </c>
      <c r="P10">
        <v>34.81</v>
      </c>
      <c r="Q10">
        <v>35.23</v>
      </c>
      <c r="R10">
        <v>35.23</v>
      </c>
      <c r="S10">
        <v>5.51</v>
      </c>
      <c r="T10">
        <v>1.33</v>
      </c>
      <c r="U10">
        <v>36.43</v>
      </c>
      <c r="V10">
        <v>5957</v>
      </c>
      <c r="W10">
        <v>35.94</v>
      </c>
      <c r="X10" t="s">
        <v>131</v>
      </c>
      <c r="Y10" t="s">
        <v>132</v>
      </c>
      <c r="Z10">
        <v>0.71</v>
      </c>
      <c r="AA10">
        <v>1786</v>
      </c>
      <c r="AB10">
        <v>1413</v>
      </c>
      <c r="AC10">
        <v>3.16</v>
      </c>
      <c r="AD10" t="s">
        <v>133</v>
      </c>
      <c r="AE10" t="s">
        <v>134</v>
      </c>
      <c r="AF10" t="s">
        <v>135</v>
      </c>
      <c r="AG10" t="s">
        <v>136</v>
      </c>
      <c r="AH10">
        <v>3.25</v>
      </c>
      <c r="AI10">
        <v>-3.51</v>
      </c>
      <c r="AJ10">
        <v>15.23</v>
      </c>
      <c r="AK10">
        <v>31.37</v>
      </c>
      <c r="AL10">
        <v>1</v>
      </c>
      <c r="AM10">
        <v>3.66</v>
      </c>
      <c r="AN10">
        <v>70.89</v>
      </c>
      <c r="AO10">
        <v>21.05</v>
      </c>
      <c r="AP10">
        <v>60.88</v>
      </c>
    </row>
    <row r="11" spans="1:42">
      <c r="A11">
        <v>10</v>
      </c>
      <c r="B11" t="str">
        <f>"000628"</f>
        <v>000628</v>
      </c>
      <c r="C11" t="s">
        <v>137</v>
      </c>
      <c r="D11">
        <v>65.12</v>
      </c>
      <c r="E11">
        <v>10</v>
      </c>
      <c r="F11">
        <v>5.92</v>
      </c>
      <c r="G11" t="s">
        <v>138</v>
      </c>
      <c r="H11">
        <v>1341</v>
      </c>
      <c r="I11">
        <v>65.12</v>
      </c>
      <c r="J11" t="s">
        <v>76</v>
      </c>
      <c r="K11" t="s">
        <v>139</v>
      </c>
      <c r="L11">
        <v>28.49</v>
      </c>
      <c r="M11" t="s">
        <v>46</v>
      </c>
      <c r="N11" t="s">
        <v>140</v>
      </c>
      <c r="O11">
        <v>65.12</v>
      </c>
      <c r="P11">
        <v>58.5</v>
      </c>
      <c r="Q11">
        <v>58.9</v>
      </c>
      <c r="R11">
        <v>59.2</v>
      </c>
      <c r="S11">
        <v>11.18</v>
      </c>
      <c r="T11">
        <v>1.74</v>
      </c>
      <c r="U11">
        <v>100</v>
      </c>
      <c r="V11" t="s">
        <v>141</v>
      </c>
      <c r="W11">
        <v>62.34</v>
      </c>
      <c r="X11" t="s">
        <v>142</v>
      </c>
      <c r="Y11" t="s">
        <v>143</v>
      </c>
      <c r="Z11">
        <v>0.79</v>
      </c>
      <c r="AA11" t="s">
        <v>144</v>
      </c>
      <c r="AB11">
        <v>0</v>
      </c>
      <c r="AC11">
        <v>11.51</v>
      </c>
      <c r="AD11" t="s">
        <v>145</v>
      </c>
      <c r="AE11" t="s">
        <v>146</v>
      </c>
      <c r="AF11" t="s">
        <v>147</v>
      </c>
      <c r="AG11" t="s">
        <v>148</v>
      </c>
      <c r="AH11">
        <v>14.69</v>
      </c>
      <c r="AI11">
        <v>9.63</v>
      </c>
      <c r="AJ11">
        <v>56.06</v>
      </c>
      <c r="AK11">
        <v>110.58</v>
      </c>
      <c r="AL11">
        <v>3</v>
      </c>
      <c r="AM11">
        <v>10</v>
      </c>
      <c r="AN11">
        <v>484.56</v>
      </c>
      <c r="AO11">
        <v>43.66</v>
      </c>
      <c r="AP11">
        <v>414.78</v>
      </c>
    </row>
    <row r="12" spans="1:42">
      <c r="A12">
        <v>11</v>
      </c>
      <c r="B12" t="str">
        <f>"002281"</f>
        <v>002281</v>
      </c>
      <c r="C12" t="s">
        <v>149</v>
      </c>
      <c r="D12">
        <v>30.07</v>
      </c>
      <c r="E12">
        <v>9.99</v>
      </c>
      <c r="F12">
        <v>2.73</v>
      </c>
      <c r="G12" t="s">
        <v>150</v>
      </c>
      <c r="H12">
        <v>1449</v>
      </c>
      <c r="I12">
        <v>30.07</v>
      </c>
      <c r="J12" t="s">
        <v>76</v>
      </c>
      <c r="K12" t="s">
        <v>151</v>
      </c>
      <c r="L12">
        <v>13.83</v>
      </c>
      <c r="M12" t="s">
        <v>46</v>
      </c>
      <c r="N12" t="s">
        <v>152</v>
      </c>
      <c r="O12">
        <v>30.07</v>
      </c>
      <c r="P12">
        <v>27.3</v>
      </c>
      <c r="Q12">
        <v>27.4</v>
      </c>
      <c r="R12">
        <v>27.34</v>
      </c>
      <c r="S12">
        <v>10.13</v>
      </c>
      <c r="T12">
        <v>5.46</v>
      </c>
      <c r="U12">
        <v>100</v>
      </c>
      <c r="V12" t="s">
        <v>153</v>
      </c>
      <c r="W12">
        <v>29.37</v>
      </c>
      <c r="X12" t="s">
        <v>154</v>
      </c>
      <c r="Y12" t="s">
        <v>155</v>
      </c>
      <c r="Z12">
        <v>0.98</v>
      </c>
      <c r="AA12" t="s">
        <v>156</v>
      </c>
      <c r="AB12">
        <v>0</v>
      </c>
      <c r="AC12">
        <v>2.96</v>
      </c>
      <c r="AD12" t="s">
        <v>157</v>
      </c>
      <c r="AE12" t="s">
        <v>158</v>
      </c>
      <c r="AF12" t="s">
        <v>159</v>
      </c>
      <c r="AG12" t="s">
        <v>160</v>
      </c>
      <c r="AH12">
        <v>10.8</v>
      </c>
      <c r="AI12">
        <v>7.55</v>
      </c>
      <c r="AJ12">
        <v>18.54</v>
      </c>
      <c r="AK12">
        <v>26.49</v>
      </c>
      <c r="AL12">
        <v>2</v>
      </c>
      <c r="AM12">
        <v>9.99</v>
      </c>
      <c r="AN12">
        <v>93.38</v>
      </c>
      <c r="AO12">
        <v>10.43</v>
      </c>
      <c r="AP12">
        <v>73.82</v>
      </c>
    </row>
    <row r="13" spans="1:42">
      <c r="A13">
        <v>12</v>
      </c>
      <c r="B13" t="str">
        <f>"002230"</f>
        <v>002230</v>
      </c>
      <c r="C13" t="s">
        <v>161</v>
      </c>
      <c r="D13">
        <v>47.18</v>
      </c>
      <c r="E13">
        <v>5.43</v>
      </c>
      <c r="F13">
        <v>2.43</v>
      </c>
      <c r="G13" t="s">
        <v>162</v>
      </c>
      <c r="H13">
        <v>7912</v>
      </c>
      <c r="I13">
        <v>47.17</v>
      </c>
      <c r="J13">
        <v>47.18</v>
      </c>
      <c r="K13" t="s">
        <v>163</v>
      </c>
      <c r="L13">
        <v>3.09</v>
      </c>
      <c r="M13" t="s">
        <v>46</v>
      </c>
      <c r="N13" t="s">
        <v>164</v>
      </c>
      <c r="O13">
        <v>47.77</v>
      </c>
      <c r="P13">
        <v>44.45</v>
      </c>
      <c r="Q13">
        <v>44.73</v>
      </c>
      <c r="R13">
        <v>44.75</v>
      </c>
      <c r="S13">
        <v>7.42</v>
      </c>
      <c r="T13">
        <v>2.21</v>
      </c>
      <c r="U13">
        <v>-41.16</v>
      </c>
      <c r="V13">
        <v>-3530</v>
      </c>
      <c r="W13">
        <v>46.29</v>
      </c>
      <c r="X13" t="s">
        <v>165</v>
      </c>
      <c r="Y13" t="s">
        <v>166</v>
      </c>
      <c r="Z13">
        <v>0.75</v>
      </c>
      <c r="AA13">
        <v>430</v>
      </c>
      <c r="AB13">
        <v>1840</v>
      </c>
      <c r="AC13">
        <v>6.69</v>
      </c>
      <c r="AD13" t="s">
        <v>167</v>
      </c>
      <c r="AE13" t="s">
        <v>168</v>
      </c>
      <c r="AF13" t="s">
        <v>169</v>
      </c>
      <c r="AG13" t="s">
        <v>170</v>
      </c>
      <c r="AH13">
        <v>3.28</v>
      </c>
      <c r="AI13">
        <v>-1.48</v>
      </c>
      <c r="AJ13">
        <v>5.48</v>
      </c>
      <c r="AK13">
        <v>10.08</v>
      </c>
      <c r="AL13">
        <v>1</v>
      </c>
      <c r="AM13">
        <v>5.43</v>
      </c>
      <c r="AN13">
        <v>44.15</v>
      </c>
      <c r="AO13">
        <v>2.45</v>
      </c>
      <c r="AP13">
        <v>41.98</v>
      </c>
    </row>
    <row r="14" spans="1:42">
      <c r="A14">
        <v>13</v>
      </c>
      <c r="B14" t="str">
        <f>"300750"</f>
        <v>300750</v>
      </c>
      <c r="C14" t="s">
        <v>171</v>
      </c>
      <c r="D14">
        <v>165.5</v>
      </c>
      <c r="E14">
        <v>-0.9</v>
      </c>
      <c r="F14">
        <v>-1.5</v>
      </c>
      <c r="G14" t="s">
        <v>172</v>
      </c>
      <c r="H14">
        <v>2671</v>
      </c>
      <c r="I14">
        <v>165.5</v>
      </c>
      <c r="J14">
        <v>165.51</v>
      </c>
      <c r="K14" t="s">
        <v>173</v>
      </c>
      <c r="L14">
        <v>0.44</v>
      </c>
      <c r="M14" t="s">
        <v>46</v>
      </c>
      <c r="N14" t="s">
        <v>174</v>
      </c>
      <c r="O14">
        <v>167.7</v>
      </c>
      <c r="P14">
        <v>164.43</v>
      </c>
      <c r="Q14">
        <v>167.29</v>
      </c>
      <c r="R14">
        <v>167</v>
      </c>
      <c r="S14">
        <v>1.96</v>
      </c>
      <c r="T14">
        <v>0.82</v>
      </c>
      <c r="U14">
        <v>88.18</v>
      </c>
      <c r="V14">
        <v>448</v>
      </c>
      <c r="W14">
        <v>166.02</v>
      </c>
      <c r="X14" t="s">
        <v>175</v>
      </c>
      <c r="Y14" t="s">
        <v>176</v>
      </c>
      <c r="Z14">
        <v>1.05</v>
      </c>
      <c r="AA14">
        <v>386</v>
      </c>
      <c r="AB14">
        <v>4</v>
      </c>
      <c r="AC14">
        <v>4.04</v>
      </c>
      <c r="AD14" t="s">
        <v>177</v>
      </c>
      <c r="AE14" t="s">
        <v>178</v>
      </c>
      <c r="AF14" t="s">
        <v>179</v>
      </c>
      <c r="AG14" t="s">
        <v>180</v>
      </c>
      <c r="AH14">
        <v>-3.73</v>
      </c>
      <c r="AI14">
        <v>-6.87</v>
      </c>
      <c r="AJ14">
        <v>1.67</v>
      </c>
      <c r="AK14">
        <v>3.09</v>
      </c>
      <c r="AL14">
        <v>-1</v>
      </c>
      <c r="AM14">
        <v>-0.9</v>
      </c>
      <c r="AN14">
        <v>-23.79</v>
      </c>
      <c r="AO14">
        <v>-11.71</v>
      </c>
      <c r="AP14">
        <v>-20.02</v>
      </c>
    </row>
    <row r="15" spans="1:42">
      <c r="A15">
        <v>14</v>
      </c>
      <c r="B15" t="str">
        <f>"300459"</f>
        <v>300459</v>
      </c>
      <c r="C15" t="s">
        <v>181</v>
      </c>
      <c r="D15">
        <v>5.56</v>
      </c>
      <c r="E15">
        <v>14.64</v>
      </c>
      <c r="F15">
        <v>0.71</v>
      </c>
      <c r="G15" t="s">
        <v>182</v>
      </c>
      <c r="H15" t="s">
        <v>183</v>
      </c>
      <c r="I15">
        <v>5.55</v>
      </c>
      <c r="J15">
        <v>5.56</v>
      </c>
      <c r="K15" t="s">
        <v>184</v>
      </c>
      <c r="L15">
        <v>15.96</v>
      </c>
      <c r="M15" t="s">
        <v>46</v>
      </c>
      <c r="N15" t="s">
        <v>185</v>
      </c>
      <c r="O15">
        <v>5.7</v>
      </c>
      <c r="P15">
        <v>4.85</v>
      </c>
      <c r="Q15">
        <v>4.88</v>
      </c>
      <c r="R15">
        <v>4.85</v>
      </c>
      <c r="S15">
        <v>17.53</v>
      </c>
      <c r="T15">
        <v>5.76</v>
      </c>
      <c r="U15">
        <v>-59.05</v>
      </c>
      <c r="V15" t="s">
        <v>186</v>
      </c>
      <c r="W15">
        <v>5.34</v>
      </c>
      <c r="X15" t="s">
        <v>187</v>
      </c>
      <c r="Y15" t="s">
        <v>188</v>
      </c>
      <c r="Z15">
        <v>0.5</v>
      </c>
      <c r="AA15" t="s">
        <v>189</v>
      </c>
      <c r="AB15">
        <v>4562</v>
      </c>
      <c r="AC15">
        <v>4.8</v>
      </c>
      <c r="AD15" t="s">
        <v>190</v>
      </c>
      <c r="AE15" t="s">
        <v>191</v>
      </c>
      <c r="AF15" t="s">
        <v>192</v>
      </c>
      <c r="AG15" t="s">
        <v>193</v>
      </c>
      <c r="AH15">
        <v>12.78</v>
      </c>
      <c r="AI15">
        <v>5.9</v>
      </c>
      <c r="AJ15">
        <v>19.97</v>
      </c>
      <c r="AK15">
        <v>29.82</v>
      </c>
      <c r="AL15">
        <v>1</v>
      </c>
      <c r="AM15">
        <v>14.64</v>
      </c>
      <c r="AN15">
        <v>76.51</v>
      </c>
      <c r="AO15">
        <v>16.81</v>
      </c>
      <c r="AP15">
        <v>69.51</v>
      </c>
    </row>
    <row r="16" spans="1:42">
      <c r="A16">
        <v>15</v>
      </c>
      <c r="B16" t="str">
        <f>"600036"</f>
        <v>600036</v>
      </c>
      <c r="C16" t="s">
        <v>194</v>
      </c>
      <c r="D16">
        <v>28.26</v>
      </c>
      <c r="E16">
        <v>-1.84</v>
      </c>
      <c r="F16">
        <v>-0.53</v>
      </c>
      <c r="G16" t="s">
        <v>195</v>
      </c>
      <c r="H16">
        <v>8280</v>
      </c>
      <c r="I16">
        <v>28.26</v>
      </c>
      <c r="J16">
        <v>28.27</v>
      </c>
      <c r="K16" t="s">
        <v>196</v>
      </c>
      <c r="L16">
        <v>0.43</v>
      </c>
      <c r="M16" t="s">
        <v>46</v>
      </c>
      <c r="N16" t="s">
        <v>197</v>
      </c>
      <c r="O16">
        <v>28.74</v>
      </c>
      <c r="P16">
        <v>28.07</v>
      </c>
      <c r="Q16">
        <v>28.72</v>
      </c>
      <c r="R16">
        <v>28.79</v>
      </c>
      <c r="S16">
        <v>2.33</v>
      </c>
      <c r="T16">
        <v>1.75</v>
      </c>
      <c r="U16">
        <v>-12.44</v>
      </c>
      <c r="V16">
        <v>-1280</v>
      </c>
      <c r="W16">
        <v>28.28</v>
      </c>
      <c r="X16" t="s">
        <v>198</v>
      </c>
      <c r="Y16" t="s">
        <v>199</v>
      </c>
      <c r="Z16">
        <v>1.1</v>
      </c>
      <c r="AA16">
        <v>574</v>
      </c>
      <c r="AB16">
        <v>1002</v>
      </c>
      <c r="AC16">
        <v>0.8</v>
      </c>
      <c r="AD16" t="s">
        <v>200</v>
      </c>
      <c r="AE16" t="s">
        <v>201</v>
      </c>
      <c r="AF16" t="s">
        <v>202</v>
      </c>
      <c r="AG16" t="s">
        <v>203</v>
      </c>
      <c r="AH16">
        <v>-3.09</v>
      </c>
      <c r="AI16">
        <v>-6.24</v>
      </c>
      <c r="AJ16">
        <v>1</v>
      </c>
      <c r="AK16">
        <v>1.65</v>
      </c>
      <c r="AL16">
        <v>-9</v>
      </c>
      <c r="AM16">
        <v>-1.84</v>
      </c>
      <c r="AN16">
        <v>-20.44</v>
      </c>
      <c r="AO16">
        <v>-8.81</v>
      </c>
      <c r="AP16">
        <v>-7.98</v>
      </c>
    </row>
    <row r="17" spans="1:42">
      <c r="A17">
        <v>16</v>
      </c>
      <c r="B17" t="str">
        <f>"002559"</f>
        <v>002559</v>
      </c>
      <c r="C17" t="s">
        <v>204</v>
      </c>
      <c r="D17">
        <v>12.84</v>
      </c>
      <c r="E17">
        <v>-1.91</v>
      </c>
      <c r="F17">
        <v>-0.25</v>
      </c>
      <c r="G17" t="s">
        <v>205</v>
      </c>
      <c r="H17" t="s">
        <v>206</v>
      </c>
      <c r="I17">
        <v>12.84</v>
      </c>
      <c r="J17">
        <v>12.85</v>
      </c>
      <c r="K17" t="s">
        <v>207</v>
      </c>
      <c r="L17">
        <v>36.96</v>
      </c>
      <c r="M17" t="s">
        <v>46</v>
      </c>
      <c r="N17" t="s">
        <v>208</v>
      </c>
      <c r="O17">
        <v>13.25</v>
      </c>
      <c r="P17">
        <v>12.3</v>
      </c>
      <c r="Q17">
        <v>12.82</v>
      </c>
      <c r="R17">
        <v>13.09</v>
      </c>
      <c r="S17">
        <v>7.26</v>
      </c>
      <c r="T17">
        <v>0.7</v>
      </c>
      <c r="U17">
        <v>51.12</v>
      </c>
      <c r="V17" t="s">
        <v>209</v>
      </c>
      <c r="W17">
        <v>12.8</v>
      </c>
      <c r="X17" t="s">
        <v>210</v>
      </c>
      <c r="Y17" t="s">
        <v>211</v>
      </c>
      <c r="Z17">
        <v>1.06</v>
      </c>
      <c r="AA17">
        <v>4376</v>
      </c>
      <c r="AB17">
        <v>2278</v>
      </c>
      <c r="AC17">
        <v>4.06</v>
      </c>
      <c r="AD17" t="s">
        <v>212</v>
      </c>
      <c r="AE17" t="s">
        <v>213</v>
      </c>
      <c r="AF17" t="s">
        <v>214</v>
      </c>
      <c r="AG17" t="s">
        <v>215</v>
      </c>
      <c r="AH17">
        <v>-11.63</v>
      </c>
      <c r="AI17">
        <v>1.42</v>
      </c>
      <c r="AJ17">
        <v>139.15</v>
      </c>
      <c r="AK17">
        <v>300.54</v>
      </c>
      <c r="AL17">
        <v>-3</v>
      </c>
      <c r="AM17">
        <v>-1.91</v>
      </c>
      <c r="AN17">
        <v>81.36</v>
      </c>
      <c r="AO17">
        <v>55.45</v>
      </c>
      <c r="AP17">
        <v>48.61</v>
      </c>
    </row>
    <row r="18" spans="1:42">
      <c r="A18">
        <v>17</v>
      </c>
      <c r="B18" t="str">
        <f>"300339"</f>
        <v>300339</v>
      </c>
      <c r="C18" t="s">
        <v>216</v>
      </c>
      <c r="D18">
        <v>28.23</v>
      </c>
      <c r="E18">
        <v>3.18</v>
      </c>
      <c r="F18">
        <v>0.87</v>
      </c>
      <c r="G18" t="s">
        <v>217</v>
      </c>
      <c r="H18" t="s">
        <v>218</v>
      </c>
      <c r="I18">
        <v>28.22</v>
      </c>
      <c r="J18">
        <v>28.23</v>
      </c>
      <c r="K18" t="s">
        <v>219</v>
      </c>
      <c r="L18">
        <v>10.37</v>
      </c>
      <c r="M18" t="s">
        <v>46</v>
      </c>
      <c r="N18" t="s">
        <v>220</v>
      </c>
      <c r="O18">
        <v>28.75</v>
      </c>
      <c r="P18">
        <v>27.43</v>
      </c>
      <c r="Q18">
        <v>27.5</v>
      </c>
      <c r="R18">
        <v>27.36</v>
      </c>
      <c r="S18">
        <v>4.82</v>
      </c>
      <c r="T18">
        <v>1.54</v>
      </c>
      <c r="U18">
        <v>-19.39</v>
      </c>
      <c r="V18">
        <v>-1475</v>
      </c>
      <c r="W18">
        <v>28.21</v>
      </c>
      <c r="X18" t="s">
        <v>221</v>
      </c>
      <c r="Y18" t="s">
        <v>222</v>
      </c>
      <c r="Z18">
        <v>0.85</v>
      </c>
      <c r="AA18">
        <v>427</v>
      </c>
      <c r="AB18">
        <v>727</v>
      </c>
      <c r="AC18">
        <v>6.78</v>
      </c>
      <c r="AD18" t="s">
        <v>223</v>
      </c>
      <c r="AE18" t="s">
        <v>224</v>
      </c>
      <c r="AF18" t="s">
        <v>225</v>
      </c>
      <c r="AG18" t="s">
        <v>226</v>
      </c>
      <c r="AH18">
        <v>6.41</v>
      </c>
      <c r="AI18">
        <v>1.11</v>
      </c>
      <c r="AJ18">
        <v>25.8</v>
      </c>
      <c r="AK18">
        <v>44.02</v>
      </c>
      <c r="AL18">
        <v>3</v>
      </c>
      <c r="AM18">
        <v>3.18</v>
      </c>
      <c r="AN18">
        <v>52.02</v>
      </c>
      <c r="AO18">
        <v>9.8</v>
      </c>
      <c r="AP18">
        <v>42.94</v>
      </c>
    </row>
    <row r="19" spans="1:42">
      <c r="A19">
        <v>18</v>
      </c>
      <c r="B19" t="str">
        <f>"000338"</f>
        <v>000338</v>
      </c>
      <c r="C19" t="s">
        <v>227</v>
      </c>
      <c r="D19">
        <v>13.9</v>
      </c>
      <c r="E19">
        <v>-6.71</v>
      </c>
      <c r="F19">
        <v>-1</v>
      </c>
      <c r="G19" t="s">
        <v>228</v>
      </c>
      <c r="H19">
        <v>9874</v>
      </c>
      <c r="I19">
        <v>13.89</v>
      </c>
      <c r="J19">
        <v>13.9</v>
      </c>
      <c r="K19" t="s">
        <v>229</v>
      </c>
      <c r="L19">
        <v>3.1</v>
      </c>
      <c r="M19" t="s">
        <v>46</v>
      </c>
      <c r="N19" t="s">
        <v>230</v>
      </c>
      <c r="O19">
        <v>14.93</v>
      </c>
      <c r="P19">
        <v>13.86</v>
      </c>
      <c r="Q19">
        <v>14.9</v>
      </c>
      <c r="R19">
        <v>14.9</v>
      </c>
      <c r="S19">
        <v>7.18</v>
      </c>
      <c r="T19">
        <v>3.49</v>
      </c>
      <c r="U19">
        <v>-22.41</v>
      </c>
      <c r="V19">
        <v>-2501</v>
      </c>
      <c r="W19">
        <v>14.23</v>
      </c>
      <c r="X19" t="s">
        <v>231</v>
      </c>
      <c r="Y19" t="s">
        <v>232</v>
      </c>
      <c r="Z19">
        <v>1.21</v>
      </c>
      <c r="AA19">
        <v>1030</v>
      </c>
      <c r="AB19">
        <v>270</v>
      </c>
      <c r="AC19">
        <v>1.57</v>
      </c>
      <c r="AD19" t="s">
        <v>233</v>
      </c>
      <c r="AE19" t="s">
        <v>234</v>
      </c>
      <c r="AF19" t="s">
        <v>235</v>
      </c>
      <c r="AG19" t="s">
        <v>236</v>
      </c>
      <c r="AH19">
        <v>-8.97</v>
      </c>
      <c r="AI19">
        <v>-6.84</v>
      </c>
      <c r="AJ19">
        <v>4.94</v>
      </c>
      <c r="AK19">
        <v>7.54</v>
      </c>
      <c r="AL19">
        <v>-3</v>
      </c>
      <c r="AM19">
        <v>-6.71</v>
      </c>
      <c r="AN19">
        <v>41.84</v>
      </c>
      <c r="AO19">
        <v>-1.42</v>
      </c>
      <c r="AP19">
        <v>38.86</v>
      </c>
    </row>
    <row r="20" spans="1:42">
      <c r="A20">
        <v>19</v>
      </c>
      <c r="B20" t="str">
        <f>"300351"</f>
        <v>300351</v>
      </c>
      <c r="C20" t="s">
        <v>237</v>
      </c>
      <c r="D20">
        <v>23.68</v>
      </c>
      <c r="E20">
        <v>-9.27</v>
      </c>
      <c r="F20">
        <v>-2.42</v>
      </c>
      <c r="G20" t="s">
        <v>238</v>
      </c>
      <c r="H20" t="s">
        <v>239</v>
      </c>
      <c r="I20">
        <v>23.68</v>
      </c>
      <c r="J20">
        <v>23.69</v>
      </c>
      <c r="K20" t="s">
        <v>240</v>
      </c>
      <c r="L20">
        <v>34.57</v>
      </c>
      <c r="M20" t="s">
        <v>46</v>
      </c>
      <c r="N20" t="s">
        <v>241</v>
      </c>
      <c r="O20">
        <v>26.1</v>
      </c>
      <c r="P20">
        <v>23.1</v>
      </c>
      <c r="Q20">
        <v>25.98</v>
      </c>
      <c r="R20">
        <v>26.1</v>
      </c>
      <c r="S20">
        <v>11.49</v>
      </c>
      <c r="T20">
        <v>1.45</v>
      </c>
      <c r="U20">
        <v>67.55</v>
      </c>
      <c r="V20">
        <v>3337</v>
      </c>
      <c r="W20">
        <v>24.48</v>
      </c>
      <c r="X20" t="s">
        <v>242</v>
      </c>
      <c r="Y20" t="s">
        <v>243</v>
      </c>
      <c r="Z20">
        <v>1.1</v>
      </c>
      <c r="AA20">
        <v>425</v>
      </c>
      <c r="AB20">
        <v>323</v>
      </c>
      <c r="AC20">
        <v>3.92</v>
      </c>
      <c r="AD20" t="s">
        <v>244</v>
      </c>
      <c r="AE20" t="s">
        <v>245</v>
      </c>
      <c r="AF20" t="s">
        <v>246</v>
      </c>
      <c r="AG20" t="s">
        <v>247</v>
      </c>
      <c r="AH20">
        <v>22.76</v>
      </c>
      <c r="AI20">
        <v>28.7</v>
      </c>
      <c r="AJ20">
        <v>112.7</v>
      </c>
      <c r="AK20">
        <v>154.11</v>
      </c>
      <c r="AL20">
        <v>-1</v>
      </c>
      <c r="AM20">
        <v>-9.27</v>
      </c>
      <c r="AN20">
        <v>53.07</v>
      </c>
      <c r="AO20">
        <v>36.88</v>
      </c>
      <c r="AP20">
        <v>76.58</v>
      </c>
    </row>
    <row r="21" spans="1:42">
      <c r="A21">
        <v>20</v>
      </c>
      <c r="B21" t="str">
        <f>"002728"</f>
        <v>002728</v>
      </c>
      <c r="C21" t="s">
        <v>248</v>
      </c>
      <c r="D21">
        <v>22.47</v>
      </c>
      <c r="E21">
        <v>-1.88</v>
      </c>
      <c r="F21">
        <v>-0.43</v>
      </c>
      <c r="G21" t="s">
        <v>249</v>
      </c>
      <c r="H21">
        <v>9076</v>
      </c>
      <c r="I21">
        <v>22.47</v>
      </c>
      <c r="J21">
        <v>22.48</v>
      </c>
      <c r="K21" t="s">
        <v>250</v>
      </c>
      <c r="L21">
        <v>40.04</v>
      </c>
      <c r="M21" t="s">
        <v>46</v>
      </c>
      <c r="N21" t="s">
        <v>251</v>
      </c>
      <c r="O21">
        <v>24.16</v>
      </c>
      <c r="P21">
        <v>21.32</v>
      </c>
      <c r="Q21">
        <v>22.78</v>
      </c>
      <c r="R21">
        <v>22.9</v>
      </c>
      <c r="S21">
        <v>12.4</v>
      </c>
      <c r="T21">
        <v>1.18</v>
      </c>
      <c r="U21">
        <v>-23.28</v>
      </c>
      <c r="V21">
        <v>-797</v>
      </c>
      <c r="W21">
        <v>22.81</v>
      </c>
      <c r="X21" t="s">
        <v>252</v>
      </c>
      <c r="Y21" t="s">
        <v>253</v>
      </c>
      <c r="Z21">
        <v>1.16</v>
      </c>
      <c r="AA21">
        <v>362</v>
      </c>
      <c r="AB21">
        <v>328</v>
      </c>
      <c r="AC21">
        <v>4.75</v>
      </c>
      <c r="AD21" t="s">
        <v>254</v>
      </c>
      <c r="AE21" t="s">
        <v>255</v>
      </c>
      <c r="AF21" t="s">
        <v>256</v>
      </c>
      <c r="AG21" t="s">
        <v>257</v>
      </c>
      <c r="AH21">
        <v>5.1</v>
      </c>
      <c r="AI21">
        <v>19.52</v>
      </c>
      <c r="AJ21">
        <v>94.36</v>
      </c>
      <c r="AK21">
        <v>209.26</v>
      </c>
      <c r="AL21">
        <v>-1</v>
      </c>
      <c r="AM21">
        <v>-1.88</v>
      </c>
      <c r="AN21">
        <v>43.67</v>
      </c>
      <c r="AO21">
        <v>32.88</v>
      </c>
      <c r="AP21">
        <v>3.17</v>
      </c>
    </row>
    <row r="22" spans="1:42">
      <c r="A22">
        <v>21</v>
      </c>
      <c r="B22" t="str">
        <f>"300624"</f>
        <v>300624</v>
      </c>
      <c r="C22" t="s">
        <v>258</v>
      </c>
      <c r="D22">
        <v>94.45</v>
      </c>
      <c r="E22">
        <v>20</v>
      </c>
      <c r="F22">
        <v>15.74</v>
      </c>
      <c r="G22" t="s">
        <v>259</v>
      </c>
      <c r="H22">
        <v>696</v>
      </c>
      <c r="I22">
        <v>94.45</v>
      </c>
      <c r="J22" t="s">
        <v>76</v>
      </c>
      <c r="K22" t="s">
        <v>260</v>
      </c>
      <c r="L22">
        <v>20.38</v>
      </c>
      <c r="M22" t="s">
        <v>46</v>
      </c>
      <c r="N22" t="s">
        <v>261</v>
      </c>
      <c r="O22">
        <v>94.45</v>
      </c>
      <c r="P22">
        <v>82.15</v>
      </c>
      <c r="Q22">
        <v>82.39</v>
      </c>
      <c r="R22">
        <v>78.71</v>
      </c>
      <c r="S22">
        <v>15.63</v>
      </c>
      <c r="T22">
        <v>5.01</v>
      </c>
      <c r="U22">
        <v>100</v>
      </c>
      <c r="V22">
        <v>5896</v>
      </c>
      <c r="W22">
        <v>87.7</v>
      </c>
      <c r="X22" t="s">
        <v>262</v>
      </c>
      <c r="Y22" t="s">
        <v>263</v>
      </c>
      <c r="Z22">
        <v>0.85</v>
      </c>
      <c r="AA22">
        <v>5864</v>
      </c>
      <c r="AB22">
        <v>0</v>
      </c>
      <c r="AC22">
        <v>9.62</v>
      </c>
      <c r="AD22" t="s">
        <v>264</v>
      </c>
      <c r="AE22" t="s">
        <v>265</v>
      </c>
      <c r="AF22" t="s">
        <v>266</v>
      </c>
      <c r="AG22" t="s">
        <v>267</v>
      </c>
      <c r="AH22">
        <v>16.1</v>
      </c>
      <c r="AI22">
        <v>10.27</v>
      </c>
      <c r="AJ22">
        <v>28.2</v>
      </c>
      <c r="AK22">
        <v>40.71</v>
      </c>
      <c r="AL22">
        <v>1</v>
      </c>
      <c r="AM22">
        <v>20</v>
      </c>
      <c r="AN22">
        <v>221.7</v>
      </c>
      <c r="AO22">
        <v>12.21</v>
      </c>
      <c r="AP22">
        <v>177.88</v>
      </c>
    </row>
    <row r="23" spans="1:42">
      <c r="A23">
        <v>22</v>
      </c>
      <c r="B23" t="str">
        <f>"301236"</f>
        <v>301236</v>
      </c>
      <c r="C23" t="s">
        <v>268</v>
      </c>
      <c r="D23">
        <v>40.77</v>
      </c>
      <c r="E23">
        <v>1.85</v>
      </c>
      <c r="F23">
        <v>0.74</v>
      </c>
      <c r="G23" t="s">
        <v>269</v>
      </c>
      <c r="H23">
        <v>7144</v>
      </c>
      <c r="I23">
        <v>40.77</v>
      </c>
      <c r="J23">
        <v>40.78</v>
      </c>
      <c r="K23" t="s">
        <v>270</v>
      </c>
      <c r="L23">
        <v>7.51</v>
      </c>
      <c r="M23" t="s">
        <v>46</v>
      </c>
      <c r="N23" t="s">
        <v>271</v>
      </c>
      <c r="O23">
        <v>41.2</v>
      </c>
      <c r="P23">
        <v>39.88</v>
      </c>
      <c r="Q23">
        <v>39.95</v>
      </c>
      <c r="R23">
        <v>40.03</v>
      </c>
      <c r="S23">
        <v>3.3</v>
      </c>
      <c r="T23">
        <v>0.98</v>
      </c>
      <c r="U23">
        <v>37.18</v>
      </c>
      <c r="V23">
        <v>1240</v>
      </c>
      <c r="W23">
        <v>40.66</v>
      </c>
      <c r="X23" t="s">
        <v>272</v>
      </c>
      <c r="Y23" t="s">
        <v>273</v>
      </c>
      <c r="Z23">
        <v>1.02</v>
      </c>
      <c r="AA23">
        <v>433</v>
      </c>
      <c r="AB23">
        <v>78</v>
      </c>
      <c r="AC23">
        <v>3.76</v>
      </c>
      <c r="AD23" t="s">
        <v>274</v>
      </c>
      <c r="AE23" t="s">
        <v>275</v>
      </c>
      <c r="AF23" t="s">
        <v>276</v>
      </c>
      <c r="AG23" t="s">
        <v>277</v>
      </c>
      <c r="AH23">
        <v>-0.75</v>
      </c>
      <c r="AI23">
        <v>-7.49</v>
      </c>
      <c r="AJ23">
        <v>21.98</v>
      </c>
      <c r="AK23">
        <v>45.68</v>
      </c>
      <c r="AL23">
        <v>1</v>
      </c>
      <c r="AM23">
        <v>1.85</v>
      </c>
      <c r="AN23">
        <v>73.86</v>
      </c>
      <c r="AO23">
        <v>17.26</v>
      </c>
      <c r="AP23">
        <v>49.18</v>
      </c>
    </row>
    <row r="24" spans="1:42">
      <c r="A24">
        <v>23</v>
      </c>
      <c r="B24" t="str">
        <f>"603496"</f>
        <v>603496</v>
      </c>
      <c r="C24" t="s">
        <v>278</v>
      </c>
      <c r="D24">
        <v>37.65</v>
      </c>
      <c r="E24">
        <v>3.58</v>
      </c>
      <c r="F24">
        <v>1.3</v>
      </c>
      <c r="G24" t="s">
        <v>279</v>
      </c>
      <c r="H24">
        <v>5982</v>
      </c>
      <c r="I24">
        <v>37.65</v>
      </c>
      <c r="J24">
        <v>37.66</v>
      </c>
      <c r="K24" t="s">
        <v>280</v>
      </c>
      <c r="L24">
        <v>17.34</v>
      </c>
      <c r="M24" t="s">
        <v>46</v>
      </c>
      <c r="N24" t="s">
        <v>281</v>
      </c>
      <c r="O24">
        <v>38.39</v>
      </c>
      <c r="P24">
        <v>35.61</v>
      </c>
      <c r="Q24">
        <v>35.8</v>
      </c>
      <c r="R24">
        <v>36.35</v>
      </c>
      <c r="S24">
        <v>7.65</v>
      </c>
      <c r="T24">
        <v>1.64</v>
      </c>
      <c r="U24">
        <v>60.1</v>
      </c>
      <c r="V24">
        <v>3019</v>
      </c>
      <c r="W24">
        <v>36.82</v>
      </c>
      <c r="X24" t="s">
        <v>282</v>
      </c>
      <c r="Y24" t="s">
        <v>283</v>
      </c>
      <c r="Z24">
        <v>1</v>
      </c>
      <c r="AA24">
        <v>461</v>
      </c>
      <c r="AB24">
        <v>303</v>
      </c>
      <c r="AC24">
        <v>9.25</v>
      </c>
      <c r="AD24" t="s">
        <v>284</v>
      </c>
      <c r="AE24" t="s">
        <v>285</v>
      </c>
      <c r="AF24" t="s">
        <v>284</v>
      </c>
      <c r="AG24" t="s">
        <v>285</v>
      </c>
      <c r="AH24">
        <v>4.96</v>
      </c>
      <c r="AI24">
        <v>0.72</v>
      </c>
      <c r="AJ24">
        <v>38.35</v>
      </c>
      <c r="AK24">
        <v>70.13</v>
      </c>
      <c r="AL24">
        <v>2</v>
      </c>
      <c r="AM24">
        <v>3.58</v>
      </c>
      <c r="AN24">
        <v>248.29</v>
      </c>
      <c r="AO24">
        <v>39.91</v>
      </c>
      <c r="AP24">
        <v>226.26</v>
      </c>
    </row>
    <row r="25" spans="1:42">
      <c r="A25">
        <v>24</v>
      </c>
      <c r="B25" t="str">
        <f>"603178"</f>
        <v>603178</v>
      </c>
      <c r="C25" t="s">
        <v>286</v>
      </c>
      <c r="D25">
        <v>43.4</v>
      </c>
      <c r="E25">
        <v>6.06</v>
      </c>
      <c r="F25">
        <v>2.48</v>
      </c>
      <c r="G25" t="s">
        <v>287</v>
      </c>
      <c r="H25">
        <v>6668</v>
      </c>
      <c r="I25">
        <v>43.4</v>
      </c>
      <c r="J25">
        <v>43.41</v>
      </c>
      <c r="K25" t="s">
        <v>288</v>
      </c>
      <c r="L25">
        <v>19.84</v>
      </c>
      <c r="M25" t="s">
        <v>46</v>
      </c>
      <c r="N25" t="s">
        <v>289</v>
      </c>
      <c r="O25">
        <v>45.01</v>
      </c>
      <c r="P25">
        <v>39.73</v>
      </c>
      <c r="Q25">
        <v>40.48</v>
      </c>
      <c r="R25">
        <v>40.92</v>
      </c>
      <c r="S25">
        <v>12.9</v>
      </c>
      <c r="T25">
        <v>1.39</v>
      </c>
      <c r="U25">
        <v>-69.26</v>
      </c>
      <c r="V25">
        <v>-3583</v>
      </c>
      <c r="W25">
        <v>43.12</v>
      </c>
      <c r="X25" t="s">
        <v>290</v>
      </c>
      <c r="Y25" t="s">
        <v>291</v>
      </c>
      <c r="Z25">
        <v>1.05</v>
      </c>
      <c r="AA25">
        <v>436</v>
      </c>
      <c r="AB25">
        <v>2381</v>
      </c>
      <c r="AC25">
        <v>8.11</v>
      </c>
      <c r="AD25" t="s">
        <v>292</v>
      </c>
      <c r="AE25" t="s">
        <v>293</v>
      </c>
      <c r="AF25" t="s">
        <v>292</v>
      </c>
      <c r="AG25" t="s">
        <v>293</v>
      </c>
      <c r="AH25">
        <v>7.35</v>
      </c>
      <c r="AI25">
        <v>-8.82</v>
      </c>
      <c r="AJ25">
        <v>41.16</v>
      </c>
      <c r="AK25">
        <v>91.17</v>
      </c>
      <c r="AL25">
        <v>2</v>
      </c>
      <c r="AM25">
        <v>6.06</v>
      </c>
      <c r="AN25">
        <v>355.88</v>
      </c>
      <c r="AO25">
        <v>25.4</v>
      </c>
      <c r="AP25">
        <v>302.97</v>
      </c>
    </row>
    <row r="26" spans="1:42">
      <c r="A26">
        <v>25</v>
      </c>
      <c r="B26" t="str">
        <f>"300131"</f>
        <v>300131</v>
      </c>
      <c r="C26" t="s">
        <v>294</v>
      </c>
      <c r="D26">
        <v>7.25</v>
      </c>
      <c r="E26">
        <v>-4.1</v>
      </c>
      <c r="F26">
        <v>-0.31</v>
      </c>
      <c r="G26" t="s">
        <v>295</v>
      </c>
      <c r="H26" t="s">
        <v>296</v>
      </c>
      <c r="I26">
        <v>7.24</v>
      </c>
      <c r="J26">
        <v>7.25</v>
      </c>
      <c r="K26" t="s">
        <v>297</v>
      </c>
      <c r="L26">
        <v>27.22</v>
      </c>
      <c r="M26" t="s">
        <v>46</v>
      </c>
      <c r="N26" t="s">
        <v>298</v>
      </c>
      <c r="O26">
        <v>7.55</v>
      </c>
      <c r="P26">
        <v>6.9</v>
      </c>
      <c r="Q26">
        <v>7.4</v>
      </c>
      <c r="R26">
        <v>7.56</v>
      </c>
      <c r="S26">
        <v>8.6</v>
      </c>
      <c r="T26">
        <v>0.96</v>
      </c>
      <c r="U26">
        <v>69.58</v>
      </c>
      <c r="V26" t="s">
        <v>299</v>
      </c>
      <c r="W26">
        <v>7.21</v>
      </c>
      <c r="X26" t="s">
        <v>300</v>
      </c>
      <c r="Y26" t="s">
        <v>301</v>
      </c>
      <c r="Z26">
        <v>1.03</v>
      </c>
      <c r="AA26">
        <v>1367</v>
      </c>
      <c r="AB26">
        <v>1049</v>
      </c>
      <c r="AC26">
        <v>4.82</v>
      </c>
      <c r="AD26" t="s">
        <v>302</v>
      </c>
      <c r="AE26" t="s">
        <v>303</v>
      </c>
      <c r="AF26" t="s">
        <v>304</v>
      </c>
      <c r="AG26" t="s">
        <v>305</v>
      </c>
      <c r="AH26">
        <v>-10.93</v>
      </c>
      <c r="AI26">
        <v>22.26</v>
      </c>
      <c r="AJ26">
        <v>95.14</v>
      </c>
      <c r="AK26">
        <v>168.82</v>
      </c>
      <c r="AL26">
        <v>-3</v>
      </c>
      <c r="AM26">
        <v>-4.1</v>
      </c>
      <c r="AN26">
        <v>50.1</v>
      </c>
      <c r="AO26">
        <v>32.78</v>
      </c>
      <c r="AP26">
        <v>33.76</v>
      </c>
    </row>
    <row r="27" spans="1:42">
      <c r="A27">
        <v>26</v>
      </c>
      <c r="B27" t="str">
        <f>"600839"</f>
        <v>600839</v>
      </c>
      <c r="C27" t="s">
        <v>306</v>
      </c>
      <c r="D27">
        <v>5.96</v>
      </c>
      <c r="E27">
        <v>3.65</v>
      </c>
      <c r="F27">
        <v>0.21</v>
      </c>
      <c r="G27" t="s">
        <v>307</v>
      </c>
      <c r="H27" t="s">
        <v>308</v>
      </c>
      <c r="I27">
        <v>5.95</v>
      </c>
      <c r="J27">
        <v>5.96</v>
      </c>
      <c r="K27" t="s">
        <v>309</v>
      </c>
      <c r="L27">
        <v>7.4</v>
      </c>
      <c r="M27" t="s">
        <v>46</v>
      </c>
      <c r="N27" t="s">
        <v>310</v>
      </c>
      <c r="O27">
        <v>5.97</v>
      </c>
      <c r="P27">
        <v>5.62</v>
      </c>
      <c r="Q27">
        <v>5.75</v>
      </c>
      <c r="R27">
        <v>5.75</v>
      </c>
      <c r="S27">
        <v>6.09</v>
      </c>
      <c r="T27">
        <v>2.04</v>
      </c>
      <c r="U27">
        <v>-32.55</v>
      </c>
      <c r="V27" t="s">
        <v>311</v>
      </c>
      <c r="W27">
        <v>5.88</v>
      </c>
      <c r="X27" t="s">
        <v>312</v>
      </c>
      <c r="Y27" t="s">
        <v>313</v>
      </c>
      <c r="Z27">
        <v>0.76</v>
      </c>
      <c r="AA27">
        <v>9688</v>
      </c>
      <c r="AB27" t="s">
        <v>314</v>
      </c>
      <c r="AC27">
        <v>1.98</v>
      </c>
      <c r="AD27" t="s">
        <v>315</v>
      </c>
      <c r="AE27" t="s">
        <v>316</v>
      </c>
      <c r="AF27" t="s">
        <v>317</v>
      </c>
      <c r="AG27" t="s">
        <v>316</v>
      </c>
      <c r="AH27">
        <v>2.41</v>
      </c>
      <c r="AI27">
        <v>-1.49</v>
      </c>
      <c r="AJ27">
        <v>14.89</v>
      </c>
      <c r="AK27">
        <v>25.54</v>
      </c>
      <c r="AL27">
        <v>2</v>
      </c>
      <c r="AM27">
        <v>3.65</v>
      </c>
      <c r="AN27">
        <v>129.23</v>
      </c>
      <c r="AO27">
        <v>8.17</v>
      </c>
      <c r="AP27">
        <v>119.93</v>
      </c>
    </row>
    <row r="28" spans="1:42">
      <c r="A28">
        <v>27</v>
      </c>
      <c r="B28" t="str">
        <f>"300182"</f>
        <v>300182</v>
      </c>
      <c r="C28" t="s">
        <v>318</v>
      </c>
      <c r="D28">
        <v>5.93</v>
      </c>
      <c r="E28">
        <v>13.38</v>
      </c>
      <c r="F28">
        <v>0.7</v>
      </c>
      <c r="G28" t="s">
        <v>319</v>
      </c>
      <c r="H28" t="s">
        <v>320</v>
      </c>
      <c r="I28">
        <v>5.93</v>
      </c>
      <c r="J28">
        <v>5.94</v>
      </c>
      <c r="K28" t="s">
        <v>321</v>
      </c>
      <c r="L28">
        <v>15.64</v>
      </c>
      <c r="M28" t="s">
        <v>46</v>
      </c>
      <c r="N28" t="s">
        <v>322</v>
      </c>
      <c r="O28">
        <v>6.15</v>
      </c>
      <c r="P28">
        <v>5.24</v>
      </c>
      <c r="Q28">
        <v>5.24</v>
      </c>
      <c r="R28">
        <v>5.23</v>
      </c>
      <c r="S28">
        <v>17.4</v>
      </c>
      <c r="T28">
        <v>4.55</v>
      </c>
      <c r="U28">
        <v>-56.86</v>
      </c>
      <c r="V28" t="s">
        <v>323</v>
      </c>
      <c r="W28">
        <v>5.71</v>
      </c>
      <c r="X28" t="s">
        <v>116</v>
      </c>
      <c r="Y28" t="s">
        <v>324</v>
      </c>
      <c r="Z28">
        <v>0.52</v>
      </c>
      <c r="AA28">
        <v>5930</v>
      </c>
      <c r="AB28" t="s">
        <v>325</v>
      </c>
      <c r="AC28">
        <v>2</v>
      </c>
      <c r="AD28" t="s">
        <v>326</v>
      </c>
      <c r="AE28" t="s">
        <v>327</v>
      </c>
      <c r="AF28" t="s">
        <v>328</v>
      </c>
      <c r="AG28" t="s">
        <v>329</v>
      </c>
      <c r="AH28">
        <v>12.31</v>
      </c>
      <c r="AI28">
        <v>8.01</v>
      </c>
      <c r="AJ28">
        <v>20.93</v>
      </c>
      <c r="AK28">
        <v>32.82</v>
      </c>
      <c r="AL28">
        <v>2</v>
      </c>
      <c r="AM28">
        <v>13.38</v>
      </c>
      <c r="AN28">
        <v>32.66</v>
      </c>
      <c r="AO28">
        <v>15.59</v>
      </c>
      <c r="AP28">
        <v>23.8</v>
      </c>
    </row>
    <row r="29" spans="1:42">
      <c r="A29">
        <v>28</v>
      </c>
      <c r="B29" t="str">
        <f>"000063"</f>
        <v>000063</v>
      </c>
      <c r="C29" t="s">
        <v>330</v>
      </c>
      <c r="D29">
        <v>26.14</v>
      </c>
      <c r="E29">
        <v>1.99</v>
      </c>
      <c r="F29">
        <v>0.51</v>
      </c>
      <c r="G29" t="s">
        <v>331</v>
      </c>
      <c r="H29">
        <v>8396</v>
      </c>
      <c r="I29">
        <v>26.13</v>
      </c>
      <c r="J29">
        <v>26.14</v>
      </c>
      <c r="K29" t="s">
        <v>332</v>
      </c>
      <c r="L29">
        <v>1.92</v>
      </c>
      <c r="M29" t="s">
        <v>46</v>
      </c>
      <c r="N29" t="s">
        <v>333</v>
      </c>
      <c r="O29">
        <v>26.28</v>
      </c>
      <c r="P29">
        <v>25.52</v>
      </c>
      <c r="Q29">
        <v>25.59</v>
      </c>
      <c r="R29">
        <v>25.63</v>
      </c>
      <c r="S29">
        <v>2.97</v>
      </c>
      <c r="T29">
        <v>1.57</v>
      </c>
      <c r="U29">
        <v>-25.05</v>
      </c>
      <c r="V29">
        <v>-4875</v>
      </c>
      <c r="W29">
        <v>25.89</v>
      </c>
      <c r="X29" t="s">
        <v>334</v>
      </c>
      <c r="Y29" t="s">
        <v>335</v>
      </c>
      <c r="Z29">
        <v>0.93</v>
      </c>
      <c r="AA29">
        <v>2565</v>
      </c>
      <c r="AB29">
        <v>6821</v>
      </c>
      <c r="AC29">
        <v>1.89</v>
      </c>
      <c r="AD29" t="s">
        <v>336</v>
      </c>
      <c r="AE29" t="s">
        <v>337</v>
      </c>
      <c r="AF29" t="s">
        <v>338</v>
      </c>
      <c r="AG29" t="s">
        <v>59</v>
      </c>
      <c r="AH29">
        <v>0.62</v>
      </c>
      <c r="AI29">
        <v>-2.57</v>
      </c>
      <c r="AJ29">
        <v>4.15</v>
      </c>
      <c r="AK29">
        <v>8.03</v>
      </c>
      <c r="AL29">
        <v>1</v>
      </c>
      <c r="AM29">
        <v>1.99</v>
      </c>
      <c r="AN29">
        <v>2.67</v>
      </c>
      <c r="AO29">
        <v>-0.61</v>
      </c>
      <c r="AP29">
        <v>6.22</v>
      </c>
    </row>
    <row r="30" spans="1:42">
      <c r="A30">
        <v>29</v>
      </c>
      <c r="B30" t="str">
        <f>"601012"</f>
        <v>601012</v>
      </c>
      <c r="C30" t="s">
        <v>339</v>
      </c>
      <c r="D30">
        <v>21.21</v>
      </c>
      <c r="E30">
        <v>-0.09</v>
      </c>
      <c r="F30">
        <v>-0.02</v>
      </c>
      <c r="G30" t="s">
        <v>340</v>
      </c>
      <c r="H30">
        <v>8840</v>
      </c>
      <c r="I30">
        <v>21.21</v>
      </c>
      <c r="J30">
        <v>21.22</v>
      </c>
      <c r="K30" t="s">
        <v>341</v>
      </c>
      <c r="L30">
        <v>1.24</v>
      </c>
      <c r="M30" t="s">
        <v>46</v>
      </c>
      <c r="N30" t="s">
        <v>342</v>
      </c>
      <c r="O30">
        <v>21.29</v>
      </c>
      <c r="P30">
        <v>20.88</v>
      </c>
      <c r="Q30">
        <v>21.1</v>
      </c>
      <c r="R30">
        <v>21.23</v>
      </c>
      <c r="S30">
        <v>1.93</v>
      </c>
      <c r="T30">
        <v>1.16</v>
      </c>
      <c r="U30">
        <v>-7.28</v>
      </c>
      <c r="V30">
        <v>-1088</v>
      </c>
      <c r="W30">
        <v>21.08</v>
      </c>
      <c r="X30" t="s">
        <v>343</v>
      </c>
      <c r="Y30" t="s">
        <v>344</v>
      </c>
      <c r="Z30">
        <v>1.07</v>
      </c>
      <c r="AA30">
        <v>3404</v>
      </c>
      <c r="AB30">
        <v>788</v>
      </c>
      <c r="AC30">
        <v>2.26</v>
      </c>
      <c r="AD30" t="s">
        <v>345</v>
      </c>
      <c r="AE30" t="s">
        <v>346</v>
      </c>
      <c r="AF30" t="s">
        <v>345</v>
      </c>
      <c r="AG30" t="s">
        <v>346</v>
      </c>
      <c r="AH30">
        <v>-3.15</v>
      </c>
      <c r="AI30">
        <v>-7.3</v>
      </c>
      <c r="AJ30">
        <v>3.34</v>
      </c>
      <c r="AK30">
        <v>6.59</v>
      </c>
      <c r="AL30">
        <v>-3</v>
      </c>
      <c r="AM30">
        <v>-0.09</v>
      </c>
      <c r="AN30">
        <v>-49.33</v>
      </c>
      <c r="AO30">
        <v>-7.26</v>
      </c>
      <c r="AP30">
        <v>-54.05</v>
      </c>
    </row>
    <row r="31" spans="1:42">
      <c r="A31">
        <v>30</v>
      </c>
      <c r="B31" t="str">
        <f>"601318"</f>
        <v>601318</v>
      </c>
      <c r="C31" t="s">
        <v>347</v>
      </c>
      <c r="D31">
        <v>41.02</v>
      </c>
      <c r="E31">
        <v>0.54</v>
      </c>
      <c r="F31">
        <v>0.22</v>
      </c>
      <c r="G31" t="s">
        <v>348</v>
      </c>
      <c r="H31">
        <v>4665</v>
      </c>
      <c r="I31">
        <v>41.02</v>
      </c>
      <c r="J31">
        <v>41.03</v>
      </c>
      <c r="K31" t="s">
        <v>349</v>
      </c>
      <c r="L31">
        <v>0.45</v>
      </c>
      <c r="M31" t="s">
        <v>46</v>
      </c>
      <c r="N31" t="s">
        <v>350</v>
      </c>
      <c r="O31">
        <v>41.18</v>
      </c>
      <c r="P31">
        <v>40.3</v>
      </c>
      <c r="Q31">
        <v>40.65</v>
      </c>
      <c r="R31">
        <v>40.8</v>
      </c>
      <c r="S31">
        <v>2.16</v>
      </c>
      <c r="T31">
        <v>1.06</v>
      </c>
      <c r="U31">
        <v>75.6</v>
      </c>
      <c r="V31">
        <v>1995</v>
      </c>
      <c r="W31">
        <v>40.79</v>
      </c>
      <c r="X31" t="s">
        <v>351</v>
      </c>
      <c r="Y31" t="s">
        <v>352</v>
      </c>
      <c r="Z31">
        <v>0.92</v>
      </c>
      <c r="AA31">
        <v>769</v>
      </c>
      <c r="AB31">
        <v>9</v>
      </c>
      <c r="AC31">
        <v>0.83</v>
      </c>
      <c r="AD31" t="s">
        <v>353</v>
      </c>
      <c r="AE31" t="s">
        <v>354</v>
      </c>
      <c r="AF31" t="s">
        <v>355</v>
      </c>
      <c r="AG31" t="s">
        <v>356</v>
      </c>
      <c r="AH31">
        <v>-1.56</v>
      </c>
      <c r="AI31">
        <v>-4.72</v>
      </c>
      <c r="AJ31">
        <v>1.44</v>
      </c>
      <c r="AK31">
        <v>2.59</v>
      </c>
      <c r="AL31">
        <v>2</v>
      </c>
      <c r="AM31">
        <v>0.54</v>
      </c>
      <c r="AN31">
        <v>-7.96</v>
      </c>
      <c r="AO31">
        <v>-9.33</v>
      </c>
      <c r="AP31">
        <v>3.74</v>
      </c>
    </row>
    <row r="32" spans="1:42">
      <c r="A32">
        <v>31</v>
      </c>
      <c r="B32" t="str">
        <f>"600775"</f>
        <v>600775</v>
      </c>
      <c r="C32" t="s">
        <v>357</v>
      </c>
      <c r="D32">
        <v>15.8</v>
      </c>
      <c r="E32">
        <v>2.27</v>
      </c>
      <c r="F32">
        <v>0.35</v>
      </c>
      <c r="G32" t="s">
        <v>358</v>
      </c>
      <c r="H32" t="s">
        <v>128</v>
      </c>
      <c r="I32">
        <v>15.79</v>
      </c>
      <c r="J32">
        <v>15.8</v>
      </c>
      <c r="K32" t="s">
        <v>359</v>
      </c>
      <c r="L32">
        <v>19.1</v>
      </c>
      <c r="M32" t="s">
        <v>46</v>
      </c>
      <c r="N32" t="s">
        <v>360</v>
      </c>
      <c r="O32">
        <v>16.12</v>
      </c>
      <c r="P32">
        <v>14.53</v>
      </c>
      <c r="Q32">
        <v>15.53</v>
      </c>
      <c r="R32">
        <v>15.45</v>
      </c>
      <c r="S32">
        <v>10.29</v>
      </c>
      <c r="T32">
        <v>0.95</v>
      </c>
      <c r="U32">
        <v>51.83</v>
      </c>
      <c r="V32">
        <v>2180</v>
      </c>
      <c r="W32">
        <v>15.45</v>
      </c>
      <c r="X32" t="s">
        <v>361</v>
      </c>
      <c r="Y32" t="s">
        <v>362</v>
      </c>
      <c r="Z32">
        <v>0.81</v>
      </c>
      <c r="AA32">
        <v>2397</v>
      </c>
      <c r="AB32">
        <v>544</v>
      </c>
      <c r="AC32">
        <v>4.11</v>
      </c>
      <c r="AD32" t="s">
        <v>363</v>
      </c>
      <c r="AE32" t="s">
        <v>364</v>
      </c>
      <c r="AF32" t="s">
        <v>365</v>
      </c>
      <c r="AG32" t="s">
        <v>366</v>
      </c>
      <c r="AH32">
        <v>9.49</v>
      </c>
      <c r="AI32">
        <v>-3.95</v>
      </c>
      <c r="AJ32">
        <v>55.62</v>
      </c>
      <c r="AK32">
        <v>120.03</v>
      </c>
      <c r="AL32">
        <v>1</v>
      </c>
      <c r="AM32">
        <v>2.27</v>
      </c>
      <c r="AN32">
        <v>51.92</v>
      </c>
      <c r="AO32">
        <v>77.53</v>
      </c>
      <c r="AP32">
        <v>34.58</v>
      </c>
    </row>
    <row r="33" spans="1:42">
      <c r="A33">
        <v>32</v>
      </c>
      <c r="B33" t="str">
        <f>"000858"</f>
        <v>000858</v>
      </c>
      <c r="C33" t="s">
        <v>367</v>
      </c>
      <c r="D33">
        <v>147.21</v>
      </c>
      <c r="E33">
        <v>-1.3</v>
      </c>
      <c r="F33">
        <v>-1.94</v>
      </c>
      <c r="G33" t="s">
        <v>368</v>
      </c>
      <c r="H33">
        <v>1019</v>
      </c>
      <c r="I33">
        <v>147.21</v>
      </c>
      <c r="J33">
        <v>147.22</v>
      </c>
      <c r="K33" t="s">
        <v>369</v>
      </c>
      <c r="L33">
        <v>0.35</v>
      </c>
      <c r="M33" t="s">
        <v>46</v>
      </c>
      <c r="N33" t="s">
        <v>370</v>
      </c>
      <c r="O33">
        <v>149</v>
      </c>
      <c r="P33">
        <v>146.01</v>
      </c>
      <c r="Q33">
        <v>149</v>
      </c>
      <c r="R33">
        <v>149.15</v>
      </c>
      <c r="S33">
        <v>2</v>
      </c>
      <c r="T33">
        <v>1.1</v>
      </c>
      <c r="U33">
        <v>48.74</v>
      </c>
      <c r="V33">
        <v>219</v>
      </c>
      <c r="W33">
        <v>147.2</v>
      </c>
      <c r="X33" t="s">
        <v>371</v>
      </c>
      <c r="Y33" t="s">
        <v>372</v>
      </c>
      <c r="Z33">
        <v>1.52</v>
      </c>
      <c r="AA33">
        <v>155</v>
      </c>
      <c r="AB33">
        <v>3</v>
      </c>
      <c r="AC33">
        <v>4.68</v>
      </c>
      <c r="AD33" t="s">
        <v>373</v>
      </c>
      <c r="AE33" t="s">
        <v>374</v>
      </c>
      <c r="AF33" t="s">
        <v>373</v>
      </c>
      <c r="AG33" t="s">
        <v>374</v>
      </c>
      <c r="AH33">
        <v>-1.04</v>
      </c>
      <c r="AI33">
        <v>-3.83</v>
      </c>
      <c r="AJ33">
        <v>0.84</v>
      </c>
      <c r="AK33">
        <v>1.92</v>
      </c>
      <c r="AL33">
        <v>-1</v>
      </c>
      <c r="AM33">
        <v>-1.3</v>
      </c>
      <c r="AN33">
        <v>-16.79</v>
      </c>
      <c r="AO33">
        <v>-7.8</v>
      </c>
      <c r="AP33">
        <v>0.52</v>
      </c>
    </row>
    <row r="34" spans="1:42">
      <c r="A34">
        <v>33</v>
      </c>
      <c r="B34" t="str">
        <f>"002456"</f>
        <v>002456</v>
      </c>
      <c r="C34" t="s">
        <v>375</v>
      </c>
      <c r="D34">
        <v>10.22</v>
      </c>
      <c r="E34">
        <v>0.79</v>
      </c>
      <c r="F34">
        <v>0.08</v>
      </c>
      <c r="G34" t="s">
        <v>376</v>
      </c>
      <c r="H34" t="s">
        <v>377</v>
      </c>
      <c r="I34">
        <v>10.22</v>
      </c>
      <c r="J34">
        <v>10.23</v>
      </c>
      <c r="K34" t="s">
        <v>378</v>
      </c>
      <c r="L34">
        <v>5.86</v>
      </c>
      <c r="M34" t="s">
        <v>46</v>
      </c>
      <c r="N34" t="s">
        <v>379</v>
      </c>
      <c r="O34">
        <v>10.28</v>
      </c>
      <c r="P34">
        <v>9.95</v>
      </c>
      <c r="Q34">
        <v>10.05</v>
      </c>
      <c r="R34">
        <v>10.14</v>
      </c>
      <c r="S34">
        <v>3.25</v>
      </c>
      <c r="T34">
        <v>0.93</v>
      </c>
      <c r="U34">
        <v>-27.13</v>
      </c>
      <c r="V34" t="s">
        <v>380</v>
      </c>
      <c r="W34">
        <v>10.19</v>
      </c>
      <c r="X34" t="s">
        <v>381</v>
      </c>
      <c r="Y34" t="s">
        <v>382</v>
      </c>
      <c r="Z34">
        <v>0.82</v>
      </c>
      <c r="AA34">
        <v>298</v>
      </c>
      <c r="AB34" t="s">
        <v>383</v>
      </c>
      <c r="AC34">
        <v>11.13</v>
      </c>
      <c r="AD34" t="s">
        <v>384</v>
      </c>
      <c r="AE34" t="s">
        <v>385</v>
      </c>
      <c r="AF34" t="s">
        <v>386</v>
      </c>
      <c r="AG34" t="s">
        <v>387</v>
      </c>
      <c r="AH34">
        <v>0.39</v>
      </c>
      <c r="AI34">
        <v>-2.2</v>
      </c>
      <c r="AJ34">
        <v>20.71</v>
      </c>
      <c r="AK34">
        <v>37.52</v>
      </c>
      <c r="AL34">
        <v>2</v>
      </c>
      <c r="AM34">
        <v>0.79</v>
      </c>
      <c r="AN34">
        <v>116.99</v>
      </c>
      <c r="AO34">
        <v>-5.81</v>
      </c>
      <c r="AP34">
        <v>96.92</v>
      </c>
    </row>
    <row r="35" spans="1:42">
      <c r="A35">
        <v>34</v>
      </c>
      <c r="B35" t="str">
        <f>"002786"</f>
        <v>002786</v>
      </c>
      <c r="C35" t="s">
        <v>388</v>
      </c>
      <c r="D35">
        <v>13.53</v>
      </c>
      <c r="E35">
        <v>0</v>
      </c>
      <c r="F35">
        <v>0</v>
      </c>
      <c r="G35" t="s">
        <v>389</v>
      </c>
      <c r="H35" t="s">
        <v>390</v>
      </c>
      <c r="I35">
        <v>13.52</v>
      </c>
      <c r="J35">
        <v>13.53</v>
      </c>
      <c r="K35" t="s">
        <v>391</v>
      </c>
      <c r="L35">
        <v>28.6</v>
      </c>
      <c r="M35" t="s">
        <v>46</v>
      </c>
      <c r="N35" t="s">
        <v>392</v>
      </c>
      <c r="O35">
        <v>14.58</v>
      </c>
      <c r="P35">
        <v>12.8</v>
      </c>
      <c r="Q35">
        <v>13.54</v>
      </c>
      <c r="R35">
        <v>13.53</v>
      </c>
      <c r="S35">
        <v>13.16</v>
      </c>
      <c r="T35">
        <v>1.41</v>
      </c>
      <c r="U35">
        <v>-24.54</v>
      </c>
      <c r="V35">
        <v>-3585</v>
      </c>
      <c r="W35">
        <v>13.58</v>
      </c>
      <c r="X35" t="s">
        <v>393</v>
      </c>
      <c r="Y35" t="s">
        <v>394</v>
      </c>
      <c r="Z35">
        <v>1.13</v>
      </c>
      <c r="AA35">
        <v>2004</v>
      </c>
      <c r="AB35">
        <v>3551</v>
      </c>
      <c r="AC35">
        <v>70.34</v>
      </c>
      <c r="AD35" t="s">
        <v>395</v>
      </c>
      <c r="AE35" t="s">
        <v>396</v>
      </c>
      <c r="AF35" t="s">
        <v>397</v>
      </c>
      <c r="AG35" t="s">
        <v>398</v>
      </c>
      <c r="AH35">
        <v>16.34</v>
      </c>
      <c r="AI35">
        <v>2.73</v>
      </c>
      <c r="AJ35">
        <v>73.55</v>
      </c>
      <c r="AK35">
        <v>130.38</v>
      </c>
      <c r="AL35">
        <v>0</v>
      </c>
      <c r="AM35">
        <v>0</v>
      </c>
      <c r="AN35">
        <v>91.37</v>
      </c>
      <c r="AO35">
        <v>70.4</v>
      </c>
      <c r="AP35">
        <v>99.56</v>
      </c>
    </row>
    <row r="36" spans="1:42">
      <c r="A36">
        <v>35</v>
      </c>
      <c r="B36" t="str">
        <f>"300058"</f>
        <v>300058</v>
      </c>
      <c r="C36" t="s">
        <v>399</v>
      </c>
      <c r="D36">
        <v>8.15</v>
      </c>
      <c r="E36">
        <v>10.73</v>
      </c>
      <c r="F36">
        <v>0.79</v>
      </c>
      <c r="G36" t="s">
        <v>400</v>
      </c>
      <c r="H36" t="s">
        <v>401</v>
      </c>
      <c r="I36">
        <v>8.14</v>
      </c>
      <c r="J36">
        <v>8.15</v>
      </c>
      <c r="K36" t="s">
        <v>402</v>
      </c>
      <c r="L36">
        <v>10.55</v>
      </c>
      <c r="M36" t="s">
        <v>46</v>
      </c>
      <c r="N36" t="s">
        <v>403</v>
      </c>
      <c r="O36">
        <v>8.25</v>
      </c>
      <c r="P36">
        <v>7.34</v>
      </c>
      <c r="Q36">
        <v>7.36</v>
      </c>
      <c r="R36">
        <v>7.36</v>
      </c>
      <c r="S36">
        <v>12.36</v>
      </c>
      <c r="T36">
        <v>2.55</v>
      </c>
      <c r="U36">
        <v>-60.45</v>
      </c>
      <c r="V36" t="s">
        <v>404</v>
      </c>
      <c r="W36">
        <v>7.85</v>
      </c>
      <c r="X36" t="s">
        <v>405</v>
      </c>
      <c r="Y36" t="s">
        <v>406</v>
      </c>
      <c r="Z36">
        <v>0.57</v>
      </c>
      <c r="AA36">
        <v>3214</v>
      </c>
      <c r="AB36">
        <v>9277</v>
      </c>
      <c r="AC36">
        <v>2.61</v>
      </c>
      <c r="AD36" t="s">
        <v>407</v>
      </c>
      <c r="AE36" t="s">
        <v>408</v>
      </c>
      <c r="AF36" t="s">
        <v>409</v>
      </c>
      <c r="AG36" t="s">
        <v>410</v>
      </c>
      <c r="AH36">
        <v>7.52</v>
      </c>
      <c r="AI36">
        <v>-0.24</v>
      </c>
      <c r="AJ36">
        <v>16.54</v>
      </c>
      <c r="AK36">
        <v>31.23</v>
      </c>
      <c r="AL36">
        <v>1</v>
      </c>
      <c r="AM36">
        <v>10.73</v>
      </c>
      <c r="AN36">
        <v>61.39</v>
      </c>
      <c r="AO36">
        <v>10.14</v>
      </c>
      <c r="AP36">
        <v>42.98</v>
      </c>
    </row>
    <row r="37" spans="1:42">
      <c r="A37">
        <v>36</v>
      </c>
      <c r="B37" t="str">
        <f>"600276"</f>
        <v>600276</v>
      </c>
      <c r="C37" t="s">
        <v>411</v>
      </c>
      <c r="D37">
        <v>46.58</v>
      </c>
      <c r="E37">
        <v>-3</v>
      </c>
      <c r="F37">
        <v>-1.44</v>
      </c>
      <c r="G37" t="s">
        <v>412</v>
      </c>
      <c r="H37">
        <v>2608</v>
      </c>
      <c r="I37">
        <v>46.58</v>
      </c>
      <c r="J37">
        <v>46.59</v>
      </c>
      <c r="K37" t="s">
        <v>413</v>
      </c>
      <c r="L37">
        <v>0.64</v>
      </c>
      <c r="M37" t="s">
        <v>46</v>
      </c>
      <c r="N37" t="s">
        <v>414</v>
      </c>
      <c r="O37">
        <v>48.13</v>
      </c>
      <c r="P37">
        <v>45.83</v>
      </c>
      <c r="Q37">
        <v>47.95</v>
      </c>
      <c r="R37">
        <v>48.02</v>
      </c>
      <c r="S37">
        <v>4.79</v>
      </c>
      <c r="T37">
        <v>2.2</v>
      </c>
      <c r="U37">
        <v>-10.11</v>
      </c>
      <c r="V37">
        <v>-113</v>
      </c>
      <c r="W37">
        <v>46.66</v>
      </c>
      <c r="X37" t="s">
        <v>415</v>
      </c>
      <c r="Y37" t="s">
        <v>416</v>
      </c>
      <c r="Z37">
        <v>1.05</v>
      </c>
      <c r="AA37">
        <v>24</v>
      </c>
      <c r="AB37">
        <v>8</v>
      </c>
      <c r="AC37">
        <v>7.5</v>
      </c>
      <c r="AD37" t="s">
        <v>417</v>
      </c>
      <c r="AE37" t="s">
        <v>418</v>
      </c>
      <c r="AF37" t="s">
        <v>419</v>
      </c>
      <c r="AG37" t="s">
        <v>420</v>
      </c>
      <c r="AH37">
        <v>-1.94</v>
      </c>
      <c r="AI37">
        <v>-1.25</v>
      </c>
      <c r="AJ37">
        <v>1.25</v>
      </c>
      <c r="AK37">
        <v>2.09</v>
      </c>
      <c r="AL37">
        <v>-1</v>
      </c>
      <c r="AM37">
        <v>-3</v>
      </c>
      <c r="AN37">
        <v>21.4</v>
      </c>
      <c r="AO37">
        <v>-1.96</v>
      </c>
      <c r="AP37">
        <v>17.15</v>
      </c>
    </row>
    <row r="38" spans="1:42">
      <c r="A38">
        <v>37</v>
      </c>
      <c r="B38" t="str">
        <f>"688256"</f>
        <v>688256</v>
      </c>
      <c r="C38" t="s">
        <v>421</v>
      </c>
      <c r="D38">
        <v>155</v>
      </c>
      <c r="E38">
        <v>3.46</v>
      </c>
      <c r="F38">
        <v>5.19</v>
      </c>
      <c r="G38" t="s">
        <v>422</v>
      </c>
      <c r="H38">
        <v>2592</v>
      </c>
      <c r="I38">
        <v>155</v>
      </c>
      <c r="J38">
        <v>155.01</v>
      </c>
      <c r="K38" t="s">
        <v>423</v>
      </c>
      <c r="L38">
        <v>4.63</v>
      </c>
      <c r="M38" t="s">
        <v>46</v>
      </c>
      <c r="N38" t="s">
        <v>424</v>
      </c>
      <c r="O38">
        <v>156.32</v>
      </c>
      <c r="P38">
        <v>147</v>
      </c>
      <c r="Q38">
        <v>149</v>
      </c>
      <c r="R38">
        <v>149.81</v>
      </c>
      <c r="S38">
        <v>6.22</v>
      </c>
      <c r="T38">
        <v>1.27</v>
      </c>
      <c r="U38">
        <v>79.64</v>
      </c>
      <c r="V38">
        <v>180</v>
      </c>
      <c r="W38">
        <v>152.58</v>
      </c>
      <c r="X38" t="s">
        <v>425</v>
      </c>
      <c r="Y38" t="s">
        <v>426</v>
      </c>
      <c r="Z38">
        <v>0.85</v>
      </c>
      <c r="AA38">
        <v>104</v>
      </c>
      <c r="AB38">
        <v>2</v>
      </c>
      <c r="AC38">
        <v>11.12</v>
      </c>
      <c r="AD38" t="s">
        <v>427</v>
      </c>
      <c r="AE38" t="s">
        <v>428</v>
      </c>
      <c r="AF38" t="s">
        <v>429</v>
      </c>
      <c r="AG38" t="s">
        <v>430</v>
      </c>
      <c r="AH38">
        <v>7.56</v>
      </c>
      <c r="AI38">
        <v>1.95</v>
      </c>
      <c r="AJ38">
        <v>11.58</v>
      </c>
      <c r="AK38">
        <v>22.94</v>
      </c>
      <c r="AL38">
        <v>2</v>
      </c>
      <c r="AM38">
        <v>3.46</v>
      </c>
      <c r="AN38">
        <v>184.09</v>
      </c>
      <c r="AO38">
        <v>42.16</v>
      </c>
      <c r="AP38">
        <v>135.28</v>
      </c>
    </row>
    <row r="39" spans="1:42">
      <c r="A39">
        <v>38</v>
      </c>
      <c r="B39" t="str">
        <f>"300059"</f>
        <v>300059</v>
      </c>
      <c r="C39" t="s">
        <v>431</v>
      </c>
      <c r="D39">
        <v>14.72</v>
      </c>
      <c r="E39">
        <v>0.55</v>
      </c>
      <c r="F39">
        <v>0.08</v>
      </c>
      <c r="G39" t="s">
        <v>358</v>
      </c>
      <c r="H39" t="s">
        <v>432</v>
      </c>
      <c r="I39">
        <v>14.72</v>
      </c>
      <c r="J39">
        <v>14.73</v>
      </c>
      <c r="K39" t="s">
        <v>433</v>
      </c>
      <c r="L39">
        <v>0.95</v>
      </c>
      <c r="M39" t="s">
        <v>46</v>
      </c>
      <c r="N39" t="s">
        <v>434</v>
      </c>
      <c r="O39">
        <v>14.77</v>
      </c>
      <c r="P39">
        <v>14.49</v>
      </c>
      <c r="Q39">
        <v>14.64</v>
      </c>
      <c r="R39">
        <v>14.64</v>
      </c>
      <c r="S39">
        <v>1.91</v>
      </c>
      <c r="T39">
        <v>1.3</v>
      </c>
      <c r="U39">
        <v>-28.94</v>
      </c>
      <c r="V39" t="s">
        <v>435</v>
      </c>
      <c r="W39">
        <v>14.62</v>
      </c>
      <c r="X39" t="s">
        <v>436</v>
      </c>
      <c r="Y39" t="s">
        <v>437</v>
      </c>
      <c r="Z39">
        <v>0.97</v>
      </c>
      <c r="AA39">
        <v>4799</v>
      </c>
      <c r="AB39">
        <v>3172</v>
      </c>
      <c r="AC39">
        <v>3.31</v>
      </c>
      <c r="AD39" t="s">
        <v>438</v>
      </c>
      <c r="AE39" t="s">
        <v>439</v>
      </c>
      <c r="AF39" t="s">
        <v>440</v>
      </c>
      <c r="AG39" t="s">
        <v>441</v>
      </c>
      <c r="AH39">
        <v>-0.61</v>
      </c>
      <c r="AI39">
        <v>-2.19</v>
      </c>
      <c r="AJ39">
        <v>2.41</v>
      </c>
      <c r="AK39">
        <v>4.64</v>
      </c>
      <c r="AL39">
        <v>2</v>
      </c>
      <c r="AM39">
        <v>0.55</v>
      </c>
      <c r="AN39">
        <v>-8.63</v>
      </c>
      <c r="AO39">
        <v>-4.17</v>
      </c>
      <c r="AP39">
        <v>-1.08</v>
      </c>
    </row>
    <row r="40" spans="1:42">
      <c r="A40">
        <v>39</v>
      </c>
      <c r="B40" t="str">
        <f>"688041"</f>
        <v>688041</v>
      </c>
      <c r="C40" t="s">
        <v>442</v>
      </c>
      <c r="D40">
        <v>71.9</v>
      </c>
      <c r="E40">
        <v>0.18</v>
      </c>
      <c r="F40">
        <v>0.13</v>
      </c>
      <c r="G40" t="s">
        <v>443</v>
      </c>
      <c r="H40">
        <v>1618</v>
      </c>
      <c r="I40">
        <v>71.89</v>
      </c>
      <c r="J40">
        <v>71.9</v>
      </c>
      <c r="K40" t="s">
        <v>444</v>
      </c>
      <c r="L40">
        <v>2.84</v>
      </c>
      <c r="M40" t="s">
        <v>46</v>
      </c>
      <c r="N40" t="s">
        <v>445</v>
      </c>
      <c r="O40">
        <v>73.46</v>
      </c>
      <c r="P40">
        <v>70.89</v>
      </c>
      <c r="Q40">
        <v>71.2</v>
      </c>
      <c r="R40">
        <v>71.77</v>
      </c>
      <c r="S40">
        <v>3.58</v>
      </c>
      <c r="T40">
        <v>0.77</v>
      </c>
      <c r="U40">
        <v>-47.82</v>
      </c>
      <c r="V40">
        <v>-380</v>
      </c>
      <c r="W40">
        <v>72.1</v>
      </c>
      <c r="X40" t="s">
        <v>446</v>
      </c>
      <c r="Y40" t="s">
        <v>447</v>
      </c>
      <c r="Z40">
        <v>1.05</v>
      </c>
      <c r="AA40">
        <v>41</v>
      </c>
      <c r="AB40">
        <v>4</v>
      </c>
      <c r="AC40">
        <v>9.26</v>
      </c>
      <c r="AD40" t="s">
        <v>448</v>
      </c>
      <c r="AE40" t="s">
        <v>449</v>
      </c>
      <c r="AF40" t="s">
        <v>450</v>
      </c>
      <c r="AG40" t="s">
        <v>451</v>
      </c>
      <c r="AH40">
        <v>1.64</v>
      </c>
      <c r="AI40">
        <v>6.82</v>
      </c>
      <c r="AJ40">
        <v>10.85</v>
      </c>
      <c r="AK40">
        <v>21.22</v>
      </c>
      <c r="AL40">
        <v>2</v>
      </c>
      <c r="AM40">
        <v>0.18</v>
      </c>
      <c r="AN40">
        <v>79.39</v>
      </c>
      <c r="AO40">
        <v>7.88</v>
      </c>
      <c r="AP40">
        <v>58.06</v>
      </c>
    </row>
    <row r="41" spans="1:42">
      <c r="A41">
        <v>40</v>
      </c>
      <c r="B41" t="str">
        <f>"600178"</f>
        <v>600178</v>
      </c>
      <c r="C41" t="s">
        <v>452</v>
      </c>
      <c r="D41">
        <v>15.2</v>
      </c>
      <c r="E41">
        <v>9.99</v>
      </c>
      <c r="F41">
        <v>1.38</v>
      </c>
      <c r="G41" t="s">
        <v>453</v>
      </c>
      <c r="H41">
        <v>590</v>
      </c>
      <c r="I41">
        <v>15.2</v>
      </c>
      <c r="J41" t="s">
        <v>76</v>
      </c>
      <c r="K41" t="s">
        <v>454</v>
      </c>
      <c r="L41">
        <v>28.7</v>
      </c>
      <c r="M41" t="s">
        <v>46</v>
      </c>
      <c r="N41" t="s">
        <v>455</v>
      </c>
      <c r="O41">
        <v>15.2</v>
      </c>
      <c r="P41">
        <v>12.44</v>
      </c>
      <c r="Q41">
        <v>13.99</v>
      </c>
      <c r="R41">
        <v>13.82</v>
      </c>
      <c r="S41">
        <v>19.97</v>
      </c>
      <c r="T41">
        <v>3.82</v>
      </c>
      <c r="U41">
        <v>100</v>
      </c>
      <c r="V41" t="s">
        <v>456</v>
      </c>
      <c r="W41">
        <v>13.57</v>
      </c>
      <c r="X41" t="s">
        <v>457</v>
      </c>
      <c r="Y41" t="s">
        <v>458</v>
      </c>
      <c r="Z41">
        <v>1.29</v>
      </c>
      <c r="AA41" t="s">
        <v>459</v>
      </c>
      <c r="AB41">
        <v>0</v>
      </c>
      <c r="AC41">
        <v>2.84</v>
      </c>
      <c r="AD41" t="s">
        <v>460</v>
      </c>
      <c r="AE41" t="s">
        <v>461</v>
      </c>
      <c r="AF41" t="s">
        <v>462</v>
      </c>
      <c r="AG41" t="s">
        <v>463</v>
      </c>
      <c r="AH41">
        <v>33.1</v>
      </c>
      <c r="AI41">
        <v>77.16</v>
      </c>
      <c r="AJ41">
        <v>59.1</v>
      </c>
      <c r="AK41">
        <v>66.3</v>
      </c>
      <c r="AL41">
        <v>7</v>
      </c>
      <c r="AM41">
        <v>9.99</v>
      </c>
      <c r="AN41">
        <v>153.76</v>
      </c>
      <c r="AO41">
        <v>116.83</v>
      </c>
      <c r="AP41">
        <v>133.85</v>
      </c>
    </row>
    <row r="42" spans="1:42">
      <c r="A42">
        <v>41</v>
      </c>
      <c r="B42" t="str">
        <f>"002771"</f>
        <v>002771</v>
      </c>
      <c r="C42" t="s">
        <v>464</v>
      </c>
      <c r="D42">
        <v>26.52</v>
      </c>
      <c r="E42">
        <v>0.42</v>
      </c>
      <c r="F42">
        <v>0.11</v>
      </c>
      <c r="G42" t="s">
        <v>465</v>
      </c>
      <c r="H42">
        <v>7575</v>
      </c>
      <c r="I42">
        <v>26.52</v>
      </c>
      <c r="J42">
        <v>26.53</v>
      </c>
      <c r="K42" t="s">
        <v>466</v>
      </c>
      <c r="L42">
        <v>38.2</v>
      </c>
      <c r="M42" t="s">
        <v>46</v>
      </c>
      <c r="N42" t="s">
        <v>467</v>
      </c>
      <c r="O42">
        <v>28.53</v>
      </c>
      <c r="P42">
        <v>25.96</v>
      </c>
      <c r="Q42">
        <v>26.98</v>
      </c>
      <c r="R42">
        <v>26.41</v>
      </c>
      <c r="S42">
        <v>9.73</v>
      </c>
      <c r="T42">
        <v>2.4</v>
      </c>
      <c r="U42">
        <v>48.61</v>
      </c>
      <c r="V42">
        <v>2020</v>
      </c>
      <c r="W42">
        <v>27.01</v>
      </c>
      <c r="X42" t="s">
        <v>468</v>
      </c>
      <c r="Y42" t="s">
        <v>469</v>
      </c>
      <c r="Z42">
        <v>1.2</v>
      </c>
      <c r="AA42">
        <v>2039</v>
      </c>
      <c r="AB42">
        <v>335</v>
      </c>
      <c r="AC42">
        <v>8.42</v>
      </c>
      <c r="AD42" t="s">
        <v>470</v>
      </c>
      <c r="AE42" t="s">
        <v>471</v>
      </c>
      <c r="AF42" t="s">
        <v>472</v>
      </c>
      <c r="AG42" t="s">
        <v>473</v>
      </c>
      <c r="AH42">
        <v>10.92</v>
      </c>
      <c r="AI42">
        <v>2.31</v>
      </c>
      <c r="AJ42">
        <v>72.34</v>
      </c>
      <c r="AK42">
        <v>117.84</v>
      </c>
      <c r="AL42">
        <v>3</v>
      </c>
      <c r="AM42">
        <v>0.42</v>
      </c>
      <c r="AN42">
        <v>107.35</v>
      </c>
      <c r="AO42">
        <v>5.32</v>
      </c>
      <c r="AP42">
        <v>145.33</v>
      </c>
    </row>
    <row r="43" spans="1:42">
      <c r="A43">
        <v>42</v>
      </c>
      <c r="B43" t="str">
        <f>"603108"</f>
        <v>603108</v>
      </c>
      <c r="C43" t="s">
        <v>474</v>
      </c>
      <c r="D43">
        <v>24.11</v>
      </c>
      <c r="E43">
        <v>7.68</v>
      </c>
      <c r="F43">
        <v>1.72</v>
      </c>
      <c r="G43" t="s">
        <v>475</v>
      </c>
      <c r="H43">
        <v>7335</v>
      </c>
      <c r="I43">
        <v>24.1</v>
      </c>
      <c r="J43">
        <v>24.11</v>
      </c>
      <c r="K43" t="s">
        <v>476</v>
      </c>
      <c r="L43">
        <v>12.68</v>
      </c>
      <c r="M43" t="s">
        <v>46</v>
      </c>
      <c r="N43" t="s">
        <v>477</v>
      </c>
      <c r="O43">
        <v>24.63</v>
      </c>
      <c r="P43">
        <v>22.22</v>
      </c>
      <c r="Q43">
        <v>22.35</v>
      </c>
      <c r="R43">
        <v>22.39</v>
      </c>
      <c r="S43">
        <v>10.76</v>
      </c>
      <c r="T43">
        <v>1.45</v>
      </c>
      <c r="U43">
        <v>29.75</v>
      </c>
      <c r="V43">
        <v>1586</v>
      </c>
      <c r="W43">
        <v>23.59</v>
      </c>
      <c r="X43" t="s">
        <v>478</v>
      </c>
      <c r="Y43" t="s">
        <v>479</v>
      </c>
      <c r="Z43">
        <v>0.83</v>
      </c>
      <c r="AA43">
        <v>892</v>
      </c>
      <c r="AB43">
        <v>225</v>
      </c>
      <c r="AC43">
        <v>3.56</v>
      </c>
      <c r="AD43" t="s">
        <v>480</v>
      </c>
      <c r="AE43" t="s">
        <v>481</v>
      </c>
      <c r="AF43" t="s">
        <v>480</v>
      </c>
      <c r="AG43" t="s">
        <v>481</v>
      </c>
      <c r="AH43">
        <v>10.55</v>
      </c>
      <c r="AI43">
        <v>-0.78</v>
      </c>
      <c r="AJ43">
        <v>24.21</v>
      </c>
      <c r="AK43">
        <v>56.36</v>
      </c>
      <c r="AL43">
        <v>2</v>
      </c>
      <c r="AM43">
        <v>7.68</v>
      </c>
      <c r="AN43">
        <v>142.07</v>
      </c>
      <c r="AO43">
        <v>16.53</v>
      </c>
      <c r="AP43">
        <v>119.58</v>
      </c>
    </row>
    <row r="44" spans="1:42">
      <c r="A44">
        <v>43</v>
      </c>
      <c r="B44" t="str">
        <f>"300552"</f>
        <v>300552</v>
      </c>
      <c r="C44" t="s">
        <v>482</v>
      </c>
      <c r="D44">
        <v>41</v>
      </c>
      <c r="E44">
        <v>5.32</v>
      </c>
      <c r="F44">
        <v>2.07</v>
      </c>
      <c r="G44" t="s">
        <v>483</v>
      </c>
      <c r="H44">
        <v>7786</v>
      </c>
      <c r="I44">
        <v>40.98</v>
      </c>
      <c r="J44">
        <v>41</v>
      </c>
      <c r="K44" t="s">
        <v>484</v>
      </c>
      <c r="L44">
        <v>34.66</v>
      </c>
      <c r="M44" t="s">
        <v>46</v>
      </c>
      <c r="N44" t="s">
        <v>485</v>
      </c>
      <c r="O44">
        <v>41.52</v>
      </c>
      <c r="P44">
        <v>36.34</v>
      </c>
      <c r="Q44">
        <v>38.53</v>
      </c>
      <c r="R44">
        <v>38.93</v>
      </c>
      <c r="S44">
        <v>13.31</v>
      </c>
      <c r="T44">
        <v>1.02</v>
      </c>
      <c r="U44">
        <v>-96.88</v>
      </c>
      <c r="V44">
        <v>-2357</v>
      </c>
      <c r="W44">
        <v>39.7</v>
      </c>
      <c r="X44" t="s">
        <v>486</v>
      </c>
      <c r="Y44" t="s">
        <v>487</v>
      </c>
      <c r="Z44">
        <v>0.86</v>
      </c>
      <c r="AA44">
        <v>10</v>
      </c>
      <c r="AB44">
        <v>2309</v>
      </c>
      <c r="AC44">
        <v>3.49</v>
      </c>
      <c r="AD44" t="s">
        <v>488</v>
      </c>
      <c r="AE44" t="s">
        <v>489</v>
      </c>
      <c r="AF44" t="s">
        <v>490</v>
      </c>
      <c r="AG44" t="s">
        <v>491</v>
      </c>
      <c r="AH44">
        <v>6.22</v>
      </c>
      <c r="AI44">
        <v>14.05</v>
      </c>
      <c r="AJ44">
        <v>95.07</v>
      </c>
      <c r="AK44">
        <v>204.5</v>
      </c>
      <c r="AL44">
        <v>1</v>
      </c>
      <c r="AM44">
        <v>5.32</v>
      </c>
      <c r="AN44">
        <v>128.67</v>
      </c>
      <c r="AO44">
        <v>93.03</v>
      </c>
      <c r="AP44">
        <v>96.74</v>
      </c>
    </row>
    <row r="45" spans="1:42">
      <c r="A45">
        <v>44</v>
      </c>
      <c r="B45" t="str">
        <f>"002031"</f>
        <v>002031</v>
      </c>
      <c r="C45" t="s">
        <v>492</v>
      </c>
      <c r="D45">
        <v>3.94</v>
      </c>
      <c r="E45">
        <v>-1.99</v>
      </c>
      <c r="F45">
        <v>-0.08</v>
      </c>
      <c r="G45" t="s">
        <v>493</v>
      </c>
      <c r="H45" t="s">
        <v>494</v>
      </c>
      <c r="I45">
        <v>3.94</v>
      </c>
      <c r="J45">
        <v>3.95</v>
      </c>
      <c r="K45" t="s">
        <v>495</v>
      </c>
      <c r="L45">
        <v>22.08</v>
      </c>
      <c r="M45" t="s">
        <v>46</v>
      </c>
      <c r="N45" t="s">
        <v>496</v>
      </c>
      <c r="O45">
        <v>4.12</v>
      </c>
      <c r="P45">
        <v>3.86</v>
      </c>
      <c r="Q45">
        <v>4.02</v>
      </c>
      <c r="R45">
        <v>4.02</v>
      </c>
      <c r="S45">
        <v>6.47</v>
      </c>
      <c r="T45">
        <v>3.6</v>
      </c>
      <c r="U45">
        <v>-23.88</v>
      </c>
      <c r="V45" t="s">
        <v>497</v>
      </c>
      <c r="W45">
        <v>3.97</v>
      </c>
      <c r="X45" t="s">
        <v>498</v>
      </c>
      <c r="Y45" t="s">
        <v>499</v>
      </c>
      <c r="Z45">
        <v>0.94</v>
      </c>
      <c r="AA45">
        <v>885</v>
      </c>
      <c r="AB45" t="s">
        <v>60</v>
      </c>
      <c r="AC45">
        <v>3.54</v>
      </c>
      <c r="AD45" t="s">
        <v>500</v>
      </c>
      <c r="AE45" t="s">
        <v>501</v>
      </c>
      <c r="AF45" t="s">
        <v>502</v>
      </c>
      <c r="AG45" t="s">
        <v>503</v>
      </c>
      <c r="AH45">
        <v>7.07</v>
      </c>
      <c r="AI45">
        <v>3.41</v>
      </c>
      <c r="AJ45">
        <v>40.85</v>
      </c>
      <c r="AK45">
        <v>52.76</v>
      </c>
      <c r="AL45">
        <v>-1</v>
      </c>
      <c r="AM45">
        <v>-1.99</v>
      </c>
      <c r="AN45">
        <v>26.69</v>
      </c>
      <c r="AO45">
        <v>12.25</v>
      </c>
      <c r="AP45">
        <v>39.72</v>
      </c>
    </row>
    <row r="46" spans="1:42">
      <c r="A46">
        <v>45</v>
      </c>
      <c r="B46" t="str">
        <f>"603220"</f>
        <v>603220</v>
      </c>
      <c r="C46" t="s">
        <v>504</v>
      </c>
      <c r="D46">
        <v>40.38</v>
      </c>
      <c r="E46">
        <v>0.57</v>
      </c>
      <c r="F46">
        <v>0.23</v>
      </c>
      <c r="G46" t="s">
        <v>505</v>
      </c>
      <c r="H46">
        <v>5112</v>
      </c>
      <c r="I46">
        <v>40.37</v>
      </c>
      <c r="J46">
        <v>40.38</v>
      </c>
      <c r="K46" t="s">
        <v>506</v>
      </c>
      <c r="L46">
        <v>12.78</v>
      </c>
      <c r="M46" t="s">
        <v>46</v>
      </c>
      <c r="N46" t="s">
        <v>507</v>
      </c>
      <c r="O46">
        <v>41.13</v>
      </c>
      <c r="P46">
        <v>39.11</v>
      </c>
      <c r="Q46">
        <v>39.4</v>
      </c>
      <c r="R46">
        <v>40.15</v>
      </c>
      <c r="S46">
        <v>5.03</v>
      </c>
      <c r="T46">
        <v>0.98</v>
      </c>
      <c r="U46">
        <v>19.01</v>
      </c>
      <c r="V46">
        <v>766</v>
      </c>
      <c r="W46">
        <v>40.29</v>
      </c>
      <c r="X46" t="s">
        <v>508</v>
      </c>
      <c r="Y46" t="s">
        <v>509</v>
      </c>
      <c r="Z46">
        <v>1.08</v>
      </c>
      <c r="AA46">
        <v>1000</v>
      </c>
      <c r="AB46">
        <v>1180</v>
      </c>
      <c r="AC46">
        <v>7.48</v>
      </c>
      <c r="AD46" t="s">
        <v>510</v>
      </c>
      <c r="AE46" t="s">
        <v>511</v>
      </c>
      <c r="AF46" t="s">
        <v>512</v>
      </c>
      <c r="AG46" t="s">
        <v>513</v>
      </c>
      <c r="AH46">
        <v>3.94</v>
      </c>
      <c r="AI46">
        <v>-9.42</v>
      </c>
      <c r="AJ46">
        <v>40.81</v>
      </c>
      <c r="AK46">
        <v>77.96</v>
      </c>
      <c r="AL46">
        <v>2</v>
      </c>
      <c r="AM46">
        <v>0.57</v>
      </c>
      <c r="AN46">
        <v>299.8</v>
      </c>
      <c r="AO46">
        <v>10.57</v>
      </c>
      <c r="AP46">
        <v>256.71</v>
      </c>
    </row>
    <row r="47" spans="1:42">
      <c r="A47">
        <v>46</v>
      </c>
      <c r="B47" t="str">
        <f>"603000"</f>
        <v>603000</v>
      </c>
      <c r="C47" t="s">
        <v>514</v>
      </c>
      <c r="D47">
        <v>34.55</v>
      </c>
      <c r="E47">
        <v>1.74</v>
      </c>
      <c r="F47">
        <v>0.59</v>
      </c>
      <c r="G47" t="s">
        <v>515</v>
      </c>
      <c r="H47">
        <v>8799</v>
      </c>
      <c r="I47">
        <v>34.54</v>
      </c>
      <c r="J47">
        <v>34.55</v>
      </c>
      <c r="K47" t="s">
        <v>516</v>
      </c>
      <c r="L47">
        <v>4.42</v>
      </c>
      <c r="M47" t="s">
        <v>46</v>
      </c>
      <c r="N47" t="s">
        <v>517</v>
      </c>
      <c r="O47">
        <v>35.1</v>
      </c>
      <c r="P47">
        <v>33.6</v>
      </c>
      <c r="Q47">
        <v>33.7</v>
      </c>
      <c r="R47">
        <v>33.96</v>
      </c>
      <c r="S47">
        <v>4.42</v>
      </c>
      <c r="T47">
        <v>0.96</v>
      </c>
      <c r="U47">
        <v>-36.64</v>
      </c>
      <c r="V47">
        <v>-1700</v>
      </c>
      <c r="W47">
        <v>34.49</v>
      </c>
      <c r="X47" t="s">
        <v>518</v>
      </c>
      <c r="Y47" t="s">
        <v>91</v>
      </c>
      <c r="Z47">
        <v>0.8</v>
      </c>
      <c r="AA47">
        <v>47</v>
      </c>
      <c r="AB47">
        <v>2900</v>
      </c>
      <c r="AC47">
        <v>10.94</v>
      </c>
      <c r="AD47" t="s">
        <v>85</v>
      </c>
      <c r="AE47" t="s">
        <v>519</v>
      </c>
      <c r="AF47" t="s">
        <v>85</v>
      </c>
      <c r="AG47" t="s">
        <v>519</v>
      </c>
      <c r="AH47">
        <v>-2.18</v>
      </c>
      <c r="AI47">
        <v>6.8</v>
      </c>
      <c r="AJ47">
        <v>12.42</v>
      </c>
      <c r="AK47">
        <v>27.51</v>
      </c>
      <c r="AL47">
        <v>1</v>
      </c>
      <c r="AM47">
        <v>1.74</v>
      </c>
      <c r="AN47">
        <v>106.76</v>
      </c>
      <c r="AO47">
        <v>5.63</v>
      </c>
      <c r="AP47">
        <v>219.32</v>
      </c>
    </row>
    <row r="48" spans="1:42">
      <c r="A48">
        <v>47</v>
      </c>
      <c r="B48" t="str">
        <f>"300494"</f>
        <v>300494</v>
      </c>
      <c r="C48" t="s">
        <v>520</v>
      </c>
      <c r="D48">
        <v>17.26</v>
      </c>
      <c r="E48">
        <v>20.03</v>
      </c>
      <c r="F48">
        <v>2.88</v>
      </c>
      <c r="G48" t="s">
        <v>382</v>
      </c>
      <c r="H48">
        <v>8068</v>
      </c>
      <c r="I48">
        <v>17.26</v>
      </c>
      <c r="J48" t="s">
        <v>76</v>
      </c>
      <c r="K48" t="s">
        <v>521</v>
      </c>
      <c r="L48">
        <v>26.26</v>
      </c>
      <c r="M48" t="s">
        <v>46</v>
      </c>
      <c r="N48" t="s">
        <v>522</v>
      </c>
      <c r="O48">
        <v>17.26</v>
      </c>
      <c r="P48">
        <v>14.18</v>
      </c>
      <c r="Q48">
        <v>14.21</v>
      </c>
      <c r="R48">
        <v>14.38</v>
      </c>
      <c r="S48">
        <v>21.42</v>
      </c>
      <c r="T48">
        <v>2.41</v>
      </c>
      <c r="U48">
        <v>100</v>
      </c>
      <c r="V48" t="s">
        <v>523</v>
      </c>
      <c r="W48">
        <v>15.79</v>
      </c>
      <c r="X48" t="s">
        <v>253</v>
      </c>
      <c r="Y48" t="s">
        <v>524</v>
      </c>
      <c r="Z48">
        <v>0.72</v>
      </c>
      <c r="AA48" t="s">
        <v>525</v>
      </c>
      <c r="AB48">
        <v>0</v>
      </c>
      <c r="AC48">
        <v>4.92</v>
      </c>
      <c r="AD48" t="s">
        <v>526</v>
      </c>
      <c r="AE48" t="s">
        <v>527</v>
      </c>
      <c r="AF48" t="s">
        <v>528</v>
      </c>
      <c r="AG48" t="s">
        <v>529</v>
      </c>
      <c r="AH48">
        <v>17.98</v>
      </c>
      <c r="AI48">
        <v>16.7</v>
      </c>
      <c r="AJ48">
        <v>37.45</v>
      </c>
      <c r="AK48">
        <v>80.86</v>
      </c>
      <c r="AL48">
        <v>2</v>
      </c>
      <c r="AM48">
        <v>20.03</v>
      </c>
      <c r="AN48">
        <v>109.21</v>
      </c>
      <c r="AO48">
        <v>29.77</v>
      </c>
      <c r="AP48">
        <v>95.69</v>
      </c>
    </row>
    <row r="49" spans="1:42">
      <c r="A49">
        <v>48</v>
      </c>
      <c r="B49" t="str">
        <f>"002371"</f>
        <v>002371</v>
      </c>
      <c r="C49" t="s">
        <v>530</v>
      </c>
      <c r="D49">
        <v>232.84</v>
      </c>
      <c r="E49">
        <v>-0.73</v>
      </c>
      <c r="F49">
        <v>-1.71</v>
      </c>
      <c r="G49" t="s">
        <v>531</v>
      </c>
      <c r="H49">
        <v>516</v>
      </c>
      <c r="I49">
        <v>232.84</v>
      </c>
      <c r="J49">
        <v>232.85</v>
      </c>
      <c r="K49" t="s">
        <v>532</v>
      </c>
      <c r="L49">
        <v>1.33</v>
      </c>
      <c r="M49" t="s">
        <v>46</v>
      </c>
      <c r="N49" t="s">
        <v>533</v>
      </c>
      <c r="O49">
        <v>235.8</v>
      </c>
      <c r="P49">
        <v>225.29</v>
      </c>
      <c r="Q49">
        <v>234.7</v>
      </c>
      <c r="R49">
        <v>234.55</v>
      </c>
      <c r="S49">
        <v>4.48</v>
      </c>
      <c r="T49">
        <v>1.81</v>
      </c>
      <c r="U49">
        <v>-50.75</v>
      </c>
      <c r="V49">
        <v>-101</v>
      </c>
      <c r="W49">
        <v>230.8</v>
      </c>
      <c r="X49" t="s">
        <v>534</v>
      </c>
      <c r="Y49" t="s">
        <v>401</v>
      </c>
      <c r="Z49">
        <v>1.3</v>
      </c>
      <c r="AA49">
        <v>5</v>
      </c>
      <c r="AB49">
        <v>3</v>
      </c>
      <c r="AC49">
        <v>5.47</v>
      </c>
      <c r="AD49" t="s">
        <v>535</v>
      </c>
      <c r="AE49" t="s">
        <v>536</v>
      </c>
      <c r="AF49" t="s">
        <v>537</v>
      </c>
      <c r="AG49" t="s">
        <v>538</v>
      </c>
      <c r="AH49">
        <v>-3.1</v>
      </c>
      <c r="AI49">
        <v>-2.41</v>
      </c>
      <c r="AJ49">
        <v>2.87</v>
      </c>
      <c r="AK49">
        <v>5.02</v>
      </c>
      <c r="AL49">
        <v>-4</v>
      </c>
      <c r="AM49">
        <v>-0.73</v>
      </c>
      <c r="AN49">
        <v>3.55</v>
      </c>
      <c r="AO49">
        <v>-9.41</v>
      </c>
      <c r="AP49">
        <v>1.56</v>
      </c>
    </row>
    <row r="50" spans="1:42">
      <c r="A50">
        <v>49</v>
      </c>
      <c r="B50" t="str">
        <f>"300002"</f>
        <v>300002</v>
      </c>
      <c r="C50" t="s">
        <v>539</v>
      </c>
      <c r="D50">
        <v>9.43</v>
      </c>
      <c r="E50">
        <v>12.13</v>
      </c>
      <c r="F50">
        <v>1.02</v>
      </c>
      <c r="G50" t="s">
        <v>540</v>
      </c>
      <c r="H50" t="s">
        <v>541</v>
      </c>
      <c r="I50">
        <v>9.42</v>
      </c>
      <c r="J50">
        <v>9.43</v>
      </c>
      <c r="K50" t="s">
        <v>542</v>
      </c>
      <c r="L50">
        <v>9.82</v>
      </c>
      <c r="M50" t="s">
        <v>46</v>
      </c>
      <c r="N50" t="s">
        <v>543</v>
      </c>
      <c r="O50">
        <v>9.59</v>
      </c>
      <c r="P50">
        <v>8.41</v>
      </c>
      <c r="Q50">
        <v>8.43</v>
      </c>
      <c r="R50">
        <v>8.41</v>
      </c>
      <c r="S50">
        <v>14.03</v>
      </c>
      <c r="T50">
        <v>4.05</v>
      </c>
      <c r="U50">
        <v>-11.85</v>
      </c>
      <c r="V50">
        <v>-2960</v>
      </c>
      <c r="W50">
        <v>9.08</v>
      </c>
      <c r="X50" t="s">
        <v>544</v>
      </c>
      <c r="Y50" t="s">
        <v>545</v>
      </c>
      <c r="Z50">
        <v>0.61</v>
      </c>
      <c r="AA50">
        <v>3672</v>
      </c>
      <c r="AB50">
        <v>7</v>
      </c>
      <c r="AC50">
        <v>3.42</v>
      </c>
      <c r="AD50" t="s">
        <v>546</v>
      </c>
      <c r="AE50" t="s">
        <v>547</v>
      </c>
      <c r="AF50" t="s">
        <v>548</v>
      </c>
      <c r="AG50" t="s">
        <v>549</v>
      </c>
      <c r="AH50">
        <v>9.52</v>
      </c>
      <c r="AI50">
        <v>4.78</v>
      </c>
      <c r="AJ50">
        <v>13.6</v>
      </c>
      <c r="AK50">
        <v>21.94</v>
      </c>
      <c r="AL50">
        <v>1</v>
      </c>
      <c r="AM50">
        <v>12.13</v>
      </c>
      <c r="AN50">
        <v>118.79</v>
      </c>
      <c r="AO50">
        <v>7.16</v>
      </c>
      <c r="AP50">
        <v>108.63</v>
      </c>
    </row>
    <row r="51" spans="1:42">
      <c r="A51">
        <v>50</v>
      </c>
      <c r="B51" t="str">
        <f>"000988"</f>
        <v>000988</v>
      </c>
      <c r="C51" t="s">
        <v>550</v>
      </c>
      <c r="D51">
        <v>30.77</v>
      </c>
      <c r="E51">
        <v>3.99</v>
      </c>
      <c r="F51">
        <v>1.18</v>
      </c>
      <c r="G51" t="s">
        <v>155</v>
      </c>
      <c r="H51">
        <v>4447</v>
      </c>
      <c r="I51">
        <v>30.77</v>
      </c>
      <c r="J51">
        <v>30.78</v>
      </c>
      <c r="K51" t="s">
        <v>551</v>
      </c>
      <c r="L51">
        <v>5.26</v>
      </c>
      <c r="M51" t="s">
        <v>46</v>
      </c>
      <c r="N51" t="s">
        <v>552</v>
      </c>
      <c r="O51">
        <v>31.06</v>
      </c>
      <c r="P51">
        <v>29.21</v>
      </c>
      <c r="Q51">
        <v>29.4</v>
      </c>
      <c r="R51">
        <v>29.59</v>
      </c>
      <c r="S51">
        <v>6.25</v>
      </c>
      <c r="T51">
        <v>1.93</v>
      </c>
      <c r="U51">
        <v>-38.65</v>
      </c>
      <c r="V51">
        <v>-1769</v>
      </c>
      <c r="W51">
        <v>30.34</v>
      </c>
      <c r="X51" t="s">
        <v>553</v>
      </c>
      <c r="Y51" t="s">
        <v>554</v>
      </c>
      <c r="Z51">
        <v>0.68</v>
      </c>
      <c r="AA51">
        <v>610</v>
      </c>
      <c r="AB51">
        <v>739</v>
      </c>
      <c r="AC51">
        <v>3.45</v>
      </c>
      <c r="AD51" t="s">
        <v>555</v>
      </c>
      <c r="AE51" t="s">
        <v>556</v>
      </c>
      <c r="AF51" t="s">
        <v>557</v>
      </c>
      <c r="AG51" t="s">
        <v>558</v>
      </c>
      <c r="AH51">
        <v>3.26</v>
      </c>
      <c r="AI51">
        <v>-0.13</v>
      </c>
      <c r="AJ51">
        <v>9.69</v>
      </c>
      <c r="AK51">
        <v>18.88</v>
      </c>
      <c r="AL51">
        <v>2</v>
      </c>
      <c r="AM51">
        <v>3.99</v>
      </c>
      <c r="AN51">
        <v>88.66</v>
      </c>
      <c r="AO51">
        <v>7.55</v>
      </c>
      <c r="AP51">
        <v>74.83</v>
      </c>
    </row>
    <row r="52" spans="1:42">
      <c r="A52">
        <v>51</v>
      </c>
      <c r="B52" t="str">
        <f>"000333"</f>
        <v>000333</v>
      </c>
      <c r="C52" t="s">
        <v>559</v>
      </c>
      <c r="D52">
        <v>50.55</v>
      </c>
      <c r="E52">
        <v>-2.17</v>
      </c>
      <c r="F52">
        <v>-1.12</v>
      </c>
      <c r="G52" t="s">
        <v>554</v>
      </c>
      <c r="H52">
        <v>3241</v>
      </c>
      <c r="I52">
        <v>50.55</v>
      </c>
      <c r="J52">
        <v>50.56</v>
      </c>
      <c r="K52" t="s">
        <v>551</v>
      </c>
      <c r="L52">
        <v>0.46</v>
      </c>
      <c r="M52" t="s">
        <v>46</v>
      </c>
      <c r="N52" t="s">
        <v>560</v>
      </c>
      <c r="O52">
        <v>52.36</v>
      </c>
      <c r="P52">
        <v>50.33</v>
      </c>
      <c r="Q52">
        <v>52.3</v>
      </c>
      <c r="R52">
        <v>51.67</v>
      </c>
      <c r="S52">
        <v>3.93</v>
      </c>
      <c r="T52">
        <v>2.01</v>
      </c>
      <c r="U52">
        <v>-28.88</v>
      </c>
      <c r="V52">
        <v>-418</v>
      </c>
      <c r="W52">
        <v>50.78</v>
      </c>
      <c r="X52" t="s">
        <v>561</v>
      </c>
      <c r="Y52" t="s">
        <v>562</v>
      </c>
      <c r="Z52">
        <v>1.04</v>
      </c>
      <c r="AA52">
        <v>75</v>
      </c>
      <c r="AB52">
        <v>28</v>
      </c>
      <c r="AC52">
        <v>2.27</v>
      </c>
      <c r="AD52" t="s">
        <v>563</v>
      </c>
      <c r="AE52" t="s">
        <v>564</v>
      </c>
      <c r="AF52" t="s">
        <v>565</v>
      </c>
      <c r="AG52" t="s">
        <v>566</v>
      </c>
      <c r="AH52">
        <v>-3.77</v>
      </c>
      <c r="AI52">
        <v>-4.19</v>
      </c>
      <c r="AJ52">
        <v>0.83</v>
      </c>
      <c r="AK52">
        <v>1.6</v>
      </c>
      <c r="AL52">
        <v>-3</v>
      </c>
      <c r="AM52">
        <v>-2.17</v>
      </c>
      <c r="AN52">
        <v>2.54</v>
      </c>
      <c r="AO52">
        <v>-4.26</v>
      </c>
      <c r="AP52">
        <v>15.41</v>
      </c>
    </row>
    <row r="53" spans="1:42">
      <c r="A53">
        <v>52</v>
      </c>
      <c r="B53" t="str">
        <f>"603083"</f>
        <v>603083</v>
      </c>
      <c r="C53" t="s">
        <v>567</v>
      </c>
      <c r="D53">
        <v>41.3</v>
      </c>
      <c r="E53">
        <v>6.36</v>
      </c>
      <c r="F53">
        <v>2.47</v>
      </c>
      <c r="G53" t="s">
        <v>568</v>
      </c>
      <c r="H53">
        <v>4032</v>
      </c>
      <c r="I53">
        <v>41.29</v>
      </c>
      <c r="J53">
        <v>41.3</v>
      </c>
      <c r="K53" t="s">
        <v>569</v>
      </c>
      <c r="L53">
        <v>15.29</v>
      </c>
      <c r="M53" t="s">
        <v>46</v>
      </c>
      <c r="N53" t="s">
        <v>570</v>
      </c>
      <c r="O53">
        <v>42</v>
      </c>
      <c r="P53">
        <v>37.88</v>
      </c>
      <c r="Q53">
        <v>38.43</v>
      </c>
      <c r="R53">
        <v>38.83</v>
      </c>
      <c r="S53">
        <v>10.61</v>
      </c>
      <c r="T53">
        <v>1.95</v>
      </c>
      <c r="U53">
        <v>28.31</v>
      </c>
      <c r="V53">
        <v>1181</v>
      </c>
      <c r="W53">
        <v>40.27</v>
      </c>
      <c r="X53" t="s">
        <v>571</v>
      </c>
      <c r="Y53" t="s">
        <v>572</v>
      </c>
      <c r="Z53">
        <v>0.67</v>
      </c>
      <c r="AA53">
        <v>435</v>
      </c>
      <c r="AB53">
        <v>855</v>
      </c>
      <c r="AC53">
        <v>5.14</v>
      </c>
      <c r="AD53" t="s">
        <v>573</v>
      </c>
      <c r="AE53" t="s">
        <v>574</v>
      </c>
      <c r="AF53" t="s">
        <v>575</v>
      </c>
      <c r="AG53" t="s">
        <v>355</v>
      </c>
      <c r="AH53">
        <v>8.97</v>
      </c>
      <c r="AI53">
        <v>-0.63</v>
      </c>
      <c r="AJ53">
        <v>30.47</v>
      </c>
      <c r="AK53">
        <v>54.48</v>
      </c>
      <c r="AL53">
        <v>3</v>
      </c>
      <c r="AM53">
        <v>6.36</v>
      </c>
      <c r="AN53">
        <v>267.44</v>
      </c>
      <c r="AO53">
        <v>15.11</v>
      </c>
      <c r="AP53">
        <v>236.87</v>
      </c>
    </row>
    <row r="54" spans="1:42">
      <c r="A54">
        <v>53</v>
      </c>
      <c r="B54" t="str">
        <f>"600418"</f>
        <v>600418</v>
      </c>
      <c r="C54" t="s">
        <v>576</v>
      </c>
      <c r="D54">
        <v>17.27</v>
      </c>
      <c r="E54">
        <v>-2.1</v>
      </c>
      <c r="F54">
        <v>-0.37</v>
      </c>
      <c r="G54" t="s">
        <v>577</v>
      </c>
      <c r="H54" t="s">
        <v>578</v>
      </c>
      <c r="I54">
        <v>17.26</v>
      </c>
      <c r="J54">
        <v>17.27</v>
      </c>
      <c r="K54" t="s">
        <v>579</v>
      </c>
      <c r="L54">
        <v>4.17</v>
      </c>
      <c r="M54" t="s">
        <v>46</v>
      </c>
      <c r="N54" t="s">
        <v>580</v>
      </c>
      <c r="O54">
        <v>17.62</v>
      </c>
      <c r="P54">
        <v>17.1</v>
      </c>
      <c r="Q54">
        <v>17.62</v>
      </c>
      <c r="R54">
        <v>17.64</v>
      </c>
      <c r="S54">
        <v>2.95</v>
      </c>
      <c r="T54">
        <v>0.5</v>
      </c>
      <c r="U54">
        <v>3.52</v>
      </c>
      <c r="V54">
        <v>717</v>
      </c>
      <c r="W54">
        <v>17.3</v>
      </c>
      <c r="X54" t="s">
        <v>581</v>
      </c>
      <c r="Y54" t="s">
        <v>582</v>
      </c>
      <c r="Z54">
        <v>1.25</v>
      </c>
      <c r="AA54">
        <v>3863</v>
      </c>
      <c r="AB54">
        <v>2553</v>
      </c>
      <c r="AC54">
        <v>2.85</v>
      </c>
      <c r="AD54" t="s">
        <v>583</v>
      </c>
      <c r="AE54" t="s">
        <v>584</v>
      </c>
      <c r="AF54" t="s">
        <v>583</v>
      </c>
      <c r="AG54" t="s">
        <v>584</v>
      </c>
      <c r="AH54">
        <v>-11.44</v>
      </c>
      <c r="AI54">
        <v>-5.32</v>
      </c>
      <c r="AJ54">
        <v>18.98</v>
      </c>
      <c r="AK54">
        <v>46.28</v>
      </c>
      <c r="AL54">
        <v>-3</v>
      </c>
      <c r="AM54">
        <v>-2.1</v>
      </c>
      <c r="AN54">
        <v>31.53</v>
      </c>
      <c r="AO54">
        <v>-6.85</v>
      </c>
      <c r="AP54">
        <v>16.22</v>
      </c>
    </row>
    <row r="55" spans="1:42">
      <c r="A55">
        <v>54</v>
      </c>
      <c r="B55" t="str">
        <f>"601901"</f>
        <v>601901</v>
      </c>
      <c r="C55" t="s">
        <v>585</v>
      </c>
      <c r="D55">
        <v>8.81</v>
      </c>
      <c r="E55">
        <v>1.5</v>
      </c>
      <c r="F55">
        <v>0.13</v>
      </c>
      <c r="G55" t="s">
        <v>586</v>
      </c>
      <c r="H55" t="s">
        <v>587</v>
      </c>
      <c r="I55">
        <v>8.81</v>
      </c>
      <c r="J55">
        <v>8.82</v>
      </c>
      <c r="K55" t="s">
        <v>588</v>
      </c>
      <c r="L55">
        <v>2.07</v>
      </c>
      <c r="M55" t="s">
        <v>46</v>
      </c>
      <c r="N55" t="s">
        <v>589</v>
      </c>
      <c r="O55">
        <v>8.92</v>
      </c>
      <c r="P55">
        <v>8.62</v>
      </c>
      <c r="Q55">
        <v>8.65</v>
      </c>
      <c r="R55">
        <v>8.68</v>
      </c>
      <c r="S55">
        <v>3.46</v>
      </c>
      <c r="T55">
        <v>1</v>
      </c>
      <c r="U55">
        <v>13.09</v>
      </c>
      <c r="V55">
        <v>5740</v>
      </c>
      <c r="W55">
        <v>8.83</v>
      </c>
      <c r="X55" t="s">
        <v>590</v>
      </c>
      <c r="Y55" t="s">
        <v>591</v>
      </c>
      <c r="Z55">
        <v>0.87</v>
      </c>
      <c r="AA55">
        <v>9766</v>
      </c>
      <c r="AB55">
        <v>5234</v>
      </c>
      <c r="AC55">
        <v>1.62</v>
      </c>
      <c r="AD55" t="s">
        <v>592</v>
      </c>
      <c r="AE55" t="s">
        <v>593</v>
      </c>
      <c r="AF55" t="s">
        <v>592</v>
      </c>
      <c r="AG55" t="s">
        <v>593</v>
      </c>
      <c r="AH55">
        <v>2.09</v>
      </c>
      <c r="AI55">
        <v>-6.77</v>
      </c>
      <c r="AJ55">
        <v>5.46</v>
      </c>
      <c r="AK55">
        <v>12.4</v>
      </c>
      <c r="AL55">
        <v>2</v>
      </c>
      <c r="AM55">
        <v>1.5</v>
      </c>
      <c r="AN55">
        <v>38.3</v>
      </c>
      <c r="AO55">
        <v>12.09</v>
      </c>
      <c r="AP55">
        <v>31.3</v>
      </c>
    </row>
    <row r="56" spans="1:42">
      <c r="A56">
        <v>55</v>
      </c>
      <c r="B56" t="str">
        <f>"300620"</f>
        <v>300620</v>
      </c>
      <c r="C56" t="s">
        <v>594</v>
      </c>
      <c r="D56">
        <v>51.7</v>
      </c>
      <c r="E56">
        <v>2.99</v>
      </c>
      <c r="F56">
        <v>1.5</v>
      </c>
      <c r="G56" t="s">
        <v>595</v>
      </c>
      <c r="H56">
        <v>2782</v>
      </c>
      <c r="I56">
        <v>51.7</v>
      </c>
      <c r="J56">
        <v>51.71</v>
      </c>
      <c r="K56" t="s">
        <v>596</v>
      </c>
      <c r="L56">
        <v>12.22</v>
      </c>
      <c r="M56" t="s">
        <v>46</v>
      </c>
      <c r="N56" t="s">
        <v>597</v>
      </c>
      <c r="O56">
        <v>52.78</v>
      </c>
      <c r="P56">
        <v>47.5</v>
      </c>
      <c r="Q56">
        <v>49.2</v>
      </c>
      <c r="R56">
        <v>50.2</v>
      </c>
      <c r="S56">
        <v>10.52</v>
      </c>
      <c r="T56">
        <v>1.34</v>
      </c>
      <c r="U56">
        <v>49.44</v>
      </c>
      <c r="V56">
        <v>1330</v>
      </c>
      <c r="W56">
        <v>50.56</v>
      </c>
      <c r="X56" t="s">
        <v>598</v>
      </c>
      <c r="Y56" t="s">
        <v>598</v>
      </c>
      <c r="Z56">
        <v>1</v>
      </c>
      <c r="AA56">
        <v>1626</v>
      </c>
      <c r="AB56">
        <v>521</v>
      </c>
      <c r="AC56">
        <v>7.53</v>
      </c>
      <c r="AD56" t="s">
        <v>599</v>
      </c>
      <c r="AE56" t="s">
        <v>600</v>
      </c>
      <c r="AF56" t="s">
        <v>601</v>
      </c>
      <c r="AG56" t="s">
        <v>602</v>
      </c>
      <c r="AH56">
        <v>8.27</v>
      </c>
      <c r="AI56">
        <v>17.63</v>
      </c>
      <c r="AJ56">
        <v>33.25</v>
      </c>
      <c r="AK56">
        <v>57.67</v>
      </c>
      <c r="AL56">
        <v>3</v>
      </c>
      <c r="AM56">
        <v>2.99</v>
      </c>
      <c r="AN56">
        <v>106.22</v>
      </c>
      <c r="AO56">
        <v>33.38</v>
      </c>
      <c r="AP56">
        <v>82.88</v>
      </c>
    </row>
    <row r="57" spans="1:42">
      <c r="A57">
        <v>56</v>
      </c>
      <c r="B57" t="str">
        <f>"000829"</f>
        <v>000829</v>
      </c>
      <c r="C57" t="s">
        <v>603</v>
      </c>
      <c r="D57">
        <v>12.3</v>
      </c>
      <c r="E57">
        <v>-2.69</v>
      </c>
      <c r="F57">
        <v>-0.34</v>
      </c>
      <c r="G57" t="s">
        <v>116</v>
      </c>
      <c r="H57">
        <v>9521</v>
      </c>
      <c r="I57">
        <v>12.29</v>
      </c>
      <c r="J57">
        <v>12.3</v>
      </c>
      <c r="K57" t="s">
        <v>604</v>
      </c>
      <c r="L57">
        <v>11.74</v>
      </c>
      <c r="M57" t="s">
        <v>46</v>
      </c>
      <c r="N57" t="s">
        <v>605</v>
      </c>
      <c r="O57">
        <v>12.85</v>
      </c>
      <c r="P57">
        <v>11.97</v>
      </c>
      <c r="Q57">
        <v>12.64</v>
      </c>
      <c r="R57">
        <v>12.64</v>
      </c>
      <c r="S57">
        <v>6.96</v>
      </c>
      <c r="T57">
        <v>1.17</v>
      </c>
      <c r="U57">
        <v>56.07</v>
      </c>
      <c r="V57">
        <v>8042</v>
      </c>
      <c r="W57">
        <v>12.42</v>
      </c>
      <c r="X57" t="s">
        <v>606</v>
      </c>
      <c r="Y57" t="s">
        <v>607</v>
      </c>
      <c r="Z57">
        <v>1.01</v>
      </c>
      <c r="AA57">
        <v>759</v>
      </c>
      <c r="AB57">
        <v>622</v>
      </c>
      <c r="AC57">
        <v>4.14</v>
      </c>
      <c r="AD57" t="s">
        <v>608</v>
      </c>
      <c r="AE57" t="s">
        <v>609</v>
      </c>
      <c r="AF57" t="s">
        <v>610</v>
      </c>
      <c r="AG57" t="s">
        <v>611</v>
      </c>
      <c r="AH57">
        <v>14.42</v>
      </c>
      <c r="AI57">
        <v>-6.61</v>
      </c>
      <c r="AJ57">
        <v>34.41</v>
      </c>
      <c r="AK57">
        <v>62.09</v>
      </c>
      <c r="AL57">
        <v>-1</v>
      </c>
      <c r="AM57">
        <v>-2.69</v>
      </c>
      <c r="AN57">
        <v>26.67</v>
      </c>
      <c r="AO57">
        <v>34.13</v>
      </c>
      <c r="AP57">
        <v>11.21</v>
      </c>
    </row>
    <row r="58" spans="1:42">
      <c r="A58">
        <v>57</v>
      </c>
      <c r="B58" t="str">
        <f>"000568"</f>
        <v>000568</v>
      </c>
      <c r="C58" t="s">
        <v>612</v>
      </c>
      <c r="D58">
        <v>202</v>
      </c>
      <c r="E58">
        <v>-2.65</v>
      </c>
      <c r="F58">
        <v>-5.5</v>
      </c>
      <c r="G58" t="s">
        <v>613</v>
      </c>
      <c r="H58">
        <v>845</v>
      </c>
      <c r="I58">
        <v>202</v>
      </c>
      <c r="J58">
        <v>202.01</v>
      </c>
      <c r="K58" t="s">
        <v>614</v>
      </c>
      <c r="L58">
        <v>0.5</v>
      </c>
      <c r="M58" t="s">
        <v>46</v>
      </c>
      <c r="N58" t="s">
        <v>615</v>
      </c>
      <c r="O58">
        <v>207.2</v>
      </c>
      <c r="P58">
        <v>201.28</v>
      </c>
      <c r="Q58">
        <v>207.01</v>
      </c>
      <c r="R58">
        <v>207.5</v>
      </c>
      <c r="S58">
        <v>2.85</v>
      </c>
      <c r="T58">
        <v>1.69</v>
      </c>
      <c r="U58">
        <v>68.59</v>
      </c>
      <c r="V58">
        <v>61</v>
      </c>
      <c r="W58">
        <v>202.98</v>
      </c>
      <c r="X58" t="s">
        <v>616</v>
      </c>
      <c r="Y58" t="s">
        <v>617</v>
      </c>
      <c r="Z58">
        <v>1.44</v>
      </c>
      <c r="AA58">
        <v>57</v>
      </c>
      <c r="AB58">
        <v>3</v>
      </c>
      <c r="AC58">
        <v>7.69</v>
      </c>
      <c r="AD58" t="s">
        <v>133</v>
      </c>
      <c r="AE58" t="s">
        <v>618</v>
      </c>
      <c r="AF58" t="s">
        <v>619</v>
      </c>
      <c r="AG58" t="s">
        <v>620</v>
      </c>
      <c r="AH58">
        <v>-2.08</v>
      </c>
      <c r="AI58">
        <v>-3.67</v>
      </c>
      <c r="AJ58">
        <v>1.1</v>
      </c>
      <c r="AK58">
        <v>1.99</v>
      </c>
      <c r="AL58">
        <v>-1</v>
      </c>
      <c r="AM58">
        <v>-2.65</v>
      </c>
      <c r="AN58">
        <v>-8.2</v>
      </c>
      <c r="AO58">
        <v>-8.71</v>
      </c>
      <c r="AP58">
        <v>16.31</v>
      </c>
    </row>
    <row r="59" spans="1:42">
      <c r="A59">
        <v>58</v>
      </c>
      <c r="B59" t="str">
        <f>"300280"</f>
        <v>300280</v>
      </c>
      <c r="C59" t="s">
        <v>621</v>
      </c>
      <c r="D59">
        <v>45.31</v>
      </c>
      <c r="E59">
        <v>4.79</v>
      </c>
      <c r="F59">
        <v>2.07</v>
      </c>
      <c r="G59" t="s">
        <v>622</v>
      </c>
      <c r="H59">
        <v>5101</v>
      </c>
      <c r="I59">
        <v>45.31</v>
      </c>
      <c r="J59">
        <v>45.32</v>
      </c>
      <c r="K59" t="s">
        <v>623</v>
      </c>
      <c r="L59">
        <v>20.97</v>
      </c>
      <c r="M59" t="s">
        <v>46</v>
      </c>
      <c r="N59" t="s">
        <v>624</v>
      </c>
      <c r="O59">
        <v>46.4</v>
      </c>
      <c r="P59">
        <v>42.28</v>
      </c>
      <c r="Q59">
        <v>43</v>
      </c>
      <c r="R59">
        <v>43.24</v>
      </c>
      <c r="S59">
        <v>9.53</v>
      </c>
      <c r="T59">
        <v>1.83</v>
      </c>
      <c r="U59">
        <v>33.56</v>
      </c>
      <c r="V59">
        <v>333</v>
      </c>
      <c r="W59">
        <v>44.01</v>
      </c>
      <c r="X59" t="s">
        <v>625</v>
      </c>
      <c r="Y59" t="s">
        <v>571</v>
      </c>
      <c r="Z59">
        <v>1.1</v>
      </c>
      <c r="AA59">
        <v>340</v>
      </c>
      <c r="AB59">
        <v>40</v>
      </c>
      <c r="AC59">
        <v>2.78</v>
      </c>
      <c r="AD59" t="s">
        <v>626</v>
      </c>
      <c r="AE59" t="s">
        <v>627</v>
      </c>
      <c r="AF59" t="s">
        <v>628</v>
      </c>
      <c r="AG59" t="s">
        <v>629</v>
      </c>
      <c r="AH59">
        <v>18.33</v>
      </c>
      <c r="AI59">
        <v>12.15</v>
      </c>
      <c r="AJ59">
        <v>51.68</v>
      </c>
      <c r="AK59">
        <v>78.36</v>
      </c>
      <c r="AL59">
        <v>2</v>
      </c>
      <c r="AM59">
        <v>4.79</v>
      </c>
      <c r="AN59">
        <v>177.13</v>
      </c>
      <c r="AO59">
        <v>-2.58</v>
      </c>
      <c r="AP59">
        <v>162.21</v>
      </c>
    </row>
    <row r="60" spans="1:42">
      <c r="A60">
        <v>59</v>
      </c>
      <c r="B60" t="str">
        <f>"601156"</f>
        <v>601156</v>
      </c>
      <c r="C60" t="s">
        <v>630</v>
      </c>
      <c r="D60">
        <v>14.23</v>
      </c>
      <c r="E60">
        <v>6.19</v>
      </c>
      <c r="F60">
        <v>0.83</v>
      </c>
      <c r="G60" t="s">
        <v>150</v>
      </c>
      <c r="H60">
        <v>6515</v>
      </c>
      <c r="I60">
        <v>14.23</v>
      </c>
      <c r="J60">
        <v>14.24</v>
      </c>
      <c r="K60" t="s">
        <v>631</v>
      </c>
      <c r="L60">
        <v>12.95</v>
      </c>
      <c r="M60" t="s">
        <v>46</v>
      </c>
      <c r="N60" t="s">
        <v>632</v>
      </c>
      <c r="O60">
        <v>14.5</v>
      </c>
      <c r="P60">
        <v>13.5</v>
      </c>
      <c r="Q60">
        <v>13.57</v>
      </c>
      <c r="R60">
        <v>13.4</v>
      </c>
      <c r="S60">
        <v>7.46</v>
      </c>
      <c r="T60">
        <v>5.98</v>
      </c>
      <c r="U60">
        <v>-33.51</v>
      </c>
      <c r="V60">
        <v>-2037</v>
      </c>
      <c r="W60">
        <v>14.07</v>
      </c>
      <c r="X60" t="s">
        <v>633</v>
      </c>
      <c r="Y60" t="s">
        <v>634</v>
      </c>
      <c r="Z60">
        <v>0.62</v>
      </c>
      <c r="AA60">
        <v>148</v>
      </c>
      <c r="AB60">
        <v>5</v>
      </c>
      <c r="AC60">
        <v>1.54</v>
      </c>
      <c r="AD60" t="s">
        <v>635</v>
      </c>
      <c r="AE60" t="s">
        <v>636</v>
      </c>
      <c r="AF60" t="s">
        <v>637</v>
      </c>
      <c r="AG60" t="s">
        <v>638</v>
      </c>
      <c r="AH60">
        <v>19.18</v>
      </c>
      <c r="AI60">
        <v>18.98</v>
      </c>
      <c r="AJ60">
        <v>22.23</v>
      </c>
      <c r="AK60">
        <v>23.77</v>
      </c>
      <c r="AL60">
        <v>4</v>
      </c>
      <c r="AM60">
        <v>6.19</v>
      </c>
      <c r="AN60">
        <v>-4.56</v>
      </c>
      <c r="AO60">
        <v>22.99</v>
      </c>
      <c r="AP60">
        <v>-7.96</v>
      </c>
    </row>
    <row r="61" spans="1:42">
      <c r="A61">
        <v>60</v>
      </c>
      <c r="B61" t="str">
        <f>"000851"</f>
        <v>000851</v>
      </c>
      <c r="C61" t="s">
        <v>639</v>
      </c>
      <c r="D61">
        <v>7.19</v>
      </c>
      <c r="E61">
        <v>9.94</v>
      </c>
      <c r="F61">
        <v>0.65</v>
      </c>
      <c r="G61" t="s">
        <v>640</v>
      </c>
      <c r="H61">
        <v>3040</v>
      </c>
      <c r="I61">
        <v>7.19</v>
      </c>
      <c r="J61" t="s">
        <v>76</v>
      </c>
      <c r="K61" t="s">
        <v>641</v>
      </c>
      <c r="L61">
        <v>18.04</v>
      </c>
      <c r="M61" t="s">
        <v>46</v>
      </c>
      <c r="N61" t="s">
        <v>642</v>
      </c>
      <c r="O61">
        <v>7.19</v>
      </c>
      <c r="P61">
        <v>6.44</v>
      </c>
      <c r="Q61">
        <v>6.5</v>
      </c>
      <c r="R61">
        <v>6.54</v>
      </c>
      <c r="S61">
        <v>11.47</v>
      </c>
      <c r="T61">
        <v>1.5</v>
      </c>
      <c r="U61">
        <v>100</v>
      </c>
      <c r="V61" t="s">
        <v>643</v>
      </c>
      <c r="W61">
        <v>7.09</v>
      </c>
      <c r="X61" t="s">
        <v>644</v>
      </c>
      <c r="Y61" t="s">
        <v>645</v>
      </c>
      <c r="Z61">
        <v>1.54</v>
      </c>
      <c r="AA61" t="s">
        <v>646</v>
      </c>
      <c r="AB61">
        <v>0</v>
      </c>
      <c r="AC61">
        <v>1.86</v>
      </c>
      <c r="AD61" t="s">
        <v>647</v>
      </c>
      <c r="AE61" t="s">
        <v>648</v>
      </c>
      <c r="AF61" t="s">
        <v>649</v>
      </c>
      <c r="AG61" t="s">
        <v>650</v>
      </c>
      <c r="AH61">
        <v>5.43</v>
      </c>
      <c r="AI61">
        <v>9.1</v>
      </c>
      <c r="AJ61">
        <v>39.67</v>
      </c>
      <c r="AK61">
        <v>78.22</v>
      </c>
      <c r="AL61">
        <v>1</v>
      </c>
      <c r="AM61">
        <v>9.94</v>
      </c>
      <c r="AN61">
        <v>49.48</v>
      </c>
      <c r="AO61">
        <v>20.03</v>
      </c>
      <c r="AP61">
        <v>33.15</v>
      </c>
    </row>
    <row r="62" spans="1:42">
      <c r="A62">
        <v>61</v>
      </c>
      <c r="B62" t="str">
        <f>"300394"</f>
        <v>300394</v>
      </c>
      <c r="C62" t="s">
        <v>651</v>
      </c>
      <c r="D62">
        <v>76.68</v>
      </c>
      <c r="E62">
        <v>4.61</v>
      </c>
      <c r="F62">
        <v>3.38</v>
      </c>
      <c r="G62" t="s">
        <v>652</v>
      </c>
      <c r="H62">
        <v>1003</v>
      </c>
      <c r="I62">
        <v>76.66</v>
      </c>
      <c r="J62">
        <v>76.68</v>
      </c>
      <c r="K62" t="s">
        <v>653</v>
      </c>
      <c r="L62">
        <v>5.31</v>
      </c>
      <c r="M62" t="s">
        <v>46</v>
      </c>
      <c r="N62" t="s">
        <v>654</v>
      </c>
      <c r="O62">
        <v>77.44</v>
      </c>
      <c r="P62">
        <v>72.07</v>
      </c>
      <c r="Q62">
        <v>73.29</v>
      </c>
      <c r="R62">
        <v>73.3</v>
      </c>
      <c r="S62">
        <v>7.33</v>
      </c>
      <c r="T62">
        <v>2.24</v>
      </c>
      <c r="U62">
        <v>35.67</v>
      </c>
      <c r="V62">
        <v>204</v>
      </c>
      <c r="W62">
        <v>75.34</v>
      </c>
      <c r="X62" t="s">
        <v>655</v>
      </c>
      <c r="Y62" t="s">
        <v>656</v>
      </c>
      <c r="Z62">
        <v>0.71</v>
      </c>
      <c r="AA62">
        <v>1</v>
      </c>
      <c r="AB62">
        <v>4</v>
      </c>
      <c r="AC62">
        <v>10.48</v>
      </c>
      <c r="AD62" t="s">
        <v>657</v>
      </c>
      <c r="AE62" t="s">
        <v>658</v>
      </c>
      <c r="AF62" t="s">
        <v>659</v>
      </c>
      <c r="AG62" t="s">
        <v>660</v>
      </c>
      <c r="AH62">
        <v>4.13</v>
      </c>
      <c r="AI62">
        <v>-0.4</v>
      </c>
      <c r="AJ62">
        <v>9.54</v>
      </c>
      <c r="AK62">
        <v>17.14</v>
      </c>
      <c r="AL62">
        <v>2</v>
      </c>
      <c r="AM62">
        <v>4.61</v>
      </c>
      <c r="AN62">
        <v>208.57</v>
      </c>
      <c r="AO62">
        <v>7.55</v>
      </c>
      <c r="AP62">
        <v>193.46</v>
      </c>
    </row>
    <row r="63" spans="1:42">
      <c r="A63">
        <v>62</v>
      </c>
      <c r="B63" t="str">
        <f>"301508"</f>
        <v>301508</v>
      </c>
      <c r="C63" t="s">
        <v>661</v>
      </c>
      <c r="D63">
        <v>49.07</v>
      </c>
      <c r="E63">
        <v>191.74</v>
      </c>
      <c r="F63">
        <v>32.25</v>
      </c>
      <c r="G63" t="s">
        <v>662</v>
      </c>
      <c r="H63">
        <v>1437</v>
      </c>
      <c r="I63">
        <v>49.06</v>
      </c>
      <c r="J63">
        <v>49.07</v>
      </c>
      <c r="K63" t="s">
        <v>663</v>
      </c>
      <c r="L63">
        <v>78.88</v>
      </c>
      <c r="M63" t="s">
        <v>46</v>
      </c>
      <c r="N63" t="s">
        <v>664</v>
      </c>
      <c r="O63">
        <v>63.98</v>
      </c>
      <c r="P63">
        <v>37.67</v>
      </c>
      <c r="Q63">
        <v>40</v>
      </c>
      <c r="R63">
        <v>16.82</v>
      </c>
      <c r="S63">
        <v>156.42</v>
      </c>
      <c r="T63" t="s">
        <v>76</v>
      </c>
      <c r="U63">
        <v>-80.64</v>
      </c>
      <c r="V63">
        <v>-566</v>
      </c>
      <c r="W63">
        <v>41.93</v>
      </c>
      <c r="X63" t="s">
        <v>665</v>
      </c>
      <c r="Y63" t="s">
        <v>625</v>
      </c>
      <c r="Z63">
        <v>0.92</v>
      </c>
      <c r="AA63">
        <v>29</v>
      </c>
      <c r="AB63">
        <v>297</v>
      </c>
      <c r="AC63">
        <v>5.93</v>
      </c>
      <c r="AD63" t="s">
        <v>666</v>
      </c>
      <c r="AE63" t="s">
        <v>667</v>
      </c>
      <c r="AF63" t="s">
        <v>668</v>
      </c>
      <c r="AG63" t="s">
        <v>669</v>
      </c>
      <c r="AH63">
        <v>191.74</v>
      </c>
      <c r="AI63">
        <v>191.74</v>
      </c>
      <c r="AJ63">
        <v>78.88</v>
      </c>
      <c r="AK63">
        <v>78.88</v>
      </c>
      <c r="AL63">
        <v>1</v>
      </c>
      <c r="AM63" t="s">
        <v>76</v>
      </c>
      <c r="AN63" t="s">
        <v>76</v>
      </c>
      <c r="AO63" t="s">
        <v>76</v>
      </c>
      <c r="AP63" t="s">
        <v>76</v>
      </c>
    </row>
    <row r="64" spans="1:42">
      <c r="A64">
        <v>63</v>
      </c>
      <c r="B64" t="str">
        <f>"002555"</f>
        <v>002555</v>
      </c>
      <c r="C64" t="s">
        <v>670</v>
      </c>
      <c r="D64">
        <v>23.29</v>
      </c>
      <c r="E64">
        <v>5.15</v>
      </c>
      <c r="F64">
        <v>1.14</v>
      </c>
      <c r="G64" t="s">
        <v>671</v>
      </c>
      <c r="H64">
        <v>5168</v>
      </c>
      <c r="I64">
        <v>23.28</v>
      </c>
      <c r="J64">
        <v>23.29</v>
      </c>
      <c r="K64" t="s">
        <v>672</v>
      </c>
      <c r="L64">
        <v>3.85</v>
      </c>
      <c r="M64" t="s">
        <v>46</v>
      </c>
      <c r="N64" t="s">
        <v>673</v>
      </c>
      <c r="O64">
        <v>23.55</v>
      </c>
      <c r="P64">
        <v>22.12</v>
      </c>
      <c r="Q64">
        <v>22.18</v>
      </c>
      <c r="R64">
        <v>22.15</v>
      </c>
      <c r="S64">
        <v>6.46</v>
      </c>
      <c r="T64">
        <v>2.45</v>
      </c>
      <c r="U64">
        <v>47.13</v>
      </c>
      <c r="V64">
        <v>3213</v>
      </c>
      <c r="W64">
        <v>22.83</v>
      </c>
      <c r="X64" t="s">
        <v>674</v>
      </c>
      <c r="Y64" t="s">
        <v>675</v>
      </c>
      <c r="Z64">
        <v>0.97</v>
      </c>
      <c r="AA64">
        <v>2212</v>
      </c>
      <c r="AB64">
        <v>469</v>
      </c>
      <c r="AC64">
        <v>4.19</v>
      </c>
      <c r="AD64" t="s">
        <v>676</v>
      </c>
      <c r="AE64" t="s">
        <v>677</v>
      </c>
      <c r="AF64" t="s">
        <v>678</v>
      </c>
      <c r="AG64" t="s">
        <v>679</v>
      </c>
      <c r="AH64">
        <v>3.97</v>
      </c>
      <c r="AI64">
        <v>1.53</v>
      </c>
      <c r="AJ64">
        <v>6.44</v>
      </c>
      <c r="AK64">
        <v>11.7</v>
      </c>
      <c r="AL64">
        <v>1</v>
      </c>
      <c r="AM64">
        <v>5.15</v>
      </c>
      <c r="AN64">
        <v>35.41</v>
      </c>
      <c r="AO64">
        <v>7.82</v>
      </c>
      <c r="AP64">
        <v>41.32</v>
      </c>
    </row>
    <row r="65" spans="1:42">
      <c r="A65">
        <v>64</v>
      </c>
      <c r="B65" t="str">
        <f>"002027"</f>
        <v>002027</v>
      </c>
      <c r="C65" t="s">
        <v>680</v>
      </c>
      <c r="D65">
        <v>6.3</v>
      </c>
      <c r="E65">
        <v>-3.67</v>
      </c>
      <c r="F65">
        <v>-0.24</v>
      </c>
      <c r="G65" t="s">
        <v>681</v>
      </c>
      <c r="H65" t="s">
        <v>682</v>
      </c>
      <c r="I65">
        <v>6.3</v>
      </c>
      <c r="J65">
        <v>6.31</v>
      </c>
      <c r="K65" t="s">
        <v>683</v>
      </c>
      <c r="L65">
        <v>1.49</v>
      </c>
      <c r="M65" t="s">
        <v>46</v>
      </c>
      <c r="N65" t="s">
        <v>684</v>
      </c>
      <c r="O65">
        <v>6.54</v>
      </c>
      <c r="P65">
        <v>6.17</v>
      </c>
      <c r="Q65">
        <v>6.52</v>
      </c>
      <c r="R65">
        <v>6.54</v>
      </c>
      <c r="S65">
        <v>5.66</v>
      </c>
      <c r="T65">
        <v>2.81</v>
      </c>
      <c r="U65">
        <v>-5.2</v>
      </c>
      <c r="V65">
        <v>-2480</v>
      </c>
      <c r="W65">
        <v>6.29</v>
      </c>
      <c r="X65" t="s">
        <v>150</v>
      </c>
      <c r="Y65" t="s">
        <v>545</v>
      </c>
      <c r="Z65">
        <v>0.94</v>
      </c>
      <c r="AA65">
        <v>2918</v>
      </c>
      <c r="AB65">
        <v>1521</v>
      </c>
      <c r="AC65">
        <v>5.5</v>
      </c>
      <c r="AD65" t="s">
        <v>364</v>
      </c>
      <c r="AE65" t="s">
        <v>685</v>
      </c>
      <c r="AF65" t="s">
        <v>364</v>
      </c>
      <c r="AG65" t="s">
        <v>685</v>
      </c>
      <c r="AH65">
        <v>-5.69</v>
      </c>
      <c r="AI65">
        <v>-6.53</v>
      </c>
      <c r="AJ65">
        <v>2.71</v>
      </c>
      <c r="AK65">
        <v>4.15</v>
      </c>
      <c r="AL65">
        <v>-3</v>
      </c>
      <c r="AM65">
        <v>-3.67</v>
      </c>
      <c r="AN65">
        <v>0.64</v>
      </c>
      <c r="AO65">
        <v>-8.43</v>
      </c>
      <c r="AP65">
        <v>17.98</v>
      </c>
    </row>
    <row r="66" spans="1:42">
      <c r="A66">
        <v>65</v>
      </c>
      <c r="B66" t="str">
        <f>"000676"</f>
        <v>000676</v>
      </c>
      <c r="C66" t="s">
        <v>686</v>
      </c>
      <c r="D66">
        <v>8.62</v>
      </c>
      <c r="E66">
        <v>8.16</v>
      </c>
      <c r="F66">
        <v>0.65</v>
      </c>
      <c r="G66" t="s">
        <v>687</v>
      </c>
      <c r="H66" t="s">
        <v>688</v>
      </c>
      <c r="I66">
        <v>8.61</v>
      </c>
      <c r="J66">
        <v>8.62</v>
      </c>
      <c r="K66" t="s">
        <v>689</v>
      </c>
      <c r="L66">
        <v>12.42</v>
      </c>
      <c r="M66" t="s">
        <v>46</v>
      </c>
      <c r="N66" t="s">
        <v>690</v>
      </c>
      <c r="O66">
        <v>8.7</v>
      </c>
      <c r="P66">
        <v>7.98</v>
      </c>
      <c r="Q66">
        <v>8</v>
      </c>
      <c r="R66">
        <v>7.97</v>
      </c>
      <c r="S66">
        <v>9.03</v>
      </c>
      <c r="T66">
        <v>1.55</v>
      </c>
      <c r="U66">
        <v>-11.13</v>
      </c>
      <c r="V66">
        <v>-2673</v>
      </c>
      <c r="W66">
        <v>8.4</v>
      </c>
      <c r="X66" t="s">
        <v>691</v>
      </c>
      <c r="Y66" t="s">
        <v>692</v>
      </c>
      <c r="Z66">
        <v>0.57</v>
      </c>
      <c r="AA66">
        <v>2914</v>
      </c>
      <c r="AB66">
        <v>698</v>
      </c>
      <c r="AC66">
        <v>2.98</v>
      </c>
      <c r="AD66" t="s">
        <v>693</v>
      </c>
      <c r="AE66" t="s">
        <v>694</v>
      </c>
      <c r="AF66" t="s">
        <v>695</v>
      </c>
      <c r="AG66" t="s">
        <v>696</v>
      </c>
      <c r="AH66">
        <v>3.61</v>
      </c>
      <c r="AI66">
        <v>-4.54</v>
      </c>
      <c r="AJ66">
        <v>29</v>
      </c>
      <c r="AK66">
        <v>52.44</v>
      </c>
      <c r="AL66">
        <v>1</v>
      </c>
      <c r="AM66">
        <v>8.16</v>
      </c>
      <c r="AN66">
        <v>62.95</v>
      </c>
      <c r="AO66">
        <v>-0.58</v>
      </c>
      <c r="AP66">
        <v>47.86</v>
      </c>
    </row>
    <row r="67" spans="1:42">
      <c r="A67">
        <v>66</v>
      </c>
      <c r="B67" t="str">
        <f>"603259"</f>
        <v>603259</v>
      </c>
      <c r="C67" t="s">
        <v>697</v>
      </c>
      <c r="D67">
        <v>83</v>
      </c>
      <c r="E67">
        <v>0.48</v>
      </c>
      <c r="F67">
        <v>0.4</v>
      </c>
      <c r="G67" t="s">
        <v>571</v>
      </c>
      <c r="H67">
        <v>1140</v>
      </c>
      <c r="I67">
        <v>83</v>
      </c>
      <c r="J67">
        <v>83.01</v>
      </c>
      <c r="K67" t="s">
        <v>698</v>
      </c>
      <c r="L67">
        <v>0.62</v>
      </c>
      <c r="M67" t="s">
        <v>46</v>
      </c>
      <c r="N67" t="s">
        <v>699</v>
      </c>
      <c r="O67">
        <v>83.3</v>
      </c>
      <c r="P67">
        <v>81.3</v>
      </c>
      <c r="Q67">
        <v>82.6</v>
      </c>
      <c r="R67">
        <v>82.6</v>
      </c>
      <c r="S67">
        <v>2.42</v>
      </c>
      <c r="T67">
        <v>1.28</v>
      </c>
      <c r="U67">
        <v>49.2</v>
      </c>
      <c r="V67">
        <v>153</v>
      </c>
      <c r="W67">
        <v>82.23</v>
      </c>
      <c r="X67" t="s">
        <v>700</v>
      </c>
      <c r="Y67" t="s">
        <v>701</v>
      </c>
      <c r="Z67">
        <v>0.91</v>
      </c>
      <c r="AA67">
        <v>197</v>
      </c>
      <c r="AB67">
        <v>1</v>
      </c>
      <c r="AC67">
        <v>4.78</v>
      </c>
      <c r="AD67" t="s">
        <v>702</v>
      </c>
      <c r="AE67" t="s">
        <v>703</v>
      </c>
      <c r="AF67" t="s">
        <v>704</v>
      </c>
      <c r="AG67" t="s">
        <v>705</v>
      </c>
      <c r="AH67">
        <v>-1.47</v>
      </c>
      <c r="AI67">
        <v>-1.98</v>
      </c>
      <c r="AJ67">
        <v>1.52</v>
      </c>
      <c r="AK67">
        <v>3.07</v>
      </c>
      <c r="AL67">
        <v>1</v>
      </c>
      <c r="AM67">
        <v>0.48</v>
      </c>
      <c r="AN67">
        <v>3.61</v>
      </c>
      <c r="AO67">
        <v>-4.51</v>
      </c>
      <c r="AP67">
        <v>0.11</v>
      </c>
    </row>
    <row r="68" spans="1:42">
      <c r="A68">
        <v>67</v>
      </c>
      <c r="B68" t="str">
        <f>"600900"</f>
        <v>600900</v>
      </c>
      <c r="C68" t="s">
        <v>706</v>
      </c>
      <c r="D68">
        <v>22.73</v>
      </c>
      <c r="E68">
        <v>-0.44</v>
      </c>
      <c r="F68">
        <v>-0.1</v>
      </c>
      <c r="G68" t="s">
        <v>707</v>
      </c>
      <c r="H68">
        <v>3743</v>
      </c>
      <c r="I68">
        <v>22.73</v>
      </c>
      <c r="J68">
        <v>22.74</v>
      </c>
      <c r="K68" t="s">
        <v>708</v>
      </c>
      <c r="L68">
        <v>0.24</v>
      </c>
      <c r="M68" t="s">
        <v>46</v>
      </c>
      <c r="N68" t="s">
        <v>709</v>
      </c>
      <c r="O68">
        <v>22.89</v>
      </c>
      <c r="P68">
        <v>22.62</v>
      </c>
      <c r="Q68">
        <v>22.88</v>
      </c>
      <c r="R68">
        <v>22.83</v>
      </c>
      <c r="S68">
        <v>1.18</v>
      </c>
      <c r="T68">
        <v>0.99</v>
      </c>
      <c r="U68">
        <v>30.96</v>
      </c>
      <c r="V68">
        <v>3062</v>
      </c>
      <c r="W68">
        <v>22.72</v>
      </c>
      <c r="X68" t="s">
        <v>710</v>
      </c>
      <c r="Y68" t="s">
        <v>711</v>
      </c>
      <c r="Z68">
        <v>1.02</v>
      </c>
      <c r="AA68">
        <v>2102</v>
      </c>
      <c r="AB68">
        <v>15</v>
      </c>
      <c r="AC68">
        <v>2.82</v>
      </c>
      <c r="AD68" t="s">
        <v>712</v>
      </c>
      <c r="AE68" t="s">
        <v>713</v>
      </c>
      <c r="AF68" t="s">
        <v>714</v>
      </c>
      <c r="AG68" t="s">
        <v>715</v>
      </c>
      <c r="AH68">
        <v>1.02</v>
      </c>
      <c r="AI68">
        <v>0.49</v>
      </c>
      <c r="AJ68">
        <v>0.87</v>
      </c>
      <c r="AK68">
        <v>1.49</v>
      </c>
      <c r="AL68">
        <v>-1</v>
      </c>
      <c r="AM68">
        <v>-0.44</v>
      </c>
      <c r="AN68">
        <v>12.8</v>
      </c>
      <c r="AO68">
        <v>0.09</v>
      </c>
      <c r="AP68">
        <v>10.88</v>
      </c>
    </row>
    <row r="69" spans="1:42">
      <c r="A69">
        <v>68</v>
      </c>
      <c r="B69" t="str">
        <f>"301171"</f>
        <v>301171</v>
      </c>
      <c r="C69" t="s">
        <v>716</v>
      </c>
      <c r="D69">
        <v>22.2</v>
      </c>
      <c r="E69">
        <v>13.67</v>
      </c>
      <c r="F69">
        <v>2.67</v>
      </c>
      <c r="G69" t="s">
        <v>717</v>
      </c>
      <c r="H69" t="s">
        <v>718</v>
      </c>
      <c r="I69">
        <v>22.2</v>
      </c>
      <c r="J69">
        <v>22.21</v>
      </c>
      <c r="K69" t="s">
        <v>719</v>
      </c>
      <c r="L69">
        <v>19.65</v>
      </c>
      <c r="M69" t="s">
        <v>46</v>
      </c>
      <c r="N69" t="s">
        <v>720</v>
      </c>
      <c r="O69">
        <v>22.47</v>
      </c>
      <c r="P69">
        <v>19.8</v>
      </c>
      <c r="Q69">
        <v>19.8</v>
      </c>
      <c r="R69">
        <v>19.53</v>
      </c>
      <c r="S69">
        <v>13.67</v>
      </c>
      <c r="T69">
        <v>3.43</v>
      </c>
      <c r="U69">
        <v>-9.79</v>
      </c>
      <c r="V69">
        <v>-282</v>
      </c>
      <c r="W69">
        <v>21.43</v>
      </c>
      <c r="X69" t="s">
        <v>721</v>
      </c>
      <c r="Y69" t="s">
        <v>722</v>
      </c>
      <c r="Z69">
        <v>0.76</v>
      </c>
      <c r="AA69">
        <v>345</v>
      </c>
      <c r="AB69">
        <v>393</v>
      </c>
      <c r="AC69">
        <v>3.11</v>
      </c>
      <c r="AD69" t="s">
        <v>723</v>
      </c>
      <c r="AE69" t="s">
        <v>724</v>
      </c>
      <c r="AF69" t="s">
        <v>725</v>
      </c>
      <c r="AG69" t="s">
        <v>726</v>
      </c>
      <c r="AH69">
        <v>19.03</v>
      </c>
      <c r="AI69">
        <v>14.73</v>
      </c>
      <c r="AJ69">
        <v>34.57</v>
      </c>
      <c r="AK69">
        <v>48.34</v>
      </c>
      <c r="AL69">
        <v>4</v>
      </c>
      <c r="AM69">
        <v>13.67</v>
      </c>
      <c r="AN69">
        <v>19.03</v>
      </c>
      <c r="AO69">
        <v>23.47</v>
      </c>
      <c r="AP69">
        <v>24.58</v>
      </c>
    </row>
    <row r="70" spans="1:42">
      <c r="A70">
        <v>69</v>
      </c>
      <c r="B70" t="str">
        <f>"300094"</f>
        <v>300094</v>
      </c>
      <c r="C70" t="s">
        <v>727</v>
      </c>
      <c r="D70">
        <v>5.36</v>
      </c>
      <c r="E70">
        <v>-6.46</v>
      </c>
      <c r="F70">
        <v>-0.37</v>
      </c>
      <c r="G70" t="s">
        <v>728</v>
      </c>
      <c r="H70" t="s">
        <v>729</v>
      </c>
      <c r="I70">
        <v>5.36</v>
      </c>
      <c r="J70">
        <v>5.37</v>
      </c>
      <c r="K70" t="s">
        <v>719</v>
      </c>
      <c r="L70">
        <v>21</v>
      </c>
      <c r="M70" t="s">
        <v>46</v>
      </c>
      <c r="N70" t="s">
        <v>730</v>
      </c>
      <c r="O70">
        <v>5.91</v>
      </c>
      <c r="P70">
        <v>5.35</v>
      </c>
      <c r="Q70">
        <v>5.66</v>
      </c>
      <c r="R70">
        <v>5.73</v>
      </c>
      <c r="S70">
        <v>9.77</v>
      </c>
      <c r="T70">
        <v>0.91</v>
      </c>
      <c r="U70">
        <v>49.83</v>
      </c>
      <c r="V70" t="s">
        <v>731</v>
      </c>
      <c r="W70">
        <v>5.6</v>
      </c>
      <c r="X70" t="s">
        <v>732</v>
      </c>
      <c r="Y70" t="s">
        <v>733</v>
      </c>
      <c r="Z70">
        <v>1.6</v>
      </c>
      <c r="AA70" t="s">
        <v>734</v>
      </c>
      <c r="AB70">
        <v>2401</v>
      </c>
      <c r="AC70">
        <v>2.1</v>
      </c>
      <c r="AD70" t="s">
        <v>735</v>
      </c>
      <c r="AE70" t="s">
        <v>736</v>
      </c>
      <c r="AF70" t="s">
        <v>737</v>
      </c>
      <c r="AG70" t="s">
        <v>738</v>
      </c>
      <c r="AH70">
        <v>-0.37</v>
      </c>
      <c r="AI70">
        <v>13.08</v>
      </c>
      <c r="AJ70">
        <v>66.65</v>
      </c>
      <c r="AK70">
        <v>136.84</v>
      </c>
      <c r="AL70">
        <v>-1</v>
      </c>
      <c r="AM70">
        <v>-6.46</v>
      </c>
      <c r="AN70">
        <v>-11.7</v>
      </c>
      <c r="AO70">
        <v>20.18</v>
      </c>
      <c r="AP70">
        <v>-3.07</v>
      </c>
    </row>
    <row r="71" spans="1:42">
      <c r="A71">
        <v>70</v>
      </c>
      <c r="B71" t="str">
        <f>"301205"</f>
        <v>301205</v>
      </c>
      <c r="C71" t="s">
        <v>739</v>
      </c>
      <c r="D71">
        <v>127.79</v>
      </c>
      <c r="E71">
        <v>5</v>
      </c>
      <c r="F71">
        <v>6.09</v>
      </c>
      <c r="G71" t="s">
        <v>740</v>
      </c>
      <c r="H71">
        <v>1569</v>
      </c>
      <c r="I71">
        <v>127.79</v>
      </c>
      <c r="J71">
        <v>127.8</v>
      </c>
      <c r="K71" t="s">
        <v>741</v>
      </c>
      <c r="L71">
        <v>15.27</v>
      </c>
      <c r="M71" t="s">
        <v>46</v>
      </c>
      <c r="N71" t="s">
        <v>742</v>
      </c>
      <c r="O71">
        <v>131.28</v>
      </c>
      <c r="P71">
        <v>117.05</v>
      </c>
      <c r="Q71">
        <v>117.88</v>
      </c>
      <c r="R71">
        <v>121.7</v>
      </c>
      <c r="S71">
        <v>11.69</v>
      </c>
      <c r="T71">
        <v>1.03</v>
      </c>
      <c r="U71">
        <v>85.03</v>
      </c>
      <c r="V71">
        <v>631</v>
      </c>
      <c r="W71">
        <v>125.18</v>
      </c>
      <c r="X71" t="s">
        <v>743</v>
      </c>
      <c r="Y71" t="s">
        <v>744</v>
      </c>
      <c r="Z71">
        <v>0.92</v>
      </c>
      <c r="AA71">
        <v>297</v>
      </c>
      <c r="AB71">
        <v>21</v>
      </c>
      <c r="AC71">
        <v>11.7</v>
      </c>
      <c r="AD71" t="s">
        <v>745</v>
      </c>
      <c r="AE71" t="s">
        <v>746</v>
      </c>
      <c r="AF71" t="s">
        <v>747</v>
      </c>
      <c r="AG71" t="s">
        <v>748</v>
      </c>
      <c r="AH71">
        <v>11.43</v>
      </c>
      <c r="AI71">
        <v>23.28</v>
      </c>
      <c r="AJ71">
        <v>41.32</v>
      </c>
      <c r="AK71">
        <v>89.57</v>
      </c>
      <c r="AL71">
        <v>2</v>
      </c>
      <c r="AM71">
        <v>5</v>
      </c>
      <c r="AN71">
        <v>510.27</v>
      </c>
      <c r="AO71">
        <v>88.26</v>
      </c>
      <c r="AP71">
        <v>404.5</v>
      </c>
    </row>
    <row r="72" spans="1:42">
      <c r="A72">
        <v>71</v>
      </c>
      <c r="B72" t="str">
        <f>"601888"</f>
        <v>601888</v>
      </c>
      <c r="C72" t="s">
        <v>749</v>
      </c>
      <c r="D72">
        <v>87.9</v>
      </c>
      <c r="E72">
        <v>-1.4</v>
      </c>
      <c r="F72">
        <v>-1.25</v>
      </c>
      <c r="G72" t="s">
        <v>598</v>
      </c>
      <c r="H72">
        <v>1009</v>
      </c>
      <c r="I72">
        <v>87.9</v>
      </c>
      <c r="J72">
        <v>87.91</v>
      </c>
      <c r="K72" t="s">
        <v>750</v>
      </c>
      <c r="L72">
        <v>0.76</v>
      </c>
      <c r="M72" t="s">
        <v>46</v>
      </c>
      <c r="N72" t="s">
        <v>751</v>
      </c>
      <c r="O72">
        <v>88.89</v>
      </c>
      <c r="P72">
        <v>86.52</v>
      </c>
      <c r="Q72">
        <v>88.6</v>
      </c>
      <c r="R72">
        <v>89.15</v>
      </c>
      <c r="S72">
        <v>2.66</v>
      </c>
      <c r="T72">
        <v>1.6</v>
      </c>
      <c r="U72">
        <v>68.27</v>
      </c>
      <c r="V72">
        <v>809</v>
      </c>
      <c r="W72">
        <v>87.54</v>
      </c>
      <c r="X72" t="s">
        <v>752</v>
      </c>
      <c r="Y72" t="s">
        <v>753</v>
      </c>
      <c r="Z72">
        <v>1.31</v>
      </c>
      <c r="AA72">
        <v>419</v>
      </c>
      <c r="AB72">
        <v>7</v>
      </c>
      <c r="AC72">
        <v>3.46</v>
      </c>
      <c r="AD72" t="s">
        <v>754</v>
      </c>
      <c r="AE72" t="s">
        <v>755</v>
      </c>
      <c r="AF72" t="s">
        <v>756</v>
      </c>
      <c r="AG72" t="s">
        <v>757</v>
      </c>
      <c r="AH72">
        <v>-3.41</v>
      </c>
      <c r="AI72">
        <v>-6.33</v>
      </c>
      <c r="AJ72">
        <v>1.75</v>
      </c>
      <c r="AK72">
        <v>3.13</v>
      </c>
      <c r="AL72">
        <v>-3</v>
      </c>
      <c r="AM72">
        <v>-1.4</v>
      </c>
      <c r="AN72">
        <v>-59.16</v>
      </c>
      <c r="AO72">
        <v>-7.06</v>
      </c>
      <c r="AP72">
        <v>-51.82</v>
      </c>
    </row>
    <row r="73" spans="1:42">
      <c r="A73">
        <v>72</v>
      </c>
      <c r="B73" t="str">
        <f>"300033"</f>
        <v>300033</v>
      </c>
      <c r="C73" t="s">
        <v>758</v>
      </c>
      <c r="D73">
        <v>147.01</v>
      </c>
      <c r="E73">
        <v>4.65</v>
      </c>
      <c r="F73">
        <v>6.53</v>
      </c>
      <c r="G73" t="s">
        <v>759</v>
      </c>
      <c r="H73">
        <v>562</v>
      </c>
      <c r="I73">
        <v>147.01</v>
      </c>
      <c r="J73">
        <v>147.02</v>
      </c>
      <c r="K73" t="s">
        <v>760</v>
      </c>
      <c r="L73">
        <v>3.28</v>
      </c>
      <c r="M73" t="s">
        <v>46</v>
      </c>
      <c r="N73" t="s">
        <v>761</v>
      </c>
      <c r="O73">
        <v>148.91</v>
      </c>
      <c r="P73">
        <v>139.9</v>
      </c>
      <c r="Q73">
        <v>141</v>
      </c>
      <c r="R73">
        <v>140.48</v>
      </c>
      <c r="S73">
        <v>6.41</v>
      </c>
      <c r="T73">
        <v>2.54</v>
      </c>
      <c r="U73">
        <v>-44.88</v>
      </c>
      <c r="V73">
        <v>-254</v>
      </c>
      <c r="W73">
        <v>144.65</v>
      </c>
      <c r="X73" t="s">
        <v>762</v>
      </c>
      <c r="Y73" t="s">
        <v>744</v>
      </c>
      <c r="Z73">
        <v>0.64</v>
      </c>
      <c r="AA73">
        <v>12</v>
      </c>
      <c r="AB73">
        <v>207</v>
      </c>
      <c r="AC73">
        <v>11.79</v>
      </c>
      <c r="AD73" t="s">
        <v>763</v>
      </c>
      <c r="AE73" t="s">
        <v>764</v>
      </c>
      <c r="AF73" t="s">
        <v>765</v>
      </c>
      <c r="AG73" t="s">
        <v>766</v>
      </c>
      <c r="AH73">
        <v>3.74</v>
      </c>
      <c r="AI73">
        <v>2.45</v>
      </c>
      <c r="AJ73">
        <v>5.75</v>
      </c>
      <c r="AK73">
        <v>9.73</v>
      </c>
      <c r="AL73">
        <v>1</v>
      </c>
      <c r="AM73">
        <v>4.65</v>
      </c>
      <c r="AN73">
        <v>52.96</v>
      </c>
      <c r="AO73">
        <v>5.98</v>
      </c>
      <c r="AP73">
        <v>59.5</v>
      </c>
    </row>
    <row r="74" spans="1:42">
      <c r="A74">
        <v>73</v>
      </c>
      <c r="B74" t="str">
        <f>"600309"</f>
        <v>600309</v>
      </c>
      <c r="C74" t="s">
        <v>767</v>
      </c>
      <c r="D74">
        <v>78.88</v>
      </c>
      <c r="E74">
        <v>-2.19</v>
      </c>
      <c r="F74">
        <v>-1.77</v>
      </c>
      <c r="G74" t="s">
        <v>665</v>
      </c>
      <c r="H74">
        <v>987</v>
      </c>
      <c r="I74">
        <v>78.88</v>
      </c>
      <c r="J74">
        <v>78.98</v>
      </c>
      <c r="K74" t="s">
        <v>768</v>
      </c>
      <c r="L74">
        <v>0.52</v>
      </c>
      <c r="M74" t="s">
        <v>46</v>
      </c>
      <c r="N74" t="s">
        <v>769</v>
      </c>
      <c r="O74">
        <v>80.35</v>
      </c>
      <c r="P74">
        <v>78.15</v>
      </c>
      <c r="Q74">
        <v>80.26</v>
      </c>
      <c r="R74">
        <v>80.65</v>
      </c>
      <c r="S74">
        <v>2.73</v>
      </c>
      <c r="T74">
        <v>2.1</v>
      </c>
      <c r="U74">
        <v>45.8</v>
      </c>
      <c r="V74">
        <v>303</v>
      </c>
      <c r="W74">
        <v>79.12</v>
      </c>
      <c r="X74" t="s">
        <v>770</v>
      </c>
      <c r="Y74" t="s">
        <v>771</v>
      </c>
      <c r="Z74">
        <v>1.09</v>
      </c>
      <c r="AA74">
        <v>70</v>
      </c>
      <c r="AB74">
        <v>14</v>
      </c>
      <c r="AC74">
        <v>2.94</v>
      </c>
      <c r="AD74" t="s">
        <v>772</v>
      </c>
      <c r="AE74" t="s">
        <v>773</v>
      </c>
      <c r="AF74" t="s">
        <v>772</v>
      </c>
      <c r="AG74" t="s">
        <v>773</v>
      </c>
      <c r="AH74">
        <v>-2.38</v>
      </c>
      <c r="AI74">
        <v>-3.51</v>
      </c>
      <c r="AJ74">
        <v>0.96</v>
      </c>
      <c r="AK74">
        <v>1.74</v>
      </c>
      <c r="AL74">
        <v>-1</v>
      </c>
      <c r="AM74">
        <v>-2.19</v>
      </c>
      <c r="AN74">
        <v>-13.37</v>
      </c>
      <c r="AO74">
        <v>-9.43</v>
      </c>
      <c r="AP74">
        <v>-8.17</v>
      </c>
    </row>
    <row r="75" spans="1:42">
      <c r="A75">
        <v>74</v>
      </c>
      <c r="B75" t="str">
        <f>"688271"</f>
        <v>688271</v>
      </c>
      <c r="C75" t="s">
        <v>774</v>
      </c>
      <c r="D75">
        <v>143.59</v>
      </c>
      <c r="E75">
        <v>0.41</v>
      </c>
      <c r="F75">
        <v>0.59</v>
      </c>
      <c r="G75" t="s">
        <v>775</v>
      </c>
      <c r="H75">
        <v>252</v>
      </c>
      <c r="I75">
        <v>143.58</v>
      </c>
      <c r="J75">
        <v>143.59</v>
      </c>
      <c r="K75" t="s">
        <v>695</v>
      </c>
      <c r="L75">
        <v>1.53</v>
      </c>
      <c r="M75" t="s">
        <v>46</v>
      </c>
      <c r="N75" t="s">
        <v>776</v>
      </c>
      <c r="O75">
        <v>144.09</v>
      </c>
      <c r="P75">
        <v>138.08</v>
      </c>
      <c r="Q75">
        <v>142.89</v>
      </c>
      <c r="R75">
        <v>143</v>
      </c>
      <c r="S75">
        <v>4.2</v>
      </c>
      <c r="T75">
        <v>1.1</v>
      </c>
      <c r="U75">
        <v>-84.89</v>
      </c>
      <c r="V75">
        <v>-212</v>
      </c>
      <c r="W75">
        <v>141.54</v>
      </c>
      <c r="X75" t="s">
        <v>777</v>
      </c>
      <c r="Y75" t="s">
        <v>778</v>
      </c>
      <c r="Z75">
        <v>0.91</v>
      </c>
      <c r="AA75">
        <v>5</v>
      </c>
      <c r="AB75">
        <v>45</v>
      </c>
      <c r="AC75">
        <v>6.58</v>
      </c>
      <c r="AD75" t="s">
        <v>779</v>
      </c>
      <c r="AE75" t="s">
        <v>780</v>
      </c>
      <c r="AF75" t="s">
        <v>781</v>
      </c>
      <c r="AG75" t="s">
        <v>782</v>
      </c>
      <c r="AH75">
        <v>7.22</v>
      </c>
      <c r="AI75">
        <v>11.31</v>
      </c>
      <c r="AJ75">
        <v>5.37</v>
      </c>
      <c r="AK75">
        <v>8.47</v>
      </c>
      <c r="AL75">
        <v>4</v>
      </c>
      <c r="AM75">
        <v>0.41</v>
      </c>
      <c r="AN75">
        <v>-18.77</v>
      </c>
      <c r="AO75">
        <v>22.98</v>
      </c>
      <c r="AP75">
        <v>-22.46</v>
      </c>
    </row>
    <row r="76" spans="1:42">
      <c r="A76">
        <v>75</v>
      </c>
      <c r="B76" t="str">
        <f>"600941"</f>
        <v>600941</v>
      </c>
      <c r="C76" t="s">
        <v>783</v>
      </c>
      <c r="D76">
        <v>92.68</v>
      </c>
      <c r="E76">
        <v>1.87</v>
      </c>
      <c r="F76">
        <v>1.7</v>
      </c>
      <c r="G76" t="s">
        <v>784</v>
      </c>
      <c r="H76">
        <v>926</v>
      </c>
      <c r="I76">
        <v>92.66</v>
      </c>
      <c r="J76">
        <v>92.68</v>
      </c>
      <c r="K76" t="s">
        <v>785</v>
      </c>
      <c r="L76">
        <v>1.82</v>
      </c>
      <c r="M76" t="s">
        <v>46</v>
      </c>
      <c r="N76" t="s">
        <v>786</v>
      </c>
      <c r="O76">
        <v>92.82</v>
      </c>
      <c r="P76">
        <v>90.49</v>
      </c>
      <c r="Q76">
        <v>91.08</v>
      </c>
      <c r="R76">
        <v>90.98</v>
      </c>
      <c r="S76">
        <v>2.56</v>
      </c>
      <c r="T76">
        <v>1.72</v>
      </c>
      <c r="U76">
        <v>-34.45</v>
      </c>
      <c r="V76">
        <v>-82</v>
      </c>
      <c r="W76">
        <v>92.1</v>
      </c>
      <c r="X76" t="s">
        <v>787</v>
      </c>
      <c r="Y76" t="s">
        <v>788</v>
      </c>
      <c r="Z76">
        <v>0.68</v>
      </c>
      <c r="AA76">
        <v>6</v>
      </c>
      <c r="AB76">
        <v>20</v>
      </c>
      <c r="AC76">
        <v>1.55</v>
      </c>
      <c r="AD76" t="s">
        <v>789</v>
      </c>
      <c r="AE76" t="s">
        <v>790</v>
      </c>
      <c r="AF76" t="s">
        <v>791</v>
      </c>
      <c r="AG76" t="s">
        <v>792</v>
      </c>
      <c r="AH76">
        <v>5.04</v>
      </c>
      <c r="AI76">
        <v>3.12</v>
      </c>
      <c r="AJ76">
        <v>4.39</v>
      </c>
      <c r="AK76">
        <v>7.12</v>
      </c>
      <c r="AL76">
        <v>3</v>
      </c>
      <c r="AM76">
        <v>1.87</v>
      </c>
      <c r="AN76">
        <v>46.02</v>
      </c>
      <c r="AO76">
        <v>-1.06</v>
      </c>
      <c r="AP76">
        <v>40.64</v>
      </c>
    </row>
    <row r="77" spans="1:42">
      <c r="A77">
        <v>76</v>
      </c>
      <c r="B77" t="str">
        <f>"603019"</f>
        <v>603019</v>
      </c>
      <c r="C77" t="s">
        <v>793</v>
      </c>
      <c r="D77">
        <v>38.13</v>
      </c>
      <c r="E77">
        <v>2.91</v>
      </c>
      <c r="F77">
        <v>1.08</v>
      </c>
      <c r="G77" t="s">
        <v>622</v>
      </c>
      <c r="H77">
        <v>3369</v>
      </c>
      <c r="I77">
        <v>38.12</v>
      </c>
      <c r="J77">
        <v>38.13</v>
      </c>
      <c r="K77" t="s">
        <v>794</v>
      </c>
      <c r="L77">
        <v>2.31</v>
      </c>
      <c r="M77" t="s">
        <v>46</v>
      </c>
      <c r="N77" t="s">
        <v>795</v>
      </c>
      <c r="O77">
        <v>38.5</v>
      </c>
      <c r="P77">
        <v>36.88</v>
      </c>
      <c r="Q77">
        <v>36.96</v>
      </c>
      <c r="R77">
        <v>37.05</v>
      </c>
      <c r="S77">
        <v>4.37</v>
      </c>
      <c r="T77">
        <v>1.28</v>
      </c>
      <c r="U77">
        <v>28.98</v>
      </c>
      <c r="V77">
        <v>1880</v>
      </c>
      <c r="W77">
        <v>37.71</v>
      </c>
      <c r="X77" t="s">
        <v>796</v>
      </c>
      <c r="Y77" t="s">
        <v>797</v>
      </c>
      <c r="Z77">
        <v>0.86</v>
      </c>
      <c r="AA77">
        <v>2811</v>
      </c>
      <c r="AB77">
        <v>64</v>
      </c>
      <c r="AC77">
        <v>3.19</v>
      </c>
      <c r="AD77" t="s">
        <v>798</v>
      </c>
      <c r="AE77" t="s">
        <v>799</v>
      </c>
      <c r="AF77" t="s">
        <v>800</v>
      </c>
      <c r="AG77" t="s">
        <v>801</v>
      </c>
      <c r="AH77">
        <v>0.03</v>
      </c>
      <c r="AI77">
        <v>-4.05</v>
      </c>
      <c r="AJ77">
        <v>5.74</v>
      </c>
      <c r="AK77">
        <v>11.36</v>
      </c>
      <c r="AL77">
        <v>1</v>
      </c>
      <c r="AM77">
        <v>2.91</v>
      </c>
      <c r="AN77">
        <v>74.59</v>
      </c>
      <c r="AO77">
        <v>2.33</v>
      </c>
      <c r="AP77">
        <v>54.81</v>
      </c>
    </row>
    <row r="78" spans="1:42">
      <c r="A78">
        <v>77</v>
      </c>
      <c r="B78" t="str">
        <f>"002561"</f>
        <v>002561</v>
      </c>
      <c r="C78" t="s">
        <v>802</v>
      </c>
      <c r="D78">
        <v>10.83</v>
      </c>
      <c r="E78">
        <v>-3.73</v>
      </c>
      <c r="F78">
        <v>-0.42</v>
      </c>
      <c r="G78" t="s">
        <v>65</v>
      </c>
      <c r="H78">
        <v>9926</v>
      </c>
      <c r="I78">
        <v>10.83</v>
      </c>
      <c r="J78">
        <v>10.84</v>
      </c>
      <c r="K78" t="s">
        <v>803</v>
      </c>
      <c r="L78">
        <v>25.72</v>
      </c>
      <c r="M78" t="s">
        <v>46</v>
      </c>
      <c r="N78" t="s">
        <v>804</v>
      </c>
      <c r="O78">
        <v>12.38</v>
      </c>
      <c r="P78">
        <v>10.77</v>
      </c>
      <c r="Q78">
        <v>11.66</v>
      </c>
      <c r="R78">
        <v>11.25</v>
      </c>
      <c r="S78">
        <v>14.31</v>
      </c>
      <c r="T78">
        <v>2.26</v>
      </c>
      <c r="U78">
        <v>87.16</v>
      </c>
      <c r="V78">
        <v>9519</v>
      </c>
      <c r="W78">
        <v>11.76</v>
      </c>
      <c r="X78" t="s">
        <v>805</v>
      </c>
      <c r="Y78" t="s">
        <v>806</v>
      </c>
      <c r="Z78">
        <v>1.16</v>
      </c>
      <c r="AA78">
        <v>1594</v>
      </c>
      <c r="AB78">
        <v>226</v>
      </c>
      <c r="AC78">
        <v>2.03</v>
      </c>
      <c r="AD78" t="s">
        <v>807</v>
      </c>
      <c r="AE78" t="s">
        <v>808</v>
      </c>
      <c r="AF78" t="s">
        <v>809</v>
      </c>
      <c r="AG78" t="s">
        <v>810</v>
      </c>
      <c r="AH78">
        <v>4.23</v>
      </c>
      <c r="AI78">
        <v>8.3</v>
      </c>
      <c r="AJ78">
        <v>45.89</v>
      </c>
      <c r="AK78">
        <v>82.65</v>
      </c>
      <c r="AL78">
        <v>-1</v>
      </c>
      <c r="AM78">
        <v>-3.73</v>
      </c>
      <c r="AN78">
        <v>-22.03</v>
      </c>
      <c r="AO78">
        <v>24.2</v>
      </c>
      <c r="AP78">
        <v>35.04</v>
      </c>
    </row>
    <row r="79" spans="1:42">
      <c r="A79">
        <v>78</v>
      </c>
      <c r="B79" t="str">
        <f>"601899"</f>
        <v>601899</v>
      </c>
      <c r="C79" t="s">
        <v>811</v>
      </c>
      <c r="D79">
        <v>12.04</v>
      </c>
      <c r="E79">
        <v>-1.15</v>
      </c>
      <c r="F79">
        <v>-0.14</v>
      </c>
      <c r="G79" t="s">
        <v>812</v>
      </c>
      <c r="H79">
        <v>8753</v>
      </c>
      <c r="I79">
        <v>12.04</v>
      </c>
      <c r="J79">
        <v>12.05</v>
      </c>
      <c r="K79" t="s">
        <v>813</v>
      </c>
      <c r="L79">
        <v>0.5</v>
      </c>
      <c r="M79" t="s">
        <v>46</v>
      </c>
      <c r="N79" t="s">
        <v>814</v>
      </c>
      <c r="O79">
        <v>12.2</v>
      </c>
      <c r="P79">
        <v>11.96</v>
      </c>
      <c r="Q79">
        <v>12.15</v>
      </c>
      <c r="R79">
        <v>12.18</v>
      </c>
      <c r="S79">
        <v>1.97</v>
      </c>
      <c r="T79">
        <v>1.11</v>
      </c>
      <c r="U79">
        <v>32.07</v>
      </c>
      <c r="V79">
        <v>7475</v>
      </c>
      <c r="W79">
        <v>12.07</v>
      </c>
      <c r="X79" t="s">
        <v>815</v>
      </c>
      <c r="Y79" t="s">
        <v>816</v>
      </c>
      <c r="Z79">
        <v>1.11</v>
      </c>
      <c r="AA79">
        <v>2161</v>
      </c>
      <c r="AB79">
        <v>655</v>
      </c>
      <c r="AC79">
        <v>3.07</v>
      </c>
      <c r="AD79" t="s">
        <v>817</v>
      </c>
      <c r="AE79" t="s">
        <v>818</v>
      </c>
      <c r="AF79" t="s">
        <v>819</v>
      </c>
      <c r="AG79" t="s">
        <v>820</v>
      </c>
      <c r="AH79">
        <v>1.26</v>
      </c>
      <c r="AI79">
        <v>0.42</v>
      </c>
      <c r="AJ79">
        <v>1.89</v>
      </c>
      <c r="AK79">
        <v>2.73</v>
      </c>
      <c r="AL79">
        <v>-1</v>
      </c>
      <c r="AM79">
        <v>-1.15</v>
      </c>
      <c r="AN79">
        <v>22.86</v>
      </c>
      <c r="AO79">
        <v>-1.07</v>
      </c>
      <c r="AP79">
        <v>29.05</v>
      </c>
    </row>
    <row r="80" spans="1:42">
      <c r="A80">
        <v>79</v>
      </c>
      <c r="B80" t="str">
        <f>"600895"</f>
        <v>600895</v>
      </c>
      <c r="C80" t="s">
        <v>821</v>
      </c>
      <c r="D80">
        <v>22.92</v>
      </c>
      <c r="E80">
        <v>0.75</v>
      </c>
      <c r="F80">
        <v>0.17</v>
      </c>
      <c r="G80" t="s">
        <v>822</v>
      </c>
      <c r="H80">
        <v>9538</v>
      </c>
      <c r="I80">
        <v>22.91</v>
      </c>
      <c r="J80">
        <v>22.92</v>
      </c>
      <c r="K80" t="s">
        <v>813</v>
      </c>
      <c r="L80">
        <v>3.48</v>
      </c>
      <c r="M80" t="s">
        <v>46</v>
      </c>
      <c r="N80" t="s">
        <v>823</v>
      </c>
      <c r="O80">
        <v>22.96</v>
      </c>
      <c r="P80">
        <v>22.44</v>
      </c>
      <c r="Q80">
        <v>22.5</v>
      </c>
      <c r="R80">
        <v>22.75</v>
      </c>
      <c r="S80">
        <v>2.29</v>
      </c>
      <c r="T80">
        <v>0.44</v>
      </c>
      <c r="U80">
        <v>-29</v>
      </c>
      <c r="V80">
        <v>-4260</v>
      </c>
      <c r="W80">
        <v>22.76</v>
      </c>
      <c r="X80" t="s">
        <v>92</v>
      </c>
      <c r="Y80" t="s">
        <v>272</v>
      </c>
      <c r="Z80">
        <v>1.09</v>
      </c>
      <c r="AA80">
        <v>766</v>
      </c>
      <c r="AB80">
        <v>4471</v>
      </c>
      <c r="AC80">
        <v>2.89</v>
      </c>
      <c r="AD80" t="s">
        <v>824</v>
      </c>
      <c r="AE80" t="s">
        <v>825</v>
      </c>
      <c r="AF80" t="s">
        <v>824</v>
      </c>
      <c r="AG80" t="s">
        <v>825</v>
      </c>
      <c r="AH80">
        <v>-3.29</v>
      </c>
      <c r="AI80">
        <v>0.84</v>
      </c>
      <c r="AJ80">
        <v>13.81</v>
      </c>
      <c r="AK80">
        <v>42.96</v>
      </c>
      <c r="AL80">
        <v>1</v>
      </c>
      <c r="AM80">
        <v>0.75</v>
      </c>
      <c r="AN80">
        <v>105.01</v>
      </c>
      <c r="AO80">
        <v>2.78</v>
      </c>
      <c r="AP80">
        <v>91.8</v>
      </c>
    </row>
    <row r="81" spans="1:42">
      <c r="A81">
        <v>80</v>
      </c>
      <c r="B81" t="str">
        <f>"002466"</f>
        <v>002466</v>
      </c>
      <c r="C81" t="s">
        <v>826</v>
      </c>
      <c r="D81">
        <v>50.12</v>
      </c>
      <c r="E81">
        <v>0.08</v>
      </c>
      <c r="F81">
        <v>0.04</v>
      </c>
      <c r="G81" t="s">
        <v>142</v>
      </c>
      <c r="H81">
        <v>2110</v>
      </c>
      <c r="I81">
        <v>50.12</v>
      </c>
      <c r="J81">
        <v>50.13</v>
      </c>
      <c r="K81" t="s">
        <v>827</v>
      </c>
      <c r="L81">
        <v>1.64</v>
      </c>
      <c r="M81" t="s">
        <v>46</v>
      </c>
      <c r="N81" t="s">
        <v>828</v>
      </c>
      <c r="O81">
        <v>50.89</v>
      </c>
      <c r="P81">
        <v>49.01</v>
      </c>
      <c r="Q81">
        <v>49.7</v>
      </c>
      <c r="R81">
        <v>50.08</v>
      </c>
      <c r="S81">
        <v>3.75</v>
      </c>
      <c r="T81">
        <v>1.29</v>
      </c>
      <c r="U81">
        <v>11.76</v>
      </c>
      <c r="V81">
        <v>212</v>
      </c>
      <c r="W81">
        <v>49.86</v>
      </c>
      <c r="X81" t="s">
        <v>829</v>
      </c>
      <c r="Y81" t="s">
        <v>830</v>
      </c>
      <c r="Z81">
        <v>0.85</v>
      </c>
      <c r="AA81">
        <v>140</v>
      </c>
      <c r="AB81">
        <v>213</v>
      </c>
      <c r="AC81">
        <v>1.56</v>
      </c>
      <c r="AD81" t="s">
        <v>831</v>
      </c>
      <c r="AE81" t="s">
        <v>832</v>
      </c>
      <c r="AF81" t="s">
        <v>833</v>
      </c>
      <c r="AG81" t="s">
        <v>834</v>
      </c>
      <c r="AH81">
        <v>-0.6</v>
      </c>
      <c r="AI81">
        <v>-4.3</v>
      </c>
      <c r="AJ81">
        <v>3.78</v>
      </c>
      <c r="AK81">
        <v>7.98</v>
      </c>
      <c r="AL81">
        <v>1</v>
      </c>
      <c r="AM81">
        <v>0.08</v>
      </c>
      <c r="AN81">
        <v>-34.04</v>
      </c>
      <c r="AO81">
        <v>-5.51</v>
      </c>
      <c r="AP81">
        <v>-43.16</v>
      </c>
    </row>
    <row r="82" spans="1:42">
      <c r="A82">
        <v>81</v>
      </c>
      <c r="B82" t="str">
        <f>"601398"</f>
        <v>601398</v>
      </c>
      <c r="C82" t="s">
        <v>835</v>
      </c>
      <c r="D82">
        <v>4.81</v>
      </c>
      <c r="E82">
        <v>0</v>
      </c>
      <c r="F82">
        <v>0</v>
      </c>
      <c r="G82" t="s">
        <v>836</v>
      </c>
      <c r="H82" t="s">
        <v>837</v>
      </c>
      <c r="I82">
        <v>4.81</v>
      </c>
      <c r="J82">
        <v>4.82</v>
      </c>
      <c r="K82" t="s">
        <v>838</v>
      </c>
      <c r="L82">
        <v>0.09</v>
      </c>
      <c r="M82" t="s">
        <v>46</v>
      </c>
      <c r="N82" t="s">
        <v>839</v>
      </c>
      <c r="O82">
        <v>4.83</v>
      </c>
      <c r="P82">
        <v>4.79</v>
      </c>
      <c r="Q82">
        <v>4.8</v>
      </c>
      <c r="R82">
        <v>4.81</v>
      </c>
      <c r="S82">
        <v>0.83</v>
      </c>
      <c r="T82">
        <v>1.37</v>
      </c>
      <c r="U82">
        <v>49.33</v>
      </c>
      <c r="V82" t="s">
        <v>840</v>
      </c>
      <c r="W82">
        <v>4.81</v>
      </c>
      <c r="X82" t="s">
        <v>65</v>
      </c>
      <c r="Y82" t="s">
        <v>841</v>
      </c>
      <c r="Z82">
        <v>0.74</v>
      </c>
      <c r="AA82" t="s">
        <v>842</v>
      </c>
      <c r="AB82" t="s">
        <v>843</v>
      </c>
      <c r="AC82">
        <v>0.52</v>
      </c>
      <c r="AD82" t="s">
        <v>844</v>
      </c>
      <c r="AE82" t="s">
        <v>845</v>
      </c>
      <c r="AF82" t="s">
        <v>846</v>
      </c>
      <c r="AG82" t="s">
        <v>847</v>
      </c>
      <c r="AH82">
        <v>0.42</v>
      </c>
      <c r="AI82">
        <v>0.21</v>
      </c>
      <c r="AJ82">
        <v>0.23</v>
      </c>
      <c r="AK82">
        <v>0.43</v>
      </c>
      <c r="AL82">
        <v>0</v>
      </c>
      <c r="AM82">
        <v>0</v>
      </c>
      <c r="AN82">
        <v>19.06</v>
      </c>
      <c r="AO82">
        <v>1.48</v>
      </c>
      <c r="AP82">
        <v>22.39</v>
      </c>
    </row>
    <row r="83" spans="1:42">
      <c r="A83">
        <v>82</v>
      </c>
      <c r="B83" t="str">
        <f>"000938"</f>
        <v>000938</v>
      </c>
      <c r="C83" t="s">
        <v>848</v>
      </c>
      <c r="D83">
        <v>20.98</v>
      </c>
      <c r="E83">
        <v>3.81</v>
      </c>
      <c r="F83">
        <v>0.77</v>
      </c>
      <c r="G83" t="s">
        <v>361</v>
      </c>
      <c r="H83">
        <v>4120</v>
      </c>
      <c r="I83">
        <v>20.98</v>
      </c>
      <c r="J83">
        <v>20.99</v>
      </c>
      <c r="K83" t="s">
        <v>849</v>
      </c>
      <c r="L83">
        <v>2.01</v>
      </c>
      <c r="M83" t="s">
        <v>46</v>
      </c>
      <c r="N83" t="s">
        <v>850</v>
      </c>
      <c r="O83">
        <v>21.12</v>
      </c>
      <c r="P83">
        <v>20.01</v>
      </c>
      <c r="Q83">
        <v>20.21</v>
      </c>
      <c r="R83">
        <v>20.21</v>
      </c>
      <c r="S83">
        <v>5.49</v>
      </c>
      <c r="T83">
        <v>1.86</v>
      </c>
      <c r="U83">
        <v>-29.2</v>
      </c>
      <c r="V83">
        <v>-2533</v>
      </c>
      <c r="W83">
        <v>20.66</v>
      </c>
      <c r="X83" t="s">
        <v>851</v>
      </c>
      <c r="Y83" t="s">
        <v>852</v>
      </c>
      <c r="Z83">
        <v>0.75</v>
      </c>
      <c r="AA83">
        <v>824</v>
      </c>
      <c r="AB83">
        <v>1398</v>
      </c>
      <c r="AC83">
        <v>1.8</v>
      </c>
      <c r="AD83" t="s">
        <v>853</v>
      </c>
      <c r="AE83" t="s">
        <v>854</v>
      </c>
      <c r="AF83" t="s">
        <v>853</v>
      </c>
      <c r="AG83" t="s">
        <v>854</v>
      </c>
      <c r="AH83">
        <v>1.16</v>
      </c>
      <c r="AI83">
        <v>-1.18</v>
      </c>
      <c r="AJ83">
        <v>4.1</v>
      </c>
      <c r="AK83">
        <v>7.39</v>
      </c>
      <c r="AL83">
        <v>1</v>
      </c>
      <c r="AM83">
        <v>3.81</v>
      </c>
      <c r="AN83">
        <v>7.53</v>
      </c>
      <c r="AO83">
        <v>5.91</v>
      </c>
      <c r="AP83">
        <v>8.99</v>
      </c>
    </row>
    <row r="84" spans="1:42">
      <c r="A84">
        <v>83</v>
      </c>
      <c r="B84" t="str">
        <f>"300212"</f>
        <v>300212</v>
      </c>
      <c r="C84" t="s">
        <v>855</v>
      </c>
      <c r="D84">
        <v>34.93</v>
      </c>
      <c r="E84">
        <v>3.22</v>
      </c>
      <c r="F84">
        <v>1.09</v>
      </c>
      <c r="G84" t="s">
        <v>856</v>
      </c>
      <c r="H84">
        <v>4918</v>
      </c>
      <c r="I84">
        <v>34.92</v>
      </c>
      <c r="J84">
        <v>34.93</v>
      </c>
      <c r="K84" t="s">
        <v>857</v>
      </c>
      <c r="L84">
        <v>5.35</v>
      </c>
      <c r="M84" t="s">
        <v>46</v>
      </c>
      <c r="N84" t="s">
        <v>858</v>
      </c>
      <c r="O84">
        <v>35.28</v>
      </c>
      <c r="P84">
        <v>33.5</v>
      </c>
      <c r="Q84">
        <v>33.6</v>
      </c>
      <c r="R84">
        <v>33.84</v>
      </c>
      <c r="S84">
        <v>5.26</v>
      </c>
      <c r="T84">
        <v>0.5</v>
      </c>
      <c r="U84">
        <v>8.19</v>
      </c>
      <c r="V84">
        <v>222</v>
      </c>
      <c r="W84">
        <v>34.56</v>
      </c>
      <c r="X84" t="s">
        <v>571</v>
      </c>
      <c r="Y84" t="s">
        <v>859</v>
      </c>
      <c r="Z84">
        <v>0.88</v>
      </c>
      <c r="AA84">
        <v>409</v>
      </c>
      <c r="AB84">
        <v>287</v>
      </c>
      <c r="AC84">
        <v>5.11</v>
      </c>
      <c r="AD84" t="s">
        <v>860</v>
      </c>
      <c r="AE84" t="s">
        <v>861</v>
      </c>
      <c r="AF84" t="s">
        <v>862</v>
      </c>
      <c r="AG84" t="s">
        <v>863</v>
      </c>
      <c r="AH84">
        <v>-2.48</v>
      </c>
      <c r="AI84">
        <v>-1.94</v>
      </c>
      <c r="AJ84">
        <v>18.18</v>
      </c>
      <c r="AK84">
        <v>58.87</v>
      </c>
      <c r="AL84">
        <v>1</v>
      </c>
      <c r="AM84">
        <v>3.22</v>
      </c>
      <c r="AN84">
        <v>71.14</v>
      </c>
      <c r="AO84">
        <v>21.16</v>
      </c>
      <c r="AP84">
        <v>68.42</v>
      </c>
    </row>
    <row r="85" spans="1:42">
      <c r="A85">
        <v>84</v>
      </c>
      <c r="B85" t="str">
        <f>"002475"</f>
        <v>002475</v>
      </c>
      <c r="C85" t="s">
        <v>864</v>
      </c>
      <c r="D85">
        <v>31.36</v>
      </c>
      <c r="E85">
        <v>-1.48</v>
      </c>
      <c r="F85">
        <v>-0.47</v>
      </c>
      <c r="G85" t="s">
        <v>865</v>
      </c>
      <c r="H85">
        <v>4292</v>
      </c>
      <c r="I85">
        <v>31.35</v>
      </c>
      <c r="J85">
        <v>31.36</v>
      </c>
      <c r="K85" t="s">
        <v>866</v>
      </c>
      <c r="L85">
        <v>0.53</v>
      </c>
      <c r="M85" t="s">
        <v>46</v>
      </c>
      <c r="N85" t="s">
        <v>867</v>
      </c>
      <c r="O85">
        <v>31.82</v>
      </c>
      <c r="P85">
        <v>31.13</v>
      </c>
      <c r="Q85">
        <v>31.66</v>
      </c>
      <c r="R85">
        <v>31.83</v>
      </c>
      <c r="S85">
        <v>2.17</v>
      </c>
      <c r="T85">
        <v>0.83</v>
      </c>
      <c r="U85">
        <v>27.96</v>
      </c>
      <c r="V85">
        <v>1644</v>
      </c>
      <c r="W85">
        <v>31.41</v>
      </c>
      <c r="X85" t="s">
        <v>868</v>
      </c>
      <c r="Y85" t="s">
        <v>869</v>
      </c>
      <c r="Z85">
        <v>0.95</v>
      </c>
      <c r="AA85">
        <v>517</v>
      </c>
      <c r="AB85">
        <v>145</v>
      </c>
      <c r="AC85">
        <v>4.3</v>
      </c>
      <c r="AD85" t="s">
        <v>870</v>
      </c>
      <c r="AE85" t="s">
        <v>871</v>
      </c>
      <c r="AF85" t="s">
        <v>872</v>
      </c>
      <c r="AG85" t="s">
        <v>873</v>
      </c>
      <c r="AH85">
        <v>-1.2</v>
      </c>
      <c r="AI85">
        <v>1.52</v>
      </c>
      <c r="AJ85">
        <v>1.45</v>
      </c>
      <c r="AK85">
        <v>3.7</v>
      </c>
      <c r="AL85">
        <v>-1</v>
      </c>
      <c r="AM85">
        <v>-1.48</v>
      </c>
      <c r="AN85">
        <v>-0.82</v>
      </c>
      <c r="AO85">
        <v>-2</v>
      </c>
      <c r="AP85">
        <v>-3.33</v>
      </c>
    </row>
    <row r="86" spans="1:42">
      <c r="A86">
        <v>85</v>
      </c>
      <c r="B86" t="str">
        <f>"601288"</f>
        <v>601288</v>
      </c>
      <c r="C86" t="s">
        <v>874</v>
      </c>
      <c r="D86">
        <v>3.65</v>
      </c>
      <c r="E86">
        <v>-0.27</v>
      </c>
      <c r="F86">
        <v>-0.01</v>
      </c>
      <c r="G86" t="s">
        <v>875</v>
      </c>
      <c r="H86" t="s">
        <v>876</v>
      </c>
      <c r="I86">
        <v>3.65</v>
      </c>
      <c r="J86">
        <v>3.66</v>
      </c>
      <c r="K86" t="s">
        <v>877</v>
      </c>
      <c r="L86">
        <v>0.1</v>
      </c>
      <c r="M86" t="s">
        <v>46</v>
      </c>
      <c r="N86" t="s">
        <v>878</v>
      </c>
      <c r="O86">
        <v>3.68</v>
      </c>
      <c r="P86">
        <v>3.65</v>
      </c>
      <c r="Q86">
        <v>3.66</v>
      </c>
      <c r="R86">
        <v>3.66</v>
      </c>
      <c r="S86">
        <v>0.82</v>
      </c>
      <c r="T86">
        <v>1.32</v>
      </c>
      <c r="U86">
        <v>-22.12</v>
      </c>
      <c r="V86" t="s">
        <v>879</v>
      </c>
      <c r="W86">
        <v>3.66</v>
      </c>
      <c r="X86" t="s">
        <v>841</v>
      </c>
      <c r="Y86" t="s">
        <v>880</v>
      </c>
      <c r="Z86">
        <v>0.82</v>
      </c>
      <c r="AA86" t="s">
        <v>881</v>
      </c>
      <c r="AB86" t="s">
        <v>882</v>
      </c>
      <c r="AC86">
        <v>0.55</v>
      </c>
      <c r="AD86" t="s">
        <v>883</v>
      </c>
      <c r="AE86" t="s">
        <v>884</v>
      </c>
      <c r="AF86" t="s">
        <v>885</v>
      </c>
      <c r="AG86" t="s">
        <v>886</v>
      </c>
      <c r="AH86">
        <v>0.27</v>
      </c>
      <c r="AI86">
        <v>-0.27</v>
      </c>
      <c r="AJ86">
        <v>0.25</v>
      </c>
      <c r="AK86">
        <v>0.48</v>
      </c>
      <c r="AL86">
        <v>-1</v>
      </c>
      <c r="AM86">
        <v>-0.27</v>
      </c>
      <c r="AN86">
        <v>35.69</v>
      </c>
      <c r="AO86">
        <v>0.83</v>
      </c>
      <c r="AP86">
        <v>40.93</v>
      </c>
    </row>
    <row r="87" spans="1:42">
      <c r="A87">
        <v>86</v>
      </c>
      <c r="B87" t="str">
        <f>"601138"</f>
        <v>601138</v>
      </c>
      <c r="C87" t="s">
        <v>887</v>
      </c>
      <c r="D87">
        <v>15.15</v>
      </c>
      <c r="E87">
        <v>0.33</v>
      </c>
      <c r="F87">
        <v>0.05</v>
      </c>
      <c r="G87" t="s">
        <v>888</v>
      </c>
      <c r="H87">
        <v>3785</v>
      </c>
      <c r="I87">
        <v>15.14</v>
      </c>
      <c r="J87">
        <v>15.15</v>
      </c>
      <c r="K87" t="s">
        <v>113</v>
      </c>
      <c r="L87">
        <v>0.39</v>
      </c>
      <c r="M87" t="s">
        <v>46</v>
      </c>
      <c r="N87" t="s">
        <v>889</v>
      </c>
      <c r="O87">
        <v>15.23</v>
      </c>
      <c r="P87">
        <v>14.86</v>
      </c>
      <c r="Q87">
        <v>15.05</v>
      </c>
      <c r="R87">
        <v>15.1</v>
      </c>
      <c r="S87">
        <v>2.45</v>
      </c>
      <c r="T87">
        <v>0.8</v>
      </c>
      <c r="U87">
        <v>16.9</v>
      </c>
      <c r="V87">
        <v>3366</v>
      </c>
      <c r="W87">
        <v>15.08</v>
      </c>
      <c r="X87" t="s">
        <v>890</v>
      </c>
      <c r="Y87" t="s">
        <v>568</v>
      </c>
      <c r="Z87">
        <v>0.94</v>
      </c>
      <c r="AA87">
        <v>648</v>
      </c>
      <c r="AB87">
        <v>2173</v>
      </c>
      <c r="AC87">
        <v>2.27</v>
      </c>
      <c r="AD87" t="s">
        <v>891</v>
      </c>
      <c r="AE87" t="s">
        <v>892</v>
      </c>
      <c r="AF87" t="s">
        <v>893</v>
      </c>
      <c r="AG87" t="s">
        <v>894</v>
      </c>
      <c r="AH87">
        <v>0</v>
      </c>
      <c r="AI87">
        <v>-3.63</v>
      </c>
      <c r="AJ87">
        <v>1.18</v>
      </c>
      <c r="AK87">
        <v>2.81</v>
      </c>
      <c r="AL87">
        <v>2</v>
      </c>
      <c r="AM87">
        <v>0.33</v>
      </c>
      <c r="AN87">
        <v>75.55</v>
      </c>
      <c r="AO87">
        <v>2.71</v>
      </c>
      <c r="AP87">
        <v>77.19</v>
      </c>
    </row>
    <row r="88" spans="1:42">
      <c r="A88">
        <v>87</v>
      </c>
      <c r="B88" t="str">
        <f>"301013"</f>
        <v>301013</v>
      </c>
      <c r="C88" t="s">
        <v>895</v>
      </c>
      <c r="D88">
        <v>17.41</v>
      </c>
      <c r="E88">
        <v>-7.39</v>
      </c>
      <c r="F88">
        <v>-1.39</v>
      </c>
      <c r="G88" t="s">
        <v>121</v>
      </c>
      <c r="H88">
        <v>7478</v>
      </c>
      <c r="I88">
        <v>17.4</v>
      </c>
      <c r="J88">
        <v>17.41</v>
      </c>
      <c r="K88" t="s">
        <v>896</v>
      </c>
      <c r="L88">
        <v>37.6</v>
      </c>
      <c r="M88" t="s">
        <v>46</v>
      </c>
      <c r="N88" t="s">
        <v>897</v>
      </c>
      <c r="O88">
        <v>19.79</v>
      </c>
      <c r="P88">
        <v>17.39</v>
      </c>
      <c r="Q88">
        <v>19.3</v>
      </c>
      <c r="R88">
        <v>18.8</v>
      </c>
      <c r="S88">
        <v>12.77</v>
      </c>
      <c r="T88">
        <v>2.56</v>
      </c>
      <c r="U88">
        <v>51.34</v>
      </c>
      <c r="V88">
        <v>2815</v>
      </c>
      <c r="W88">
        <v>18.42</v>
      </c>
      <c r="X88" t="s">
        <v>898</v>
      </c>
      <c r="Y88" t="s">
        <v>283</v>
      </c>
      <c r="Z88">
        <v>1.25</v>
      </c>
      <c r="AA88">
        <v>1700</v>
      </c>
      <c r="AB88">
        <v>401</v>
      </c>
      <c r="AC88">
        <v>4.63</v>
      </c>
      <c r="AD88" t="s">
        <v>899</v>
      </c>
      <c r="AE88" t="s">
        <v>900</v>
      </c>
      <c r="AF88" t="s">
        <v>901</v>
      </c>
      <c r="AG88" t="s">
        <v>902</v>
      </c>
      <c r="AH88">
        <v>16.3</v>
      </c>
      <c r="AI88">
        <v>16.22</v>
      </c>
      <c r="AJ88">
        <v>97.26</v>
      </c>
      <c r="AK88">
        <v>110.99</v>
      </c>
      <c r="AL88">
        <v>-1</v>
      </c>
      <c r="AM88">
        <v>-7.39</v>
      </c>
      <c r="AN88">
        <v>97.62</v>
      </c>
      <c r="AO88">
        <v>15.68</v>
      </c>
      <c r="AP88">
        <v>85.02</v>
      </c>
    </row>
    <row r="89" spans="1:42">
      <c r="A89">
        <v>88</v>
      </c>
      <c r="B89" t="str">
        <f>"002036"</f>
        <v>002036</v>
      </c>
      <c r="C89" t="s">
        <v>903</v>
      </c>
      <c r="D89">
        <v>11.59</v>
      </c>
      <c r="E89">
        <v>1.67</v>
      </c>
      <c r="F89">
        <v>0.19</v>
      </c>
      <c r="G89" t="s">
        <v>904</v>
      </c>
      <c r="H89" t="s">
        <v>905</v>
      </c>
      <c r="I89">
        <v>11.58</v>
      </c>
      <c r="J89">
        <v>11.59</v>
      </c>
      <c r="K89" t="s">
        <v>906</v>
      </c>
      <c r="L89">
        <v>9.42</v>
      </c>
      <c r="M89" t="s">
        <v>46</v>
      </c>
      <c r="N89" t="s">
        <v>907</v>
      </c>
      <c r="O89">
        <v>11.93</v>
      </c>
      <c r="P89">
        <v>11.17</v>
      </c>
      <c r="Q89">
        <v>11.35</v>
      </c>
      <c r="R89">
        <v>11.4</v>
      </c>
      <c r="S89">
        <v>6.67</v>
      </c>
      <c r="T89">
        <v>1.3</v>
      </c>
      <c r="U89">
        <v>4.67</v>
      </c>
      <c r="V89">
        <v>582</v>
      </c>
      <c r="W89">
        <v>11.6</v>
      </c>
      <c r="X89" t="s">
        <v>581</v>
      </c>
      <c r="Y89" t="s">
        <v>348</v>
      </c>
      <c r="Z89">
        <v>1.04</v>
      </c>
      <c r="AA89">
        <v>1892</v>
      </c>
      <c r="AB89">
        <v>498</v>
      </c>
      <c r="AC89">
        <v>3.61</v>
      </c>
      <c r="AD89" t="s">
        <v>908</v>
      </c>
      <c r="AE89" t="s">
        <v>909</v>
      </c>
      <c r="AF89" t="s">
        <v>910</v>
      </c>
      <c r="AG89" t="s">
        <v>911</v>
      </c>
      <c r="AH89">
        <v>7.81</v>
      </c>
      <c r="AI89">
        <v>6.43</v>
      </c>
      <c r="AJ89">
        <v>33.67</v>
      </c>
      <c r="AK89">
        <v>45.69</v>
      </c>
      <c r="AL89">
        <v>1</v>
      </c>
      <c r="AM89">
        <v>1.67</v>
      </c>
      <c r="AN89">
        <v>-6.23</v>
      </c>
      <c r="AO89">
        <v>12.31</v>
      </c>
      <c r="AP89">
        <v>-12.73</v>
      </c>
    </row>
    <row r="90" spans="1:42">
      <c r="A90">
        <v>89</v>
      </c>
      <c r="B90" t="str">
        <f>"002400"</f>
        <v>002400</v>
      </c>
      <c r="C90" t="s">
        <v>912</v>
      </c>
      <c r="D90">
        <v>6.26</v>
      </c>
      <c r="E90">
        <v>3.99</v>
      </c>
      <c r="F90">
        <v>0.24</v>
      </c>
      <c r="G90" t="s">
        <v>913</v>
      </c>
      <c r="H90" t="s">
        <v>914</v>
      </c>
      <c r="I90">
        <v>6.26</v>
      </c>
      <c r="J90">
        <v>6.27</v>
      </c>
      <c r="K90" t="s">
        <v>915</v>
      </c>
      <c r="L90">
        <v>11.13</v>
      </c>
      <c r="M90" t="s">
        <v>46</v>
      </c>
      <c r="N90" t="s">
        <v>916</v>
      </c>
      <c r="O90">
        <v>6.29</v>
      </c>
      <c r="P90">
        <v>5.98</v>
      </c>
      <c r="Q90">
        <v>6.01</v>
      </c>
      <c r="R90">
        <v>6.02</v>
      </c>
      <c r="S90">
        <v>5.15</v>
      </c>
      <c r="T90">
        <v>1</v>
      </c>
      <c r="U90">
        <v>-37.99</v>
      </c>
      <c r="V90" t="s">
        <v>404</v>
      </c>
      <c r="W90">
        <v>6.18</v>
      </c>
      <c r="X90" t="s">
        <v>917</v>
      </c>
      <c r="Y90" t="s">
        <v>918</v>
      </c>
      <c r="Z90">
        <v>0.64</v>
      </c>
      <c r="AA90">
        <v>3483</v>
      </c>
      <c r="AB90" t="s">
        <v>919</v>
      </c>
      <c r="AC90">
        <v>2.26</v>
      </c>
      <c r="AD90" t="s">
        <v>920</v>
      </c>
      <c r="AE90" t="s">
        <v>921</v>
      </c>
      <c r="AF90" t="s">
        <v>922</v>
      </c>
      <c r="AG90" t="s">
        <v>724</v>
      </c>
      <c r="AH90">
        <v>0.97</v>
      </c>
      <c r="AI90">
        <v>-3.69</v>
      </c>
      <c r="AJ90">
        <v>32.78</v>
      </c>
      <c r="AK90">
        <v>67.03</v>
      </c>
      <c r="AL90">
        <v>1</v>
      </c>
      <c r="AM90">
        <v>3.99</v>
      </c>
      <c r="AN90">
        <v>47.64</v>
      </c>
      <c r="AO90">
        <v>20.62</v>
      </c>
      <c r="AP90">
        <v>43.25</v>
      </c>
    </row>
    <row r="91" spans="1:42">
      <c r="A91">
        <v>90</v>
      </c>
      <c r="B91" t="str">
        <f>"300315"</f>
        <v>300315</v>
      </c>
      <c r="C91" t="s">
        <v>923</v>
      </c>
      <c r="D91">
        <v>5.23</v>
      </c>
      <c r="E91">
        <v>9.64</v>
      </c>
      <c r="F91">
        <v>0.46</v>
      </c>
      <c r="G91" t="s">
        <v>924</v>
      </c>
      <c r="H91" t="s">
        <v>925</v>
      </c>
      <c r="I91">
        <v>5.22</v>
      </c>
      <c r="J91">
        <v>5.23</v>
      </c>
      <c r="K91" t="s">
        <v>926</v>
      </c>
      <c r="L91">
        <v>8.7</v>
      </c>
      <c r="M91" t="s">
        <v>46</v>
      </c>
      <c r="N91" t="s">
        <v>927</v>
      </c>
      <c r="O91">
        <v>5.28</v>
      </c>
      <c r="P91">
        <v>4.76</v>
      </c>
      <c r="Q91">
        <v>4.77</v>
      </c>
      <c r="R91">
        <v>4.77</v>
      </c>
      <c r="S91">
        <v>10.9</v>
      </c>
      <c r="T91">
        <v>3.31</v>
      </c>
      <c r="U91">
        <v>-31.84</v>
      </c>
      <c r="V91" t="s">
        <v>928</v>
      </c>
      <c r="W91">
        <v>5.05</v>
      </c>
      <c r="X91" t="s">
        <v>929</v>
      </c>
      <c r="Y91" t="s">
        <v>300</v>
      </c>
      <c r="Z91">
        <v>0.6</v>
      </c>
      <c r="AA91">
        <v>9586</v>
      </c>
      <c r="AB91">
        <v>321</v>
      </c>
      <c r="AC91">
        <v>2.96</v>
      </c>
      <c r="AD91" t="s">
        <v>930</v>
      </c>
      <c r="AE91" t="s">
        <v>931</v>
      </c>
      <c r="AF91" t="s">
        <v>932</v>
      </c>
      <c r="AG91" t="s">
        <v>933</v>
      </c>
      <c r="AH91">
        <v>6.3</v>
      </c>
      <c r="AI91">
        <v>2.55</v>
      </c>
      <c r="AJ91">
        <v>12.76</v>
      </c>
      <c r="AK91">
        <v>21.84</v>
      </c>
      <c r="AL91">
        <v>1</v>
      </c>
      <c r="AM91">
        <v>9.64</v>
      </c>
      <c r="AN91">
        <v>62.93</v>
      </c>
      <c r="AO91">
        <v>14.69</v>
      </c>
      <c r="AP91">
        <v>57.06</v>
      </c>
    </row>
    <row r="92" spans="1:42">
      <c r="A92">
        <v>91</v>
      </c>
      <c r="B92" t="str">
        <f>"600520"</f>
        <v>600520</v>
      </c>
      <c r="C92" t="s">
        <v>934</v>
      </c>
      <c r="D92">
        <v>33.09</v>
      </c>
      <c r="E92">
        <v>1.41</v>
      </c>
      <c r="F92">
        <v>0.46</v>
      </c>
      <c r="G92" t="s">
        <v>935</v>
      </c>
      <c r="H92">
        <v>8845</v>
      </c>
      <c r="I92">
        <v>33.09</v>
      </c>
      <c r="J92">
        <v>33.1</v>
      </c>
      <c r="K92" t="s">
        <v>302</v>
      </c>
      <c r="L92">
        <v>21.94</v>
      </c>
      <c r="M92" t="s">
        <v>46</v>
      </c>
      <c r="N92" t="s">
        <v>936</v>
      </c>
      <c r="O92">
        <v>33.29</v>
      </c>
      <c r="P92">
        <v>31.95</v>
      </c>
      <c r="Q92">
        <v>32.38</v>
      </c>
      <c r="R92">
        <v>32.63</v>
      </c>
      <c r="S92">
        <v>4.11</v>
      </c>
      <c r="T92">
        <v>0.95</v>
      </c>
      <c r="U92">
        <v>-58.05</v>
      </c>
      <c r="V92">
        <v>-1667</v>
      </c>
      <c r="W92">
        <v>32.73</v>
      </c>
      <c r="X92" t="s">
        <v>937</v>
      </c>
      <c r="Y92" t="s">
        <v>625</v>
      </c>
      <c r="Z92">
        <v>0.97</v>
      </c>
      <c r="AA92">
        <v>284</v>
      </c>
      <c r="AB92">
        <v>607</v>
      </c>
      <c r="AC92">
        <v>15.21</v>
      </c>
      <c r="AD92" t="s">
        <v>938</v>
      </c>
      <c r="AE92" t="s">
        <v>939</v>
      </c>
      <c r="AF92" t="s">
        <v>938</v>
      </c>
      <c r="AG92" t="s">
        <v>939</v>
      </c>
      <c r="AH92">
        <v>-11.36</v>
      </c>
      <c r="AI92">
        <v>-16.67</v>
      </c>
      <c r="AJ92">
        <v>76.02</v>
      </c>
      <c r="AK92">
        <v>136.98</v>
      </c>
      <c r="AL92">
        <v>1</v>
      </c>
      <c r="AM92">
        <v>1.41</v>
      </c>
      <c r="AN92">
        <v>107.98</v>
      </c>
      <c r="AO92">
        <v>42.32</v>
      </c>
      <c r="AP92">
        <v>117.27</v>
      </c>
    </row>
    <row r="93" spans="1:42">
      <c r="A93">
        <v>92</v>
      </c>
      <c r="B93" t="str">
        <f>"688047"</f>
        <v>688047</v>
      </c>
      <c r="C93" t="s">
        <v>940</v>
      </c>
      <c r="D93">
        <v>114.1</v>
      </c>
      <c r="E93">
        <v>-0.87</v>
      </c>
      <c r="F93">
        <v>-1</v>
      </c>
      <c r="G93" t="s">
        <v>941</v>
      </c>
      <c r="H93">
        <v>1612</v>
      </c>
      <c r="I93">
        <v>114.08</v>
      </c>
      <c r="J93">
        <v>114.1</v>
      </c>
      <c r="K93" t="s">
        <v>942</v>
      </c>
      <c r="L93">
        <v>3.58</v>
      </c>
      <c r="M93" t="s">
        <v>46</v>
      </c>
      <c r="N93" t="s">
        <v>943</v>
      </c>
      <c r="O93">
        <v>115.88</v>
      </c>
      <c r="P93">
        <v>110.9</v>
      </c>
      <c r="Q93">
        <v>114.52</v>
      </c>
      <c r="R93">
        <v>115.1</v>
      </c>
      <c r="S93">
        <v>4.33</v>
      </c>
      <c r="T93">
        <v>0.87</v>
      </c>
      <c r="U93">
        <v>0.01</v>
      </c>
      <c r="V93">
        <v>0</v>
      </c>
      <c r="W93">
        <v>113.22</v>
      </c>
      <c r="X93" t="s">
        <v>308</v>
      </c>
      <c r="Y93" t="s">
        <v>944</v>
      </c>
      <c r="Z93">
        <v>1.15</v>
      </c>
      <c r="AA93">
        <v>7</v>
      </c>
      <c r="AB93">
        <v>54</v>
      </c>
      <c r="AC93">
        <v>12.39</v>
      </c>
      <c r="AD93" t="s">
        <v>945</v>
      </c>
      <c r="AE93" t="s">
        <v>946</v>
      </c>
      <c r="AF93" t="s">
        <v>947</v>
      </c>
      <c r="AG93" t="s">
        <v>948</v>
      </c>
      <c r="AH93">
        <v>11.01</v>
      </c>
      <c r="AI93">
        <v>18.4</v>
      </c>
      <c r="AJ93">
        <v>15.38</v>
      </c>
      <c r="AK93">
        <v>24.08</v>
      </c>
      <c r="AL93">
        <v>-1</v>
      </c>
      <c r="AM93">
        <v>-0.87</v>
      </c>
      <c r="AN93">
        <v>33.53</v>
      </c>
      <c r="AO93">
        <v>35.95</v>
      </c>
      <c r="AP93">
        <v>33.67</v>
      </c>
    </row>
    <row r="94" spans="1:42">
      <c r="A94">
        <v>93</v>
      </c>
      <c r="B94" t="str">
        <f>"000651"</f>
        <v>000651</v>
      </c>
      <c r="C94" t="s">
        <v>949</v>
      </c>
      <c r="D94">
        <v>32.5</v>
      </c>
      <c r="E94">
        <v>-1.37</v>
      </c>
      <c r="F94">
        <v>-0.45</v>
      </c>
      <c r="G94" t="s">
        <v>898</v>
      </c>
      <c r="H94">
        <v>3121</v>
      </c>
      <c r="I94">
        <v>32.49</v>
      </c>
      <c r="J94">
        <v>32.5</v>
      </c>
      <c r="K94" t="s">
        <v>735</v>
      </c>
      <c r="L94">
        <v>0.62</v>
      </c>
      <c r="M94" t="s">
        <v>46</v>
      </c>
      <c r="N94" t="s">
        <v>950</v>
      </c>
      <c r="O94">
        <v>33</v>
      </c>
      <c r="P94">
        <v>32.23</v>
      </c>
      <c r="Q94">
        <v>32.98</v>
      </c>
      <c r="R94">
        <v>32.95</v>
      </c>
      <c r="S94">
        <v>2.34</v>
      </c>
      <c r="T94">
        <v>1.78</v>
      </c>
      <c r="U94">
        <v>-5.34</v>
      </c>
      <c r="V94">
        <v>-162</v>
      </c>
      <c r="W94">
        <v>32.47</v>
      </c>
      <c r="X94" t="s">
        <v>415</v>
      </c>
      <c r="Y94" t="s">
        <v>784</v>
      </c>
      <c r="Z94">
        <v>1.52</v>
      </c>
      <c r="AA94">
        <v>289</v>
      </c>
      <c r="AB94">
        <v>943</v>
      </c>
      <c r="AC94">
        <v>1.63</v>
      </c>
      <c r="AD94" t="s">
        <v>951</v>
      </c>
      <c r="AE94" t="s">
        <v>952</v>
      </c>
      <c r="AF94" t="s">
        <v>953</v>
      </c>
      <c r="AG94" t="s">
        <v>954</v>
      </c>
      <c r="AH94">
        <v>-1.19</v>
      </c>
      <c r="AI94">
        <v>-1.4</v>
      </c>
      <c r="AJ94">
        <v>1.29</v>
      </c>
      <c r="AK94">
        <v>2.37</v>
      </c>
      <c r="AL94">
        <v>-1</v>
      </c>
      <c r="AM94">
        <v>-1.37</v>
      </c>
      <c r="AN94">
        <v>7.19</v>
      </c>
      <c r="AO94">
        <v>-4.44</v>
      </c>
      <c r="AP94">
        <v>10.96</v>
      </c>
    </row>
    <row r="95" spans="1:42">
      <c r="A95">
        <v>94</v>
      </c>
      <c r="B95" t="str">
        <f>"603985"</f>
        <v>603985</v>
      </c>
      <c r="C95" t="s">
        <v>955</v>
      </c>
      <c r="D95">
        <v>39.04</v>
      </c>
      <c r="E95">
        <v>-0.15</v>
      </c>
      <c r="F95">
        <v>-0.06</v>
      </c>
      <c r="G95" t="s">
        <v>956</v>
      </c>
      <c r="H95">
        <v>2293</v>
      </c>
      <c r="I95">
        <v>39.04</v>
      </c>
      <c r="J95">
        <v>39.05</v>
      </c>
      <c r="K95" t="s">
        <v>957</v>
      </c>
      <c r="L95">
        <v>6.57</v>
      </c>
      <c r="M95" t="s">
        <v>46</v>
      </c>
      <c r="N95" t="s">
        <v>958</v>
      </c>
      <c r="O95">
        <v>39.4</v>
      </c>
      <c r="P95">
        <v>38.1</v>
      </c>
      <c r="Q95">
        <v>38.5</v>
      </c>
      <c r="R95">
        <v>39.1</v>
      </c>
      <c r="S95">
        <v>3.32</v>
      </c>
      <c r="T95">
        <v>1.2</v>
      </c>
      <c r="U95">
        <v>10.8</v>
      </c>
      <c r="V95">
        <v>218</v>
      </c>
      <c r="W95">
        <v>38.76</v>
      </c>
      <c r="X95" t="s">
        <v>959</v>
      </c>
      <c r="Y95" t="s">
        <v>960</v>
      </c>
      <c r="Z95">
        <v>1.06</v>
      </c>
      <c r="AA95">
        <v>26</v>
      </c>
      <c r="AB95">
        <v>265</v>
      </c>
      <c r="AC95">
        <v>5.01</v>
      </c>
      <c r="AD95" t="s">
        <v>961</v>
      </c>
      <c r="AE95" t="s">
        <v>962</v>
      </c>
      <c r="AF95" t="s">
        <v>961</v>
      </c>
      <c r="AG95" t="s">
        <v>962</v>
      </c>
      <c r="AH95">
        <v>4.72</v>
      </c>
      <c r="AI95">
        <v>0.54</v>
      </c>
      <c r="AJ95">
        <v>18.32</v>
      </c>
      <c r="AK95">
        <v>33.85</v>
      </c>
      <c r="AL95">
        <v>-1</v>
      </c>
      <c r="AM95">
        <v>-0.15</v>
      </c>
      <c r="AN95">
        <v>58.31</v>
      </c>
      <c r="AO95">
        <v>-5.84</v>
      </c>
      <c r="AP95">
        <v>45.45</v>
      </c>
    </row>
    <row r="96" spans="1:42">
      <c r="A96">
        <v>95</v>
      </c>
      <c r="B96" t="str">
        <f>"002174"</f>
        <v>002174</v>
      </c>
      <c r="C96" t="s">
        <v>963</v>
      </c>
      <c r="D96">
        <v>12.64</v>
      </c>
      <c r="E96">
        <v>10.01</v>
      </c>
      <c r="F96">
        <v>1.15</v>
      </c>
      <c r="G96" t="s">
        <v>964</v>
      </c>
      <c r="H96">
        <v>337</v>
      </c>
      <c r="I96">
        <v>12.64</v>
      </c>
      <c r="J96" t="s">
        <v>76</v>
      </c>
      <c r="K96" t="s">
        <v>965</v>
      </c>
      <c r="L96">
        <v>9.84</v>
      </c>
      <c r="M96" t="s">
        <v>46</v>
      </c>
      <c r="N96" t="s">
        <v>966</v>
      </c>
      <c r="O96">
        <v>12.64</v>
      </c>
      <c r="P96">
        <v>11.56</v>
      </c>
      <c r="Q96">
        <v>11.6</v>
      </c>
      <c r="R96">
        <v>11.49</v>
      </c>
      <c r="S96">
        <v>9.4</v>
      </c>
      <c r="T96">
        <v>5.71</v>
      </c>
      <c r="U96">
        <v>100</v>
      </c>
      <c r="V96" t="s">
        <v>967</v>
      </c>
      <c r="W96">
        <v>12.44</v>
      </c>
      <c r="X96" t="s">
        <v>968</v>
      </c>
      <c r="Y96" t="s">
        <v>969</v>
      </c>
      <c r="Z96">
        <v>1.37</v>
      </c>
      <c r="AA96" t="s">
        <v>970</v>
      </c>
      <c r="AB96">
        <v>0</v>
      </c>
      <c r="AC96">
        <v>2.61</v>
      </c>
      <c r="AD96" t="s">
        <v>971</v>
      </c>
      <c r="AE96" t="s">
        <v>972</v>
      </c>
      <c r="AF96" t="s">
        <v>973</v>
      </c>
      <c r="AG96" t="s">
        <v>974</v>
      </c>
      <c r="AH96">
        <v>7.57</v>
      </c>
      <c r="AI96">
        <v>3.18</v>
      </c>
      <c r="AJ96">
        <v>12.54</v>
      </c>
      <c r="AK96">
        <v>18.44</v>
      </c>
      <c r="AL96">
        <v>1</v>
      </c>
      <c r="AM96">
        <v>10.01</v>
      </c>
      <c r="AN96">
        <v>36.5</v>
      </c>
      <c r="AO96">
        <v>11.56</v>
      </c>
      <c r="AP96">
        <v>49.06</v>
      </c>
    </row>
    <row r="97" spans="1:42">
      <c r="A97">
        <v>96</v>
      </c>
      <c r="B97" t="str">
        <f>"002460"</f>
        <v>002460</v>
      </c>
      <c r="C97" t="s">
        <v>975</v>
      </c>
      <c r="D97">
        <v>38.78</v>
      </c>
      <c r="E97">
        <v>-0.56</v>
      </c>
      <c r="F97">
        <v>-0.22</v>
      </c>
      <c r="G97" t="s">
        <v>710</v>
      </c>
      <c r="H97">
        <v>3414</v>
      </c>
      <c r="I97">
        <v>38.78</v>
      </c>
      <c r="J97">
        <v>38.79</v>
      </c>
      <c r="K97" t="s">
        <v>976</v>
      </c>
      <c r="L97">
        <v>2.41</v>
      </c>
      <c r="M97" t="s">
        <v>46</v>
      </c>
      <c r="N97" t="s">
        <v>977</v>
      </c>
      <c r="O97">
        <v>39.13</v>
      </c>
      <c r="P97">
        <v>37.78</v>
      </c>
      <c r="Q97">
        <v>38.6</v>
      </c>
      <c r="R97">
        <v>39</v>
      </c>
      <c r="S97">
        <v>3.46</v>
      </c>
      <c r="T97">
        <v>1.46</v>
      </c>
      <c r="U97">
        <v>-20.83</v>
      </c>
      <c r="V97">
        <v>-617</v>
      </c>
      <c r="W97">
        <v>38.41</v>
      </c>
      <c r="X97" t="s">
        <v>978</v>
      </c>
      <c r="Y97" t="s">
        <v>784</v>
      </c>
      <c r="Z97">
        <v>1.1</v>
      </c>
      <c r="AA97">
        <v>331</v>
      </c>
      <c r="AB97">
        <v>136</v>
      </c>
      <c r="AC97">
        <v>1.61</v>
      </c>
      <c r="AD97" t="s">
        <v>979</v>
      </c>
      <c r="AE97" t="s">
        <v>980</v>
      </c>
      <c r="AF97" t="s">
        <v>981</v>
      </c>
      <c r="AG97" t="s">
        <v>982</v>
      </c>
      <c r="AH97">
        <v>-3.72</v>
      </c>
      <c r="AI97">
        <v>-8.39</v>
      </c>
      <c r="AJ97">
        <v>5.78</v>
      </c>
      <c r="AK97">
        <v>10.64</v>
      </c>
      <c r="AL97">
        <v>-12</v>
      </c>
      <c r="AM97">
        <v>-0.56</v>
      </c>
      <c r="AN97">
        <v>-43.4</v>
      </c>
      <c r="AO97">
        <v>-9.94</v>
      </c>
      <c r="AP97">
        <v>-51.04</v>
      </c>
    </row>
    <row r="98" spans="1:42">
      <c r="A98">
        <v>97</v>
      </c>
      <c r="B98" t="str">
        <f>"300291"</f>
        <v>300291</v>
      </c>
      <c r="C98" t="s">
        <v>983</v>
      </c>
      <c r="D98">
        <v>8.51</v>
      </c>
      <c r="E98">
        <v>7.18</v>
      </c>
      <c r="F98">
        <v>0.57</v>
      </c>
      <c r="G98" t="s">
        <v>984</v>
      </c>
      <c r="H98" t="s">
        <v>985</v>
      </c>
      <c r="I98">
        <v>8.51</v>
      </c>
      <c r="J98">
        <v>8.52</v>
      </c>
      <c r="K98" t="s">
        <v>986</v>
      </c>
      <c r="L98">
        <v>15.82</v>
      </c>
      <c r="M98" t="s">
        <v>46</v>
      </c>
      <c r="N98" t="s">
        <v>987</v>
      </c>
      <c r="O98">
        <v>8.68</v>
      </c>
      <c r="P98">
        <v>7.73</v>
      </c>
      <c r="Q98">
        <v>7.8</v>
      </c>
      <c r="R98">
        <v>7.94</v>
      </c>
      <c r="S98">
        <v>11.96</v>
      </c>
      <c r="T98">
        <v>1.14</v>
      </c>
      <c r="U98">
        <v>-10.5</v>
      </c>
      <c r="V98">
        <v>-1942</v>
      </c>
      <c r="W98">
        <v>8.39</v>
      </c>
      <c r="X98" t="s">
        <v>988</v>
      </c>
      <c r="Y98" t="s">
        <v>989</v>
      </c>
      <c r="Z98">
        <v>0.7</v>
      </c>
      <c r="AA98">
        <v>2733</v>
      </c>
      <c r="AB98">
        <v>2493</v>
      </c>
      <c r="AC98">
        <v>2.12</v>
      </c>
      <c r="AD98" t="s">
        <v>990</v>
      </c>
      <c r="AE98" t="s">
        <v>991</v>
      </c>
      <c r="AF98" t="s">
        <v>992</v>
      </c>
      <c r="AG98" t="s">
        <v>993</v>
      </c>
      <c r="AH98">
        <v>5.19</v>
      </c>
      <c r="AI98">
        <v>14.54</v>
      </c>
      <c r="AJ98">
        <v>35.54</v>
      </c>
      <c r="AK98">
        <v>85.36</v>
      </c>
      <c r="AL98">
        <v>2</v>
      </c>
      <c r="AM98">
        <v>7.18</v>
      </c>
      <c r="AN98">
        <v>78.03</v>
      </c>
      <c r="AO98">
        <v>6.51</v>
      </c>
      <c r="AP98">
        <v>93.85</v>
      </c>
    </row>
    <row r="99" spans="1:42">
      <c r="A99">
        <v>98</v>
      </c>
      <c r="B99" t="str">
        <f>"688327"</f>
        <v>688327</v>
      </c>
      <c r="C99" t="s">
        <v>994</v>
      </c>
      <c r="D99">
        <v>18.04</v>
      </c>
      <c r="E99">
        <v>6.75</v>
      </c>
      <c r="F99">
        <v>1.14</v>
      </c>
      <c r="G99" t="s">
        <v>995</v>
      </c>
      <c r="H99">
        <v>6713</v>
      </c>
      <c r="I99">
        <v>18.03</v>
      </c>
      <c r="J99">
        <v>18.04</v>
      </c>
      <c r="K99" t="s">
        <v>996</v>
      </c>
      <c r="L99">
        <v>8.27</v>
      </c>
      <c r="M99" t="s">
        <v>46</v>
      </c>
      <c r="N99" t="s">
        <v>997</v>
      </c>
      <c r="O99">
        <v>18.3</v>
      </c>
      <c r="P99">
        <v>16.8</v>
      </c>
      <c r="Q99">
        <v>16.89</v>
      </c>
      <c r="R99">
        <v>16.9</v>
      </c>
      <c r="S99">
        <v>8.88</v>
      </c>
      <c r="T99">
        <v>1.44</v>
      </c>
      <c r="U99">
        <v>-33.77</v>
      </c>
      <c r="V99">
        <v>-2004</v>
      </c>
      <c r="W99">
        <v>17.66</v>
      </c>
      <c r="X99" t="s">
        <v>998</v>
      </c>
      <c r="Y99" t="s">
        <v>999</v>
      </c>
      <c r="Z99">
        <v>0.73</v>
      </c>
      <c r="AA99">
        <v>1091</v>
      </c>
      <c r="AB99">
        <v>1891</v>
      </c>
      <c r="AC99">
        <v>10.37</v>
      </c>
      <c r="AD99" t="s">
        <v>1000</v>
      </c>
      <c r="AE99" t="s">
        <v>1001</v>
      </c>
      <c r="AF99" t="s">
        <v>1002</v>
      </c>
      <c r="AG99" t="s">
        <v>1003</v>
      </c>
      <c r="AH99">
        <v>1.41</v>
      </c>
      <c r="AI99">
        <v>1.81</v>
      </c>
      <c r="AJ99">
        <v>18.53</v>
      </c>
      <c r="AK99">
        <v>36.94</v>
      </c>
      <c r="AL99">
        <v>1</v>
      </c>
      <c r="AM99">
        <v>6.75</v>
      </c>
      <c r="AN99">
        <v>64.9</v>
      </c>
      <c r="AO99">
        <v>29.13</v>
      </c>
      <c r="AP99">
        <v>40.5</v>
      </c>
    </row>
    <row r="100" spans="1:42">
      <c r="A100">
        <v>99</v>
      </c>
      <c r="B100" t="str">
        <f>"600150"</f>
        <v>600150</v>
      </c>
      <c r="C100" t="s">
        <v>1004</v>
      </c>
      <c r="D100">
        <v>27.58</v>
      </c>
      <c r="E100">
        <v>-0.22</v>
      </c>
      <c r="F100">
        <v>-0.06</v>
      </c>
      <c r="G100" t="s">
        <v>568</v>
      </c>
      <c r="H100">
        <v>3127</v>
      </c>
      <c r="I100">
        <v>27.58</v>
      </c>
      <c r="J100">
        <v>27.59</v>
      </c>
      <c r="K100" t="s">
        <v>1005</v>
      </c>
      <c r="L100">
        <v>0.89</v>
      </c>
      <c r="M100" t="s">
        <v>46</v>
      </c>
      <c r="N100" t="s">
        <v>1006</v>
      </c>
      <c r="O100">
        <v>27.7</v>
      </c>
      <c r="P100">
        <v>27.28</v>
      </c>
      <c r="Q100">
        <v>27.41</v>
      </c>
      <c r="R100">
        <v>27.64</v>
      </c>
      <c r="S100">
        <v>1.52</v>
      </c>
      <c r="T100">
        <v>0.9</v>
      </c>
      <c r="U100">
        <v>-5.47</v>
      </c>
      <c r="V100">
        <v>-300</v>
      </c>
      <c r="W100">
        <v>27.49</v>
      </c>
      <c r="X100" t="s">
        <v>1007</v>
      </c>
      <c r="Y100" t="s">
        <v>1008</v>
      </c>
      <c r="Z100">
        <v>1.13</v>
      </c>
      <c r="AA100">
        <v>200</v>
      </c>
      <c r="AB100">
        <v>449</v>
      </c>
      <c r="AC100">
        <v>2.57</v>
      </c>
      <c r="AD100" t="s">
        <v>1009</v>
      </c>
      <c r="AE100" t="s">
        <v>1010</v>
      </c>
      <c r="AF100" t="s">
        <v>1009</v>
      </c>
      <c r="AG100" t="s">
        <v>1010</v>
      </c>
      <c r="AH100">
        <v>4.67</v>
      </c>
      <c r="AI100">
        <v>4.83</v>
      </c>
      <c r="AJ100">
        <v>3.75</v>
      </c>
      <c r="AK100">
        <v>5.84</v>
      </c>
      <c r="AL100">
        <v>-1</v>
      </c>
      <c r="AM100">
        <v>-0.22</v>
      </c>
      <c r="AN100">
        <v>23.9</v>
      </c>
      <c r="AO100">
        <v>6.28</v>
      </c>
      <c r="AP100">
        <v>6.32</v>
      </c>
    </row>
    <row r="101" spans="1:42">
      <c r="A101">
        <v>100</v>
      </c>
      <c r="B101" t="str">
        <f>"000710"</f>
        <v>000710</v>
      </c>
      <c r="C101" t="s">
        <v>1011</v>
      </c>
      <c r="D101">
        <v>14.5</v>
      </c>
      <c r="E101">
        <v>7.17</v>
      </c>
      <c r="F101">
        <v>0.97</v>
      </c>
      <c r="G101" t="s">
        <v>1012</v>
      </c>
      <c r="H101">
        <v>8432</v>
      </c>
      <c r="I101">
        <v>14.5</v>
      </c>
      <c r="J101">
        <v>14.51</v>
      </c>
      <c r="K101" t="s">
        <v>1013</v>
      </c>
      <c r="L101">
        <v>24.05</v>
      </c>
      <c r="M101" t="s">
        <v>46</v>
      </c>
      <c r="N101" t="s">
        <v>1014</v>
      </c>
      <c r="O101">
        <v>14.88</v>
      </c>
      <c r="P101">
        <v>13.6</v>
      </c>
      <c r="Q101">
        <v>13.6</v>
      </c>
      <c r="R101">
        <v>13.53</v>
      </c>
      <c r="S101">
        <v>9.46</v>
      </c>
      <c r="T101">
        <v>1.06</v>
      </c>
      <c r="U101">
        <v>6.4</v>
      </c>
      <c r="V101">
        <v>134</v>
      </c>
      <c r="W101">
        <v>14.64</v>
      </c>
      <c r="X101" t="s">
        <v>287</v>
      </c>
      <c r="Y101" t="s">
        <v>1015</v>
      </c>
      <c r="Z101">
        <v>1.78</v>
      </c>
      <c r="AA101">
        <v>816</v>
      </c>
      <c r="AB101">
        <v>92</v>
      </c>
      <c r="AC101">
        <v>2.36</v>
      </c>
      <c r="AD101" t="s">
        <v>1016</v>
      </c>
      <c r="AE101" t="s">
        <v>1017</v>
      </c>
      <c r="AF101" t="s">
        <v>1018</v>
      </c>
      <c r="AG101" t="s">
        <v>1019</v>
      </c>
      <c r="AH101">
        <v>0</v>
      </c>
      <c r="AI101">
        <v>11.11</v>
      </c>
      <c r="AJ101">
        <v>64.26</v>
      </c>
      <c r="AK101">
        <v>137.44</v>
      </c>
      <c r="AL101">
        <v>1</v>
      </c>
      <c r="AM101">
        <v>7.17</v>
      </c>
      <c r="AN101">
        <v>27.08</v>
      </c>
      <c r="AO101">
        <v>35.39</v>
      </c>
      <c r="AP101">
        <v>6.77</v>
      </c>
    </row>
    <row r="102" spans="1:42">
      <c r="A102">
        <v>101</v>
      </c>
      <c r="B102" t="str">
        <f>"300601"</f>
        <v>300601</v>
      </c>
      <c r="C102" t="s">
        <v>1020</v>
      </c>
      <c r="D102">
        <v>33.53</v>
      </c>
      <c r="E102">
        <v>4.39</v>
      </c>
      <c r="F102">
        <v>1.41</v>
      </c>
      <c r="G102" t="s">
        <v>1021</v>
      </c>
      <c r="H102">
        <v>1622</v>
      </c>
      <c r="I102">
        <v>33.52</v>
      </c>
      <c r="J102">
        <v>33.53</v>
      </c>
      <c r="K102" t="s">
        <v>1022</v>
      </c>
      <c r="L102">
        <v>3.66</v>
      </c>
      <c r="M102" t="s">
        <v>46</v>
      </c>
      <c r="N102" t="s">
        <v>1023</v>
      </c>
      <c r="O102">
        <v>33.72</v>
      </c>
      <c r="P102">
        <v>32.03</v>
      </c>
      <c r="Q102">
        <v>32.1</v>
      </c>
      <c r="R102">
        <v>32.12</v>
      </c>
      <c r="S102">
        <v>5.26</v>
      </c>
      <c r="T102">
        <v>1.97</v>
      </c>
      <c r="U102">
        <v>-0.48</v>
      </c>
      <c r="V102">
        <v>-8</v>
      </c>
      <c r="W102">
        <v>33.23</v>
      </c>
      <c r="X102" t="s">
        <v>830</v>
      </c>
      <c r="Y102" t="s">
        <v>869</v>
      </c>
      <c r="Z102">
        <v>0.67</v>
      </c>
      <c r="AA102">
        <v>89</v>
      </c>
      <c r="AB102">
        <v>10</v>
      </c>
      <c r="AC102">
        <v>4.13</v>
      </c>
      <c r="AD102" t="s">
        <v>1024</v>
      </c>
      <c r="AE102" t="s">
        <v>679</v>
      </c>
      <c r="AF102" t="s">
        <v>1025</v>
      </c>
      <c r="AG102" t="s">
        <v>1026</v>
      </c>
      <c r="AH102">
        <v>5.61</v>
      </c>
      <c r="AI102">
        <v>12.52</v>
      </c>
      <c r="AJ102">
        <v>7.94</v>
      </c>
      <c r="AK102">
        <v>12.93</v>
      </c>
      <c r="AL102">
        <v>2</v>
      </c>
      <c r="AM102">
        <v>4.39</v>
      </c>
      <c r="AN102">
        <v>6.95</v>
      </c>
      <c r="AO102">
        <v>12.33</v>
      </c>
      <c r="AP102">
        <v>-5.6</v>
      </c>
    </row>
    <row r="103" spans="1:42">
      <c r="A103">
        <v>102</v>
      </c>
      <c r="B103" t="str">
        <f>"600030"</f>
        <v>600030</v>
      </c>
      <c r="C103" t="s">
        <v>1027</v>
      </c>
      <c r="D103">
        <v>21.56</v>
      </c>
      <c r="E103">
        <v>0.51</v>
      </c>
      <c r="F103">
        <v>0.11</v>
      </c>
      <c r="G103" t="s">
        <v>1028</v>
      </c>
      <c r="H103">
        <v>5579</v>
      </c>
      <c r="I103">
        <v>21.56</v>
      </c>
      <c r="J103">
        <v>21.57</v>
      </c>
      <c r="K103" t="s">
        <v>1029</v>
      </c>
      <c r="L103">
        <v>0.44</v>
      </c>
      <c r="M103" t="s">
        <v>46</v>
      </c>
      <c r="N103" t="s">
        <v>1030</v>
      </c>
      <c r="O103">
        <v>21.62</v>
      </c>
      <c r="P103">
        <v>21.31</v>
      </c>
      <c r="Q103">
        <v>21.41</v>
      </c>
      <c r="R103">
        <v>21.45</v>
      </c>
      <c r="S103">
        <v>1.45</v>
      </c>
      <c r="T103">
        <v>0.91</v>
      </c>
      <c r="U103">
        <v>-13.08</v>
      </c>
      <c r="V103">
        <v>-1857</v>
      </c>
      <c r="W103">
        <v>21.47</v>
      </c>
      <c r="X103" t="s">
        <v>1031</v>
      </c>
      <c r="Y103" t="s">
        <v>1032</v>
      </c>
      <c r="Z103">
        <v>0.88</v>
      </c>
      <c r="AA103">
        <v>1223</v>
      </c>
      <c r="AB103">
        <v>301</v>
      </c>
      <c r="AC103">
        <v>1.28</v>
      </c>
      <c r="AD103" t="s">
        <v>1033</v>
      </c>
      <c r="AE103" t="s">
        <v>1034</v>
      </c>
      <c r="AF103" t="s">
        <v>267</v>
      </c>
      <c r="AG103" t="s">
        <v>1035</v>
      </c>
      <c r="AH103">
        <v>-0.23</v>
      </c>
      <c r="AI103">
        <v>-3.06</v>
      </c>
      <c r="AJ103">
        <v>1.29</v>
      </c>
      <c r="AK103">
        <v>2.83</v>
      </c>
      <c r="AL103">
        <v>2</v>
      </c>
      <c r="AM103">
        <v>0.51</v>
      </c>
      <c r="AN103">
        <v>11.02</v>
      </c>
      <c r="AO103">
        <v>-1.37</v>
      </c>
      <c r="AP103">
        <v>15.48</v>
      </c>
    </row>
    <row r="104" spans="1:42">
      <c r="A104">
        <v>103</v>
      </c>
      <c r="B104" t="str">
        <f>"000656"</f>
        <v>000656</v>
      </c>
      <c r="C104" t="s">
        <v>1036</v>
      </c>
      <c r="D104">
        <v>1.86</v>
      </c>
      <c r="E104">
        <v>4.49</v>
      </c>
      <c r="F104">
        <v>0.08</v>
      </c>
      <c r="G104" t="s">
        <v>1037</v>
      </c>
      <c r="H104" t="s">
        <v>1038</v>
      </c>
      <c r="I104">
        <v>1.86</v>
      </c>
      <c r="J104">
        <v>1.87</v>
      </c>
      <c r="K104" t="s">
        <v>1039</v>
      </c>
      <c r="L104">
        <v>10.68</v>
      </c>
      <c r="M104" t="s">
        <v>46</v>
      </c>
      <c r="N104" t="s">
        <v>1040</v>
      </c>
      <c r="O104">
        <v>1.93</v>
      </c>
      <c r="P104">
        <v>1.74</v>
      </c>
      <c r="Q104">
        <v>1.78</v>
      </c>
      <c r="R104">
        <v>1.78</v>
      </c>
      <c r="S104">
        <v>10.67</v>
      </c>
      <c r="T104">
        <v>0.87</v>
      </c>
      <c r="U104">
        <v>-28.26</v>
      </c>
      <c r="V104" t="s">
        <v>1041</v>
      </c>
      <c r="W104">
        <v>1.85</v>
      </c>
      <c r="X104" t="s">
        <v>1042</v>
      </c>
      <c r="Y104" t="s">
        <v>1043</v>
      </c>
      <c r="Z104">
        <v>0.73</v>
      </c>
      <c r="AA104" t="s">
        <v>1044</v>
      </c>
      <c r="AB104" t="s">
        <v>1045</v>
      </c>
      <c r="AC104">
        <v>0.98</v>
      </c>
      <c r="AD104" t="s">
        <v>1046</v>
      </c>
      <c r="AE104" t="s">
        <v>1047</v>
      </c>
      <c r="AF104" t="s">
        <v>1048</v>
      </c>
      <c r="AG104" t="s">
        <v>1049</v>
      </c>
      <c r="AH104">
        <v>-0.53</v>
      </c>
      <c r="AI104">
        <v>1.09</v>
      </c>
      <c r="AJ104">
        <v>26.52</v>
      </c>
      <c r="AK104">
        <v>71.81</v>
      </c>
      <c r="AL104">
        <v>1</v>
      </c>
      <c r="AM104">
        <v>4.49</v>
      </c>
      <c r="AN104">
        <v>-2.62</v>
      </c>
      <c r="AO104">
        <v>17.72</v>
      </c>
      <c r="AP104">
        <v>-9.71</v>
      </c>
    </row>
    <row r="105" spans="1:42">
      <c r="A105">
        <v>104</v>
      </c>
      <c r="B105" t="str">
        <f>"002238"</f>
        <v>002238</v>
      </c>
      <c r="C105" t="s">
        <v>1050</v>
      </c>
      <c r="D105">
        <v>12.67</v>
      </c>
      <c r="E105">
        <v>0.8</v>
      </c>
      <c r="F105">
        <v>0.1</v>
      </c>
      <c r="G105" t="s">
        <v>1051</v>
      </c>
      <c r="H105" t="s">
        <v>1052</v>
      </c>
      <c r="I105">
        <v>12.67</v>
      </c>
      <c r="J105">
        <v>12.68</v>
      </c>
      <c r="K105" t="s">
        <v>1053</v>
      </c>
      <c r="L105">
        <v>10.12</v>
      </c>
      <c r="M105" t="s">
        <v>46</v>
      </c>
      <c r="N105" t="s">
        <v>1054</v>
      </c>
      <c r="O105">
        <v>13.3</v>
      </c>
      <c r="P105">
        <v>12.26</v>
      </c>
      <c r="Q105">
        <v>12.35</v>
      </c>
      <c r="R105">
        <v>12.57</v>
      </c>
      <c r="S105">
        <v>8.27</v>
      </c>
      <c r="T105">
        <v>1.04</v>
      </c>
      <c r="U105">
        <v>43.56</v>
      </c>
      <c r="V105">
        <v>3896</v>
      </c>
      <c r="W105">
        <v>12.81</v>
      </c>
      <c r="X105" t="s">
        <v>1055</v>
      </c>
      <c r="Y105" t="s">
        <v>1056</v>
      </c>
      <c r="Z105">
        <v>1.01</v>
      </c>
      <c r="AA105">
        <v>3967</v>
      </c>
      <c r="AB105">
        <v>526</v>
      </c>
      <c r="AC105">
        <v>4.42</v>
      </c>
      <c r="AD105" t="s">
        <v>1057</v>
      </c>
      <c r="AE105" t="s">
        <v>1058</v>
      </c>
      <c r="AF105" t="s">
        <v>1057</v>
      </c>
      <c r="AG105" t="s">
        <v>1058</v>
      </c>
      <c r="AH105">
        <v>3.77</v>
      </c>
      <c r="AI105">
        <v>-15.59</v>
      </c>
      <c r="AJ105">
        <v>26.88</v>
      </c>
      <c r="AK105">
        <v>58.97</v>
      </c>
      <c r="AL105">
        <v>2</v>
      </c>
      <c r="AM105">
        <v>0.8</v>
      </c>
      <c r="AN105">
        <v>94.62</v>
      </c>
      <c r="AO105">
        <v>59.37</v>
      </c>
      <c r="AP105">
        <v>80.48</v>
      </c>
    </row>
    <row r="106" spans="1:42">
      <c r="A106">
        <v>105</v>
      </c>
      <c r="B106" t="str">
        <f>"603023"</f>
        <v>603023</v>
      </c>
      <c r="C106" t="s">
        <v>1059</v>
      </c>
      <c r="D106">
        <v>6.94</v>
      </c>
      <c r="E106">
        <v>9.98</v>
      </c>
      <c r="F106">
        <v>0.63</v>
      </c>
      <c r="G106" t="s">
        <v>1060</v>
      </c>
      <c r="H106">
        <v>812</v>
      </c>
      <c r="I106">
        <v>6.94</v>
      </c>
      <c r="J106" t="s">
        <v>76</v>
      </c>
      <c r="K106" t="s">
        <v>1061</v>
      </c>
      <c r="L106">
        <v>26.63</v>
      </c>
      <c r="M106" t="s">
        <v>46</v>
      </c>
      <c r="N106" t="s">
        <v>1062</v>
      </c>
      <c r="O106">
        <v>6.94</v>
      </c>
      <c r="P106">
        <v>6.44</v>
      </c>
      <c r="Q106">
        <v>6.93</v>
      </c>
      <c r="R106">
        <v>6.31</v>
      </c>
      <c r="S106">
        <v>7.92</v>
      </c>
      <c r="T106">
        <v>2.5</v>
      </c>
      <c r="U106">
        <v>100</v>
      </c>
      <c r="V106" t="s">
        <v>1063</v>
      </c>
      <c r="W106">
        <v>6.89</v>
      </c>
      <c r="X106" t="s">
        <v>1064</v>
      </c>
      <c r="Y106" t="s">
        <v>131</v>
      </c>
      <c r="Z106">
        <v>2.71</v>
      </c>
      <c r="AA106" t="s">
        <v>1065</v>
      </c>
      <c r="AB106">
        <v>0</v>
      </c>
      <c r="AC106">
        <v>5.26</v>
      </c>
      <c r="AD106" t="s">
        <v>1066</v>
      </c>
      <c r="AE106" t="s">
        <v>1067</v>
      </c>
      <c r="AF106" t="s">
        <v>1066</v>
      </c>
      <c r="AG106" t="s">
        <v>1067</v>
      </c>
      <c r="AH106">
        <v>32.95</v>
      </c>
      <c r="AI106">
        <v>35.55</v>
      </c>
      <c r="AJ106">
        <v>62.77</v>
      </c>
      <c r="AK106">
        <v>79.97</v>
      </c>
      <c r="AL106">
        <v>5</v>
      </c>
      <c r="AM106">
        <v>9.98</v>
      </c>
      <c r="AN106">
        <v>82.63</v>
      </c>
      <c r="AO106">
        <v>42.8</v>
      </c>
      <c r="AP106">
        <v>66.43</v>
      </c>
    </row>
    <row r="107" spans="1:42">
      <c r="A107">
        <v>106</v>
      </c>
      <c r="B107" t="str">
        <f>"300760"</f>
        <v>300760</v>
      </c>
      <c r="C107" t="s">
        <v>1068</v>
      </c>
      <c r="D107">
        <v>290.1</v>
      </c>
      <c r="E107">
        <v>-0.26</v>
      </c>
      <c r="F107">
        <v>-0.77</v>
      </c>
      <c r="G107" t="s">
        <v>1069</v>
      </c>
      <c r="H107">
        <v>243</v>
      </c>
      <c r="I107">
        <v>290.09</v>
      </c>
      <c r="J107">
        <v>290.1</v>
      </c>
      <c r="K107" t="s">
        <v>1070</v>
      </c>
      <c r="L107">
        <v>0.29</v>
      </c>
      <c r="M107" t="s">
        <v>46</v>
      </c>
      <c r="N107" t="s">
        <v>1071</v>
      </c>
      <c r="O107">
        <v>293.9</v>
      </c>
      <c r="P107">
        <v>286.21</v>
      </c>
      <c r="Q107">
        <v>292.59</v>
      </c>
      <c r="R107">
        <v>290.87</v>
      </c>
      <c r="S107">
        <v>2.64</v>
      </c>
      <c r="T107">
        <v>1.33</v>
      </c>
      <c r="U107">
        <v>29.74</v>
      </c>
      <c r="V107">
        <v>44</v>
      </c>
      <c r="W107">
        <v>289.39</v>
      </c>
      <c r="X107" t="s">
        <v>390</v>
      </c>
      <c r="Y107" t="s">
        <v>1072</v>
      </c>
      <c r="Z107">
        <v>0.89</v>
      </c>
      <c r="AA107">
        <v>36</v>
      </c>
      <c r="AB107">
        <v>26</v>
      </c>
      <c r="AC107">
        <v>11.13</v>
      </c>
      <c r="AD107" t="s">
        <v>1073</v>
      </c>
      <c r="AE107" t="s">
        <v>1074</v>
      </c>
      <c r="AF107" t="s">
        <v>1073</v>
      </c>
      <c r="AG107" t="s">
        <v>1074</v>
      </c>
      <c r="AH107">
        <v>1.94</v>
      </c>
      <c r="AI107">
        <v>2.75</v>
      </c>
      <c r="AJ107">
        <v>0.86</v>
      </c>
      <c r="AK107">
        <v>1.39</v>
      </c>
      <c r="AL107">
        <v>-1</v>
      </c>
      <c r="AM107">
        <v>-0.26</v>
      </c>
      <c r="AN107">
        <v>-5.56</v>
      </c>
      <c r="AO107">
        <v>4.22</v>
      </c>
      <c r="AP107">
        <v>-7.33</v>
      </c>
    </row>
    <row r="108" spans="1:42">
      <c r="A108">
        <v>107</v>
      </c>
      <c r="B108" t="str">
        <f>"600733"</f>
        <v>600733</v>
      </c>
      <c r="C108" t="s">
        <v>1075</v>
      </c>
      <c r="D108">
        <v>6.39</v>
      </c>
      <c r="E108">
        <v>-1.39</v>
      </c>
      <c r="F108">
        <v>-0.09</v>
      </c>
      <c r="G108" t="s">
        <v>1076</v>
      </c>
      <c r="H108" t="s">
        <v>1077</v>
      </c>
      <c r="I108">
        <v>6.38</v>
      </c>
      <c r="J108">
        <v>6.39</v>
      </c>
      <c r="K108" t="s">
        <v>1078</v>
      </c>
      <c r="L108">
        <v>3.52</v>
      </c>
      <c r="M108" t="s">
        <v>46</v>
      </c>
      <c r="N108" t="s">
        <v>1079</v>
      </c>
      <c r="O108">
        <v>6.54</v>
      </c>
      <c r="P108">
        <v>6.33</v>
      </c>
      <c r="Q108">
        <v>6.5</v>
      </c>
      <c r="R108">
        <v>6.48</v>
      </c>
      <c r="S108">
        <v>3.24</v>
      </c>
      <c r="T108">
        <v>0.5</v>
      </c>
      <c r="U108">
        <v>30.42</v>
      </c>
      <c r="V108" t="s">
        <v>1080</v>
      </c>
      <c r="W108">
        <v>6.39</v>
      </c>
      <c r="X108" t="s">
        <v>1081</v>
      </c>
      <c r="Y108" t="s">
        <v>1082</v>
      </c>
      <c r="Z108">
        <v>1.36</v>
      </c>
      <c r="AA108" t="s">
        <v>1083</v>
      </c>
      <c r="AB108">
        <v>6931</v>
      </c>
      <c r="AC108">
        <v>4.22</v>
      </c>
      <c r="AD108" t="s">
        <v>1084</v>
      </c>
      <c r="AE108" t="s">
        <v>1085</v>
      </c>
      <c r="AF108" t="s">
        <v>1086</v>
      </c>
      <c r="AG108" t="s">
        <v>1087</v>
      </c>
      <c r="AH108">
        <v>-5.75</v>
      </c>
      <c r="AI108">
        <v>-1.08</v>
      </c>
      <c r="AJ108">
        <v>16.9</v>
      </c>
      <c r="AK108">
        <v>38.49</v>
      </c>
      <c r="AL108">
        <v>-3</v>
      </c>
      <c r="AM108">
        <v>-1.39</v>
      </c>
      <c r="AN108">
        <v>7.39</v>
      </c>
      <c r="AO108">
        <v>-6.03</v>
      </c>
      <c r="AP108">
        <v>2.57</v>
      </c>
    </row>
    <row r="109" spans="1:42">
      <c r="A109">
        <v>108</v>
      </c>
      <c r="B109" t="str">
        <f>"603286"</f>
        <v>603286</v>
      </c>
      <c r="C109" t="s">
        <v>1088</v>
      </c>
      <c r="D109">
        <v>30.96</v>
      </c>
      <c r="E109">
        <v>-10</v>
      </c>
      <c r="F109">
        <v>-3.44</v>
      </c>
      <c r="G109" t="s">
        <v>1089</v>
      </c>
      <c r="H109">
        <v>2735</v>
      </c>
      <c r="I109">
        <v>30.96</v>
      </c>
      <c r="J109">
        <v>30.97</v>
      </c>
      <c r="K109" t="s">
        <v>1090</v>
      </c>
      <c r="L109">
        <v>36.21</v>
      </c>
      <c r="M109" t="s">
        <v>46</v>
      </c>
      <c r="N109" t="s">
        <v>1091</v>
      </c>
      <c r="O109">
        <v>33.98</v>
      </c>
      <c r="P109">
        <v>30.96</v>
      </c>
      <c r="Q109">
        <v>33</v>
      </c>
      <c r="R109">
        <v>34.4</v>
      </c>
      <c r="S109">
        <v>8.78</v>
      </c>
      <c r="T109">
        <v>1.44</v>
      </c>
      <c r="U109">
        <v>93.1</v>
      </c>
      <c r="V109">
        <v>944</v>
      </c>
      <c r="W109">
        <v>31.95</v>
      </c>
      <c r="X109" t="s">
        <v>1092</v>
      </c>
      <c r="Y109" t="s">
        <v>784</v>
      </c>
      <c r="Z109">
        <v>1.32</v>
      </c>
      <c r="AA109">
        <v>979</v>
      </c>
      <c r="AB109">
        <v>8</v>
      </c>
      <c r="AC109">
        <v>4.14</v>
      </c>
      <c r="AD109" t="s">
        <v>1093</v>
      </c>
      <c r="AE109" t="s">
        <v>1094</v>
      </c>
      <c r="AF109" t="s">
        <v>1095</v>
      </c>
      <c r="AG109" t="s">
        <v>1096</v>
      </c>
      <c r="AH109">
        <v>-9.76</v>
      </c>
      <c r="AI109">
        <v>20.14</v>
      </c>
      <c r="AJ109">
        <v>108.05</v>
      </c>
      <c r="AK109">
        <v>162.01</v>
      </c>
      <c r="AL109">
        <v>-2</v>
      </c>
      <c r="AM109">
        <v>-10</v>
      </c>
      <c r="AN109">
        <v>101.04</v>
      </c>
      <c r="AO109">
        <v>56.76</v>
      </c>
      <c r="AP109">
        <v>66.45</v>
      </c>
    </row>
    <row r="110" spans="1:42">
      <c r="A110">
        <v>109</v>
      </c>
      <c r="B110" t="str">
        <f>"002892"</f>
        <v>002892</v>
      </c>
      <c r="C110" t="s">
        <v>1097</v>
      </c>
      <c r="D110">
        <v>17.95</v>
      </c>
      <c r="E110">
        <v>-2.07</v>
      </c>
      <c r="F110">
        <v>-0.38</v>
      </c>
      <c r="G110" t="s">
        <v>1098</v>
      </c>
      <c r="H110">
        <v>7850</v>
      </c>
      <c r="I110">
        <v>17.95</v>
      </c>
      <c r="J110">
        <v>17.96</v>
      </c>
      <c r="K110" t="s">
        <v>1099</v>
      </c>
      <c r="L110">
        <v>20.38</v>
      </c>
      <c r="M110" t="s">
        <v>46</v>
      </c>
      <c r="N110" t="s">
        <v>1100</v>
      </c>
      <c r="O110">
        <v>18.5</v>
      </c>
      <c r="P110">
        <v>17.82</v>
      </c>
      <c r="Q110">
        <v>18.33</v>
      </c>
      <c r="R110">
        <v>18.33</v>
      </c>
      <c r="S110">
        <v>3.71</v>
      </c>
      <c r="T110">
        <v>0.67</v>
      </c>
      <c r="U110">
        <v>56.03</v>
      </c>
      <c r="V110">
        <v>1570</v>
      </c>
      <c r="W110">
        <v>18.1</v>
      </c>
      <c r="X110" t="s">
        <v>711</v>
      </c>
      <c r="Y110" t="s">
        <v>1101</v>
      </c>
      <c r="Z110">
        <v>1.04</v>
      </c>
      <c r="AA110">
        <v>834</v>
      </c>
      <c r="AB110">
        <v>5</v>
      </c>
      <c r="AC110">
        <v>6.29</v>
      </c>
      <c r="AD110" t="s">
        <v>1102</v>
      </c>
      <c r="AE110" t="s">
        <v>1103</v>
      </c>
      <c r="AF110" t="s">
        <v>1104</v>
      </c>
      <c r="AG110" t="s">
        <v>1105</v>
      </c>
      <c r="AH110">
        <v>-5.28</v>
      </c>
      <c r="AI110">
        <v>-7.66</v>
      </c>
      <c r="AJ110">
        <v>83.55</v>
      </c>
      <c r="AK110">
        <v>172.47</v>
      </c>
      <c r="AL110">
        <v>-2</v>
      </c>
      <c r="AM110">
        <v>-2.07</v>
      </c>
      <c r="AN110">
        <v>133.12</v>
      </c>
      <c r="AO110">
        <v>26.5</v>
      </c>
      <c r="AP110">
        <v>116.53</v>
      </c>
    </row>
    <row r="111" spans="1:42">
      <c r="A111">
        <v>110</v>
      </c>
      <c r="B111" t="str">
        <f>"603918"</f>
        <v>603918</v>
      </c>
      <c r="C111" t="s">
        <v>1106</v>
      </c>
      <c r="D111">
        <v>22.48</v>
      </c>
      <c r="E111">
        <v>9.98</v>
      </c>
      <c r="F111">
        <v>2.04</v>
      </c>
      <c r="G111" t="s">
        <v>1107</v>
      </c>
      <c r="H111">
        <v>4071</v>
      </c>
      <c r="I111">
        <v>22.48</v>
      </c>
      <c r="J111" t="s">
        <v>76</v>
      </c>
      <c r="K111" t="s">
        <v>1108</v>
      </c>
      <c r="L111">
        <v>12.7</v>
      </c>
      <c r="M111" t="s">
        <v>46</v>
      </c>
      <c r="N111" t="s">
        <v>1109</v>
      </c>
      <c r="O111">
        <v>22.48</v>
      </c>
      <c r="P111">
        <v>20.43</v>
      </c>
      <c r="Q111">
        <v>20.55</v>
      </c>
      <c r="R111">
        <v>20.44</v>
      </c>
      <c r="S111">
        <v>10.03</v>
      </c>
      <c r="T111">
        <v>2.4</v>
      </c>
      <c r="U111">
        <v>100</v>
      </c>
      <c r="V111" t="s">
        <v>1110</v>
      </c>
      <c r="W111">
        <v>21.75</v>
      </c>
      <c r="X111" t="s">
        <v>416</v>
      </c>
      <c r="Y111" t="s">
        <v>1111</v>
      </c>
      <c r="Z111">
        <v>0.75</v>
      </c>
      <c r="AA111" t="s">
        <v>1112</v>
      </c>
      <c r="AB111">
        <v>0</v>
      </c>
      <c r="AC111">
        <v>7.42</v>
      </c>
      <c r="AD111" t="s">
        <v>1113</v>
      </c>
      <c r="AE111" t="s">
        <v>1114</v>
      </c>
      <c r="AF111" t="s">
        <v>1115</v>
      </c>
      <c r="AG111" t="s">
        <v>1116</v>
      </c>
      <c r="AH111">
        <v>7.97</v>
      </c>
      <c r="AI111">
        <v>3.12</v>
      </c>
      <c r="AJ111">
        <v>20.72</v>
      </c>
      <c r="AK111">
        <v>39.2</v>
      </c>
      <c r="AL111">
        <v>1</v>
      </c>
      <c r="AM111">
        <v>9.98</v>
      </c>
      <c r="AN111">
        <v>206.27</v>
      </c>
      <c r="AO111">
        <v>13.25</v>
      </c>
      <c r="AP111">
        <v>160.49</v>
      </c>
    </row>
    <row r="112" spans="1:42">
      <c r="A112">
        <v>111</v>
      </c>
      <c r="B112" t="str">
        <f>"601360"</f>
        <v>601360</v>
      </c>
      <c r="C112" t="s">
        <v>1117</v>
      </c>
      <c r="D112">
        <v>9.02</v>
      </c>
      <c r="E112">
        <v>3.92</v>
      </c>
      <c r="F112">
        <v>0.34</v>
      </c>
      <c r="G112" t="s">
        <v>918</v>
      </c>
      <c r="H112" t="s">
        <v>1118</v>
      </c>
      <c r="I112">
        <v>9.01</v>
      </c>
      <c r="J112">
        <v>9.02</v>
      </c>
      <c r="K112" t="s">
        <v>1119</v>
      </c>
      <c r="L112">
        <v>1.58</v>
      </c>
      <c r="M112" t="s">
        <v>46</v>
      </c>
      <c r="N112" t="s">
        <v>1120</v>
      </c>
      <c r="O112">
        <v>9.15</v>
      </c>
      <c r="P112">
        <v>8.63</v>
      </c>
      <c r="Q112">
        <v>8.68</v>
      </c>
      <c r="R112">
        <v>8.68</v>
      </c>
      <c r="S112">
        <v>5.99</v>
      </c>
      <c r="T112">
        <v>2.05</v>
      </c>
      <c r="U112">
        <v>19.85</v>
      </c>
      <c r="V112">
        <v>6821</v>
      </c>
      <c r="W112">
        <v>8.9</v>
      </c>
      <c r="X112" t="s">
        <v>1121</v>
      </c>
      <c r="Y112" t="s">
        <v>394</v>
      </c>
      <c r="Z112">
        <v>0.71</v>
      </c>
      <c r="AA112">
        <v>4139</v>
      </c>
      <c r="AB112">
        <v>873</v>
      </c>
      <c r="AC112">
        <v>2.05</v>
      </c>
      <c r="AD112" t="s">
        <v>1122</v>
      </c>
      <c r="AE112" t="s">
        <v>1123</v>
      </c>
      <c r="AF112" t="s">
        <v>1122</v>
      </c>
      <c r="AG112" t="s">
        <v>1123</v>
      </c>
      <c r="AH112">
        <v>1.01</v>
      </c>
      <c r="AI112">
        <v>-3.01</v>
      </c>
      <c r="AJ112">
        <v>3.13</v>
      </c>
      <c r="AK112">
        <v>5.44</v>
      </c>
      <c r="AL112">
        <v>1</v>
      </c>
      <c r="AM112">
        <v>3.92</v>
      </c>
      <c r="AN112">
        <v>37.92</v>
      </c>
      <c r="AO112">
        <v>-0.33</v>
      </c>
      <c r="AP112">
        <v>29.23</v>
      </c>
    </row>
    <row r="113" spans="1:42">
      <c r="A113">
        <v>112</v>
      </c>
      <c r="B113" t="str">
        <f>"002929"</f>
        <v>002929</v>
      </c>
      <c r="C113" t="s">
        <v>1124</v>
      </c>
      <c r="D113">
        <v>47.43</v>
      </c>
      <c r="E113">
        <v>4.75</v>
      </c>
      <c r="F113">
        <v>2.15</v>
      </c>
      <c r="G113" t="s">
        <v>1125</v>
      </c>
      <c r="H113">
        <v>1079</v>
      </c>
      <c r="I113">
        <v>47.43</v>
      </c>
      <c r="J113">
        <v>47.44</v>
      </c>
      <c r="K113" t="s">
        <v>1126</v>
      </c>
      <c r="L113">
        <v>10.29</v>
      </c>
      <c r="M113" t="s">
        <v>46</v>
      </c>
      <c r="N113" t="s">
        <v>1127</v>
      </c>
      <c r="O113">
        <v>48.18</v>
      </c>
      <c r="P113">
        <v>45.56</v>
      </c>
      <c r="Q113">
        <v>46.23</v>
      </c>
      <c r="R113">
        <v>45.28</v>
      </c>
      <c r="S113">
        <v>5.79</v>
      </c>
      <c r="T113">
        <v>1.76</v>
      </c>
      <c r="U113">
        <v>-61.46</v>
      </c>
      <c r="V113">
        <v>-726</v>
      </c>
      <c r="W113">
        <v>47.04</v>
      </c>
      <c r="X113" t="s">
        <v>881</v>
      </c>
      <c r="Y113" t="s">
        <v>1128</v>
      </c>
      <c r="Z113">
        <v>0.99</v>
      </c>
      <c r="AA113">
        <v>63</v>
      </c>
      <c r="AB113">
        <v>69</v>
      </c>
      <c r="AC113">
        <v>2.27</v>
      </c>
      <c r="AD113" t="s">
        <v>1129</v>
      </c>
      <c r="AE113" t="s">
        <v>1130</v>
      </c>
      <c r="AF113" t="s">
        <v>1131</v>
      </c>
      <c r="AG113" t="s">
        <v>1132</v>
      </c>
      <c r="AH113">
        <v>7.8</v>
      </c>
      <c r="AI113">
        <v>2.46</v>
      </c>
      <c r="AJ113">
        <v>22.13</v>
      </c>
      <c r="AK113">
        <v>39.44</v>
      </c>
      <c r="AL113">
        <v>2</v>
      </c>
      <c r="AM113">
        <v>4.75</v>
      </c>
      <c r="AN113">
        <v>21.58</v>
      </c>
      <c r="AO113">
        <v>17.66</v>
      </c>
      <c r="AP113">
        <v>26.92</v>
      </c>
    </row>
    <row r="114" spans="1:42">
      <c r="A114">
        <v>113</v>
      </c>
      <c r="B114" t="str">
        <f>"002927"</f>
        <v>002927</v>
      </c>
      <c r="C114" t="s">
        <v>1133</v>
      </c>
      <c r="D114">
        <v>16.55</v>
      </c>
      <c r="E114">
        <v>-2.99</v>
      </c>
      <c r="F114">
        <v>-0.51</v>
      </c>
      <c r="G114" t="s">
        <v>1134</v>
      </c>
      <c r="H114">
        <v>1213</v>
      </c>
      <c r="I114">
        <v>16.55</v>
      </c>
      <c r="J114">
        <v>16.56</v>
      </c>
      <c r="K114" t="s">
        <v>1135</v>
      </c>
      <c r="L114">
        <v>24.96</v>
      </c>
      <c r="M114" t="s">
        <v>46</v>
      </c>
      <c r="N114" t="s">
        <v>1136</v>
      </c>
      <c r="O114">
        <v>18.77</v>
      </c>
      <c r="P114">
        <v>16.5</v>
      </c>
      <c r="Q114">
        <v>18.77</v>
      </c>
      <c r="R114">
        <v>17.06</v>
      </c>
      <c r="S114">
        <v>13.31</v>
      </c>
      <c r="T114">
        <v>14.81</v>
      </c>
      <c r="U114">
        <v>86.81</v>
      </c>
      <c r="V114">
        <v>1855</v>
      </c>
      <c r="W114">
        <v>17.91</v>
      </c>
      <c r="X114" t="s">
        <v>1137</v>
      </c>
      <c r="Y114" t="s">
        <v>91</v>
      </c>
      <c r="Z114">
        <v>1.02</v>
      </c>
      <c r="AA114">
        <v>1001</v>
      </c>
      <c r="AB114">
        <v>27</v>
      </c>
      <c r="AC114">
        <v>3.62</v>
      </c>
      <c r="AD114" t="s">
        <v>1138</v>
      </c>
      <c r="AE114" t="s">
        <v>1139</v>
      </c>
      <c r="AF114" t="s">
        <v>1140</v>
      </c>
      <c r="AG114" t="s">
        <v>1141</v>
      </c>
      <c r="AH114">
        <v>17.38</v>
      </c>
      <c r="AI114">
        <v>18.13</v>
      </c>
      <c r="AJ114">
        <v>29.66</v>
      </c>
      <c r="AK114">
        <v>33.38</v>
      </c>
      <c r="AL114">
        <v>-1</v>
      </c>
      <c r="AM114">
        <v>-2.99</v>
      </c>
      <c r="AN114">
        <v>65.5</v>
      </c>
      <c r="AO114">
        <v>20.1</v>
      </c>
      <c r="AP114">
        <v>47.77</v>
      </c>
    </row>
    <row r="115" spans="1:42">
      <c r="A115">
        <v>114</v>
      </c>
      <c r="B115" t="str">
        <f>"002584"</f>
        <v>002584</v>
      </c>
      <c r="C115" t="s">
        <v>1142</v>
      </c>
      <c r="D115">
        <v>9.62</v>
      </c>
      <c r="E115">
        <v>-2.34</v>
      </c>
      <c r="F115">
        <v>-0.23</v>
      </c>
      <c r="G115" t="s">
        <v>1143</v>
      </c>
      <c r="H115" t="s">
        <v>128</v>
      </c>
      <c r="I115">
        <v>9.62</v>
      </c>
      <c r="J115">
        <v>9.63</v>
      </c>
      <c r="K115" t="s">
        <v>1144</v>
      </c>
      <c r="L115">
        <v>23.2</v>
      </c>
      <c r="M115" t="s">
        <v>46</v>
      </c>
      <c r="N115" t="s">
        <v>1145</v>
      </c>
      <c r="O115">
        <v>10.1</v>
      </c>
      <c r="P115">
        <v>9.55</v>
      </c>
      <c r="Q115">
        <v>9.7</v>
      </c>
      <c r="R115">
        <v>9.85</v>
      </c>
      <c r="S115">
        <v>5.58</v>
      </c>
      <c r="T115">
        <v>0.91</v>
      </c>
      <c r="U115">
        <v>34.43</v>
      </c>
      <c r="V115">
        <v>5165</v>
      </c>
      <c r="W115">
        <v>9.77</v>
      </c>
      <c r="X115" t="s">
        <v>1146</v>
      </c>
      <c r="Y115" t="s">
        <v>1147</v>
      </c>
      <c r="Z115">
        <v>1.31</v>
      </c>
      <c r="AA115">
        <v>3174</v>
      </c>
      <c r="AB115">
        <v>1660</v>
      </c>
      <c r="AC115">
        <v>2.4</v>
      </c>
      <c r="AD115" t="s">
        <v>1148</v>
      </c>
      <c r="AE115" t="s">
        <v>1149</v>
      </c>
      <c r="AF115" t="s">
        <v>1150</v>
      </c>
      <c r="AG115" t="s">
        <v>1151</v>
      </c>
      <c r="AH115">
        <v>4</v>
      </c>
      <c r="AI115">
        <v>-3.32</v>
      </c>
      <c r="AJ115">
        <v>70.74</v>
      </c>
      <c r="AK115">
        <v>150.59</v>
      </c>
      <c r="AL115">
        <v>-1</v>
      </c>
      <c r="AM115">
        <v>-2.34</v>
      </c>
      <c r="AN115">
        <v>38.82</v>
      </c>
      <c r="AO115">
        <v>60.33</v>
      </c>
      <c r="AP115">
        <v>31.06</v>
      </c>
    </row>
    <row r="116" spans="1:42">
      <c r="A116">
        <v>115</v>
      </c>
      <c r="B116" t="str">
        <f>"601881"</f>
        <v>601881</v>
      </c>
      <c r="C116" t="s">
        <v>1152</v>
      </c>
      <c r="D116">
        <v>12.59</v>
      </c>
      <c r="E116">
        <v>0.64</v>
      </c>
      <c r="F116">
        <v>0.08</v>
      </c>
      <c r="G116" t="s">
        <v>1153</v>
      </c>
      <c r="H116" t="s">
        <v>1154</v>
      </c>
      <c r="I116">
        <v>12.58</v>
      </c>
      <c r="J116">
        <v>12.59</v>
      </c>
      <c r="K116" t="s">
        <v>1155</v>
      </c>
      <c r="L116">
        <v>1.13</v>
      </c>
      <c r="M116" t="s">
        <v>46</v>
      </c>
      <c r="N116" t="s">
        <v>1156</v>
      </c>
      <c r="O116">
        <v>12.63</v>
      </c>
      <c r="P116">
        <v>12.44</v>
      </c>
      <c r="Q116">
        <v>12.46</v>
      </c>
      <c r="R116">
        <v>12.51</v>
      </c>
      <c r="S116">
        <v>1.52</v>
      </c>
      <c r="T116">
        <v>0.91</v>
      </c>
      <c r="U116">
        <v>-29.98</v>
      </c>
      <c r="V116">
        <v>-6026</v>
      </c>
      <c r="W116">
        <v>12.56</v>
      </c>
      <c r="X116" t="s">
        <v>1157</v>
      </c>
      <c r="Y116" t="s">
        <v>1158</v>
      </c>
      <c r="Z116">
        <v>0.83</v>
      </c>
      <c r="AA116">
        <v>1547</v>
      </c>
      <c r="AB116">
        <v>269</v>
      </c>
      <c r="AC116">
        <v>1.39</v>
      </c>
      <c r="AD116" t="s">
        <v>1159</v>
      </c>
      <c r="AE116" t="s">
        <v>1160</v>
      </c>
      <c r="AF116" t="s">
        <v>1161</v>
      </c>
      <c r="AG116" t="s">
        <v>1162</v>
      </c>
      <c r="AH116">
        <v>1.7</v>
      </c>
      <c r="AI116">
        <v>-0.94</v>
      </c>
      <c r="AJ116">
        <v>3.46</v>
      </c>
      <c r="AK116">
        <v>7.34</v>
      </c>
      <c r="AL116">
        <v>2</v>
      </c>
      <c r="AM116">
        <v>0.64</v>
      </c>
      <c r="AN116">
        <v>38.96</v>
      </c>
      <c r="AO116">
        <v>4.83</v>
      </c>
      <c r="AP116">
        <v>33.65</v>
      </c>
    </row>
    <row r="117" spans="1:42">
      <c r="A117">
        <v>116</v>
      </c>
      <c r="B117" t="str">
        <f>"601988"</f>
        <v>601988</v>
      </c>
      <c r="C117" t="s">
        <v>1163</v>
      </c>
      <c r="D117">
        <v>4.04</v>
      </c>
      <c r="E117">
        <v>1.25</v>
      </c>
      <c r="F117">
        <v>0.05</v>
      </c>
      <c r="G117" t="s">
        <v>1164</v>
      </c>
      <c r="H117" t="s">
        <v>1165</v>
      </c>
      <c r="I117">
        <v>4.03</v>
      </c>
      <c r="J117">
        <v>4.04</v>
      </c>
      <c r="K117" t="s">
        <v>1166</v>
      </c>
      <c r="L117">
        <v>0.11</v>
      </c>
      <c r="M117" t="s">
        <v>46</v>
      </c>
      <c r="N117" t="s">
        <v>1167</v>
      </c>
      <c r="O117">
        <v>4.06</v>
      </c>
      <c r="P117">
        <v>3.98</v>
      </c>
      <c r="Q117">
        <v>3.99</v>
      </c>
      <c r="R117">
        <v>3.99</v>
      </c>
      <c r="S117">
        <v>2.01</v>
      </c>
      <c r="T117">
        <v>1.55</v>
      </c>
      <c r="U117">
        <v>-25.35</v>
      </c>
      <c r="V117" t="s">
        <v>1168</v>
      </c>
      <c r="W117">
        <v>4.03</v>
      </c>
      <c r="X117" t="s">
        <v>1169</v>
      </c>
      <c r="Y117" t="s">
        <v>1060</v>
      </c>
      <c r="Z117">
        <v>0.61</v>
      </c>
      <c r="AA117">
        <v>4793</v>
      </c>
      <c r="AB117" t="s">
        <v>1170</v>
      </c>
      <c r="AC117">
        <v>0.55</v>
      </c>
      <c r="AD117" t="s">
        <v>1171</v>
      </c>
      <c r="AE117" t="s">
        <v>1172</v>
      </c>
      <c r="AF117" t="s">
        <v>1173</v>
      </c>
      <c r="AG117" t="s">
        <v>1174</v>
      </c>
      <c r="AH117">
        <v>1.76</v>
      </c>
      <c r="AI117">
        <v>2.02</v>
      </c>
      <c r="AJ117">
        <v>0.27</v>
      </c>
      <c r="AK117">
        <v>0.48</v>
      </c>
      <c r="AL117">
        <v>3</v>
      </c>
      <c r="AM117">
        <v>1.25</v>
      </c>
      <c r="AN117">
        <v>37.88</v>
      </c>
      <c r="AO117">
        <v>3.86</v>
      </c>
      <c r="AP117">
        <v>41.75</v>
      </c>
    </row>
    <row r="118" spans="1:42">
      <c r="A118">
        <v>117</v>
      </c>
      <c r="B118" t="str">
        <f>"002607"</f>
        <v>002607</v>
      </c>
      <c r="C118" t="s">
        <v>1175</v>
      </c>
      <c r="D118">
        <v>4.96</v>
      </c>
      <c r="E118">
        <v>1.64</v>
      </c>
      <c r="F118">
        <v>0.08</v>
      </c>
      <c r="G118" t="s">
        <v>1176</v>
      </c>
      <c r="H118" t="s">
        <v>1177</v>
      </c>
      <c r="I118">
        <v>4.95</v>
      </c>
      <c r="J118">
        <v>4.96</v>
      </c>
      <c r="K118" t="s">
        <v>1178</v>
      </c>
      <c r="L118">
        <v>4.04</v>
      </c>
      <c r="M118" t="s">
        <v>46</v>
      </c>
      <c r="N118" t="s">
        <v>1179</v>
      </c>
      <c r="O118">
        <v>5.01</v>
      </c>
      <c r="P118">
        <v>4.85</v>
      </c>
      <c r="Q118">
        <v>4.85</v>
      </c>
      <c r="R118">
        <v>4.88</v>
      </c>
      <c r="S118">
        <v>3.28</v>
      </c>
      <c r="T118">
        <v>1.19</v>
      </c>
      <c r="U118">
        <v>-51.79</v>
      </c>
      <c r="V118" t="s">
        <v>1180</v>
      </c>
      <c r="W118">
        <v>4.94</v>
      </c>
      <c r="X118" t="s">
        <v>1181</v>
      </c>
      <c r="Y118" t="s">
        <v>1182</v>
      </c>
      <c r="Z118">
        <v>0.76</v>
      </c>
      <c r="AA118" t="s">
        <v>189</v>
      </c>
      <c r="AB118">
        <v>8297</v>
      </c>
      <c r="AC118">
        <v>29.93</v>
      </c>
      <c r="AD118" t="s">
        <v>1183</v>
      </c>
      <c r="AE118" t="s">
        <v>1184</v>
      </c>
      <c r="AF118" t="s">
        <v>1185</v>
      </c>
      <c r="AG118" t="s">
        <v>1186</v>
      </c>
      <c r="AH118">
        <v>7.83</v>
      </c>
      <c r="AI118">
        <v>7.36</v>
      </c>
      <c r="AJ118">
        <v>14.79</v>
      </c>
      <c r="AK118">
        <v>21.08</v>
      </c>
      <c r="AL118">
        <v>5</v>
      </c>
      <c r="AM118">
        <v>1.64</v>
      </c>
      <c r="AN118">
        <v>7.13</v>
      </c>
      <c r="AO118">
        <v>25.89</v>
      </c>
      <c r="AP118">
        <v>-7.98</v>
      </c>
    </row>
    <row r="119" spans="1:42">
      <c r="A119">
        <v>118</v>
      </c>
      <c r="B119" t="str">
        <f>"300322"</f>
        <v>300322</v>
      </c>
      <c r="C119" t="s">
        <v>1187</v>
      </c>
      <c r="D119">
        <v>12.98</v>
      </c>
      <c r="E119">
        <v>2.85</v>
      </c>
      <c r="F119">
        <v>0.36</v>
      </c>
      <c r="G119" t="s">
        <v>1188</v>
      </c>
      <c r="H119">
        <v>9066</v>
      </c>
      <c r="I119">
        <v>12.98</v>
      </c>
      <c r="J119">
        <v>12.99</v>
      </c>
      <c r="K119" t="s">
        <v>1189</v>
      </c>
      <c r="L119">
        <v>17.08</v>
      </c>
      <c r="M119" t="s">
        <v>46</v>
      </c>
      <c r="N119" t="s">
        <v>1190</v>
      </c>
      <c r="O119">
        <v>13.1</v>
      </c>
      <c r="P119">
        <v>11.98</v>
      </c>
      <c r="Q119">
        <v>12.5</v>
      </c>
      <c r="R119">
        <v>12.62</v>
      </c>
      <c r="S119">
        <v>8.87</v>
      </c>
      <c r="T119">
        <v>2.19</v>
      </c>
      <c r="U119">
        <v>3.51</v>
      </c>
      <c r="V119">
        <v>590</v>
      </c>
      <c r="W119">
        <v>12.74</v>
      </c>
      <c r="X119" t="s">
        <v>1157</v>
      </c>
      <c r="Y119" t="s">
        <v>479</v>
      </c>
      <c r="Z119">
        <v>0.87</v>
      </c>
      <c r="AA119">
        <v>2504</v>
      </c>
      <c r="AB119">
        <v>1559</v>
      </c>
      <c r="AC119">
        <v>5.61</v>
      </c>
      <c r="AD119" t="s">
        <v>1191</v>
      </c>
      <c r="AE119" t="s">
        <v>1192</v>
      </c>
      <c r="AF119" t="s">
        <v>1193</v>
      </c>
      <c r="AG119" t="s">
        <v>1194</v>
      </c>
      <c r="AH119">
        <v>8.53</v>
      </c>
      <c r="AI119">
        <v>3.67</v>
      </c>
      <c r="AJ119">
        <v>37.05</v>
      </c>
      <c r="AK119">
        <v>56.13</v>
      </c>
      <c r="AL119">
        <v>4</v>
      </c>
      <c r="AM119">
        <v>2.85</v>
      </c>
      <c r="AN119">
        <v>80.53</v>
      </c>
      <c r="AO119">
        <v>8.35</v>
      </c>
      <c r="AP119">
        <v>56.39</v>
      </c>
    </row>
    <row r="120" spans="1:42">
      <c r="A120">
        <v>119</v>
      </c>
      <c r="B120" t="str">
        <f>"688981"</f>
        <v>688981</v>
      </c>
      <c r="C120" t="s">
        <v>1195</v>
      </c>
      <c r="D120">
        <v>54.15</v>
      </c>
      <c r="E120">
        <v>0.84</v>
      </c>
      <c r="F120">
        <v>0.45</v>
      </c>
      <c r="G120" t="s">
        <v>1196</v>
      </c>
      <c r="H120">
        <v>1057</v>
      </c>
      <c r="I120">
        <v>54.15</v>
      </c>
      <c r="J120">
        <v>54.16</v>
      </c>
      <c r="K120" t="s">
        <v>1197</v>
      </c>
      <c r="L120">
        <v>0.91</v>
      </c>
      <c r="M120" t="s">
        <v>46</v>
      </c>
      <c r="N120" t="s">
        <v>1198</v>
      </c>
      <c r="O120">
        <v>54.57</v>
      </c>
      <c r="P120">
        <v>52.9</v>
      </c>
      <c r="Q120">
        <v>53.6</v>
      </c>
      <c r="R120">
        <v>53.7</v>
      </c>
      <c r="S120">
        <v>3.11</v>
      </c>
      <c r="T120">
        <v>1.1</v>
      </c>
      <c r="U120">
        <v>39.38</v>
      </c>
      <c r="V120">
        <v>372</v>
      </c>
      <c r="W120">
        <v>53.75</v>
      </c>
      <c r="X120" t="s">
        <v>1199</v>
      </c>
      <c r="Y120" t="s">
        <v>109</v>
      </c>
      <c r="Z120">
        <v>0.92</v>
      </c>
      <c r="AA120">
        <v>277</v>
      </c>
      <c r="AB120">
        <v>10</v>
      </c>
      <c r="AC120">
        <v>3.01</v>
      </c>
      <c r="AD120" t="s">
        <v>1200</v>
      </c>
      <c r="AE120" t="s">
        <v>1201</v>
      </c>
      <c r="AF120" t="s">
        <v>1202</v>
      </c>
      <c r="AG120" t="s">
        <v>1203</v>
      </c>
      <c r="AH120">
        <v>-0.73</v>
      </c>
      <c r="AI120">
        <v>1.44</v>
      </c>
      <c r="AJ120">
        <v>2.17</v>
      </c>
      <c r="AK120">
        <v>5.03</v>
      </c>
      <c r="AL120">
        <v>1</v>
      </c>
      <c r="AM120">
        <v>0.84</v>
      </c>
      <c r="AN120">
        <v>31.62</v>
      </c>
      <c r="AO120">
        <v>-6.41</v>
      </c>
      <c r="AP120">
        <v>32.07</v>
      </c>
    </row>
    <row r="121" spans="1:42">
      <c r="A121">
        <v>120</v>
      </c>
      <c r="B121" t="str">
        <f>"601858"</f>
        <v>601858</v>
      </c>
      <c r="C121" t="s">
        <v>1204</v>
      </c>
      <c r="D121">
        <v>30.05</v>
      </c>
      <c r="E121">
        <v>5.11</v>
      </c>
      <c r="F121">
        <v>1.46</v>
      </c>
      <c r="G121" t="s">
        <v>1021</v>
      </c>
      <c r="H121">
        <v>3471</v>
      </c>
      <c r="I121">
        <v>30.05</v>
      </c>
      <c r="J121">
        <v>30.06</v>
      </c>
      <c r="K121" t="s">
        <v>1205</v>
      </c>
      <c r="L121">
        <v>4.08</v>
      </c>
      <c r="M121" t="s">
        <v>46</v>
      </c>
      <c r="N121" t="s">
        <v>1206</v>
      </c>
      <c r="O121">
        <v>31.2</v>
      </c>
      <c r="P121">
        <v>28.18</v>
      </c>
      <c r="Q121">
        <v>28.3</v>
      </c>
      <c r="R121">
        <v>28.59</v>
      </c>
      <c r="S121">
        <v>10.56</v>
      </c>
      <c r="T121">
        <v>1.97</v>
      </c>
      <c r="U121">
        <v>29.13</v>
      </c>
      <c r="V121">
        <v>555</v>
      </c>
      <c r="W121">
        <v>29.6</v>
      </c>
      <c r="X121" t="s">
        <v>1207</v>
      </c>
      <c r="Y121" t="s">
        <v>868</v>
      </c>
      <c r="Z121">
        <v>0.75</v>
      </c>
      <c r="AA121">
        <v>605</v>
      </c>
      <c r="AB121">
        <v>26</v>
      </c>
      <c r="AC121">
        <v>4.84</v>
      </c>
      <c r="AD121" t="s">
        <v>1208</v>
      </c>
      <c r="AE121" t="s">
        <v>1209</v>
      </c>
      <c r="AF121" t="s">
        <v>1208</v>
      </c>
      <c r="AG121" t="s">
        <v>1209</v>
      </c>
      <c r="AH121">
        <v>5</v>
      </c>
      <c r="AI121">
        <v>2.66</v>
      </c>
      <c r="AJ121">
        <v>7.76</v>
      </c>
      <c r="AK121">
        <v>14.44</v>
      </c>
      <c r="AL121">
        <v>2</v>
      </c>
      <c r="AM121">
        <v>5.11</v>
      </c>
      <c r="AN121">
        <v>185.38</v>
      </c>
      <c r="AO121">
        <v>19.25</v>
      </c>
      <c r="AP121">
        <v>255.62</v>
      </c>
    </row>
    <row r="122" spans="1:42">
      <c r="A122">
        <v>121</v>
      </c>
      <c r="B122" t="str">
        <f>"002331"</f>
        <v>002331</v>
      </c>
      <c r="C122" t="s">
        <v>1210</v>
      </c>
      <c r="D122">
        <v>9.61</v>
      </c>
      <c r="E122">
        <v>-3.03</v>
      </c>
      <c r="F122">
        <v>-0.3</v>
      </c>
      <c r="G122" t="s">
        <v>1211</v>
      </c>
      <c r="H122" t="s">
        <v>1212</v>
      </c>
      <c r="I122">
        <v>9.61</v>
      </c>
      <c r="J122">
        <v>9.62</v>
      </c>
      <c r="K122" t="s">
        <v>1213</v>
      </c>
      <c r="L122">
        <v>25.41</v>
      </c>
      <c r="M122" t="s">
        <v>46</v>
      </c>
      <c r="N122" t="s">
        <v>1214</v>
      </c>
      <c r="O122">
        <v>9.97</v>
      </c>
      <c r="P122">
        <v>9.4</v>
      </c>
      <c r="Q122">
        <v>9.7</v>
      </c>
      <c r="R122">
        <v>9.91</v>
      </c>
      <c r="S122">
        <v>5.75</v>
      </c>
      <c r="T122">
        <v>1.27</v>
      </c>
      <c r="U122">
        <v>22.71</v>
      </c>
      <c r="V122">
        <v>2734</v>
      </c>
      <c r="W122">
        <v>9.64</v>
      </c>
      <c r="X122" t="s">
        <v>1215</v>
      </c>
      <c r="Y122" t="s">
        <v>1216</v>
      </c>
      <c r="Z122">
        <v>1.34</v>
      </c>
      <c r="AA122">
        <v>1997</v>
      </c>
      <c r="AB122">
        <v>2032</v>
      </c>
      <c r="AC122">
        <v>2.35</v>
      </c>
      <c r="AD122" t="s">
        <v>1217</v>
      </c>
      <c r="AE122" t="s">
        <v>1218</v>
      </c>
      <c r="AF122" t="s">
        <v>1219</v>
      </c>
      <c r="AG122" t="s">
        <v>1220</v>
      </c>
      <c r="AH122">
        <v>-21.42</v>
      </c>
      <c r="AI122">
        <v>4.57</v>
      </c>
      <c r="AJ122">
        <v>92.27</v>
      </c>
      <c r="AK122">
        <v>125.58</v>
      </c>
      <c r="AL122">
        <v>-3</v>
      </c>
      <c r="AM122">
        <v>-3.03</v>
      </c>
      <c r="AN122">
        <v>49.69</v>
      </c>
      <c r="AO122">
        <v>31.46</v>
      </c>
      <c r="AP122">
        <v>38.47</v>
      </c>
    </row>
    <row r="123" spans="1:42">
      <c r="A123">
        <v>122</v>
      </c>
      <c r="B123" t="str">
        <f>"002261"</f>
        <v>002261</v>
      </c>
      <c r="C123" t="s">
        <v>1221</v>
      </c>
      <c r="D123">
        <v>16.94</v>
      </c>
      <c r="E123">
        <v>2.67</v>
      </c>
      <c r="F123">
        <v>0.44</v>
      </c>
      <c r="G123" t="s">
        <v>1222</v>
      </c>
      <c r="H123">
        <v>8207</v>
      </c>
      <c r="I123">
        <v>16.94</v>
      </c>
      <c r="J123">
        <v>16.95</v>
      </c>
      <c r="K123" t="s">
        <v>1223</v>
      </c>
      <c r="L123">
        <v>5.03</v>
      </c>
      <c r="M123" t="s">
        <v>46</v>
      </c>
      <c r="N123" t="s">
        <v>1206</v>
      </c>
      <c r="O123">
        <v>16.97</v>
      </c>
      <c r="P123">
        <v>16.37</v>
      </c>
      <c r="Q123">
        <v>16.49</v>
      </c>
      <c r="R123">
        <v>16.5</v>
      </c>
      <c r="S123">
        <v>3.64</v>
      </c>
      <c r="T123">
        <v>1.28</v>
      </c>
      <c r="U123">
        <v>-47.11</v>
      </c>
      <c r="V123" t="s">
        <v>1224</v>
      </c>
      <c r="W123">
        <v>16.79</v>
      </c>
      <c r="X123" t="s">
        <v>1225</v>
      </c>
      <c r="Y123" t="s">
        <v>1226</v>
      </c>
      <c r="Z123">
        <v>0.63</v>
      </c>
      <c r="AA123">
        <v>2190</v>
      </c>
      <c r="AB123">
        <v>6364</v>
      </c>
      <c r="AC123">
        <v>8.26</v>
      </c>
      <c r="AD123" t="s">
        <v>1227</v>
      </c>
      <c r="AE123" t="s">
        <v>1228</v>
      </c>
      <c r="AF123" t="s">
        <v>1229</v>
      </c>
      <c r="AG123" t="s">
        <v>1230</v>
      </c>
      <c r="AH123">
        <v>0.83</v>
      </c>
      <c r="AI123">
        <v>-3.2</v>
      </c>
      <c r="AJ123">
        <v>12.41</v>
      </c>
      <c r="AK123">
        <v>24.67</v>
      </c>
      <c r="AL123">
        <v>1</v>
      </c>
      <c r="AM123">
        <v>2.67</v>
      </c>
      <c r="AN123">
        <v>155.51</v>
      </c>
      <c r="AO123">
        <v>4.57</v>
      </c>
      <c r="AP123">
        <v>139.6</v>
      </c>
    </row>
    <row r="124" spans="1:42">
      <c r="A124">
        <v>123</v>
      </c>
      <c r="B124" t="str">
        <f>"603986"</f>
        <v>603986</v>
      </c>
      <c r="C124" t="s">
        <v>1231</v>
      </c>
      <c r="D124">
        <v>95.15</v>
      </c>
      <c r="E124">
        <v>1.12</v>
      </c>
      <c r="F124">
        <v>1.05</v>
      </c>
      <c r="G124" t="s">
        <v>1232</v>
      </c>
      <c r="H124">
        <v>1173</v>
      </c>
      <c r="I124">
        <v>95.15</v>
      </c>
      <c r="J124">
        <v>95.16</v>
      </c>
      <c r="K124" t="s">
        <v>1233</v>
      </c>
      <c r="L124">
        <v>1.51</v>
      </c>
      <c r="M124" t="s">
        <v>46</v>
      </c>
      <c r="N124" t="s">
        <v>1234</v>
      </c>
      <c r="O124">
        <v>95.38</v>
      </c>
      <c r="P124">
        <v>92.29</v>
      </c>
      <c r="Q124">
        <v>94.15</v>
      </c>
      <c r="R124">
        <v>94.1</v>
      </c>
      <c r="S124">
        <v>3.28</v>
      </c>
      <c r="T124">
        <v>1.25</v>
      </c>
      <c r="U124">
        <v>-79.8</v>
      </c>
      <c r="V124">
        <v>-897</v>
      </c>
      <c r="W124">
        <v>93.68</v>
      </c>
      <c r="X124" t="s">
        <v>1235</v>
      </c>
      <c r="Y124" t="s">
        <v>1236</v>
      </c>
      <c r="Z124">
        <v>1.14</v>
      </c>
      <c r="AA124">
        <v>77</v>
      </c>
      <c r="AB124">
        <v>331</v>
      </c>
      <c r="AC124">
        <v>4.08</v>
      </c>
      <c r="AD124" t="s">
        <v>1237</v>
      </c>
      <c r="AE124" t="s">
        <v>1238</v>
      </c>
      <c r="AF124" t="s">
        <v>1239</v>
      </c>
      <c r="AG124" t="s">
        <v>1240</v>
      </c>
      <c r="AH124">
        <v>-0.05</v>
      </c>
      <c r="AI124">
        <v>-1.59</v>
      </c>
      <c r="AJ124">
        <v>3.93</v>
      </c>
      <c r="AK124">
        <v>7.55</v>
      </c>
      <c r="AL124">
        <v>1</v>
      </c>
      <c r="AM124">
        <v>1.12</v>
      </c>
      <c r="AN124">
        <v>-6.58</v>
      </c>
      <c r="AO124">
        <v>-11.9</v>
      </c>
      <c r="AP124">
        <v>-4.95</v>
      </c>
    </row>
    <row r="125" spans="1:42">
      <c r="A125">
        <v>124</v>
      </c>
      <c r="B125" t="str">
        <f>"000762"</f>
        <v>000762</v>
      </c>
      <c r="C125" t="s">
        <v>1241</v>
      </c>
      <c r="D125">
        <v>24.65</v>
      </c>
      <c r="E125">
        <v>6.57</v>
      </c>
      <c r="F125">
        <v>1.52</v>
      </c>
      <c r="G125" t="s">
        <v>1242</v>
      </c>
      <c r="H125">
        <v>3630</v>
      </c>
      <c r="I125">
        <v>24.64</v>
      </c>
      <c r="J125">
        <v>24.65</v>
      </c>
      <c r="K125" t="s">
        <v>1243</v>
      </c>
      <c r="L125">
        <v>7.24</v>
      </c>
      <c r="M125" t="s">
        <v>46</v>
      </c>
      <c r="N125" t="s">
        <v>1244</v>
      </c>
      <c r="O125">
        <v>25.44</v>
      </c>
      <c r="P125">
        <v>23</v>
      </c>
      <c r="Q125">
        <v>23.2</v>
      </c>
      <c r="R125">
        <v>23.13</v>
      </c>
      <c r="S125">
        <v>10.55</v>
      </c>
      <c r="T125">
        <v>4.92</v>
      </c>
      <c r="U125">
        <v>-61.46</v>
      </c>
      <c r="V125">
        <v>-1368</v>
      </c>
      <c r="W125">
        <v>24.74</v>
      </c>
      <c r="X125" t="s">
        <v>1245</v>
      </c>
      <c r="Y125" t="s">
        <v>415</v>
      </c>
      <c r="Z125">
        <v>0.81</v>
      </c>
      <c r="AA125">
        <v>33</v>
      </c>
      <c r="AB125">
        <v>245</v>
      </c>
      <c r="AC125">
        <v>4.18</v>
      </c>
      <c r="AD125" t="s">
        <v>1246</v>
      </c>
      <c r="AE125" t="s">
        <v>1247</v>
      </c>
      <c r="AF125" t="s">
        <v>1248</v>
      </c>
      <c r="AG125" t="s">
        <v>1249</v>
      </c>
      <c r="AH125">
        <v>5.39</v>
      </c>
      <c r="AI125">
        <v>3.92</v>
      </c>
      <c r="AJ125">
        <v>9.51</v>
      </c>
      <c r="AK125">
        <v>14.6</v>
      </c>
      <c r="AL125">
        <v>1</v>
      </c>
      <c r="AM125">
        <v>6.57</v>
      </c>
      <c r="AN125">
        <v>-35.35</v>
      </c>
      <c r="AO125">
        <v>2.97</v>
      </c>
      <c r="AP125">
        <v>-43.33</v>
      </c>
    </row>
    <row r="126" spans="1:42">
      <c r="A126">
        <v>125</v>
      </c>
      <c r="B126" t="str">
        <f>"688111"</f>
        <v>688111</v>
      </c>
      <c r="C126" t="s">
        <v>1250</v>
      </c>
      <c r="D126">
        <v>312.12</v>
      </c>
      <c r="E126">
        <v>3.44</v>
      </c>
      <c r="F126">
        <v>10.37</v>
      </c>
      <c r="G126" t="s">
        <v>1251</v>
      </c>
      <c r="H126">
        <v>239</v>
      </c>
      <c r="I126">
        <v>312</v>
      </c>
      <c r="J126">
        <v>312.12</v>
      </c>
      <c r="K126" t="s">
        <v>1252</v>
      </c>
      <c r="L126">
        <v>0.65</v>
      </c>
      <c r="M126" t="s">
        <v>46</v>
      </c>
      <c r="N126" t="s">
        <v>1253</v>
      </c>
      <c r="O126">
        <v>317.5</v>
      </c>
      <c r="P126">
        <v>298.27</v>
      </c>
      <c r="Q126">
        <v>301.51</v>
      </c>
      <c r="R126">
        <v>301.75</v>
      </c>
      <c r="S126">
        <v>6.37</v>
      </c>
      <c r="T126">
        <v>1.24</v>
      </c>
      <c r="U126">
        <v>19.2</v>
      </c>
      <c r="V126">
        <v>11</v>
      </c>
      <c r="W126">
        <v>308.87</v>
      </c>
      <c r="X126" t="s">
        <v>1254</v>
      </c>
      <c r="Y126" t="s">
        <v>1255</v>
      </c>
      <c r="Z126">
        <v>0.68</v>
      </c>
      <c r="AA126">
        <v>15</v>
      </c>
      <c r="AB126">
        <v>12</v>
      </c>
      <c r="AC126">
        <v>15.22</v>
      </c>
      <c r="AD126" t="s">
        <v>1256</v>
      </c>
      <c r="AE126" t="s">
        <v>1257</v>
      </c>
      <c r="AF126" t="s">
        <v>1256</v>
      </c>
      <c r="AG126" t="s">
        <v>1257</v>
      </c>
      <c r="AH126">
        <v>1.24</v>
      </c>
      <c r="AI126">
        <v>-1.73</v>
      </c>
      <c r="AJ126">
        <v>1.37</v>
      </c>
      <c r="AK126">
        <v>3.27</v>
      </c>
      <c r="AL126">
        <v>2</v>
      </c>
      <c r="AM126">
        <v>3.44</v>
      </c>
      <c r="AN126">
        <v>18.33</v>
      </c>
      <c r="AO126">
        <v>3.69</v>
      </c>
      <c r="AP126">
        <v>17.2</v>
      </c>
    </row>
    <row r="127" spans="1:42">
      <c r="A127">
        <v>126</v>
      </c>
      <c r="B127" t="str">
        <f>"000034"</f>
        <v>000034</v>
      </c>
      <c r="C127" t="s">
        <v>1258</v>
      </c>
      <c r="D127">
        <v>32.54</v>
      </c>
      <c r="E127">
        <v>2.68</v>
      </c>
      <c r="F127">
        <v>0.85</v>
      </c>
      <c r="G127" t="s">
        <v>165</v>
      </c>
      <c r="H127">
        <v>2114</v>
      </c>
      <c r="I127">
        <v>32.54</v>
      </c>
      <c r="J127">
        <v>32.55</v>
      </c>
      <c r="K127" t="s">
        <v>1259</v>
      </c>
      <c r="L127">
        <v>5.18</v>
      </c>
      <c r="M127" t="s">
        <v>46</v>
      </c>
      <c r="N127" t="s">
        <v>1260</v>
      </c>
      <c r="O127">
        <v>32.78</v>
      </c>
      <c r="P127">
        <v>31.41</v>
      </c>
      <c r="Q127">
        <v>31.65</v>
      </c>
      <c r="R127">
        <v>31.69</v>
      </c>
      <c r="S127">
        <v>4.32</v>
      </c>
      <c r="T127">
        <v>1.3</v>
      </c>
      <c r="U127">
        <v>63.13</v>
      </c>
      <c r="V127">
        <v>2246</v>
      </c>
      <c r="W127">
        <v>32.35</v>
      </c>
      <c r="X127" t="s">
        <v>1261</v>
      </c>
      <c r="Y127" t="s">
        <v>561</v>
      </c>
      <c r="Z127">
        <v>0.77</v>
      </c>
      <c r="AA127">
        <v>475</v>
      </c>
      <c r="AB127">
        <v>176</v>
      </c>
      <c r="AC127">
        <v>2.65</v>
      </c>
      <c r="AD127" t="s">
        <v>1262</v>
      </c>
      <c r="AE127" t="s">
        <v>1263</v>
      </c>
      <c r="AF127" t="s">
        <v>1264</v>
      </c>
      <c r="AG127" t="s">
        <v>1265</v>
      </c>
      <c r="AH127">
        <v>1.21</v>
      </c>
      <c r="AI127">
        <v>-4.04</v>
      </c>
      <c r="AJ127">
        <v>11.87</v>
      </c>
      <c r="AK127">
        <v>25.11</v>
      </c>
      <c r="AL127">
        <v>1</v>
      </c>
      <c r="AM127">
        <v>2.68</v>
      </c>
      <c r="AN127">
        <v>51.42</v>
      </c>
      <c r="AO127">
        <v>7.64</v>
      </c>
      <c r="AP127">
        <v>34.96</v>
      </c>
    </row>
    <row r="128" spans="1:42">
      <c r="A128">
        <v>127</v>
      </c>
      <c r="B128" t="str">
        <f>"600887"</f>
        <v>600887</v>
      </c>
      <c r="C128" t="s">
        <v>1266</v>
      </c>
      <c r="D128">
        <v>27.05</v>
      </c>
      <c r="E128">
        <v>-0.73</v>
      </c>
      <c r="F128">
        <v>-0.2</v>
      </c>
      <c r="G128" t="s">
        <v>856</v>
      </c>
      <c r="H128">
        <v>6828</v>
      </c>
      <c r="I128">
        <v>27.05</v>
      </c>
      <c r="J128">
        <v>27.06</v>
      </c>
      <c r="K128" t="s">
        <v>1267</v>
      </c>
      <c r="L128">
        <v>0.54</v>
      </c>
      <c r="M128" t="s">
        <v>46</v>
      </c>
      <c r="N128" t="s">
        <v>1268</v>
      </c>
      <c r="O128">
        <v>27.21</v>
      </c>
      <c r="P128">
        <v>26.72</v>
      </c>
      <c r="Q128">
        <v>27.2</v>
      </c>
      <c r="R128">
        <v>27.25</v>
      </c>
      <c r="S128">
        <v>1.8</v>
      </c>
      <c r="T128">
        <v>1.42</v>
      </c>
      <c r="U128">
        <v>-14.32</v>
      </c>
      <c r="V128">
        <v>-528</v>
      </c>
      <c r="W128">
        <v>26.92</v>
      </c>
      <c r="X128" t="s">
        <v>859</v>
      </c>
      <c r="Y128" t="s">
        <v>571</v>
      </c>
      <c r="Z128">
        <v>1.13</v>
      </c>
      <c r="AA128">
        <v>1485</v>
      </c>
      <c r="AB128">
        <v>227</v>
      </c>
      <c r="AC128">
        <v>3.3</v>
      </c>
      <c r="AD128" t="s">
        <v>1269</v>
      </c>
      <c r="AE128" t="s">
        <v>1270</v>
      </c>
      <c r="AF128" t="s">
        <v>1271</v>
      </c>
      <c r="AG128" t="s">
        <v>1272</v>
      </c>
      <c r="AH128">
        <v>-0.81</v>
      </c>
      <c r="AI128">
        <v>-0.95</v>
      </c>
      <c r="AJ128">
        <v>1.33</v>
      </c>
      <c r="AK128">
        <v>2.46</v>
      </c>
      <c r="AL128">
        <v>-1</v>
      </c>
      <c r="AM128">
        <v>-0.73</v>
      </c>
      <c r="AN128">
        <v>-9.71</v>
      </c>
      <c r="AO128">
        <v>-1.99</v>
      </c>
      <c r="AP128">
        <v>-2.1</v>
      </c>
    </row>
    <row r="129" spans="1:42">
      <c r="A129">
        <v>128</v>
      </c>
      <c r="B129" t="str">
        <f>"601728"</f>
        <v>601728</v>
      </c>
      <c r="C129" t="s">
        <v>1273</v>
      </c>
      <c r="D129">
        <v>5.27</v>
      </c>
      <c r="E129">
        <v>1.54</v>
      </c>
      <c r="F129">
        <v>0.08</v>
      </c>
      <c r="G129" t="s">
        <v>1274</v>
      </c>
      <c r="H129">
        <v>9064</v>
      </c>
      <c r="I129">
        <v>5.27</v>
      </c>
      <c r="J129">
        <v>5.28</v>
      </c>
      <c r="K129" t="s">
        <v>1275</v>
      </c>
      <c r="L129">
        <v>0.89</v>
      </c>
      <c r="M129" t="s">
        <v>46</v>
      </c>
      <c r="N129" t="s">
        <v>1276</v>
      </c>
      <c r="O129">
        <v>5.29</v>
      </c>
      <c r="P129">
        <v>5.14</v>
      </c>
      <c r="Q129">
        <v>5.18</v>
      </c>
      <c r="R129">
        <v>5.19</v>
      </c>
      <c r="S129">
        <v>2.89</v>
      </c>
      <c r="T129">
        <v>1.7</v>
      </c>
      <c r="U129">
        <v>-73.25</v>
      </c>
      <c r="V129" t="s">
        <v>1277</v>
      </c>
      <c r="W129">
        <v>5.23</v>
      </c>
      <c r="X129" t="s">
        <v>1278</v>
      </c>
      <c r="Y129" t="s">
        <v>1279</v>
      </c>
      <c r="Z129">
        <v>0.53</v>
      </c>
      <c r="AA129">
        <v>3620</v>
      </c>
      <c r="AB129" t="s">
        <v>1280</v>
      </c>
      <c r="AC129">
        <v>1.1</v>
      </c>
      <c r="AD129" t="s">
        <v>1281</v>
      </c>
      <c r="AE129" t="s">
        <v>1282</v>
      </c>
      <c r="AF129" t="s">
        <v>1283</v>
      </c>
      <c r="AG129" t="s">
        <v>1284</v>
      </c>
      <c r="AH129">
        <v>3.94</v>
      </c>
      <c r="AI129">
        <v>1.74</v>
      </c>
      <c r="AJ129">
        <v>2.26</v>
      </c>
      <c r="AK129">
        <v>3.53</v>
      </c>
      <c r="AL129">
        <v>3</v>
      </c>
      <c r="AM129">
        <v>1.54</v>
      </c>
      <c r="AN129">
        <v>32.75</v>
      </c>
      <c r="AO129">
        <v>-1.31</v>
      </c>
      <c r="AP129">
        <v>38.32</v>
      </c>
    </row>
    <row r="130" spans="1:42">
      <c r="A130">
        <v>129</v>
      </c>
      <c r="B130" t="str">
        <f>"603388"</f>
        <v>603388</v>
      </c>
      <c r="C130" t="s">
        <v>1285</v>
      </c>
      <c r="D130">
        <v>11.58</v>
      </c>
      <c r="E130">
        <v>-2.2</v>
      </c>
      <c r="F130">
        <v>-0.26</v>
      </c>
      <c r="G130" t="s">
        <v>1286</v>
      </c>
      <c r="H130" t="s">
        <v>141</v>
      </c>
      <c r="I130">
        <v>11.57</v>
      </c>
      <c r="J130">
        <v>11.58</v>
      </c>
      <c r="K130" t="s">
        <v>1287</v>
      </c>
      <c r="L130">
        <v>23.55</v>
      </c>
      <c r="M130" t="s">
        <v>46</v>
      </c>
      <c r="N130" t="s">
        <v>1288</v>
      </c>
      <c r="O130">
        <v>12.42</v>
      </c>
      <c r="P130">
        <v>11.43</v>
      </c>
      <c r="Q130">
        <v>11.43</v>
      </c>
      <c r="R130">
        <v>11.84</v>
      </c>
      <c r="S130">
        <v>8.36</v>
      </c>
      <c r="T130">
        <v>1.11</v>
      </c>
      <c r="U130">
        <v>-26.32</v>
      </c>
      <c r="V130">
        <v>-1055</v>
      </c>
      <c r="W130">
        <v>11.9</v>
      </c>
      <c r="X130" t="s">
        <v>1289</v>
      </c>
      <c r="Y130" t="s">
        <v>890</v>
      </c>
      <c r="Z130">
        <v>1.04</v>
      </c>
      <c r="AA130">
        <v>601</v>
      </c>
      <c r="AB130">
        <v>2262</v>
      </c>
      <c r="AC130">
        <v>2.79</v>
      </c>
      <c r="AD130" t="s">
        <v>1290</v>
      </c>
      <c r="AE130" t="s">
        <v>1291</v>
      </c>
      <c r="AF130" t="s">
        <v>1290</v>
      </c>
      <c r="AG130" t="s">
        <v>1291</v>
      </c>
      <c r="AH130">
        <v>8.12</v>
      </c>
      <c r="AI130">
        <v>11.03</v>
      </c>
      <c r="AJ130">
        <v>68.92</v>
      </c>
      <c r="AK130">
        <v>129.86</v>
      </c>
      <c r="AL130">
        <v>-1</v>
      </c>
      <c r="AM130">
        <v>-2.2</v>
      </c>
      <c r="AN130">
        <v>33.56</v>
      </c>
      <c r="AO130">
        <v>50.39</v>
      </c>
      <c r="AP130">
        <v>-11.87</v>
      </c>
    </row>
    <row r="131" spans="1:42">
      <c r="A131">
        <v>130</v>
      </c>
      <c r="B131" t="str">
        <f>"002229"</f>
        <v>002229</v>
      </c>
      <c r="C131" t="s">
        <v>1292</v>
      </c>
      <c r="D131">
        <v>33.63</v>
      </c>
      <c r="E131">
        <v>0.66</v>
      </c>
      <c r="F131">
        <v>0.22</v>
      </c>
      <c r="G131" t="s">
        <v>1293</v>
      </c>
      <c r="H131">
        <v>4802</v>
      </c>
      <c r="I131">
        <v>33.63</v>
      </c>
      <c r="J131">
        <v>33.64</v>
      </c>
      <c r="K131" t="s">
        <v>1294</v>
      </c>
      <c r="L131">
        <v>5.5</v>
      </c>
      <c r="M131" t="s">
        <v>46</v>
      </c>
      <c r="N131" t="s">
        <v>1295</v>
      </c>
      <c r="O131">
        <v>34.01</v>
      </c>
      <c r="P131">
        <v>32.81</v>
      </c>
      <c r="Q131">
        <v>33.6</v>
      </c>
      <c r="R131">
        <v>33.41</v>
      </c>
      <c r="S131">
        <v>3.59</v>
      </c>
      <c r="T131">
        <v>1.01</v>
      </c>
      <c r="U131">
        <v>9.97</v>
      </c>
      <c r="V131">
        <v>293</v>
      </c>
      <c r="W131">
        <v>33.38</v>
      </c>
      <c r="X131" t="s">
        <v>1296</v>
      </c>
      <c r="Y131" t="s">
        <v>830</v>
      </c>
      <c r="Z131">
        <v>1.08</v>
      </c>
      <c r="AA131">
        <v>660</v>
      </c>
      <c r="AB131">
        <v>516</v>
      </c>
      <c r="AC131">
        <v>10.65</v>
      </c>
      <c r="AD131" t="s">
        <v>1297</v>
      </c>
      <c r="AE131" t="s">
        <v>1298</v>
      </c>
      <c r="AF131" t="s">
        <v>1299</v>
      </c>
      <c r="AG131" t="s">
        <v>1300</v>
      </c>
      <c r="AH131">
        <v>6.16</v>
      </c>
      <c r="AI131">
        <v>1.23</v>
      </c>
      <c r="AJ131">
        <v>20.57</v>
      </c>
      <c r="AK131">
        <v>32.63</v>
      </c>
      <c r="AL131">
        <v>1</v>
      </c>
      <c r="AM131">
        <v>0.66</v>
      </c>
      <c r="AN131">
        <v>405.71</v>
      </c>
      <c r="AO131">
        <v>2.22</v>
      </c>
      <c r="AP131">
        <v>337.32</v>
      </c>
    </row>
    <row r="132" spans="1:42">
      <c r="A132">
        <v>131</v>
      </c>
      <c r="B132" t="str">
        <f>"002129"</f>
        <v>002129</v>
      </c>
      <c r="C132" t="s">
        <v>1301</v>
      </c>
      <c r="D132">
        <v>16.33</v>
      </c>
      <c r="E132">
        <v>-2.1</v>
      </c>
      <c r="F132">
        <v>-0.35</v>
      </c>
      <c r="G132" t="s">
        <v>1302</v>
      </c>
      <c r="H132">
        <v>5623</v>
      </c>
      <c r="I132">
        <v>16.32</v>
      </c>
      <c r="J132">
        <v>16.33</v>
      </c>
      <c r="K132" t="s">
        <v>1294</v>
      </c>
      <c r="L132">
        <v>1.37</v>
      </c>
      <c r="M132" t="s">
        <v>46</v>
      </c>
      <c r="N132" t="s">
        <v>1303</v>
      </c>
      <c r="O132">
        <v>16.63</v>
      </c>
      <c r="P132">
        <v>16.17</v>
      </c>
      <c r="Q132">
        <v>16.62</v>
      </c>
      <c r="R132">
        <v>16.68</v>
      </c>
      <c r="S132">
        <v>2.76</v>
      </c>
      <c r="T132">
        <v>1.24</v>
      </c>
      <c r="U132">
        <v>14.47</v>
      </c>
      <c r="V132">
        <v>1416</v>
      </c>
      <c r="W132">
        <v>16.38</v>
      </c>
      <c r="X132" t="s">
        <v>1304</v>
      </c>
      <c r="Y132" t="s">
        <v>487</v>
      </c>
      <c r="Z132">
        <v>1.36</v>
      </c>
      <c r="AA132">
        <v>2486</v>
      </c>
      <c r="AB132">
        <v>1069</v>
      </c>
      <c r="AC132">
        <v>1.51</v>
      </c>
      <c r="AD132" t="s">
        <v>1305</v>
      </c>
      <c r="AE132" t="s">
        <v>1306</v>
      </c>
      <c r="AF132" t="s">
        <v>1307</v>
      </c>
      <c r="AG132" t="s">
        <v>1308</v>
      </c>
      <c r="AH132">
        <v>-5.44</v>
      </c>
      <c r="AI132">
        <v>-10.62</v>
      </c>
      <c r="AJ132">
        <v>3.57</v>
      </c>
      <c r="AK132">
        <v>6.87</v>
      </c>
      <c r="AL132">
        <v>-6</v>
      </c>
      <c r="AM132">
        <v>-2.1</v>
      </c>
      <c r="AN132">
        <v>-45.66</v>
      </c>
      <c r="AO132">
        <v>-9.03</v>
      </c>
      <c r="AP132">
        <v>-52.87</v>
      </c>
    </row>
    <row r="133" spans="1:42">
      <c r="A133">
        <v>132</v>
      </c>
      <c r="B133" t="str">
        <f>"603598"</f>
        <v>603598</v>
      </c>
      <c r="C133" t="s">
        <v>1309</v>
      </c>
      <c r="D133">
        <v>16.49</v>
      </c>
      <c r="E133">
        <v>10.01</v>
      </c>
      <c r="F133">
        <v>1.5</v>
      </c>
      <c r="G133" t="s">
        <v>1098</v>
      </c>
      <c r="H133">
        <v>285</v>
      </c>
      <c r="I133">
        <v>16.49</v>
      </c>
      <c r="J133" t="s">
        <v>76</v>
      </c>
      <c r="K133" t="s">
        <v>1310</v>
      </c>
      <c r="L133">
        <v>20.93</v>
      </c>
      <c r="M133" t="s">
        <v>46</v>
      </c>
      <c r="N133" t="s">
        <v>1311</v>
      </c>
      <c r="O133">
        <v>16.49</v>
      </c>
      <c r="P133">
        <v>15</v>
      </c>
      <c r="Q133">
        <v>15</v>
      </c>
      <c r="R133">
        <v>14.99</v>
      </c>
      <c r="S133">
        <v>9.94</v>
      </c>
      <c r="T133">
        <v>0.92</v>
      </c>
      <c r="U133">
        <v>100</v>
      </c>
      <c r="V133" t="s">
        <v>1312</v>
      </c>
      <c r="W133">
        <v>16.12</v>
      </c>
      <c r="X133" t="s">
        <v>675</v>
      </c>
      <c r="Y133" t="s">
        <v>851</v>
      </c>
      <c r="Z133">
        <v>1.28</v>
      </c>
      <c r="AA133" t="s">
        <v>1313</v>
      </c>
      <c r="AB133">
        <v>0</v>
      </c>
      <c r="AC133">
        <v>24.43</v>
      </c>
      <c r="AD133" t="s">
        <v>1314</v>
      </c>
      <c r="AE133" t="s">
        <v>1315</v>
      </c>
      <c r="AF133" t="s">
        <v>1314</v>
      </c>
      <c r="AG133" t="s">
        <v>1315</v>
      </c>
      <c r="AH133">
        <v>16.13</v>
      </c>
      <c r="AI133">
        <v>-15.35</v>
      </c>
      <c r="AJ133">
        <v>66.82</v>
      </c>
      <c r="AK133">
        <v>134.95</v>
      </c>
      <c r="AL133">
        <v>3</v>
      </c>
      <c r="AM133">
        <v>10.01</v>
      </c>
      <c r="AN133">
        <v>77.69</v>
      </c>
      <c r="AO133">
        <v>63.59</v>
      </c>
      <c r="AP133">
        <v>83.43</v>
      </c>
    </row>
    <row r="134" spans="1:42">
      <c r="A134">
        <v>133</v>
      </c>
      <c r="B134" t="str">
        <f>"603501"</f>
        <v>603501</v>
      </c>
      <c r="C134" t="s">
        <v>1316</v>
      </c>
      <c r="D134">
        <v>109.5</v>
      </c>
      <c r="E134">
        <v>1.16</v>
      </c>
      <c r="F134">
        <v>1.26</v>
      </c>
      <c r="G134" t="s">
        <v>1317</v>
      </c>
      <c r="H134">
        <v>1193</v>
      </c>
      <c r="I134">
        <v>109.49</v>
      </c>
      <c r="J134">
        <v>109.5</v>
      </c>
      <c r="K134" t="s">
        <v>1318</v>
      </c>
      <c r="L134">
        <v>0.69</v>
      </c>
      <c r="M134" t="s">
        <v>46</v>
      </c>
      <c r="N134" t="s">
        <v>1319</v>
      </c>
      <c r="O134">
        <v>109.97</v>
      </c>
      <c r="P134">
        <v>106.22</v>
      </c>
      <c r="Q134">
        <v>107.91</v>
      </c>
      <c r="R134">
        <v>108.24</v>
      </c>
      <c r="S134">
        <v>3.46</v>
      </c>
      <c r="T134">
        <v>0.74</v>
      </c>
      <c r="U134">
        <v>22.91</v>
      </c>
      <c r="V134">
        <v>26</v>
      </c>
      <c r="W134">
        <v>108.08</v>
      </c>
      <c r="X134" t="s">
        <v>1320</v>
      </c>
      <c r="Y134" t="s">
        <v>1321</v>
      </c>
      <c r="Z134">
        <v>0.95</v>
      </c>
      <c r="AA134">
        <v>29</v>
      </c>
      <c r="AB134">
        <v>3</v>
      </c>
      <c r="AC134">
        <v>7.46</v>
      </c>
      <c r="AD134" t="s">
        <v>1322</v>
      </c>
      <c r="AE134" t="s">
        <v>1323</v>
      </c>
      <c r="AF134" t="s">
        <v>1324</v>
      </c>
      <c r="AG134" t="s">
        <v>1160</v>
      </c>
      <c r="AH134">
        <v>4.91</v>
      </c>
      <c r="AI134">
        <v>5.61</v>
      </c>
      <c r="AJ134">
        <v>2.53</v>
      </c>
      <c r="AK134">
        <v>5.32</v>
      </c>
      <c r="AL134">
        <v>3</v>
      </c>
      <c r="AM134">
        <v>1.16</v>
      </c>
      <c r="AN134">
        <v>42.19</v>
      </c>
      <c r="AO134">
        <v>2.92</v>
      </c>
      <c r="AP134">
        <v>32.26</v>
      </c>
    </row>
    <row r="135" spans="1:42">
      <c r="A135">
        <v>134</v>
      </c>
      <c r="B135" t="str">
        <f>"300657"</f>
        <v>300657</v>
      </c>
      <c r="C135" t="s">
        <v>1325</v>
      </c>
      <c r="D135">
        <v>23.07</v>
      </c>
      <c r="E135">
        <v>0.22</v>
      </c>
      <c r="F135">
        <v>0.05</v>
      </c>
      <c r="G135" t="s">
        <v>1326</v>
      </c>
      <c r="H135">
        <v>2179</v>
      </c>
      <c r="I135">
        <v>23.06</v>
      </c>
      <c r="J135">
        <v>23.07</v>
      </c>
      <c r="K135" t="s">
        <v>1327</v>
      </c>
      <c r="L135">
        <v>8.25</v>
      </c>
      <c r="M135" t="s">
        <v>46</v>
      </c>
      <c r="N135" t="s">
        <v>1023</v>
      </c>
      <c r="O135">
        <v>24.22</v>
      </c>
      <c r="P135">
        <v>23</v>
      </c>
      <c r="Q135">
        <v>23.32</v>
      </c>
      <c r="R135">
        <v>23.02</v>
      </c>
      <c r="S135">
        <v>5.3</v>
      </c>
      <c r="T135">
        <v>1.69</v>
      </c>
      <c r="U135">
        <v>6.25</v>
      </c>
      <c r="V135">
        <v>248</v>
      </c>
      <c r="W135">
        <v>23.53</v>
      </c>
      <c r="X135" t="s">
        <v>1328</v>
      </c>
      <c r="Y135" t="s">
        <v>1008</v>
      </c>
      <c r="Z135">
        <v>1.04</v>
      </c>
      <c r="AA135">
        <v>1039</v>
      </c>
      <c r="AB135">
        <v>336</v>
      </c>
      <c r="AC135">
        <v>7.6</v>
      </c>
      <c r="AD135" t="s">
        <v>1329</v>
      </c>
      <c r="AE135" t="s">
        <v>1330</v>
      </c>
      <c r="AF135" t="s">
        <v>1331</v>
      </c>
      <c r="AG135" t="s">
        <v>1332</v>
      </c>
      <c r="AH135">
        <v>2.85</v>
      </c>
      <c r="AI135">
        <v>6.07</v>
      </c>
      <c r="AJ135">
        <v>17.75</v>
      </c>
      <c r="AK135">
        <v>32.68</v>
      </c>
      <c r="AL135">
        <v>2</v>
      </c>
      <c r="AM135">
        <v>0.22</v>
      </c>
      <c r="AN135">
        <v>109.92</v>
      </c>
      <c r="AO135">
        <v>15.47</v>
      </c>
      <c r="AP135">
        <v>98.71</v>
      </c>
    </row>
    <row r="136" spans="1:42">
      <c r="A136">
        <v>135</v>
      </c>
      <c r="B136" t="str">
        <f>"601668"</f>
        <v>601668</v>
      </c>
      <c r="C136" t="s">
        <v>1333</v>
      </c>
      <c r="D136">
        <v>4.95</v>
      </c>
      <c r="E136">
        <v>-0.4</v>
      </c>
      <c r="F136">
        <v>-0.02</v>
      </c>
      <c r="G136" t="s">
        <v>1334</v>
      </c>
      <c r="H136" t="s">
        <v>1335</v>
      </c>
      <c r="I136">
        <v>4.95</v>
      </c>
      <c r="J136">
        <v>4.96</v>
      </c>
      <c r="K136" t="s">
        <v>1336</v>
      </c>
      <c r="L136">
        <v>0.44</v>
      </c>
      <c r="M136" t="s">
        <v>46</v>
      </c>
      <c r="N136" t="s">
        <v>1337</v>
      </c>
      <c r="O136">
        <v>4.98</v>
      </c>
      <c r="P136">
        <v>4.92</v>
      </c>
      <c r="Q136">
        <v>4.96</v>
      </c>
      <c r="R136">
        <v>4.97</v>
      </c>
      <c r="S136">
        <v>1.21</v>
      </c>
      <c r="T136">
        <v>1.06</v>
      </c>
      <c r="U136">
        <v>-19.07</v>
      </c>
      <c r="V136" t="s">
        <v>1338</v>
      </c>
      <c r="W136">
        <v>4.95</v>
      </c>
      <c r="X136" t="s">
        <v>150</v>
      </c>
      <c r="Y136" t="s">
        <v>1339</v>
      </c>
      <c r="Z136">
        <v>1.35</v>
      </c>
      <c r="AA136">
        <v>8198</v>
      </c>
      <c r="AB136">
        <v>3440</v>
      </c>
      <c r="AC136">
        <v>0.51</v>
      </c>
      <c r="AD136" t="s">
        <v>1340</v>
      </c>
      <c r="AE136" t="s">
        <v>1341</v>
      </c>
      <c r="AF136" t="s">
        <v>1342</v>
      </c>
      <c r="AG136" t="s">
        <v>1343</v>
      </c>
      <c r="AH136">
        <v>-1.2</v>
      </c>
      <c r="AI136">
        <v>-3.32</v>
      </c>
      <c r="AJ136">
        <v>1.45</v>
      </c>
      <c r="AK136">
        <v>2.5</v>
      </c>
      <c r="AL136">
        <v>-1</v>
      </c>
      <c r="AM136">
        <v>-0.4</v>
      </c>
      <c r="AN136">
        <v>-4.44</v>
      </c>
      <c r="AO136">
        <v>-3.88</v>
      </c>
      <c r="AP136">
        <v>-4.99</v>
      </c>
    </row>
    <row r="137" spans="1:42">
      <c r="A137">
        <v>136</v>
      </c>
      <c r="B137" t="str">
        <f>"003032"</f>
        <v>003032</v>
      </c>
      <c r="C137" t="s">
        <v>1344</v>
      </c>
      <c r="D137">
        <v>16.2</v>
      </c>
      <c r="E137">
        <v>4.65</v>
      </c>
      <c r="F137">
        <v>0.72</v>
      </c>
      <c r="G137" t="s">
        <v>88</v>
      </c>
      <c r="H137">
        <v>5688</v>
      </c>
      <c r="I137">
        <v>16.19</v>
      </c>
      <c r="J137">
        <v>16.2</v>
      </c>
      <c r="K137" t="s">
        <v>1345</v>
      </c>
      <c r="L137">
        <v>32.42</v>
      </c>
      <c r="M137" t="s">
        <v>46</v>
      </c>
      <c r="N137" t="s">
        <v>1346</v>
      </c>
      <c r="O137">
        <v>16.98</v>
      </c>
      <c r="P137">
        <v>15.5</v>
      </c>
      <c r="Q137">
        <v>15.59</v>
      </c>
      <c r="R137">
        <v>15.48</v>
      </c>
      <c r="S137">
        <v>9.56</v>
      </c>
      <c r="T137">
        <v>1.64</v>
      </c>
      <c r="U137">
        <v>5.09</v>
      </c>
      <c r="V137">
        <v>208</v>
      </c>
      <c r="W137">
        <v>16.19</v>
      </c>
      <c r="X137" t="s">
        <v>1347</v>
      </c>
      <c r="Y137" t="s">
        <v>1348</v>
      </c>
      <c r="Z137">
        <v>0.83</v>
      </c>
      <c r="AA137">
        <v>334</v>
      </c>
      <c r="AB137">
        <v>545</v>
      </c>
      <c r="AC137">
        <v>4.5</v>
      </c>
      <c r="AD137" t="s">
        <v>1349</v>
      </c>
      <c r="AE137" t="s">
        <v>1350</v>
      </c>
      <c r="AF137" t="s">
        <v>472</v>
      </c>
      <c r="AG137" t="s">
        <v>1351</v>
      </c>
      <c r="AH137">
        <v>1.12</v>
      </c>
      <c r="AI137">
        <v>-4.54</v>
      </c>
      <c r="AJ137">
        <v>64.36</v>
      </c>
      <c r="AK137">
        <v>131.24</v>
      </c>
      <c r="AL137">
        <v>1</v>
      </c>
      <c r="AM137">
        <v>4.65</v>
      </c>
      <c r="AN137">
        <v>-6.14</v>
      </c>
      <c r="AO137">
        <v>22.63</v>
      </c>
      <c r="AP137">
        <v>-7.8</v>
      </c>
    </row>
    <row r="138" spans="1:42">
      <c r="A138">
        <v>137</v>
      </c>
      <c r="B138" t="str">
        <f>"000876"</f>
        <v>000876</v>
      </c>
      <c r="C138" t="s">
        <v>1352</v>
      </c>
      <c r="D138">
        <v>9.12</v>
      </c>
      <c r="E138">
        <v>-8.8</v>
      </c>
      <c r="F138">
        <v>-0.88</v>
      </c>
      <c r="G138" t="s">
        <v>1353</v>
      </c>
      <c r="H138">
        <v>3880</v>
      </c>
      <c r="I138">
        <v>9.11</v>
      </c>
      <c r="J138">
        <v>9.12</v>
      </c>
      <c r="K138" t="s">
        <v>1354</v>
      </c>
      <c r="L138">
        <v>2.15</v>
      </c>
      <c r="M138" t="s">
        <v>46</v>
      </c>
      <c r="N138" t="s">
        <v>1355</v>
      </c>
      <c r="O138">
        <v>9.8</v>
      </c>
      <c r="P138">
        <v>9.01</v>
      </c>
      <c r="Q138">
        <v>9.8</v>
      </c>
      <c r="R138">
        <v>10</v>
      </c>
      <c r="S138">
        <v>7.9</v>
      </c>
      <c r="T138">
        <v>5.15</v>
      </c>
      <c r="U138">
        <v>63.82</v>
      </c>
      <c r="V138" t="s">
        <v>128</v>
      </c>
      <c r="W138">
        <v>9.21</v>
      </c>
      <c r="X138" t="s">
        <v>1356</v>
      </c>
      <c r="Y138" t="s">
        <v>1357</v>
      </c>
      <c r="Z138">
        <v>1.55</v>
      </c>
      <c r="AA138">
        <v>4180</v>
      </c>
      <c r="AB138">
        <v>3106</v>
      </c>
      <c r="AC138">
        <v>1.96</v>
      </c>
      <c r="AD138" t="s">
        <v>1358</v>
      </c>
      <c r="AE138" t="s">
        <v>1359</v>
      </c>
      <c r="AF138" t="s">
        <v>1360</v>
      </c>
      <c r="AG138" t="s">
        <v>1361</v>
      </c>
      <c r="AH138">
        <v>-9.43</v>
      </c>
      <c r="AI138">
        <v>-10.5</v>
      </c>
      <c r="AJ138">
        <v>2.72</v>
      </c>
      <c r="AK138">
        <v>4.24</v>
      </c>
      <c r="AL138">
        <v>-1</v>
      </c>
      <c r="AM138">
        <v>-8.8</v>
      </c>
      <c r="AN138">
        <v>-29.36</v>
      </c>
      <c r="AO138">
        <v>-9.52</v>
      </c>
      <c r="AP138">
        <v>-31.33</v>
      </c>
    </row>
    <row r="139" spans="1:42">
      <c r="A139">
        <v>138</v>
      </c>
      <c r="B139" t="str">
        <f>"603211"</f>
        <v>603211</v>
      </c>
      <c r="C139" t="s">
        <v>1362</v>
      </c>
      <c r="D139">
        <v>23.8</v>
      </c>
      <c r="E139">
        <v>9.98</v>
      </c>
      <c r="F139">
        <v>2.16</v>
      </c>
      <c r="G139" t="s">
        <v>1363</v>
      </c>
      <c r="H139">
        <v>205</v>
      </c>
      <c r="I139">
        <v>23.8</v>
      </c>
      <c r="J139" t="s">
        <v>76</v>
      </c>
      <c r="K139" t="s">
        <v>1364</v>
      </c>
      <c r="L139">
        <v>60.17</v>
      </c>
      <c r="M139" t="s">
        <v>46</v>
      </c>
      <c r="N139" t="s">
        <v>1365</v>
      </c>
      <c r="O139">
        <v>23.8</v>
      </c>
      <c r="P139">
        <v>19.76</v>
      </c>
      <c r="Q139">
        <v>22.19</v>
      </c>
      <c r="R139">
        <v>21.64</v>
      </c>
      <c r="S139">
        <v>18.67</v>
      </c>
      <c r="T139">
        <v>5.43</v>
      </c>
      <c r="U139">
        <v>100</v>
      </c>
      <c r="V139" t="s">
        <v>1207</v>
      </c>
      <c r="W139">
        <v>21.83</v>
      </c>
      <c r="X139" t="s">
        <v>1366</v>
      </c>
      <c r="Y139" t="s">
        <v>1367</v>
      </c>
      <c r="Z139">
        <v>1.36</v>
      </c>
      <c r="AA139" t="s">
        <v>1207</v>
      </c>
      <c r="AB139">
        <v>0</v>
      </c>
      <c r="AC139">
        <v>5.68</v>
      </c>
      <c r="AD139" t="s">
        <v>1368</v>
      </c>
      <c r="AE139" t="s">
        <v>1369</v>
      </c>
      <c r="AF139" t="s">
        <v>1370</v>
      </c>
      <c r="AG139" t="s">
        <v>1371</v>
      </c>
      <c r="AH139">
        <v>33.11</v>
      </c>
      <c r="AI139">
        <v>43.2</v>
      </c>
      <c r="AJ139">
        <v>81.52</v>
      </c>
      <c r="AK139">
        <v>115.57</v>
      </c>
      <c r="AL139">
        <v>5</v>
      </c>
      <c r="AM139">
        <v>9.98</v>
      </c>
      <c r="AN139">
        <v>90.55</v>
      </c>
      <c r="AO139">
        <v>51.98</v>
      </c>
      <c r="AP139">
        <v>62.13</v>
      </c>
    </row>
    <row r="140" spans="1:42">
      <c r="A140">
        <v>139</v>
      </c>
      <c r="B140" t="str">
        <f>"300533"</f>
        <v>300533</v>
      </c>
      <c r="C140" t="s">
        <v>1372</v>
      </c>
      <c r="D140">
        <v>32.36</v>
      </c>
      <c r="E140">
        <v>11.78</v>
      </c>
      <c r="F140">
        <v>3.41</v>
      </c>
      <c r="G140" t="s">
        <v>1373</v>
      </c>
      <c r="H140">
        <v>3797</v>
      </c>
      <c r="I140">
        <v>32.36</v>
      </c>
      <c r="J140">
        <v>32.37</v>
      </c>
      <c r="K140" t="s">
        <v>1374</v>
      </c>
      <c r="L140">
        <v>17.75</v>
      </c>
      <c r="M140" t="s">
        <v>46</v>
      </c>
      <c r="N140" t="s">
        <v>1375</v>
      </c>
      <c r="O140">
        <v>32.88</v>
      </c>
      <c r="P140">
        <v>28.99</v>
      </c>
      <c r="Q140">
        <v>28.99</v>
      </c>
      <c r="R140">
        <v>28.95</v>
      </c>
      <c r="S140">
        <v>13.44</v>
      </c>
      <c r="T140">
        <v>3.98</v>
      </c>
      <c r="U140">
        <v>-33.59</v>
      </c>
      <c r="V140">
        <v>-700</v>
      </c>
      <c r="W140">
        <v>31.05</v>
      </c>
      <c r="X140" t="s">
        <v>1376</v>
      </c>
      <c r="Y140" t="s">
        <v>1377</v>
      </c>
      <c r="Z140">
        <v>0.9</v>
      </c>
      <c r="AA140">
        <v>290</v>
      </c>
      <c r="AB140">
        <v>126</v>
      </c>
      <c r="AC140">
        <v>4.27</v>
      </c>
      <c r="AD140" t="s">
        <v>1378</v>
      </c>
      <c r="AE140" t="s">
        <v>1379</v>
      </c>
      <c r="AF140" t="s">
        <v>1380</v>
      </c>
      <c r="AG140" t="s">
        <v>1381</v>
      </c>
      <c r="AH140">
        <v>8.3</v>
      </c>
      <c r="AI140">
        <v>4.79</v>
      </c>
      <c r="AJ140">
        <v>25.51</v>
      </c>
      <c r="AK140">
        <v>40.04</v>
      </c>
      <c r="AL140">
        <v>1</v>
      </c>
      <c r="AM140">
        <v>11.78</v>
      </c>
      <c r="AN140">
        <v>123.33</v>
      </c>
      <c r="AO140">
        <v>4.15</v>
      </c>
      <c r="AP140">
        <v>107.7</v>
      </c>
    </row>
    <row r="141" spans="1:42">
      <c r="A141">
        <v>140</v>
      </c>
      <c r="B141" t="str">
        <f>"600288"</f>
        <v>600288</v>
      </c>
      <c r="C141" t="s">
        <v>1382</v>
      </c>
      <c r="D141">
        <v>13.58</v>
      </c>
      <c r="E141">
        <v>-3</v>
      </c>
      <c r="F141">
        <v>-0.42</v>
      </c>
      <c r="G141" t="s">
        <v>1383</v>
      </c>
      <c r="H141" t="s">
        <v>1384</v>
      </c>
      <c r="I141">
        <v>13.58</v>
      </c>
      <c r="J141">
        <v>13.59</v>
      </c>
      <c r="K141" t="s">
        <v>1385</v>
      </c>
      <c r="L141">
        <v>15.06</v>
      </c>
      <c r="M141" t="s">
        <v>46</v>
      </c>
      <c r="N141" t="s">
        <v>1386</v>
      </c>
      <c r="O141">
        <v>14.19</v>
      </c>
      <c r="P141">
        <v>12.91</v>
      </c>
      <c r="Q141">
        <v>14.05</v>
      </c>
      <c r="R141">
        <v>14</v>
      </c>
      <c r="S141">
        <v>9.14</v>
      </c>
      <c r="T141">
        <v>0.75</v>
      </c>
      <c r="U141">
        <v>33.51</v>
      </c>
      <c r="V141">
        <v>1230</v>
      </c>
      <c r="W141">
        <v>13.48</v>
      </c>
      <c r="X141" t="s">
        <v>1387</v>
      </c>
      <c r="Y141" t="s">
        <v>165</v>
      </c>
      <c r="Z141">
        <v>1.31</v>
      </c>
      <c r="AA141">
        <v>1420</v>
      </c>
      <c r="AB141">
        <v>22</v>
      </c>
      <c r="AC141">
        <v>3.11</v>
      </c>
      <c r="AD141" t="s">
        <v>1388</v>
      </c>
      <c r="AE141" t="s">
        <v>1389</v>
      </c>
      <c r="AF141" t="s">
        <v>1388</v>
      </c>
      <c r="AG141" t="s">
        <v>1389</v>
      </c>
      <c r="AH141">
        <v>-2.16</v>
      </c>
      <c r="AI141">
        <v>7.1</v>
      </c>
      <c r="AJ141">
        <v>61.7</v>
      </c>
      <c r="AK141">
        <v>115.51</v>
      </c>
      <c r="AL141">
        <v>-2</v>
      </c>
      <c r="AM141">
        <v>-3</v>
      </c>
      <c r="AN141">
        <v>12.05</v>
      </c>
      <c r="AO141">
        <v>29.83</v>
      </c>
      <c r="AP141">
        <v>3.66</v>
      </c>
    </row>
    <row r="142" spans="1:42">
      <c r="A142">
        <v>141</v>
      </c>
      <c r="B142" t="str">
        <f>"002015"</f>
        <v>002015</v>
      </c>
      <c r="C142" t="s">
        <v>1390</v>
      </c>
      <c r="D142">
        <v>13.15</v>
      </c>
      <c r="E142">
        <v>4.45</v>
      </c>
      <c r="F142">
        <v>0.56</v>
      </c>
      <c r="G142" t="s">
        <v>1391</v>
      </c>
      <c r="H142">
        <v>4798</v>
      </c>
      <c r="I142">
        <v>13.14</v>
      </c>
      <c r="J142">
        <v>13.15</v>
      </c>
      <c r="K142" t="s">
        <v>1392</v>
      </c>
      <c r="L142">
        <v>4.19</v>
      </c>
      <c r="M142" t="s">
        <v>46</v>
      </c>
      <c r="N142" t="s">
        <v>1393</v>
      </c>
      <c r="O142">
        <v>13.31</v>
      </c>
      <c r="P142">
        <v>12.45</v>
      </c>
      <c r="Q142">
        <v>12.66</v>
      </c>
      <c r="R142">
        <v>12.59</v>
      </c>
      <c r="S142">
        <v>6.83</v>
      </c>
      <c r="T142">
        <v>2.57</v>
      </c>
      <c r="U142">
        <v>-31.2</v>
      </c>
      <c r="V142">
        <v>-6334</v>
      </c>
      <c r="W142">
        <v>13.01</v>
      </c>
      <c r="X142" t="s">
        <v>1394</v>
      </c>
      <c r="Y142" t="s">
        <v>1395</v>
      </c>
      <c r="Z142">
        <v>0.71</v>
      </c>
      <c r="AA142">
        <v>1636</v>
      </c>
      <c r="AB142">
        <v>3825</v>
      </c>
      <c r="AC142">
        <v>1.99</v>
      </c>
      <c r="AD142" t="s">
        <v>1396</v>
      </c>
      <c r="AE142" t="s">
        <v>1397</v>
      </c>
      <c r="AF142" t="s">
        <v>1396</v>
      </c>
      <c r="AG142" t="s">
        <v>1397</v>
      </c>
      <c r="AH142">
        <v>6.91</v>
      </c>
      <c r="AI142">
        <v>8.59</v>
      </c>
      <c r="AJ142">
        <v>9.06</v>
      </c>
      <c r="AK142">
        <v>12.35</v>
      </c>
      <c r="AL142">
        <v>5</v>
      </c>
      <c r="AM142">
        <v>4.45</v>
      </c>
      <c r="AN142">
        <v>1.7</v>
      </c>
      <c r="AO142">
        <v>12.2</v>
      </c>
      <c r="AP142">
        <v>-11.86</v>
      </c>
    </row>
    <row r="143" spans="1:42">
      <c r="A143">
        <v>142</v>
      </c>
      <c r="B143" t="str">
        <f>"300735"</f>
        <v>300735</v>
      </c>
      <c r="C143" t="s">
        <v>1398</v>
      </c>
      <c r="D143">
        <v>24.8</v>
      </c>
      <c r="E143">
        <v>2.1</v>
      </c>
      <c r="F143">
        <v>0.51</v>
      </c>
      <c r="G143" t="s">
        <v>1399</v>
      </c>
      <c r="H143" t="s">
        <v>1400</v>
      </c>
      <c r="I143">
        <v>24.79</v>
      </c>
      <c r="J143">
        <v>24.8</v>
      </c>
      <c r="K143" t="s">
        <v>1401</v>
      </c>
      <c r="L143">
        <v>4.77</v>
      </c>
      <c r="M143" t="s">
        <v>46</v>
      </c>
      <c r="N143" t="s">
        <v>1311</v>
      </c>
      <c r="O143">
        <v>24.96</v>
      </c>
      <c r="P143">
        <v>24.04</v>
      </c>
      <c r="Q143">
        <v>24.25</v>
      </c>
      <c r="R143">
        <v>24.29</v>
      </c>
      <c r="S143">
        <v>3.79</v>
      </c>
      <c r="T143">
        <v>0.86</v>
      </c>
      <c r="U143">
        <v>-35.9</v>
      </c>
      <c r="V143">
        <v>-1055</v>
      </c>
      <c r="W143">
        <v>24.61</v>
      </c>
      <c r="X143" t="s">
        <v>1402</v>
      </c>
      <c r="Y143" t="s">
        <v>1403</v>
      </c>
      <c r="Z143">
        <v>1.04</v>
      </c>
      <c r="AA143">
        <v>351</v>
      </c>
      <c r="AB143">
        <v>1498</v>
      </c>
      <c r="AC143">
        <v>4.06</v>
      </c>
      <c r="AD143" t="s">
        <v>1404</v>
      </c>
      <c r="AE143" t="s">
        <v>1405</v>
      </c>
      <c r="AF143" t="s">
        <v>1406</v>
      </c>
      <c r="AG143" t="s">
        <v>1407</v>
      </c>
      <c r="AH143">
        <v>2.39</v>
      </c>
      <c r="AI143">
        <v>-5.99</v>
      </c>
      <c r="AJ143">
        <v>12.9</v>
      </c>
      <c r="AK143">
        <v>32.48</v>
      </c>
      <c r="AL143">
        <v>2</v>
      </c>
      <c r="AM143">
        <v>2.1</v>
      </c>
      <c r="AN143">
        <v>185.71</v>
      </c>
      <c r="AO143">
        <v>-14.28</v>
      </c>
      <c r="AP143">
        <v>156.99</v>
      </c>
    </row>
    <row r="144" spans="1:42">
      <c r="A144">
        <v>143</v>
      </c>
      <c r="B144" t="str">
        <f>"600690"</f>
        <v>600690</v>
      </c>
      <c r="C144" t="s">
        <v>1408</v>
      </c>
      <c r="D144">
        <v>21.45</v>
      </c>
      <c r="E144">
        <v>-3.03</v>
      </c>
      <c r="F144">
        <v>-0.67</v>
      </c>
      <c r="G144" t="s">
        <v>412</v>
      </c>
      <c r="H144">
        <v>3064</v>
      </c>
      <c r="I144">
        <v>21.45</v>
      </c>
      <c r="J144">
        <v>21.46</v>
      </c>
      <c r="K144" t="s">
        <v>1409</v>
      </c>
      <c r="L144">
        <v>0.65</v>
      </c>
      <c r="M144" t="s">
        <v>46</v>
      </c>
      <c r="N144" t="s">
        <v>1410</v>
      </c>
      <c r="O144">
        <v>22.2</v>
      </c>
      <c r="P144">
        <v>21.35</v>
      </c>
      <c r="Q144">
        <v>22.18</v>
      </c>
      <c r="R144">
        <v>22.12</v>
      </c>
      <c r="S144">
        <v>3.84</v>
      </c>
      <c r="T144">
        <v>2.14</v>
      </c>
      <c r="U144">
        <v>-17.68</v>
      </c>
      <c r="V144">
        <v>-587</v>
      </c>
      <c r="W144">
        <v>21.55</v>
      </c>
      <c r="X144" t="s">
        <v>1411</v>
      </c>
      <c r="Y144" t="s">
        <v>1412</v>
      </c>
      <c r="Z144">
        <v>1.68</v>
      </c>
      <c r="AA144">
        <v>8</v>
      </c>
      <c r="AB144">
        <v>55</v>
      </c>
      <c r="AC144">
        <v>2.02</v>
      </c>
      <c r="AD144" t="s">
        <v>1413</v>
      </c>
      <c r="AE144" t="s">
        <v>1414</v>
      </c>
      <c r="AF144" t="s">
        <v>1415</v>
      </c>
      <c r="AG144" t="s">
        <v>1416</v>
      </c>
      <c r="AH144">
        <v>-3.6</v>
      </c>
      <c r="AI144">
        <v>-4.45</v>
      </c>
      <c r="AJ144">
        <v>1.21</v>
      </c>
      <c r="AK144">
        <v>2.16</v>
      </c>
      <c r="AL144">
        <v>-1</v>
      </c>
      <c r="AM144">
        <v>-3.03</v>
      </c>
      <c r="AN144">
        <v>-10.21</v>
      </c>
      <c r="AO144">
        <v>-5.13</v>
      </c>
      <c r="AP144">
        <v>-8.1</v>
      </c>
    </row>
    <row r="145" spans="1:42">
      <c r="A145">
        <v>144</v>
      </c>
      <c r="B145" t="str">
        <f>"000766"</f>
        <v>000766</v>
      </c>
      <c r="C145" t="s">
        <v>1417</v>
      </c>
      <c r="D145">
        <v>17.45</v>
      </c>
      <c r="E145">
        <v>1.69</v>
      </c>
      <c r="F145">
        <v>0.29</v>
      </c>
      <c r="G145" t="s">
        <v>1418</v>
      </c>
      <c r="H145" t="s">
        <v>1154</v>
      </c>
      <c r="I145">
        <v>17.44</v>
      </c>
      <c r="J145">
        <v>17.45</v>
      </c>
      <c r="K145" t="s">
        <v>1409</v>
      </c>
      <c r="L145">
        <v>5.22</v>
      </c>
      <c r="M145" t="s">
        <v>46</v>
      </c>
      <c r="N145" t="s">
        <v>1419</v>
      </c>
      <c r="O145">
        <v>17.62</v>
      </c>
      <c r="P145">
        <v>17.16</v>
      </c>
      <c r="Q145">
        <v>17.29</v>
      </c>
      <c r="R145">
        <v>17.16</v>
      </c>
      <c r="S145">
        <v>2.68</v>
      </c>
      <c r="T145">
        <v>0.49</v>
      </c>
      <c r="U145">
        <v>4.69</v>
      </c>
      <c r="V145">
        <v>183</v>
      </c>
      <c r="W145">
        <v>17.41</v>
      </c>
      <c r="X145" t="s">
        <v>259</v>
      </c>
      <c r="Y145" t="s">
        <v>1420</v>
      </c>
      <c r="Z145">
        <v>0.95</v>
      </c>
      <c r="AA145">
        <v>695</v>
      </c>
      <c r="AB145">
        <v>412</v>
      </c>
      <c r="AC145">
        <v>7.28</v>
      </c>
      <c r="AD145" t="s">
        <v>1421</v>
      </c>
      <c r="AE145" t="s">
        <v>1422</v>
      </c>
      <c r="AF145" t="s">
        <v>1423</v>
      </c>
      <c r="AG145" t="s">
        <v>1424</v>
      </c>
      <c r="AH145">
        <v>-2.02</v>
      </c>
      <c r="AI145">
        <v>7.06</v>
      </c>
      <c r="AJ145">
        <v>18.97</v>
      </c>
      <c r="AK145">
        <v>58.94</v>
      </c>
      <c r="AL145">
        <v>1</v>
      </c>
      <c r="AM145">
        <v>1.69</v>
      </c>
      <c r="AN145">
        <v>231.12</v>
      </c>
      <c r="AO145">
        <v>47.01</v>
      </c>
      <c r="AP145">
        <v>200.34</v>
      </c>
    </row>
    <row r="146" spans="1:42">
      <c r="A146">
        <v>145</v>
      </c>
      <c r="B146" t="str">
        <f>"300063"</f>
        <v>300063</v>
      </c>
      <c r="C146" t="s">
        <v>1425</v>
      </c>
      <c r="D146">
        <v>6.95</v>
      </c>
      <c r="E146">
        <v>4.35</v>
      </c>
      <c r="F146">
        <v>0.29</v>
      </c>
      <c r="G146" t="s">
        <v>1426</v>
      </c>
      <c r="H146" t="s">
        <v>1427</v>
      </c>
      <c r="I146">
        <v>6.95</v>
      </c>
      <c r="J146">
        <v>6.96</v>
      </c>
      <c r="K146" t="s">
        <v>1428</v>
      </c>
      <c r="L146">
        <v>20.44</v>
      </c>
      <c r="M146" t="s">
        <v>46</v>
      </c>
      <c r="N146" t="s">
        <v>1429</v>
      </c>
      <c r="O146">
        <v>7.11</v>
      </c>
      <c r="P146">
        <v>6.58</v>
      </c>
      <c r="Q146">
        <v>6.62</v>
      </c>
      <c r="R146">
        <v>6.66</v>
      </c>
      <c r="S146">
        <v>7.96</v>
      </c>
      <c r="T146">
        <v>1.09</v>
      </c>
      <c r="U146">
        <v>3.63</v>
      </c>
      <c r="V146">
        <v>849</v>
      </c>
      <c r="W146">
        <v>6.91</v>
      </c>
      <c r="X146" t="s">
        <v>69</v>
      </c>
      <c r="Y146" t="s">
        <v>1430</v>
      </c>
      <c r="Z146">
        <v>0.91</v>
      </c>
      <c r="AA146">
        <v>2602</v>
      </c>
      <c r="AB146">
        <v>4424</v>
      </c>
      <c r="AC146">
        <v>3.25</v>
      </c>
      <c r="AD146" t="s">
        <v>1431</v>
      </c>
      <c r="AE146" t="s">
        <v>1432</v>
      </c>
      <c r="AF146" t="s">
        <v>1433</v>
      </c>
      <c r="AG146" t="s">
        <v>1434</v>
      </c>
      <c r="AH146">
        <v>3.89</v>
      </c>
      <c r="AI146">
        <v>-8.43</v>
      </c>
      <c r="AJ146">
        <v>48.74</v>
      </c>
      <c r="AK146">
        <v>113.94</v>
      </c>
      <c r="AL146">
        <v>2</v>
      </c>
      <c r="AM146">
        <v>4.35</v>
      </c>
      <c r="AN146">
        <v>86.83</v>
      </c>
      <c r="AO146">
        <v>19.83</v>
      </c>
      <c r="AP146">
        <v>82.89</v>
      </c>
    </row>
    <row r="147" spans="1:42">
      <c r="A147">
        <v>146</v>
      </c>
      <c r="B147" t="str">
        <f>"601088"</f>
        <v>601088</v>
      </c>
      <c r="C147" t="s">
        <v>1435</v>
      </c>
      <c r="D147">
        <v>31.51</v>
      </c>
      <c r="E147">
        <v>0.06</v>
      </c>
      <c r="F147">
        <v>0.02</v>
      </c>
      <c r="G147" t="s">
        <v>283</v>
      </c>
      <c r="H147">
        <v>1649</v>
      </c>
      <c r="I147">
        <v>31.5</v>
      </c>
      <c r="J147">
        <v>31.51</v>
      </c>
      <c r="K147" t="s">
        <v>1436</v>
      </c>
      <c r="L147">
        <v>0.17</v>
      </c>
      <c r="M147" t="s">
        <v>46</v>
      </c>
      <c r="N147" t="s">
        <v>1437</v>
      </c>
      <c r="O147">
        <v>31.73</v>
      </c>
      <c r="P147">
        <v>31.29</v>
      </c>
      <c r="Q147">
        <v>31.49</v>
      </c>
      <c r="R147">
        <v>31.49</v>
      </c>
      <c r="S147">
        <v>1.4</v>
      </c>
      <c r="T147">
        <v>1.53</v>
      </c>
      <c r="U147">
        <v>5.42</v>
      </c>
      <c r="V147">
        <v>173</v>
      </c>
      <c r="W147">
        <v>31.47</v>
      </c>
      <c r="X147" t="s">
        <v>1438</v>
      </c>
      <c r="Y147" t="s">
        <v>1439</v>
      </c>
      <c r="Z147">
        <v>0.66</v>
      </c>
      <c r="AA147">
        <v>71</v>
      </c>
      <c r="AB147">
        <v>298</v>
      </c>
      <c r="AC147">
        <v>1.58</v>
      </c>
      <c r="AD147" t="s">
        <v>891</v>
      </c>
      <c r="AE147" t="s">
        <v>1440</v>
      </c>
      <c r="AF147" t="s">
        <v>1441</v>
      </c>
      <c r="AG147" t="s">
        <v>1442</v>
      </c>
      <c r="AH147">
        <v>1.68</v>
      </c>
      <c r="AI147">
        <v>1.81</v>
      </c>
      <c r="AJ147">
        <v>0.42</v>
      </c>
      <c r="AK147">
        <v>0.72</v>
      </c>
      <c r="AL147">
        <v>3</v>
      </c>
      <c r="AM147">
        <v>0.06</v>
      </c>
      <c r="AN147">
        <v>25.69</v>
      </c>
      <c r="AO147">
        <v>3.75</v>
      </c>
      <c r="AP147">
        <v>21.1</v>
      </c>
    </row>
    <row r="148" spans="1:42">
      <c r="A148">
        <v>147</v>
      </c>
      <c r="B148" t="str">
        <f>"601059"</f>
        <v>601059</v>
      </c>
      <c r="C148" t="s">
        <v>1443</v>
      </c>
      <c r="D148">
        <v>19.6</v>
      </c>
      <c r="E148">
        <v>0.26</v>
      </c>
      <c r="F148">
        <v>0.05</v>
      </c>
      <c r="G148" t="s">
        <v>1444</v>
      </c>
      <c r="H148" t="s">
        <v>1083</v>
      </c>
      <c r="I148">
        <v>19.59</v>
      </c>
      <c r="J148">
        <v>19.6</v>
      </c>
      <c r="K148" t="s">
        <v>1445</v>
      </c>
      <c r="L148">
        <v>13.77</v>
      </c>
      <c r="M148" t="s">
        <v>46</v>
      </c>
      <c r="N148" t="s">
        <v>1446</v>
      </c>
      <c r="O148">
        <v>19.79</v>
      </c>
      <c r="P148">
        <v>19.29</v>
      </c>
      <c r="Q148">
        <v>19.35</v>
      </c>
      <c r="R148">
        <v>19.55</v>
      </c>
      <c r="S148">
        <v>2.56</v>
      </c>
      <c r="T148">
        <v>1.33</v>
      </c>
      <c r="U148">
        <v>-46.9</v>
      </c>
      <c r="V148">
        <v>-4040</v>
      </c>
      <c r="W148">
        <v>19.55</v>
      </c>
      <c r="X148" t="s">
        <v>1447</v>
      </c>
      <c r="Y148" t="s">
        <v>100</v>
      </c>
      <c r="Z148">
        <v>0.98</v>
      </c>
      <c r="AA148">
        <v>479</v>
      </c>
      <c r="AB148">
        <v>5058</v>
      </c>
      <c r="AC148">
        <v>3.67</v>
      </c>
      <c r="AD148" t="s">
        <v>1448</v>
      </c>
      <c r="AE148" t="s">
        <v>1449</v>
      </c>
      <c r="AF148" t="s">
        <v>1450</v>
      </c>
      <c r="AG148" t="s">
        <v>1451</v>
      </c>
      <c r="AH148">
        <v>3.76</v>
      </c>
      <c r="AI148">
        <v>3.7</v>
      </c>
      <c r="AJ148">
        <v>41.11</v>
      </c>
      <c r="AK148">
        <v>65.73</v>
      </c>
      <c r="AL148">
        <v>2</v>
      </c>
      <c r="AM148">
        <v>0.26</v>
      </c>
      <c r="AN148">
        <v>138.73</v>
      </c>
      <c r="AO148">
        <v>17.58</v>
      </c>
      <c r="AP148">
        <v>138.73</v>
      </c>
    </row>
    <row r="149" spans="1:42">
      <c r="A149">
        <v>148</v>
      </c>
      <c r="B149" t="str">
        <f>"600809"</f>
        <v>600809</v>
      </c>
      <c r="C149" t="s">
        <v>1452</v>
      </c>
      <c r="D149">
        <v>235.85</v>
      </c>
      <c r="E149">
        <v>-1.26</v>
      </c>
      <c r="F149">
        <v>-3.01</v>
      </c>
      <c r="G149" t="s">
        <v>1453</v>
      </c>
      <c r="H149">
        <v>272</v>
      </c>
      <c r="I149">
        <v>235.85</v>
      </c>
      <c r="J149">
        <v>235.86</v>
      </c>
      <c r="K149" t="s">
        <v>1445</v>
      </c>
      <c r="L149">
        <v>0.3</v>
      </c>
      <c r="M149" t="s">
        <v>46</v>
      </c>
      <c r="N149" t="s">
        <v>1454</v>
      </c>
      <c r="O149">
        <v>240.74</v>
      </c>
      <c r="P149">
        <v>233.88</v>
      </c>
      <c r="Q149">
        <v>239.58</v>
      </c>
      <c r="R149">
        <v>238.86</v>
      </c>
      <c r="S149">
        <v>2.87</v>
      </c>
      <c r="T149">
        <v>1.41</v>
      </c>
      <c r="U149">
        <v>-48.75</v>
      </c>
      <c r="V149">
        <v>-22</v>
      </c>
      <c r="W149">
        <v>236.97</v>
      </c>
      <c r="X149" t="s">
        <v>1455</v>
      </c>
      <c r="Y149" t="s">
        <v>1456</v>
      </c>
      <c r="Z149">
        <v>1.14</v>
      </c>
      <c r="AA149">
        <v>1</v>
      </c>
      <c r="AB149">
        <v>2</v>
      </c>
      <c r="AC149">
        <v>10.76</v>
      </c>
      <c r="AD149" t="s">
        <v>1457</v>
      </c>
      <c r="AE149" t="s">
        <v>1458</v>
      </c>
      <c r="AF149" t="s">
        <v>1457</v>
      </c>
      <c r="AG149" t="s">
        <v>1458</v>
      </c>
      <c r="AH149">
        <v>0.79</v>
      </c>
      <c r="AI149">
        <v>-1.87</v>
      </c>
      <c r="AJ149">
        <v>0.75</v>
      </c>
      <c r="AK149">
        <v>1.37</v>
      </c>
      <c r="AL149">
        <v>-1</v>
      </c>
      <c r="AM149">
        <v>-1.26</v>
      </c>
      <c r="AN149">
        <v>-16.27</v>
      </c>
      <c r="AO149">
        <v>-5.5</v>
      </c>
      <c r="AP149">
        <v>-6.59</v>
      </c>
    </row>
    <row r="150" spans="1:42">
      <c r="A150">
        <v>149</v>
      </c>
      <c r="B150" t="str">
        <f>"300229"</f>
        <v>300229</v>
      </c>
      <c r="C150" t="s">
        <v>1459</v>
      </c>
      <c r="D150">
        <v>18.1</v>
      </c>
      <c r="E150">
        <v>9.5</v>
      </c>
      <c r="F150">
        <v>1.57</v>
      </c>
      <c r="G150" t="s">
        <v>1028</v>
      </c>
      <c r="H150">
        <v>8590</v>
      </c>
      <c r="I150">
        <v>18.09</v>
      </c>
      <c r="J150">
        <v>18.1</v>
      </c>
      <c r="K150" t="s">
        <v>1460</v>
      </c>
      <c r="L150">
        <v>6.22</v>
      </c>
      <c r="M150" t="s">
        <v>46</v>
      </c>
      <c r="N150" t="s">
        <v>1461</v>
      </c>
      <c r="O150">
        <v>18.31</v>
      </c>
      <c r="P150">
        <v>16.52</v>
      </c>
      <c r="Q150">
        <v>16.61</v>
      </c>
      <c r="R150">
        <v>16.53</v>
      </c>
      <c r="S150">
        <v>10.83</v>
      </c>
      <c r="T150">
        <v>2.62</v>
      </c>
      <c r="U150">
        <v>-32.87</v>
      </c>
      <c r="V150">
        <v>-2446</v>
      </c>
      <c r="W150">
        <v>17.63</v>
      </c>
      <c r="X150" t="s">
        <v>1462</v>
      </c>
      <c r="Y150" t="s">
        <v>1463</v>
      </c>
      <c r="Z150">
        <v>0.66</v>
      </c>
      <c r="AA150">
        <v>612</v>
      </c>
      <c r="AB150">
        <v>1778</v>
      </c>
      <c r="AC150">
        <v>4.31</v>
      </c>
      <c r="AD150" t="s">
        <v>1464</v>
      </c>
      <c r="AE150" t="s">
        <v>1465</v>
      </c>
      <c r="AF150" t="s">
        <v>1466</v>
      </c>
      <c r="AG150" t="s">
        <v>1467</v>
      </c>
      <c r="AH150">
        <v>5.72</v>
      </c>
      <c r="AI150">
        <v>0.89</v>
      </c>
      <c r="AJ150">
        <v>10.24</v>
      </c>
      <c r="AK150">
        <v>18.07</v>
      </c>
      <c r="AL150">
        <v>1</v>
      </c>
      <c r="AM150">
        <v>9.5</v>
      </c>
      <c r="AN150">
        <v>54.97</v>
      </c>
      <c r="AO150">
        <v>10.5</v>
      </c>
      <c r="AP150">
        <v>39.45</v>
      </c>
    </row>
    <row r="151" spans="1:42">
      <c r="A151">
        <v>150</v>
      </c>
      <c r="B151" t="str">
        <f>"300785"</f>
        <v>300785</v>
      </c>
      <c r="C151" t="s">
        <v>1468</v>
      </c>
      <c r="D151">
        <v>24.85</v>
      </c>
      <c r="E151">
        <v>9.28</v>
      </c>
      <c r="F151">
        <v>2.11</v>
      </c>
      <c r="G151" t="s">
        <v>935</v>
      </c>
      <c r="H151">
        <v>2249</v>
      </c>
      <c r="I151">
        <v>24.84</v>
      </c>
      <c r="J151">
        <v>24.85</v>
      </c>
      <c r="K151" t="s">
        <v>1014</v>
      </c>
      <c r="L151">
        <v>30.61</v>
      </c>
      <c r="M151" t="s">
        <v>46</v>
      </c>
      <c r="N151" t="s">
        <v>1469</v>
      </c>
      <c r="O151">
        <v>26.29</v>
      </c>
      <c r="P151">
        <v>22.76</v>
      </c>
      <c r="Q151">
        <v>22.76</v>
      </c>
      <c r="R151">
        <v>22.74</v>
      </c>
      <c r="S151">
        <v>15.52</v>
      </c>
      <c r="T151">
        <v>2.96</v>
      </c>
      <c r="U151">
        <v>-58.29</v>
      </c>
      <c r="V151">
        <v>-1694</v>
      </c>
      <c r="W151">
        <v>24.86</v>
      </c>
      <c r="X151" t="s">
        <v>1470</v>
      </c>
      <c r="Y151" t="s">
        <v>1470</v>
      </c>
      <c r="Z151">
        <v>1</v>
      </c>
      <c r="AA151">
        <v>74</v>
      </c>
      <c r="AB151">
        <v>665</v>
      </c>
      <c r="AC151">
        <v>2.75</v>
      </c>
      <c r="AD151" t="s">
        <v>1471</v>
      </c>
      <c r="AE151" t="s">
        <v>1472</v>
      </c>
      <c r="AF151" t="s">
        <v>1473</v>
      </c>
      <c r="AG151" t="s">
        <v>1474</v>
      </c>
      <c r="AH151">
        <v>15.69</v>
      </c>
      <c r="AI151">
        <v>12.29</v>
      </c>
      <c r="AJ151">
        <v>69.34</v>
      </c>
      <c r="AK151">
        <v>82.37</v>
      </c>
      <c r="AL151">
        <v>1</v>
      </c>
      <c r="AM151">
        <v>9.28</v>
      </c>
      <c r="AN151">
        <v>10.94</v>
      </c>
      <c r="AO151">
        <v>20.28</v>
      </c>
      <c r="AP151">
        <v>25.95</v>
      </c>
    </row>
    <row r="152" spans="1:42">
      <c r="A152">
        <v>151</v>
      </c>
      <c r="B152" t="str">
        <f>"003010"</f>
        <v>003010</v>
      </c>
      <c r="C152" t="s">
        <v>1475</v>
      </c>
      <c r="D152">
        <v>25.15</v>
      </c>
      <c r="E152">
        <v>7.11</v>
      </c>
      <c r="F152">
        <v>1.67</v>
      </c>
      <c r="G152" t="s">
        <v>1226</v>
      </c>
      <c r="H152">
        <v>1630</v>
      </c>
      <c r="I152">
        <v>25.15</v>
      </c>
      <c r="J152">
        <v>25.16</v>
      </c>
      <c r="K152" t="s">
        <v>1476</v>
      </c>
      <c r="L152">
        <v>37.74</v>
      </c>
      <c r="M152" t="s">
        <v>46</v>
      </c>
      <c r="N152" t="s">
        <v>1477</v>
      </c>
      <c r="O152">
        <v>25.83</v>
      </c>
      <c r="P152">
        <v>22.48</v>
      </c>
      <c r="Q152">
        <v>22.49</v>
      </c>
      <c r="R152">
        <v>23.48</v>
      </c>
      <c r="S152">
        <v>14.27</v>
      </c>
      <c r="T152">
        <v>3.54</v>
      </c>
      <c r="U152">
        <v>46.91</v>
      </c>
      <c r="V152">
        <v>576</v>
      </c>
      <c r="W152">
        <v>24.96</v>
      </c>
      <c r="X152" t="s">
        <v>869</v>
      </c>
      <c r="Y152" t="s">
        <v>978</v>
      </c>
      <c r="Z152">
        <v>1.26</v>
      </c>
      <c r="AA152">
        <v>717</v>
      </c>
      <c r="AB152">
        <v>5</v>
      </c>
      <c r="AC152">
        <v>2.87</v>
      </c>
      <c r="AD152" t="s">
        <v>1478</v>
      </c>
      <c r="AE152" t="s">
        <v>1479</v>
      </c>
      <c r="AF152" t="s">
        <v>1480</v>
      </c>
      <c r="AG152" t="s">
        <v>1481</v>
      </c>
      <c r="AH152">
        <v>21.2</v>
      </c>
      <c r="AI152">
        <v>18.97</v>
      </c>
      <c r="AJ152">
        <v>82.44</v>
      </c>
      <c r="AK152">
        <v>91.12</v>
      </c>
      <c r="AL152">
        <v>3</v>
      </c>
      <c r="AM152">
        <v>7.11</v>
      </c>
      <c r="AN152">
        <v>35.22</v>
      </c>
      <c r="AO152">
        <v>24.63</v>
      </c>
      <c r="AP152">
        <v>61.11</v>
      </c>
    </row>
    <row r="153" spans="1:42">
      <c r="A153">
        <v>152</v>
      </c>
      <c r="B153" t="str">
        <f>"600789"</f>
        <v>600789</v>
      </c>
      <c r="C153" t="s">
        <v>1482</v>
      </c>
      <c r="D153">
        <v>8</v>
      </c>
      <c r="E153">
        <v>-4.53</v>
      </c>
      <c r="F153">
        <v>-0.38</v>
      </c>
      <c r="G153" t="s">
        <v>1483</v>
      </c>
      <c r="H153">
        <v>9209</v>
      </c>
      <c r="I153">
        <v>8</v>
      </c>
      <c r="J153">
        <v>8.01</v>
      </c>
      <c r="K153" t="s">
        <v>1484</v>
      </c>
      <c r="L153">
        <v>12.05</v>
      </c>
      <c r="M153" t="s">
        <v>46</v>
      </c>
      <c r="N153" t="s">
        <v>1485</v>
      </c>
      <c r="O153">
        <v>8.23</v>
      </c>
      <c r="P153">
        <v>7.93</v>
      </c>
      <c r="Q153">
        <v>8.08</v>
      </c>
      <c r="R153">
        <v>8.38</v>
      </c>
      <c r="S153">
        <v>3.58</v>
      </c>
      <c r="T153">
        <v>0.71</v>
      </c>
      <c r="U153">
        <v>-7.73</v>
      </c>
      <c r="V153">
        <v>-1258</v>
      </c>
      <c r="W153">
        <v>8.03</v>
      </c>
      <c r="X153" t="s">
        <v>1486</v>
      </c>
      <c r="Y153" t="s">
        <v>1487</v>
      </c>
      <c r="Z153">
        <v>1.46</v>
      </c>
      <c r="AA153">
        <v>1776</v>
      </c>
      <c r="AB153">
        <v>2393</v>
      </c>
      <c r="AC153">
        <v>2.02</v>
      </c>
      <c r="AD153" t="s">
        <v>1488</v>
      </c>
      <c r="AE153" t="s">
        <v>1489</v>
      </c>
      <c r="AF153" t="s">
        <v>1488</v>
      </c>
      <c r="AG153" t="s">
        <v>1489</v>
      </c>
      <c r="AH153">
        <v>0.5</v>
      </c>
      <c r="AI153">
        <v>7.24</v>
      </c>
      <c r="AJ153">
        <v>42.2</v>
      </c>
      <c r="AK153">
        <v>97.25</v>
      </c>
      <c r="AL153">
        <v>-1</v>
      </c>
      <c r="AM153">
        <v>-4.53</v>
      </c>
      <c r="AN153">
        <v>10.96</v>
      </c>
      <c r="AO153">
        <v>14.94</v>
      </c>
      <c r="AP153">
        <v>17.99</v>
      </c>
    </row>
    <row r="154" spans="1:42">
      <c r="A154">
        <v>153</v>
      </c>
      <c r="B154" t="str">
        <f>"002142"</f>
        <v>002142</v>
      </c>
      <c r="C154" t="s">
        <v>1490</v>
      </c>
      <c r="D154">
        <v>22.62</v>
      </c>
      <c r="E154">
        <v>-1.31</v>
      </c>
      <c r="F154">
        <v>-0.3</v>
      </c>
      <c r="G154" t="s">
        <v>969</v>
      </c>
      <c r="H154">
        <v>6718</v>
      </c>
      <c r="I154">
        <v>22.61</v>
      </c>
      <c r="J154">
        <v>22.62</v>
      </c>
      <c r="K154" t="s">
        <v>1491</v>
      </c>
      <c r="L154">
        <v>0.58</v>
      </c>
      <c r="M154" t="s">
        <v>46</v>
      </c>
      <c r="N154" t="s">
        <v>1492</v>
      </c>
      <c r="O154">
        <v>22.9</v>
      </c>
      <c r="P154">
        <v>22.47</v>
      </c>
      <c r="Q154">
        <v>22.9</v>
      </c>
      <c r="R154">
        <v>22.92</v>
      </c>
      <c r="S154">
        <v>1.88</v>
      </c>
      <c r="T154">
        <v>1.12</v>
      </c>
      <c r="U154">
        <v>-61.23</v>
      </c>
      <c r="V154">
        <v>-6071</v>
      </c>
      <c r="W154">
        <v>22.62</v>
      </c>
      <c r="X154" t="s">
        <v>351</v>
      </c>
      <c r="Y154" t="s">
        <v>1493</v>
      </c>
      <c r="Z154">
        <v>1.59</v>
      </c>
      <c r="AA154">
        <v>136</v>
      </c>
      <c r="AB154">
        <v>372</v>
      </c>
      <c r="AC154">
        <v>0.88</v>
      </c>
      <c r="AD154" t="s">
        <v>1494</v>
      </c>
      <c r="AE154" t="s">
        <v>1495</v>
      </c>
      <c r="AF154" t="s">
        <v>1496</v>
      </c>
      <c r="AG154" t="s">
        <v>1497</v>
      </c>
      <c r="AH154">
        <v>-5.95</v>
      </c>
      <c r="AI154">
        <v>-8.46</v>
      </c>
      <c r="AJ154">
        <v>2.13</v>
      </c>
      <c r="AK154">
        <v>3.17</v>
      </c>
      <c r="AL154">
        <v>-8</v>
      </c>
      <c r="AM154">
        <v>-1.31</v>
      </c>
      <c r="AN154">
        <v>-29.2</v>
      </c>
      <c r="AO154">
        <v>-9.74</v>
      </c>
      <c r="AP154">
        <v>-22.29</v>
      </c>
    </row>
    <row r="155" spans="1:42">
      <c r="A155">
        <v>154</v>
      </c>
      <c r="B155" t="str">
        <f>"300474"</f>
        <v>300474</v>
      </c>
      <c r="C155" t="s">
        <v>1498</v>
      </c>
      <c r="D155">
        <v>84.88</v>
      </c>
      <c r="E155">
        <v>1.71</v>
      </c>
      <c r="F155">
        <v>1.43</v>
      </c>
      <c r="G155" t="s">
        <v>1499</v>
      </c>
      <c r="H155">
        <v>1109</v>
      </c>
      <c r="I155">
        <v>84.88</v>
      </c>
      <c r="J155">
        <v>84.89</v>
      </c>
      <c r="K155" t="s">
        <v>1500</v>
      </c>
      <c r="L155">
        <v>3.1</v>
      </c>
      <c r="M155" t="s">
        <v>46</v>
      </c>
      <c r="N155" t="s">
        <v>1501</v>
      </c>
      <c r="O155">
        <v>85.28</v>
      </c>
      <c r="P155">
        <v>82.58</v>
      </c>
      <c r="Q155">
        <v>82.89</v>
      </c>
      <c r="R155">
        <v>83.45</v>
      </c>
      <c r="S155">
        <v>3.24</v>
      </c>
      <c r="T155">
        <v>1.27</v>
      </c>
      <c r="U155">
        <v>60.74</v>
      </c>
      <c r="V155">
        <v>752</v>
      </c>
      <c r="W155">
        <v>84.06</v>
      </c>
      <c r="X155" t="s">
        <v>1502</v>
      </c>
      <c r="Y155" t="s">
        <v>1503</v>
      </c>
      <c r="Z155">
        <v>0.79</v>
      </c>
      <c r="AA155">
        <v>95</v>
      </c>
      <c r="AB155">
        <v>13</v>
      </c>
      <c r="AC155">
        <v>11.37</v>
      </c>
      <c r="AD155" t="s">
        <v>1504</v>
      </c>
      <c r="AE155" t="s">
        <v>1505</v>
      </c>
      <c r="AF155" t="s">
        <v>1506</v>
      </c>
      <c r="AG155" t="s">
        <v>1507</v>
      </c>
      <c r="AH155">
        <v>3.58</v>
      </c>
      <c r="AI155">
        <v>1.98</v>
      </c>
      <c r="AJ155">
        <v>8.43</v>
      </c>
      <c r="AK155">
        <v>15.33</v>
      </c>
      <c r="AL155">
        <v>3</v>
      </c>
      <c r="AM155">
        <v>1.71</v>
      </c>
      <c r="AN155">
        <v>55.89</v>
      </c>
      <c r="AO155">
        <v>5.9</v>
      </c>
      <c r="AP155">
        <v>39.47</v>
      </c>
    </row>
    <row r="156" spans="1:42">
      <c r="A156">
        <v>155</v>
      </c>
      <c r="B156" t="str">
        <f>"300765"</f>
        <v>300765</v>
      </c>
      <c r="C156" t="s">
        <v>1508</v>
      </c>
      <c r="D156">
        <v>44.05</v>
      </c>
      <c r="E156">
        <v>4.14</v>
      </c>
      <c r="F156">
        <v>1.75</v>
      </c>
      <c r="G156" t="s">
        <v>1509</v>
      </c>
      <c r="H156">
        <v>3980</v>
      </c>
      <c r="I156">
        <v>44.04</v>
      </c>
      <c r="J156">
        <v>44.05</v>
      </c>
      <c r="K156" t="s">
        <v>1510</v>
      </c>
      <c r="L156">
        <v>1.89</v>
      </c>
      <c r="M156" t="s">
        <v>46</v>
      </c>
      <c r="N156" t="s">
        <v>1511</v>
      </c>
      <c r="O156">
        <v>44.99</v>
      </c>
      <c r="P156">
        <v>41.55</v>
      </c>
      <c r="Q156">
        <v>41.8</v>
      </c>
      <c r="R156">
        <v>42.3</v>
      </c>
      <c r="S156">
        <v>8.13</v>
      </c>
      <c r="T156">
        <v>1.27</v>
      </c>
      <c r="U156">
        <v>0.57</v>
      </c>
      <c r="V156">
        <v>9</v>
      </c>
      <c r="W156">
        <v>43.55</v>
      </c>
      <c r="X156" t="s">
        <v>1512</v>
      </c>
      <c r="Y156" t="s">
        <v>1513</v>
      </c>
      <c r="Z156">
        <v>1</v>
      </c>
      <c r="AA156">
        <v>98</v>
      </c>
      <c r="AB156">
        <v>38</v>
      </c>
      <c r="AC156">
        <v>10.5</v>
      </c>
      <c r="AD156" t="s">
        <v>1514</v>
      </c>
      <c r="AE156" t="s">
        <v>1515</v>
      </c>
      <c r="AF156" t="s">
        <v>1516</v>
      </c>
      <c r="AG156" t="s">
        <v>1517</v>
      </c>
      <c r="AH156">
        <v>10.15</v>
      </c>
      <c r="AI156">
        <v>22.43</v>
      </c>
      <c r="AJ156">
        <v>4.94</v>
      </c>
      <c r="AK156">
        <v>9.34</v>
      </c>
      <c r="AL156">
        <v>4</v>
      </c>
      <c r="AM156">
        <v>4.14</v>
      </c>
      <c r="AN156">
        <v>407.49</v>
      </c>
      <c r="AO156">
        <v>51.22</v>
      </c>
      <c r="AP156">
        <v>381.95</v>
      </c>
    </row>
    <row r="157" spans="1:42">
      <c r="A157">
        <v>156</v>
      </c>
      <c r="B157" t="str">
        <f>"600050"</f>
        <v>600050</v>
      </c>
      <c r="C157" t="s">
        <v>1518</v>
      </c>
      <c r="D157">
        <v>4.46</v>
      </c>
      <c r="E157">
        <v>1.59</v>
      </c>
      <c r="F157">
        <v>0.07</v>
      </c>
      <c r="G157" t="s">
        <v>1519</v>
      </c>
      <c r="H157" t="s">
        <v>1520</v>
      </c>
      <c r="I157">
        <v>4.45</v>
      </c>
      <c r="J157">
        <v>4.46</v>
      </c>
      <c r="K157" t="s">
        <v>1521</v>
      </c>
      <c r="L157">
        <v>0.62</v>
      </c>
      <c r="M157" t="s">
        <v>46</v>
      </c>
      <c r="N157" t="s">
        <v>1522</v>
      </c>
      <c r="O157">
        <v>4.47</v>
      </c>
      <c r="P157">
        <v>4.35</v>
      </c>
      <c r="Q157">
        <v>4.39</v>
      </c>
      <c r="R157">
        <v>4.39</v>
      </c>
      <c r="S157">
        <v>2.73</v>
      </c>
      <c r="T157">
        <v>1.17</v>
      </c>
      <c r="U157">
        <v>-46.33</v>
      </c>
      <c r="V157" t="s">
        <v>1523</v>
      </c>
      <c r="W157">
        <v>4.42</v>
      </c>
      <c r="X157" t="s">
        <v>362</v>
      </c>
      <c r="Y157" t="s">
        <v>1524</v>
      </c>
      <c r="Z157">
        <v>0.58</v>
      </c>
      <c r="AA157" t="s">
        <v>1525</v>
      </c>
      <c r="AB157">
        <v>87</v>
      </c>
      <c r="AC157">
        <v>0.89</v>
      </c>
      <c r="AD157" t="s">
        <v>1526</v>
      </c>
      <c r="AE157" t="s">
        <v>1527</v>
      </c>
      <c r="AF157" t="s">
        <v>1528</v>
      </c>
      <c r="AG157" t="s">
        <v>1529</v>
      </c>
      <c r="AH157">
        <v>2.06</v>
      </c>
      <c r="AI157">
        <v>-1.55</v>
      </c>
      <c r="AJ157">
        <v>1.46</v>
      </c>
      <c r="AK157">
        <v>3.28</v>
      </c>
      <c r="AL157">
        <v>2</v>
      </c>
      <c r="AM157">
        <v>1.59</v>
      </c>
      <c r="AN157">
        <v>0.45</v>
      </c>
      <c r="AO157">
        <v>0.22</v>
      </c>
      <c r="AP157">
        <v>10.4</v>
      </c>
    </row>
    <row r="158" spans="1:42">
      <c r="A158">
        <v>157</v>
      </c>
      <c r="B158" t="str">
        <f>"300045"</f>
        <v>300045</v>
      </c>
      <c r="C158" t="s">
        <v>1530</v>
      </c>
      <c r="D158">
        <v>23.81</v>
      </c>
      <c r="E158">
        <v>2.15</v>
      </c>
      <c r="F158">
        <v>0.5</v>
      </c>
      <c r="G158" t="s">
        <v>999</v>
      </c>
      <c r="H158">
        <v>7088</v>
      </c>
      <c r="I158">
        <v>23.8</v>
      </c>
      <c r="J158">
        <v>23.81</v>
      </c>
      <c r="K158" t="s">
        <v>1521</v>
      </c>
      <c r="L158">
        <v>7.3</v>
      </c>
      <c r="M158" t="s">
        <v>46</v>
      </c>
      <c r="N158" t="s">
        <v>1531</v>
      </c>
      <c r="O158">
        <v>23.86</v>
      </c>
      <c r="P158">
        <v>23.05</v>
      </c>
      <c r="Q158">
        <v>23.45</v>
      </c>
      <c r="R158">
        <v>23.31</v>
      </c>
      <c r="S158">
        <v>3.47</v>
      </c>
      <c r="T158">
        <v>0.79</v>
      </c>
      <c r="U158">
        <v>-46.35</v>
      </c>
      <c r="V158">
        <v>-3818</v>
      </c>
      <c r="W158">
        <v>23.66</v>
      </c>
      <c r="X158" t="s">
        <v>625</v>
      </c>
      <c r="Y158" t="s">
        <v>1402</v>
      </c>
      <c r="Z158">
        <v>0.96</v>
      </c>
      <c r="AA158">
        <v>783</v>
      </c>
      <c r="AB158">
        <v>253</v>
      </c>
      <c r="AC158">
        <v>9.14</v>
      </c>
      <c r="AD158" t="s">
        <v>1532</v>
      </c>
      <c r="AE158" t="s">
        <v>1533</v>
      </c>
      <c r="AF158" t="s">
        <v>1534</v>
      </c>
      <c r="AG158" t="s">
        <v>1535</v>
      </c>
      <c r="AH158">
        <v>-1.33</v>
      </c>
      <c r="AI158">
        <v>-10.46</v>
      </c>
      <c r="AJ158">
        <v>23.8</v>
      </c>
      <c r="AK158">
        <v>53.37</v>
      </c>
      <c r="AL158">
        <v>1</v>
      </c>
      <c r="AM158">
        <v>2.15</v>
      </c>
      <c r="AN158">
        <v>264.62</v>
      </c>
      <c r="AO158">
        <v>-9.4</v>
      </c>
      <c r="AP158">
        <v>229.78</v>
      </c>
    </row>
    <row r="159" spans="1:42">
      <c r="A159">
        <v>158</v>
      </c>
      <c r="B159" t="str">
        <f>"300475"</f>
        <v>300475</v>
      </c>
      <c r="C159" t="s">
        <v>1536</v>
      </c>
      <c r="D159">
        <v>36.09</v>
      </c>
      <c r="E159">
        <v>4.43</v>
      </c>
      <c r="F159">
        <v>1.53</v>
      </c>
      <c r="G159" t="s">
        <v>1537</v>
      </c>
      <c r="H159">
        <v>4373</v>
      </c>
      <c r="I159">
        <v>36.09</v>
      </c>
      <c r="J159">
        <v>36.1</v>
      </c>
      <c r="K159" t="s">
        <v>1538</v>
      </c>
      <c r="L159">
        <v>5.47</v>
      </c>
      <c r="M159" t="s">
        <v>46</v>
      </c>
      <c r="N159" t="s">
        <v>1539</v>
      </c>
      <c r="O159">
        <v>36.16</v>
      </c>
      <c r="P159">
        <v>34.03</v>
      </c>
      <c r="Q159">
        <v>34.56</v>
      </c>
      <c r="R159">
        <v>34.56</v>
      </c>
      <c r="S159">
        <v>6.16</v>
      </c>
      <c r="T159">
        <v>0.95</v>
      </c>
      <c r="U159">
        <v>-55.89</v>
      </c>
      <c r="V159">
        <v>-1105</v>
      </c>
      <c r="W159">
        <v>35.31</v>
      </c>
      <c r="X159" t="s">
        <v>1540</v>
      </c>
      <c r="Y159" t="s">
        <v>422</v>
      </c>
      <c r="Z159">
        <v>0.96</v>
      </c>
      <c r="AA159">
        <v>73</v>
      </c>
      <c r="AB159">
        <v>1016</v>
      </c>
      <c r="AC159">
        <v>6.66</v>
      </c>
      <c r="AD159" t="s">
        <v>1541</v>
      </c>
      <c r="AE159" t="s">
        <v>1542</v>
      </c>
      <c r="AF159" t="s">
        <v>1543</v>
      </c>
      <c r="AG159" t="s">
        <v>1544</v>
      </c>
      <c r="AH159">
        <v>-0.36</v>
      </c>
      <c r="AI159">
        <v>2.01</v>
      </c>
      <c r="AJ159">
        <v>14.82</v>
      </c>
      <c r="AK159">
        <v>34.3</v>
      </c>
      <c r="AL159">
        <v>1</v>
      </c>
      <c r="AM159">
        <v>4.43</v>
      </c>
      <c r="AN159">
        <v>120.2</v>
      </c>
      <c r="AO159">
        <v>31.62</v>
      </c>
      <c r="AP159">
        <v>100.39</v>
      </c>
    </row>
    <row r="160" spans="1:42">
      <c r="A160">
        <v>159</v>
      </c>
      <c r="B160" t="str">
        <f>"002602"</f>
        <v>002602</v>
      </c>
      <c r="C160" t="s">
        <v>1545</v>
      </c>
      <c r="D160">
        <v>5.77</v>
      </c>
      <c r="E160">
        <v>3.41</v>
      </c>
      <c r="F160">
        <v>0.19</v>
      </c>
      <c r="G160" t="s">
        <v>1060</v>
      </c>
      <c r="H160">
        <v>9980</v>
      </c>
      <c r="I160">
        <v>5.76</v>
      </c>
      <c r="J160">
        <v>5.77</v>
      </c>
      <c r="K160" t="s">
        <v>1546</v>
      </c>
      <c r="L160">
        <v>2.18</v>
      </c>
      <c r="M160" t="s">
        <v>46</v>
      </c>
      <c r="N160" t="s">
        <v>1547</v>
      </c>
      <c r="O160">
        <v>5.8</v>
      </c>
      <c r="P160">
        <v>5.53</v>
      </c>
      <c r="Q160">
        <v>5.6</v>
      </c>
      <c r="R160">
        <v>5.58</v>
      </c>
      <c r="S160">
        <v>4.84</v>
      </c>
      <c r="T160">
        <v>1.67</v>
      </c>
      <c r="U160">
        <v>-12.92</v>
      </c>
      <c r="V160" t="s">
        <v>1548</v>
      </c>
      <c r="W160">
        <v>5.68</v>
      </c>
      <c r="X160" t="s">
        <v>1549</v>
      </c>
      <c r="Y160" t="s">
        <v>1550</v>
      </c>
      <c r="Z160">
        <v>0.75</v>
      </c>
      <c r="AA160">
        <v>8040</v>
      </c>
      <c r="AB160">
        <v>3887</v>
      </c>
      <c r="AC160">
        <v>1.69</v>
      </c>
      <c r="AD160" t="s">
        <v>1551</v>
      </c>
      <c r="AE160" t="s">
        <v>1552</v>
      </c>
      <c r="AF160" t="s">
        <v>1553</v>
      </c>
      <c r="AG160" t="s">
        <v>1554</v>
      </c>
      <c r="AH160">
        <v>4.53</v>
      </c>
      <c r="AI160">
        <v>-0.35</v>
      </c>
      <c r="AJ160">
        <v>4.78</v>
      </c>
      <c r="AK160">
        <v>8.69</v>
      </c>
      <c r="AL160">
        <v>3</v>
      </c>
      <c r="AM160">
        <v>3.41</v>
      </c>
      <c r="AN160">
        <v>51.44</v>
      </c>
      <c r="AO160">
        <v>0.7</v>
      </c>
      <c r="AP160">
        <v>45.71</v>
      </c>
    </row>
    <row r="161" spans="1:42">
      <c r="A161">
        <v>160</v>
      </c>
      <c r="B161" t="str">
        <f>"600523"</f>
        <v>600523</v>
      </c>
      <c r="C161" t="s">
        <v>1555</v>
      </c>
      <c r="D161">
        <v>16.14</v>
      </c>
      <c r="E161">
        <v>-9.98</v>
      </c>
      <c r="F161">
        <v>-1.79</v>
      </c>
      <c r="G161" t="s">
        <v>968</v>
      </c>
      <c r="H161">
        <v>488</v>
      </c>
      <c r="I161" t="s">
        <v>76</v>
      </c>
      <c r="J161">
        <v>16.14</v>
      </c>
      <c r="K161" t="s">
        <v>1556</v>
      </c>
      <c r="L161">
        <v>12.86</v>
      </c>
      <c r="M161" t="s">
        <v>46</v>
      </c>
      <c r="N161" t="s">
        <v>1557</v>
      </c>
      <c r="O161">
        <v>17.2</v>
      </c>
      <c r="P161">
        <v>16.14</v>
      </c>
      <c r="Q161">
        <v>17</v>
      </c>
      <c r="R161">
        <v>17.93</v>
      </c>
      <c r="S161">
        <v>5.91</v>
      </c>
      <c r="T161">
        <v>1.25</v>
      </c>
      <c r="U161">
        <v>-100</v>
      </c>
      <c r="V161" t="s">
        <v>1558</v>
      </c>
      <c r="W161">
        <v>16.28</v>
      </c>
      <c r="X161" t="s">
        <v>487</v>
      </c>
      <c r="Y161" t="s">
        <v>711</v>
      </c>
      <c r="Z161">
        <v>0.82</v>
      </c>
      <c r="AA161">
        <v>0</v>
      </c>
      <c r="AB161" t="s">
        <v>1559</v>
      </c>
      <c r="AC161">
        <v>2.26</v>
      </c>
      <c r="AD161" t="s">
        <v>1560</v>
      </c>
      <c r="AE161" t="s">
        <v>1561</v>
      </c>
      <c r="AF161" t="s">
        <v>1562</v>
      </c>
      <c r="AG161" t="s">
        <v>1563</v>
      </c>
      <c r="AH161">
        <v>2.8</v>
      </c>
      <c r="AI161">
        <v>13.9</v>
      </c>
      <c r="AJ161">
        <v>54.72</v>
      </c>
      <c r="AK161">
        <v>64.42</v>
      </c>
      <c r="AL161">
        <v>-1</v>
      </c>
      <c r="AM161">
        <v>-9.98</v>
      </c>
      <c r="AN161">
        <v>-16.93</v>
      </c>
      <c r="AO161">
        <v>20.45</v>
      </c>
      <c r="AP161">
        <v>-19.46</v>
      </c>
    </row>
    <row r="162" spans="1:42">
      <c r="A162">
        <v>161</v>
      </c>
      <c r="B162" t="str">
        <f>"601929"</f>
        <v>601929</v>
      </c>
      <c r="C162" t="s">
        <v>1564</v>
      </c>
      <c r="D162">
        <v>2.15</v>
      </c>
      <c r="E162">
        <v>2.87</v>
      </c>
      <c r="F162">
        <v>0.06</v>
      </c>
      <c r="G162" t="s">
        <v>1565</v>
      </c>
      <c r="H162" t="s">
        <v>1566</v>
      </c>
      <c r="I162">
        <v>2.14</v>
      </c>
      <c r="J162">
        <v>2.15</v>
      </c>
      <c r="K162" t="s">
        <v>1567</v>
      </c>
      <c r="L162">
        <v>11.96</v>
      </c>
      <c r="M162" t="s">
        <v>46</v>
      </c>
      <c r="N162" t="s">
        <v>1568</v>
      </c>
      <c r="O162">
        <v>2.18</v>
      </c>
      <c r="P162">
        <v>2.08</v>
      </c>
      <c r="Q162">
        <v>2.1</v>
      </c>
      <c r="R162">
        <v>2.09</v>
      </c>
      <c r="S162">
        <v>4.78</v>
      </c>
      <c r="T162">
        <v>0.72</v>
      </c>
      <c r="U162">
        <v>-14.32</v>
      </c>
      <c r="V162" t="s">
        <v>1569</v>
      </c>
      <c r="W162">
        <v>2.14</v>
      </c>
      <c r="X162" t="s">
        <v>1570</v>
      </c>
      <c r="Y162" t="s">
        <v>1571</v>
      </c>
      <c r="Z162">
        <v>0.72</v>
      </c>
      <c r="AA162" t="s">
        <v>1077</v>
      </c>
      <c r="AB162" t="s">
        <v>718</v>
      </c>
      <c r="AC162">
        <v>1.1</v>
      </c>
      <c r="AD162" t="s">
        <v>1572</v>
      </c>
      <c r="AE162" t="s">
        <v>1573</v>
      </c>
      <c r="AF162" t="s">
        <v>1572</v>
      </c>
      <c r="AG162" t="s">
        <v>1573</v>
      </c>
      <c r="AH162">
        <v>-4.87</v>
      </c>
      <c r="AI162">
        <v>-2.71</v>
      </c>
      <c r="AJ162">
        <v>46.82</v>
      </c>
      <c r="AK162">
        <v>94.76</v>
      </c>
      <c r="AL162">
        <v>1</v>
      </c>
      <c r="AM162">
        <v>2.87</v>
      </c>
      <c r="AN162">
        <v>10.82</v>
      </c>
      <c r="AO162">
        <v>14.97</v>
      </c>
      <c r="AP162">
        <v>10.82</v>
      </c>
    </row>
    <row r="163" spans="1:42">
      <c r="A163">
        <v>162</v>
      </c>
      <c r="B163" t="str">
        <f>"300274"</f>
        <v>300274</v>
      </c>
      <c r="C163" t="s">
        <v>1574</v>
      </c>
      <c r="D163">
        <v>83.23</v>
      </c>
      <c r="E163">
        <v>0.04</v>
      </c>
      <c r="F163">
        <v>0.03</v>
      </c>
      <c r="G163" t="s">
        <v>1499</v>
      </c>
      <c r="H163">
        <v>1376</v>
      </c>
      <c r="I163">
        <v>83.23</v>
      </c>
      <c r="J163">
        <v>83.24</v>
      </c>
      <c r="K163" t="s">
        <v>1575</v>
      </c>
      <c r="L163">
        <v>0.91</v>
      </c>
      <c r="M163" t="s">
        <v>46</v>
      </c>
      <c r="N163" t="s">
        <v>1576</v>
      </c>
      <c r="O163">
        <v>83.85</v>
      </c>
      <c r="P163">
        <v>81.7</v>
      </c>
      <c r="Q163">
        <v>82.38</v>
      </c>
      <c r="R163">
        <v>83.2</v>
      </c>
      <c r="S163">
        <v>2.58</v>
      </c>
      <c r="T163">
        <v>0.97</v>
      </c>
      <c r="U163">
        <v>50.78</v>
      </c>
      <c r="V163">
        <v>347</v>
      </c>
      <c r="W163">
        <v>82.58</v>
      </c>
      <c r="X163" t="s">
        <v>1577</v>
      </c>
      <c r="Y163" t="s">
        <v>1578</v>
      </c>
      <c r="Z163">
        <v>1.32</v>
      </c>
      <c r="AA163">
        <v>102</v>
      </c>
      <c r="AB163">
        <v>57</v>
      </c>
      <c r="AC163">
        <v>4.84</v>
      </c>
      <c r="AD163" t="s">
        <v>1579</v>
      </c>
      <c r="AE163" t="s">
        <v>1580</v>
      </c>
      <c r="AF163" t="s">
        <v>1581</v>
      </c>
      <c r="AG163" t="s">
        <v>1582</v>
      </c>
      <c r="AH163">
        <v>-1.28</v>
      </c>
      <c r="AI163">
        <v>-4.1</v>
      </c>
      <c r="AJ163">
        <v>2.95</v>
      </c>
      <c r="AK163">
        <v>5.57</v>
      </c>
      <c r="AL163">
        <v>2</v>
      </c>
      <c r="AM163">
        <v>0.04</v>
      </c>
      <c r="AN163">
        <v>-25.41</v>
      </c>
      <c r="AO163">
        <v>-0.45</v>
      </c>
      <c r="AP163">
        <v>-24.79</v>
      </c>
    </row>
    <row r="164" spans="1:42">
      <c r="A164">
        <v>163</v>
      </c>
      <c r="B164" t="str">
        <f>"600438"</f>
        <v>600438</v>
      </c>
      <c r="C164" t="s">
        <v>1583</v>
      </c>
      <c r="D164">
        <v>24.31</v>
      </c>
      <c r="E164">
        <v>-0.78</v>
      </c>
      <c r="F164">
        <v>-0.19</v>
      </c>
      <c r="G164" t="s">
        <v>1584</v>
      </c>
      <c r="H164">
        <v>3443</v>
      </c>
      <c r="I164">
        <v>24.31</v>
      </c>
      <c r="J164">
        <v>24.32</v>
      </c>
      <c r="K164" t="s">
        <v>1585</v>
      </c>
      <c r="L164">
        <v>0.78</v>
      </c>
      <c r="M164" t="s">
        <v>46</v>
      </c>
      <c r="N164" t="s">
        <v>1586</v>
      </c>
      <c r="O164">
        <v>24.46</v>
      </c>
      <c r="P164">
        <v>23.9</v>
      </c>
      <c r="Q164">
        <v>24.43</v>
      </c>
      <c r="R164">
        <v>24.5</v>
      </c>
      <c r="S164">
        <v>2.29</v>
      </c>
      <c r="T164">
        <v>1.3</v>
      </c>
      <c r="U164">
        <v>-13.64</v>
      </c>
      <c r="V164">
        <v>-352</v>
      </c>
      <c r="W164">
        <v>24.15</v>
      </c>
      <c r="X164" t="s">
        <v>1008</v>
      </c>
      <c r="Y164" t="s">
        <v>665</v>
      </c>
      <c r="Z164">
        <v>1.16</v>
      </c>
      <c r="AA164">
        <v>370</v>
      </c>
      <c r="AB164">
        <v>27</v>
      </c>
      <c r="AC164">
        <v>1.76</v>
      </c>
      <c r="AD164" t="s">
        <v>1587</v>
      </c>
      <c r="AE164" t="s">
        <v>1588</v>
      </c>
      <c r="AF164" t="s">
        <v>1587</v>
      </c>
      <c r="AG164" t="s">
        <v>1588</v>
      </c>
      <c r="AH164">
        <v>-5.08</v>
      </c>
      <c r="AI164">
        <v>-8.51</v>
      </c>
      <c r="AJ164">
        <v>2.24</v>
      </c>
      <c r="AK164">
        <v>3.75</v>
      </c>
      <c r="AL164">
        <v>-6</v>
      </c>
      <c r="AM164">
        <v>-0.78</v>
      </c>
      <c r="AN164">
        <v>-31.94</v>
      </c>
      <c r="AO164">
        <v>-7.64</v>
      </c>
      <c r="AP164">
        <v>-39.42</v>
      </c>
    </row>
    <row r="165" spans="1:42">
      <c r="A165">
        <v>164</v>
      </c>
      <c r="B165" t="str">
        <f>"300133"</f>
        <v>300133</v>
      </c>
      <c r="C165" t="s">
        <v>1589</v>
      </c>
      <c r="D165">
        <v>6.8</v>
      </c>
      <c r="E165">
        <v>11.29</v>
      </c>
      <c r="F165">
        <v>0.69</v>
      </c>
      <c r="G165" t="s">
        <v>358</v>
      </c>
      <c r="H165" t="s">
        <v>1590</v>
      </c>
      <c r="I165">
        <v>6.79</v>
      </c>
      <c r="J165">
        <v>6.8</v>
      </c>
      <c r="K165" t="s">
        <v>1591</v>
      </c>
      <c r="L165">
        <v>7.85</v>
      </c>
      <c r="M165" t="s">
        <v>46</v>
      </c>
      <c r="N165" t="s">
        <v>1592</v>
      </c>
      <c r="O165">
        <v>6.9</v>
      </c>
      <c r="P165">
        <v>6.31</v>
      </c>
      <c r="Q165">
        <v>6.39</v>
      </c>
      <c r="R165">
        <v>6.11</v>
      </c>
      <c r="S165">
        <v>9.66</v>
      </c>
      <c r="T165">
        <v>2.89</v>
      </c>
      <c r="U165">
        <v>24.88</v>
      </c>
      <c r="V165">
        <v>3423</v>
      </c>
      <c r="W165">
        <v>6.59</v>
      </c>
      <c r="X165" t="s">
        <v>1593</v>
      </c>
      <c r="Y165" t="s">
        <v>1594</v>
      </c>
      <c r="Z165">
        <v>0.68</v>
      </c>
      <c r="AA165">
        <v>1450</v>
      </c>
      <c r="AB165">
        <v>0</v>
      </c>
      <c r="AC165">
        <v>1.84</v>
      </c>
      <c r="AD165" t="s">
        <v>1595</v>
      </c>
      <c r="AE165" t="s">
        <v>1596</v>
      </c>
      <c r="AF165" t="s">
        <v>1597</v>
      </c>
      <c r="AG165" t="s">
        <v>574</v>
      </c>
      <c r="AH165">
        <v>8.28</v>
      </c>
      <c r="AI165">
        <v>6.42</v>
      </c>
      <c r="AJ165">
        <v>11.31</v>
      </c>
      <c r="AK165">
        <v>21.44</v>
      </c>
      <c r="AL165">
        <v>1</v>
      </c>
      <c r="AM165">
        <v>11.29</v>
      </c>
      <c r="AN165">
        <v>28.06</v>
      </c>
      <c r="AO165">
        <v>13.14</v>
      </c>
      <c r="AP165">
        <v>47.19</v>
      </c>
    </row>
    <row r="166" spans="1:42">
      <c r="A166">
        <v>165</v>
      </c>
      <c r="B166" t="str">
        <f>"000725"</f>
        <v>000725</v>
      </c>
      <c r="C166" t="s">
        <v>1598</v>
      </c>
      <c r="D166">
        <v>3.87</v>
      </c>
      <c r="E166">
        <v>0</v>
      </c>
      <c r="F166">
        <v>0</v>
      </c>
      <c r="G166" t="s">
        <v>1599</v>
      </c>
      <c r="H166" t="s">
        <v>1600</v>
      </c>
      <c r="I166">
        <v>3.87</v>
      </c>
      <c r="J166">
        <v>3.88</v>
      </c>
      <c r="K166" t="s">
        <v>1601</v>
      </c>
      <c r="L166">
        <v>0.58</v>
      </c>
      <c r="M166" t="s">
        <v>46</v>
      </c>
      <c r="N166" t="s">
        <v>1602</v>
      </c>
      <c r="O166">
        <v>3.89</v>
      </c>
      <c r="P166">
        <v>3.82</v>
      </c>
      <c r="Q166">
        <v>3.87</v>
      </c>
      <c r="R166">
        <v>3.87</v>
      </c>
      <c r="S166">
        <v>1.81</v>
      </c>
      <c r="T166">
        <v>0.78</v>
      </c>
      <c r="U166">
        <v>5.1</v>
      </c>
      <c r="V166" t="s">
        <v>1212</v>
      </c>
      <c r="W166">
        <v>3.86</v>
      </c>
      <c r="X166" t="s">
        <v>1603</v>
      </c>
      <c r="Y166" t="s">
        <v>1483</v>
      </c>
      <c r="Z166">
        <v>1.02</v>
      </c>
      <c r="AA166" t="s">
        <v>1604</v>
      </c>
      <c r="AB166" t="s">
        <v>1605</v>
      </c>
      <c r="AC166">
        <v>1.15</v>
      </c>
      <c r="AD166" t="s">
        <v>1606</v>
      </c>
      <c r="AE166" t="s">
        <v>1607</v>
      </c>
      <c r="AF166" t="s">
        <v>1608</v>
      </c>
      <c r="AG166" t="s">
        <v>1609</v>
      </c>
      <c r="AH166">
        <v>-1.28</v>
      </c>
      <c r="AI166">
        <v>-1.02</v>
      </c>
      <c r="AJ166">
        <v>2.15</v>
      </c>
      <c r="AK166">
        <v>4.31</v>
      </c>
      <c r="AL166">
        <v>0</v>
      </c>
      <c r="AM166">
        <v>0</v>
      </c>
      <c r="AN166">
        <v>16.57</v>
      </c>
      <c r="AO166">
        <v>0.52</v>
      </c>
      <c r="AP166">
        <v>8.71</v>
      </c>
    </row>
    <row r="167" spans="1:42">
      <c r="A167">
        <v>166</v>
      </c>
      <c r="B167" t="str">
        <f>"001300"</f>
        <v>001300</v>
      </c>
      <c r="C167" t="s">
        <v>1610</v>
      </c>
      <c r="D167">
        <v>21.94</v>
      </c>
      <c r="E167">
        <v>-0.9</v>
      </c>
      <c r="F167">
        <v>-0.2</v>
      </c>
      <c r="G167" t="s">
        <v>1611</v>
      </c>
      <c r="H167">
        <v>4407</v>
      </c>
      <c r="I167">
        <v>21.94</v>
      </c>
      <c r="J167">
        <v>21.95</v>
      </c>
      <c r="K167" t="s">
        <v>1612</v>
      </c>
      <c r="L167">
        <v>56</v>
      </c>
      <c r="M167" t="s">
        <v>46</v>
      </c>
      <c r="N167" t="s">
        <v>1613</v>
      </c>
      <c r="O167">
        <v>23.58</v>
      </c>
      <c r="P167">
        <v>21.4</v>
      </c>
      <c r="Q167">
        <v>21.8</v>
      </c>
      <c r="R167">
        <v>22.14</v>
      </c>
      <c r="S167">
        <v>9.85</v>
      </c>
      <c r="T167">
        <v>1.3</v>
      </c>
      <c r="U167">
        <v>71.42</v>
      </c>
      <c r="V167">
        <v>2059</v>
      </c>
      <c r="W167">
        <v>22.42</v>
      </c>
      <c r="X167" t="s">
        <v>1509</v>
      </c>
      <c r="Y167" t="s">
        <v>842</v>
      </c>
      <c r="Z167">
        <v>1.12</v>
      </c>
      <c r="AA167">
        <v>473</v>
      </c>
      <c r="AB167">
        <v>311</v>
      </c>
      <c r="AC167">
        <v>4.89</v>
      </c>
      <c r="AD167" t="s">
        <v>1614</v>
      </c>
      <c r="AE167" t="s">
        <v>1615</v>
      </c>
      <c r="AF167" t="s">
        <v>1616</v>
      </c>
      <c r="AG167" t="s">
        <v>1617</v>
      </c>
      <c r="AH167">
        <v>5.89</v>
      </c>
      <c r="AI167">
        <v>-14.03</v>
      </c>
      <c r="AJ167">
        <v>135.83</v>
      </c>
      <c r="AK167">
        <v>270.9</v>
      </c>
      <c r="AL167">
        <v>-1</v>
      </c>
      <c r="AM167">
        <v>-0.9</v>
      </c>
      <c r="AN167">
        <v>42.1</v>
      </c>
      <c r="AO167">
        <v>82.99</v>
      </c>
      <c r="AP167">
        <v>24.38</v>
      </c>
    </row>
    <row r="168" spans="1:42">
      <c r="A168">
        <v>167</v>
      </c>
      <c r="B168" t="str">
        <f>"002252"</f>
        <v>002252</v>
      </c>
      <c r="C168" t="s">
        <v>1618</v>
      </c>
      <c r="D168">
        <v>8.16</v>
      </c>
      <c r="E168">
        <v>2.64</v>
      </c>
      <c r="F168">
        <v>0.21</v>
      </c>
      <c r="G168" t="s">
        <v>812</v>
      </c>
      <c r="H168">
        <v>6971</v>
      </c>
      <c r="I168">
        <v>8.16</v>
      </c>
      <c r="J168">
        <v>8.17</v>
      </c>
      <c r="K168" t="s">
        <v>1619</v>
      </c>
      <c r="L168">
        <v>1.54</v>
      </c>
      <c r="M168" t="s">
        <v>46</v>
      </c>
      <c r="N168" t="s">
        <v>1620</v>
      </c>
      <c r="O168">
        <v>8.2</v>
      </c>
      <c r="P168">
        <v>7.9</v>
      </c>
      <c r="Q168">
        <v>7.93</v>
      </c>
      <c r="R168">
        <v>7.95</v>
      </c>
      <c r="S168">
        <v>3.77</v>
      </c>
      <c r="T168">
        <v>1.54</v>
      </c>
      <c r="U168">
        <v>-75.53</v>
      </c>
      <c r="V168" t="s">
        <v>1558</v>
      </c>
      <c r="W168">
        <v>8.07</v>
      </c>
      <c r="X168" t="s">
        <v>1621</v>
      </c>
      <c r="Y168" t="s">
        <v>1622</v>
      </c>
      <c r="Z168">
        <v>0.79</v>
      </c>
      <c r="AA168">
        <v>906</v>
      </c>
      <c r="AB168">
        <v>7111</v>
      </c>
      <c r="AC168">
        <v>1.82</v>
      </c>
      <c r="AD168" t="s">
        <v>1623</v>
      </c>
      <c r="AE168" t="s">
        <v>1624</v>
      </c>
      <c r="AF168" t="s">
        <v>1625</v>
      </c>
      <c r="AG168" t="s">
        <v>1626</v>
      </c>
      <c r="AH168">
        <v>7.51</v>
      </c>
      <c r="AI168">
        <v>9.83</v>
      </c>
      <c r="AJ168">
        <v>3.95</v>
      </c>
      <c r="AK168">
        <v>6.54</v>
      </c>
      <c r="AL168">
        <v>4</v>
      </c>
      <c r="AM168">
        <v>2.64</v>
      </c>
      <c r="AN168">
        <v>29.32</v>
      </c>
      <c r="AO168">
        <v>16.41</v>
      </c>
      <c r="AP168">
        <v>49.45</v>
      </c>
    </row>
    <row r="169" spans="1:42">
      <c r="A169">
        <v>168</v>
      </c>
      <c r="B169" t="str">
        <f>"002271"</f>
        <v>002271</v>
      </c>
      <c r="C169" t="s">
        <v>1627</v>
      </c>
      <c r="D169">
        <v>21.19</v>
      </c>
      <c r="E169">
        <v>-1.58</v>
      </c>
      <c r="F169">
        <v>-0.34</v>
      </c>
      <c r="G169" t="s">
        <v>1628</v>
      </c>
      <c r="H169">
        <v>3813</v>
      </c>
      <c r="I169">
        <v>21.18</v>
      </c>
      <c r="J169">
        <v>21.19</v>
      </c>
      <c r="K169" t="s">
        <v>1629</v>
      </c>
      <c r="L169">
        <v>1.95</v>
      </c>
      <c r="M169" t="s">
        <v>46</v>
      </c>
      <c r="N169" t="s">
        <v>1630</v>
      </c>
      <c r="O169">
        <v>21.55</v>
      </c>
      <c r="P169">
        <v>20.87</v>
      </c>
      <c r="Q169">
        <v>21.43</v>
      </c>
      <c r="R169">
        <v>21.53</v>
      </c>
      <c r="S169">
        <v>3.16</v>
      </c>
      <c r="T169">
        <v>1.03</v>
      </c>
      <c r="U169">
        <v>12.84</v>
      </c>
      <c r="V169">
        <v>586</v>
      </c>
      <c r="W169">
        <v>21.09</v>
      </c>
      <c r="X169" t="s">
        <v>99</v>
      </c>
      <c r="Y169" t="s">
        <v>509</v>
      </c>
      <c r="Z169">
        <v>0.9</v>
      </c>
      <c r="AA169">
        <v>1242</v>
      </c>
      <c r="AB169">
        <v>366</v>
      </c>
      <c r="AC169">
        <v>1.84</v>
      </c>
      <c r="AD169" t="s">
        <v>1631</v>
      </c>
      <c r="AE169" t="s">
        <v>1632</v>
      </c>
      <c r="AF169" t="s">
        <v>1633</v>
      </c>
      <c r="AG169" t="s">
        <v>1634</v>
      </c>
      <c r="AH169">
        <v>-4.89</v>
      </c>
      <c r="AI169">
        <v>-7.87</v>
      </c>
      <c r="AJ169">
        <v>5.85</v>
      </c>
      <c r="AK169">
        <v>11.41</v>
      </c>
      <c r="AL169">
        <v>-5</v>
      </c>
      <c r="AM169">
        <v>-1.58</v>
      </c>
      <c r="AN169">
        <v>-36.69</v>
      </c>
      <c r="AO169">
        <v>-10.85</v>
      </c>
      <c r="AP169">
        <v>-29.06</v>
      </c>
    </row>
    <row r="170" spans="1:42">
      <c r="A170">
        <v>169</v>
      </c>
      <c r="B170" t="str">
        <f>"603536"</f>
        <v>603536</v>
      </c>
      <c r="C170" t="s">
        <v>1635</v>
      </c>
      <c r="D170">
        <v>15.19</v>
      </c>
      <c r="E170">
        <v>9.99</v>
      </c>
      <c r="F170">
        <v>1.38</v>
      </c>
      <c r="G170" t="s">
        <v>1636</v>
      </c>
      <c r="H170">
        <v>388</v>
      </c>
      <c r="I170">
        <v>15.19</v>
      </c>
      <c r="J170" t="s">
        <v>76</v>
      </c>
      <c r="K170" t="s">
        <v>1637</v>
      </c>
      <c r="L170">
        <v>22.49</v>
      </c>
      <c r="M170" t="s">
        <v>46</v>
      </c>
      <c r="N170" t="s">
        <v>1638</v>
      </c>
      <c r="O170">
        <v>15.19</v>
      </c>
      <c r="P170">
        <v>13.54</v>
      </c>
      <c r="Q170">
        <v>14.58</v>
      </c>
      <c r="R170">
        <v>13.81</v>
      </c>
      <c r="S170">
        <v>11.95</v>
      </c>
      <c r="T170">
        <v>2.14</v>
      </c>
      <c r="U170">
        <v>100</v>
      </c>
      <c r="V170" t="s">
        <v>1639</v>
      </c>
      <c r="W170">
        <v>14.88</v>
      </c>
      <c r="X170" t="s">
        <v>1640</v>
      </c>
      <c r="Y170" t="s">
        <v>652</v>
      </c>
      <c r="Z170">
        <v>1.86</v>
      </c>
      <c r="AA170" t="s">
        <v>117</v>
      </c>
      <c r="AB170">
        <v>0</v>
      </c>
      <c r="AC170">
        <v>7.98</v>
      </c>
      <c r="AD170" t="s">
        <v>1641</v>
      </c>
      <c r="AE170" t="s">
        <v>1642</v>
      </c>
      <c r="AF170" t="s">
        <v>1641</v>
      </c>
      <c r="AG170" t="s">
        <v>1642</v>
      </c>
      <c r="AH170">
        <v>33.13</v>
      </c>
      <c r="AI170">
        <v>77.25</v>
      </c>
      <c r="AJ170">
        <v>58.24</v>
      </c>
      <c r="AK170">
        <v>75</v>
      </c>
      <c r="AL170">
        <v>6</v>
      </c>
      <c r="AM170">
        <v>9.99</v>
      </c>
      <c r="AN170">
        <v>90.35</v>
      </c>
      <c r="AO170">
        <v>86.61</v>
      </c>
      <c r="AP170">
        <v>119.19</v>
      </c>
    </row>
    <row r="171" spans="1:42">
      <c r="A171">
        <v>170</v>
      </c>
      <c r="B171" t="str">
        <f>"002315"</f>
        <v>002315</v>
      </c>
      <c r="C171" t="s">
        <v>1643</v>
      </c>
      <c r="D171">
        <v>33.55</v>
      </c>
      <c r="E171">
        <v>10</v>
      </c>
      <c r="F171">
        <v>3.05</v>
      </c>
      <c r="G171" t="s">
        <v>1644</v>
      </c>
      <c r="H171">
        <v>234</v>
      </c>
      <c r="I171">
        <v>33.55</v>
      </c>
      <c r="J171" t="s">
        <v>76</v>
      </c>
      <c r="K171" t="s">
        <v>1637</v>
      </c>
      <c r="L171">
        <v>12.56</v>
      </c>
      <c r="M171" t="s">
        <v>46</v>
      </c>
      <c r="N171" t="s">
        <v>1645</v>
      </c>
      <c r="O171">
        <v>33.55</v>
      </c>
      <c r="P171">
        <v>30.16</v>
      </c>
      <c r="Q171">
        <v>30.2</v>
      </c>
      <c r="R171">
        <v>30.5</v>
      </c>
      <c r="S171">
        <v>11.11</v>
      </c>
      <c r="T171">
        <v>2.2</v>
      </c>
      <c r="U171">
        <v>100</v>
      </c>
      <c r="V171" t="s">
        <v>1646</v>
      </c>
      <c r="W171">
        <v>32.87</v>
      </c>
      <c r="X171" t="s">
        <v>447</v>
      </c>
      <c r="Y171" t="s">
        <v>446</v>
      </c>
      <c r="Z171">
        <v>0.95</v>
      </c>
      <c r="AA171">
        <v>9195</v>
      </c>
      <c r="AB171">
        <v>0</v>
      </c>
      <c r="AC171">
        <v>4.44</v>
      </c>
      <c r="AD171" t="s">
        <v>1647</v>
      </c>
      <c r="AE171" t="s">
        <v>1648</v>
      </c>
      <c r="AF171" t="s">
        <v>1649</v>
      </c>
      <c r="AG171" t="s">
        <v>1650</v>
      </c>
      <c r="AH171">
        <v>10.51</v>
      </c>
      <c r="AI171">
        <v>-1.32</v>
      </c>
      <c r="AJ171">
        <v>21.63</v>
      </c>
      <c r="AK171">
        <v>41.08</v>
      </c>
      <c r="AL171">
        <v>1</v>
      </c>
      <c r="AM171">
        <v>10</v>
      </c>
      <c r="AN171">
        <v>96.08</v>
      </c>
      <c r="AO171">
        <v>15.25</v>
      </c>
      <c r="AP171">
        <v>136.43</v>
      </c>
    </row>
    <row r="172" spans="1:42">
      <c r="A172">
        <v>171</v>
      </c>
      <c r="B172" t="str">
        <f>"002291"</f>
        <v>002291</v>
      </c>
      <c r="C172" t="s">
        <v>1651</v>
      </c>
      <c r="D172">
        <v>10.54</v>
      </c>
      <c r="E172">
        <v>5.61</v>
      </c>
      <c r="F172">
        <v>0.56</v>
      </c>
      <c r="G172" t="s">
        <v>1652</v>
      </c>
      <c r="H172">
        <v>8801</v>
      </c>
      <c r="I172">
        <v>10.54</v>
      </c>
      <c r="J172">
        <v>10.55</v>
      </c>
      <c r="K172" t="s">
        <v>1653</v>
      </c>
      <c r="L172">
        <v>8.86</v>
      </c>
      <c r="M172" t="s">
        <v>46</v>
      </c>
      <c r="N172" t="s">
        <v>1654</v>
      </c>
      <c r="O172">
        <v>10.59</v>
      </c>
      <c r="P172">
        <v>9.99</v>
      </c>
      <c r="Q172">
        <v>10.03</v>
      </c>
      <c r="R172">
        <v>9.98</v>
      </c>
      <c r="S172">
        <v>6.01</v>
      </c>
      <c r="T172">
        <v>1.39</v>
      </c>
      <c r="U172">
        <v>-14.65</v>
      </c>
      <c r="V172">
        <v>-2340</v>
      </c>
      <c r="W172">
        <v>10.38</v>
      </c>
      <c r="X172" t="s">
        <v>852</v>
      </c>
      <c r="Y172" t="s">
        <v>1621</v>
      </c>
      <c r="Z172">
        <v>0.73</v>
      </c>
      <c r="AA172">
        <v>984</v>
      </c>
      <c r="AB172">
        <v>3742</v>
      </c>
      <c r="AC172">
        <v>1.95</v>
      </c>
      <c r="AD172" t="s">
        <v>1655</v>
      </c>
      <c r="AE172" t="s">
        <v>1656</v>
      </c>
      <c r="AF172" t="s">
        <v>1657</v>
      </c>
      <c r="AG172" t="s">
        <v>1658</v>
      </c>
      <c r="AH172">
        <v>3.64</v>
      </c>
      <c r="AI172">
        <v>-4.36</v>
      </c>
      <c r="AJ172">
        <v>18.19</v>
      </c>
      <c r="AK172">
        <v>40.74</v>
      </c>
      <c r="AL172">
        <v>1</v>
      </c>
      <c r="AM172">
        <v>5.61</v>
      </c>
      <c r="AN172">
        <v>-18.92</v>
      </c>
      <c r="AO172">
        <v>18.16</v>
      </c>
      <c r="AP172">
        <v>-26.5</v>
      </c>
    </row>
    <row r="173" spans="1:42">
      <c r="A173">
        <v>172</v>
      </c>
      <c r="B173" t="str">
        <f>"002624"</f>
        <v>002624</v>
      </c>
      <c r="C173" t="s">
        <v>1659</v>
      </c>
      <c r="D173">
        <v>13.28</v>
      </c>
      <c r="E173">
        <v>5.31</v>
      </c>
      <c r="F173">
        <v>0.67</v>
      </c>
      <c r="G173" t="s">
        <v>1660</v>
      </c>
      <c r="H173">
        <v>8041</v>
      </c>
      <c r="I173">
        <v>13.28</v>
      </c>
      <c r="J173">
        <v>13.29</v>
      </c>
      <c r="K173" t="s">
        <v>1661</v>
      </c>
      <c r="L173">
        <v>3.38</v>
      </c>
      <c r="M173" t="s">
        <v>46</v>
      </c>
      <c r="N173" t="s">
        <v>1662</v>
      </c>
      <c r="O173">
        <v>13.43</v>
      </c>
      <c r="P173">
        <v>12.62</v>
      </c>
      <c r="Q173">
        <v>12.63</v>
      </c>
      <c r="R173">
        <v>12.61</v>
      </c>
      <c r="S173">
        <v>6.42</v>
      </c>
      <c r="T173">
        <v>2.69</v>
      </c>
      <c r="U173">
        <v>-50.39</v>
      </c>
      <c r="V173">
        <v>-6781</v>
      </c>
      <c r="W173">
        <v>13.05</v>
      </c>
      <c r="X173" t="s">
        <v>1420</v>
      </c>
      <c r="Y173" t="s">
        <v>1640</v>
      </c>
      <c r="Z173">
        <v>0.72</v>
      </c>
      <c r="AA173">
        <v>1286</v>
      </c>
      <c r="AB173">
        <v>1682</v>
      </c>
      <c r="AC173">
        <v>2.84</v>
      </c>
      <c r="AD173" t="s">
        <v>1663</v>
      </c>
      <c r="AE173" t="s">
        <v>1664</v>
      </c>
      <c r="AF173" t="s">
        <v>1665</v>
      </c>
      <c r="AG173" t="s">
        <v>1666</v>
      </c>
      <c r="AH173">
        <v>4.16</v>
      </c>
      <c r="AI173">
        <v>0.68</v>
      </c>
      <c r="AJ173">
        <v>5.47</v>
      </c>
      <c r="AK173">
        <v>9.64</v>
      </c>
      <c r="AL173">
        <v>1</v>
      </c>
      <c r="AM173">
        <v>5.31</v>
      </c>
      <c r="AN173">
        <v>7.36</v>
      </c>
      <c r="AO173">
        <v>7.01</v>
      </c>
      <c r="AP173">
        <v>1.68</v>
      </c>
    </row>
    <row r="174" spans="1:42">
      <c r="A174">
        <v>173</v>
      </c>
      <c r="B174" t="str">
        <f>"002603"</f>
        <v>002603</v>
      </c>
      <c r="C174" t="s">
        <v>1667</v>
      </c>
      <c r="D174">
        <v>24.88</v>
      </c>
      <c r="E174">
        <v>-0.96</v>
      </c>
      <c r="F174">
        <v>-0.24</v>
      </c>
      <c r="G174" t="s">
        <v>1021</v>
      </c>
      <c r="H174">
        <v>4048</v>
      </c>
      <c r="I174">
        <v>24.87</v>
      </c>
      <c r="J174">
        <v>24.88</v>
      </c>
      <c r="K174" t="s">
        <v>1668</v>
      </c>
      <c r="L174">
        <v>2.34</v>
      </c>
      <c r="M174" t="s">
        <v>46</v>
      </c>
      <c r="N174" t="s">
        <v>1669</v>
      </c>
      <c r="O174">
        <v>25.27</v>
      </c>
      <c r="P174">
        <v>24.73</v>
      </c>
      <c r="Q174">
        <v>24.93</v>
      </c>
      <c r="R174">
        <v>25.12</v>
      </c>
      <c r="S174">
        <v>2.15</v>
      </c>
      <c r="T174">
        <v>0.44</v>
      </c>
      <c r="U174">
        <v>28.61</v>
      </c>
      <c r="V174">
        <v>1037</v>
      </c>
      <c r="W174">
        <v>24.92</v>
      </c>
      <c r="X174" t="s">
        <v>1439</v>
      </c>
      <c r="Y174" t="s">
        <v>562</v>
      </c>
      <c r="Z174">
        <v>1.08</v>
      </c>
      <c r="AA174">
        <v>975</v>
      </c>
      <c r="AB174">
        <v>11</v>
      </c>
      <c r="AC174">
        <v>3.51</v>
      </c>
      <c r="AD174" t="s">
        <v>1670</v>
      </c>
      <c r="AE174" t="s">
        <v>1671</v>
      </c>
      <c r="AF174" t="s">
        <v>1672</v>
      </c>
      <c r="AG174" t="s">
        <v>1673</v>
      </c>
      <c r="AH174">
        <v>-3.98</v>
      </c>
      <c r="AI174">
        <v>3.71</v>
      </c>
      <c r="AJ174">
        <v>8.36</v>
      </c>
      <c r="AK174">
        <v>28.96</v>
      </c>
      <c r="AL174">
        <v>-3</v>
      </c>
      <c r="AM174">
        <v>-0.96</v>
      </c>
      <c r="AN174">
        <v>-15.55</v>
      </c>
      <c r="AO174">
        <v>13.5</v>
      </c>
      <c r="AP174">
        <v>-41.71</v>
      </c>
    </row>
    <row r="175" spans="1:42">
      <c r="A175">
        <v>174</v>
      </c>
      <c r="B175" t="str">
        <f>"300199"</f>
        <v>300199</v>
      </c>
      <c r="C175" t="s">
        <v>1674</v>
      </c>
      <c r="D175">
        <v>14.19</v>
      </c>
      <c r="E175">
        <v>2.75</v>
      </c>
      <c r="F175">
        <v>0.38</v>
      </c>
      <c r="G175" t="s">
        <v>1675</v>
      </c>
      <c r="H175">
        <v>4154</v>
      </c>
      <c r="I175">
        <v>14.18</v>
      </c>
      <c r="J175">
        <v>14.19</v>
      </c>
      <c r="K175" t="s">
        <v>1676</v>
      </c>
      <c r="L175">
        <v>8.41</v>
      </c>
      <c r="M175" t="s">
        <v>46</v>
      </c>
      <c r="N175" t="s">
        <v>1677</v>
      </c>
      <c r="O175">
        <v>14.56</v>
      </c>
      <c r="P175">
        <v>14.01</v>
      </c>
      <c r="Q175">
        <v>14.07</v>
      </c>
      <c r="R175">
        <v>13.81</v>
      </c>
      <c r="S175">
        <v>3.98</v>
      </c>
      <c r="T175">
        <v>0.68</v>
      </c>
      <c r="U175">
        <v>-17.79</v>
      </c>
      <c r="V175">
        <v>-1575</v>
      </c>
      <c r="W175">
        <v>14.28</v>
      </c>
      <c r="X175" t="s">
        <v>711</v>
      </c>
      <c r="Y175" t="s">
        <v>1678</v>
      </c>
      <c r="Z175">
        <v>1.04</v>
      </c>
      <c r="AA175">
        <v>1724</v>
      </c>
      <c r="AB175">
        <v>1245</v>
      </c>
      <c r="AC175">
        <v>11.15</v>
      </c>
      <c r="AD175" t="s">
        <v>1679</v>
      </c>
      <c r="AE175" t="s">
        <v>1680</v>
      </c>
      <c r="AF175" t="s">
        <v>1681</v>
      </c>
      <c r="AG175" t="s">
        <v>1682</v>
      </c>
      <c r="AH175">
        <v>-6.77</v>
      </c>
      <c r="AI175">
        <v>-11.26</v>
      </c>
      <c r="AJ175">
        <v>26.65</v>
      </c>
      <c r="AK175">
        <v>70.32</v>
      </c>
      <c r="AL175">
        <v>1</v>
      </c>
      <c r="AM175">
        <v>2.75</v>
      </c>
      <c r="AN175">
        <v>-19.28</v>
      </c>
      <c r="AO175">
        <v>-19.97</v>
      </c>
      <c r="AP175">
        <v>-2.74</v>
      </c>
    </row>
    <row r="176" spans="1:42">
      <c r="A176">
        <v>175</v>
      </c>
      <c r="B176" t="str">
        <f>"002232"</f>
        <v>002232</v>
      </c>
      <c r="C176" t="s">
        <v>1683</v>
      </c>
      <c r="D176">
        <v>20.38</v>
      </c>
      <c r="E176">
        <v>9.98</v>
      </c>
      <c r="F176">
        <v>1.85</v>
      </c>
      <c r="G176" t="s">
        <v>1684</v>
      </c>
      <c r="H176">
        <v>292</v>
      </c>
      <c r="I176">
        <v>20.38</v>
      </c>
      <c r="J176" t="s">
        <v>76</v>
      </c>
      <c r="K176" t="s">
        <v>1685</v>
      </c>
      <c r="L176">
        <v>9.69</v>
      </c>
      <c r="M176" t="s">
        <v>46</v>
      </c>
      <c r="N176" t="s">
        <v>1686</v>
      </c>
      <c r="O176">
        <v>20.38</v>
      </c>
      <c r="P176">
        <v>18.5</v>
      </c>
      <c r="Q176">
        <v>18.5</v>
      </c>
      <c r="R176">
        <v>18.53</v>
      </c>
      <c r="S176">
        <v>10.15</v>
      </c>
      <c r="T176">
        <v>0.91</v>
      </c>
      <c r="U176">
        <v>100</v>
      </c>
      <c r="V176" t="s">
        <v>837</v>
      </c>
      <c r="W176">
        <v>20.18</v>
      </c>
      <c r="X176" t="s">
        <v>272</v>
      </c>
      <c r="Y176" t="s">
        <v>784</v>
      </c>
      <c r="Z176">
        <v>1.88</v>
      </c>
      <c r="AA176" t="s">
        <v>1687</v>
      </c>
      <c r="AB176">
        <v>0</v>
      </c>
      <c r="AC176">
        <v>5.84</v>
      </c>
      <c r="AD176" t="s">
        <v>1688</v>
      </c>
      <c r="AE176" t="s">
        <v>1689</v>
      </c>
      <c r="AF176" t="s">
        <v>1688</v>
      </c>
      <c r="AG176" t="s">
        <v>1689</v>
      </c>
      <c r="AH176">
        <v>-2.95</v>
      </c>
      <c r="AI176">
        <v>0</v>
      </c>
      <c r="AJ176">
        <v>36.99</v>
      </c>
      <c r="AK176">
        <v>62.95</v>
      </c>
      <c r="AL176">
        <v>1</v>
      </c>
      <c r="AM176">
        <v>9.98</v>
      </c>
      <c r="AN176">
        <v>62.78</v>
      </c>
      <c r="AO176">
        <v>13.35</v>
      </c>
      <c r="AP176">
        <v>48.22</v>
      </c>
    </row>
    <row r="177" spans="1:42">
      <c r="A177">
        <v>176</v>
      </c>
      <c r="B177" t="str">
        <f>"300210"</f>
        <v>300210</v>
      </c>
      <c r="C177" t="s">
        <v>1690</v>
      </c>
      <c r="D177">
        <v>10.88</v>
      </c>
      <c r="E177">
        <v>9.02</v>
      </c>
      <c r="F177">
        <v>0.9</v>
      </c>
      <c r="G177" t="s">
        <v>1691</v>
      </c>
      <c r="H177" t="s">
        <v>1692</v>
      </c>
      <c r="I177">
        <v>10.88</v>
      </c>
      <c r="J177">
        <v>10.89</v>
      </c>
      <c r="K177" t="s">
        <v>1693</v>
      </c>
      <c r="L177">
        <v>15.21</v>
      </c>
      <c r="M177" t="s">
        <v>46</v>
      </c>
      <c r="N177" t="s">
        <v>1694</v>
      </c>
      <c r="O177">
        <v>11.43</v>
      </c>
      <c r="P177">
        <v>10.39</v>
      </c>
      <c r="Q177">
        <v>10.55</v>
      </c>
      <c r="R177">
        <v>9.98</v>
      </c>
      <c r="S177">
        <v>10.42</v>
      </c>
      <c r="T177">
        <v>0.93</v>
      </c>
      <c r="U177">
        <v>16.14</v>
      </c>
      <c r="V177">
        <v>1244</v>
      </c>
      <c r="W177">
        <v>10.85</v>
      </c>
      <c r="X177" t="s">
        <v>935</v>
      </c>
      <c r="Y177" t="s">
        <v>1695</v>
      </c>
      <c r="Z177">
        <v>0.9</v>
      </c>
      <c r="AA177">
        <v>3831</v>
      </c>
      <c r="AB177">
        <v>136</v>
      </c>
      <c r="AC177">
        <v>9.87</v>
      </c>
      <c r="AD177" t="s">
        <v>1696</v>
      </c>
      <c r="AE177" t="s">
        <v>1697</v>
      </c>
      <c r="AF177" t="s">
        <v>1698</v>
      </c>
      <c r="AG177" t="s">
        <v>1699</v>
      </c>
      <c r="AH177">
        <v>3.42</v>
      </c>
      <c r="AI177">
        <v>-3.12</v>
      </c>
      <c r="AJ177">
        <v>37.05</v>
      </c>
      <c r="AK177">
        <v>96.94</v>
      </c>
      <c r="AL177">
        <v>2</v>
      </c>
      <c r="AM177">
        <v>9.02</v>
      </c>
      <c r="AN177">
        <v>272.6</v>
      </c>
      <c r="AO177">
        <v>49.04</v>
      </c>
      <c r="AP177">
        <v>236.84</v>
      </c>
    </row>
    <row r="178" spans="1:42">
      <c r="A178">
        <v>177</v>
      </c>
      <c r="B178" t="str">
        <f>"601099"</f>
        <v>601099</v>
      </c>
      <c r="C178" t="s">
        <v>1700</v>
      </c>
      <c r="D178">
        <v>3.83</v>
      </c>
      <c r="E178">
        <v>0.79</v>
      </c>
      <c r="F178">
        <v>0.03</v>
      </c>
      <c r="G178" t="s">
        <v>1701</v>
      </c>
      <c r="H178" t="s">
        <v>1312</v>
      </c>
      <c r="I178">
        <v>3.82</v>
      </c>
      <c r="J178">
        <v>3.83</v>
      </c>
      <c r="K178" t="s">
        <v>1693</v>
      </c>
      <c r="L178">
        <v>3.07</v>
      </c>
      <c r="M178" t="s">
        <v>46</v>
      </c>
      <c r="N178" t="s">
        <v>185</v>
      </c>
      <c r="O178">
        <v>3.84</v>
      </c>
      <c r="P178">
        <v>3.77</v>
      </c>
      <c r="Q178">
        <v>3.79</v>
      </c>
      <c r="R178">
        <v>3.8</v>
      </c>
      <c r="S178">
        <v>1.84</v>
      </c>
      <c r="T178">
        <v>1.04</v>
      </c>
      <c r="U178">
        <v>-4.66</v>
      </c>
      <c r="V178" t="s">
        <v>1702</v>
      </c>
      <c r="W178">
        <v>3.81</v>
      </c>
      <c r="X178" t="s">
        <v>1703</v>
      </c>
      <c r="Y178" t="s">
        <v>1182</v>
      </c>
      <c r="Z178">
        <v>0.86</v>
      </c>
      <c r="AA178" t="s">
        <v>744</v>
      </c>
      <c r="AB178" t="s">
        <v>1704</v>
      </c>
      <c r="AC178">
        <v>2.75</v>
      </c>
      <c r="AD178" t="s">
        <v>1705</v>
      </c>
      <c r="AE178" t="s">
        <v>1706</v>
      </c>
      <c r="AF178" t="s">
        <v>1705</v>
      </c>
      <c r="AG178" t="s">
        <v>1706</v>
      </c>
      <c r="AH178">
        <v>0.79</v>
      </c>
      <c r="AI178">
        <v>-2.05</v>
      </c>
      <c r="AJ178">
        <v>8.64</v>
      </c>
      <c r="AK178">
        <v>17.76</v>
      </c>
      <c r="AL178">
        <v>2</v>
      </c>
      <c r="AM178">
        <v>0.79</v>
      </c>
      <c r="AN178">
        <v>49.03</v>
      </c>
      <c r="AO178">
        <v>4.64</v>
      </c>
      <c r="AP178">
        <v>41.85</v>
      </c>
    </row>
    <row r="179" spans="1:42">
      <c r="A179">
        <v>178</v>
      </c>
      <c r="B179" t="str">
        <f>"300573"</f>
        <v>300573</v>
      </c>
      <c r="C179" t="s">
        <v>1707</v>
      </c>
      <c r="D179">
        <v>163.86</v>
      </c>
      <c r="E179">
        <v>6.75</v>
      </c>
      <c r="F179">
        <v>10.36</v>
      </c>
      <c r="G179" t="s">
        <v>1708</v>
      </c>
      <c r="H179">
        <v>216</v>
      </c>
      <c r="I179">
        <v>163.85</v>
      </c>
      <c r="J179">
        <v>163.86</v>
      </c>
      <c r="K179" t="s">
        <v>1709</v>
      </c>
      <c r="L179">
        <v>5.28</v>
      </c>
      <c r="M179" t="s">
        <v>46</v>
      </c>
      <c r="N179" t="s">
        <v>261</v>
      </c>
      <c r="O179">
        <v>165.21</v>
      </c>
      <c r="P179">
        <v>149.88</v>
      </c>
      <c r="Q179">
        <v>158</v>
      </c>
      <c r="R179">
        <v>153.5</v>
      </c>
      <c r="S179">
        <v>9.99</v>
      </c>
      <c r="T179">
        <v>2.75</v>
      </c>
      <c r="U179">
        <v>-67.21</v>
      </c>
      <c r="V179">
        <v>-115</v>
      </c>
      <c r="W179">
        <v>157.47</v>
      </c>
      <c r="X179" t="s">
        <v>1710</v>
      </c>
      <c r="Y179" t="s">
        <v>1711</v>
      </c>
      <c r="Z179">
        <v>0.84</v>
      </c>
      <c r="AA179">
        <v>8</v>
      </c>
      <c r="AB179">
        <v>13</v>
      </c>
      <c r="AC179">
        <v>12.8</v>
      </c>
      <c r="AD179" t="s">
        <v>1712</v>
      </c>
      <c r="AE179" t="s">
        <v>1713</v>
      </c>
      <c r="AF179" t="s">
        <v>1714</v>
      </c>
      <c r="AG179" t="s">
        <v>1715</v>
      </c>
      <c r="AH179">
        <v>10.75</v>
      </c>
      <c r="AI179">
        <v>7.81</v>
      </c>
      <c r="AJ179">
        <v>9.64</v>
      </c>
      <c r="AK179">
        <v>14.86</v>
      </c>
      <c r="AL179">
        <v>5</v>
      </c>
      <c r="AM179">
        <v>6.75</v>
      </c>
      <c r="AN179">
        <v>86.4</v>
      </c>
      <c r="AO179">
        <v>6.22</v>
      </c>
      <c r="AP179">
        <v>89.78</v>
      </c>
    </row>
    <row r="180" spans="1:42">
      <c r="A180">
        <v>179</v>
      </c>
      <c r="B180" t="str">
        <f>"000903"</f>
        <v>000903</v>
      </c>
      <c r="C180" t="s">
        <v>1716</v>
      </c>
      <c r="D180">
        <v>2.94</v>
      </c>
      <c r="E180">
        <v>-8.98</v>
      </c>
      <c r="F180">
        <v>-0.29</v>
      </c>
      <c r="G180" t="s">
        <v>1717</v>
      </c>
      <c r="H180" t="s">
        <v>1718</v>
      </c>
      <c r="I180">
        <v>2.94</v>
      </c>
      <c r="J180">
        <v>2.95</v>
      </c>
      <c r="K180" t="s">
        <v>1719</v>
      </c>
      <c r="L180">
        <v>13.97</v>
      </c>
      <c r="M180" t="s">
        <v>46</v>
      </c>
      <c r="N180" t="s">
        <v>1720</v>
      </c>
      <c r="O180">
        <v>3.15</v>
      </c>
      <c r="P180">
        <v>2.91</v>
      </c>
      <c r="Q180">
        <v>3.1</v>
      </c>
      <c r="R180">
        <v>3.23</v>
      </c>
      <c r="S180">
        <v>7.43</v>
      </c>
      <c r="T180">
        <v>1.46</v>
      </c>
      <c r="U180">
        <v>67.62</v>
      </c>
      <c r="V180" t="s">
        <v>1721</v>
      </c>
      <c r="W180">
        <v>2.96</v>
      </c>
      <c r="X180" t="s">
        <v>1722</v>
      </c>
      <c r="Y180" t="s">
        <v>65</v>
      </c>
      <c r="Z180">
        <v>1.53</v>
      </c>
      <c r="AA180">
        <v>7236</v>
      </c>
      <c r="AB180">
        <v>5286</v>
      </c>
      <c r="AC180">
        <v>1.45</v>
      </c>
      <c r="AD180" t="s">
        <v>1723</v>
      </c>
      <c r="AE180" t="s">
        <v>1724</v>
      </c>
      <c r="AF180" t="s">
        <v>391</v>
      </c>
      <c r="AG180" t="s">
        <v>1725</v>
      </c>
      <c r="AH180">
        <v>-7.84</v>
      </c>
      <c r="AI180">
        <v>10.94</v>
      </c>
      <c r="AJ180">
        <v>51.62</v>
      </c>
      <c r="AK180">
        <v>61.97</v>
      </c>
      <c r="AL180">
        <v>-1</v>
      </c>
      <c r="AM180">
        <v>-8.98</v>
      </c>
      <c r="AN180">
        <v>15.29</v>
      </c>
      <c r="AO180">
        <v>19.03</v>
      </c>
      <c r="AP180">
        <v>5.38</v>
      </c>
    </row>
    <row r="181" spans="1:42">
      <c r="A181">
        <v>180</v>
      </c>
      <c r="B181" t="str">
        <f>"300255"</f>
        <v>300255</v>
      </c>
      <c r="C181" t="s">
        <v>1726</v>
      </c>
      <c r="D181">
        <v>12.77</v>
      </c>
      <c r="E181">
        <v>1.03</v>
      </c>
      <c r="F181">
        <v>0.13</v>
      </c>
      <c r="G181" t="s">
        <v>1727</v>
      </c>
      <c r="H181">
        <v>8438</v>
      </c>
      <c r="I181">
        <v>12.76</v>
      </c>
      <c r="J181">
        <v>12.77</v>
      </c>
      <c r="K181" t="s">
        <v>1728</v>
      </c>
      <c r="L181">
        <v>6.68</v>
      </c>
      <c r="M181" t="s">
        <v>46</v>
      </c>
      <c r="N181" t="s">
        <v>1729</v>
      </c>
      <c r="O181">
        <v>13.23</v>
      </c>
      <c r="P181">
        <v>12.58</v>
      </c>
      <c r="Q181">
        <v>12.7</v>
      </c>
      <c r="R181">
        <v>12.64</v>
      </c>
      <c r="S181">
        <v>5.14</v>
      </c>
      <c r="T181">
        <v>0.62</v>
      </c>
      <c r="U181">
        <v>-30</v>
      </c>
      <c r="V181">
        <v>-2559</v>
      </c>
      <c r="W181">
        <v>12.86</v>
      </c>
      <c r="X181" t="s">
        <v>1730</v>
      </c>
      <c r="Y181" t="s">
        <v>282</v>
      </c>
      <c r="Z181">
        <v>1.21</v>
      </c>
      <c r="AA181">
        <v>621</v>
      </c>
      <c r="AB181">
        <v>1223</v>
      </c>
      <c r="AC181">
        <v>4.41</v>
      </c>
      <c r="AD181" t="s">
        <v>1731</v>
      </c>
      <c r="AE181" t="s">
        <v>1732</v>
      </c>
      <c r="AF181" t="s">
        <v>1733</v>
      </c>
      <c r="AG181" t="s">
        <v>1734</v>
      </c>
      <c r="AH181">
        <v>-3.84</v>
      </c>
      <c r="AI181">
        <v>-17.88</v>
      </c>
      <c r="AJ181">
        <v>20.63</v>
      </c>
      <c r="AK181">
        <v>60.89</v>
      </c>
      <c r="AL181">
        <v>1</v>
      </c>
      <c r="AM181">
        <v>1.03</v>
      </c>
      <c r="AN181">
        <v>133.46</v>
      </c>
      <c r="AO181">
        <v>13.01</v>
      </c>
      <c r="AP181">
        <v>114.98</v>
      </c>
    </row>
    <row r="182" spans="1:42">
      <c r="A182">
        <v>181</v>
      </c>
      <c r="B182" t="str">
        <f>"601279"</f>
        <v>601279</v>
      </c>
      <c r="C182" t="s">
        <v>1735</v>
      </c>
      <c r="D182">
        <v>7.24</v>
      </c>
      <c r="E182">
        <v>3.13</v>
      </c>
      <c r="F182">
        <v>0.22</v>
      </c>
      <c r="G182" t="s">
        <v>1064</v>
      </c>
      <c r="H182">
        <v>4596</v>
      </c>
      <c r="I182">
        <v>7.24</v>
      </c>
      <c r="J182">
        <v>7.25</v>
      </c>
      <c r="K182" t="s">
        <v>1728</v>
      </c>
      <c r="L182">
        <v>55.75</v>
      </c>
      <c r="M182" t="s">
        <v>46</v>
      </c>
      <c r="N182" t="s">
        <v>1736</v>
      </c>
      <c r="O182">
        <v>7.72</v>
      </c>
      <c r="P182">
        <v>6.63</v>
      </c>
      <c r="Q182">
        <v>7.55</v>
      </c>
      <c r="R182">
        <v>7.02</v>
      </c>
      <c r="S182">
        <v>15.53</v>
      </c>
      <c r="T182">
        <v>6.74</v>
      </c>
      <c r="U182">
        <v>69.81</v>
      </c>
      <c r="V182">
        <v>2960</v>
      </c>
      <c r="W182">
        <v>7.22</v>
      </c>
      <c r="X182" t="s">
        <v>1737</v>
      </c>
      <c r="Y182" t="s">
        <v>815</v>
      </c>
      <c r="Z182">
        <v>1.04</v>
      </c>
      <c r="AA182">
        <v>238</v>
      </c>
      <c r="AB182">
        <v>165</v>
      </c>
      <c r="AC182">
        <v>2.89</v>
      </c>
      <c r="AD182" t="s">
        <v>1738</v>
      </c>
      <c r="AE182" t="s">
        <v>1739</v>
      </c>
      <c r="AF182" t="s">
        <v>1740</v>
      </c>
      <c r="AG182" t="s">
        <v>1741</v>
      </c>
      <c r="AH182">
        <v>12.42</v>
      </c>
      <c r="AI182">
        <v>15.65</v>
      </c>
      <c r="AJ182">
        <v>77.21</v>
      </c>
      <c r="AK182">
        <v>97.09</v>
      </c>
      <c r="AL182">
        <v>2</v>
      </c>
      <c r="AM182">
        <v>3.13</v>
      </c>
      <c r="AN182">
        <v>44.22</v>
      </c>
      <c r="AO182">
        <v>21.89</v>
      </c>
      <c r="AP182">
        <v>32.36</v>
      </c>
    </row>
    <row r="183" spans="1:42">
      <c r="A183">
        <v>182</v>
      </c>
      <c r="B183" t="str">
        <f>"002517"</f>
        <v>002517</v>
      </c>
      <c r="C183" t="s">
        <v>1742</v>
      </c>
      <c r="D183">
        <v>12.34</v>
      </c>
      <c r="E183">
        <v>5.65</v>
      </c>
      <c r="F183">
        <v>0.66</v>
      </c>
      <c r="G183" t="s">
        <v>437</v>
      </c>
      <c r="H183" t="s">
        <v>1743</v>
      </c>
      <c r="I183">
        <v>12.34</v>
      </c>
      <c r="J183">
        <v>12.35</v>
      </c>
      <c r="K183" t="s">
        <v>1744</v>
      </c>
      <c r="L183">
        <v>3.41</v>
      </c>
      <c r="M183" t="s">
        <v>46</v>
      </c>
      <c r="N183" t="s">
        <v>1745</v>
      </c>
      <c r="O183">
        <v>12.44</v>
      </c>
      <c r="P183">
        <v>11.45</v>
      </c>
      <c r="Q183">
        <v>11.55</v>
      </c>
      <c r="R183">
        <v>11.68</v>
      </c>
      <c r="S183">
        <v>8.48</v>
      </c>
      <c r="T183">
        <v>1.89</v>
      </c>
      <c r="U183">
        <v>-61.37</v>
      </c>
      <c r="V183">
        <v>-5523</v>
      </c>
      <c r="W183">
        <v>12.04</v>
      </c>
      <c r="X183" t="s">
        <v>1293</v>
      </c>
      <c r="Y183" t="s">
        <v>166</v>
      </c>
      <c r="Z183">
        <v>0.72</v>
      </c>
      <c r="AA183">
        <v>237</v>
      </c>
      <c r="AB183">
        <v>2393</v>
      </c>
      <c r="AC183">
        <v>5.29</v>
      </c>
      <c r="AD183" t="s">
        <v>1746</v>
      </c>
      <c r="AE183" t="s">
        <v>1747</v>
      </c>
      <c r="AF183" t="s">
        <v>1748</v>
      </c>
      <c r="AG183" t="s">
        <v>1749</v>
      </c>
      <c r="AH183">
        <v>3.96</v>
      </c>
      <c r="AI183">
        <v>0</v>
      </c>
      <c r="AJ183">
        <v>6.45</v>
      </c>
      <c r="AK183">
        <v>12.41</v>
      </c>
      <c r="AL183">
        <v>1</v>
      </c>
      <c r="AM183">
        <v>5.65</v>
      </c>
      <c r="AN183">
        <v>91.02</v>
      </c>
      <c r="AO183">
        <v>11.67</v>
      </c>
      <c r="AP183">
        <v>86.4</v>
      </c>
    </row>
    <row r="184" spans="1:42">
      <c r="A184">
        <v>183</v>
      </c>
      <c r="B184" t="str">
        <f>"300678"</f>
        <v>300678</v>
      </c>
      <c r="C184" t="s">
        <v>1750</v>
      </c>
      <c r="D184">
        <v>33.28</v>
      </c>
      <c r="E184">
        <v>7.88</v>
      </c>
      <c r="F184">
        <v>2.43</v>
      </c>
      <c r="G184" t="s">
        <v>572</v>
      </c>
      <c r="H184">
        <v>3016</v>
      </c>
      <c r="I184">
        <v>33.27</v>
      </c>
      <c r="J184">
        <v>33.28</v>
      </c>
      <c r="K184" t="s">
        <v>1751</v>
      </c>
      <c r="L184">
        <v>8.43</v>
      </c>
      <c r="M184" t="s">
        <v>46</v>
      </c>
      <c r="N184" t="s">
        <v>1752</v>
      </c>
      <c r="O184">
        <v>33.99</v>
      </c>
      <c r="P184">
        <v>30.81</v>
      </c>
      <c r="Q184">
        <v>30.84</v>
      </c>
      <c r="R184">
        <v>30.85</v>
      </c>
      <c r="S184">
        <v>10.31</v>
      </c>
      <c r="T184">
        <v>3.14</v>
      </c>
      <c r="U184">
        <v>-69.92</v>
      </c>
      <c r="V184">
        <v>-1718</v>
      </c>
      <c r="W184">
        <v>32.57</v>
      </c>
      <c r="X184" t="s">
        <v>1753</v>
      </c>
      <c r="Y184" t="s">
        <v>1296</v>
      </c>
      <c r="Z184">
        <v>0.7</v>
      </c>
      <c r="AA184">
        <v>89</v>
      </c>
      <c r="AB184">
        <v>897</v>
      </c>
      <c r="AC184">
        <v>11.59</v>
      </c>
      <c r="AD184" t="s">
        <v>1754</v>
      </c>
      <c r="AE184" t="s">
        <v>1755</v>
      </c>
      <c r="AF184" t="s">
        <v>1756</v>
      </c>
      <c r="AG184" t="s">
        <v>1757</v>
      </c>
      <c r="AH184">
        <v>7.01</v>
      </c>
      <c r="AI184">
        <v>1.28</v>
      </c>
      <c r="AJ184">
        <v>12.75</v>
      </c>
      <c r="AK184">
        <v>21.85</v>
      </c>
      <c r="AL184">
        <v>2</v>
      </c>
      <c r="AM184">
        <v>7.88</v>
      </c>
      <c r="AN184">
        <v>203.93</v>
      </c>
      <c r="AO184">
        <v>13.78</v>
      </c>
      <c r="AP184">
        <v>167.74</v>
      </c>
    </row>
    <row r="185" spans="1:42">
      <c r="A185">
        <v>184</v>
      </c>
      <c r="B185" t="str">
        <f>"002812"</f>
        <v>002812</v>
      </c>
      <c r="C185" t="s">
        <v>1758</v>
      </c>
      <c r="D185">
        <v>58.13</v>
      </c>
      <c r="E185">
        <v>-1.26</v>
      </c>
      <c r="F185">
        <v>-0.74</v>
      </c>
      <c r="G185" t="s">
        <v>1759</v>
      </c>
      <c r="H185">
        <v>1585</v>
      </c>
      <c r="I185">
        <v>58.13</v>
      </c>
      <c r="J185">
        <v>58.15</v>
      </c>
      <c r="K185" t="s">
        <v>1760</v>
      </c>
      <c r="L185">
        <v>1.79</v>
      </c>
      <c r="M185" t="s">
        <v>46</v>
      </c>
      <c r="N185" t="s">
        <v>1761</v>
      </c>
      <c r="O185">
        <v>59.37</v>
      </c>
      <c r="P185">
        <v>57.58</v>
      </c>
      <c r="Q185">
        <v>59</v>
      </c>
      <c r="R185">
        <v>58.87</v>
      </c>
      <c r="S185">
        <v>3.04</v>
      </c>
      <c r="T185">
        <v>1.16</v>
      </c>
      <c r="U185">
        <v>78.6</v>
      </c>
      <c r="V185">
        <v>1278</v>
      </c>
      <c r="W185">
        <v>58.33</v>
      </c>
      <c r="X185" t="s">
        <v>1721</v>
      </c>
      <c r="Y185" t="s">
        <v>1762</v>
      </c>
      <c r="Z185">
        <v>1.01</v>
      </c>
      <c r="AA185">
        <v>60</v>
      </c>
      <c r="AB185">
        <v>13</v>
      </c>
      <c r="AC185">
        <v>2.11</v>
      </c>
      <c r="AD185" t="s">
        <v>1763</v>
      </c>
      <c r="AE185" t="s">
        <v>1764</v>
      </c>
      <c r="AF185" t="s">
        <v>1765</v>
      </c>
      <c r="AG185" t="s">
        <v>1766</v>
      </c>
      <c r="AH185">
        <v>-3.81</v>
      </c>
      <c r="AI185">
        <v>-5.17</v>
      </c>
      <c r="AJ185">
        <v>4.7</v>
      </c>
      <c r="AK185">
        <v>9.53</v>
      </c>
      <c r="AL185">
        <v>-1</v>
      </c>
      <c r="AM185">
        <v>-1.26</v>
      </c>
      <c r="AN185">
        <v>-55.6</v>
      </c>
      <c r="AO185">
        <v>-8.51</v>
      </c>
      <c r="AP185">
        <v>-58.42</v>
      </c>
    </row>
    <row r="186" spans="1:42">
      <c r="A186">
        <v>185</v>
      </c>
      <c r="B186" t="str">
        <f>"600742"</f>
        <v>600742</v>
      </c>
      <c r="C186" t="s">
        <v>1767</v>
      </c>
      <c r="D186">
        <v>11.64</v>
      </c>
      <c r="E186">
        <v>-0.94</v>
      </c>
      <c r="F186">
        <v>-0.11</v>
      </c>
      <c r="G186" t="s">
        <v>1768</v>
      </c>
      <c r="H186" t="s">
        <v>1769</v>
      </c>
      <c r="I186">
        <v>11.63</v>
      </c>
      <c r="J186">
        <v>11.64</v>
      </c>
      <c r="K186" t="s">
        <v>1760</v>
      </c>
      <c r="L186">
        <v>9.82</v>
      </c>
      <c r="M186" t="s">
        <v>46</v>
      </c>
      <c r="N186" t="s">
        <v>1319</v>
      </c>
      <c r="O186">
        <v>11.95</v>
      </c>
      <c r="P186">
        <v>11.2</v>
      </c>
      <c r="Q186">
        <v>11.75</v>
      </c>
      <c r="R186">
        <v>11.75</v>
      </c>
      <c r="S186">
        <v>6.38</v>
      </c>
      <c r="T186">
        <v>0.74</v>
      </c>
      <c r="U186">
        <v>11.88</v>
      </c>
      <c r="V186">
        <v>1049</v>
      </c>
      <c r="W186">
        <v>11.57</v>
      </c>
      <c r="X186" t="s">
        <v>1770</v>
      </c>
      <c r="Y186" t="s">
        <v>1304</v>
      </c>
      <c r="Z186">
        <v>1.11</v>
      </c>
      <c r="AA186">
        <v>1685</v>
      </c>
      <c r="AB186">
        <v>3034</v>
      </c>
      <c r="AC186">
        <v>1.06</v>
      </c>
      <c r="AD186" t="s">
        <v>1771</v>
      </c>
      <c r="AE186" t="s">
        <v>1772</v>
      </c>
      <c r="AF186" t="s">
        <v>1773</v>
      </c>
      <c r="AG186" t="s">
        <v>1774</v>
      </c>
      <c r="AH186">
        <v>-3.64</v>
      </c>
      <c r="AI186">
        <v>13.12</v>
      </c>
      <c r="AJ186">
        <v>43.54</v>
      </c>
      <c r="AK186">
        <v>76.24</v>
      </c>
      <c r="AL186">
        <v>-2</v>
      </c>
      <c r="AM186">
        <v>-0.94</v>
      </c>
      <c r="AN186">
        <v>43.53</v>
      </c>
      <c r="AO186">
        <v>26.25</v>
      </c>
      <c r="AP186">
        <v>34.72</v>
      </c>
    </row>
    <row r="187" spans="1:42">
      <c r="A187">
        <v>186</v>
      </c>
      <c r="B187" t="str">
        <f>"002702"</f>
        <v>002702</v>
      </c>
      <c r="C187" t="s">
        <v>1775</v>
      </c>
      <c r="D187">
        <v>6.46</v>
      </c>
      <c r="E187">
        <v>-3.15</v>
      </c>
      <c r="F187">
        <v>-0.21</v>
      </c>
      <c r="G187" t="s">
        <v>1776</v>
      </c>
      <c r="H187" t="s">
        <v>1777</v>
      </c>
      <c r="I187">
        <v>6.45</v>
      </c>
      <c r="J187">
        <v>6.46</v>
      </c>
      <c r="K187" t="s">
        <v>1760</v>
      </c>
      <c r="L187">
        <v>29.73</v>
      </c>
      <c r="M187" t="s">
        <v>46</v>
      </c>
      <c r="N187" t="s">
        <v>1778</v>
      </c>
      <c r="O187">
        <v>7.09</v>
      </c>
      <c r="P187">
        <v>6.37</v>
      </c>
      <c r="Q187">
        <v>6.37</v>
      </c>
      <c r="R187">
        <v>6.67</v>
      </c>
      <c r="S187">
        <v>10.79</v>
      </c>
      <c r="T187">
        <v>2.23</v>
      </c>
      <c r="U187">
        <v>40.15</v>
      </c>
      <c r="V187">
        <v>3377</v>
      </c>
      <c r="W187">
        <v>6.71</v>
      </c>
      <c r="X187" t="s">
        <v>1779</v>
      </c>
      <c r="Y187" t="s">
        <v>1780</v>
      </c>
      <c r="Z187">
        <v>1.01</v>
      </c>
      <c r="AA187">
        <v>3586</v>
      </c>
      <c r="AB187">
        <v>403</v>
      </c>
      <c r="AC187">
        <v>3.09</v>
      </c>
      <c r="AD187" t="s">
        <v>1781</v>
      </c>
      <c r="AE187" t="s">
        <v>1782</v>
      </c>
      <c r="AF187" t="s">
        <v>1783</v>
      </c>
      <c r="AG187" t="s">
        <v>1784</v>
      </c>
      <c r="AH187">
        <v>10.62</v>
      </c>
      <c r="AI187">
        <v>16.19</v>
      </c>
      <c r="AJ187">
        <v>79.06</v>
      </c>
      <c r="AK187">
        <v>96.34</v>
      </c>
      <c r="AL187">
        <v>-1</v>
      </c>
      <c r="AM187">
        <v>-3.15</v>
      </c>
      <c r="AN187">
        <v>-4.86</v>
      </c>
      <c r="AO187">
        <v>18.97</v>
      </c>
      <c r="AP187">
        <v>11.19</v>
      </c>
    </row>
    <row r="188" spans="1:42">
      <c r="A188">
        <v>187</v>
      </c>
      <c r="B188" t="str">
        <f>"300570"</f>
        <v>300570</v>
      </c>
      <c r="C188" t="s">
        <v>1785</v>
      </c>
      <c r="D188">
        <v>36.36</v>
      </c>
      <c r="E188">
        <v>5.15</v>
      </c>
      <c r="F188">
        <v>1.78</v>
      </c>
      <c r="G188" t="s">
        <v>1786</v>
      </c>
      <c r="H188">
        <v>2333</v>
      </c>
      <c r="I188">
        <v>36.36</v>
      </c>
      <c r="J188">
        <v>36.37</v>
      </c>
      <c r="K188" t="s">
        <v>1787</v>
      </c>
      <c r="L188">
        <v>11.14</v>
      </c>
      <c r="M188" t="s">
        <v>46</v>
      </c>
      <c r="N188" t="s">
        <v>1788</v>
      </c>
      <c r="O188">
        <v>36.92</v>
      </c>
      <c r="P188">
        <v>33.82</v>
      </c>
      <c r="Q188">
        <v>34.18</v>
      </c>
      <c r="R188">
        <v>34.58</v>
      </c>
      <c r="S188">
        <v>8.96</v>
      </c>
      <c r="T188">
        <v>2.14</v>
      </c>
      <c r="U188">
        <v>8.79</v>
      </c>
      <c r="V188">
        <v>163</v>
      </c>
      <c r="W188">
        <v>35.7</v>
      </c>
      <c r="X188" t="s">
        <v>1789</v>
      </c>
      <c r="Y188" t="s">
        <v>1790</v>
      </c>
      <c r="Z188">
        <v>0.79</v>
      </c>
      <c r="AA188">
        <v>7</v>
      </c>
      <c r="AB188">
        <v>156</v>
      </c>
      <c r="AC188">
        <v>6.26</v>
      </c>
      <c r="AD188" t="s">
        <v>1791</v>
      </c>
      <c r="AE188" t="s">
        <v>1792</v>
      </c>
      <c r="AF188" t="s">
        <v>1793</v>
      </c>
      <c r="AG188" t="s">
        <v>1794</v>
      </c>
      <c r="AH188">
        <v>5.06</v>
      </c>
      <c r="AI188">
        <v>1.11</v>
      </c>
      <c r="AJ188">
        <v>20.75</v>
      </c>
      <c r="AK188">
        <v>37.17</v>
      </c>
      <c r="AL188">
        <v>2</v>
      </c>
      <c r="AM188">
        <v>5.15</v>
      </c>
      <c r="AN188">
        <v>160.46</v>
      </c>
      <c r="AO188">
        <v>13.13</v>
      </c>
      <c r="AP188">
        <v>119.83</v>
      </c>
    </row>
    <row r="189" spans="1:42">
      <c r="A189">
        <v>188</v>
      </c>
      <c r="B189" t="str">
        <f>"002657"</f>
        <v>002657</v>
      </c>
      <c r="C189" t="s">
        <v>1795</v>
      </c>
      <c r="D189">
        <v>20.99</v>
      </c>
      <c r="E189">
        <v>4.64</v>
      </c>
      <c r="F189">
        <v>0.93</v>
      </c>
      <c r="G189" t="s">
        <v>865</v>
      </c>
      <c r="H189">
        <v>8125</v>
      </c>
      <c r="I189">
        <v>20.99</v>
      </c>
      <c r="J189">
        <v>21</v>
      </c>
      <c r="K189" t="s">
        <v>1796</v>
      </c>
      <c r="L189">
        <v>11.21</v>
      </c>
      <c r="M189" t="s">
        <v>46</v>
      </c>
      <c r="N189" t="s">
        <v>1797</v>
      </c>
      <c r="O189">
        <v>20.99</v>
      </c>
      <c r="P189">
        <v>20.05</v>
      </c>
      <c r="Q189">
        <v>20.16</v>
      </c>
      <c r="R189">
        <v>20.06</v>
      </c>
      <c r="S189">
        <v>4.69</v>
      </c>
      <c r="T189">
        <v>1.93</v>
      </c>
      <c r="U189">
        <v>30.95</v>
      </c>
      <c r="V189">
        <v>1750</v>
      </c>
      <c r="W189">
        <v>20.5</v>
      </c>
      <c r="X189" t="s">
        <v>868</v>
      </c>
      <c r="Y189" t="s">
        <v>652</v>
      </c>
      <c r="Z189">
        <v>0.96</v>
      </c>
      <c r="AA189">
        <v>1819</v>
      </c>
      <c r="AB189">
        <v>1756</v>
      </c>
      <c r="AC189">
        <v>3.65</v>
      </c>
      <c r="AD189" t="s">
        <v>1798</v>
      </c>
      <c r="AE189" t="s">
        <v>1799</v>
      </c>
      <c r="AF189" t="s">
        <v>1800</v>
      </c>
      <c r="AG189" t="s">
        <v>1801</v>
      </c>
      <c r="AH189">
        <v>3.25</v>
      </c>
      <c r="AI189">
        <v>0</v>
      </c>
      <c r="AJ189">
        <v>21.72</v>
      </c>
      <c r="AK189">
        <v>40.27</v>
      </c>
      <c r="AL189">
        <v>1</v>
      </c>
      <c r="AM189">
        <v>4.64</v>
      </c>
      <c r="AN189">
        <v>34.21</v>
      </c>
      <c r="AO189">
        <v>19.46</v>
      </c>
      <c r="AP189">
        <v>20.01</v>
      </c>
    </row>
    <row r="190" spans="1:42">
      <c r="A190">
        <v>189</v>
      </c>
      <c r="B190" t="str">
        <f>"002605"</f>
        <v>002605</v>
      </c>
      <c r="C190" t="s">
        <v>1802</v>
      </c>
      <c r="D190">
        <v>25.85</v>
      </c>
      <c r="E190">
        <v>10</v>
      </c>
      <c r="F190">
        <v>2.35</v>
      </c>
      <c r="G190" t="s">
        <v>1803</v>
      </c>
      <c r="H190">
        <v>407</v>
      </c>
      <c r="I190">
        <v>25.85</v>
      </c>
      <c r="J190" t="s">
        <v>76</v>
      </c>
      <c r="K190" t="s">
        <v>1804</v>
      </c>
      <c r="L190">
        <v>9.39</v>
      </c>
      <c r="M190" t="s">
        <v>46</v>
      </c>
      <c r="N190" t="s">
        <v>1805</v>
      </c>
      <c r="O190">
        <v>25.85</v>
      </c>
      <c r="P190">
        <v>23.34</v>
      </c>
      <c r="Q190">
        <v>23.46</v>
      </c>
      <c r="R190">
        <v>23.5</v>
      </c>
      <c r="S190">
        <v>10.68</v>
      </c>
      <c r="T190">
        <v>1.96</v>
      </c>
      <c r="U190">
        <v>100</v>
      </c>
      <c r="V190" t="s">
        <v>1806</v>
      </c>
      <c r="W190">
        <v>24.87</v>
      </c>
      <c r="X190" t="s">
        <v>1807</v>
      </c>
      <c r="Y190" t="s">
        <v>652</v>
      </c>
      <c r="Z190">
        <v>0.61</v>
      </c>
      <c r="AA190" t="s">
        <v>729</v>
      </c>
      <c r="AB190">
        <v>0</v>
      </c>
      <c r="AC190">
        <v>3.31</v>
      </c>
      <c r="AD190" t="s">
        <v>1808</v>
      </c>
      <c r="AE190" t="s">
        <v>1809</v>
      </c>
      <c r="AF190" t="s">
        <v>1810</v>
      </c>
      <c r="AG190" t="s">
        <v>1811</v>
      </c>
      <c r="AH190">
        <v>5.68</v>
      </c>
      <c r="AI190">
        <v>-0.81</v>
      </c>
      <c r="AJ190">
        <v>16.44</v>
      </c>
      <c r="AK190">
        <v>33.28</v>
      </c>
      <c r="AL190">
        <v>1</v>
      </c>
      <c r="AM190">
        <v>10</v>
      </c>
      <c r="AN190">
        <v>87.32</v>
      </c>
      <c r="AO190">
        <v>8.16</v>
      </c>
      <c r="AP190">
        <v>76.69</v>
      </c>
    </row>
    <row r="191" spans="1:42">
      <c r="A191">
        <v>190</v>
      </c>
      <c r="B191" t="str">
        <f>"002583"</f>
        <v>002583</v>
      </c>
      <c r="C191" t="s">
        <v>1812</v>
      </c>
      <c r="D191">
        <v>6.87</v>
      </c>
      <c r="E191">
        <v>3.93</v>
      </c>
      <c r="F191">
        <v>0.26</v>
      </c>
      <c r="G191" t="s">
        <v>545</v>
      </c>
      <c r="H191" t="s">
        <v>1646</v>
      </c>
      <c r="I191">
        <v>6.87</v>
      </c>
      <c r="J191">
        <v>6.88</v>
      </c>
      <c r="K191" t="s">
        <v>1813</v>
      </c>
      <c r="L191">
        <v>8.67</v>
      </c>
      <c r="M191" t="s">
        <v>46</v>
      </c>
      <c r="N191" t="s">
        <v>1814</v>
      </c>
      <c r="O191">
        <v>7.04</v>
      </c>
      <c r="P191">
        <v>6.56</v>
      </c>
      <c r="Q191">
        <v>6.6</v>
      </c>
      <c r="R191">
        <v>6.61</v>
      </c>
      <c r="S191">
        <v>7.26</v>
      </c>
      <c r="T191">
        <v>1.94</v>
      </c>
      <c r="U191">
        <v>-16.21</v>
      </c>
      <c r="V191">
        <v>-4225</v>
      </c>
      <c r="W191">
        <v>6.85</v>
      </c>
      <c r="X191" t="s">
        <v>1815</v>
      </c>
      <c r="Y191" t="s">
        <v>1816</v>
      </c>
      <c r="Z191">
        <v>0.73</v>
      </c>
      <c r="AA191">
        <v>1145</v>
      </c>
      <c r="AB191">
        <v>6337</v>
      </c>
      <c r="AC191">
        <v>1.95</v>
      </c>
      <c r="AD191" t="s">
        <v>1817</v>
      </c>
      <c r="AE191" t="s">
        <v>1818</v>
      </c>
      <c r="AF191" t="s">
        <v>768</v>
      </c>
      <c r="AG191" t="s">
        <v>1819</v>
      </c>
      <c r="AH191">
        <v>7.51</v>
      </c>
      <c r="AI191">
        <v>5.69</v>
      </c>
      <c r="AJ191">
        <v>21.92</v>
      </c>
      <c r="AK191">
        <v>31.07</v>
      </c>
      <c r="AL191">
        <v>1</v>
      </c>
      <c r="AM191">
        <v>3.93</v>
      </c>
      <c r="AN191">
        <v>34.44</v>
      </c>
      <c r="AO191">
        <v>12.44</v>
      </c>
      <c r="AP191">
        <v>17.44</v>
      </c>
    </row>
    <row r="192" spans="1:42">
      <c r="A192">
        <v>191</v>
      </c>
      <c r="B192" t="str">
        <f>"000002"</f>
        <v>000002</v>
      </c>
      <c r="C192" t="s">
        <v>1820</v>
      </c>
      <c r="D192">
        <v>11.4</v>
      </c>
      <c r="E192">
        <v>-0.35</v>
      </c>
      <c r="F192">
        <v>-0.04</v>
      </c>
      <c r="G192" t="s">
        <v>1430</v>
      </c>
      <c r="H192">
        <v>7332</v>
      </c>
      <c r="I192">
        <v>11.4</v>
      </c>
      <c r="J192">
        <v>11.41</v>
      </c>
      <c r="K192" t="s">
        <v>1821</v>
      </c>
      <c r="L192">
        <v>0.68</v>
      </c>
      <c r="M192" t="s">
        <v>46</v>
      </c>
      <c r="N192" t="s">
        <v>1822</v>
      </c>
      <c r="O192">
        <v>11.53</v>
      </c>
      <c r="P192">
        <v>11.28</v>
      </c>
      <c r="Q192">
        <v>11.44</v>
      </c>
      <c r="R192">
        <v>11.44</v>
      </c>
      <c r="S192">
        <v>2.19</v>
      </c>
      <c r="T192">
        <v>0.89</v>
      </c>
      <c r="U192">
        <v>21.53</v>
      </c>
      <c r="V192">
        <v>3765</v>
      </c>
      <c r="W192">
        <v>11.38</v>
      </c>
      <c r="X192" t="s">
        <v>1823</v>
      </c>
      <c r="Y192" t="s">
        <v>675</v>
      </c>
      <c r="Z192">
        <v>1.11</v>
      </c>
      <c r="AA192">
        <v>1315</v>
      </c>
      <c r="AB192">
        <v>372</v>
      </c>
      <c r="AC192">
        <v>0.54</v>
      </c>
      <c r="AD192" t="s">
        <v>1824</v>
      </c>
      <c r="AE192" t="s">
        <v>1825</v>
      </c>
      <c r="AF192" t="s">
        <v>1826</v>
      </c>
      <c r="AG192" t="s">
        <v>1827</v>
      </c>
      <c r="AH192">
        <v>-2.98</v>
      </c>
      <c r="AI192">
        <v>-6.33</v>
      </c>
      <c r="AJ192">
        <v>1.9</v>
      </c>
      <c r="AK192">
        <v>4.52</v>
      </c>
      <c r="AL192">
        <v>-6</v>
      </c>
      <c r="AM192">
        <v>-0.35</v>
      </c>
      <c r="AN192">
        <v>-34.93</v>
      </c>
      <c r="AO192">
        <v>1.15</v>
      </c>
      <c r="AP192">
        <v>-23.59</v>
      </c>
    </row>
    <row r="193" spans="1:42">
      <c r="A193">
        <v>192</v>
      </c>
      <c r="B193" t="str">
        <f>"000721"</f>
        <v>000721</v>
      </c>
      <c r="C193" t="s">
        <v>1828</v>
      </c>
      <c r="D193">
        <v>12.38</v>
      </c>
      <c r="E193">
        <v>-1.67</v>
      </c>
      <c r="F193">
        <v>-0.21</v>
      </c>
      <c r="G193" t="s">
        <v>1829</v>
      </c>
      <c r="H193">
        <v>4980</v>
      </c>
      <c r="I193">
        <v>12.38</v>
      </c>
      <c r="J193">
        <v>12.39</v>
      </c>
      <c r="K193" t="s">
        <v>1830</v>
      </c>
      <c r="L193">
        <v>13.78</v>
      </c>
      <c r="M193" t="s">
        <v>46</v>
      </c>
      <c r="N193" t="s">
        <v>1831</v>
      </c>
      <c r="O193">
        <v>12.93</v>
      </c>
      <c r="P193">
        <v>12.22</v>
      </c>
      <c r="Q193">
        <v>12.64</v>
      </c>
      <c r="R193">
        <v>12.59</v>
      </c>
      <c r="S193">
        <v>5.64</v>
      </c>
      <c r="T193">
        <v>1.22</v>
      </c>
      <c r="U193">
        <v>7.49</v>
      </c>
      <c r="V193">
        <v>675</v>
      </c>
      <c r="W193">
        <v>12.54</v>
      </c>
      <c r="X193" t="s">
        <v>1832</v>
      </c>
      <c r="Y193" t="s">
        <v>1833</v>
      </c>
      <c r="Z193">
        <v>1.32</v>
      </c>
      <c r="AA193">
        <v>1248</v>
      </c>
      <c r="AB193">
        <v>2012</v>
      </c>
      <c r="AC193">
        <v>14.94</v>
      </c>
      <c r="AD193" t="s">
        <v>1834</v>
      </c>
      <c r="AE193" t="s">
        <v>1835</v>
      </c>
      <c r="AF193" t="s">
        <v>1836</v>
      </c>
      <c r="AG193" t="s">
        <v>1837</v>
      </c>
      <c r="AH193">
        <v>5.99</v>
      </c>
      <c r="AI193">
        <v>8.5</v>
      </c>
      <c r="AJ193">
        <v>45.13</v>
      </c>
      <c r="AK193">
        <v>70.31</v>
      </c>
      <c r="AL193">
        <v>-1</v>
      </c>
      <c r="AM193">
        <v>-1.67</v>
      </c>
      <c r="AN193">
        <v>-28.44</v>
      </c>
      <c r="AO193">
        <v>15.16</v>
      </c>
      <c r="AP193">
        <v>32.83</v>
      </c>
    </row>
    <row r="194" spans="1:42">
      <c r="A194">
        <v>193</v>
      </c>
      <c r="B194" t="str">
        <f>"000001"</f>
        <v>000001</v>
      </c>
      <c r="C194" t="s">
        <v>1838</v>
      </c>
      <c r="D194">
        <v>9.66</v>
      </c>
      <c r="E194">
        <v>-0.21</v>
      </c>
      <c r="F194">
        <v>-0.02</v>
      </c>
      <c r="G194" t="s">
        <v>1153</v>
      </c>
      <c r="H194">
        <v>9062</v>
      </c>
      <c r="I194">
        <v>9.66</v>
      </c>
      <c r="J194">
        <v>9.67</v>
      </c>
      <c r="K194" t="s">
        <v>1839</v>
      </c>
      <c r="L194">
        <v>0.4</v>
      </c>
      <c r="M194" t="s">
        <v>46</v>
      </c>
      <c r="N194" t="s">
        <v>1840</v>
      </c>
      <c r="O194">
        <v>9.68</v>
      </c>
      <c r="P194">
        <v>9.58</v>
      </c>
      <c r="Q194">
        <v>9.65</v>
      </c>
      <c r="R194">
        <v>9.68</v>
      </c>
      <c r="S194">
        <v>1.03</v>
      </c>
      <c r="T194">
        <v>0.83</v>
      </c>
      <c r="U194">
        <v>-34.04</v>
      </c>
      <c r="V194" t="s">
        <v>1841</v>
      </c>
      <c r="W194">
        <v>9.64</v>
      </c>
      <c r="X194" t="s">
        <v>1487</v>
      </c>
      <c r="Y194" t="s">
        <v>1842</v>
      </c>
      <c r="Z194">
        <v>1.28</v>
      </c>
      <c r="AA194">
        <v>868</v>
      </c>
      <c r="AB194">
        <v>2014</v>
      </c>
      <c r="AC194">
        <v>0.47</v>
      </c>
      <c r="AD194" t="s">
        <v>1843</v>
      </c>
      <c r="AE194" t="s">
        <v>1844</v>
      </c>
      <c r="AF194" t="s">
        <v>1843</v>
      </c>
      <c r="AG194" t="s">
        <v>1844</v>
      </c>
      <c r="AH194">
        <v>-2.91</v>
      </c>
      <c r="AI194">
        <v>-4.83</v>
      </c>
      <c r="AJ194">
        <v>1.62</v>
      </c>
      <c r="AK194">
        <v>2.81</v>
      </c>
      <c r="AL194">
        <v>-8</v>
      </c>
      <c r="AM194">
        <v>-0.21</v>
      </c>
      <c r="AN194">
        <v>-25</v>
      </c>
      <c r="AO194">
        <v>-7.82</v>
      </c>
      <c r="AP194">
        <v>-16.22</v>
      </c>
    </row>
    <row r="195" spans="1:42">
      <c r="A195">
        <v>194</v>
      </c>
      <c r="B195" t="str">
        <f>"601995"</f>
        <v>601995</v>
      </c>
      <c r="C195" t="s">
        <v>1845</v>
      </c>
      <c r="D195">
        <v>40.5</v>
      </c>
      <c r="E195">
        <v>-0.25</v>
      </c>
      <c r="F195">
        <v>-0.1</v>
      </c>
      <c r="G195" t="s">
        <v>1402</v>
      </c>
      <c r="H195">
        <v>1725</v>
      </c>
      <c r="I195">
        <v>40.5</v>
      </c>
      <c r="J195">
        <v>40.51</v>
      </c>
      <c r="K195" t="s">
        <v>1846</v>
      </c>
      <c r="L195">
        <v>0.63</v>
      </c>
      <c r="M195" t="s">
        <v>46</v>
      </c>
      <c r="N195" t="s">
        <v>1847</v>
      </c>
      <c r="O195">
        <v>40.87</v>
      </c>
      <c r="P195">
        <v>40.07</v>
      </c>
      <c r="Q195">
        <v>40.31</v>
      </c>
      <c r="R195">
        <v>40.6</v>
      </c>
      <c r="S195">
        <v>1.97</v>
      </c>
      <c r="T195">
        <v>0.78</v>
      </c>
      <c r="U195">
        <v>52.46</v>
      </c>
      <c r="V195">
        <v>519</v>
      </c>
      <c r="W195">
        <v>40.43</v>
      </c>
      <c r="X195" t="s">
        <v>1848</v>
      </c>
      <c r="Y195" t="s">
        <v>1849</v>
      </c>
      <c r="Z195">
        <v>1.02</v>
      </c>
      <c r="AA195">
        <v>264</v>
      </c>
      <c r="AB195">
        <v>11</v>
      </c>
      <c r="AC195">
        <v>2.25</v>
      </c>
      <c r="AD195" t="s">
        <v>1850</v>
      </c>
      <c r="AE195" t="s">
        <v>1851</v>
      </c>
      <c r="AF195" t="s">
        <v>1852</v>
      </c>
      <c r="AG195" t="s">
        <v>1853</v>
      </c>
      <c r="AH195">
        <v>2.56</v>
      </c>
      <c r="AI195">
        <v>-2.2</v>
      </c>
      <c r="AJ195">
        <v>2.31</v>
      </c>
      <c r="AK195">
        <v>4.63</v>
      </c>
      <c r="AL195">
        <v>-1</v>
      </c>
      <c r="AM195">
        <v>-0.25</v>
      </c>
      <c r="AN195">
        <v>6.72</v>
      </c>
      <c r="AO195">
        <v>10.47</v>
      </c>
      <c r="AP195">
        <v>7.77</v>
      </c>
    </row>
    <row r="196" spans="1:42">
      <c r="A196">
        <v>195</v>
      </c>
      <c r="B196" t="str">
        <f>"000681"</f>
        <v>000681</v>
      </c>
      <c r="C196" t="s">
        <v>1854</v>
      </c>
      <c r="D196">
        <v>16.08</v>
      </c>
      <c r="E196">
        <v>5.37</v>
      </c>
      <c r="F196">
        <v>0.82</v>
      </c>
      <c r="G196" t="s">
        <v>1855</v>
      </c>
      <c r="H196">
        <v>6900</v>
      </c>
      <c r="I196">
        <v>16.08</v>
      </c>
      <c r="J196">
        <v>16.09</v>
      </c>
      <c r="K196" t="s">
        <v>1856</v>
      </c>
      <c r="L196">
        <v>6.91</v>
      </c>
      <c r="M196" t="s">
        <v>46</v>
      </c>
      <c r="N196" t="s">
        <v>1857</v>
      </c>
      <c r="O196">
        <v>16.17</v>
      </c>
      <c r="P196">
        <v>15.35</v>
      </c>
      <c r="Q196">
        <v>15.35</v>
      </c>
      <c r="R196">
        <v>15.26</v>
      </c>
      <c r="S196">
        <v>5.37</v>
      </c>
      <c r="T196">
        <v>1.83</v>
      </c>
      <c r="U196">
        <v>-17.07</v>
      </c>
      <c r="V196">
        <v>-1059</v>
      </c>
      <c r="W196">
        <v>15.83</v>
      </c>
      <c r="X196" t="s">
        <v>868</v>
      </c>
      <c r="Y196" t="s">
        <v>92</v>
      </c>
      <c r="Z196">
        <v>0.65</v>
      </c>
      <c r="AA196">
        <v>558</v>
      </c>
      <c r="AB196">
        <v>784</v>
      </c>
      <c r="AC196">
        <v>3.2</v>
      </c>
      <c r="AD196" t="s">
        <v>1858</v>
      </c>
      <c r="AE196" t="s">
        <v>1330</v>
      </c>
      <c r="AF196" t="s">
        <v>1859</v>
      </c>
      <c r="AG196" t="s">
        <v>1860</v>
      </c>
      <c r="AH196">
        <v>2.49</v>
      </c>
      <c r="AI196">
        <v>-1.95</v>
      </c>
      <c r="AJ196">
        <v>13.09</v>
      </c>
      <c r="AK196">
        <v>25.81</v>
      </c>
      <c r="AL196">
        <v>1</v>
      </c>
      <c r="AM196">
        <v>5.37</v>
      </c>
      <c r="AN196">
        <v>30.94</v>
      </c>
      <c r="AO196">
        <v>12.13</v>
      </c>
      <c r="AP196">
        <v>23.88</v>
      </c>
    </row>
    <row r="197" spans="1:42">
      <c r="A197">
        <v>196</v>
      </c>
      <c r="B197" t="str">
        <f>"600348"</f>
        <v>600348</v>
      </c>
      <c r="C197" t="s">
        <v>1861</v>
      </c>
      <c r="D197">
        <v>9.03</v>
      </c>
      <c r="E197">
        <v>1.57</v>
      </c>
      <c r="F197">
        <v>0.14</v>
      </c>
      <c r="G197" t="s">
        <v>1862</v>
      </c>
      <c r="H197">
        <v>8916</v>
      </c>
      <c r="I197">
        <v>9.02</v>
      </c>
      <c r="J197">
        <v>9.03</v>
      </c>
      <c r="K197" t="s">
        <v>1863</v>
      </c>
      <c r="L197">
        <v>2.27</v>
      </c>
      <c r="M197" t="s">
        <v>46</v>
      </c>
      <c r="N197" t="s">
        <v>1864</v>
      </c>
      <c r="O197">
        <v>9.13</v>
      </c>
      <c r="P197">
        <v>8.84</v>
      </c>
      <c r="Q197">
        <v>8.85</v>
      </c>
      <c r="R197">
        <v>8.89</v>
      </c>
      <c r="S197">
        <v>3.26</v>
      </c>
      <c r="T197">
        <v>1.22</v>
      </c>
      <c r="U197">
        <v>-32.28</v>
      </c>
      <c r="V197">
        <v>-7037</v>
      </c>
      <c r="W197">
        <v>9</v>
      </c>
      <c r="X197" t="s">
        <v>1865</v>
      </c>
      <c r="Y197" t="s">
        <v>1866</v>
      </c>
      <c r="Z197">
        <v>0.84</v>
      </c>
      <c r="AA197">
        <v>1920</v>
      </c>
      <c r="AB197">
        <v>149</v>
      </c>
      <c r="AC197">
        <v>1.17</v>
      </c>
      <c r="AD197" t="s">
        <v>1867</v>
      </c>
      <c r="AE197" t="s">
        <v>1868</v>
      </c>
      <c r="AF197" t="s">
        <v>1867</v>
      </c>
      <c r="AG197" t="s">
        <v>1868</v>
      </c>
      <c r="AH197">
        <v>6.61</v>
      </c>
      <c r="AI197">
        <v>10.53</v>
      </c>
      <c r="AJ197">
        <v>7.27</v>
      </c>
      <c r="AK197">
        <v>11.55</v>
      </c>
      <c r="AL197">
        <v>7</v>
      </c>
      <c r="AM197">
        <v>1.57</v>
      </c>
      <c r="AN197">
        <v>1.23</v>
      </c>
      <c r="AO197">
        <v>13.02</v>
      </c>
      <c r="AP197">
        <v>-9.7</v>
      </c>
    </row>
    <row r="198" spans="1:42">
      <c r="A198">
        <v>197</v>
      </c>
      <c r="B198" t="str">
        <f>"002241"</f>
        <v>002241</v>
      </c>
      <c r="C198" t="s">
        <v>1869</v>
      </c>
      <c r="D198">
        <v>18.27</v>
      </c>
      <c r="E198">
        <v>1.5</v>
      </c>
      <c r="F198">
        <v>0.27</v>
      </c>
      <c r="G198" t="s">
        <v>335</v>
      </c>
      <c r="H198">
        <v>5847</v>
      </c>
      <c r="I198">
        <v>18.26</v>
      </c>
      <c r="J198">
        <v>18.27</v>
      </c>
      <c r="K198" t="s">
        <v>1870</v>
      </c>
      <c r="L198">
        <v>1.33</v>
      </c>
      <c r="M198" t="s">
        <v>46</v>
      </c>
      <c r="N198" t="s">
        <v>1871</v>
      </c>
      <c r="O198">
        <v>18.37</v>
      </c>
      <c r="P198">
        <v>17.95</v>
      </c>
      <c r="Q198">
        <v>18.18</v>
      </c>
      <c r="R198">
        <v>18</v>
      </c>
      <c r="S198">
        <v>2.33</v>
      </c>
      <c r="T198">
        <v>0.96</v>
      </c>
      <c r="U198">
        <v>-70.87</v>
      </c>
      <c r="V198">
        <v>-7196</v>
      </c>
      <c r="W198">
        <v>18.16</v>
      </c>
      <c r="X198" t="s">
        <v>416</v>
      </c>
      <c r="Y198" t="s">
        <v>486</v>
      </c>
      <c r="Z198">
        <v>0.98</v>
      </c>
      <c r="AA198">
        <v>198</v>
      </c>
      <c r="AB198">
        <v>1167</v>
      </c>
      <c r="AC198">
        <v>2.04</v>
      </c>
      <c r="AD198" t="s">
        <v>1872</v>
      </c>
      <c r="AE198" t="s">
        <v>1873</v>
      </c>
      <c r="AF198" t="s">
        <v>1874</v>
      </c>
      <c r="AG198" t="s">
        <v>1875</v>
      </c>
      <c r="AH198">
        <v>-0.87</v>
      </c>
      <c r="AI198">
        <v>-0.87</v>
      </c>
      <c r="AJ198">
        <v>3.74</v>
      </c>
      <c r="AK198">
        <v>8.24</v>
      </c>
      <c r="AL198">
        <v>1</v>
      </c>
      <c r="AM198">
        <v>1.5</v>
      </c>
      <c r="AN198">
        <v>9.21</v>
      </c>
      <c r="AO198">
        <v>-0.11</v>
      </c>
      <c r="AP198">
        <v>0.83</v>
      </c>
    </row>
    <row r="199" spans="1:42">
      <c r="A199">
        <v>198</v>
      </c>
      <c r="B199" t="str">
        <f>"600771"</f>
        <v>600771</v>
      </c>
      <c r="C199" t="s">
        <v>1876</v>
      </c>
      <c r="D199">
        <v>31.44</v>
      </c>
      <c r="E199">
        <v>6.58</v>
      </c>
      <c r="F199">
        <v>1.94</v>
      </c>
      <c r="G199" t="s">
        <v>351</v>
      </c>
      <c r="H199">
        <v>1424</v>
      </c>
      <c r="I199">
        <v>31.43</v>
      </c>
      <c r="J199">
        <v>31.44</v>
      </c>
      <c r="K199" t="s">
        <v>1877</v>
      </c>
      <c r="L199">
        <v>4.75</v>
      </c>
      <c r="M199" t="s">
        <v>46</v>
      </c>
      <c r="N199" t="s">
        <v>1878</v>
      </c>
      <c r="O199">
        <v>31.64</v>
      </c>
      <c r="P199">
        <v>29.55</v>
      </c>
      <c r="Q199">
        <v>29.84</v>
      </c>
      <c r="R199">
        <v>29.5</v>
      </c>
      <c r="S199">
        <v>7.08</v>
      </c>
      <c r="T199">
        <v>4.87</v>
      </c>
      <c r="U199">
        <v>-25.58</v>
      </c>
      <c r="V199">
        <v>-224</v>
      </c>
      <c r="W199">
        <v>31.09</v>
      </c>
      <c r="X199" t="s">
        <v>1232</v>
      </c>
      <c r="Y199" t="s">
        <v>263</v>
      </c>
      <c r="Z199">
        <v>0.76</v>
      </c>
      <c r="AA199">
        <v>1</v>
      </c>
      <c r="AB199">
        <v>115</v>
      </c>
      <c r="AC199">
        <v>8.91</v>
      </c>
      <c r="AD199" t="s">
        <v>1879</v>
      </c>
      <c r="AE199" t="s">
        <v>1880</v>
      </c>
      <c r="AF199" t="s">
        <v>1879</v>
      </c>
      <c r="AG199" t="s">
        <v>1880</v>
      </c>
      <c r="AH199">
        <v>5.86</v>
      </c>
      <c r="AI199">
        <v>5.47</v>
      </c>
      <c r="AJ199">
        <v>6.5</v>
      </c>
      <c r="AK199">
        <v>9.63</v>
      </c>
      <c r="AL199">
        <v>2</v>
      </c>
      <c r="AM199">
        <v>6.58</v>
      </c>
      <c r="AN199">
        <v>13.01</v>
      </c>
      <c r="AO199">
        <v>6.72</v>
      </c>
      <c r="AP199">
        <v>10.24</v>
      </c>
    </row>
    <row r="200" spans="1:42">
      <c r="A200">
        <v>199</v>
      </c>
      <c r="B200" t="str">
        <f>"601688"</f>
        <v>601688</v>
      </c>
      <c r="C200" t="s">
        <v>1881</v>
      </c>
      <c r="D200">
        <v>14.47</v>
      </c>
      <c r="E200">
        <v>0.98</v>
      </c>
      <c r="F200">
        <v>0.14</v>
      </c>
      <c r="G200" t="s">
        <v>1882</v>
      </c>
      <c r="H200">
        <v>4543</v>
      </c>
      <c r="I200">
        <v>14.46</v>
      </c>
      <c r="J200">
        <v>14.47</v>
      </c>
      <c r="K200" t="s">
        <v>1883</v>
      </c>
      <c r="L200">
        <v>0.68</v>
      </c>
      <c r="M200" t="s">
        <v>46</v>
      </c>
      <c r="N200" t="s">
        <v>1884</v>
      </c>
      <c r="O200">
        <v>14.54</v>
      </c>
      <c r="P200">
        <v>14.3</v>
      </c>
      <c r="Q200">
        <v>14.33</v>
      </c>
      <c r="R200">
        <v>14.33</v>
      </c>
      <c r="S200">
        <v>1.67</v>
      </c>
      <c r="T200">
        <v>0.85</v>
      </c>
      <c r="U200">
        <v>-12.34</v>
      </c>
      <c r="V200">
        <v>-1396</v>
      </c>
      <c r="W200">
        <v>14.43</v>
      </c>
      <c r="X200" t="s">
        <v>1885</v>
      </c>
      <c r="Y200" t="s">
        <v>351</v>
      </c>
      <c r="Z200">
        <v>1.15</v>
      </c>
      <c r="AA200">
        <v>1724</v>
      </c>
      <c r="AB200">
        <v>8</v>
      </c>
      <c r="AC200">
        <v>0.87</v>
      </c>
      <c r="AD200" t="s">
        <v>1886</v>
      </c>
      <c r="AE200" t="s">
        <v>1887</v>
      </c>
      <c r="AF200" t="s">
        <v>1888</v>
      </c>
      <c r="AG200" t="s">
        <v>1889</v>
      </c>
      <c r="AH200">
        <v>-2.3</v>
      </c>
      <c r="AI200">
        <v>-6.58</v>
      </c>
      <c r="AJ200">
        <v>2.68</v>
      </c>
      <c r="AK200">
        <v>4.71</v>
      </c>
      <c r="AL200">
        <v>1</v>
      </c>
      <c r="AM200">
        <v>0.98</v>
      </c>
      <c r="AN200">
        <v>17.74</v>
      </c>
      <c r="AO200">
        <v>-11.55</v>
      </c>
      <c r="AP200">
        <v>16.69</v>
      </c>
    </row>
    <row r="201" spans="1:42">
      <c r="A201">
        <v>200</v>
      </c>
      <c r="B201" t="str">
        <f>"300604"</f>
        <v>300604</v>
      </c>
      <c r="C201" t="s">
        <v>1890</v>
      </c>
      <c r="D201">
        <v>42.12</v>
      </c>
      <c r="E201">
        <v>4.52</v>
      </c>
      <c r="F201">
        <v>1.82</v>
      </c>
      <c r="G201" t="s">
        <v>1367</v>
      </c>
      <c r="H201">
        <v>1045</v>
      </c>
      <c r="I201">
        <v>42.11</v>
      </c>
      <c r="J201">
        <v>42.12</v>
      </c>
      <c r="K201" t="s">
        <v>1891</v>
      </c>
      <c r="L201">
        <v>3.83</v>
      </c>
      <c r="M201" t="s">
        <v>46</v>
      </c>
      <c r="N201" t="s">
        <v>654</v>
      </c>
      <c r="O201">
        <v>42.8</v>
      </c>
      <c r="P201">
        <v>40.3</v>
      </c>
      <c r="Q201">
        <v>40.58</v>
      </c>
      <c r="R201">
        <v>40.3</v>
      </c>
      <c r="S201">
        <v>6.2</v>
      </c>
      <c r="T201">
        <v>1.34</v>
      </c>
      <c r="U201">
        <v>54.32</v>
      </c>
      <c r="V201">
        <v>613</v>
      </c>
      <c r="W201">
        <v>41.56</v>
      </c>
      <c r="X201" t="s">
        <v>1892</v>
      </c>
      <c r="Y201" t="s">
        <v>740</v>
      </c>
      <c r="Z201">
        <v>0.66</v>
      </c>
      <c r="AA201">
        <v>24</v>
      </c>
      <c r="AB201">
        <v>80</v>
      </c>
      <c r="AC201">
        <v>9.26</v>
      </c>
      <c r="AD201" t="s">
        <v>1893</v>
      </c>
      <c r="AE201" t="s">
        <v>1894</v>
      </c>
      <c r="AF201" t="s">
        <v>1895</v>
      </c>
      <c r="AG201" t="s">
        <v>1230</v>
      </c>
      <c r="AH201">
        <v>4.78</v>
      </c>
      <c r="AI201">
        <v>10.15</v>
      </c>
      <c r="AJ201">
        <v>9.23</v>
      </c>
      <c r="AK201">
        <v>18.13</v>
      </c>
      <c r="AL201">
        <v>2</v>
      </c>
      <c r="AM201">
        <v>4.52</v>
      </c>
      <c r="AN201">
        <v>-5.31</v>
      </c>
      <c r="AO201">
        <v>2.56</v>
      </c>
      <c r="AP201">
        <v>-22.29</v>
      </c>
    </row>
    <row r="202" spans="1:42">
      <c r="A202">
        <v>201</v>
      </c>
      <c r="B202" t="str">
        <f>"688525"</f>
        <v>688525</v>
      </c>
      <c r="C202" t="s">
        <v>1896</v>
      </c>
      <c r="D202">
        <v>73.43</v>
      </c>
      <c r="E202">
        <v>10.75</v>
      </c>
      <c r="F202">
        <v>7.13</v>
      </c>
      <c r="G202" t="s">
        <v>110</v>
      </c>
      <c r="H202">
        <v>1030</v>
      </c>
      <c r="I202">
        <v>73.43</v>
      </c>
      <c r="J202">
        <v>73.45</v>
      </c>
      <c r="K202" t="s">
        <v>1897</v>
      </c>
      <c r="L202">
        <v>26.01</v>
      </c>
      <c r="M202" t="s">
        <v>46</v>
      </c>
      <c r="N202" t="s">
        <v>1898</v>
      </c>
      <c r="O202">
        <v>75.93</v>
      </c>
      <c r="P202">
        <v>65.52</v>
      </c>
      <c r="Q202">
        <v>66.2</v>
      </c>
      <c r="R202">
        <v>66.3</v>
      </c>
      <c r="S202">
        <v>15.7</v>
      </c>
      <c r="T202">
        <v>2.53</v>
      </c>
      <c r="U202">
        <v>76.73</v>
      </c>
      <c r="V202">
        <v>695</v>
      </c>
      <c r="W202">
        <v>71.13</v>
      </c>
      <c r="X202" t="s">
        <v>1899</v>
      </c>
      <c r="Y202" t="s">
        <v>1900</v>
      </c>
      <c r="Z202">
        <v>0.57</v>
      </c>
      <c r="AA202">
        <v>357</v>
      </c>
      <c r="AB202">
        <v>69</v>
      </c>
      <c r="AC202">
        <v>15.9</v>
      </c>
      <c r="AD202" t="s">
        <v>1901</v>
      </c>
      <c r="AE202" t="s">
        <v>1902</v>
      </c>
      <c r="AF202" t="s">
        <v>1903</v>
      </c>
      <c r="AG202" t="s">
        <v>1904</v>
      </c>
      <c r="AH202">
        <v>8.95</v>
      </c>
      <c r="AI202">
        <v>14.86</v>
      </c>
      <c r="AJ202">
        <v>45.7</v>
      </c>
      <c r="AK202">
        <v>77.4</v>
      </c>
      <c r="AL202">
        <v>1</v>
      </c>
      <c r="AM202">
        <v>10.75</v>
      </c>
      <c r="AN202">
        <v>357.22</v>
      </c>
      <c r="AO202">
        <v>27.53</v>
      </c>
      <c r="AP202">
        <v>424.87</v>
      </c>
    </row>
    <row r="203" spans="1:42">
      <c r="A203">
        <v>202</v>
      </c>
      <c r="B203" t="str">
        <f>"002855"</f>
        <v>002855</v>
      </c>
      <c r="C203" t="s">
        <v>1905</v>
      </c>
      <c r="D203">
        <v>31.8</v>
      </c>
      <c r="E203">
        <v>1.5</v>
      </c>
      <c r="F203">
        <v>0.47</v>
      </c>
      <c r="G203" t="s">
        <v>100</v>
      </c>
      <c r="H203">
        <v>3793</v>
      </c>
      <c r="I203">
        <v>31.79</v>
      </c>
      <c r="J203">
        <v>31.8</v>
      </c>
      <c r="K203" t="s">
        <v>1906</v>
      </c>
      <c r="L203">
        <v>9.2</v>
      </c>
      <c r="M203" t="s">
        <v>46</v>
      </c>
      <c r="N203" t="s">
        <v>1907</v>
      </c>
      <c r="O203">
        <v>32.36</v>
      </c>
      <c r="P203">
        <v>30.9</v>
      </c>
      <c r="Q203">
        <v>31.1</v>
      </c>
      <c r="R203">
        <v>31.33</v>
      </c>
      <c r="S203">
        <v>4.66</v>
      </c>
      <c r="T203">
        <v>0.94</v>
      </c>
      <c r="U203">
        <v>-31.45</v>
      </c>
      <c r="V203">
        <v>-756</v>
      </c>
      <c r="W203">
        <v>31.55</v>
      </c>
      <c r="X203" t="s">
        <v>1908</v>
      </c>
      <c r="Y203" t="s">
        <v>1909</v>
      </c>
      <c r="Z203">
        <v>1.11</v>
      </c>
      <c r="AA203">
        <v>101</v>
      </c>
      <c r="AB203">
        <v>225</v>
      </c>
      <c r="AC203">
        <v>8.06</v>
      </c>
      <c r="AD203" t="s">
        <v>1910</v>
      </c>
      <c r="AE203" t="s">
        <v>1911</v>
      </c>
      <c r="AF203" t="s">
        <v>1912</v>
      </c>
      <c r="AG203" t="s">
        <v>1913</v>
      </c>
      <c r="AH203">
        <v>-5.94</v>
      </c>
      <c r="AI203">
        <v>-16.18</v>
      </c>
      <c r="AJ203">
        <v>30.97</v>
      </c>
      <c r="AK203">
        <v>58.01</v>
      </c>
      <c r="AL203">
        <v>1</v>
      </c>
      <c r="AM203">
        <v>1.5</v>
      </c>
      <c r="AN203">
        <v>303.55</v>
      </c>
      <c r="AO203">
        <v>2.78</v>
      </c>
      <c r="AP203">
        <v>248.3</v>
      </c>
    </row>
    <row r="204" spans="1:42">
      <c r="A204">
        <v>203</v>
      </c>
      <c r="B204" t="str">
        <f>"301568"</f>
        <v>301568</v>
      </c>
      <c r="C204" t="s">
        <v>1914</v>
      </c>
      <c r="D204">
        <v>53.92</v>
      </c>
      <c r="E204">
        <v>-7.83</v>
      </c>
      <c r="F204">
        <v>-4.58</v>
      </c>
      <c r="G204" t="s">
        <v>1915</v>
      </c>
      <c r="H204">
        <v>2162</v>
      </c>
      <c r="I204">
        <v>53.92</v>
      </c>
      <c r="J204">
        <v>53.93</v>
      </c>
      <c r="K204" t="s">
        <v>1916</v>
      </c>
      <c r="L204">
        <v>52.7</v>
      </c>
      <c r="M204" t="s">
        <v>46</v>
      </c>
      <c r="N204" t="s">
        <v>1917</v>
      </c>
      <c r="O204">
        <v>58.58</v>
      </c>
      <c r="P204">
        <v>53.68</v>
      </c>
      <c r="Q204">
        <v>56</v>
      </c>
      <c r="R204">
        <v>58.5</v>
      </c>
      <c r="S204">
        <v>8.38</v>
      </c>
      <c r="T204">
        <v>0.79</v>
      </c>
      <c r="U204">
        <v>57.86</v>
      </c>
      <c r="V204">
        <v>659</v>
      </c>
      <c r="W204">
        <v>55.23</v>
      </c>
      <c r="X204" t="s">
        <v>1918</v>
      </c>
      <c r="Y204" t="s">
        <v>1919</v>
      </c>
      <c r="Z204">
        <v>1.24</v>
      </c>
      <c r="AA204">
        <v>242</v>
      </c>
      <c r="AB204">
        <v>81</v>
      </c>
      <c r="AC204">
        <v>5.64</v>
      </c>
      <c r="AD204" t="s">
        <v>1920</v>
      </c>
      <c r="AE204" t="s">
        <v>1921</v>
      </c>
      <c r="AF204" t="s">
        <v>1922</v>
      </c>
      <c r="AG204" t="s">
        <v>1923</v>
      </c>
      <c r="AH204">
        <v>-19.26</v>
      </c>
      <c r="AI204">
        <v>132.11</v>
      </c>
      <c r="AJ204">
        <v>173.72</v>
      </c>
      <c r="AK204">
        <v>251.99</v>
      </c>
      <c r="AL204">
        <v>-2</v>
      </c>
      <c r="AM204">
        <v>-7.83</v>
      </c>
      <c r="AN204">
        <v>132.11</v>
      </c>
      <c r="AO204">
        <v>132.11</v>
      </c>
      <c r="AP204">
        <v>132.11</v>
      </c>
    </row>
    <row r="205" spans="1:42">
      <c r="A205">
        <v>204</v>
      </c>
      <c r="B205" t="str">
        <f>"002415"</f>
        <v>002415</v>
      </c>
      <c r="C205" t="s">
        <v>1924</v>
      </c>
      <c r="D205">
        <v>35.5</v>
      </c>
      <c r="E205">
        <v>2.04</v>
      </c>
      <c r="F205">
        <v>0.71</v>
      </c>
      <c r="G205" t="s">
        <v>1925</v>
      </c>
      <c r="H205">
        <v>1204</v>
      </c>
      <c r="I205">
        <v>35.5</v>
      </c>
      <c r="J205">
        <v>35.51</v>
      </c>
      <c r="K205" t="s">
        <v>1926</v>
      </c>
      <c r="L205">
        <v>0.22</v>
      </c>
      <c r="M205" t="s">
        <v>46</v>
      </c>
      <c r="N205" t="s">
        <v>1927</v>
      </c>
      <c r="O205">
        <v>35.5</v>
      </c>
      <c r="P205">
        <v>34.5</v>
      </c>
      <c r="Q205">
        <v>34.84</v>
      </c>
      <c r="R205">
        <v>34.79</v>
      </c>
      <c r="S205">
        <v>2.87</v>
      </c>
      <c r="T205">
        <v>1.44</v>
      </c>
      <c r="U205">
        <v>-2.32</v>
      </c>
      <c r="V205">
        <v>-44</v>
      </c>
      <c r="W205">
        <v>35.01</v>
      </c>
      <c r="X205" t="s">
        <v>1928</v>
      </c>
      <c r="Y205" t="s">
        <v>829</v>
      </c>
      <c r="Z205">
        <v>0.82</v>
      </c>
      <c r="AA205">
        <v>377</v>
      </c>
      <c r="AB205">
        <v>142</v>
      </c>
      <c r="AC205">
        <v>4.63</v>
      </c>
      <c r="AD205" t="s">
        <v>1929</v>
      </c>
      <c r="AE205" t="s">
        <v>1930</v>
      </c>
      <c r="AF205" t="s">
        <v>1931</v>
      </c>
      <c r="AG205" t="s">
        <v>1932</v>
      </c>
      <c r="AH205">
        <v>0.62</v>
      </c>
      <c r="AI205">
        <v>-0.98</v>
      </c>
      <c r="AJ205">
        <v>0.5</v>
      </c>
      <c r="AK205">
        <v>1</v>
      </c>
      <c r="AL205">
        <v>1</v>
      </c>
      <c r="AM205">
        <v>2.04</v>
      </c>
      <c r="AN205">
        <v>4.47</v>
      </c>
      <c r="AO205">
        <v>-0.87</v>
      </c>
      <c r="AP205">
        <v>13.82</v>
      </c>
    </row>
    <row r="206" spans="1:42">
      <c r="A206">
        <v>205</v>
      </c>
      <c r="B206" t="str">
        <f>"603266"</f>
        <v>603266</v>
      </c>
      <c r="C206" t="s">
        <v>1933</v>
      </c>
      <c r="D206">
        <v>30.67</v>
      </c>
      <c r="E206">
        <v>3.27</v>
      </c>
      <c r="F206">
        <v>0.97</v>
      </c>
      <c r="G206" t="s">
        <v>1934</v>
      </c>
      <c r="H206">
        <v>3865</v>
      </c>
      <c r="I206">
        <v>30.66</v>
      </c>
      <c r="J206">
        <v>30.67</v>
      </c>
      <c r="K206" t="s">
        <v>1935</v>
      </c>
      <c r="L206">
        <v>11.64</v>
      </c>
      <c r="M206" t="s">
        <v>46</v>
      </c>
      <c r="N206" t="s">
        <v>1936</v>
      </c>
      <c r="O206">
        <v>31.78</v>
      </c>
      <c r="P206">
        <v>29.41</v>
      </c>
      <c r="Q206">
        <v>29.58</v>
      </c>
      <c r="R206">
        <v>29.7</v>
      </c>
      <c r="S206">
        <v>7.98</v>
      </c>
      <c r="T206">
        <v>0.88</v>
      </c>
      <c r="U206">
        <v>-4.44</v>
      </c>
      <c r="V206">
        <v>-125</v>
      </c>
      <c r="W206">
        <v>30.49</v>
      </c>
      <c r="X206" t="s">
        <v>1937</v>
      </c>
      <c r="Y206" t="s">
        <v>656</v>
      </c>
      <c r="Z206">
        <v>1.07</v>
      </c>
      <c r="AA206">
        <v>966</v>
      </c>
      <c r="AB206">
        <v>857</v>
      </c>
      <c r="AC206">
        <v>4.32</v>
      </c>
      <c r="AD206" t="s">
        <v>1471</v>
      </c>
      <c r="AE206" t="s">
        <v>1938</v>
      </c>
      <c r="AF206" t="s">
        <v>1471</v>
      </c>
      <c r="AG206" t="s">
        <v>1938</v>
      </c>
      <c r="AH206">
        <v>-6.92</v>
      </c>
      <c r="AI206">
        <v>-17.06</v>
      </c>
      <c r="AJ206">
        <v>36.66</v>
      </c>
      <c r="AK206">
        <v>77.87</v>
      </c>
      <c r="AL206">
        <v>1</v>
      </c>
      <c r="AM206">
        <v>3.27</v>
      </c>
      <c r="AN206">
        <v>149.96</v>
      </c>
      <c r="AO206">
        <v>-14.88</v>
      </c>
      <c r="AP206">
        <v>115.99</v>
      </c>
    </row>
    <row r="207" spans="1:42">
      <c r="A207">
        <v>206</v>
      </c>
      <c r="B207" t="str">
        <f>"601857"</f>
        <v>601857</v>
      </c>
      <c r="C207" t="s">
        <v>1939</v>
      </c>
      <c r="D207">
        <v>7.18</v>
      </c>
      <c r="E207">
        <v>0</v>
      </c>
      <c r="F207">
        <v>0</v>
      </c>
      <c r="G207" t="s">
        <v>1940</v>
      </c>
      <c r="H207">
        <v>8334</v>
      </c>
      <c r="I207">
        <v>7.18</v>
      </c>
      <c r="J207">
        <v>7.19</v>
      </c>
      <c r="K207" t="s">
        <v>1941</v>
      </c>
      <c r="L207">
        <v>0.06</v>
      </c>
      <c r="M207" t="s">
        <v>46</v>
      </c>
      <c r="N207" t="s">
        <v>1942</v>
      </c>
      <c r="O207">
        <v>7.23</v>
      </c>
      <c r="P207">
        <v>7.13</v>
      </c>
      <c r="Q207">
        <v>7.18</v>
      </c>
      <c r="R207">
        <v>7.18</v>
      </c>
      <c r="S207">
        <v>1.39</v>
      </c>
      <c r="T207">
        <v>1.03</v>
      </c>
      <c r="U207">
        <v>6.7</v>
      </c>
      <c r="V207">
        <v>6256</v>
      </c>
      <c r="W207">
        <v>7.17</v>
      </c>
      <c r="X207" t="s">
        <v>1943</v>
      </c>
      <c r="Y207" t="s">
        <v>1944</v>
      </c>
      <c r="Z207">
        <v>0.65</v>
      </c>
      <c r="AA207">
        <v>8782</v>
      </c>
      <c r="AB207">
        <v>448</v>
      </c>
      <c r="AC207">
        <v>0.93</v>
      </c>
      <c r="AD207" t="s">
        <v>952</v>
      </c>
      <c r="AE207" t="s">
        <v>1945</v>
      </c>
      <c r="AF207" t="s">
        <v>1946</v>
      </c>
      <c r="AG207" t="s">
        <v>1947</v>
      </c>
      <c r="AH207">
        <v>1.56</v>
      </c>
      <c r="AI207">
        <v>0.98</v>
      </c>
      <c r="AJ207">
        <v>0.22</v>
      </c>
      <c r="AK207">
        <v>0.36</v>
      </c>
      <c r="AL207">
        <v>0</v>
      </c>
      <c r="AM207">
        <v>0</v>
      </c>
      <c r="AN207">
        <v>58.15</v>
      </c>
      <c r="AO207">
        <v>-2.05</v>
      </c>
      <c r="AP207">
        <v>54.74</v>
      </c>
    </row>
    <row r="208" spans="1:42">
      <c r="A208">
        <v>207</v>
      </c>
      <c r="B208" t="str">
        <f>"300122"</f>
        <v>300122</v>
      </c>
      <c r="C208" t="s">
        <v>1948</v>
      </c>
      <c r="D208">
        <v>64.32</v>
      </c>
      <c r="E208">
        <v>-1.38</v>
      </c>
      <c r="F208">
        <v>-0.9</v>
      </c>
      <c r="G208" t="s">
        <v>1949</v>
      </c>
      <c r="H208">
        <v>761</v>
      </c>
      <c r="I208">
        <v>64.31</v>
      </c>
      <c r="J208">
        <v>64.32</v>
      </c>
      <c r="K208" t="s">
        <v>858</v>
      </c>
      <c r="L208">
        <v>0.77</v>
      </c>
      <c r="M208" t="s">
        <v>46</v>
      </c>
      <c r="N208" t="s">
        <v>1950</v>
      </c>
      <c r="O208">
        <v>65.52</v>
      </c>
      <c r="P208">
        <v>63.7</v>
      </c>
      <c r="Q208">
        <v>65.08</v>
      </c>
      <c r="R208">
        <v>65.22</v>
      </c>
      <c r="S208">
        <v>2.79</v>
      </c>
      <c r="T208">
        <v>0.66</v>
      </c>
      <c r="U208">
        <v>3.54</v>
      </c>
      <c r="V208">
        <v>7</v>
      </c>
      <c r="W208">
        <v>64.36</v>
      </c>
      <c r="X208" t="s">
        <v>1951</v>
      </c>
      <c r="Y208" t="s">
        <v>1919</v>
      </c>
      <c r="Z208">
        <v>0.89</v>
      </c>
      <c r="AA208">
        <v>1</v>
      </c>
      <c r="AB208">
        <v>3</v>
      </c>
      <c r="AC208">
        <v>5.15</v>
      </c>
      <c r="AD208" t="s">
        <v>1952</v>
      </c>
      <c r="AE208" t="s">
        <v>1953</v>
      </c>
      <c r="AF208" t="s">
        <v>663</v>
      </c>
      <c r="AG208" t="s">
        <v>1954</v>
      </c>
      <c r="AH208">
        <v>-4.64</v>
      </c>
      <c r="AI208">
        <v>-1.4</v>
      </c>
      <c r="AJ208">
        <v>2.51</v>
      </c>
      <c r="AK208">
        <v>6.57</v>
      </c>
      <c r="AL208">
        <v>-1</v>
      </c>
      <c r="AM208">
        <v>-1.38</v>
      </c>
      <c r="AN208">
        <v>10.48</v>
      </c>
      <c r="AO208">
        <v>1.21</v>
      </c>
      <c r="AP208">
        <v>1.58</v>
      </c>
    </row>
    <row r="209" spans="1:42">
      <c r="A209">
        <v>208</v>
      </c>
      <c r="B209" t="str">
        <f>"000021"</f>
        <v>000021</v>
      </c>
      <c r="C209" t="s">
        <v>1955</v>
      </c>
      <c r="D209">
        <v>17.05</v>
      </c>
      <c r="E209">
        <v>-0.29</v>
      </c>
      <c r="F209">
        <v>-0.05</v>
      </c>
      <c r="G209" t="s">
        <v>1956</v>
      </c>
      <c r="H209">
        <v>5707</v>
      </c>
      <c r="I209">
        <v>17.05</v>
      </c>
      <c r="J209">
        <v>17.06</v>
      </c>
      <c r="K209" t="s">
        <v>1957</v>
      </c>
      <c r="L209">
        <v>2.66</v>
      </c>
      <c r="M209" t="s">
        <v>46</v>
      </c>
      <c r="N209" t="s">
        <v>1958</v>
      </c>
      <c r="O209">
        <v>17.16</v>
      </c>
      <c r="P209">
        <v>16.56</v>
      </c>
      <c r="Q209">
        <v>17</v>
      </c>
      <c r="R209">
        <v>17.1</v>
      </c>
      <c r="S209">
        <v>3.51</v>
      </c>
      <c r="T209">
        <v>0.84</v>
      </c>
      <c r="U209">
        <v>-5.18</v>
      </c>
      <c r="V209">
        <v>-368</v>
      </c>
      <c r="W209">
        <v>16.84</v>
      </c>
      <c r="X209" t="s">
        <v>1959</v>
      </c>
      <c r="Y209" t="s">
        <v>1960</v>
      </c>
      <c r="Z209">
        <v>1.17</v>
      </c>
      <c r="AA209">
        <v>437</v>
      </c>
      <c r="AB209">
        <v>1602</v>
      </c>
      <c r="AC209">
        <v>2.45</v>
      </c>
      <c r="AD209" t="s">
        <v>1961</v>
      </c>
      <c r="AE209" t="s">
        <v>1962</v>
      </c>
      <c r="AF209" t="s">
        <v>1963</v>
      </c>
      <c r="AG209" t="s">
        <v>1964</v>
      </c>
      <c r="AH209">
        <v>1.67</v>
      </c>
      <c r="AI209">
        <v>-0.76</v>
      </c>
      <c r="AJ209">
        <v>13.55</v>
      </c>
      <c r="AK209">
        <v>18.48</v>
      </c>
      <c r="AL209">
        <v>-2</v>
      </c>
      <c r="AM209">
        <v>-0.29</v>
      </c>
      <c r="AN209">
        <v>61.46</v>
      </c>
      <c r="AO209">
        <v>1.73</v>
      </c>
      <c r="AP209">
        <v>43.16</v>
      </c>
    </row>
    <row r="210" spans="1:42">
      <c r="A210">
        <v>209</v>
      </c>
      <c r="B210" t="str">
        <f>"000100"</f>
        <v>000100</v>
      </c>
      <c r="C210" t="s">
        <v>1965</v>
      </c>
      <c r="D210">
        <v>4.18</v>
      </c>
      <c r="E210">
        <v>0</v>
      </c>
      <c r="F210">
        <v>0</v>
      </c>
      <c r="G210" t="s">
        <v>1966</v>
      </c>
      <c r="H210" t="s">
        <v>1967</v>
      </c>
      <c r="I210">
        <v>4.17</v>
      </c>
      <c r="J210">
        <v>4.18</v>
      </c>
      <c r="K210" t="s">
        <v>1968</v>
      </c>
      <c r="L210">
        <v>0.93</v>
      </c>
      <c r="M210" t="s">
        <v>46</v>
      </c>
      <c r="N210" t="s">
        <v>1969</v>
      </c>
      <c r="O210">
        <v>4.2</v>
      </c>
      <c r="P210">
        <v>4.1</v>
      </c>
      <c r="Q210">
        <v>4.17</v>
      </c>
      <c r="R210">
        <v>4.18</v>
      </c>
      <c r="S210">
        <v>2.39</v>
      </c>
      <c r="T210">
        <v>0.91</v>
      </c>
      <c r="U210">
        <v>-37.05</v>
      </c>
      <c r="V210" t="s">
        <v>1970</v>
      </c>
      <c r="W210">
        <v>4.16</v>
      </c>
      <c r="X210" t="s">
        <v>591</v>
      </c>
      <c r="Y210" t="s">
        <v>1971</v>
      </c>
      <c r="Z210">
        <v>1.18</v>
      </c>
      <c r="AA210" t="s">
        <v>1710</v>
      </c>
      <c r="AB210">
        <v>1868</v>
      </c>
      <c r="AC210">
        <v>1.5</v>
      </c>
      <c r="AD210" t="s">
        <v>410</v>
      </c>
      <c r="AE210" t="s">
        <v>1972</v>
      </c>
      <c r="AF210" t="s">
        <v>1973</v>
      </c>
      <c r="AG210" t="s">
        <v>1974</v>
      </c>
      <c r="AH210">
        <v>-0.24</v>
      </c>
      <c r="AI210">
        <v>1.95</v>
      </c>
      <c r="AJ210">
        <v>2.87</v>
      </c>
      <c r="AK210">
        <v>6.01</v>
      </c>
      <c r="AL210">
        <v>0</v>
      </c>
      <c r="AM210">
        <v>0</v>
      </c>
      <c r="AN210">
        <v>23.67</v>
      </c>
      <c r="AO210">
        <v>3.72</v>
      </c>
      <c r="AP210">
        <v>7.18</v>
      </c>
    </row>
    <row r="211" spans="1:42">
      <c r="A211">
        <v>210</v>
      </c>
      <c r="B211" t="str">
        <f>"603799"</f>
        <v>603799</v>
      </c>
      <c r="C211" t="s">
        <v>1975</v>
      </c>
      <c r="D211">
        <v>31.95</v>
      </c>
      <c r="E211">
        <v>-0.47</v>
      </c>
      <c r="F211">
        <v>-0.15</v>
      </c>
      <c r="G211" t="s">
        <v>1225</v>
      </c>
      <c r="H211">
        <v>2399</v>
      </c>
      <c r="I211">
        <v>31.94</v>
      </c>
      <c r="J211">
        <v>31.95</v>
      </c>
      <c r="K211" t="s">
        <v>1976</v>
      </c>
      <c r="L211">
        <v>1.3</v>
      </c>
      <c r="M211" t="s">
        <v>46</v>
      </c>
      <c r="N211" t="s">
        <v>1977</v>
      </c>
      <c r="O211">
        <v>32.15</v>
      </c>
      <c r="P211">
        <v>31.48</v>
      </c>
      <c r="Q211">
        <v>32.09</v>
      </c>
      <c r="R211">
        <v>32.1</v>
      </c>
      <c r="S211">
        <v>2.09</v>
      </c>
      <c r="T211">
        <v>1.37</v>
      </c>
      <c r="U211">
        <v>38.52</v>
      </c>
      <c r="V211">
        <v>881</v>
      </c>
      <c r="W211">
        <v>31.84</v>
      </c>
      <c r="X211" t="s">
        <v>447</v>
      </c>
      <c r="Y211" t="s">
        <v>1978</v>
      </c>
      <c r="Z211">
        <v>1.27</v>
      </c>
      <c r="AA211">
        <v>324</v>
      </c>
      <c r="AB211">
        <v>27</v>
      </c>
      <c r="AC211">
        <v>1.7</v>
      </c>
      <c r="AD211" t="s">
        <v>1979</v>
      </c>
      <c r="AE211" t="s">
        <v>1980</v>
      </c>
      <c r="AF211" t="s">
        <v>516</v>
      </c>
      <c r="AG211" t="s">
        <v>1981</v>
      </c>
      <c r="AH211">
        <v>-3.71</v>
      </c>
      <c r="AI211">
        <v>-7.9</v>
      </c>
      <c r="AJ211">
        <v>3.43</v>
      </c>
      <c r="AK211">
        <v>6.02</v>
      </c>
      <c r="AL211">
        <v>-10</v>
      </c>
      <c r="AM211">
        <v>-0.47</v>
      </c>
      <c r="AN211">
        <v>-42.36</v>
      </c>
      <c r="AO211">
        <v>-11.72</v>
      </c>
      <c r="AP211">
        <v>-49.2</v>
      </c>
    </row>
    <row r="212" spans="1:42">
      <c r="A212">
        <v>211</v>
      </c>
      <c r="B212" t="str">
        <f>"605218"</f>
        <v>605218</v>
      </c>
      <c r="C212" t="s">
        <v>1982</v>
      </c>
      <c r="D212">
        <v>28.79</v>
      </c>
      <c r="E212">
        <v>10.01</v>
      </c>
      <c r="F212">
        <v>2.62</v>
      </c>
      <c r="G212" t="s">
        <v>1983</v>
      </c>
      <c r="H212">
        <v>213</v>
      </c>
      <c r="I212">
        <v>28.79</v>
      </c>
      <c r="J212" t="s">
        <v>76</v>
      </c>
      <c r="K212" t="s">
        <v>1984</v>
      </c>
      <c r="L212">
        <v>12.02</v>
      </c>
      <c r="M212" t="s">
        <v>46</v>
      </c>
      <c r="N212" t="s">
        <v>1645</v>
      </c>
      <c r="O212">
        <v>28.79</v>
      </c>
      <c r="P212">
        <v>25.21</v>
      </c>
      <c r="Q212">
        <v>25.47</v>
      </c>
      <c r="R212">
        <v>26.17</v>
      </c>
      <c r="S212">
        <v>13.68</v>
      </c>
      <c r="T212">
        <v>0.86</v>
      </c>
      <c r="U212">
        <v>100</v>
      </c>
      <c r="V212" t="s">
        <v>1985</v>
      </c>
      <c r="W212">
        <v>26.97</v>
      </c>
      <c r="X212" t="s">
        <v>1986</v>
      </c>
      <c r="Y212" t="s">
        <v>1987</v>
      </c>
      <c r="Z212">
        <v>0.95</v>
      </c>
      <c r="AA212" t="s">
        <v>1988</v>
      </c>
      <c r="AB212">
        <v>0</v>
      </c>
      <c r="AC212">
        <v>5.04</v>
      </c>
      <c r="AD212" t="s">
        <v>1989</v>
      </c>
      <c r="AE212" t="s">
        <v>1990</v>
      </c>
      <c r="AF212" t="s">
        <v>1989</v>
      </c>
      <c r="AG212" t="s">
        <v>1990</v>
      </c>
      <c r="AH212">
        <v>-5.08</v>
      </c>
      <c r="AI212">
        <v>13.39</v>
      </c>
      <c r="AJ212">
        <v>28.68</v>
      </c>
      <c r="AK212">
        <v>81.99</v>
      </c>
      <c r="AL212">
        <v>1</v>
      </c>
      <c r="AM212">
        <v>10.01</v>
      </c>
      <c r="AN212">
        <v>110.15</v>
      </c>
      <c r="AO212">
        <v>81.98</v>
      </c>
      <c r="AP212">
        <v>95.32</v>
      </c>
    </row>
    <row r="213" spans="1:42">
      <c r="A213">
        <v>212</v>
      </c>
      <c r="B213" t="str">
        <f>"300288"</f>
        <v>300288</v>
      </c>
      <c r="C213" t="s">
        <v>1991</v>
      </c>
      <c r="D213">
        <v>18.98</v>
      </c>
      <c r="E213">
        <v>9.52</v>
      </c>
      <c r="F213">
        <v>1.65</v>
      </c>
      <c r="G213" t="s">
        <v>1242</v>
      </c>
      <c r="H213">
        <v>4631</v>
      </c>
      <c r="I213">
        <v>18.97</v>
      </c>
      <c r="J213">
        <v>18.98</v>
      </c>
      <c r="K213" t="s">
        <v>1992</v>
      </c>
      <c r="L213">
        <v>14.72</v>
      </c>
      <c r="M213" t="s">
        <v>46</v>
      </c>
      <c r="N213" t="s">
        <v>1993</v>
      </c>
      <c r="O213">
        <v>19.02</v>
      </c>
      <c r="P213">
        <v>17.31</v>
      </c>
      <c r="Q213">
        <v>17.31</v>
      </c>
      <c r="R213">
        <v>17.33</v>
      </c>
      <c r="S213">
        <v>9.87</v>
      </c>
      <c r="T213">
        <v>1.55</v>
      </c>
      <c r="U213">
        <v>-81.46</v>
      </c>
      <c r="V213">
        <v>-5851</v>
      </c>
      <c r="W213">
        <v>18.25</v>
      </c>
      <c r="X213" t="s">
        <v>562</v>
      </c>
      <c r="Y213" t="s">
        <v>508</v>
      </c>
      <c r="Z213">
        <v>0.7</v>
      </c>
      <c r="AA213">
        <v>27</v>
      </c>
      <c r="AB213">
        <v>1530</v>
      </c>
      <c r="AC213">
        <v>4.02</v>
      </c>
      <c r="AD213" t="s">
        <v>1994</v>
      </c>
      <c r="AE213" t="s">
        <v>1995</v>
      </c>
      <c r="AF213" t="s">
        <v>1996</v>
      </c>
      <c r="AG213" t="s">
        <v>1997</v>
      </c>
      <c r="AH213">
        <v>6.15</v>
      </c>
      <c r="AI213">
        <v>3.83</v>
      </c>
      <c r="AJ213">
        <v>27.33</v>
      </c>
      <c r="AK213">
        <v>62.34</v>
      </c>
      <c r="AL213">
        <v>1</v>
      </c>
      <c r="AM213">
        <v>9.52</v>
      </c>
      <c r="AN213">
        <v>71.15</v>
      </c>
      <c r="AO213">
        <v>25.28</v>
      </c>
      <c r="AP213">
        <v>83.91</v>
      </c>
    </row>
    <row r="214" spans="1:42">
      <c r="A214">
        <v>213</v>
      </c>
      <c r="B214" t="str">
        <f>"002235"</f>
        <v>002235</v>
      </c>
      <c r="C214" t="s">
        <v>1998</v>
      </c>
      <c r="D214">
        <v>8.53</v>
      </c>
      <c r="E214">
        <v>0.24</v>
      </c>
      <c r="F214">
        <v>0.02</v>
      </c>
      <c r="G214" t="s">
        <v>1999</v>
      </c>
      <c r="H214">
        <v>8599</v>
      </c>
      <c r="I214">
        <v>8.52</v>
      </c>
      <c r="J214">
        <v>8.53</v>
      </c>
      <c r="K214" t="s">
        <v>2000</v>
      </c>
      <c r="L214">
        <v>14.68</v>
      </c>
      <c r="M214" t="s">
        <v>46</v>
      </c>
      <c r="N214" t="s">
        <v>2001</v>
      </c>
      <c r="O214">
        <v>8.75</v>
      </c>
      <c r="P214">
        <v>8.39</v>
      </c>
      <c r="Q214">
        <v>8.41</v>
      </c>
      <c r="R214">
        <v>8.51</v>
      </c>
      <c r="S214">
        <v>4.23</v>
      </c>
      <c r="T214">
        <v>0.91</v>
      </c>
      <c r="U214">
        <v>15.2</v>
      </c>
      <c r="V214">
        <v>3536</v>
      </c>
      <c r="W214">
        <v>8.54</v>
      </c>
      <c r="X214" t="s">
        <v>2002</v>
      </c>
      <c r="Y214" t="s">
        <v>2002</v>
      </c>
      <c r="Z214">
        <v>1</v>
      </c>
      <c r="AA214">
        <v>5613</v>
      </c>
      <c r="AB214">
        <v>4756</v>
      </c>
      <c r="AC214">
        <v>5</v>
      </c>
      <c r="AD214" t="s">
        <v>2003</v>
      </c>
      <c r="AE214" t="s">
        <v>2004</v>
      </c>
      <c r="AF214" t="s">
        <v>2005</v>
      </c>
      <c r="AG214" t="s">
        <v>2006</v>
      </c>
      <c r="AH214">
        <v>-0.81</v>
      </c>
      <c r="AI214">
        <v>5.57</v>
      </c>
      <c r="AJ214">
        <v>42.36</v>
      </c>
      <c r="AK214">
        <v>95.05</v>
      </c>
      <c r="AL214">
        <v>2</v>
      </c>
      <c r="AM214">
        <v>0.24</v>
      </c>
      <c r="AN214">
        <v>15.11</v>
      </c>
      <c r="AO214">
        <v>13.89</v>
      </c>
      <c r="AP214">
        <v>70.94</v>
      </c>
    </row>
    <row r="215" spans="1:42">
      <c r="A215">
        <v>214</v>
      </c>
      <c r="B215" t="str">
        <f>"300015"</f>
        <v>300015</v>
      </c>
      <c r="C215" t="s">
        <v>2007</v>
      </c>
      <c r="D215">
        <v>17</v>
      </c>
      <c r="E215">
        <v>-0.35</v>
      </c>
      <c r="F215">
        <v>-0.06</v>
      </c>
      <c r="G215" t="s">
        <v>2008</v>
      </c>
      <c r="H215">
        <v>2478</v>
      </c>
      <c r="I215">
        <v>17</v>
      </c>
      <c r="J215">
        <v>17.01</v>
      </c>
      <c r="K215" t="s">
        <v>2009</v>
      </c>
      <c r="L215">
        <v>0.51</v>
      </c>
      <c r="M215" t="s">
        <v>46</v>
      </c>
      <c r="N215" t="s">
        <v>2010</v>
      </c>
      <c r="O215">
        <v>17.24</v>
      </c>
      <c r="P215">
        <v>16.83</v>
      </c>
      <c r="Q215">
        <v>17.06</v>
      </c>
      <c r="R215">
        <v>17.06</v>
      </c>
      <c r="S215">
        <v>2.4</v>
      </c>
      <c r="T215">
        <v>1.37</v>
      </c>
      <c r="U215">
        <v>34.85</v>
      </c>
      <c r="V215">
        <v>1814</v>
      </c>
      <c r="W215">
        <v>17.02</v>
      </c>
      <c r="X215" t="s">
        <v>2011</v>
      </c>
      <c r="Y215" t="s">
        <v>2012</v>
      </c>
      <c r="Z215">
        <v>1</v>
      </c>
      <c r="AA215">
        <v>335</v>
      </c>
      <c r="AB215">
        <v>115</v>
      </c>
      <c r="AC215">
        <v>8.48</v>
      </c>
      <c r="AD215" t="s">
        <v>2013</v>
      </c>
      <c r="AE215" t="s">
        <v>2014</v>
      </c>
      <c r="AF215" t="s">
        <v>2015</v>
      </c>
      <c r="AG215" t="s">
        <v>2016</v>
      </c>
      <c r="AH215">
        <v>-0.58</v>
      </c>
      <c r="AI215">
        <v>-2.02</v>
      </c>
      <c r="AJ215">
        <v>1.24</v>
      </c>
      <c r="AK215">
        <v>2.37</v>
      </c>
      <c r="AL215">
        <v>-1</v>
      </c>
      <c r="AM215">
        <v>-0.35</v>
      </c>
      <c r="AN215">
        <v>-28.63</v>
      </c>
      <c r="AO215">
        <v>-7.51</v>
      </c>
      <c r="AP215">
        <v>-16.71</v>
      </c>
    </row>
    <row r="216" spans="1:42">
      <c r="A216">
        <v>215</v>
      </c>
      <c r="B216" t="str">
        <f>"601601"</f>
        <v>601601</v>
      </c>
      <c r="C216" t="s">
        <v>2017</v>
      </c>
      <c r="D216">
        <v>23.91</v>
      </c>
      <c r="E216">
        <v>-0.75</v>
      </c>
      <c r="F216">
        <v>-0.18</v>
      </c>
      <c r="G216" t="s">
        <v>711</v>
      </c>
      <c r="H216">
        <v>3210</v>
      </c>
      <c r="I216">
        <v>23.91</v>
      </c>
      <c r="J216">
        <v>23.93</v>
      </c>
      <c r="K216" t="s">
        <v>2018</v>
      </c>
      <c r="L216">
        <v>0.42</v>
      </c>
      <c r="M216" t="s">
        <v>46</v>
      </c>
      <c r="N216" t="s">
        <v>2019</v>
      </c>
      <c r="O216">
        <v>24.1</v>
      </c>
      <c r="P216">
        <v>23.51</v>
      </c>
      <c r="Q216">
        <v>23.97</v>
      </c>
      <c r="R216">
        <v>24.09</v>
      </c>
      <c r="S216">
        <v>2.45</v>
      </c>
      <c r="T216">
        <v>1.17</v>
      </c>
      <c r="U216">
        <v>54.19</v>
      </c>
      <c r="V216">
        <v>1649</v>
      </c>
      <c r="W216">
        <v>23.82</v>
      </c>
      <c r="X216" t="s">
        <v>598</v>
      </c>
      <c r="Y216" t="s">
        <v>784</v>
      </c>
      <c r="Z216">
        <v>1.08</v>
      </c>
      <c r="AA216">
        <v>400</v>
      </c>
      <c r="AB216">
        <v>1</v>
      </c>
      <c r="AC216">
        <v>0.96</v>
      </c>
      <c r="AD216" t="s">
        <v>2020</v>
      </c>
      <c r="AE216" t="s">
        <v>2021</v>
      </c>
      <c r="AF216" t="s">
        <v>2022</v>
      </c>
      <c r="AG216" t="s">
        <v>2023</v>
      </c>
      <c r="AH216">
        <v>-3.2</v>
      </c>
      <c r="AI216">
        <v>-3.63</v>
      </c>
      <c r="AJ216">
        <v>1.14</v>
      </c>
      <c r="AK216">
        <v>2.21</v>
      </c>
      <c r="AL216">
        <v>-1</v>
      </c>
      <c r="AM216">
        <v>-0.75</v>
      </c>
      <c r="AN216">
        <v>1.74</v>
      </c>
      <c r="AO216">
        <v>-11.25</v>
      </c>
      <c r="AP216">
        <v>6.27</v>
      </c>
    </row>
    <row r="217" spans="1:42">
      <c r="A217">
        <v>216</v>
      </c>
      <c r="B217" t="str">
        <f>"603087"</f>
        <v>603087</v>
      </c>
      <c r="C217" t="s">
        <v>2024</v>
      </c>
      <c r="D217">
        <v>55.12</v>
      </c>
      <c r="E217">
        <v>3.41</v>
      </c>
      <c r="F217">
        <v>1.82</v>
      </c>
      <c r="G217" t="s">
        <v>2025</v>
      </c>
      <c r="H217">
        <v>1252</v>
      </c>
      <c r="I217">
        <v>55.12</v>
      </c>
      <c r="J217">
        <v>55.13</v>
      </c>
      <c r="K217" t="s">
        <v>2026</v>
      </c>
      <c r="L217">
        <v>2.37</v>
      </c>
      <c r="M217" t="s">
        <v>46</v>
      </c>
      <c r="N217" t="s">
        <v>2027</v>
      </c>
      <c r="O217">
        <v>55.15</v>
      </c>
      <c r="P217">
        <v>52.61</v>
      </c>
      <c r="Q217">
        <v>53</v>
      </c>
      <c r="R217">
        <v>53.3</v>
      </c>
      <c r="S217">
        <v>4.77</v>
      </c>
      <c r="T217">
        <v>0.91</v>
      </c>
      <c r="U217">
        <v>41.39</v>
      </c>
      <c r="V217">
        <v>685</v>
      </c>
      <c r="W217">
        <v>53.89</v>
      </c>
      <c r="X217" t="s">
        <v>2028</v>
      </c>
      <c r="Y217" t="s">
        <v>1605</v>
      </c>
      <c r="Z217">
        <v>0.93</v>
      </c>
      <c r="AA217">
        <v>714</v>
      </c>
      <c r="AB217">
        <v>188</v>
      </c>
      <c r="AC217">
        <v>3.08</v>
      </c>
      <c r="AD217" t="s">
        <v>2029</v>
      </c>
      <c r="AE217" t="s">
        <v>2030</v>
      </c>
      <c r="AF217" t="s">
        <v>2031</v>
      </c>
      <c r="AG217" t="s">
        <v>2032</v>
      </c>
      <c r="AH217">
        <v>3.57</v>
      </c>
      <c r="AI217">
        <v>7.78</v>
      </c>
      <c r="AJ217">
        <v>6.6</v>
      </c>
      <c r="AK217">
        <v>15.34</v>
      </c>
      <c r="AL217">
        <v>2</v>
      </c>
      <c r="AM217">
        <v>3.41</v>
      </c>
      <c r="AN217">
        <v>69.18</v>
      </c>
      <c r="AO217">
        <v>17.73</v>
      </c>
      <c r="AP217">
        <v>53.11</v>
      </c>
    </row>
    <row r="218" spans="1:42">
      <c r="A218">
        <v>217</v>
      </c>
      <c r="B218" t="str">
        <f>"002176"</f>
        <v>002176</v>
      </c>
      <c r="C218" t="s">
        <v>2033</v>
      </c>
      <c r="D218">
        <v>10.63</v>
      </c>
      <c r="E218">
        <v>2.41</v>
      </c>
      <c r="F218">
        <v>0.25</v>
      </c>
      <c r="G218" t="s">
        <v>1549</v>
      </c>
      <c r="H218">
        <v>6583</v>
      </c>
      <c r="I218">
        <v>10.62</v>
      </c>
      <c r="J218">
        <v>10.63</v>
      </c>
      <c r="K218" t="s">
        <v>2034</v>
      </c>
      <c r="L218">
        <v>3.76</v>
      </c>
      <c r="M218" t="s">
        <v>46</v>
      </c>
      <c r="N218" t="s">
        <v>2035</v>
      </c>
      <c r="O218">
        <v>10.85</v>
      </c>
      <c r="P218">
        <v>10.29</v>
      </c>
      <c r="Q218">
        <v>10.4</v>
      </c>
      <c r="R218">
        <v>10.38</v>
      </c>
      <c r="S218">
        <v>5.39</v>
      </c>
      <c r="T218">
        <v>1.45</v>
      </c>
      <c r="U218">
        <v>24.79</v>
      </c>
      <c r="V218">
        <v>3148</v>
      </c>
      <c r="W218">
        <v>10.57</v>
      </c>
      <c r="X218" t="s">
        <v>710</v>
      </c>
      <c r="Y218" t="s">
        <v>1584</v>
      </c>
      <c r="Z218">
        <v>0.83</v>
      </c>
      <c r="AA218">
        <v>627</v>
      </c>
      <c r="AB218">
        <v>1806</v>
      </c>
      <c r="AC218">
        <v>4.4</v>
      </c>
      <c r="AD218" t="s">
        <v>2036</v>
      </c>
      <c r="AE218" t="s">
        <v>2037</v>
      </c>
      <c r="AF218" t="s">
        <v>2036</v>
      </c>
      <c r="AG218" t="s">
        <v>2038</v>
      </c>
      <c r="AH218">
        <v>-1.48</v>
      </c>
      <c r="AI218">
        <v>-5.68</v>
      </c>
      <c r="AJ218">
        <v>7.86</v>
      </c>
      <c r="AK218">
        <v>16.71</v>
      </c>
      <c r="AL218">
        <v>1</v>
      </c>
      <c r="AM218">
        <v>2.41</v>
      </c>
      <c r="AN218">
        <v>-39.08</v>
      </c>
      <c r="AO218">
        <v>-7.48</v>
      </c>
      <c r="AP218">
        <v>-47.25</v>
      </c>
    </row>
    <row r="219" spans="1:42">
      <c r="A219">
        <v>218</v>
      </c>
      <c r="B219" t="str">
        <f>"601166"</f>
        <v>601166</v>
      </c>
      <c r="C219" t="s">
        <v>2039</v>
      </c>
      <c r="D219">
        <v>14.61</v>
      </c>
      <c r="E219">
        <v>0.07</v>
      </c>
      <c r="F219">
        <v>0.01</v>
      </c>
      <c r="G219" t="s">
        <v>2040</v>
      </c>
      <c r="H219">
        <v>5463</v>
      </c>
      <c r="I219">
        <v>14.61</v>
      </c>
      <c r="J219">
        <v>14.62</v>
      </c>
      <c r="K219" t="s">
        <v>2034</v>
      </c>
      <c r="L219">
        <v>0.22</v>
      </c>
      <c r="M219" t="s">
        <v>46</v>
      </c>
      <c r="N219" t="s">
        <v>2041</v>
      </c>
      <c r="O219">
        <v>14.67</v>
      </c>
      <c r="P219">
        <v>14.5</v>
      </c>
      <c r="Q219">
        <v>14.6</v>
      </c>
      <c r="R219">
        <v>14.6</v>
      </c>
      <c r="S219">
        <v>1.16</v>
      </c>
      <c r="T219">
        <v>1.13</v>
      </c>
      <c r="U219">
        <v>34.04</v>
      </c>
      <c r="V219">
        <v>5009</v>
      </c>
      <c r="W219">
        <v>14.58</v>
      </c>
      <c r="X219" t="s">
        <v>415</v>
      </c>
      <c r="Y219" t="s">
        <v>1411</v>
      </c>
      <c r="Z219">
        <v>0.82</v>
      </c>
      <c r="AA219">
        <v>1360</v>
      </c>
      <c r="AB219">
        <v>134</v>
      </c>
      <c r="AC219">
        <v>0.44</v>
      </c>
      <c r="AD219" t="s">
        <v>2042</v>
      </c>
      <c r="AE219" t="s">
        <v>2043</v>
      </c>
      <c r="AF219" t="s">
        <v>2042</v>
      </c>
      <c r="AG219" t="s">
        <v>2043</v>
      </c>
      <c r="AH219">
        <v>-1.28</v>
      </c>
      <c r="AI219">
        <v>-1.48</v>
      </c>
      <c r="AJ219">
        <v>0.75</v>
      </c>
      <c r="AK219">
        <v>1.22</v>
      </c>
      <c r="AL219">
        <v>1</v>
      </c>
      <c r="AM219">
        <v>0.07</v>
      </c>
      <c r="AN219">
        <v>-10.91</v>
      </c>
      <c r="AO219">
        <v>-3.88</v>
      </c>
      <c r="AP219">
        <v>-4.63</v>
      </c>
    </row>
    <row r="220" spans="1:42">
      <c r="A220">
        <v>219</v>
      </c>
      <c r="B220" t="str">
        <f>"002459"</f>
        <v>002459</v>
      </c>
      <c r="C220" t="s">
        <v>2044</v>
      </c>
      <c r="D220">
        <v>19.7</v>
      </c>
      <c r="E220">
        <v>-1.01</v>
      </c>
      <c r="F220">
        <v>-0.2</v>
      </c>
      <c r="G220" t="s">
        <v>856</v>
      </c>
      <c r="H220">
        <v>4400</v>
      </c>
      <c r="I220">
        <v>19.69</v>
      </c>
      <c r="J220">
        <v>19.7</v>
      </c>
      <c r="K220" t="s">
        <v>2045</v>
      </c>
      <c r="L220">
        <v>1.03</v>
      </c>
      <c r="M220" t="s">
        <v>46</v>
      </c>
      <c r="N220" t="s">
        <v>2046</v>
      </c>
      <c r="O220">
        <v>19.9</v>
      </c>
      <c r="P220">
        <v>19.5</v>
      </c>
      <c r="Q220">
        <v>19.9</v>
      </c>
      <c r="R220">
        <v>19.9</v>
      </c>
      <c r="S220">
        <v>2.01</v>
      </c>
      <c r="T220">
        <v>0.9</v>
      </c>
      <c r="U220">
        <v>2.09</v>
      </c>
      <c r="V220">
        <v>91</v>
      </c>
      <c r="W220">
        <v>19.69</v>
      </c>
      <c r="X220" t="s">
        <v>625</v>
      </c>
      <c r="Y220" t="s">
        <v>2047</v>
      </c>
      <c r="Z220">
        <v>1.08</v>
      </c>
      <c r="AA220">
        <v>495</v>
      </c>
      <c r="AB220">
        <v>254</v>
      </c>
      <c r="AC220">
        <v>1.88</v>
      </c>
      <c r="AD220" t="s">
        <v>2048</v>
      </c>
      <c r="AE220" t="s">
        <v>2049</v>
      </c>
      <c r="AF220" t="s">
        <v>2050</v>
      </c>
      <c r="AG220" t="s">
        <v>2051</v>
      </c>
      <c r="AH220">
        <v>-5.15</v>
      </c>
      <c r="AI220">
        <v>-11.06</v>
      </c>
      <c r="AJ220">
        <v>3.98</v>
      </c>
      <c r="AK220">
        <v>6.76</v>
      </c>
      <c r="AL220">
        <v>-6</v>
      </c>
      <c r="AM220">
        <v>-1.01</v>
      </c>
      <c r="AN220">
        <v>-53.92</v>
      </c>
      <c r="AO220">
        <v>-11.18</v>
      </c>
      <c r="AP220">
        <v>-49.25</v>
      </c>
    </row>
    <row r="221" spans="1:42">
      <c r="A221">
        <v>220</v>
      </c>
      <c r="B221" t="str">
        <f>"600686"</f>
        <v>600686</v>
      </c>
      <c r="C221" t="s">
        <v>2052</v>
      </c>
      <c r="D221">
        <v>8.79</v>
      </c>
      <c r="E221">
        <v>10.01</v>
      </c>
      <c r="F221">
        <v>0.8</v>
      </c>
      <c r="G221" t="s">
        <v>2053</v>
      </c>
      <c r="H221">
        <v>628</v>
      </c>
      <c r="I221">
        <v>8.79</v>
      </c>
      <c r="J221" t="s">
        <v>76</v>
      </c>
      <c r="K221" t="s">
        <v>2054</v>
      </c>
      <c r="L221">
        <v>10.97</v>
      </c>
      <c r="M221" t="s">
        <v>46</v>
      </c>
      <c r="N221" t="s">
        <v>2055</v>
      </c>
      <c r="O221">
        <v>8.79</v>
      </c>
      <c r="P221">
        <v>8.09</v>
      </c>
      <c r="Q221">
        <v>8.2</v>
      </c>
      <c r="R221">
        <v>7.99</v>
      </c>
      <c r="S221">
        <v>8.76</v>
      </c>
      <c r="T221">
        <v>2.77</v>
      </c>
      <c r="U221">
        <v>100</v>
      </c>
      <c r="V221" t="s">
        <v>1513</v>
      </c>
      <c r="W221">
        <v>8.5</v>
      </c>
      <c r="X221" t="s">
        <v>2056</v>
      </c>
      <c r="Y221" t="s">
        <v>2057</v>
      </c>
      <c r="Z221">
        <v>0.88</v>
      </c>
      <c r="AA221" t="s">
        <v>2058</v>
      </c>
      <c r="AB221">
        <v>0</v>
      </c>
      <c r="AC221">
        <v>2.02</v>
      </c>
      <c r="AD221" t="s">
        <v>2059</v>
      </c>
      <c r="AE221" t="s">
        <v>2060</v>
      </c>
      <c r="AF221" t="s">
        <v>2059</v>
      </c>
      <c r="AG221" t="s">
        <v>2060</v>
      </c>
      <c r="AH221">
        <v>7.33</v>
      </c>
      <c r="AI221">
        <v>4.89</v>
      </c>
      <c r="AJ221">
        <v>17.99</v>
      </c>
      <c r="AK221">
        <v>30.8</v>
      </c>
      <c r="AL221">
        <v>1</v>
      </c>
      <c r="AM221">
        <v>10.01</v>
      </c>
      <c r="AN221">
        <v>47.73</v>
      </c>
      <c r="AO221">
        <v>6.29</v>
      </c>
      <c r="AP221">
        <v>39.75</v>
      </c>
    </row>
    <row r="222" spans="1:42">
      <c r="A222">
        <v>221</v>
      </c>
      <c r="B222" t="str">
        <f>"002514"</f>
        <v>002514</v>
      </c>
      <c r="C222" t="s">
        <v>2061</v>
      </c>
      <c r="D222">
        <v>9.35</v>
      </c>
      <c r="E222">
        <v>-0.64</v>
      </c>
      <c r="F222">
        <v>-0.06</v>
      </c>
      <c r="G222" t="s">
        <v>2062</v>
      </c>
      <c r="H222">
        <v>6266</v>
      </c>
      <c r="I222">
        <v>9.34</v>
      </c>
      <c r="J222">
        <v>9.35</v>
      </c>
      <c r="K222" t="s">
        <v>2063</v>
      </c>
      <c r="L222">
        <v>12.58</v>
      </c>
      <c r="M222" t="s">
        <v>46</v>
      </c>
      <c r="N222" t="s">
        <v>2064</v>
      </c>
      <c r="O222">
        <v>9.74</v>
      </c>
      <c r="P222">
        <v>9.25</v>
      </c>
      <c r="Q222">
        <v>9.28</v>
      </c>
      <c r="R222">
        <v>9.41</v>
      </c>
      <c r="S222">
        <v>5.21</v>
      </c>
      <c r="T222">
        <v>1.29</v>
      </c>
      <c r="U222">
        <v>41.1</v>
      </c>
      <c r="V222">
        <v>5988</v>
      </c>
      <c r="W222">
        <v>9.48</v>
      </c>
      <c r="X222" t="s">
        <v>2065</v>
      </c>
      <c r="Y222" t="s">
        <v>2066</v>
      </c>
      <c r="Z222">
        <v>1.22</v>
      </c>
      <c r="AA222">
        <v>2293</v>
      </c>
      <c r="AB222">
        <v>570</v>
      </c>
      <c r="AC222">
        <v>6.12</v>
      </c>
      <c r="AD222" t="s">
        <v>2067</v>
      </c>
      <c r="AE222" t="s">
        <v>2068</v>
      </c>
      <c r="AF222" t="s">
        <v>2069</v>
      </c>
      <c r="AG222" t="s">
        <v>2070</v>
      </c>
      <c r="AH222">
        <v>4.24</v>
      </c>
      <c r="AI222">
        <v>2.97</v>
      </c>
      <c r="AJ222">
        <v>51.48</v>
      </c>
      <c r="AK222">
        <v>61.44</v>
      </c>
      <c r="AL222">
        <v>-2</v>
      </c>
      <c r="AM222">
        <v>-0.64</v>
      </c>
      <c r="AN222">
        <v>-11.37</v>
      </c>
      <c r="AO222">
        <v>9.61</v>
      </c>
      <c r="AP222">
        <v>-30.01</v>
      </c>
    </row>
    <row r="223" spans="1:42">
      <c r="A223">
        <v>222</v>
      </c>
      <c r="B223" t="str">
        <f>"600257"</f>
        <v>600257</v>
      </c>
      <c r="C223" t="s">
        <v>2071</v>
      </c>
      <c r="D223">
        <v>7.29</v>
      </c>
      <c r="E223">
        <v>-3.95</v>
      </c>
      <c r="F223">
        <v>-0.3</v>
      </c>
      <c r="G223" t="s">
        <v>2072</v>
      </c>
      <c r="H223" t="s">
        <v>1154</v>
      </c>
      <c r="I223">
        <v>7.29</v>
      </c>
      <c r="J223">
        <v>7.3</v>
      </c>
      <c r="K223" t="s">
        <v>2073</v>
      </c>
      <c r="L223">
        <v>18.3</v>
      </c>
      <c r="M223" t="s">
        <v>46</v>
      </c>
      <c r="N223" t="s">
        <v>1445</v>
      </c>
      <c r="O223">
        <v>7.74</v>
      </c>
      <c r="P223">
        <v>7.27</v>
      </c>
      <c r="Q223">
        <v>7.47</v>
      </c>
      <c r="R223">
        <v>7.59</v>
      </c>
      <c r="S223">
        <v>6.19</v>
      </c>
      <c r="T223">
        <v>0.82</v>
      </c>
      <c r="U223">
        <v>53.35</v>
      </c>
      <c r="V223" t="s">
        <v>2074</v>
      </c>
      <c r="W223">
        <v>7.45</v>
      </c>
      <c r="X223" t="s">
        <v>2075</v>
      </c>
      <c r="Y223" t="s">
        <v>935</v>
      </c>
      <c r="Z223">
        <v>1.53</v>
      </c>
      <c r="AA223">
        <v>5759</v>
      </c>
      <c r="AB223">
        <v>758</v>
      </c>
      <c r="AC223">
        <v>3.96</v>
      </c>
      <c r="AD223" t="s">
        <v>2076</v>
      </c>
      <c r="AE223" t="s">
        <v>2077</v>
      </c>
      <c r="AF223" t="s">
        <v>2076</v>
      </c>
      <c r="AG223" t="s">
        <v>2077</v>
      </c>
      <c r="AH223">
        <v>4.14</v>
      </c>
      <c r="AI223">
        <v>9.62</v>
      </c>
      <c r="AJ223">
        <v>65.4</v>
      </c>
      <c r="AK223">
        <v>129.43</v>
      </c>
      <c r="AL223">
        <v>-1</v>
      </c>
      <c r="AM223">
        <v>-3.95</v>
      </c>
      <c r="AN223">
        <v>21.7</v>
      </c>
      <c r="AO223">
        <v>10.45</v>
      </c>
      <c r="AP223">
        <v>45.51</v>
      </c>
    </row>
    <row r="224" spans="1:42">
      <c r="A224">
        <v>223</v>
      </c>
      <c r="B224" t="str">
        <f>"300142"</f>
        <v>300142</v>
      </c>
      <c r="C224" t="s">
        <v>2078</v>
      </c>
      <c r="D224">
        <v>24.78</v>
      </c>
      <c r="E224">
        <v>0.16</v>
      </c>
      <c r="F224">
        <v>0.04</v>
      </c>
      <c r="G224" t="s">
        <v>1015</v>
      </c>
      <c r="H224">
        <v>2921</v>
      </c>
      <c r="I224">
        <v>24.78</v>
      </c>
      <c r="J224">
        <v>24.79</v>
      </c>
      <c r="K224" t="s">
        <v>2079</v>
      </c>
      <c r="L224">
        <v>1.69</v>
      </c>
      <c r="M224" t="s">
        <v>46</v>
      </c>
      <c r="N224" t="s">
        <v>2080</v>
      </c>
      <c r="O224">
        <v>25.38</v>
      </c>
      <c r="P224">
        <v>24.39</v>
      </c>
      <c r="Q224">
        <v>24.8</v>
      </c>
      <c r="R224">
        <v>24.74</v>
      </c>
      <c r="S224">
        <v>4</v>
      </c>
      <c r="T224">
        <v>1.09</v>
      </c>
      <c r="U224">
        <v>27.66</v>
      </c>
      <c r="V224">
        <v>901</v>
      </c>
      <c r="W224">
        <v>24.72</v>
      </c>
      <c r="X224" t="s">
        <v>2081</v>
      </c>
      <c r="Y224" t="s">
        <v>1790</v>
      </c>
      <c r="Z224">
        <v>1.19</v>
      </c>
      <c r="AA224">
        <v>427</v>
      </c>
      <c r="AB224">
        <v>171</v>
      </c>
      <c r="AC224">
        <v>4.17</v>
      </c>
      <c r="AD224" t="s">
        <v>2082</v>
      </c>
      <c r="AE224" t="s">
        <v>2083</v>
      </c>
      <c r="AF224" t="s">
        <v>2084</v>
      </c>
      <c r="AG224" t="s">
        <v>2085</v>
      </c>
      <c r="AH224">
        <v>2.06</v>
      </c>
      <c r="AI224">
        <v>4.51</v>
      </c>
      <c r="AJ224">
        <v>5.64</v>
      </c>
      <c r="AK224">
        <v>9.41</v>
      </c>
      <c r="AL224">
        <v>2</v>
      </c>
      <c r="AM224">
        <v>0.16</v>
      </c>
      <c r="AN224">
        <v>-38.33</v>
      </c>
      <c r="AO224">
        <v>7.51</v>
      </c>
      <c r="AP224">
        <v>-43.57</v>
      </c>
    </row>
    <row r="225" spans="1:42">
      <c r="A225">
        <v>224</v>
      </c>
      <c r="B225" t="str">
        <f>"000572"</f>
        <v>000572</v>
      </c>
      <c r="C225" t="s">
        <v>2086</v>
      </c>
      <c r="D225">
        <v>6.01</v>
      </c>
      <c r="E225">
        <v>-1.48</v>
      </c>
      <c r="F225">
        <v>-0.09</v>
      </c>
      <c r="G225" t="s">
        <v>2087</v>
      </c>
      <c r="H225" t="s">
        <v>1967</v>
      </c>
      <c r="I225">
        <v>6</v>
      </c>
      <c r="J225">
        <v>6.01</v>
      </c>
      <c r="K225" t="s">
        <v>2079</v>
      </c>
      <c r="L225">
        <v>6.56</v>
      </c>
      <c r="M225" t="s">
        <v>46</v>
      </c>
      <c r="N225" t="s">
        <v>2088</v>
      </c>
      <c r="O225">
        <v>6.23</v>
      </c>
      <c r="P225">
        <v>5.95</v>
      </c>
      <c r="Q225">
        <v>6.08</v>
      </c>
      <c r="R225">
        <v>6.1</v>
      </c>
      <c r="S225">
        <v>4.59</v>
      </c>
      <c r="T225">
        <v>0.76</v>
      </c>
      <c r="U225">
        <v>47.34</v>
      </c>
      <c r="V225" t="s">
        <v>209</v>
      </c>
      <c r="W225">
        <v>6.07</v>
      </c>
      <c r="X225" t="s">
        <v>2089</v>
      </c>
      <c r="Y225" t="s">
        <v>1866</v>
      </c>
      <c r="Z225">
        <v>1.43</v>
      </c>
      <c r="AA225">
        <v>4833</v>
      </c>
      <c r="AB225">
        <v>242</v>
      </c>
      <c r="AC225">
        <v>5.07</v>
      </c>
      <c r="AD225" t="s">
        <v>2090</v>
      </c>
      <c r="AE225" t="s">
        <v>2091</v>
      </c>
      <c r="AF225" t="s">
        <v>2092</v>
      </c>
      <c r="AG225" t="s">
        <v>2093</v>
      </c>
      <c r="AH225">
        <v>0.17</v>
      </c>
      <c r="AI225">
        <v>-2.59</v>
      </c>
      <c r="AJ225">
        <v>25.89</v>
      </c>
      <c r="AK225">
        <v>49.95</v>
      </c>
      <c r="AL225">
        <v>-2</v>
      </c>
      <c r="AM225">
        <v>-1.48</v>
      </c>
      <c r="AN225">
        <v>25.47</v>
      </c>
      <c r="AO225">
        <v>38.16</v>
      </c>
      <c r="AP225">
        <v>12.76</v>
      </c>
    </row>
    <row r="226" spans="1:42">
      <c r="A226">
        <v>225</v>
      </c>
      <c r="B226" t="str">
        <f>"002654"</f>
        <v>002654</v>
      </c>
      <c r="C226" t="s">
        <v>2094</v>
      </c>
      <c r="D226">
        <v>13.74</v>
      </c>
      <c r="E226">
        <v>1.4</v>
      </c>
      <c r="F226">
        <v>0.19</v>
      </c>
      <c r="G226" t="s">
        <v>2095</v>
      </c>
      <c r="H226">
        <v>7261</v>
      </c>
      <c r="I226">
        <v>13.74</v>
      </c>
      <c r="J226">
        <v>13.75</v>
      </c>
      <c r="K226" t="s">
        <v>2079</v>
      </c>
      <c r="L226">
        <v>6.14</v>
      </c>
      <c r="M226" t="s">
        <v>46</v>
      </c>
      <c r="N226" t="s">
        <v>1311</v>
      </c>
      <c r="O226">
        <v>13.86</v>
      </c>
      <c r="P226">
        <v>13.25</v>
      </c>
      <c r="Q226">
        <v>13.42</v>
      </c>
      <c r="R226">
        <v>13.55</v>
      </c>
      <c r="S226">
        <v>4.5</v>
      </c>
      <c r="T226">
        <v>0.79</v>
      </c>
      <c r="U226">
        <v>-18.12</v>
      </c>
      <c r="V226">
        <v>-2003</v>
      </c>
      <c r="W226">
        <v>13.56</v>
      </c>
      <c r="X226" t="s">
        <v>487</v>
      </c>
      <c r="Y226" t="s">
        <v>2096</v>
      </c>
      <c r="Z226">
        <v>0.95</v>
      </c>
      <c r="AA226">
        <v>203</v>
      </c>
      <c r="AB226">
        <v>3095</v>
      </c>
      <c r="AC226">
        <v>7.73</v>
      </c>
      <c r="AD226" t="s">
        <v>2097</v>
      </c>
      <c r="AE226" t="s">
        <v>2098</v>
      </c>
      <c r="AF226" t="s">
        <v>2099</v>
      </c>
      <c r="AG226" t="s">
        <v>2100</v>
      </c>
      <c r="AH226">
        <v>-4.91</v>
      </c>
      <c r="AI226">
        <v>-7.16</v>
      </c>
      <c r="AJ226">
        <v>22.2</v>
      </c>
      <c r="AK226">
        <v>44.98</v>
      </c>
      <c r="AL226">
        <v>1</v>
      </c>
      <c r="AM226">
        <v>1.4</v>
      </c>
      <c r="AN226">
        <v>172.62</v>
      </c>
      <c r="AO226">
        <v>-7.66</v>
      </c>
      <c r="AP226">
        <v>208.07</v>
      </c>
    </row>
    <row r="227" spans="1:42">
      <c r="A227">
        <v>226</v>
      </c>
      <c r="B227" t="str">
        <f>"300896"</f>
        <v>300896</v>
      </c>
      <c r="C227" t="s">
        <v>2101</v>
      </c>
      <c r="D227">
        <v>298</v>
      </c>
      <c r="E227">
        <v>-2.15</v>
      </c>
      <c r="F227">
        <v>-6.54</v>
      </c>
      <c r="G227" t="s">
        <v>2102</v>
      </c>
      <c r="H227">
        <v>129</v>
      </c>
      <c r="I227">
        <v>297.8</v>
      </c>
      <c r="J227">
        <v>298</v>
      </c>
      <c r="K227" t="s">
        <v>2103</v>
      </c>
      <c r="L227">
        <v>1.46</v>
      </c>
      <c r="M227" t="s">
        <v>46</v>
      </c>
      <c r="N227" t="s">
        <v>2104</v>
      </c>
      <c r="O227">
        <v>308</v>
      </c>
      <c r="P227">
        <v>295.02</v>
      </c>
      <c r="Q227">
        <v>303.31</v>
      </c>
      <c r="R227">
        <v>304.54</v>
      </c>
      <c r="S227">
        <v>4.26</v>
      </c>
      <c r="T227">
        <v>1.53</v>
      </c>
      <c r="U227">
        <v>-62.96</v>
      </c>
      <c r="V227">
        <v>-48</v>
      </c>
      <c r="W227">
        <v>298.26</v>
      </c>
      <c r="X227" t="s">
        <v>1743</v>
      </c>
      <c r="Y227" t="s">
        <v>1154</v>
      </c>
      <c r="Z227">
        <v>1.13</v>
      </c>
      <c r="AA227">
        <v>10</v>
      </c>
      <c r="AB227">
        <v>47</v>
      </c>
      <c r="AC227">
        <v>9.94</v>
      </c>
      <c r="AD227" t="s">
        <v>2105</v>
      </c>
      <c r="AE227" t="s">
        <v>2106</v>
      </c>
      <c r="AF227" t="s">
        <v>2107</v>
      </c>
      <c r="AG227" t="s">
        <v>2108</v>
      </c>
      <c r="AH227">
        <v>-5.65</v>
      </c>
      <c r="AI227">
        <v>-8.95</v>
      </c>
      <c r="AJ227">
        <v>3.61</v>
      </c>
      <c r="AK227">
        <v>6.24</v>
      </c>
      <c r="AL227">
        <v>-3</v>
      </c>
      <c r="AM227">
        <v>-2.15</v>
      </c>
      <c r="AN227">
        <v>-46.95</v>
      </c>
      <c r="AO227">
        <v>-8.82</v>
      </c>
      <c r="AP227">
        <v>-33.16</v>
      </c>
    </row>
    <row r="228" spans="1:42">
      <c r="A228">
        <v>227</v>
      </c>
      <c r="B228" t="str">
        <f>"002354"</f>
        <v>002354</v>
      </c>
      <c r="C228" t="s">
        <v>2109</v>
      </c>
      <c r="D228">
        <v>5.7</v>
      </c>
      <c r="E228">
        <v>4.2</v>
      </c>
      <c r="F228">
        <v>0.23</v>
      </c>
      <c r="G228" t="s">
        <v>2110</v>
      </c>
      <c r="H228" t="s">
        <v>2111</v>
      </c>
      <c r="I228">
        <v>5.7</v>
      </c>
      <c r="J228">
        <v>5.71</v>
      </c>
      <c r="K228" t="s">
        <v>2112</v>
      </c>
      <c r="L228">
        <v>7.11</v>
      </c>
      <c r="M228" t="s">
        <v>46</v>
      </c>
      <c r="N228" t="s">
        <v>2113</v>
      </c>
      <c r="O228">
        <v>5.71</v>
      </c>
      <c r="P228">
        <v>5.47</v>
      </c>
      <c r="Q228">
        <v>5.48</v>
      </c>
      <c r="R228">
        <v>5.47</v>
      </c>
      <c r="S228">
        <v>4.39</v>
      </c>
      <c r="T228">
        <v>1.68</v>
      </c>
      <c r="U228">
        <v>-29.1</v>
      </c>
      <c r="V228" t="s">
        <v>2114</v>
      </c>
      <c r="W228">
        <v>5.63</v>
      </c>
      <c r="X228" t="s">
        <v>1695</v>
      </c>
      <c r="Y228" t="s">
        <v>2115</v>
      </c>
      <c r="Z228">
        <v>0.51</v>
      </c>
      <c r="AA228">
        <v>7820</v>
      </c>
      <c r="AB228">
        <v>9204</v>
      </c>
      <c r="AC228">
        <v>3.71</v>
      </c>
      <c r="AD228" t="s">
        <v>2116</v>
      </c>
      <c r="AE228" t="s">
        <v>2117</v>
      </c>
      <c r="AF228" t="s">
        <v>2118</v>
      </c>
      <c r="AG228" t="s">
        <v>2119</v>
      </c>
      <c r="AH228">
        <v>-0.18</v>
      </c>
      <c r="AI228">
        <v>-3.39</v>
      </c>
      <c r="AJ228">
        <v>14.68</v>
      </c>
      <c r="AK228">
        <v>28.27</v>
      </c>
      <c r="AL228">
        <v>1</v>
      </c>
      <c r="AM228">
        <v>4.2</v>
      </c>
      <c r="AN228">
        <v>45.78</v>
      </c>
      <c r="AO228">
        <v>9.4</v>
      </c>
      <c r="AP228">
        <v>35.07</v>
      </c>
    </row>
    <row r="229" spans="1:42">
      <c r="A229">
        <v>228</v>
      </c>
      <c r="B229" t="str">
        <f>"600246"</f>
        <v>600246</v>
      </c>
      <c r="C229" t="s">
        <v>2120</v>
      </c>
      <c r="D229">
        <v>7.94</v>
      </c>
      <c r="E229">
        <v>9.97</v>
      </c>
      <c r="F229">
        <v>0.72</v>
      </c>
      <c r="G229" t="s">
        <v>2121</v>
      </c>
      <c r="H229">
        <v>1476</v>
      </c>
      <c r="I229">
        <v>7.94</v>
      </c>
      <c r="J229" t="s">
        <v>76</v>
      </c>
      <c r="K229" t="s">
        <v>2122</v>
      </c>
      <c r="L229">
        <v>4.09</v>
      </c>
      <c r="M229" t="s">
        <v>46</v>
      </c>
      <c r="N229" t="s">
        <v>2123</v>
      </c>
      <c r="O229">
        <v>7.94</v>
      </c>
      <c r="P229">
        <v>7.15</v>
      </c>
      <c r="Q229">
        <v>7.25</v>
      </c>
      <c r="R229">
        <v>7.22</v>
      </c>
      <c r="S229">
        <v>10.94</v>
      </c>
      <c r="T229">
        <v>0.84</v>
      </c>
      <c r="U229">
        <v>100</v>
      </c>
      <c r="V229" t="s">
        <v>2124</v>
      </c>
      <c r="W229">
        <v>7.7</v>
      </c>
      <c r="X229" t="s">
        <v>1866</v>
      </c>
      <c r="Y229" t="s">
        <v>1684</v>
      </c>
      <c r="Z229">
        <v>1.12</v>
      </c>
      <c r="AA229" t="s">
        <v>2125</v>
      </c>
      <c r="AB229">
        <v>0</v>
      </c>
      <c r="AC229">
        <v>2.79</v>
      </c>
      <c r="AD229" t="s">
        <v>2126</v>
      </c>
      <c r="AE229" t="s">
        <v>2127</v>
      </c>
      <c r="AF229" t="s">
        <v>2126</v>
      </c>
      <c r="AG229" t="s">
        <v>2127</v>
      </c>
      <c r="AH229">
        <v>-1.73</v>
      </c>
      <c r="AI229">
        <v>3.79</v>
      </c>
      <c r="AJ229">
        <v>12.23</v>
      </c>
      <c r="AK229">
        <v>28.33</v>
      </c>
      <c r="AL229">
        <v>1</v>
      </c>
      <c r="AM229">
        <v>9.97</v>
      </c>
      <c r="AN229">
        <v>26.23</v>
      </c>
      <c r="AO229">
        <v>35.26</v>
      </c>
      <c r="AP229">
        <v>-23.8</v>
      </c>
    </row>
    <row r="230" spans="1:42">
      <c r="A230">
        <v>229</v>
      </c>
      <c r="B230" t="str">
        <f>"002352"</f>
        <v>002352</v>
      </c>
      <c r="C230" t="s">
        <v>2128</v>
      </c>
      <c r="D230">
        <v>41.68</v>
      </c>
      <c r="E230">
        <v>-1.37</v>
      </c>
      <c r="F230">
        <v>-0.58</v>
      </c>
      <c r="G230" t="s">
        <v>562</v>
      </c>
      <c r="H230">
        <v>1343</v>
      </c>
      <c r="I230">
        <v>41.68</v>
      </c>
      <c r="J230">
        <v>41.69</v>
      </c>
      <c r="K230" t="s">
        <v>2129</v>
      </c>
      <c r="L230">
        <v>0.32</v>
      </c>
      <c r="M230" t="s">
        <v>46</v>
      </c>
      <c r="N230" t="s">
        <v>2130</v>
      </c>
      <c r="O230">
        <v>42.18</v>
      </c>
      <c r="P230">
        <v>41.17</v>
      </c>
      <c r="Q230">
        <v>42.18</v>
      </c>
      <c r="R230">
        <v>42.26</v>
      </c>
      <c r="S230">
        <v>2.39</v>
      </c>
      <c r="T230">
        <v>1.13</v>
      </c>
      <c r="U230">
        <v>-0.83</v>
      </c>
      <c r="V230">
        <v>-5</v>
      </c>
      <c r="W230">
        <v>41.59</v>
      </c>
      <c r="X230" t="s">
        <v>2131</v>
      </c>
      <c r="Y230" t="s">
        <v>2132</v>
      </c>
      <c r="Z230">
        <v>1.38</v>
      </c>
      <c r="AA230">
        <v>149</v>
      </c>
      <c r="AB230">
        <v>217</v>
      </c>
      <c r="AC230">
        <v>2.25</v>
      </c>
      <c r="AD230" t="s">
        <v>2133</v>
      </c>
      <c r="AE230" t="s">
        <v>2134</v>
      </c>
      <c r="AF230" t="s">
        <v>2135</v>
      </c>
      <c r="AG230" t="s">
        <v>2136</v>
      </c>
      <c r="AH230">
        <v>-0.29</v>
      </c>
      <c r="AI230">
        <v>1.66</v>
      </c>
      <c r="AJ230">
        <v>0.98</v>
      </c>
      <c r="AK230">
        <v>1.73</v>
      </c>
      <c r="AL230">
        <v>-1</v>
      </c>
      <c r="AM230">
        <v>-1.37</v>
      </c>
      <c r="AN230">
        <v>-27.53</v>
      </c>
      <c r="AO230">
        <v>6.82</v>
      </c>
      <c r="AP230">
        <v>-18.99</v>
      </c>
    </row>
    <row r="231" spans="1:42">
      <c r="A231">
        <v>230</v>
      </c>
      <c r="B231" t="str">
        <f>"002300"</f>
        <v>002300</v>
      </c>
      <c r="C231" t="s">
        <v>2137</v>
      </c>
      <c r="D231">
        <v>9.04</v>
      </c>
      <c r="E231">
        <v>3.79</v>
      </c>
      <c r="F231">
        <v>0.33</v>
      </c>
      <c r="G231" t="s">
        <v>2138</v>
      </c>
      <c r="H231">
        <v>6189</v>
      </c>
      <c r="I231">
        <v>9.04</v>
      </c>
      <c r="J231">
        <v>9.05</v>
      </c>
      <c r="K231" t="s">
        <v>2139</v>
      </c>
      <c r="L231">
        <v>9.95</v>
      </c>
      <c r="M231" t="s">
        <v>46</v>
      </c>
      <c r="N231" t="s">
        <v>2140</v>
      </c>
      <c r="O231">
        <v>9.2</v>
      </c>
      <c r="P231">
        <v>8.66</v>
      </c>
      <c r="Q231">
        <v>8.81</v>
      </c>
      <c r="R231">
        <v>8.71</v>
      </c>
      <c r="S231">
        <v>6.2</v>
      </c>
      <c r="T231">
        <v>2.11</v>
      </c>
      <c r="U231">
        <v>25.19</v>
      </c>
      <c r="V231">
        <v>4563</v>
      </c>
      <c r="W231">
        <v>8.94</v>
      </c>
      <c r="X231" t="s">
        <v>272</v>
      </c>
      <c r="Y231" t="s">
        <v>2141</v>
      </c>
      <c r="Z231">
        <v>0.56</v>
      </c>
      <c r="AA231">
        <v>1227</v>
      </c>
      <c r="AB231">
        <v>1811</v>
      </c>
      <c r="AC231">
        <v>3.47</v>
      </c>
      <c r="AD231" t="s">
        <v>2142</v>
      </c>
      <c r="AE231" t="s">
        <v>2143</v>
      </c>
      <c r="AF231" t="s">
        <v>2142</v>
      </c>
      <c r="AG231" t="s">
        <v>2144</v>
      </c>
      <c r="AH231">
        <v>11.74</v>
      </c>
      <c r="AI231">
        <v>10.38</v>
      </c>
      <c r="AJ231">
        <v>19.79</v>
      </c>
      <c r="AK231">
        <v>33.58</v>
      </c>
      <c r="AL231">
        <v>3</v>
      </c>
      <c r="AM231">
        <v>3.79</v>
      </c>
      <c r="AN231">
        <v>31.59</v>
      </c>
      <c r="AO231">
        <v>1.46</v>
      </c>
      <c r="AP231">
        <v>22.99</v>
      </c>
    </row>
    <row r="232" spans="1:42">
      <c r="A232">
        <v>231</v>
      </c>
      <c r="B232" t="str">
        <f>"002712"</f>
        <v>002712</v>
      </c>
      <c r="C232" t="s">
        <v>2145</v>
      </c>
      <c r="D232">
        <v>6.64</v>
      </c>
      <c r="E232">
        <v>7.1</v>
      </c>
      <c r="F232">
        <v>0.44</v>
      </c>
      <c r="G232" t="s">
        <v>2146</v>
      </c>
      <c r="H232" t="s">
        <v>2147</v>
      </c>
      <c r="I232">
        <v>6.63</v>
      </c>
      <c r="J232">
        <v>6.64</v>
      </c>
      <c r="K232" t="s">
        <v>2148</v>
      </c>
      <c r="L232">
        <v>18.22</v>
      </c>
      <c r="M232" t="s">
        <v>46</v>
      </c>
      <c r="N232" t="s">
        <v>2149</v>
      </c>
      <c r="O232">
        <v>6.74</v>
      </c>
      <c r="P232">
        <v>6.19</v>
      </c>
      <c r="Q232">
        <v>6.19</v>
      </c>
      <c r="R232">
        <v>6.2</v>
      </c>
      <c r="S232">
        <v>8.87</v>
      </c>
      <c r="T232">
        <v>1.14</v>
      </c>
      <c r="U232">
        <v>47.27</v>
      </c>
      <c r="V232">
        <v>4541</v>
      </c>
      <c r="W232">
        <v>6.5</v>
      </c>
      <c r="X232" t="s">
        <v>2150</v>
      </c>
      <c r="Y232" t="s">
        <v>2151</v>
      </c>
      <c r="Z232">
        <v>0.66</v>
      </c>
      <c r="AA232">
        <v>96</v>
      </c>
      <c r="AB232">
        <v>5</v>
      </c>
      <c r="AC232">
        <v>2.33</v>
      </c>
      <c r="AD232" t="s">
        <v>2152</v>
      </c>
      <c r="AE232" t="s">
        <v>2153</v>
      </c>
      <c r="AF232" t="s">
        <v>2154</v>
      </c>
      <c r="AG232" t="s">
        <v>2155</v>
      </c>
      <c r="AH232">
        <v>-10.63</v>
      </c>
      <c r="AI232">
        <v>-20.38</v>
      </c>
      <c r="AJ232">
        <v>53.43</v>
      </c>
      <c r="AK232">
        <v>98.18</v>
      </c>
      <c r="AL232">
        <v>1</v>
      </c>
      <c r="AM232">
        <v>7.1</v>
      </c>
      <c r="AN232">
        <v>33.33</v>
      </c>
      <c r="AO232">
        <v>13.7</v>
      </c>
      <c r="AP232">
        <v>50.91</v>
      </c>
    </row>
    <row r="233" spans="1:42">
      <c r="A233">
        <v>232</v>
      </c>
      <c r="B233" t="str">
        <f>"002848"</f>
        <v>002848</v>
      </c>
      <c r="C233" t="s">
        <v>2156</v>
      </c>
      <c r="D233">
        <v>13.94</v>
      </c>
      <c r="E233">
        <v>-4.78</v>
      </c>
      <c r="F233">
        <v>-0.7</v>
      </c>
      <c r="G233" t="s">
        <v>2157</v>
      </c>
      <c r="H233">
        <v>8713</v>
      </c>
      <c r="I233">
        <v>13.93</v>
      </c>
      <c r="J233">
        <v>13.94</v>
      </c>
      <c r="K233" t="s">
        <v>2158</v>
      </c>
      <c r="L233">
        <v>27.66</v>
      </c>
      <c r="M233" t="s">
        <v>46</v>
      </c>
      <c r="N233" t="s">
        <v>2159</v>
      </c>
      <c r="O233">
        <v>15.32</v>
      </c>
      <c r="P233">
        <v>13.65</v>
      </c>
      <c r="Q233">
        <v>15.07</v>
      </c>
      <c r="R233">
        <v>14.64</v>
      </c>
      <c r="S233">
        <v>11.41</v>
      </c>
      <c r="T233">
        <v>1.3</v>
      </c>
      <c r="U233">
        <v>86.89</v>
      </c>
      <c r="V233">
        <v>4466</v>
      </c>
      <c r="W233">
        <v>14.2</v>
      </c>
      <c r="X233" t="s">
        <v>259</v>
      </c>
      <c r="Y233" t="s">
        <v>2160</v>
      </c>
      <c r="Z233">
        <v>1.2</v>
      </c>
      <c r="AA233">
        <v>1755</v>
      </c>
      <c r="AB233">
        <v>152</v>
      </c>
      <c r="AC233">
        <v>11.68</v>
      </c>
      <c r="AD233" t="s">
        <v>2161</v>
      </c>
      <c r="AE233" t="s">
        <v>2162</v>
      </c>
      <c r="AF233" t="s">
        <v>626</v>
      </c>
      <c r="AG233" t="s">
        <v>2163</v>
      </c>
      <c r="AH233">
        <v>0.36</v>
      </c>
      <c r="AI233">
        <v>15.3</v>
      </c>
      <c r="AJ233">
        <v>72</v>
      </c>
      <c r="AK233">
        <v>133.71</v>
      </c>
      <c r="AL233">
        <v>-1</v>
      </c>
      <c r="AM233">
        <v>-4.78</v>
      </c>
      <c r="AN233">
        <v>50.22</v>
      </c>
      <c r="AO233">
        <v>24.58</v>
      </c>
      <c r="AP233">
        <v>30.52</v>
      </c>
    </row>
    <row r="234" spans="1:42">
      <c r="A234">
        <v>233</v>
      </c>
      <c r="B234" t="str">
        <f>"600745"</f>
        <v>600745</v>
      </c>
      <c r="C234" t="s">
        <v>2164</v>
      </c>
      <c r="D234">
        <v>48.42</v>
      </c>
      <c r="E234">
        <v>0.39</v>
      </c>
      <c r="F234">
        <v>0.19</v>
      </c>
      <c r="G234" t="s">
        <v>1759</v>
      </c>
      <c r="H234">
        <v>1285</v>
      </c>
      <c r="I234">
        <v>48.41</v>
      </c>
      <c r="J234">
        <v>48.42</v>
      </c>
      <c r="K234" t="s">
        <v>2165</v>
      </c>
      <c r="L234">
        <v>1.07</v>
      </c>
      <c r="M234" t="s">
        <v>46</v>
      </c>
      <c r="N234" t="s">
        <v>2166</v>
      </c>
      <c r="O234">
        <v>48.55</v>
      </c>
      <c r="P234">
        <v>47.35</v>
      </c>
      <c r="Q234">
        <v>48.24</v>
      </c>
      <c r="R234">
        <v>48.23</v>
      </c>
      <c r="S234">
        <v>2.49</v>
      </c>
      <c r="T234">
        <v>0.91</v>
      </c>
      <c r="U234">
        <v>-41.73</v>
      </c>
      <c r="V234">
        <v>-722</v>
      </c>
      <c r="W234">
        <v>47.87</v>
      </c>
      <c r="X234" t="s">
        <v>2167</v>
      </c>
      <c r="Y234" t="s">
        <v>2168</v>
      </c>
      <c r="Z234">
        <v>0.97</v>
      </c>
      <c r="AA234">
        <v>115</v>
      </c>
      <c r="AB234">
        <v>534</v>
      </c>
      <c r="AC234">
        <v>1.65</v>
      </c>
      <c r="AD234" t="s">
        <v>2169</v>
      </c>
      <c r="AE234" t="s">
        <v>2170</v>
      </c>
      <c r="AF234" t="s">
        <v>2169</v>
      </c>
      <c r="AG234" t="s">
        <v>2170</v>
      </c>
      <c r="AH234">
        <v>-2.61</v>
      </c>
      <c r="AI234">
        <v>-2.65</v>
      </c>
      <c r="AJ234">
        <v>3.37</v>
      </c>
      <c r="AK234">
        <v>6.96</v>
      </c>
      <c r="AL234">
        <v>1</v>
      </c>
      <c r="AM234">
        <v>0.39</v>
      </c>
      <c r="AN234">
        <v>-7.91</v>
      </c>
      <c r="AO234">
        <v>-3.26</v>
      </c>
      <c r="AP234">
        <v>-13.69</v>
      </c>
    </row>
    <row r="235" spans="1:42">
      <c r="A235">
        <v>234</v>
      </c>
      <c r="B235" t="str">
        <f>"300413"</f>
        <v>300413</v>
      </c>
      <c r="C235" t="s">
        <v>2171</v>
      </c>
      <c r="D235">
        <v>26.9</v>
      </c>
      <c r="E235">
        <v>4.22</v>
      </c>
      <c r="F235">
        <v>1.09</v>
      </c>
      <c r="G235" t="s">
        <v>290</v>
      </c>
      <c r="H235">
        <v>1551</v>
      </c>
      <c r="I235">
        <v>26.9</v>
      </c>
      <c r="J235">
        <v>26.91</v>
      </c>
      <c r="K235" t="s">
        <v>2165</v>
      </c>
      <c r="L235">
        <v>2.35</v>
      </c>
      <c r="M235" t="s">
        <v>46</v>
      </c>
      <c r="N235" t="s">
        <v>2172</v>
      </c>
      <c r="O235">
        <v>27.15</v>
      </c>
      <c r="P235">
        <v>25.73</v>
      </c>
      <c r="Q235">
        <v>25.84</v>
      </c>
      <c r="R235">
        <v>25.81</v>
      </c>
      <c r="S235">
        <v>5.5</v>
      </c>
      <c r="T235">
        <v>1.93</v>
      </c>
      <c r="U235">
        <v>-54.29</v>
      </c>
      <c r="V235">
        <v>-591</v>
      </c>
      <c r="W235">
        <v>26.53</v>
      </c>
      <c r="X235" t="s">
        <v>656</v>
      </c>
      <c r="Y235" t="s">
        <v>446</v>
      </c>
      <c r="Z235">
        <v>0.87</v>
      </c>
      <c r="AA235">
        <v>32</v>
      </c>
      <c r="AB235">
        <v>76</v>
      </c>
      <c r="AC235">
        <v>2.47</v>
      </c>
      <c r="AD235" t="s">
        <v>2173</v>
      </c>
      <c r="AE235" t="s">
        <v>2174</v>
      </c>
      <c r="AF235" t="s">
        <v>2175</v>
      </c>
      <c r="AG235" t="s">
        <v>2176</v>
      </c>
      <c r="AH235">
        <v>3.42</v>
      </c>
      <c r="AI235">
        <v>-2.22</v>
      </c>
      <c r="AJ235">
        <v>4.04</v>
      </c>
      <c r="AK235">
        <v>8.44</v>
      </c>
      <c r="AL235">
        <v>1</v>
      </c>
      <c r="AM235">
        <v>4.22</v>
      </c>
      <c r="AN235">
        <v>-10</v>
      </c>
      <c r="AO235">
        <v>4.51</v>
      </c>
      <c r="AP235">
        <v>6.96</v>
      </c>
    </row>
    <row r="236" spans="1:42">
      <c r="A236">
        <v>235</v>
      </c>
      <c r="B236" t="str">
        <f>"002472"</f>
        <v>002472</v>
      </c>
      <c r="C236" t="s">
        <v>2177</v>
      </c>
      <c r="D236">
        <v>26.8</v>
      </c>
      <c r="E236">
        <v>-3.42</v>
      </c>
      <c r="F236">
        <v>-0.95</v>
      </c>
      <c r="G236" t="s">
        <v>2178</v>
      </c>
      <c r="H236">
        <v>1254</v>
      </c>
      <c r="I236">
        <v>26.8</v>
      </c>
      <c r="J236">
        <v>26.81</v>
      </c>
      <c r="K236" t="s">
        <v>2179</v>
      </c>
      <c r="L236">
        <v>3.13</v>
      </c>
      <c r="M236" t="s">
        <v>46</v>
      </c>
      <c r="N236" t="s">
        <v>2180</v>
      </c>
      <c r="O236">
        <v>27.52</v>
      </c>
      <c r="P236">
        <v>26.39</v>
      </c>
      <c r="Q236">
        <v>27.51</v>
      </c>
      <c r="R236">
        <v>27.75</v>
      </c>
      <c r="S236">
        <v>4.07</v>
      </c>
      <c r="T236">
        <v>1.81</v>
      </c>
      <c r="U236">
        <v>-42.75</v>
      </c>
      <c r="V236">
        <v>-1520</v>
      </c>
      <c r="W236">
        <v>26.73</v>
      </c>
      <c r="X236" t="s">
        <v>1759</v>
      </c>
      <c r="Y236" t="s">
        <v>881</v>
      </c>
      <c r="Z236">
        <v>1.27</v>
      </c>
      <c r="AA236">
        <v>391</v>
      </c>
      <c r="AB236">
        <v>1948</v>
      </c>
      <c r="AC236">
        <v>2.99</v>
      </c>
      <c r="AD236" t="s">
        <v>2181</v>
      </c>
      <c r="AE236" t="s">
        <v>2182</v>
      </c>
      <c r="AF236" t="s">
        <v>2183</v>
      </c>
      <c r="AG236" t="s">
        <v>2184</v>
      </c>
      <c r="AH236">
        <v>-2.33</v>
      </c>
      <c r="AI236">
        <v>-3.67</v>
      </c>
      <c r="AJ236">
        <v>7.24</v>
      </c>
      <c r="AK236">
        <v>11.78</v>
      </c>
      <c r="AL236">
        <v>-1</v>
      </c>
      <c r="AM236">
        <v>-3.42</v>
      </c>
      <c r="AN236">
        <v>5.64</v>
      </c>
      <c r="AO236">
        <v>-3.35</v>
      </c>
      <c r="AP236">
        <v>0.04</v>
      </c>
    </row>
    <row r="237" spans="1:42">
      <c r="A237">
        <v>236</v>
      </c>
      <c r="B237" t="str">
        <f>"002049"</f>
        <v>002049</v>
      </c>
      <c r="C237" t="s">
        <v>2185</v>
      </c>
      <c r="D237">
        <v>72.42</v>
      </c>
      <c r="E237">
        <v>-0.04</v>
      </c>
      <c r="F237">
        <v>-0.03</v>
      </c>
      <c r="G237" t="s">
        <v>2186</v>
      </c>
      <c r="H237">
        <v>993</v>
      </c>
      <c r="I237">
        <v>72.42</v>
      </c>
      <c r="J237">
        <v>72.43</v>
      </c>
      <c r="K237" t="s">
        <v>2187</v>
      </c>
      <c r="L237">
        <v>1.03</v>
      </c>
      <c r="M237" t="s">
        <v>46</v>
      </c>
      <c r="N237" t="s">
        <v>2188</v>
      </c>
      <c r="O237">
        <v>73.23</v>
      </c>
      <c r="P237">
        <v>71.24</v>
      </c>
      <c r="Q237">
        <v>72.37</v>
      </c>
      <c r="R237">
        <v>72.45</v>
      </c>
      <c r="S237">
        <v>2.75</v>
      </c>
      <c r="T237">
        <v>1.33</v>
      </c>
      <c r="U237">
        <v>55.2</v>
      </c>
      <c r="V237">
        <v>572</v>
      </c>
      <c r="W237">
        <v>72.08</v>
      </c>
      <c r="X237" t="s">
        <v>1708</v>
      </c>
      <c r="Y237" t="s">
        <v>2189</v>
      </c>
      <c r="Z237">
        <v>1.37</v>
      </c>
      <c r="AA237">
        <v>270</v>
      </c>
      <c r="AB237">
        <v>76</v>
      </c>
      <c r="AC237">
        <v>5.61</v>
      </c>
      <c r="AD237" t="s">
        <v>2190</v>
      </c>
      <c r="AE237" t="s">
        <v>2191</v>
      </c>
      <c r="AF237" t="s">
        <v>2192</v>
      </c>
      <c r="AG237" t="s">
        <v>2193</v>
      </c>
      <c r="AH237">
        <v>-1.86</v>
      </c>
      <c r="AI237">
        <v>-4.96</v>
      </c>
      <c r="AJ237">
        <v>2.49</v>
      </c>
      <c r="AK237">
        <v>4.89</v>
      </c>
      <c r="AL237">
        <v>-3</v>
      </c>
      <c r="AM237">
        <v>-0.04</v>
      </c>
      <c r="AN237">
        <v>-45.06</v>
      </c>
      <c r="AO237">
        <v>-3.89</v>
      </c>
      <c r="AP237">
        <v>-48.71</v>
      </c>
    </row>
    <row r="238" spans="1:42">
      <c r="A238">
        <v>237</v>
      </c>
      <c r="B238" t="str">
        <f>"002693"</f>
        <v>002693</v>
      </c>
      <c r="C238" t="s">
        <v>2194</v>
      </c>
      <c r="D238">
        <v>7.99</v>
      </c>
      <c r="E238">
        <v>-2.08</v>
      </c>
      <c r="F238">
        <v>-0.17</v>
      </c>
      <c r="G238" t="s">
        <v>888</v>
      </c>
      <c r="H238">
        <v>7122</v>
      </c>
      <c r="I238">
        <v>7.99</v>
      </c>
      <c r="J238">
        <v>8</v>
      </c>
      <c r="K238" t="s">
        <v>2195</v>
      </c>
      <c r="L238">
        <v>18.82</v>
      </c>
      <c r="M238" t="s">
        <v>46</v>
      </c>
      <c r="N238" t="s">
        <v>2196</v>
      </c>
      <c r="O238">
        <v>8.76</v>
      </c>
      <c r="P238">
        <v>7.89</v>
      </c>
      <c r="Q238">
        <v>8.76</v>
      </c>
      <c r="R238">
        <v>8.16</v>
      </c>
      <c r="S238">
        <v>10.66</v>
      </c>
      <c r="T238">
        <v>3.37</v>
      </c>
      <c r="U238">
        <v>-24.72</v>
      </c>
      <c r="V238">
        <v>-2169</v>
      </c>
      <c r="W238">
        <v>8.13</v>
      </c>
      <c r="X238" t="s">
        <v>2197</v>
      </c>
      <c r="Y238" t="s">
        <v>2198</v>
      </c>
      <c r="Z238">
        <v>1.14</v>
      </c>
      <c r="AA238">
        <v>401</v>
      </c>
      <c r="AB238">
        <v>3935</v>
      </c>
      <c r="AC238">
        <v>6.34</v>
      </c>
      <c r="AD238" t="s">
        <v>427</v>
      </c>
      <c r="AE238" t="s">
        <v>2199</v>
      </c>
      <c r="AF238" t="s">
        <v>2200</v>
      </c>
      <c r="AG238" t="s">
        <v>2201</v>
      </c>
      <c r="AH238">
        <v>5.27</v>
      </c>
      <c r="AI238">
        <v>1.78</v>
      </c>
      <c r="AJ238">
        <v>26.6</v>
      </c>
      <c r="AK238">
        <v>46.71</v>
      </c>
      <c r="AL238">
        <v>-1</v>
      </c>
      <c r="AM238">
        <v>-2.08</v>
      </c>
      <c r="AN238">
        <v>9.9</v>
      </c>
      <c r="AO238">
        <v>10.06</v>
      </c>
      <c r="AP238">
        <v>-14.55</v>
      </c>
    </row>
    <row r="239" spans="1:42">
      <c r="A239">
        <v>238</v>
      </c>
      <c r="B239" t="str">
        <f>"002362"</f>
        <v>002362</v>
      </c>
      <c r="C239" t="s">
        <v>2202</v>
      </c>
      <c r="D239">
        <v>23.75</v>
      </c>
      <c r="E239">
        <v>6.5</v>
      </c>
      <c r="F239">
        <v>1.45</v>
      </c>
      <c r="G239" t="s">
        <v>1885</v>
      </c>
      <c r="H239">
        <v>2918</v>
      </c>
      <c r="I239">
        <v>23.74</v>
      </c>
      <c r="J239">
        <v>23.75</v>
      </c>
      <c r="K239" t="s">
        <v>2203</v>
      </c>
      <c r="L239">
        <v>12.89</v>
      </c>
      <c r="M239" t="s">
        <v>46</v>
      </c>
      <c r="N239" t="s">
        <v>2204</v>
      </c>
      <c r="O239">
        <v>24</v>
      </c>
      <c r="P239">
        <v>22.15</v>
      </c>
      <c r="Q239">
        <v>22.24</v>
      </c>
      <c r="R239">
        <v>22.3</v>
      </c>
      <c r="S239">
        <v>8.3</v>
      </c>
      <c r="T239">
        <v>1.66</v>
      </c>
      <c r="U239">
        <v>-17.95</v>
      </c>
      <c r="V239">
        <v>-750</v>
      </c>
      <c r="W239">
        <v>23.45</v>
      </c>
      <c r="X239" t="s">
        <v>2205</v>
      </c>
      <c r="Y239" t="s">
        <v>1245</v>
      </c>
      <c r="Z239">
        <v>0.59</v>
      </c>
      <c r="AA239">
        <v>190</v>
      </c>
      <c r="AB239">
        <v>1457</v>
      </c>
      <c r="AC239">
        <v>4.47</v>
      </c>
      <c r="AD239" t="s">
        <v>2206</v>
      </c>
      <c r="AE239" t="s">
        <v>2207</v>
      </c>
      <c r="AF239" t="s">
        <v>2208</v>
      </c>
      <c r="AG239" t="s">
        <v>2209</v>
      </c>
      <c r="AH239">
        <v>0.21</v>
      </c>
      <c r="AI239">
        <v>3.49</v>
      </c>
      <c r="AJ239">
        <v>29.8</v>
      </c>
      <c r="AK239">
        <v>51.66</v>
      </c>
      <c r="AL239">
        <v>1</v>
      </c>
      <c r="AM239">
        <v>6.5</v>
      </c>
      <c r="AN239">
        <v>52.93</v>
      </c>
      <c r="AO239">
        <v>6.36</v>
      </c>
      <c r="AP239">
        <v>60.91</v>
      </c>
    </row>
    <row r="240" spans="1:42">
      <c r="A240">
        <v>239</v>
      </c>
      <c r="B240" t="str">
        <f>"002558"</f>
        <v>002558</v>
      </c>
      <c r="C240" t="s">
        <v>2210</v>
      </c>
      <c r="D240">
        <v>12.81</v>
      </c>
      <c r="E240">
        <v>5.96</v>
      </c>
      <c r="F240">
        <v>0.72</v>
      </c>
      <c r="G240" t="s">
        <v>2211</v>
      </c>
      <c r="H240">
        <v>8867</v>
      </c>
      <c r="I240">
        <v>12.81</v>
      </c>
      <c r="J240">
        <v>12.82</v>
      </c>
      <c r="K240" t="s">
        <v>2203</v>
      </c>
      <c r="L240">
        <v>2.54</v>
      </c>
      <c r="M240" t="s">
        <v>46</v>
      </c>
      <c r="N240" t="s">
        <v>2212</v>
      </c>
      <c r="O240">
        <v>12.85</v>
      </c>
      <c r="P240">
        <v>12.07</v>
      </c>
      <c r="Q240">
        <v>12.07</v>
      </c>
      <c r="R240">
        <v>12.09</v>
      </c>
      <c r="S240">
        <v>6.45</v>
      </c>
      <c r="T240">
        <v>2.24</v>
      </c>
      <c r="U240">
        <v>7.41</v>
      </c>
      <c r="V240">
        <v>1094</v>
      </c>
      <c r="W240">
        <v>12.5</v>
      </c>
      <c r="X240" t="s">
        <v>518</v>
      </c>
      <c r="Y240" t="s">
        <v>2213</v>
      </c>
      <c r="Z240">
        <v>0.77</v>
      </c>
      <c r="AA240">
        <v>2932</v>
      </c>
      <c r="AB240">
        <v>1557</v>
      </c>
      <c r="AC240">
        <v>1.99</v>
      </c>
      <c r="AD240" t="s">
        <v>1202</v>
      </c>
      <c r="AE240" t="s">
        <v>2214</v>
      </c>
      <c r="AF240" t="s">
        <v>1202</v>
      </c>
      <c r="AG240" t="s">
        <v>2214</v>
      </c>
      <c r="AH240">
        <v>3.72</v>
      </c>
      <c r="AI240">
        <v>0.16</v>
      </c>
      <c r="AJ240">
        <v>4.59</v>
      </c>
      <c r="AK240">
        <v>8.22</v>
      </c>
      <c r="AL240">
        <v>1</v>
      </c>
      <c r="AM240">
        <v>5.96</v>
      </c>
      <c r="AN240">
        <v>67.01</v>
      </c>
      <c r="AO240">
        <v>1.75</v>
      </c>
      <c r="AP240">
        <v>61.13</v>
      </c>
    </row>
    <row r="241" spans="1:42">
      <c r="A241">
        <v>240</v>
      </c>
      <c r="B241" t="str">
        <f>"002156"</f>
        <v>002156</v>
      </c>
      <c r="C241" t="s">
        <v>2215</v>
      </c>
      <c r="D241">
        <v>22.46</v>
      </c>
      <c r="E241">
        <v>-1.06</v>
      </c>
      <c r="F241">
        <v>-0.24</v>
      </c>
      <c r="G241" t="s">
        <v>283</v>
      </c>
      <c r="H241">
        <v>4293</v>
      </c>
      <c r="I241">
        <v>22.45</v>
      </c>
      <c r="J241">
        <v>22.46</v>
      </c>
      <c r="K241" t="s">
        <v>2203</v>
      </c>
      <c r="L241">
        <v>1.83</v>
      </c>
      <c r="M241" t="s">
        <v>46</v>
      </c>
      <c r="N241" t="s">
        <v>2216</v>
      </c>
      <c r="O241">
        <v>23.07</v>
      </c>
      <c r="P241">
        <v>22.18</v>
      </c>
      <c r="Q241">
        <v>22.55</v>
      </c>
      <c r="R241">
        <v>22.7</v>
      </c>
      <c r="S241">
        <v>3.92</v>
      </c>
      <c r="T241">
        <v>0.62</v>
      </c>
      <c r="U241">
        <v>-13.44</v>
      </c>
      <c r="V241">
        <v>-301</v>
      </c>
      <c r="W241">
        <v>22.53</v>
      </c>
      <c r="X241" t="s">
        <v>2217</v>
      </c>
      <c r="Y241" t="s">
        <v>1987</v>
      </c>
      <c r="Z241">
        <v>1.13</v>
      </c>
      <c r="AA241">
        <v>374</v>
      </c>
      <c r="AB241">
        <v>2</v>
      </c>
      <c r="AC241">
        <v>2.49</v>
      </c>
      <c r="AD241" t="s">
        <v>2218</v>
      </c>
      <c r="AE241" t="s">
        <v>2219</v>
      </c>
      <c r="AF241" t="s">
        <v>2218</v>
      </c>
      <c r="AG241" t="s">
        <v>2220</v>
      </c>
      <c r="AH241">
        <v>-0.53</v>
      </c>
      <c r="AI241">
        <v>0.81</v>
      </c>
      <c r="AJ241">
        <v>7.37</v>
      </c>
      <c r="AK241">
        <v>16.66</v>
      </c>
      <c r="AL241">
        <v>-1</v>
      </c>
      <c r="AM241">
        <v>-1.06</v>
      </c>
      <c r="AN241">
        <v>37.12</v>
      </c>
      <c r="AO241">
        <v>5.79</v>
      </c>
      <c r="AP241">
        <v>23.61</v>
      </c>
    </row>
    <row r="242" spans="1:42">
      <c r="A242">
        <v>241</v>
      </c>
      <c r="B242" t="str">
        <f>"300014"</f>
        <v>300014</v>
      </c>
      <c r="C242" t="s">
        <v>2221</v>
      </c>
      <c r="D242">
        <v>41.6</v>
      </c>
      <c r="E242">
        <v>-1.4</v>
      </c>
      <c r="F242">
        <v>-0.59</v>
      </c>
      <c r="G242" t="s">
        <v>2222</v>
      </c>
      <c r="H242">
        <v>2258</v>
      </c>
      <c r="I242">
        <v>41.6</v>
      </c>
      <c r="J242">
        <v>41.61</v>
      </c>
      <c r="K242" t="s">
        <v>1788</v>
      </c>
      <c r="L242">
        <v>0.81</v>
      </c>
      <c r="M242" t="s">
        <v>46</v>
      </c>
      <c r="N242" t="s">
        <v>2223</v>
      </c>
      <c r="O242">
        <v>42.07</v>
      </c>
      <c r="P242">
        <v>41.21</v>
      </c>
      <c r="Q242">
        <v>42.05</v>
      </c>
      <c r="R242">
        <v>42.19</v>
      </c>
      <c r="S242">
        <v>2.04</v>
      </c>
      <c r="T242">
        <v>0.99</v>
      </c>
      <c r="U242">
        <v>21.2</v>
      </c>
      <c r="V242">
        <v>383</v>
      </c>
      <c r="W242">
        <v>41.58</v>
      </c>
      <c r="X242" t="s">
        <v>2224</v>
      </c>
      <c r="Y242" t="s">
        <v>2167</v>
      </c>
      <c r="Z242">
        <v>1.29</v>
      </c>
      <c r="AA242">
        <v>829</v>
      </c>
      <c r="AB242">
        <v>292</v>
      </c>
      <c r="AC242">
        <v>2.53</v>
      </c>
      <c r="AD242" t="s">
        <v>2225</v>
      </c>
      <c r="AE242" t="s">
        <v>2226</v>
      </c>
      <c r="AF242" t="s">
        <v>2227</v>
      </c>
      <c r="AG242" t="s">
        <v>2228</v>
      </c>
      <c r="AH242">
        <v>-2.69</v>
      </c>
      <c r="AI242">
        <v>-6.73</v>
      </c>
      <c r="AJ242">
        <v>2.57</v>
      </c>
      <c r="AK242">
        <v>4.89</v>
      </c>
      <c r="AL242">
        <v>-1</v>
      </c>
      <c r="AM242">
        <v>-1.4</v>
      </c>
      <c r="AN242">
        <v>-52.59</v>
      </c>
      <c r="AO242">
        <v>-8.27</v>
      </c>
      <c r="AP242">
        <v>-49.57</v>
      </c>
    </row>
    <row r="243" spans="1:42">
      <c r="A243">
        <v>242</v>
      </c>
      <c r="B243" t="str">
        <f>"600667"</f>
        <v>600667</v>
      </c>
      <c r="C243" t="s">
        <v>2229</v>
      </c>
      <c r="D243">
        <v>7.68</v>
      </c>
      <c r="E243">
        <v>0.39</v>
      </c>
      <c r="F243">
        <v>0.03</v>
      </c>
      <c r="G243" t="s">
        <v>2230</v>
      </c>
      <c r="H243" t="s">
        <v>1400</v>
      </c>
      <c r="I243">
        <v>7.67</v>
      </c>
      <c r="J243">
        <v>7.68</v>
      </c>
      <c r="K243" t="s">
        <v>1788</v>
      </c>
      <c r="L243">
        <v>3.87</v>
      </c>
      <c r="M243" t="s">
        <v>46</v>
      </c>
      <c r="N243" t="s">
        <v>2231</v>
      </c>
      <c r="O243">
        <v>7.72</v>
      </c>
      <c r="P243">
        <v>7.56</v>
      </c>
      <c r="Q243">
        <v>7.69</v>
      </c>
      <c r="R243">
        <v>7.65</v>
      </c>
      <c r="S243">
        <v>2.09</v>
      </c>
      <c r="T243">
        <v>0.45</v>
      </c>
      <c r="U243">
        <v>-29.15</v>
      </c>
      <c r="V243" t="s">
        <v>2232</v>
      </c>
      <c r="W243">
        <v>7.66</v>
      </c>
      <c r="X243" t="s">
        <v>2233</v>
      </c>
      <c r="Y243" t="s">
        <v>131</v>
      </c>
      <c r="Z243">
        <v>1.02</v>
      </c>
      <c r="AA243">
        <v>3367</v>
      </c>
      <c r="AB243">
        <v>2924</v>
      </c>
      <c r="AC243">
        <v>2.09</v>
      </c>
      <c r="AD243" t="s">
        <v>2234</v>
      </c>
      <c r="AE243" t="s">
        <v>2235</v>
      </c>
      <c r="AF243" t="s">
        <v>2234</v>
      </c>
      <c r="AG243" t="s">
        <v>2235</v>
      </c>
      <c r="AH243">
        <v>-0.39</v>
      </c>
      <c r="AI243">
        <v>-6.91</v>
      </c>
      <c r="AJ243">
        <v>18.26</v>
      </c>
      <c r="AK243">
        <v>47.19</v>
      </c>
      <c r="AL243">
        <v>1</v>
      </c>
      <c r="AM243">
        <v>0.39</v>
      </c>
      <c r="AN243">
        <v>48.84</v>
      </c>
      <c r="AO243">
        <v>18.52</v>
      </c>
      <c r="AP243">
        <v>34.03</v>
      </c>
    </row>
    <row r="244" spans="1:42">
      <c r="A244">
        <v>243</v>
      </c>
      <c r="B244" t="str">
        <f>"300759"</f>
        <v>300759</v>
      </c>
      <c r="C244" t="s">
        <v>2236</v>
      </c>
      <c r="D244">
        <v>33.14</v>
      </c>
      <c r="E244">
        <v>-0.78</v>
      </c>
      <c r="F244">
        <v>-0.26</v>
      </c>
      <c r="G244" t="s">
        <v>1008</v>
      </c>
      <c r="H244">
        <v>1730</v>
      </c>
      <c r="I244">
        <v>33.14</v>
      </c>
      <c r="J244">
        <v>33.15</v>
      </c>
      <c r="K244" t="s">
        <v>2237</v>
      </c>
      <c r="L244">
        <v>1.32</v>
      </c>
      <c r="M244" t="s">
        <v>46</v>
      </c>
      <c r="N244" t="s">
        <v>2238</v>
      </c>
      <c r="O244">
        <v>33.65</v>
      </c>
      <c r="P244">
        <v>32.59</v>
      </c>
      <c r="Q244">
        <v>33.39</v>
      </c>
      <c r="R244">
        <v>33.4</v>
      </c>
      <c r="S244">
        <v>3.17</v>
      </c>
      <c r="T244">
        <v>0.88</v>
      </c>
      <c r="U244">
        <v>70.63</v>
      </c>
      <c r="V244">
        <v>1342</v>
      </c>
      <c r="W244">
        <v>33.13</v>
      </c>
      <c r="X244" t="s">
        <v>1949</v>
      </c>
      <c r="Y244" t="s">
        <v>2239</v>
      </c>
      <c r="Z244">
        <v>1.39</v>
      </c>
      <c r="AA244">
        <v>1114</v>
      </c>
      <c r="AB244">
        <v>159</v>
      </c>
      <c r="AC244">
        <v>5.06</v>
      </c>
      <c r="AD244" t="s">
        <v>2240</v>
      </c>
      <c r="AE244" t="s">
        <v>2241</v>
      </c>
      <c r="AF244" t="s">
        <v>663</v>
      </c>
      <c r="AG244" t="s">
        <v>2242</v>
      </c>
      <c r="AH244">
        <v>-0.12</v>
      </c>
      <c r="AI244">
        <v>2.03</v>
      </c>
      <c r="AJ244">
        <v>3.97</v>
      </c>
      <c r="AK244">
        <v>8.82</v>
      </c>
      <c r="AL244">
        <v>-1</v>
      </c>
      <c r="AM244">
        <v>-0.78</v>
      </c>
      <c r="AN244">
        <v>-26.57</v>
      </c>
      <c r="AO244">
        <v>2.16</v>
      </c>
      <c r="AP244">
        <v>-25.39</v>
      </c>
    </row>
    <row r="245" spans="1:42">
      <c r="A245">
        <v>244</v>
      </c>
      <c r="B245" t="str">
        <f>"002590"</f>
        <v>002590</v>
      </c>
      <c r="C245" t="s">
        <v>2243</v>
      </c>
      <c r="D245">
        <v>13.99</v>
      </c>
      <c r="E245">
        <v>-1.82</v>
      </c>
      <c r="F245">
        <v>-0.26</v>
      </c>
      <c r="G245" t="s">
        <v>2244</v>
      </c>
      <c r="H245">
        <v>6272</v>
      </c>
      <c r="I245">
        <v>13.98</v>
      </c>
      <c r="J245">
        <v>14</v>
      </c>
      <c r="K245" t="s">
        <v>2245</v>
      </c>
      <c r="L245">
        <v>9.68</v>
      </c>
      <c r="M245" t="s">
        <v>46</v>
      </c>
      <c r="N245" t="s">
        <v>2246</v>
      </c>
      <c r="O245">
        <v>14.18</v>
      </c>
      <c r="P245">
        <v>13.7</v>
      </c>
      <c r="Q245">
        <v>14.09</v>
      </c>
      <c r="R245">
        <v>14.25</v>
      </c>
      <c r="S245">
        <v>3.37</v>
      </c>
      <c r="T245">
        <v>1.1</v>
      </c>
      <c r="U245">
        <v>67.37</v>
      </c>
      <c r="V245">
        <v>4211</v>
      </c>
      <c r="W245">
        <v>13.96</v>
      </c>
      <c r="X245" t="s">
        <v>2247</v>
      </c>
      <c r="Y245" t="s">
        <v>1125</v>
      </c>
      <c r="Z245">
        <v>1.09</v>
      </c>
      <c r="AA245">
        <v>1288</v>
      </c>
      <c r="AB245">
        <v>578</v>
      </c>
      <c r="AC245">
        <v>3.17</v>
      </c>
      <c r="AD245" t="s">
        <v>2248</v>
      </c>
      <c r="AE245" t="s">
        <v>2249</v>
      </c>
      <c r="AF245" t="s">
        <v>2250</v>
      </c>
      <c r="AG245" t="s">
        <v>2251</v>
      </c>
      <c r="AH245">
        <v>7.45</v>
      </c>
      <c r="AI245">
        <v>-0.78</v>
      </c>
      <c r="AJ245">
        <v>38.89</v>
      </c>
      <c r="AK245">
        <v>53.9</v>
      </c>
      <c r="AL245">
        <v>-2</v>
      </c>
      <c r="AM245">
        <v>-1.82</v>
      </c>
      <c r="AN245">
        <v>76.42</v>
      </c>
      <c r="AO245">
        <v>12.37</v>
      </c>
      <c r="AP245">
        <v>64.78</v>
      </c>
    </row>
    <row r="246" spans="1:42">
      <c r="A246">
        <v>245</v>
      </c>
      <c r="B246" t="str">
        <f>"600633"</f>
        <v>600633</v>
      </c>
      <c r="C246" t="s">
        <v>2252</v>
      </c>
      <c r="D246">
        <v>13.14</v>
      </c>
      <c r="E246">
        <v>5.12</v>
      </c>
      <c r="F246">
        <v>0.64</v>
      </c>
      <c r="G246" t="s">
        <v>2253</v>
      </c>
      <c r="H246">
        <v>6403</v>
      </c>
      <c r="I246">
        <v>13.13</v>
      </c>
      <c r="J246">
        <v>13.14</v>
      </c>
      <c r="K246" t="s">
        <v>2254</v>
      </c>
      <c r="L246">
        <v>3.76</v>
      </c>
      <c r="M246" t="s">
        <v>46</v>
      </c>
      <c r="N246" t="s">
        <v>624</v>
      </c>
      <c r="O246">
        <v>13.24</v>
      </c>
      <c r="P246">
        <v>12.46</v>
      </c>
      <c r="Q246">
        <v>12.5</v>
      </c>
      <c r="R246">
        <v>12.5</v>
      </c>
      <c r="S246">
        <v>6.24</v>
      </c>
      <c r="T246">
        <v>1.09</v>
      </c>
      <c r="U246">
        <v>-1.89</v>
      </c>
      <c r="V246">
        <v>-209</v>
      </c>
      <c r="W246">
        <v>12.9</v>
      </c>
      <c r="X246" t="s">
        <v>665</v>
      </c>
      <c r="Y246" t="s">
        <v>2066</v>
      </c>
      <c r="Z246">
        <v>0.51</v>
      </c>
      <c r="AA246">
        <v>1131</v>
      </c>
      <c r="AB246">
        <v>850</v>
      </c>
      <c r="AC246">
        <v>1.68</v>
      </c>
      <c r="AD246" t="s">
        <v>2255</v>
      </c>
      <c r="AE246" t="s">
        <v>2256</v>
      </c>
      <c r="AF246" t="s">
        <v>2255</v>
      </c>
      <c r="AG246" t="s">
        <v>2256</v>
      </c>
      <c r="AH246">
        <v>-0.98</v>
      </c>
      <c r="AI246">
        <v>-2.95</v>
      </c>
      <c r="AJ246">
        <v>8.98</v>
      </c>
      <c r="AK246">
        <v>21.02</v>
      </c>
      <c r="AL246">
        <v>1</v>
      </c>
      <c r="AM246">
        <v>5.12</v>
      </c>
      <c r="AN246">
        <v>62.02</v>
      </c>
      <c r="AO246">
        <v>11.83</v>
      </c>
      <c r="AP246">
        <v>52.26</v>
      </c>
    </row>
    <row r="247" spans="1:42">
      <c r="A247">
        <v>246</v>
      </c>
      <c r="B247" t="str">
        <f>"600698"</f>
        <v>600698</v>
      </c>
      <c r="C247" t="s">
        <v>2257</v>
      </c>
      <c r="D247">
        <v>6.02</v>
      </c>
      <c r="E247">
        <v>-1.95</v>
      </c>
      <c r="F247">
        <v>-0.12</v>
      </c>
      <c r="G247" t="s">
        <v>812</v>
      </c>
      <c r="H247">
        <v>5970</v>
      </c>
      <c r="I247">
        <v>6.02</v>
      </c>
      <c r="J247">
        <v>6.03</v>
      </c>
      <c r="K247" t="s">
        <v>2258</v>
      </c>
      <c r="L247">
        <v>12.31</v>
      </c>
      <c r="M247" t="s">
        <v>46</v>
      </c>
      <c r="N247" t="s">
        <v>2259</v>
      </c>
      <c r="O247">
        <v>6.39</v>
      </c>
      <c r="P247">
        <v>5.63</v>
      </c>
      <c r="Q247">
        <v>6.17</v>
      </c>
      <c r="R247">
        <v>6.14</v>
      </c>
      <c r="S247">
        <v>12.38</v>
      </c>
      <c r="T247">
        <v>1.01</v>
      </c>
      <c r="U247">
        <v>52.35</v>
      </c>
      <c r="V247">
        <v>7078</v>
      </c>
      <c r="W247">
        <v>5.97</v>
      </c>
      <c r="X247" t="s">
        <v>2260</v>
      </c>
      <c r="Y247" t="s">
        <v>483</v>
      </c>
      <c r="Z247">
        <v>1.34</v>
      </c>
      <c r="AA247">
        <v>5562</v>
      </c>
      <c r="AB247">
        <v>1109</v>
      </c>
      <c r="AC247">
        <v>8.45</v>
      </c>
      <c r="AD247" t="s">
        <v>1013</v>
      </c>
      <c r="AE247" t="s">
        <v>2261</v>
      </c>
      <c r="AF247" t="s">
        <v>2262</v>
      </c>
      <c r="AG247" t="s">
        <v>2263</v>
      </c>
      <c r="AH247">
        <v>-10.42</v>
      </c>
      <c r="AI247">
        <v>7.12</v>
      </c>
      <c r="AJ247">
        <v>46.04</v>
      </c>
      <c r="AK247">
        <v>73.28</v>
      </c>
      <c r="AL247">
        <v>-2</v>
      </c>
      <c r="AM247">
        <v>-1.95</v>
      </c>
      <c r="AN247">
        <v>29.46</v>
      </c>
      <c r="AO247">
        <v>26.74</v>
      </c>
      <c r="AP247">
        <v>24.9</v>
      </c>
    </row>
    <row r="248" spans="1:42">
      <c r="A248">
        <v>247</v>
      </c>
      <c r="B248" t="str">
        <f>"600028"</f>
        <v>600028</v>
      </c>
      <c r="C248" t="s">
        <v>2264</v>
      </c>
      <c r="D248">
        <v>5.44</v>
      </c>
      <c r="E248">
        <v>-0.55</v>
      </c>
      <c r="F248">
        <v>-0.03</v>
      </c>
      <c r="G248" t="s">
        <v>1182</v>
      </c>
      <c r="H248">
        <v>9334</v>
      </c>
      <c r="I248">
        <v>5.44</v>
      </c>
      <c r="J248">
        <v>5.45</v>
      </c>
      <c r="K248" t="s">
        <v>2265</v>
      </c>
      <c r="L248">
        <v>0.12</v>
      </c>
      <c r="M248" t="s">
        <v>46</v>
      </c>
      <c r="N248" t="s">
        <v>2266</v>
      </c>
      <c r="O248">
        <v>5.48</v>
      </c>
      <c r="P248">
        <v>5.37</v>
      </c>
      <c r="Q248">
        <v>5.45</v>
      </c>
      <c r="R248">
        <v>5.47</v>
      </c>
      <c r="S248">
        <v>2.01</v>
      </c>
      <c r="T248">
        <v>1.37</v>
      </c>
      <c r="U248">
        <v>-5.4</v>
      </c>
      <c r="V248">
        <v>-5468</v>
      </c>
      <c r="W248">
        <v>5.42</v>
      </c>
      <c r="X248" t="s">
        <v>2267</v>
      </c>
      <c r="Y248" t="s">
        <v>2268</v>
      </c>
      <c r="Z248">
        <v>1.1</v>
      </c>
      <c r="AA248">
        <v>6261</v>
      </c>
      <c r="AB248">
        <v>1044</v>
      </c>
      <c r="AC248">
        <v>0.82</v>
      </c>
      <c r="AD248" t="s">
        <v>2269</v>
      </c>
      <c r="AE248" t="s">
        <v>2270</v>
      </c>
      <c r="AF248" t="s">
        <v>2271</v>
      </c>
      <c r="AG248" t="s">
        <v>2272</v>
      </c>
      <c r="AH248">
        <v>-0.37</v>
      </c>
      <c r="AI248">
        <v>-0.55</v>
      </c>
      <c r="AJ248">
        <v>0.31</v>
      </c>
      <c r="AK248">
        <v>0.55</v>
      </c>
      <c r="AL248">
        <v>-1</v>
      </c>
      <c r="AM248">
        <v>-0.55</v>
      </c>
      <c r="AN248">
        <v>35.32</v>
      </c>
      <c r="AO248">
        <v>-1.27</v>
      </c>
      <c r="AP248">
        <v>36.68</v>
      </c>
    </row>
    <row r="249" spans="1:42">
      <c r="A249">
        <v>248</v>
      </c>
      <c r="B249" t="str">
        <f>"601225"</f>
        <v>601225</v>
      </c>
      <c r="C249" t="s">
        <v>2273</v>
      </c>
      <c r="D249">
        <v>19.55</v>
      </c>
      <c r="E249">
        <v>0.36</v>
      </c>
      <c r="F249">
        <v>0.07</v>
      </c>
      <c r="G249" t="s">
        <v>2274</v>
      </c>
      <c r="H249">
        <v>2008</v>
      </c>
      <c r="I249">
        <v>19.55</v>
      </c>
      <c r="J249">
        <v>19.56</v>
      </c>
      <c r="K249" t="s">
        <v>2275</v>
      </c>
      <c r="L249">
        <v>0.32</v>
      </c>
      <c r="M249" t="s">
        <v>46</v>
      </c>
      <c r="N249" t="s">
        <v>2276</v>
      </c>
      <c r="O249">
        <v>19.64</v>
      </c>
      <c r="P249">
        <v>19.39</v>
      </c>
      <c r="Q249">
        <v>19.51</v>
      </c>
      <c r="R249">
        <v>19.48</v>
      </c>
      <c r="S249">
        <v>1.28</v>
      </c>
      <c r="T249">
        <v>0.83</v>
      </c>
      <c r="U249">
        <v>61.78</v>
      </c>
      <c r="V249">
        <v>698</v>
      </c>
      <c r="W249">
        <v>19.51</v>
      </c>
      <c r="X249" t="s">
        <v>263</v>
      </c>
      <c r="Y249" t="s">
        <v>1196</v>
      </c>
      <c r="Z249">
        <v>0.73</v>
      </c>
      <c r="AA249">
        <v>73</v>
      </c>
      <c r="AB249">
        <v>5</v>
      </c>
      <c r="AC249">
        <v>2.2</v>
      </c>
      <c r="AD249" t="s">
        <v>2277</v>
      </c>
      <c r="AE249" t="s">
        <v>2278</v>
      </c>
      <c r="AF249" t="s">
        <v>2277</v>
      </c>
      <c r="AG249" t="s">
        <v>2278</v>
      </c>
      <c r="AH249">
        <v>1.51</v>
      </c>
      <c r="AI249">
        <v>2.62</v>
      </c>
      <c r="AJ249">
        <v>1.19</v>
      </c>
      <c r="AK249">
        <v>2.25</v>
      </c>
      <c r="AL249">
        <v>1</v>
      </c>
      <c r="AM249">
        <v>0.36</v>
      </c>
      <c r="AN249">
        <v>19.21</v>
      </c>
      <c r="AO249">
        <v>8.73</v>
      </c>
      <c r="AP249">
        <v>13.6</v>
      </c>
    </row>
    <row r="250" spans="1:42">
      <c r="A250">
        <v>249</v>
      </c>
      <c r="B250" t="str">
        <f>"002195"</f>
        <v>002195</v>
      </c>
      <c r="C250" t="s">
        <v>2279</v>
      </c>
      <c r="D250">
        <v>3.27</v>
      </c>
      <c r="E250">
        <v>2.51</v>
      </c>
      <c r="F250">
        <v>0.08</v>
      </c>
      <c r="G250" t="s">
        <v>2280</v>
      </c>
      <c r="H250" t="s">
        <v>456</v>
      </c>
      <c r="I250">
        <v>3.27</v>
      </c>
      <c r="J250">
        <v>3.28</v>
      </c>
      <c r="K250" t="s">
        <v>2275</v>
      </c>
      <c r="L250">
        <v>3.31</v>
      </c>
      <c r="M250" t="s">
        <v>46</v>
      </c>
      <c r="N250" t="s">
        <v>2281</v>
      </c>
      <c r="O250">
        <v>3.28</v>
      </c>
      <c r="P250">
        <v>3.18</v>
      </c>
      <c r="Q250">
        <v>3.19</v>
      </c>
      <c r="R250">
        <v>3.19</v>
      </c>
      <c r="S250">
        <v>3.13</v>
      </c>
      <c r="T250">
        <v>0.66</v>
      </c>
      <c r="U250">
        <v>-18.05</v>
      </c>
      <c r="V250" t="s">
        <v>2282</v>
      </c>
      <c r="W250">
        <v>3.24</v>
      </c>
      <c r="X250" t="s">
        <v>2283</v>
      </c>
      <c r="Y250" t="s">
        <v>1776</v>
      </c>
      <c r="Z250">
        <v>0.61</v>
      </c>
      <c r="AA250" t="s">
        <v>1769</v>
      </c>
      <c r="AB250" t="s">
        <v>2284</v>
      </c>
      <c r="AC250">
        <v>1.94</v>
      </c>
      <c r="AD250" t="s">
        <v>2285</v>
      </c>
      <c r="AE250" t="s">
        <v>2286</v>
      </c>
      <c r="AF250" t="s">
        <v>2287</v>
      </c>
      <c r="AG250" t="s">
        <v>2288</v>
      </c>
      <c r="AH250">
        <v>-0.61</v>
      </c>
      <c r="AI250">
        <v>-2.97</v>
      </c>
      <c r="AJ250">
        <v>10.86</v>
      </c>
      <c r="AK250">
        <v>28.33</v>
      </c>
      <c r="AL250">
        <v>1</v>
      </c>
      <c r="AM250">
        <v>2.51</v>
      </c>
      <c r="AN250">
        <v>64.32</v>
      </c>
      <c r="AO250">
        <v>16.79</v>
      </c>
      <c r="AP250">
        <v>55.71</v>
      </c>
    </row>
    <row r="251" spans="1:42">
      <c r="A251">
        <v>250</v>
      </c>
      <c r="B251" t="str">
        <f>"300707"</f>
        <v>300707</v>
      </c>
      <c r="C251" t="s">
        <v>2289</v>
      </c>
      <c r="D251">
        <v>18.8</v>
      </c>
      <c r="E251">
        <v>-12.15</v>
      </c>
      <c r="F251">
        <v>-2.6</v>
      </c>
      <c r="G251" t="s">
        <v>1089</v>
      </c>
      <c r="H251">
        <v>5784</v>
      </c>
      <c r="I251">
        <v>18.79</v>
      </c>
      <c r="J251">
        <v>18.8</v>
      </c>
      <c r="K251" t="s">
        <v>2275</v>
      </c>
      <c r="L251">
        <v>25.79</v>
      </c>
      <c r="M251" t="s">
        <v>46</v>
      </c>
      <c r="N251" t="s">
        <v>2290</v>
      </c>
      <c r="O251">
        <v>20.45</v>
      </c>
      <c r="P251">
        <v>18.6</v>
      </c>
      <c r="Q251">
        <v>20.45</v>
      </c>
      <c r="R251">
        <v>21.4</v>
      </c>
      <c r="S251">
        <v>8.64</v>
      </c>
      <c r="T251">
        <v>1.39</v>
      </c>
      <c r="U251">
        <v>64.83</v>
      </c>
      <c r="V251">
        <v>2776</v>
      </c>
      <c r="W251">
        <v>19</v>
      </c>
      <c r="X251" t="s">
        <v>2047</v>
      </c>
      <c r="Y251" t="s">
        <v>2291</v>
      </c>
      <c r="Z251">
        <v>1.07</v>
      </c>
      <c r="AA251">
        <v>317</v>
      </c>
      <c r="AB251">
        <v>185</v>
      </c>
      <c r="AC251">
        <v>3.76</v>
      </c>
      <c r="AD251" t="s">
        <v>2292</v>
      </c>
      <c r="AE251" t="s">
        <v>2293</v>
      </c>
      <c r="AF251" t="s">
        <v>2294</v>
      </c>
      <c r="AG251" t="s">
        <v>2295</v>
      </c>
      <c r="AH251">
        <v>-14.51</v>
      </c>
      <c r="AI251">
        <v>-19.97</v>
      </c>
      <c r="AJ251">
        <v>61.67</v>
      </c>
      <c r="AK251">
        <v>118.55</v>
      </c>
      <c r="AL251">
        <v>-2</v>
      </c>
      <c r="AM251">
        <v>-12.15</v>
      </c>
      <c r="AN251">
        <v>22.24</v>
      </c>
      <c r="AO251">
        <v>19.97</v>
      </c>
      <c r="AP251">
        <v>13.66</v>
      </c>
    </row>
    <row r="252" spans="1:42">
      <c r="A252">
        <v>251</v>
      </c>
      <c r="B252" t="str">
        <f>"300124"</f>
        <v>300124</v>
      </c>
      <c r="C252" t="s">
        <v>2296</v>
      </c>
      <c r="D252">
        <v>65.69</v>
      </c>
      <c r="E252">
        <v>-0.48</v>
      </c>
      <c r="F252">
        <v>-0.32</v>
      </c>
      <c r="G252" t="s">
        <v>2297</v>
      </c>
      <c r="H252">
        <v>1624</v>
      </c>
      <c r="I252">
        <v>65.68</v>
      </c>
      <c r="J252">
        <v>65.69</v>
      </c>
      <c r="K252" t="s">
        <v>1109</v>
      </c>
      <c r="L252">
        <v>0.4</v>
      </c>
      <c r="M252" t="s">
        <v>46</v>
      </c>
      <c r="N252" t="s">
        <v>2298</v>
      </c>
      <c r="O252">
        <v>65.95</v>
      </c>
      <c r="P252">
        <v>64.5</v>
      </c>
      <c r="Q252">
        <v>65.56</v>
      </c>
      <c r="R252">
        <v>66.01</v>
      </c>
      <c r="S252">
        <v>2.2</v>
      </c>
      <c r="T252">
        <v>1.02</v>
      </c>
      <c r="U252">
        <v>-58.4</v>
      </c>
      <c r="V252">
        <v>-185</v>
      </c>
      <c r="W252">
        <v>65.29</v>
      </c>
      <c r="X252" t="s">
        <v>2299</v>
      </c>
      <c r="Y252" t="s">
        <v>2300</v>
      </c>
      <c r="Z252">
        <v>1.01</v>
      </c>
      <c r="AA252">
        <v>26</v>
      </c>
      <c r="AB252">
        <v>194</v>
      </c>
      <c r="AC252">
        <v>7.79</v>
      </c>
      <c r="AD252" t="s">
        <v>2301</v>
      </c>
      <c r="AE252" t="s">
        <v>2302</v>
      </c>
      <c r="AF252" t="s">
        <v>2303</v>
      </c>
      <c r="AG252" t="s">
        <v>2304</v>
      </c>
      <c r="AH252">
        <v>1.53</v>
      </c>
      <c r="AI252">
        <v>6.14</v>
      </c>
      <c r="AJ252">
        <v>1.17</v>
      </c>
      <c r="AK252">
        <v>2.35</v>
      </c>
      <c r="AL252">
        <v>-1</v>
      </c>
      <c r="AM252">
        <v>-0.48</v>
      </c>
      <c r="AN252">
        <v>-4.99</v>
      </c>
      <c r="AO252">
        <v>5.15</v>
      </c>
      <c r="AP252">
        <v>-6.68</v>
      </c>
    </row>
    <row r="253" spans="1:42">
      <c r="A253">
        <v>252</v>
      </c>
      <c r="B253" t="str">
        <f>"300846"</f>
        <v>300846</v>
      </c>
      <c r="C253" t="s">
        <v>2305</v>
      </c>
      <c r="D253">
        <v>16.26</v>
      </c>
      <c r="E253">
        <v>2.91</v>
      </c>
      <c r="F253">
        <v>0.46</v>
      </c>
      <c r="G253" t="s">
        <v>1242</v>
      </c>
      <c r="H253">
        <v>5889</v>
      </c>
      <c r="I253">
        <v>16.25</v>
      </c>
      <c r="J253">
        <v>16.26</v>
      </c>
      <c r="K253" t="s">
        <v>1109</v>
      </c>
      <c r="L253">
        <v>10.56</v>
      </c>
      <c r="M253" t="s">
        <v>46</v>
      </c>
      <c r="N253" t="s">
        <v>1484</v>
      </c>
      <c r="O253">
        <v>16.28</v>
      </c>
      <c r="P253">
        <v>15.62</v>
      </c>
      <c r="Q253">
        <v>15.72</v>
      </c>
      <c r="R253">
        <v>15.8</v>
      </c>
      <c r="S253">
        <v>4.18</v>
      </c>
      <c r="T253">
        <v>1.42</v>
      </c>
      <c r="U253">
        <v>-44.82</v>
      </c>
      <c r="V253">
        <v>-2133</v>
      </c>
      <c r="W253">
        <v>16</v>
      </c>
      <c r="X253" t="s">
        <v>1092</v>
      </c>
      <c r="Y253" t="s">
        <v>1328</v>
      </c>
      <c r="Z253">
        <v>0.93</v>
      </c>
      <c r="AA253">
        <v>358</v>
      </c>
      <c r="AB253">
        <v>204</v>
      </c>
      <c r="AC253">
        <v>7.07</v>
      </c>
      <c r="AD253" t="s">
        <v>2306</v>
      </c>
      <c r="AE253" t="s">
        <v>2307</v>
      </c>
      <c r="AF253" t="s">
        <v>2308</v>
      </c>
      <c r="AG253" t="s">
        <v>2309</v>
      </c>
      <c r="AH253">
        <v>3.3</v>
      </c>
      <c r="AI253">
        <v>-0.97</v>
      </c>
      <c r="AJ253">
        <v>26.84</v>
      </c>
      <c r="AK253">
        <v>47.65</v>
      </c>
      <c r="AL253">
        <v>1</v>
      </c>
      <c r="AM253">
        <v>2.91</v>
      </c>
      <c r="AN253">
        <v>67.11</v>
      </c>
      <c r="AO253">
        <v>13.55</v>
      </c>
      <c r="AP253">
        <v>47.82</v>
      </c>
    </row>
    <row r="254" spans="1:42">
      <c r="A254">
        <v>253</v>
      </c>
      <c r="B254" t="str">
        <f>"002236"</f>
        <v>002236</v>
      </c>
      <c r="C254" t="s">
        <v>2310</v>
      </c>
      <c r="D254">
        <v>19.87</v>
      </c>
      <c r="E254">
        <v>2.79</v>
      </c>
      <c r="F254">
        <v>0.54</v>
      </c>
      <c r="G254" t="s">
        <v>143</v>
      </c>
      <c r="H254">
        <v>2598</v>
      </c>
      <c r="I254">
        <v>19.86</v>
      </c>
      <c r="J254">
        <v>19.87</v>
      </c>
      <c r="K254" t="s">
        <v>2311</v>
      </c>
      <c r="L254">
        <v>1.56</v>
      </c>
      <c r="M254" t="s">
        <v>46</v>
      </c>
      <c r="N254" t="s">
        <v>2312</v>
      </c>
      <c r="O254">
        <v>19.98</v>
      </c>
      <c r="P254">
        <v>19.22</v>
      </c>
      <c r="Q254">
        <v>19.3</v>
      </c>
      <c r="R254">
        <v>19.33</v>
      </c>
      <c r="S254">
        <v>3.93</v>
      </c>
      <c r="T254">
        <v>1.41</v>
      </c>
      <c r="U254">
        <v>-35.7</v>
      </c>
      <c r="V254">
        <v>-2800</v>
      </c>
      <c r="W254">
        <v>19.66</v>
      </c>
      <c r="X254" t="s">
        <v>1261</v>
      </c>
      <c r="Y254" t="s">
        <v>859</v>
      </c>
      <c r="Z254">
        <v>0.68</v>
      </c>
      <c r="AA254">
        <v>539</v>
      </c>
      <c r="AB254">
        <v>1088</v>
      </c>
      <c r="AC254">
        <v>2.06</v>
      </c>
      <c r="AD254" t="s">
        <v>2313</v>
      </c>
      <c r="AE254" t="s">
        <v>2314</v>
      </c>
      <c r="AF254" t="s">
        <v>2315</v>
      </c>
      <c r="AG254" t="s">
        <v>2316</v>
      </c>
      <c r="AH254">
        <v>0</v>
      </c>
      <c r="AI254">
        <v>-0.95</v>
      </c>
      <c r="AJ254">
        <v>3.72</v>
      </c>
      <c r="AK254">
        <v>7.12</v>
      </c>
      <c r="AL254">
        <v>1</v>
      </c>
      <c r="AM254">
        <v>2.79</v>
      </c>
      <c r="AN254">
        <v>84.67</v>
      </c>
      <c r="AO254">
        <v>-0.65</v>
      </c>
      <c r="AP254">
        <v>69.54</v>
      </c>
    </row>
    <row r="255" spans="1:42">
      <c r="A255">
        <v>254</v>
      </c>
      <c r="B255" t="str">
        <f>"000066"</f>
        <v>000066</v>
      </c>
      <c r="C255" t="s">
        <v>2317</v>
      </c>
      <c r="D255">
        <v>11.29</v>
      </c>
      <c r="E255">
        <v>1.16</v>
      </c>
      <c r="F255">
        <v>0.13</v>
      </c>
      <c r="G255" t="s">
        <v>2318</v>
      </c>
      <c r="H255">
        <v>5917</v>
      </c>
      <c r="I255">
        <v>11.29</v>
      </c>
      <c r="J255">
        <v>11.3</v>
      </c>
      <c r="K255" t="s">
        <v>2319</v>
      </c>
      <c r="L255">
        <v>1.7</v>
      </c>
      <c r="M255" t="s">
        <v>46</v>
      </c>
      <c r="N255" t="s">
        <v>2320</v>
      </c>
      <c r="O255">
        <v>11.32</v>
      </c>
      <c r="P255">
        <v>11.11</v>
      </c>
      <c r="Q255">
        <v>11.13</v>
      </c>
      <c r="R255">
        <v>11.16</v>
      </c>
      <c r="S255">
        <v>1.88</v>
      </c>
      <c r="T255">
        <v>1.19</v>
      </c>
      <c r="U255">
        <v>-34.83</v>
      </c>
      <c r="V255" t="s">
        <v>2321</v>
      </c>
      <c r="W255">
        <v>11.22</v>
      </c>
      <c r="X255" t="s">
        <v>1347</v>
      </c>
      <c r="Y255" t="s">
        <v>2213</v>
      </c>
      <c r="Z255">
        <v>0.89</v>
      </c>
      <c r="AA255">
        <v>548</v>
      </c>
      <c r="AB255">
        <v>7868</v>
      </c>
      <c r="AC255">
        <v>2.83</v>
      </c>
      <c r="AD255" t="s">
        <v>2322</v>
      </c>
      <c r="AE255" t="s">
        <v>2323</v>
      </c>
      <c r="AF255" t="s">
        <v>2324</v>
      </c>
      <c r="AG255" t="s">
        <v>2325</v>
      </c>
      <c r="AH255">
        <v>0.71</v>
      </c>
      <c r="AI255">
        <v>-0.96</v>
      </c>
      <c r="AJ255">
        <v>4.34</v>
      </c>
      <c r="AK255">
        <v>8.83</v>
      </c>
      <c r="AL255">
        <v>1</v>
      </c>
      <c r="AM255">
        <v>1.16</v>
      </c>
      <c r="AN255">
        <v>10.79</v>
      </c>
      <c r="AO255">
        <v>3.77</v>
      </c>
      <c r="AP255">
        <v>-10.68</v>
      </c>
    </row>
    <row r="256" spans="1:42">
      <c r="A256">
        <v>255</v>
      </c>
      <c r="B256" t="str">
        <f>"688012"</f>
        <v>688012</v>
      </c>
      <c r="C256" t="s">
        <v>2326</v>
      </c>
      <c r="D256">
        <v>169.02</v>
      </c>
      <c r="E256">
        <v>-0.52</v>
      </c>
      <c r="F256">
        <v>-0.88</v>
      </c>
      <c r="G256" t="s">
        <v>2327</v>
      </c>
      <c r="H256">
        <v>295</v>
      </c>
      <c r="I256">
        <v>169.02</v>
      </c>
      <c r="J256">
        <v>169.04</v>
      </c>
      <c r="K256" t="s">
        <v>2319</v>
      </c>
      <c r="L256">
        <v>0.57</v>
      </c>
      <c r="M256" t="s">
        <v>46</v>
      </c>
      <c r="N256" t="s">
        <v>2328</v>
      </c>
      <c r="O256">
        <v>170.67</v>
      </c>
      <c r="P256">
        <v>167.47</v>
      </c>
      <c r="Q256">
        <v>169.01</v>
      </c>
      <c r="R256">
        <v>169.9</v>
      </c>
      <c r="S256">
        <v>1.88</v>
      </c>
      <c r="T256">
        <v>0.8</v>
      </c>
      <c r="U256">
        <v>7.46</v>
      </c>
      <c r="V256">
        <v>8</v>
      </c>
      <c r="W256">
        <v>168.93</v>
      </c>
      <c r="X256" t="s">
        <v>1692</v>
      </c>
      <c r="Y256" t="s">
        <v>2329</v>
      </c>
      <c r="Z256">
        <v>0.86</v>
      </c>
      <c r="AA256">
        <v>27</v>
      </c>
      <c r="AB256">
        <v>5</v>
      </c>
      <c r="AC256">
        <v>6.18</v>
      </c>
      <c r="AD256" t="s">
        <v>2330</v>
      </c>
      <c r="AE256" t="s">
        <v>2331</v>
      </c>
      <c r="AF256" t="s">
        <v>2330</v>
      </c>
      <c r="AG256" t="s">
        <v>2331</v>
      </c>
      <c r="AH256">
        <v>1.64</v>
      </c>
      <c r="AI256">
        <v>3.98</v>
      </c>
      <c r="AJ256">
        <v>2.03</v>
      </c>
      <c r="AK256">
        <v>4.14</v>
      </c>
      <c r="AL256">
        <v>-1</v>
      </c>
      <c r="AM256">
        <v>-0.52</v>
      </c>
      <c r="AN256">
        <v>72.8</v>
      </c>
      <c r="AO256">
        <v>2.2</v>
      </c>
      <c r="AP256">
        <v>66.13</v>
      </c>
    </row>
    <row r="257" spans="1:42">
      <c r="A257">
        <v>256</v>
      </c>
      <c r="B257" t="str">
        <f>"601328"</f>
        <v>601328</v>
      </c>
      <c r="C257" t="s">
        <v>2332</v>
      </c>
      <c r="D257">
        <v>5.78</v>
      </c>
      <c r="E257">
        <v>-1.03</v>
      </c>
      <c r="F257">
        <v>-0.06</v>
      </c>
      <c r="G257" t="s">
        <v>2333</v>
      </c>
      <c r="H257">
        <v>9029</v>
      </c>
      <c r="I257">
        <v>5.78</v>
      </c>
      <c r="J257">
        <v>5.79</v>
      </c>
      <c r="K257" t="s">
        <v>2319</v>
      </c>
      <c r="L257">
        <v>0.26</v>
      </c>
      <c r="M257" t="s">
        <v>46</v>
      </c>
      <c r="N257" t="s">
        <v>2334</v>
      </c>
      <c r="O257">
        <v>5.87</v>
      </c>
      <c r="P257">
        <v>5.77</v>
      </c>
      <c r="Q257">
        <v>5.84</v>
      </c>
      <c r="R257">
        <v>5.84</v>
      </c>
      <c r="S257">
        <v>1.71</v>
      </c>
      <c r="T257">
        <v>0.91</v>
      </c>
      <c r="U257">
        <v>57.25</v>
      </c>
      <c r="V257" t="s">
        <v>2335</v>
      </c>
      <c r="W257">
        <v>5.81</v>
      </c>
      <c r="X257" t="s">
        <v>88</v>
      </c>
      <c r="Y257" t="s">
        <v>2336</v>
      </c>
      <c r="Z257">
        <v>1.16</v>
      </c>
      <c r="AA257" t="s">
        <v>2337</v>
      </c>
      <c r="AB257">
        <v>49</v>
      </c>
      <c r="AC257">
        <v>0.48</v>
      </c>
      <c r="AD257" t="s">
        <v>2338</v>
      </c>
      <c r="AE257" t="s">
        <v>2339</v>
      </c>
      <c r="AF257" t="s">
        <v>2340</v>
      </c>
      <c r="AG257" t="s">
        <v>2341</v>
      </c>
      <c r="AH257">
        <v>0.17</v>
      </c>
      <c r="AI257">
        <v>-1.03</v>
      </c>
      <c r="AJ257">
        <v>1.01</v>
      </c>
      <c r="AK257">
        <v>1.71</v>
      </c>
      <c r="AL257">
        <v>-1</v>
      </c>
      <c r="AM257">
        <v>-1.03</v>
      </c>
      <c r="AN257">
        <v>32.27</v>
      </c>
      <c r="AO257">
        <v>1.23</v>
      </c>
      <c r="AP257">
        <v>35.68</v>
      </c>
    </row>
    <row r="258" spans="1:42">
      <c r="A258">
        <v>257</v>
      </c>
      <c r="B258" t="str">
        <f>"601919"</f>
        <v>601919</v>
      </c>
      <c r="C258" t="s">
        <v>2342</v>
      </c>
      <c r="D258">
        <v>9.87</v>
      </c>
      <c r="E258">
        <v>-1.4</v>
      </c>
      <c r="F258">
        <v>-0.14</v>
      </c>
      <c r="G258" t="s">
        <v>2343</v>
      </c>
      <c r="H258">
        <v>6027</v>
      </c>
      <c r="I258">
        <v>9.87</v>
      </c>
      <c r="J258">
        <v>9.88</v>
      </c>
      <c r="K258" t="s">
        <v>1091</v>
      </c>
      <c r="L258">
        <v>0.47</v>
      </c>
      <c r="M258" t="s">
        <v>46</v>
      </c>
      <c r="N258" t="s">
        <v>2344</v>
      </c>
      <c r="O258">
        <v>10.03</v>
      </c>
      <c r="P258">
        <v>9.82</v>
      </c>
      <c r="Q258">
        <v>10</v>
      </c>
      <c r="R258">
        <v>10.01</v>
      </c>
      <c r="S258">
        <v>2.1</v>
      </c>
      <c r="T258">
        <v>1.09</v>
      </c>
      <c r="U258">
        <v>35.15</v>
      </c>
      <c r="V258">
        <v>8251</v>
      </c>
      <c r="W258">
        <v>9.91</v>
      </c>
      <c r="X258" t="s">
        <v>1387</v>
      </c>
      <c r="Y258" t="s">
        <v>291</v>
      </c>
      <c r="Z258">
        <v>1.63</v>
      </c>
      <c r="AA258">
        <v>3301</v>
      </c>
      <c r="AB258">
        <v>626</v>
      </c>
      <c r="AC258">
        <v>0.78</v>
      </c>
      <c r="AD258" t="s">
        <v>2345</v>
      </c>
      <c r="AE258" t="s">
        <v>2014</v>
      </c>
      <c r="AF258" t="s">
        <v>2346</v>
      </c>
      <c r="AG258" t="s">
        <v>2347</v>
      </c>
      <c r="AH258">
        <v>0.82</v>
      </c>
      <c r="AI258">
        <v>0.41</v>
      </c>
      <c r="AJ258">
        <v>1.47</v>
      </c>
      <c r="AK258">
        <v>2.63</v>
      </c>
      <c r="AL258">
        <v>-1</v>
      </c>
      <c r="AM258">
        <v>-1.4</v>
      </c>
      <c r="AN258">
        <v>10.9</v>
      </c>
      <c r="AO258">
        <v>0.61</v>
      </c>
      <c r="AP258">
        <v>10.53</v>
      </c>
    </row>
    <row r="259" spans="1:42">
      <c r="A259">
        <v>258</v>
      </c>
      <c r="B259" t="str">
        <f>"002609"</f>
        <v>002609</v>
      </c>
      <c r="C259" t="s">
        <v>2348</v>
      </c>
      <c r="D259">
        <v>12.3</v>
      </c>
      <c r="E259">
        <v>2.93</v>
      </c>
      <c r="F259">
        <v>0.35</v>
      </c>
      <c r="G259" t="s">
        <v>2349</v>
      </c>
      <c r="H259">
        <v>6498</v>
      </c>
      <c r="I259">
        <v>12.29</v>
      </c>
      <c r="J259">
        <v>12.3</v>
      </c>
      <c r="K259" t="s">
        <v>2350</v>
      </c>
      <c r="L259">
        <v>10.46</v>
      </c>
      <c r="M259" t="s">
        <v>46</v>
      </c>
      <c r="N259" t="s">
        <v>185</v>
      </c>
      <c r="O259">
        <v>12.9</v>
      </c>
      <c r="P259">
        <v>12.14</v>
      </c>
      <c r="Q259">
        <v>12.15</v>
      </c>
      <c r="R259">
        <v>11.95</v>
      </c>
      <c r="S259">
        <v>6.36</v>
      </c>
      <c r="T259">
        <v>0.71</v>
      </c>
      <c r="U259">
        <v>61.73</v>
      </c>
      <c r="V259">
        <v>3674</v>
      </c>
      <c r="W259">
        <v>12.47</v>
      </c>
      <c r="X259" t="s">
        <v>2351</v>
      </c>
      <c r="Y259" t="s">
        <v>443</v>
      </c>
      <c r="Z259">
        <v>0.91</v>
      </c>
      <c r="AA259">
        <v>1044</v>
      </c>
      <c r="AB259">
        <v>171</v>
      </c>
      <c r="AC259">
        <v>3.28</v>
      </c>
      <c r="AD259" t="s">
        <v>2352</v>
      </c>
      <c r="AE259" t="s">
        <v>2353</v>
      </c>
      <c r="AF259" t="s">
        <v>2354</v>
      </c>
      <c r="AG259" t="s">
        <v>2355</v>
      </c>
      <c r="AH259">
        <v>-5.6</v>
      </c>
      <c r="AI259">
        <v>5.85</v>
      </c>
      <c r="AJ259">
        <v>36.38</v>
      </c>
      <c r="AK259">
        <v>84.32</v>
      </c>
      <c r="AL259">
        <v>1</v>
      </c>
      <c r="AM259">
        <v>2.93</v>
      </c>
      <c r="AN259">
        <v>37.12</v>
      </c>
      <c r="AO259">
        <v>15.49</v>
      </c>
      <c r="AP259">
        <v>38.2</v>
      </c>
    </row>
    <row r="260" spans="1:42">
      <c r="A260">
        <v>259</v>
      </c>
      <c r="B260" t="str">
        <f>"002738"</f>
        <v>002738</v>
      </c>
      <c r="C260" t="s">
        <v>2356</v>
      </c>
      <c r="D260">
        <v>35.61</v>
      </c>
      <c r="E260">
        <v>3.52</v>
      </c>
      <c r="F260">
        <v>1.21</v>
      </c>
      <c r="G260" t="s">
        <v>1245</v>
      </c>
      <c r="H260">
        <v>2066</v>
      </c>
      <c r="I260">
        <v>35.61</v>
      </c>
      <c r="J260">
        <v>35.62</v>
      </c>
      <c r="K260" t="s">
        <v>2357</v>
      </c>
      <c r="L260">
        <v>2.46</v>
      </c>
      <c r="M260" t="s">
        <v>46</v>
      </c>
      <c r="N260" t="s">
        <v>2358</v>
      </c>
      <c r="O260">
        <v>36.25</v>
      </c>
      <c r="P260">
        <v>34.25</v>
      </c>
      <c r="Q260">
        <v>34.55</v>
      </c>
      <c r="R260">
        <v>34.4</v>
      </c>
      <c r="S260">
        <v>5.81</v>
      </c>
      <c r="T260">
        <v>1.88</v>
      </c>
      <c r="U260">
        <v>41.55</v>
      </c>
      <c r="V260">
        <v>725</v>
      </c>
      <c r="W260">
        <v>35.34</v>
      </c>
      <c r="X260" t="s">
        <v>2359</v>
      </c>
      <c r="Y260" t="s">
        <v>110</v>
      </c>
      <c r="Z260">
        <v>0.67</v>
      </c>
      <c r="AA260">
        <v>106</v>
      </c>
      <c r="AB260">
        <v>61</v>
      </c>
      <c r="AC260">
        <v>2.14</v>
      </c>
      <c r="AD260" t="s">
        <v>2360</v>
      </c>
      <c r="AE260" t="s">
        <v>2361</v>
      </c>
      <c r="AF260" t="s">
        <v>2362</v>
      </c>
      <c r="AG260" t="s">
        <v>2363</v>
      </c>
      <c r="AH260">
        <v>2.03</v>
      </c>
      <c r="AI260">
        <v>-1.49</v>
      </c>
      <c r="AJ260">
        <v>4.75</v>
      </c>
      <c r="AK260">
        <v>9.02</v>
      </c>
      <c r="AL260">
        <v>1</v>
      </c>
      <c r="AM260">
        <v>3.52</v>
      </c>
      <c r="AN260">
        <v>-24.07</v>
      </c>
      <c r="AO260">
        <v>-1.63</v>
      </c>
      <c r="AP260">
        <v>-35.01</v>
      </c>
    </row>
    <row r="261" spans="1:42">
      <c r="A261">
        <v>260</v>
      </c>
      <c r="B261" t="str">
        <f>"603288"</f>
        <v>603288</v>
      </c>
      <c r="C261" t="s">
        <v>2364</v>
      </c>
      <c r="D261">
        <v>37.32</v>
      </c>
      <c r="E261">
        <v>-2.07</v>
      </c>
      <c r="F261">
        <v>-0.79</v>
      </c>
      <c r="G261" t="s">
        <v>571</v>
      </c>
      <c r="H261">
        <v>1560</v>
      </c>
      <c r="I261">
        <v>37.31</v>
      </c>
      <c r="J261">
        <v>37.32</v>
      </c>
      <c r="K261" t="s">
        <v>2357</v>
      </c>
      <c r="L261">
        <v>0.29</v>
      </c>
      <c r="M261" t="s">
        <v>46</v>
      </c>
      <c r="N261" t="s">
        <v>2365</v>
      </c>
      <c r="O261">
        <v>38.19</v>
      </c>
      <c r="P261">
        <v>36.8</v>
      </c>
      <c r="Q261">
        <v>38.01</v>
      </c>
      <c r="R261">
        <v>38.11</v>
      </c>
      <c r="S261">
        <v>3.65</v>
      </c>
      <c r="T261">
        <v>1.79</v>
      </c>
      <c r="U261">
        <v>-26.58</v>
      </c>
      <c r="V261">
        <v>-466</v>
      </c>
      <c r="W261">
        <v>37.26</v>
      </c>
      <c r="X261" t="s">
        <v>2366</v>
      </c>
      <c r="Y261" t="s">
        <v>2367</v>
      </c>
      <c r="Z261">
        <v>1.32</v>
      </c>
      <c r="AA261">
        <v>107</v>
      </c>
      <c r="AB261">
        <v>45</v>
      </c>
      <c r="AC261">
        <v>7.55</v>
      </c>
      <c r="AD261" t="s">
        <v>2368</v>
      </c>
      <c r="AE261" t="s">
        <v>1341</v>
      </c>
      <c r="AF261" t="s">
        <v>2368</v>
      </c>
      <c r="AG261" t="s">
        <v>1341</v>
      </c>
      <c r="AH261">
        <v>-1.74</v>
      </c>
      <c r="AI261">
        <v>-1.56</v>
      </c>
      <c r="AJ261">
        <v>0.62</v>
      </c>
      <c r="AK261">
        <v>1.09</v>
      </c>
      <c r="AL261">
        <v>-1</v>
      </c>
      <c r="AM261">
        <v>-2.07</v>
      </c>
      <c r="AN261">
        <v>-43.24</v>
      </c>
      <c r="AO261">
        <v>-0.56</v>
      </c>
      <c r="AP261">
        <v>-36.36</v>
      </c>
    </row>
    <row r="262" spans="1:42">
      <c r="A262">
        <v>261</v>
      </c>
      <c r="B262" t="str">
        <f>"300044"</f>
        <v>300044</v>
      </c>
      <c r="C262" t="s">
        <v>2369</v>
      </c>
      <c r="D262">
        <v>6.7</v>
      </c>
      <c r="E262">
        <v>1.67</v>
      </c>
      <c r="F262">
        <v>0.11</v>
      </c>
      <c r="G262" t="s">
        <v>2370</v>
      </c>
      <c r="H262" t="s">
        <v>2371</v>
      </c>
      <c r="I262">
        <v>6.7</v>
      </c>
      <c r="J262">
        <v>6.71</v>
      </c>
      <c r="K262" t="s">
        <v>2372</v>
      </c>
      <c r="L262">
        <v>13.01</v>
      </c>
      <c r="M262" t="s">
        <v>46</v>
      </c>
      <c r="N262" t="s">
        <v>2373</v>
      </c>
      <c r="O262">
        <v>6.73</v>
      </c>
      <c r="P262">
        <v>6.46</v>
      </c>
      <c r="Q262">
        <v>6.51</v>
      </c>
      <c r="R262">
        <v>6.59</v>
      </c>
      <c r="S262">
        <v>4.1</v>
      </c>
      <c r="T262">
        <v>0.49</v>
      </c>
      <c r="U262">
        <v>-30.24</v>
      </c>
      <c r="V262">
        <v>-7779</v>
      </c>
      <c r="W262">
        <v>6.64</v>
      </c>
      <c r="X262" t="s">
        <v>2374</v>
      </c>
      <c r="Y262" t="s">
        <v>2141</v>
      </c>
      <c r="Z262">
        <v>0.94</v>
      </c>
      <c r="AA262">
        <v>282</v>
      </c>
      <c r="AB262">
        <v>3933</v>
      </c>
      <c r="AC262">
        <v>6.24</v>
      </c>
      <c r="AD262" t="s">
        <v>2375</v>
      </c>
      <c r="AE262" t="s">
        <v>2376</v>
      </c>
      <c r="AF262" t="s">
        <v>2377</v>
      </c>
      <c r="AG262" t="s">
        <v>2378</v>
      </c>
      <c r="AH262">
        <v>-7.71</v>
      </c>
      <c r="AI262">
        <v>-3.04</v>
      </c>
      <c r="AJ262">
        <v>52.5</v>
      </c>
      <c r="AK262">
        <v>145.38</v>
      </c>
      <c r="AL262">
        <v>1</v>
      </c>
      <c r="AM262">
        <v>1.67</v>
      </c>
      <c r="AN262">
        <v>136.75</v>
      </c>
      <c r="AO262">
        <v>28.6</v>
      </c>
      <c r="AP262">
        <v>88.2</v>
      </c>
    </row>
    <row r="263" spans="1:42">
      <c r="A263">
        <v>262</v>
      </c>
      <c r="B263" t="str">
        <f>"600522"</f>
        <v>600522</v>
      </c>
      <c r="C263" t="s">
        <v>2379</v>
      </c>
      <c r="D263">
        <v>12.89</v>
      </c>
      <c r="E263">
        <v>-0.69</v>
      </c>
      <c r="F263">
        <v>-0.09</v>
      </c>
      <c r="G263" t="s">
        <v>2141</v>
      </c>
      <c r="H263">
        <v>3677</v>
      </c>
      <c r="I263">
        <v>12.89</v>
      </c>
      <c r="J263">
        <v>12.9</v>
      </c>
      <c r="K263" t="s">
        <v>2372</v>
      </c>
      <c r="L263">
        <v>1.35</v>
      </c>
      <c r="M263" t="s">
        <v>46</v>
      </c>
      <c r="N263" t="s">
        <v>2380</v>
      </c>
      <c r="O263">
        <v>13.04</v>
      </c>
      <c r="P263">
        <v>12.72</v>
      </c>
      <c r="Q263">
        <v>12.98</v>
      </c>
      <c r="R263">
        <v>12.98</v>
      </c>
      <c r="S263">
        <v>2.47</v>
      </c>
      <c r="T263">
        <v>1.18</v>
      </c>
      <c r="U263">
        <v>9.88</v>
      </c>
      <c r="V263">
        <v>1575</v>
      </c>
      <c r="W263">
        <v>12.85</v>
      </c>
      <c r="X263" t="s">
        <v>2381</v>
      </c>
      <c r="Y263" t="s">
        <v>2382</v>
      </c>
      <c r="Z263">
        <v>1.42</v>
      </c>
      <c r="AA263">
        <v>2298</v>
      </c>
      <c r="AB263">
        <v>2778</v>
      </c>
      <c r="AC263">
        <v>1.34</v>
      </c>
      <c r="AD263" t="s">
        <v>2383</v>
      </c>
      <c r="AE263" t="s">
        <v>2384</v>
      </c>
      <c r="AF263" t="s">
        <v>2383</v>
      </c>
      <c r="AG263" t="s">
        <v>2384</v>
      </c>
      <c r="AH263">
        <v>-4.45</v>
      </c>
      <c r="AI263">
        <v>-7.13</v>
      </c>
      <c r="AJ263">
        <v>4.12</v>
      </c>
      <c r="AK263">
        <v>7.08</v>
      </c>
      <c r="AL263">
        <v>-6</v>
      </c>
      <c r="AM263">
        <v>-0.69</v>
      </c>
      <c r="AN263">
        <v>-19.69</v>
      </c>
      <c r="AO263">
        <v>-7.86</v>
      </c>
      <c r="AP263">
        <v>-29.29</v>
      </c>
    </row>
    <row r="264" spans="1:42">
      <c r="A264">
        <v>263</v>
      </c>
      <c r="B264" t="str">
        <f>"688036"</f>
        <v>688036</v>
      </c>
      <c r="C264" t="s">
        <v>2385</v>
      </c>
      <c r="D264">
        <v>115.17</v>
      </c>
      <c r="E264">
        <v>4.07</v>
      </c>
      <c r="F264">
        <v>4.5</v>
      </c>
      <c r="G264" t="s">
        <v>2386</v>
      </c>
      <c r="H264">
        <v>434</v>
      </c>
      <c r="I264">
        <v>115.12</v>
      </c>
      <c r="J264">
        <v>115.17</v>
      </c>
      <c r="K264" t="s">
        <v>1831</v>
      </c>
      <c r="L264">
        <v>0.64</v>
      </c>
      <c r="M264" t="s">
        <v>46</v>
      </c>
      <c r="N264" t="s">
        <v>2387</v>
      </c>
      <c r="O264">
        <v>115.48</v>
      </c>
      <c r="P264">
        <v>110.28</v>
      </c>
      <c r="Q264">
        <v>110.69</v>
      </c>
      <c r="R264">
        <v>110.67</v>
      </c>
      <c r="S264">
        <v>4.7</v>
      </c>
      <c r="T264">
        <v>1.34</v>
      </c>
      <c r="U264">
        <v>-19.18</v>
      </c>
      <c r="V264">
        <v>-60</v>
      </c>
      <c r="W264">
        <v>113</v>
      </c>
      <c r="X264" t="s">
        <v>2388</v>
      </c>
      <c r="Y264" t="s">
        <v>2389</v>
      </c>
      <c r="Z264">
        <v>1.1</v>
      </c>
      <c r="AA264">
        <v>7</v>
      </c>
      <c r="AB264">
        <v>14</v>
      </c>
      <c r="AC264">
        <v>5.74</v>
      </c>
      <c r="AD264" t="s">
        <v>2390</v>
      </c>
      <c r="AE264" t="s">
        <v>2391</v>
      </c>
      <c r="AF264" t="s">
        <v>2390</v>
      </c>
      <c r="AG264" t="s">
        <v>2391</v>
      </c>
      <c r="AH264">
        <v>0.07</v>
      </c>
      <c r="AI264">
        <v>-0.6</v>
      </c>
      <c r="AJ264">
        <v>1.82</v>
      </c>
      <c r="AK264">
        <v>3.04</v>
      </c>
      <c r="AL264">
        <v>1</v>
      </c>
      <c r="AM264">
        <v>4.07</v>
      </c>
      <c r="AN264">
        <v>54.14</v>
      </c>
      <c r="AO264">
        <v>-12.97</v>
      </c>
      <c r="AP264">
        <v>65.21</v>
      </c>
    </row>
    <row r="265" spans="1:42">
      <c r="A265">
        <v>264</v>
      </c>
      <c r="B265" t="str">
        <f>"600919"</f>
        <v>600919</v>
      </c>
      <c r="C265" t="s">
        <v>2392</v>
      </c>
      <c r="D265">
        <v>6.64</v>
      </c>
      <c r="E265">
        <v>0.3</v>
      </c>
      <c r="F265">
        <v>0.02</v>
      </c>
      <c r="G265" t="s">
        <v>2393</v>
      </c>
      <c r="H265">
        <v>3439</v>
      </c>
      <c r="I265">
        <v>6.64</v>
      </c>
      <c r="J265">
        <v>6.65</v>
      </c>
      <c r="K265" t="s">
        <v>1831</v>
      </c>
      <c r="L265">
        <v>0.48</v>
      </c>
      <c r="M265" t="s">
        <v>46</v>
      </c>
      <c r="N265" t="s">
        <v>2394</v>
      </c>
      <c r="O265">
        <v>6.65</v>
      </c>
      <c r="P265">
        <v>6.6</v>
      </c>
      <c r="Q265">
        <v>6.63</v>
      </c>
      <c r="R265">
        <v>6.62</v>
      </c>
      <c r="S265">
        <v>0.76</v>
      </c>
      <c r="T265">
        <v>0.92</v>
      </c>
      <c r="U265">
        <v>-13.76</v>
      </c>
      <c r="V265" t="s">
        <v>2395</v>
      </c>
      <c r="W265">
        <v>6.63</v>
      </c>
      <c r="X265" t="s">
        <v>2396</v>
      </c>
      <c r="Y265" t="s">
        <v>344</v>
      </c>
      <c r="Z265">
        <v>0.94</v>
      </c>
      <c r="AA265" t="s">
        <v>239</v>
      </c>
      <c r="AB265" t="s">
        <v>2397</v>
      </c>
      <c r="AC265">
        <v>0.59</v>
      </c>
      <c r="AD265" t="s">
        <v>2398</v>
      </c>
      <c r="AE265" t="s">
        <v>2399</v>
      </c>
      <c r="AF265" t="s">
        <v>2400</v>
      </c>
      <c r="AG265" t="s">
        <v>234</v>
      </c>
      <c r="AH265">
        <v>-1.19</v>
      </c>
      <c r="AI265">
        <v>-1.92</v>
      </c>
      <c r="AJ265">
        <v>1.73</v>
      </c>
      <c r="AK265">
        <v>3.1</v>
      </c>
      <c r="AL265">
        <v>2</v>
      </c>
      <c r="AM265">
        <v>0.3</v>
      </c>
      <c r="AN265">
        <v>-2.35</v>
      </c>
      <c r="AO265">
        <v>-3.21</v>
      </c>
      <c r="AP265">
        <v>-0.6</v>
      </c>
    </row>
    <row r="266" spans="1:42">
      <c r="A266">
        <v>265</v>
      </c>
      <c r="B266" t="str">
        <f>"300857"</f>
        <v>300857</v>
      </c>
      <c r="C266" t="s">
        <v>2401</v>
      </c>
      <c r="D266">
        <v>53.99</v>
      </c>
      <c r="E266">
        <v>-2.58</v>
      </c>
      <c r="F266">
        <v>-1.43</v>
      </c>
      <c r="G266" t="s">
        <v>2402</v>
      </c>
      <c r="H266">
        <v>1259</v>
      </c>
      <c r="I266">
        <v>53.99</v>
      </c>
      <c r="J266">
        <v>54</v>
      </c>
      <c r="K266" t="s">
        <v>2403</v>
      </c>
      <c r="L266">
        <v>4.43</v>
      </c>
      <c r="M266" t="s">
        <v>46</v>
      </c>
      <c r="N266" t="s">
        <v>2404</v>
      </c>
      <c r="O266">
        <v>55.87</v>
      </c>
      <c r="P266">
        <v>52.67</v>
      </c>
      <c r="Q266">
        <v>54.75</v>
      </c>
      <c r="R266">
        <v>55.42</v>
      </c>
      <c r="S266">
        <v>5.77</v>
      </c>
      <c r="T266">
        <v>0.61</v>
      </c>
      <c r="U266">
        <v>-29.54</v>
      </c>
      <c r="V266">
        <v>-384</v>
      </c>
      <c r="W266">
        <v>54.14</v>
      </c>
      <c r="X266" t="s">
        <v>2405</v>
      </c>
      <c r="Y266" t="s">
        <v>1985</v>
      </c>
      <c r="Z266">
        <v>1.04</v>
      </c>
      <c r="AA266">
        <v>19</v>
      </c>
      <c r="AB266">
        <v>765</v>
      </c>
      <c r="AC266">
        <v>5.66</v>
      </c>
      <c r="AD266" t="s">
        <v>1614</v>
      </c>
      <c r="AE266" t="s">
        <v>2406</v>
      </c>
      <c r="AF266" t="s">
        <v>1614</v>
      </c>
      <c r="AG266" t="s">
        <v>2406</v>
      </c>
      <c r="AH266">
        <v>1.39</v>
      </c>
      <c r="AI266">
        <v>15.12</v>
      </c>
      <c r="AJ266">
        <v>17.3</v>
      </c>
      <c r="AK266">
        <v>41.02</v>
      </c>
      <c r="AL266">
        <v>-1</v>
      </c>
      <c r="AM266">
        <v>-2.58</v>
      </c>
      <c r="AN266">
        <v>181.64</v>
      </c>
      <c r="AO266">
        <v>87.99</v>
      </c>
      <c r="AP266">
        <v>180.91</v>
      </c>
    </row>
    <row r="267" spans="1:42">
      <c r="A267">
        <v>266</v>
      </c>
      <c r="B267" t="str">
        <f>"300130"</f>
        <v>300130</v>
      </c>
      <c r="C267" t="s">
        <v>2407</v>
      </c>
      <c r="D267">
        <v>24.63</v>
      </c>
      <c r="E267">
        <v>9.47</v>
      </c>
      <c r="F267">
        <v>2.13</v>
      </c>
      <c r="G267" t="s">
        <v>2408</v>
      </c>
      <c r="H267">
        <v>4230</v>
      </c>
      <c r="I267">
        <v>24.63</v>
      </c>
      <c r="J267">
        <v>24.64</v>
      </c>
      <c r="K267" t="s">
        <v>2409</v>
      </c>
      <c r="L267">
        <v>5.94</v>
      </c>
      <c r="M267" t="s">
        <v>46</v>
      </c>
      <c r="N267" t="s">
        <v>2410</v>
      </c>
      <c r="O267">
        <v>24.82</v>
      </c>
      <c r="P267">
        <v>22.45</v>
      </c>
      <c r="Q267">
        <v>22.56</v>
      </c>
      <c r="R267">
        <v>22.5</v>
      </c>
      <c r="S267">
        <v>10.53</v>
      </c>
      <c r="T267">
        <v>3.19</v>
      </c>
      <c r="U267">
        <v>-22.31</v>
      </c>
      <c r="V267">
        <v>-482</v>
      </c>
      <c r="W267">
        <v>23.93</v>
      </c>
      <c r="X267" t="s">
        <v>2411</v>
      </c>
      <c r="Y267" t="s">
        <v>1412</v>
      </c>
      <c r="Z267">
        <v>0.6</v>
      </c>
      <c r="AA267">
        <v>164</v>
      </c>
      <c r="AB267">
        <v>328</v>
      </c>
      <c r="AC267">
        <v>3.38</v>
      </c>
      <c r="AD267" t="s">
        <v>2412</v>
      </c>
      <c r="AE267" t="s">
        <v>2413</v>
      </c>
      <c r="AF267" t="s">
        <v>2414</v>
      </c>
      <c r="AG267" t="s">
        <v>2415</v>
      </c>
      <c r="AH267">
        <v>9.08</v>
      </c>
      <c r="AI267">
        <v>5.03</v>
      </c>
      <c r="AJ267">
        <v>9.39</v>
      </c>
      <c r="AK267">
        <v>15.24</v>
      </c>
      <c r="AL267">
        <v>1</v>
      </c>
      <c r="AM267">
        <v>9.47</v>
      </c>
      <c r="AN267">
        <v>108.02</v>
      </c>
      <c r="AO267">
        <v>7.79</v>
      </c>
      <c r="AP267">
        <v>83.94</v>
      </c>
    </row>
    <row r="268" spans="1:42">
      <c r="A268">
        <v>267</v>
      </c>
      <c r="B268" t="str">
        <f>"600031"</f>
        <v>600031</v>
      </c>
      <c r="C268" t="s">
        <v>2416</v>
      </c>
      <c r="D268">
        <v>13.72</v>
      </c>
      <c r="E268">
        <v>0.51</v>
      </c>
      <c r="F268">
        <v>0.07</v>
      </c>
      <c r="G268" t="s">
        <v>2417</v>
      </c>
      <c r="H268">
        <v>5015</v>
      </c>
      <c r="I268">
        <v>13.72</v>
      </c>
      <c r="J268">
        <v>13.73</v>
      </c>
      <c r="K268" t="s">
        <v>2409</v>
      </c>
      <c r="L268">
        <v>0.51</v>
      </c>
      <c r="M268" t="s">
        <v>46</v>
      </c>
      <c r="N268" t="s">
        <v>2418</v>
      </c>
      <c r="O268">
        <v>13.73</v>
      </c>
      <c r="P268">
        <v>13.47</v>
      </c>
      <c r="Q268">
        <v>13.68</v>
      </c>
      <c r="R268">
        <v>13.65</v>
      </c>
      <c r="S268">
        <v>1.9</v>
      </c>
      <c r="T268">
        <v>1.19</v>
      </c>
      <c r="U268">
        <v>-43.85</v>
      </c>
      <c r="V268">
        <v>-5911</v>
      </c>
      <c r="W268">
        <v>13.59</v>
      </c>
      <c r="X268" t="s">
        <v>2419</v>
      </c>
      <c r="Y268" t="s">
        <v>1786</v>
      </c>
      <c r="Z268">
        <v>0.99</v>
      </c>
      <c r="AA268">
        <v>115</v>
      </c>
      <c r="AB268">
        <v>3541</v>
      </c>
      <c r="AC268">
        <v>1.72</v>
      </c>
      <c r="AD268" t="s">
        <v>2420</v>
      </c>
      <c r="AE268" t="s">
        <v>2421</v>
      </c>
      <c r="AF268" t="s">
        <v>2422</v>
      </c>
      <c r="AG268" t="s">
        <v>2423</v>
      </c>
      <c r="AH268">
        <v>-1.08</v>
      </c>
      <c r="AI268">
        <v>-3.18</v>
      </c>
      <c r="AJ268">
        <v>1.27</v>
      </c>
      <c r="AK268">
        <v>2.64</v>
      </c>
      <c r="AL268">
        <v>1</v>
      </c>
      <c r="AM268">
        <v>0.51</v>
      </c>
      <c r="AN268">
        <v>-12.28</v>
      </c>
      <c r="AO268">
        <v>-3.65</v>
      </c>
      <c r="AP268">
        <v>-10.33</v>
      </c>
    </row>
    <row r="269" spans="1:42">
      <c r="A269">
        <v>268</v>
      </c>
      <c r="B269" t="str">
        <f>"300503"</f>
        <v>300503</v>
      </c>
      <c r="C269" t="s">
        <v>2424</v>
      </c>
      <c r="D269">
        <v>17.67</v>
      </c>
      <c r="E269">
        <v>-1.94</v>
      </c>
      <c r="F269">
        <v>-0.35</v>
      </c>
      <c r="G269" t="s">
        <v>2425</v>
      </c>
      <c r="H269">
        <v>3265</v>
      </c>
      <c r="I269">
        <v>17.67</v>
      </c>
      <c r="J269">
        <v>17.68</v>
      </c>
      <c r="K269" t="s">
        <v>2426</v>
      </c>
      <c r="L269">
        <v>15.85</v>
      </c>
      <c r="M269" t="s">
        <v>46</v>
      </c>
      <c r="N269" t="s">
        <v>2427</v>
      </c>
      <c r="O269">
        <v>17.88</v>
      </c>
      <c r="P269">
        <v>17.14</v>
      </c>
      <c r="Q269">
        <v>17.4</v>
      </c>
      <c r="R269">
        <v>18.02</v>
      </c>
      <c r="S269">
        <v>4.11</v>
      </c>
      <c r="T269">
        <v>1.16</v>
      </c>
      <c r="U269">
        <v>1.91</v>
      </c>
      <c r="V269">
        <v>66</v>
      </c>
      <c r="W269">
        <v>17.44</v>
      </c>
      <c r="X269" t="s">
        <v>1196</v>
      </c>
      <c r="Y269" t="s">
        <v>562</v>
      </c>
      <c r="Z269">
        <v>1.16</v>
      </c>
      <c r="AA269">
        <v>921</v>
      </c>
      <c r="AB269">
        <v>466</v>
      </c>
      <c r="AC269">
        <v>4.21</v>
      </c>
      <c r="AD269" t="s">
        <v>2428</v>
      </c>
      <c r="AE269" t="s">
        <v>2429</v>
      </c>
      <c r="AF269" t="s">
        <v>2430</v>
      </c>
      <c r="AG269" t="s">
        <v>2431</v>
      </c>
      <c r="AH269">
        <v>3.15</v>
      </c>
      <c r="AI269">
        <v>0.63</v>
      </c>
      <c r="AJ269">
        <v>58.2</v>
      </c>
      <c r="AK269">
        <v>84.26</v>
      </c>
      <c r="AL269">
        <v>-1</v>
      </c>
      <c r="AM269">
        <v>-1.94</v>
      </c>
      <c r="AN269">
        <v>116.28</v>
      </c>
      <c r="AO269">
        <v>9.21</v>
      </c>
      <c r="AP269">
        <v>64.37</v>
      </c>
    </row>
    <row r="270" spans="1:42">
      <c r="A270">
        <v>269</v>
      </c>
      <c r="B270" t="str">
        <f>"600048"</f>
        <v>600048</v>
      </c>
      <c r="C270" t="s">
        <v>2432</v>
      </c>
      <c r="D270">
        <v>10.25</v>
      </c>
      <c r="E270">
        <v>-0.1</v>
      </c>
      <c r="F270">
        <v>-0.01</v>
      </c>
      <c r="G270" t="s">
        <v>805</v>
      </c>
      <c r="H270">
        <v>6213</v>
      </c>
      <c r="I270">
        <v>10.25</v>
      </c>
      <c r="J270">
        <v>10.26</v>
      </c>
      <c r="K270" t="s">
        <v>2433</v>
      </c>
      <c r="L270">
        <v>0.47</v>
      </c>
      <c r="M270" t="s">
        <v>46</v>
      </c>
      <c r="N270" t="s">
        <v>2434</v>
      </c>
      <c r="O270">
        <v>10.31</v>
      </c>
      <c r="P270">
        <v>10.16</v>
      </c>
      <c r="Q270">
        <v>10.26</v>
      </c>
      <c r="R270">
        <v>10.26</v>
      </c>
      <c r="S270">
        <v>1.46</v>
      </c>
      <c r="T270">
        <v>0.84</v>
      </c>
      <c r="U270">
        <v>-15.08</v>
      </c>
      <c r="V270">
        <v>-2033</v>
      </c>
      <c r="W270">
        <v>10.24</v>
      </c>
      <c r="X270" t="s">
        <v>2435</v>
      </c>
      <c r="Y270" t="s">
        <v>2436</v>
      </c>
      <c r="Z270">
        <v>0.97</v>
      </c>
      <c r="AA270">
        <v>669</v>
      </c>
      <c r="AB270">
        <v>140</v>
      </c>
      <c r="AC270">
        <v>0.63</v>
      </c>
      <c r="AD270" t="s">
        <v>2437</v>
      </c>
      <c r="AE270" t="s">
        <v>2438</v>
      </c>
      <c r="AF270" t="s">
        <v>2437</v>
      </c>
      <c r="AG270" t="s">
        <v>2438</v>
      </c>
      <c r="AH270">
        <v>-4.83</v>
      </c>
      <c r="AI270">
        <v>-8.48</v>
      </c>
      <c r="AJ270">
        <v>1.71</v>
      </c>
      <c r="AK270">
        <v>3.3</v>
      </c>
      <c r="AL270">
        <v>-6</v>
      </c>
      <c r="AM270">
        <v>-0.1</v>
      </c>
      <c r="AN270">
        <v>-30.18</v>
      </c>
      <c r="AO270">
        <v>-5.09</v>
      </c>
      <c r="AP270">
        <v>-32.87</v>
      </c>
    </row>
    <row r="271" spans="1:42">
      <c r="A271">
        <v>270</v>
      </c>
      <c r="B271" t="str">
        <f>"000759"</f>
        <v>000759</v>
      </c>
      <c r="C271" t="s">
        <v>2439</v>
      </c>
      <c r="D271">
        <v>4.84</v>
      </c>
      <c r="E271">
        <v>4.09</v>
      </c>
      <c r="F271">
        <v>0.19</v>
      </c>
      <c r="G271" t="s">
        <v>2440</v>
      </c>
      <c r="H271">
        <v>8278</v>
      </c>
      <c r="I271">
        <v>4.83</v>
      </c>
      <c r="J271">
        <v>4.84</v>
      </c>
      <c r="K271" t="s">
        <v>2441</v>
      </c>
      <c r="L271">
        <v>17.8</v>
      </c>
      <c r="M271" t="s">
        <v>46</v>
      </c>
      <c r="N271" t="s">
        <v>2442</v>
      </c>
      <c r="O271">
        <v>5.12</v>
      </c>
      <c r="P271">
        <v>4.75</v>
      </c>
      <c r="Q271">
        <v>4.76</v>
      </c>
      <c r="R271">
        <v>4.65</v>
      </c>
      <c r="S271">
        <v>7.96</v>
      </c>
      <c r="T271">
        <v>4.64</v>
      </c>
      <c r="U271">
        <v>67.14</v>
      </c>
      <c r="V271" t="s">
        <v>1967</v>
      </c>
      <c r="W271">
        <v>4.96</v>
      </c>
      <c r="X271" t="s">
        <v>2443</v>
      </c>
      <c r="Y271" t="s">
        <v>2444</v>
      </c>
      <c r="Z271">
        <v>1.37</v>
      </c>
      <c r="AA271">
        <v>3990</v>
      </c>
      <c r="AB271">
        <v>983</v>
      </c>
      <c r="AC271">
        <v>1.21</v>
      </c>
      <c r="AD271" t="s">
        <v>2445</v>
      </c>
      <c r="AE271" t="s">
        <v>2446</v>
      </c>
      <c r="AF271" t="s">
        <v>2447</v>
      </c>
      <c r="AG271" t="s">
        <v>2448</v>
      </c>
      <c r="AH271">
        <v>5.22</v>
      </c>
      <c r="AI271">
        <v>7.8</v>
      </c>
      <c r="AJ271">
        <v>24.99</v>
      </c>
      <c r="AK271">
        <v>36.98</v>
      </c>
      <c r="AL271">
        <v>2</v>
      </c>
      <c r="AM271">
        <v>4.09</v>
      </c>
      <c r="AN271">
        <v>-20.53</v>
      </c>
      <c r="AO271">
        <v>10.25</v>
      </c>
      <c r="AP271">
        <v>-5.84</v>
      </c>
    </row>
    <row r="272" spans="1:42">
      <c r="A272">
        <v>271</v>
      </c>
      <c r="B272" t="str">
        <f>"002351"</f>
        <v>002351</v>
      </c>
      <c r="C272" t="s">
        <v>2449</v>
      </c>
      <c r="D272">
        <v>18.68</v>
      </c>
      <c r="E272">
        <v>4.88</v>
      </c>
      <c r="F272">
        <v>0.87</v>
      </c>
      <c r="G272" t="s">
        <v>2450</v>
      </c>
      <c r="H272">
        <v>2837</v>
      </c>
      <c r="I272">
        <v>18.68</v>
      </c>
      <c r="J272">
        <v>18.69</v>
      </c>
      <c r="K272" t="s">
        <v>2451</v>
      </c>
      <c r="L272">
        <v>6.33</v>
      </c>
      <c r="M272" t="s">
        <v>46</v>
      </c>
      <c r="N272" t="s">
        <v>2452</v>
      </c>
      <c r="O272">
        <v>18.92</v>
      </c>
      <c r="P272">
        <v>17.7</v>
      </c>
      <c r="Q272">
        <v>17.83</v>
      </c>
      <c r="R272">
        <v>17.81</v>
      </c>
      <c r="S272">
        <v>6.85</v>
      </c>
      <c r="T272">
        <v>1.62</v>
      </c>
      <c r="U272">
        <v>-40.83</v>
      </c>
      <c r="V272">
        <v>-2504</v>
      </c>
      <c r="W272">
        <v>18.26</v>
      </c>
      <c r="X272" t="s">
        <v>1296</v>
      </c>
      <c r="Y272" t="s">
        <v>842</v>
      </c>
      <c r="Z272">
        <v>0.81</v>
      </c>
      <c r="AA272">
        <v>59</v>
      </c>
      <c r="AB272">
        <v>1478</v>
      </c>
      <c r="AC272">
        <v>6.89</v>
      </c>
      <c r="AD272" t="s">
        <v>2453</v>
      </c>
      <c r="AE272" t="s">
        <v>2454</v>
      </c>
      <c r="AF272" t="s">
        <v>2455</v>
      </c>
      <c r="AG272" t="s">
        <v>2456</v>
      </c>
      <c r="AH272">
        <v>3.49</v>
      </c>
      <c r="AI272">
        <v>-0.85</v>
      </c>
      <c r="AJ272">
        <v>11.6</v>
      </c>
      <c r="AK272">
        <v>25.88</v>
      </c>
      <c r="AL272">
        <v>1</v>
      </c>
      <c r="AM272">
        <v>4.88</v>
      </c>
      <c r="AN272">
        <v>115.21</v>
      </c>
      <c r="AO272">
        <v>8.79</v>
      </c>
      <c r="AP272">
        <v>119.25</v>
      </c>
    </row>
    <row r="273" spans="1:42">
      <c r="A273">
        <v>272</v>
      </c>
      <c r="B273" t="str">
        <f>"600062"</f>
        <v>600062</v>
      </c>
      <c r="C273" t="s">
        <v>2457</v>
      </c>
      <c r="D273">
        <v>19.3</v>
      </c>
      <c r="E273">
        <v>2.77</v>
      </c>
      <c r="F273">
        <v>0.52</v>
      </c>
      <c r="G273" t="s">
        <v>2458</v>
      </c>
      <c r="H273">
        <v>2894</v>
      </c>
      <c r="I273">
        <v>19.29</v>
      </c>
      <c r="J273">
        <v>19.3</v>
      </c>
      <c r="K273" t="s">
        <v>2451</v>
      </c>
      <c r="L273">
        <v>2.94</v>
      </c>
      <c r="M273" t="s">
        <v>46</v>
      </c>
      <c r="N273" t="s">
        <v>2459</v>
      </c>
      <c r="O273">
        <v>19.8</v>
      </c>
      <c r="P273">
        <v>18.73</v>
      </c>
      <c r="Q273">
        <v>18.73</v>
      </c>
      <c r="R273">
        <v>18.78</v>
      </c>
      <c r="S273">
        <v>5.7</v>
      </c>
      <c r="T273">
        <v>1.34</v>
      </c>
      <c r="U273">
        <v>-78.41</v>
      </c>
      <c r="V273">
        <v>-2368</v>
      </c>
      <c r="W273">
        <v>19.25</v>
      </c>
      <c r="X273" t="s">
        <v>598</v>
      </c>
      <c r="Y273" t="s">
        <v>1412</v>
      </c>
      <c r="Z273">
        <v>0.97</v>
      </c>
      <c r="AA273">
        <v>74</v>
      </c>
      <c r="AB273">
        <v>714</v>
      </c>
      <c r="AC273">
        <v>1.85</v>
      </c>
      <c r="AD273" t="s">
        <v>2460</v>
      </c>
      <c r="AE273" t="s">
        <v>2461</v>
      </c>
      <c r="AF273" t="s">
        <v>1078</v>
      </c>
      <c r="AG273" t="s">
        <v>2462</v>
      </c>
      <c r="AH273">
        <v>4.89</v>
      </c>
      <c r="AI273">
        <v>5.41</v>
      </c>
      <c r="AJ273">
        <v>6.89</v>
      </c>
      <c r="AK273">
        <v>13.92</v>
      </c>
      <c r="AL273">
        <v>4</v>
      </c>
      <c r="AM273">
        <v>2.77</v>
      </c>
      <c r="AN273">
        <v>9.66</v>
      </c>
      <c r="AO273">
        <v>16.9</v>
      </c>
      <c r="AP273">
        <v>-11.55</v>
      </c>
    </row>
    <row r="274" spans="1:42">
      <c r="A274">
        <v>273</v>
      </c>
      <c r="B274" t="str">
        <f>"000661"</f>
        <v>000661</v>
      </c>
      <c r="C274" t="s">
        <v>2463</v>
      </c>
      <c r="D274">
        <v>158.89</v>
      </c>
      <c r="E274">
        <v>-1.24</v>
      </c>
      <c r="F274">
        <v>-2</v>
      </c>
      <c r="G274" t="s">
        <v>2464</v>
      </c>
      <c r="H274">
        <v>196</v>
      </c>
      <c r="I274">
        <v>158.88</v>
      </c>
      <c r="J274">
        <v>158.9</v>
      </c>
      <c r="K274" t="s">
        <v>2465</v>
      </c>
      <c r="L274">
        <v>0.9</v>
      </c>
      <c r="M274" t="s">
        <v>46</v>
      </c>
      <c r="N274" t="s">
        <v>2466</v>
      </c>
      <c r="O274">
        <v>161.59</v>
      </c>
      <c r="P274">
        <v>157.18</v>
      </c>
      <c r="Q274">
        <v>161.35</v>
      </c>
      <c r="R274">
        <v>160.89</v>
      </c>
      <c r="S274">
        <v>2.74</v>
      </c>
      <c r="T274">
        <v>0.74</v>
      </c>
      <c r="U274">
        <v>-67.17</v>
      </c>
      <c r="V274">
        <v>-331</v>
      </c>
      <c r="W274">
        <v>158.73</v>
      </c>
      <c r="X274" t="s">
        <v>60</v>
      </c>
      <c r="Y274" t="s">
        <v>128</v>
      </c>
      <c r="Z274">
        <v>0.97</v>
      </c>
      <c r="AA274">
        <v>1</v>
      </c>
      <c r="AB274">
        <v>81</v>
      </c>
      <c r="AC274">
        <v>3.01</v>
      </c>
      <c r="AD274" t="s">
        <v>2467</v>
      </c>
      <c r="AE274" t="s">
        <v>2468</v>
      </c>
      <c r="AF274" t="s">
        <v>2469</v>
      </c>
      <c r="AG274" t="s">
        <v>2470</v>
      </c>
      <c r="AH274">
        <v>-2.93</v>
      </c>
      <c r="AI274">
        <v>1.51</v>
      </c>
      <c r="AJ274">
        <v>2.78</v>
      </c>
      <c r="AK274">
        <v>6.97</v>
      </c>
      <c r="AL274">
        <v>-3</v>
      </c>
      <c r="AM274">
        <v>-1.24</v>
      </c>
      <c r="AN274">
        <v>-3.96</v>
      </c>
      <c r="AO274">
        <v>5.12</v>
      </c>
      <c r="AP274">
        <v>-4.29</v>
      </c>
    </row>
    <row r="275" spans="1:42">
      <c r="A275">
        <v>274</v>
      </c>
      <c r="B275" t="str">
        <f>"002317"</f>
        <v>002317</v>
      </c>
      <c r="C275" t="s">
        <v>2471</v>
      </c>
      <c r="D275">
        <v>17.65</v>
      </c>
      <c r="E275">
        <v>-2.38</v>
      </c>
      <c r="F275">
        <v>-0.43</v>
      </c>
      <c r="G275" t="s">
        <v>2472</v>
      </c>
      <c r="H275">
        <v>4998</v>
      </c>
      <c r="I275">
        <v>17.65</v>
      </c>
      <c r="J275">
        <v>17.66</v>
      </c>
      <c r="K275" t="s">
        <v>2473</v>
      </c>
      <c r="L275">
        <v>4.5</v>
      </c>
      <c r="M275" t="s">
        <v>46</v>
      </c>
      <c r="N275" t="s">
        <v>2474</v>
      </c>
      <c r="O275">
        <v>18.12</v>
      </c>
      <c r="P275">
        <v>17.5</v>
      </c>
      <c r="Q275">
        <v>17.91</v>
      </c>
      <c r="R275">
        <v>18.08</v>
      </c>
      <c r="S275">
        <v>3.43</v>
      </c>
      <c r="T275">
        <v>0.55</v>
      </c>
      <c r="U275">
        <v>2.65</v>
      </c>
      <c r="V275">
        <v>141</v>
      </c>
      <c r="W275">
        <v>17.7</v>
      </c>
      <c r="X275" t="s">
        <v>1509</v>
      </c>
      <c r="Y275" t="s">
        <v>830</v>
      </c>
      <c r="Z275">
        <v>1.51</v>
      </c>
      <c r="AA275">
        <v>328</v>
      </c>
      <c r="AB275">
        <v>1349</v>
      </c>
      <c r="AC275">
        <v>3.44</v>
      </c>
      <c r="AD275" t="s">
        <v>2475</v>
      </c>
      <c r="AE275" t="s">
        <v>2476</v>
      </c>
      <c r="AF275" t="s">
        <v>2477</v>
      </c>
      <c r="AG275" t="s">
        <v>2346</v>
      </c>
      <c r="AH275">
        <v>-4.39</v>
      </c>
      <c r="AI275">
        <v>-4.02</v>
      </c>
      <c r="AJ275">
        <v>14.49</v>
      </c>
      <c r="AK275">
        <v>45.52</v>
      </c>
      <c r="AL275">
        <v>-1</v>
      </c>
      <c r="AM275">
        <v>-2.38</v>
      </c>
      <c r="AN275">
        <v>-34.12</v>
      </c>
      <c r="AO275">
        <v>-0.79</v>
      </c>
      <c r="AP275">
        <v>-55.17</v>
      </c>
    </row>
    <row r="276" spans="1:42">
      <c r="A276">
        <v>275</v>
      </c>
      <c r="B276" t="str">
        <f>"002401"</f>
        <v>002401</v>
      </c>
      <c r="C276" t="s">
        <v>2478</v>
      </c>
      <c r="D276">
        <v>20.63</v>
      </c>
      <c r="E276">
        <v>4.19</v>
      </c>
      <c r="F276">
        <v>0.83</v>
      </c>
      <c r="G276" t="s">
        <v>711</v>
      </c>
      <c r="H276">
        <v>5677</v>
      </c>
      <c r="I276">
        <v>20.62</v>
      </c>
      <c r="J276">
        <v>20.63</v>
      </c>
      <c r="K276" t="s">
        <v>2479</v>
      </c>
      <c r="L276">
        <v>7.77</v>
      </c>
      <c r="M276" t="s">
        <v>46</v>
      </c>
      <c r="N276" t="s">
        <v>2480</v>
      </c>
      <c r="O276">
        <v>20.64</v>
      </c>
      <c r="P276">
        <v>19.4</v>
      </c>
      <c r="Q276">
        <v>19.69</v>
      </c>
      <c r="R276">
        <v>19.8</v>
      </c>
      <c r="S276">
        <v>6.26</v>
      </c>
      <c r="T276">
        <v>1.26</v>
      </c>
      <c r="U276">
        <v>-1.81</v>
      </c>
      <c r="V276">
        <v>-88</v>
      </c>
      <c r="W276">
        <v>20.13</v>
      </c>
      <c r="X276" t="s">
        <v>1987</v>
      </c>
      <c r="Y276" t="s">
        <v>562</v>
      </c>
      <c r="Z276">
        <v>0.85</v>
      </c>
      <c r="AA276">
        <v>1265</v>
      </c>
      <c r="AB276">
        <v>266</v>
      </c>
      <c r="AC276">
        <v>4.82</v>
      </c>
      <c r="AD276" t="s">
        <v>2481</v>
      </c>
      <c r="AE276" t="s">
        <v>2482</v>
      </c>
      <c r="AF276" t="s">
        <v>2483</v>
      </c>
      <c r="AG276" t="s">
        <v>2484</v>
      </c>
      <c r="AH276">
        <v>2.43</v>
      </c>
      <c r="AI276">
        <v>8.29</v>
      </c>
      <c r="AJ276">
        <v>22</v>
      </c>
      <c r="AK276">
        <v>38.48</v>
      </c>
      <c r="AL276">
        <v>1</v>
      </c>
      <c r="AM276">
        <v>4.19</v>
      </c>
      <c r="AN276">
        <v>89.61</v>
      </c>
      <c r="AO276">
        <v>17.89</v>
      </c>
      <c r="AP276">
        <v>71.77</v>
      </c>
    </row>
    <row r="277" spans="1:42">
      <c r="A277">
        <v>276</v>
      </c>
      <c r="B277" t="str">
        <f>"600280"</f>
        <v>600280</v>
      </c>
      <c r="C277" t="s">
        <v>2485</v>
      </c>
      <c r="D277">
        <v>4.43</v>
      </c>
      <c r="E277">
        <v>-3.7</v>
      </c>
      <c r="F277">
        <v>-0.17</v>
      </c>
      <c r="G277" t="s">
        <v>2486</v>
      </c>
      <c r="H277" t="s">
        <v>1110</v>
      </c>
      <c r="I277">
        <v>4.43</v>
      </c>
      <c r="J277">
        <v>4.44</v>
      </c>
      <c r="K277" t="s">
        <v>2487</v>
      </c>
      <c r="L277">
        <v>11.2</v>
      </c>
      <c r="M277" t="s">
        <v>46</v>
      </c>
      <c r="N277" t="s">
        <v>2488</v>
      </c>
      <c r="O277">
        <v>4.76</v>
      </c>
      <c r="P277">
        <v>4.4</v>
      </c>
      <c r="Q277">
        <v>4.58</v>
      </c>
      <c r="R277">
        <v>4.6</v>
      </c>
      <c r="S277">
        <v>7.83</v>
      </c>
      <c r="T277">
        <v>0.84</v>
      </c>
      <c r="U277">
        <v>48.26</v>
      </c>
      <c r="V277" t="s">
        <v>325</v>
      </c>
      <c r="W277">
        <v>4.54</v>
      </c>
      <c r="X277" t="s">
        <v>1971</v>
      </c>
      <c r="Y277" t="s">
        <v>2489</v>
      </c>
      <c r="Z277">
        <v>1.55</v>
      </c>
      <c r="AA277">
        <v>1053</v>
      </c>
      <c r="AB277">
        <v>2058</v>
      </c>
      <c r="AC277">
        <v>5.38</v>
      </c>
      <c r="AD277" t="s">
        <v>735</v>
      </c>
      <c r="AE277" t="s">
        <v>2490</v>
      </c>
      <c r="AF277" t="s">
        <v>735</v>
      </c>
      <c r="AG277" t="s">
        <v>2490</v>
      </c>
      <c r="AH277">
        <v>-1.56</v>
      </c>
      <c r="AI277">
        <v>16.27</v>
      </c>
      <c r="AJ277">
        <v>43.22</v>
      </c>
      <c r="AK277">
        <v>77.83</v>
      </c>
      <c r="AL277">
        <v>-1</v>
      </c>
      <c r="AM277">
        <v>-3.7</v>
      </c>
      <c r="AN277">
        <v>35.47</v>
      </c>
      <c r="AO277">
        <v>25.85</v>
      </c>
      <c r="AP277">
        <v>26.21</v>
      </c>
    </row>
    <row r="278" spans="1:42">
      <c r="A278">
        <v>277</v>
      </c>
      <c r="B278" t="str">
        <f>"000800"</f>
        <v>000800</v>
      </c>
      <c r="C278" t="s">
        <v>2491</v>
      </c>
      <c r="D278">
        <v>9.62</v>
      </c>
      <c r="E278">
        <v>-2.73</v>
      </c>
      <c r="F278">
        <v>-0.27</v>
      </c>
      <c r="G278" t="s">
        <v>2492</v>
      </c>
      <c r="H278" t="s">
        <v>1967</v>
      </c>
      <c r="I278">
        <v>9.62</v>
      </c>
      <c r="J278">
        <v>9.63</v>
      </c>
      <c r="K278" t="s">
        <v>2493</v>
      </c>
      <c r="L278">
        <v>1.28</v>
      </c>
      <c r="M278" t="s">
        <v>46</v>
      </c>
      <c r="N278" t="s">
        <v>130</v>
      </c>
      <c r="O278">
        <v>9.87</v>
      </c>
      <c r="P278">
        <v>9.55</v>
      </c>
      <c r="Q278">
        <v>9.8</v>
      </c>
      <c r="R278">
        <v>9.89</v>
      </c>
      <c r="S278">
        <v>3.24</v>
      </c>
      <c r="T278">
        <v>0.72</v>
      </c>
      <c r="U278">
        <v>39.04</v>
      </c>
      <c r="V278">
        <v>6781</v>
      </c>
      <c r="W278">
        <v>9.63</v>
      </c>
      <c r="X278" t="s">
        <v>2494</v>
      </c>
      <c r="Y278" t="s">
        <v>1420</v>
      </c>
      <c r="Z278">
        <v>1.28</v>
      </c>
      <c r="AA278">
        <v>1284</v>
      </c>
      <c r="AB278">
        <v>2208</v>
      </c>
      <c r="AC278">
        <v>1.85</v>
      </c>
      <c r="AD278" t="s">
        <v>2495</v>
      </c>
      <c r="AE278" t="s">
        <v>2496</v>
      </c>
      <c r="AF278" t="s">
        <v>2497</v>
      </c>
      <c r="AG278" t="s">
        <v>2498</v>
      </c>
      <c r="AH278">
        <v>-7.14</v>
      </c>
      <c r="AI278">
        <v>2.45</v>
      </c>
      <c r="AJ278">
        <v>7.57</v>
      </c>
      <c r="AK278">
        <v>10.13</v>
      </c>
      <c r="AL278">
        <v>-2</v>
      </c>
      <c r="AM278">
        <v>-2.73</v>
      </c>
      <c r="AN278">
        <v>24.45</v>
      </c>
      <c r="AO278">
        <v>4.23</v>
      </c>
      <c r="AP278">
        <v>32.69</v>
      </c>
    </row>
    <row r="279" spans="1:42">
      <c r="A279">
        <v>278</v>
      </c>
      <c r="B279" t="str">
        <f>"600570"</f>
        <v>600570</v>
      </c>
      <c r="C279" t="s">
        <v>2499</v>
      </c>
      <c r="D279">
        <v>30.76</v>
      </c>
      <c r="E279">
        <v>2.43</v>
      </c>
      <c r="F279">
        <v>0.73</v>
      </c>
      <c r="G279" t="s">
        <v>1008</v>
      </c>
      <c r="H279">
        <v>2688</v>
      </c>
      <c r="I279">
        <v>30.76</v>
      </c>
      <c r="J279">
        <v>30.77</v>
      </c>
      <c r="K279" t="s">
        <v>2500</v>
      </c>
      <c r="L279">
        <v>0.98</v>
      </c>
      <c r="M279" t="s">
        <v>46</v>
      </c>
      <c r="N279" t="s">
        <v>2501</v>
      </c>
      <c r="O279">
        <v>30.92</v>
      </c>
      <c r="P279">
        <v>29.94</v>
      </c>
      <c r="Q279">
        <v>30.02</v>
      </c>
      <c r="R279">
        <v>30.03</v>
      </c>
      <c r="S279">
        <v>3.26</v>
      </c>
      <c r="T279">
        <v>1.42</v>
      </c>
      <c r="U279">
        <v>39.22</v>
      </c>
      <c r="V279">
        <v>706</v>
      </c>
      <c r="W279">
        <v>30.4</v>
      </c>
      <c r="X279" t="s">
        <v>2502</v>
      </c>
      <c r="Y279" t="s">
        <v>110</v>
      </c>
      <c r="Z279">
        <v>0.84</v>
      </c>
      <c r="AA279">
        <v>34</v>
      </c>
      <c r="AB279">
        <v>149</v>
      </c>
      <c r="AC279">
        <v>8.09</v>
      </c>
      <c r="AD279" t="s">
        <v>2503</v>
      </c>
      <c r="AE279" t="s">
        <v>2504</v>
      </c>
      <c r="AF279" t="s">
        <v>2503</v>
      </c>
      <c r="AG279" t="s">
        <v>2504</v>
      </c>
      <c r="AH279">
        <v>-0.26</v>
      </c>
      <c r="AI279">
        <v>-3.39</v>
      </c>
      <c r="AJ279">
        <v>2.39</v>
      </c>
      <c r="AK279">
        <v>4.45</v>
      </c>
      <c r="AL279">
        <v>1</v>
      </c>
      <c r="AM279">
        <v>2.43</v>
      </c>
      <c r="AN279">
        <v>-23.73</v>
      </c>
      <c r="AO279">
        <v>-1.73</v>
      </c>
      <c r="AP279">
        <v>-27.04</v>
      </c>
    </row>
    <row r="280" spans="1:42">
      <c r="A280">
        <v>279</v>
      </c>
      <c r="B280" t="str">
        <f>"002173"</f>
        <v>002173</v>
      </c>
      <c r="C280" t="s">
        <v>2505</v>
      </c>
      <c r="D280">
        <v>10.11</v>
      </c>
      <c r="E280">
        <v>1.51</v>
      </c>
      <c r="F280">
        <v>0.15</v>
      </c>
      <c r="G280" t="s">
        <v>132</v>
      </c>
      <c r="H280">
        <v>9814</v>
      </c>
      <c r="I280">
        <v>10.11</v>
      </c>
      <c r="J280">
        <v>10.12</v>
      </c>
      <c r="K280" t="s">
        <v>2506</v>
      </c>
      <c r="L280">
        <v>13.37</v>
      </c>
      <c r="M280" t="s">
        <v>46</v>
      </c>
      <c r="N280" t="s">
        <v>2275</v>
      </c>
      <c r="O280">
        <v>10.19</v>
      </c>
      <c r="P280">
        <v>9.65</v>
      </c>
      <c r="Q280">
        <v>9.81</v>
      </c>
      <c r="R280">
        <v>9.96</v>
      </c>
      <c r="S280">
        <v>5.42</v>
      </c>
      <c r="T280">
        <v>1.08</v>
      </c>
      <c r="U280">
        <v>-55.76</v>
      </c>
      <c r="V280">
        <v>-4785</v>
      </c>
      <c r="W280">
        <v>9.93</v>
      </c>
      <c r="X280" t="s">
        <v>2507</v>
      </c>
      <c r="Y280" t="s">
        <v>1463</v>
      </c>
      <c r="Z280">
        <v>0.9</v>
      </c>
      <c r="AA280">
        <v>305</v>
      </c>
      <c r="AB280">
        <v>263</v>
      </c>
      <c r="AC280">
        <v>2.4</v>
      </c>
      <c r="AD280" t="s">
        <v>2508</v>
      </c>
      <c r="AE280" t="s">
        <v>2509</v>
      </c>
      <c r="AF280" t="s">
        <v>2510</v>
      </c>
      <c r="AG280" t="s">
        <v>2511</v>
      </c>
      <c r="AH280">
        <v>8.71</v>
      </c>
      <c r="AI280">
        <v>2.12</v>
      </c>
      <c r="AJ280">
        <v>45.93</v>
      </c>
      <c r="AK280">
        <v>75.55</v>
      </c>
      <c r="AL280">
        <v>4</v>
      </c>
      <c r="AM280">
        <v>1.51</v>
      </c>
      <c r="AN280">
        <v>55.06</v>
      </c>
      <c r="AO280">
        <v>21.66</v>
      </c>
      <c r="AP280">
        <v>32.68</v>
      </c>
    </row>
    <row r="281" spans="1:42">
      <c r="A281">
        <v>280</v>
      </c>
      <c r="B281" t="str">
        <f>"600161"</f>
        <v>600161</v>
      </c>
      <c r="C281" t="s">
        <v>2512</v>
      </c>
      <c r="D281">
        <v>31.66</v>
      </c>
      <c r="E281">
        <v>-1.16</v>
      </c>
      <c r="F281">
        <v>-0.37</v>
      </c>
      <c r="G281" t="s">
        <v>625</v>
      </c>
      <c r="H281">
        <v>1248</v>
      </c>
      <c r="I281">
        <v>31.65</v>
      </c>
      <c r="J281">
        <v>31.66</v>
      </c>
      <c r="K281" t="s">
        <v>2506</v>
      </c>
      <c r="L281">
        <v>1.07</v>
      </c>
      <c r="M281" t="s">
        <v>46</v>
      </c>
      <c r="N281" t="s">
        <v>2513</v>
      </c>
      <c r="O281">
        <v>32.56</v>
      </c>
      <c r="P281">
        <v>31.41</v>
      </c>
      <c r="Q281">
        <v>32</v>
      </c>
      <c r="R281">
        <v>32.03</v>
      </c>
      <c r="S281">
        <v>3.59</v>
      </c>
      <c r="T281">
        <v>1.54</v>
      </c>
      <c r="U281">
        <v>-59.74</v>
      </c>
      <c r="V281">
        <v>-1303</v>
      </c>
      <c r="W281">
        <v>31.77</v>
      </c>
      <c r="X281" t="s">
        <v>2514</v>
      </c>
      <c r="Y281" t="s">
        <v>1063</v>
      </c>
      <c r="Z281">
        <v>1</v>
      </c>
      <c r="AA281">
        <v>9</v>
      </c>
      <c r="AB281">
        <v>210</v>
      </c>
      <c r="AC281">
        <v>5.43</v>
      </c>
      <c r="AD281" t="s">
        <v>2515</v>
      </c>
      <c r="AE281" t="s">
        <v>2516</v>
      </c>
      <c r="AF281" t="s">
        <v>2515</v>
      </c>
      <c r="AG281" t="s">
        <v>2516</v>
      </c>
      <c r="AH281">
        <v>1.67</v>
      </c>
      <c r="AI281">
        <v>3.09</v>
      </c>
      <c r="AJ281">
        <v>3.2</v>
      </c>
      <c r="AK281">
        <v>4.56</v>
      </c>
      <c r="AL281">
        <v>-1</v>
      </c>
      <c r="AM281">
        <v>-1.16</v>
      </c>
      <c r="AN281">
        <v>33.7</v>
      </c>
      <c r="AO281">
        <v>7.8</v>
      </c>
      <c r="AP281">
        <v>39.66</v>
      </c>
    </row>
    <row r="282" spans="1:42">
      <c r="A282">
        <v>281</v>
      </c>
      <c r="B282" t="str">
        <f>"301111"</f>
        <v>301111</v>
      </c>
      <c r="C282" t="s">
        <v>2517</v>
      </c>
      <c r="D282">
        <v>27.71</v>
      </c>
      <c r="E282">
        <v>-5.26</v>
      </c>
      <c r="F282">
        <v>-1.54</v>
      </c>
      <c r="G282" t="s">
        <v>2012</v>
      </c>
      <c r="H282">
        <v>2840</v>
      </c>
      <c r="I282">
        <v>27.71</v>
      </c>
      <c r="J282">
        <v>27.72</v>
      </c>
      <c r="K282" t="s">
        <v>2518</v>
      </c>
      <c r="L282">
        <v>28.52</v>
      </c>
      <c r="M282" t="s">
        <v>46</v>
      </c>
      <c r="N282" t="s">
        <v>2519</v>
      </c>
      <c r="O282">
        <v>28.86</v>
      </c>
      <c r="P282">
        <v>27.27</v>
      </c>
      <c r="Q282">
        <v>27.66</v>
      </c>
      <c r="R282">
        <v>29.25</v>
      </c>
      <c r="S282">
        <v>5.44</v>
      </c>
      <c r="T282">
        <v>0.83</v>
      </c>
      <c r="U282">
        <v>55.24</v>
      </c>
      <c r="V282">
        <v>612</v>
      </c>
      <c r="W282">
        <v>27.99</v>
      </c>
      <c r="X282" t="s">
        <v>110</v>
      </c>
      <c r="Y282" t="s">
        <v>2520</v>
      </c>
      <c r="Z282">
        <v>1.03</v>
      </c>
      <c r="AA282">
        <v>345</v>
      </c>
      <c r="AB282">
        <v>116</v>
      </c>
      <c r="AC282">
        <v>5.73</v>
      </c>
      <c r="AD282" t="s">
        <v>2521</v>
      </c>
      <c r="AE282" t="s">
        <v>2522</v>
      </c>
      <c r="AF282" t="s">
        <v>2523</v>
      </c>
      <c r="AG282" t="s">
        <v>2524</v>
      </c>
      <c r="AH282">
        <v>-6.54</v>
      </c>
      <c r="AI282">
        <v>11.37</v>
      </c>
      <c r="AJ282">
        <v>91.73</v>
      </c>
      <c r="AK282">
        <v>200.9</v>
      </c>
      <c r="AL282">
        <v>-1</v>
      </c>
      <c r="AM282">
        <v>-5.26</v>
      </c>
      <c r="AN282">
        <v>41.96</v>
      </c>
      <c r="AO282">
        <v>38</v>
      </c>
      <c r="AP282">
        <v>6.17</v>
      </c>
    </row>
    <row r="283" spans="1:42">
      <c r="A283">
        <v>282</v>
      </c>
      <c r="B283" t="str">
        <f>"300366"</f>
        <v>300366</v>
      </c>
      <c r="C283" t="s">
        <v>2525</v>
      </c>
      <c r="D283">
        <v>15.54</v>
      </c>
      <c r="E283">
        <v>0.91</v>
      </c>
      <c r="F283">
        <v>0.14</v>
      </c>
      <c r="G283" t="s">
        <v>999</v>
      </c>
      <c r="H283">
        <v>4871</v>
      </c>
      <c r="I283">
        <v>15.54</v>
      </c>
      <c r="J283">
        <v>15.55</v>
      </c>
      <c r="K283" t="s">
        <v>2526</v>
      </c>
      <c r="L283">
        <v>7.17</v>
      </c>
      <c r="M283" t="s">
        <v>46</v>
      </c>
      <c r="N283" t="s">
        <v>261</v>
      </c>
      <c r="O283">
        <v>15.75</v>
      </c>
      <c r="P283">
        <v>15.22</v>
      </c>
      <c r="Q283">
        <v>15.39</v>
      </c>
      <c r="R283">
        <v>15.4</v>
      </c>
      <c r="S283">
        <v>3.44</v>
      </c>
      <c r="T283">
        <v>0.78</v>
      </c>
      <c r="U283">
        <v>-20.04</v>
      </c>
      <c r="V283">
        <v>-1532</v>
      </c>
      <c r="W283">
        <v>15.52</v>
      </c>
      <c r="X283" t="s">
        <v>1328</v>
      </c>
      <c r="Y283" t="s">
        <v>2047</v>
      </c>
      <c r="Z283">
        <v>1.18</v>
      </c>
      <c r="AA283">
        <v>228</v>
      </c>
      <c r="AB283">
        <v>1086</v>
      </c>
      <c r="AC283">
        <v>3.94</v>
      </c>
      <c r="AD283" t="s">
        <v>2527</v>
      </c>
      <c r="AE283" t="s">
        <v>2528</v>
      </c>
      <c r="AF283" t="s">
        <v>2529</v>
      </c>
      <c r="AG283" t="s">
        <v>2530</v>
      </c>
      <c r="AH283">
        <v>3.12</v>
      </c>
      <c r="AI283">
        <v>-7</v>
      </c>
      <c r="AJ283">
        <v>21</v>
      </c>
      <c r="AK283">
        <v>52.92</v>
      </c>
      <c r="AL283">
        <v>2</v>
      </c>
      <c r="AM283">
        <v>0.91</v>
      </c>
      <c r="AN283">
        <v>61.54</v>
      </c>
      <c r="AO283">
        <v>10.06</v>
      </c>
      <c r="AP283">
        <v>30.92</v>
      </c>
    </row>
    <row r="284" spans="1:42">
      <c r="A284">
        <v>283</v>
      </c>
      <c r="B284" t="str">
        <f>"603629"</f>
        <v>603629</v>
      </c>
      <c r="C284" t="s">
        <v>2531</v>
      </c>
      <c r="D284">
        <v>30.35</v>
      </c>
      <c r="E284">
        <v>-1.72</v>
      </c>
      <c r="F284">
        <v>-0.53</v>
      </c>
      <c r="G284" t="s">
        <v>99</v>
      </c>
      <c r="H284">
        <v>1698</v>
      </c>
      <c r="I284">
        <v>30.35</v>
      </c>
      <c r="J284">
        <v>30.36</v>
      </c>
      <c r="K284" t="s">
        <v>2532</v>
      </c>
      <c r="L284">
        <v>7.25</v>
      </c>
      <c r="M284" t="s">
        <v>46</v>
      </c>
      <c r="N284" t="s">
        <v>2533</v>
      </c>
      <c r="O284">
        <v>30.67</v>
      </c>
      <c r="P284">
        <v>29.67</v>
      </c>
      <c r="Q284">
        <v>30.31</v>
      </c>
      <c r="R284">
        <v>30.88</v>
      </c>
      <c r="S284">
        <v>3.24</v>
      </c>
      <c r="T284">
        <v>0.92</v>
      </c>
      <c r="U284">
        <v>21.37</v>
      </c>
      <c r="V284">
        <v>751</v>
      </c>
      <c r="W284">
        <v>30.1</v>
      </c>
      <c r="X284" t="s">
        <v>2402</v>
      </c>
      <c r="Y284" t="s">
        <v>2534</v>
      </c>
      <c r="Z284">
        <v>1.39</v>
      </c>
      <c r="AA284">
        <v>343</v>
      </c>
      <c r="AB284">
        <v>942</v>
      </c>
      <c r="AC284">
        <v>4.76</v>
      </c>
      <c r="AD284" t="s">
        <v>2535</v>
      </c>
      <c r="AE284" t="s">
        <v>2536</v>
      </c>
      <c r="AF284" t="s">
        <v>2535</v>
      </c>
      <c r="AG284" t="s">
        <v>2536</v>
      </c>
      <c r="AH284">
        <v>4.58</v>
      </c>
      <c r="AI284">
        <v>-1.62</v>
      </c>
      <c r="AJ284">
        <v>23.69</v>
      </c>
      <c r="AK284">
        <v>46.49</v>
      </c>
      <c r="AL284">
        <v>-1</v>
      </c>
      <c r="AM284">
        <v>-1.72</v>
      </c>
      <c r="AN284">
        <v>147.96</v>
      </c>
      <c r="AO284">
        <v>-6.84</v>
      </c>
      <c r="AP284">
        <v>131.68</v>
      </c>
    </row>
    <row r="285" spans="1:42">
      <c r="A285">
        <v>284</v>
      </c>
      <c r="B285" t="str">
        <f>"000158"</f>
        <v>000158</v>
      </c>
      <c r="C285" t="s">
        <v>2537</v>
      </c>
      <c r="D285">
        <v>9.54</v>
      </c>
      <c r="E285">
        <v>1.38</v>
      </c>
      <c r="F285">
        <v>0.13</v>
      </c>
      <c r="G285" t="s">
        <v>458</v>
      </c>
      <c r="H285">
        <v>8845</v>
      </c>
      <c r="I285">
        <v>9.53</v>
      </c>
      <c r="J285">
        <v>9.54</v>
      </c>
      <c r="K285" t="s">
        <v>2538</v>
      </c>
      <c r="L285">
        <v>3.66</v>
      </c>
      <c r="M285" t="s">
        <v>46</v>
      </c>
      <c r="N285" t="s">
        <v>2539</v>
      </c>
      <c r="O285">
        <v>9.62</v>
      </c>
      <c r="P285">
        <v>9.31</v>
      </c>
      <c r="Q285">
        <v>9.36</v>
      </c>
      <c r="R285">
        <v>9.41</v>
      </c>
      <c r="S285">
        <v>3.29</v>
      </c>
      <c r="T285">
        <v>0.8</v>
      </c>
      <c r="U285">
        <v>-29.25</v>
      </c>
      <c r="V285" t="s">
        <v>2540</v>
      </c>
      <c r="W285">
        <v>9.52</v>
      </c>
      <c r="X285" t="s">
        <v>272</v>
      </c>
      <c r="Y285" t="s">
        <v>2541</v>
      </c>
      <c r="Z285">
        <v>0.8</v>
      </c>
      <c r="AA285">
        <v>8240</v>
      </c>
      <c r="AB285">
        <v>1165</v>
      </c>
      <c r="AC285">
        <v>2.62</v>
      </c>
      <c r="AD285" t="s">
        <v>2542</v>
      </c>
      <c r="AE285" t="s">
        <v>2543</v>
      </c>
      <c r="AF285" t="s">
        <v>2544</v>
      </c>
      <c r="AG285" t="s">
        <v>2545</v>
      </c>
      <c r="AH285">
        <v>0.74</v>
      </c>
      <c r="AI285">
        <v>-1.14</v>
      </c>
      <c r="AJ285">
        <v>13.36</v>
      </c>
      <c r="AK285">
        <v>26.54</v>
      </c>
      <c r="AL285">
        <v>1</v>
      </c>
      <c r="AM285">
        <v>1.38</v>
      </c>
      <c r="AN285">
        <v>69.75</v>
      </c>
      <c r="AO285">
        <v>-1.45</v>
      </c>
      <c r="AP285">
        <v>56.14</v>
      </c>
    </row>
    <row r="286" spans="1:42">
      <c r="A286">
        <v>285</v>
      </c>
      <c r="B286" t="str">
        <f>"000518"</f>
        <v>000518</v>
      </c>
      <c r="C286" t="s">
        <v>2546</v>
      </c>
      <c r="D286">
        <v>3.63</v>
      </c>
      <c r="E286">
        <v>-6.68</v>
      </c>
      <c r="F286">
        <v>-0.26</v>
      </c>
      <c r="G286" t="s">
        <v>1060</v>
      </c>
      <c r="H286" t="s">
        <v>2547</v>
      </c>
      <c r="I286">
        <v>3.63</v>
      </c>
      <c r="J286">
        <v>3.64</v>
      </c>
      <c r="K286" t="s">
        <v>2548</v>
      </c>
      <c r="L286">
        <v>14.61</v>
      </c>
      <c r="M286" t="s">
        <v>46</v>
      </c>
      <c r="N286" t="s">
        <v>2549</v>
      </c>
      <c r="O286">
        <v>3.76</v>
      </c>
      <c r="P286">
        <v>3.59</v>
      </c>
      <c r="Q286">
        <v>3.66</v>
      </c>
      <c r="R286">
        <v>3.89</v>
      </c>
      <c r="S286">
        <v>4.37</v>
      </c>
      <c r="T286">
        <v>1.14</v>
      </c>
      <c r="U286">
        <v>60.02</v>
      </c>
      <c r="V286" t="s">
        <v>2550</v>
      </c>
      <c r="W286">
        <v>3.67</v>
      </c>
      <c r="X286" t="s">
        <v>2551</v>
      </c>
      <c r="Y286" t="s">
        <v>2552</v>
      </c>
      <c r="Z286">
        <v>1.47</v>
      </c>
      <c r="AA286" t="s">
        <v>1456</v>
      </c>
      <c r="AB286">
        <v>4885</v>
      </c>
      <c r="AC286">
        <v>7.27</v>
      </c>
      <c r="AD286" t="s">
        <v>2553</v>
      </c>
      <c r="AE286" t="s">
        <v>2554</v>
      </c>
      <c r="AF286" t="s">
        <v>2553</v>
      </c>
      <c r="AG286" t="s">
        <v>2554</v>
      </c>
      <c r="AH286">
        <v>-11.68</v>
      </c>
      <c r="AI286">
        <v>-3.71</v>
      </c>
      <c r="AJ286">
        <v>52.24</v>
      </c>
      <c r="AK286">
        <v>78.83</v>
      </c>
      <c r="AL286">
        <v>-1</v>
      </c>
      <c r="AM286">
        <v>-6.68</v>
      </c>
      <c r="AN286">
        <v>14.51</v>
      </c>
      <c r="AO286">
        <v>19.8</v>
      </c>
      <c r="AP286">
        <v>4.61</v>
      </c>
    </row>
    <row r="287" spans="1:42">
      <c r="A287">
        <v>286</v>
      </c>
      <c r="B287" t="str">
        <f>"301169"</f>
        <v>301169</v>
      </c>
      <c r="C287" t="s">
        <v>2555</v>
      </c>
      <c r="D287">
        <v>59.7</v>
      </c>
      <c r="E287">
        <v>4.44</v>
      </c>
      <c r="F287">
        <v>2.54</v>
      </c>
      <c r="G287" t="s">
        <v>2556</v>
      </c>
      <c r="H287">
        <v>1064</v>
      </c>
      <c r="I287">
        <v>59.69</v>
      </c>
      <c r="J287">
        <v>59.7</v>
      </c>
      <c r="K287" t="s">
        <v>2557</v>
      </c>
      <c r="L287">
        <v>33.17</v>
      </c>
      <c r="M287" t="s">
        <v>46</v>
      </c>
      <c r="N287" t="s">
        <v>2558</v>
      </c>
      <c r="O287">
        <v>61.59</v>
      </c>
      <c r="P287">
        <v>56.5</v>
      </c>
      <c r="Q287">
        <v>56.58</v>
      </c>
      <c r="R287">
        <v>57.16</v>
      </c>
      <c r="S287">
        <v>8.9</v>
      </c>
      <c r="T287">
        <v>0.95</v>
      </c>
      <c r="U287">
        <v>74.31</v>
      </c>
      <c r="V287">
        <v>590</v>
      </c>
      <c r="W287">
        <v>58.97</v>
      </c>
      <c r="X287" t="s">
        <v>2559</v>
      </c>
      <c r="Y287" t="s">
        <v>2560</v>
      </c>
      <c r="Z287">
        <v>0.91</v>
      </c>
      <c r="AA287">
        <v>85</v>
      </c>
      <c r="AB287">
        <v>63</v>
      </c>
      <c r="AC287">
        <v>6.86</v>
      </c>
      <c r="AD287" t="s">
        <v>2561</v>
      </c>
      <c r="AE287" t="s">
        <v>2562</v>
      </c>
      <c r="AF287" t="s">
        <v>2563</v>
      </c>
      <c r="AG287" t="s">
        <v>2564</v>
      </c>
      <c r="AH287">
        <v>2.05</v>
      </c>
      <c r="AI287">
        <v>8.74</v>
      </c>
      <c r="AJ287">
        <v>85</v>
      </c>
      <c r="AK287">
        <v>208.1</v>
      </c>
      <c r="AL287">
        <v>2</v>
      </c>
      <c r="AM287">
        <v>4.44</v>
      </c>
      <c r="AN287">
        <v>98.34</v>
      </c>
      <c r="AO287">
        <v>23.65</v>
      </c>
      <c r="AP287">
        <v>70.09</v>
      </c>
    </row>
    <row r="288" spans="1:42">
      <c r="A288">
        <v>287</v>
      </c>
      <c r="B288" t="str">
        <f>"002313"</f>
        <v>002313</v>
      </c>
      <c r="C288" t="s">
        <v>2565</v>
      </c>
      <c r="D288">
        <v>10.68</v>
      </c>
      <c r="E288">
        <v>9.99</v>
      </c>
      <c r="F288">
        <v>0.97</v>
      </c>
      <c r="G288" t="s">
        <v>1737</v>
      </c>
      <c r="H288">
        <v>883</v>
      </c>
      <c r="I288">
        <v>10.68</v>
      </c>
      <c r="J288" t="s">
        <v>76</v>
      </c>
      <c r="K288" t="s">
        <v>2566</v>
      </c>
      <c r="L288">
        <v>14.84</v>
      </c>
      <c r="M288" t="s">
        <v>46</v>
      </c>
      <c r="N288" t="s">
        <v>2474</v>
      </c>
      <c r="O288">
        <v>10.68</v>
      </c>
      <c r="P288">
        <v>9.2</v>
      </c>
      <c r="Q288">
        <v>10.17</v>
      </c>
      <c r="R288">
        <v>9.71</v>
      </c>
      <c r="S288">
        <v>15.24</v>
      </c>
      <c r="T288">
        <v>3.92</v>
      </c>
      <c r="U288">
        <v>100</v>
      </c>
      <c r="V288" t="s">
        <v>2567</v>
      </c>
      <c r="W288">
        <v>9.87</v>
      </c>
      <c r="X288" t="s">
        <v>1463</v>
      </c>
      <c r="Y288" t="s">
        <v>272</v>
      </c>
      <c r="Z288">
        <v>1.15</v>
      </c>
      <c r="AA288" t="s">
        <v>2568</v>
      </c>
      <c r="AB288">
        <v>0</v>
      </c>
      <c r="AC288">
        <v>8.52</v>
      </c>
      <c r="AD288" t="s">
        <v>2569</v>
      </c>
      <c r="AE288" t="s">
        <v>2570</v>
      </c>
      <c r="AF288" t="s">
        <v>2571</v>
      </c>
      <c r="AG288" t="s">
        <v>2572</v>
      </c>
      <c r="AH288">
        <v>22.06</v>
      </c>
      <c r="AI288">
        <v>20.68</v>
      </c>
      <c r="AJ288">
        <v>26.13</v>
      </c>
      <c r="AK288">
        <v>33.77</v>
      </c>
      <c r="AL288">
        <v>5</v>
      </c>
      <c r="AM288">
        <v>9.99</v>
      </c>
      <c r="AN288">
        <v>90.37</v>
      </c>
      <c r="AO288">
        <v>27.75</v>
      </c>
      <c r="AP288">
        <v>74.8</v>
      </c>
    </row>
    <row r="289" spans="1:42">
      <c r="A289">
        <v>288</v>
      </c>
      <c r="B289" t="str">
        <f>"000917"</f>
        <v>000917</v>
      </c>
      <c r="C289" t="s">
        <v>2573</v>
      </c>
      <c r="D289">
        <v>6.46</v>
      </c>
      <c r="E289">
        <v>7.85</v>
      </c>
      <c r="F289">
        <v>0.47</v>
      </c>
      <c r="G289" t="s">
        <v>2574</v>
      </c>
      <c r="H289" t="s">
        <v>2575</v>
      </c>
      <c r="I289">
        <v>6.46</v>
      </c>
      <c r="J289">
        <v>6.47</v>
      </c>
      <c r="K289" t="s">
        <v>2576</v>
      </c>
      <c r="L289">
        <v>6.11</v>
      </c>
      <c r="M289" t="s">
        <v>46</v>
      </c>
      <c r="N289" t="s">
        <v>2577</v>
      </c>
      <c r="O289">
        <v>6.53</v>
      </c>
      <c r="P289">
        <v>5.99</v>
      </c>
      <c r="Q289">
        <v>6.02</v>
      </c>
      <c r="R289">
        <v>5.99</v>
      </c>
      <c r="S289">
        <v>9.02</v>
      </c>
      <c r="T289">
        <v>2.61</v>
      </c>
      <c r="U289">
        <v>-34.99</v>
      </c>
      <c r="V289">
        <v>-8816</v>
      </c>
      <c r="W289">
        <v>6.33</v>
      </c>
      <c r="X289" t="s">
        <v>2578</v>
      </c>
      <c r="Y289" t="s">
        <v>2579</v>
      </c>
      <c r="Z289">
        <v>0.54</v>
      </c>
      <c r="AA289">
        <v>627</v>
      </c>
      <c r="AB289">
        <v>4014</v>
      </c>
      <c r="AC289">
        <v>0.9</v>
      </c>
      <c r="AD289" t="s">
        <v>2580</v>
      </c>
      <c r="AE289" t="s">
        <v>2581</v>
      </c>
      <c r="AF289" t="s">
        <v>2582</v>
      </c>
      <c r="AG289" t="s">
        <v>2583</v>
      </c>
      <c r="AH289">
        <v>5.56</v>
      </c>
      <c r="AI289">
        <v>0.94</v>
      </c>
      <c r="AJ289">
        <v>9.3</v>
      </c>
      <c r="AK289">
        <v>17.81</v>
      </c>
      <c r="AL289">
        <v>1</v>
      </c>
      <c r="AM289">
        <v>7.85</v>
      </c>
      <c r="AN289">
        <v>25.19</v>
      </c>
      <c r="AO289">
        <v>5.9</v>
      </c>
      <c r="AP289">
        <v>28.17</v>
      </c>
    </row>
    <row r="290" spans="1:42">
      <c r="A290">
        <v>289</v>
      </c>
      <c r="B290" t="str">
        <f>"603533"</f>
        <v>603533</v>
      </c>
      <c r="C290" t="s">
        <v>2584</v>
      </c>
      <c r="D290">
        <v>23.7</v>
      </c>
      <c r="E290">
        <v>5.8</v>
      </c>
      <c r="F290">
        <v>1.3</v>
      </c>
      <c r="G290" t="s">
        <v>487</v>
      </c>
      <c r="H290">
        <v>2142</v>
      </c>
      <c r="I290">
        <v>23.7</v>
      </c>
      <c r="J290">
        <v>23.71</v>
      </c>
      <c r="K290" t="s">
        <v>2585</v>
      </c>
      <c r="L290">
        <v>5.34</v>
      </c>
      <c r="M290" t="s">
        <v>46</v>
      </c>
      <c r="N290" t="s">
        <v>2586</v>
      </c>
      <c r="O290">
        <v>23.79</v>
      </c>
      <c r="P290">
        <v>22.35</v>
      </c>
      <c r="Q290">
        <v>22.4</v>
      </c>
      <c r="R290">
        <v>22.4</v>
      </c>
      <c r="S290">
        <v>6.43</v>
      </c>
      <c r="T290">
        <v>1.21</v>
      </c>
      <c r="U290">
        <v>-31.41</v>
      </c>
      <c r="V290">
        <v>-957</v>
      </c>
      <c r="W290">
        <v>23.23</v>
      </c>
      <c r="X290" t="s">
        <v>2587</v>
      </c>
      <c r="Y290" t="s">
        <v>960</v>
      </c>
      <c r="Z290">
        <v>0.67</v>
      </c>
      <c r="AA290">
        <v>774</v>
      </c>
      <c r="AB290">
        <v>261</v>
      </c>
      <c r="AC290">
        <v>4.08</v>
      </c>
      <c r="AD290" t="s">
        <v>2588</v>
      </c>
      <c r="AE290" t="s">
        <v>2589</v>
      </c>
      <c r="AF290" t="s">
        <v>2588</v>
      </c>
      <c r="AG290" t="s">
        <v>2589</v>
      </c>
      <c r="AH290">
        <v>4.13</v>
      </c>
      <c r="AI290">
        <v>-4.44</v>
      </c>
      <c r="AJ290">
        <v>11.08</v>
      </c>
      <c r="AK290">
        <v>27.48</v>
      </c>
      <c r="AL290">
        <v>2</v>
      </c>
      <c r="AM290">
        <v>5.8</v>
      </c>
      <c r="AN290">
        <v>65.27</v>
      </c>
      <c r="AO290">
        <v>12.86</v>
      </c>
      <c r="AP290">
        <v>55.21</v>
      </c>
    </row>
    <row r="291" spans="1:42">
      <c r="A291">
        <v>290</v>
      </c>
      <c r="B291" t="str">
        <f>"600513"</f>
        <v>600513</v>
      </c>
      <c r="C291" t="s">
        <v>2590</v>
      </c>
      <c r="D291">
        <v>12.47</v>
      </c>
      <c r="E291">
        <v>-4.74</v>
      </c>
      <c r="F291">
        <v>-0.62</v>
      </c>
      <c r="G291" t="s">
        <v>483</v>
      </c>
      <c r="H291">
        <v>6600</v>
      </c>
      <c r="I291">
        <v>12.47</v>
      </c>
      <c r="J291">
        <v>12.48</v>
      </c>
      <c r="K291" t="s">
        <v>485</v>
      </c>
      <c r="L291">
        <v>15.28</v>
      </c>
      <c r="M291" t="s">
        <v>46</v>
      </c>
      <c r="N291" t="s">
        <v>2591</v>
      </c>
      <c r="O291">
        <v>12.67</v>
      </c>
      <c r="P291">
        <v>12.17</v>
      </c>
      <c r="Q291">
        <v>12.6</v>
      </c>
      <c r="R291">
        <v>13.09</v>
      </c>
      <c r="S291">
        <v>3.82</v>
      </c>
      <c r="T291">
        <v>0.7</v>
      </c>
      <c r="U291">
        <v>53.67</v>
      </c>
      <c r="V291">
        <v>2636</v>
      </c>
      <c r="W291">
        <v>12.4</v>
      </c>
      <c r="X291" t="s">
        <v>1983</v>
      </c>
      <c r="Y291" t="s">
        <v>797</v>
      </c>
      <c r="Z291">
        <v>1.42</v>
      </c>
      <c r="AA291">
        <v>540</v>
      </c>
      <c r="AB291">
        <v>62</v>
      </c>
      <c r="AC291">
        <v>2.72</v>
      </c>
      <c r="AD291" t="s">
        <v>2592</v>
      </c>
      <c r="AE291" t="s">
        <v>2593</v>
      </c>
      <c r="AF291" t="s">
        <v>2592</v>
      </c>
      <c r="AG291" t="s">
        <v>2593</v>
      </c>
      <c r="AH291">
        <v>2.72</v>
      </c>
      <c r="AI291">
        <v>4.79</v>
      </c>
      <c r="AJ291">
        <v>59.72</v>
      </c>
      <c r="AK291">
        <v>124.65</v>
      </c>
      <c r="AL291">
        <v>-1</v>
      </c>
      <c r="AM291">
        <v>-4.74</v>
      </c>
      <c r="AN291">
        <v>34.96</v>
      </c>
      <c r="AO291">
        <v>23.47</v>
      </c>
      <c r="AP291">
        <v>20.02</v>
      </c>
    </row>
    <row r="292" spans="1:42">
      <c r="A292">
        <v>291</v>
      </c>
      <c r="B292" t="str">
        <f>"002292"</f>
        <v>002292</v>
      </c>
      <c r="C292" t="s">
        <v>2594</v>
      </c>
      <c r="D292">
        <v>8.02</v>
      </c>
      <c r="E292">
        <v>6.23</v>
      </c>
      <c r="F292">
        <v>0.47</v>
      </c>
      <c r="G292" t="s">
        <v>2595</v>
      </c>
      <c r="H292">
        <v>7044</v>
      </c>
      <c r="I292">
        <v>8.02</v>
      </c>
      <c r="J292">
        <v>8.03</v>
      </c>
      <c r="K292" t="s">
        <v>496</v>
      </c>
      <c r="L292">
        <v>7.02</v>
      </c>
      <c r="M292" t="s">
        <v>46</v>
      </c>
      <c r="N292" t="s">
        <v>2596</v>
      </c>
      <c r="O292">
        <v>8.08</v>
      </c>
      <c r="P292">
        <v>7.55</v>
      </c>
      <c r="Q292">
        <v>7.55</v>
      </c>
      <c r="R292">
        <v>7.55</v>
      </c>
      <c r="S292">
        <v>7.02</v>
      </c>
      <c r="T292">
        <v>1.79</v>
      </c>
      <c r="U292">
        <v>-31.95</v>
      </c>
      <c r="V292">
        <v>-9516</v>
      </c>
      <c r="W292">
        <v>7.86</v>
      </c>
      <c r="X292" t="s">
        <v>142</v>
      </c>
      <c r="Y292" t="s">
        <v>1866</v>
      </c>
      <c r="Z292">
        <v>0.55</v>
      </c>
      <c r="AA292">
        <v>5909</v>
      </c>
      <c r="AB292">
        <v>1578</v>
      </c>
      <c r="AC292">
        <v>3.48</v>
      </c>
      <c r="AD292" t="s">
        <v>2597</v>
      </c>
      <c r="AE292" t="s">
        <v>2598</v>
      </c>
      <c r="AF292" t="s">
        <v>2599</v>
      </c>
      <c r="AG292" t="s">
        <v>2600</v>
      </c>
      <c r="AH292">
        <v>3.08</v>
      </c>
      <c r="AI292">
        <v>-3.26</v>
      </c>
      <c r="AJ292">
        <v>13.06</v>
      </c>
      <c r="AK292">
        <v>26.66</v>
      </c>
      <c r="AL292">
        <v>1</v>
      </c>
      <c r="AM292">
        <v>6.23</v>
      </c>
      <c r="AN292">
        <v>72.1</v>
      </c>
      <c r="AO292">
        <v>2.56</v>
      </c>
      <c r="AP292">
        <v>69.92</v>
      </c>
    </row>
    <row r="293" spans="1:42">
      <c r="A293">
        <v>292</v>
      </c>
      <c r="B293" t="str">
        <f>"601698"</f>
        <v>601698</v>
      </c>
      <c r="C293" t="s">
        <v>2601</v>
      </c>
      <c r="D293">
        <v>18.12</v>
      </c>
      <c r="E293">
        <v>-0.44</v>
      </c>
      <c r="F293">
        <v>-0.08</v>
      </c>
      <c r="G293" t="s">
        <v>2602</v>
      </c>
      <c r="H293">
        <v>2604</v>
      </c>
      <c r="I293">
        <v>18.11</v>
      </c>
      <c r="J293">
        <v>18.12</v>
      </c>
      <c r="K293" t="s">
        <v>2603</v>
      </c>
      <c r="L293">
        <v>0.71</v>
      </c>
      <c r="M293" t="s">
        <v>46</v>
      </c>
      <c r="N293" t="s">
        <v>2452</v>
      </c>
      <c r="O293">
        <v>18.2</v>
      </c>
      <c r="P293">
        <v>17.6</v>
      </c>
      <c r="Q293">
        <v>18.16</v>
      </c>
      <c r="R293">
        <v>18.2</v>
      </c>
      <c r="S293">
        <v>3.3</v>
      </c>
      <c r="T293">
        <v>1.55</v>
      </c>
      <c r="U293">
        <v>2.1</v>
      </c>
      <c r="V293">
        <v>129</v>
      </c>
      <c r="W293">
        <v>17.92</v>
      </c>
      <c r="X293" t="s">
        <v>1196</v>
      </c>
      <c r="Y293" t="s">
        <v>1937</v>
      </c>
      <c r="Z293">
        <v>1.5</v>
      </c>
      <c r="AA293">
        <v>792</v>
      </c>
      <c r="AB293">
        <v>350</v>
      </c>
      <c r="AC293">
        <v>4.98</v>
      </c>
      <c r="AD293" t="s">
        <v>2604</v>
      </c>
      <c r="AE293" t="s">
        <v>2605</v>
      </c>
      <c r="AF293" t="s">
        <v>2604</v>
      </c>
      <c r="AG293" t="s">
        <v>2605</v>
      </c>
      <c r="AH293">
        <v>-1.89</v>
      </c>
      <c r="AI293">
        <v>-3</v>
      </c>
      <c r="AJ293">
        <v>1.42</v>
      </c>
      <c r="AK293">
        <v>2.99</v>
      </c>
      <c r="AL293">
        <v>-1</v>
      </c>
      <c r="AM293">
        <v>-0.44</v>
      </c>
      <c r="AN293">
        <v>59.23</v>
      </c>
      <c r="AO293">
        <v>-2.11</v>
      </c>
      <c r="AP293">
        <v>49.01</v>
      </c>
    </row>
    <row r="294" spans="1:42">
      <c r="A294">
        <v>293</v>
      </c>
      <c r="B294" t="str">
        <f>"601900"</f>
        <v>601900</v>
      </c>
      <c r="C294" t="s">
        <v>2606</v>
      </c>
      <c r="D294">
        <v>15.74</v>
      </c>
      <c r="E294">
        <v>8.48</v>
      </c>
      <c r="F294">
        <v>1.23</v>
      </c>
      <c r="G294" t="s">
        <v>1584</v>
      </c>
      <c r="H294">
        <v>4245</v>
      </c>
      <c r="I294">
        <v>15.73</v>
      </c>
      <c r="J294">
        <v>15.74</v>
      </c>
      <c r="K294" t="s">
        <v>2607</v>
      </c>
      <c r="L294">
        <v>3.9</v>
      </c>
      <c r="M294" t="s">
        <v>46</v>
      </c>
      <c r="N294" t="s">
        <v>2608</v>
      </c>
      <c r="O294">
        <v>15.95</v>
      </c>
      <c r="P294">
        <v>14.54</v>
      </c>
      <c r="Q294">
        <v>14.59</v>
      </c>
      <c r="R294">
        <v>14.51</v>
      </c>
      <c r="S294">
        <v>9.72</v>
      </c>
      <c r="T294">
        <v>2.51</v>
      </c>
      <c r="U294">
        <v>9.17</v>
      </c>
      <c r="V294">
        <v>341</v>
      </c>
      <c r="W294">
        <v>15.28</v>
      </c>
      <c r="X294" t="s">
        <v>1987</v>
      </c>
      <c r="Y294" t="s">
        <v>2609</v>
      </c>
      <c r="Z294">
        <v>0.6</v>
      </c>
      <c r="AA294">
        <v>1319</v>
      </c>
      <c r="AB294">
        <v>76</v>
      </c>
      <c r="AC294">
        <v>1.92</v>
      </c>
      <c r="AD294" t="s">
        <v>2610</v>
      </c>
      <c r="AE294" t="s">
        <v>2611</v>
      </c>
      <c r="AF294" t="s">
        <v>2610</v>
      </c>
      <c r="AG294" t="s">
        <v>2611</v>
      </c>
      <c r="AH294">
        <v>4.52</v>
      </c>
      <c r="AI294">
        <v>-2.6</v>
      </c>
      <c r="AJ294">
        <v>6.57</v>
      </c>
      <c r="AK294">
        <v>11.67</v>
      </c>
      <c r="AL294">
        <v>1</v>
      </c>
      <c r="AM294">
        <v>8.48</v>
      </c>
      <c r="AN294">
        <v>100.77</v>
      </c>
      <c r="AO294">
        <v>4.52</v>
      </c>
      <c r="AP294">
        <v>113.86</v>
      </c>
    </row>
    <row r="295" spans="1:42">
      <c r="A295">
        <v>294</v>
      </c>
      <c r="B295" t="str">
        <f>"688169"</f>
        <v>688169</v>
      </c>
      <c r="C295" t="s">
        <v>2612</v>
      </c>
      <c r="D295">
        <v>282.5</v>
      </c>
      <c r="E295">
        <v>-5.52</v>
      </c>
      <c r="F295">
        <v>-16.5</v>
      </c>
      <c r="G295" t="s">
        <v>1072</v>
      </c>
      <c r="H295">
        <v>120</v>
      </c>
      <c r="I295">
        <v>282.5</v>
      </c>
      <c r="J295">
        <v>283</v>
      </c>
      <c r="K295" t="s">
        <v>2613</v>
      </c>
      <c r="L295">
        <v>1.42</v>
      </c>
      <c r="M295" t="s">
        <v>46</v>
      </c>
      <c r="N295" t="s">
        <v>2614</v>
      </c>
      <c r="O295">
        <v>294.88</v>
      </c>
      <c r="P295">
        <v>277</v>
      </c>
      <c r="Q295">
        <v>294.8</v>
      </c>
      <c r="R295">
        <v>299</v>
      </c>
      <c r="S295">
        <v>5.98</v>
      </c>
      <c r="T295">
        <v>1.87</v>
      </c>
      <c r="U295">
        <v>81.75</v>
      </c>
      <c r="V295">
        <v>265</v>
      </c>
      <c r="W295">
        <v>282.84</v>
      </c>
      <c r="X295" t="s">
        <v>2615</v>
      </c>
      <c r="Y295">
        <v>8707</v>
      </c>
      <c r="Z295">
        <v>1.15</v>
      </c>
      <c r="AA295">
        <v>21</v>
      </c>
      <c r="AB295">
        <v>9</v>
      </c>
      <c r="AC295">
        <v>3.48</v>
      </c>
      <c r="AD295" t="s">
        <v>2616</v>
      </c>
      <c r="AE295" t="s">
        <v>2617</v>
      </c>
      <c r="AF295" t="s">
        <v>2616</v>
      </c>
      <c r="AG295" t="s">
        <v>2617</v>
      </c>
      <c r="AH295">
        <v>-1.74</v>
      </c>
      <c r="AI295">
        <v>-4.15</v>
      </c>
      <c r="AJ295">
        <v>2.86</v>
      </c>
      <c r="AK295">
        <v>5.23</v>
      </c>
      <c r="AL295">
        <v>-1</v>
      </c>
      <c r="AM295">
        <v>-5.52</v>
      </c>
      <c r="AN295">
        <v>61.3</v>
      </c>
      <c r="AO295">
        <v>-7.82</v>
      </c>
      <c r="AP295">
        <v>56.67</v>
      </c>
    </row>
    <row r="296" spans="1:42">
      <c r="A296">
        <v>295</v>
      </c>
      <c r="B296" t="str">
        <f>"300347"</f>
        <v>300347</v>
      </c>
      <c r="C296" t="s">
        <v>2618</v>
      </c>
      <c r="D296">
        <v>62.35</v>
      </c>
      <c r="E296">
        <v>0.39</v>
      </c>
      <c r="F296">
        <v>0.24</v>
      </c>
      <c r="G296" t="s">
        <v>2619</v>
      </c>
      <c r="H296">
        <v>1457</v>
      </c>
      <c r="I296">
        <v>62.34</v>
      </c>
      <c r="J296">
        <v>62.35</v>
      </c>
      <c r="K296" t="s">
        <v>2613</v>
      </c>
      <c r="L296">
        <v>1.51</v>
      </c>
      <c r="M296" t="s">
        <v>46</v>
      </c>
      <c r="N296" t="s">
        <v>2620</v>
      </c>
      <c r="O296">
        <v>62.58</v>
      </c>
      <c r="P296">
        <v>60.75</v>
      </c>
      <c r="Q296">
        <v>62.11</v>
      </c>
      <c r="R296">
        <v>62.11</v>
      </c>
      <c r="S296">
        <v>2.95</v>
      </c>
      <c r="T296">
        <v>1.01</v>
      </c>
      <c r="U296">
        <v>7.46</v>
      </c>
      <c r="V296">
        <v>34</v>
      </c>
      <c r="W296">
        <v>61.66</v>
      </c>
      <c r="X296" t="s">
        <v>2621</v>
      </c>
      <c r="Y296" t="s">
        <v>456</v>
      </c>
      <c r="Z296">
        <v>0.96</v>
      </c>
      <c r="AA296">
        <v>24</v>
      </c>
      <c r="AB296">
        <v>131</v>
      </c>
      <c r="AC296">
        <v>2.58</v>
      </c>
      <c r="AD296" t="s">
        <v>2622</v>
      </c>
      <c r="AE296" t="s">
        <v>2623</v>
      </c>
      <c r="AF296" t="s">
        <v>2624</v>
      </c>
      <c r="AG296" t="s">
        <v>71</v>
      </c>
      <c r="AH296">
        <v>-2.15</v>
      </c>
      <c r="AI296">
        <v>-4.3</v>
      </c>
      <c r="AJ296">
        <v>3.84</v>
      </c>
      <c r="AK296">
        <v>9</v>
      </c>
      <c r="AL296">
        <v>1</v>
      </c>
      <c r="AM296">
        <v>0.39</v>
      </c>
      <c r="AN296">
        <v>-40.19</v>
      </c>
      <c r="AO296">
        <v>-7.22</v>
      </c>
      <c r="AP296">
        <v>-33.49</v>
      </c>
    </row>
    <row r="297" spans="1:42">
      <c r="A297">
        <v>296</v>
      </c>
      <c r="B297" t="str">
        <f>"300803"</f>
        <v>300803</v>
      </c>
      <c r="C297" t="s">
        <v>2625</v>
      </c>
      <c r="D297">
        <v>59.19</v>
      </c>
      <c r="E297">
        <v>2.19</v>
      </c>
      <c r="F297">
        <v>1.27</v>
      </c>
      <c r="G297" t="s">
        <v>2131</v>
      </c>
      <c r="H297">
        <v>789</v>
      </c>
      <c r="I297">
        <v>59.19</v>
      </c>
      <c r="J297">
        <v>59.2</v>
      </c>
      <c r="K297" t="s">
        <v>2626</v>
      </c>
      <c r="L297">
        <v>2.22</v>
      </c>
      <c r="M297" t="s">
        <v>46</v>
      </c>
      <c r="N297" t="s">
        <v>2627</v>
      </c>
      <c r="O297">
        <v>59.75</v>
      </c>
      <c r="P297">
        <v>57.51</v>
      </c>
      <c r="Q297">
        <v>58.2</v>
      </c>
      <c r="R297">
        <v>57.92</v>
      </c>
      <c r="S297">
        <v>3.87</v>
      </c>
      <c r="T297">
        <v>1.45</v>
      </c>
      <c r="U297">
        <v>-35.85</v>
      </c>
      <c r="V297">
        <v>-237</v>
      </c>
      <c r="W297">
        <v>58.7</v>
      </c>
      <c r="X297" t="s">
        <v>2628</v>
      </c>
      <c r="Y297" t="s">
        <v>2629</v>
      </c>
      <c r="Z297">
        <v>0.53</v>
      </c>
      <c r="AA297">
        <v>5</v>
      </c>
      <c r="AB297">
        <v>246</v>
      </c>
      <c r="AC297">
        <v>13.83</v>
      </c>
      <c r="AD297" t="s">
        <v>2630</v>
      </c>
      <c r="AE297" t="s">
        <v>2631</v>
      </c>
      <c r="AF297" t="s">
        <v>2632</v>
      </c>
      <c r="AG297" t="s">
        <v>2633</v>
      </c>
      <c r="AH297">
        <v>4.06</v>
      </c>
      <c r="AI297">
        <v>-0.27</v>
      </c>
      <c r="AJ297">
        <v>5.36</v>
      </c>
      <c r="AK297">
        <v>9.89</v>
      </c>
      <c r="AL297">
        <v>4</v>
      </c>
      <c r="AM297">
        <v>2.19</v>
      </c>
      <c r="AN297">
        <v>29.46</v>
      </c>
      <c r="AO297">
        <v>6.08</v>
      </c>
      <c r="AP297">
        <v>19.21</v>
      </c>
    </row>
    <row r="298" spans="1:42">
      <c r="A298">
        <v>297</v>
      </c>
      <c r="B298" t="str">
        <f>"301558"</f>
        <v>301558</v>
      </c>
      <c r="C298" t="s">
        <v>2634</v>
      </c>
      <c r="D298">
        <v>15.48</v>
      </c>
      <c r="E298">
        <v>7.05</v>
      </c>
      <c r="F298">
        <v>1.02</v>
      </c>
      <c r="G298" t="s">
        <v>1823</v>
      </c>
      <c r="H298">
        <v>7403</v>
      </c>
      <c r="I298">
        <v>15.48</v>
      </c>
      <c r="J298">
        <v>15.49</v>
      </c>
      <c r="K298" t="s">
        <v>2635</v>
      </c>
      <c r="L298">
        <v>31.6</v>
      </c>
      <c r="M298" t="s">
        <v>46</v>
      </c>
      <c r="N298" t="s">
        <v>2636</v>
      </c>
      <c r="O298">
        <v>15.58</v>
      </c>
      <c r="P298">
        <v>14.32</v>
      </c>
      <c r="Q298">
        <v>14.32</v>
      </c>
      <c r="R298">
        <v>14.46</v>
      </c>
      <c r="S298">
        <v>8.71</v>
      </c>
      <c r="T298">
        <v>2.07</v>
      </c>
      <c r="U298">
        <v>-37.36</v>
      </c>
      <c r="V298">
        <v>-2643</v>
      </c>
      <c r="W298">
        <v>14.98</v>
      </c>
      <c r="X298" t="s">
        <v>784</v>
      </c>
      <c r="Y298" t="s">
        <v>553</v>
      </c>
      <c r="Z298">
        <v>0.65</v>
      </c>
      <c r="AA298">
        <v>1474</v>
      </c>
      <c r="AB298">
        <v>2118</v>
      </c>
      <c r="AC298">
        <v>8.76</v>
      </c>
      <c r="AD298" t="s">
        <v>2637</v>
      </c>
      <c r="AE298" t="s">
        <v>911</v>
      </c>
      <c r="AF298" t="s">
        <v>2638</v>
      </c>
      <c r="AG298" t="s">
        <v>2639</v>
      </c>
      <c r="AH298">
        <v>8.4</v>
      </c>
      <c r="AI298">
        <v>1.84</v>
      </c>
      <c r="AJ298">
        <v>60.1</v>
      </c>
      <c r="AK298">
        <v>108.08</v>
      </c>
      <c r="AL298">
        <v>2</v>
      </c>
      <c r="AM298">
        <v>7.05</v>
      </c>
      <c r="AN298">
        <v>111.19</v>
      </c>
      <c r="AO298">
        <v>12.75</v>
      </c>
      <c r="AP298">
        <v>111.19</v>
      </c>
    </row>
    <row r="299" spans="1:42">
      <c r="A299">
        <v>298</v>
      </c>
      <c r="B299" t="str">
        <f>"601006"</f>
        <v>601006</v>
      </c>
      <c r="C299" t="s">
        <v>2640</v>
      </c>
      <c r="D299">
        <v>7.3</v>
      </c>
      <c r="E299">
        <v>0.55</v>
      </c>
      <c r="F299">
        <v>0.04</v>
      </c>
      <c r="G299" t="s">
        <v>2283</v>
      </c>
      <c r="H299">
        <v>2336</v>
      </c>
      <c r="I299">
        <v>7.3</v>
      </c>
      <c r="J299">
        <v>7.31</v>
      </c>
      <c r="K299" t="s">
        <v>2641</v>
      </c>
      <c r="L299">
        <v>0.46</v>
      </c>
      <c r="M299" t="s">
        <v>46</v>
      </c>
      <c r="N299" t="s">
        <v>2642</v>
      </c>
      <c r="O299">
        <v>7.34</v>
      </c>
      <c r="P299">
        <v>7.24</v>
      </c>
      <c r="Q299">
        <v>7.26</v>
      </c>
      <c r="R299">
        <v>7.26</v>
      </c>
      <c r="S299">
        <v>1.38</v>
      </c>
      <c r="T299">
        <v>1.86</v>
      </c>
      <c r="U299">
        <v>-56.19</v>
      </c>
      <c r="V299" t="s">
        <v>2643</v>
      </c>
      <c r="W299">
        <v>7.31</v>
      </c>
      <c r="X299" t="s">
        <v>1032</v>
      </c>
      <c r="Y299" t="s">
        <v>1621</v>
      </c>
      <c r="Z299">
        <v>0.58</v>
      </c>
      <c r="AA299">
        <v>4986</v>
      </c>
      <c r="AB299">
        <v>430</v>
      </c>
      <c r="AC299">
        <v>0.85</v>
      </c>
      <c r="AD299" t="s">
        <v>2644</v>
      </c>
      <c r="AE299" t="s">
        <v>2645</v>
      </c>
      <c r="AF299" t="s">
        <v>2644</v>
      </c>
      <c r="AG299" t="s">
        <v>2645</v>
      </c>
      <c r="AH299">
        <v>1.96</v>
      </c>
      <c r="AI299">
        <v>2.96</v>
      </c>
      <c r="AJ299">
        <v>1.11</v>
      </c>
      <c r="AK299">
        <v>1.71</v>
      </c>
      <c r="AL299">
        <v>4</v>
      </c>
      <c r="AM299">
        <v>0.55</v>
      </c>
      <c r="AN299">
        <v>17.74</v>
      </c>
      <c r="AO299">
        <v>1.81</v>
      </c>
      <c r="AP299">
        <v>18.7</v>
      </c>
    </row>
    <row r="300" spans="1:42">
      <c r="A300">
        <v>299</v>
      </c>
      <c r="B300" t="str">
        <f>"688652"</f>
        <v>688652</v>
      </c>
      <c r="C300" t="s">
        <v>2646</v>
      </c>
      <c r="D300">
        <v>50.55</v>
      </c>
      <c r="E300">
        <v>0.8</v>
      </c>
      <c r="F300">
        <v>0.4</v>
      </c>
      <c r="G300" t="s">
        <v>1499</v>
      </c>
      <c r="H300">
        <v>1175</v>
      </c>
      <c r="I300">
        <v>50.55</v>
      </c>
      <c r="J300">
        <v>50.56</v>
      </c>
      <c r="K300" t="s">
        <v>2647</v>
      </c>
      <c r="L300">
        <v>26.91</v>
      </c>
      <c r="M300" t="s">
        <v>46</v>
      </c>
      <c r="N300" t="s">
        <v>2648</v>
      </c>
      <c r="O300">
        <v>52.17</v>
      </c>
      <c r="P300">
        <v>49.3</v>
      </c>
      <c r="Q300">
        <v>49.55</v>
      </c>
      <c r="R300">
        <v>50.15</v>
      </c>
      <c r="S300">
        <v>5.72</v>
      </c>
      <c r="T300">
        <v>0.47</v>
      </c>
      <c r="U300">
        <v>70.17</v>
      </c>
      <c r="V300">
        <v>301</v>
      </c>
      <c r="W300">
        <v>51.06</v>
      </c>
      <c r="X300" t="s">
        <v>2649</v>
      </c>
      <c r="Y300" t="s">
        <v>2650</v>
      </c>
      <c r="Z300">
        <v>1.12</v>
      </c>
      <c r="AA300">
        <v>205</v>
      </c>
      <c r="AB300">
        <v>14</v>
      </c>
      <c r="AC300">
        <v>4.4</v>
      </c>
      <c r="AD300" t="s">
        <v>2651</v>
      </c>
      <c r="AE300" t="s">
        <v>2652</v>
      </c>
      <c r="AF300" t="s">
        <v>2653</v>
      </c>
      <c r="AG300" t="s">
        <v>2654</v>
      </c>
      <c r="AH300">
        <v>58.22</v>
      </c>
      <c r="AI300">
        <v>58.22</v>
      </c>
      <c r="AJ300">
        <v>141.63</v>
      </c>
      <c r="AK300">
        <v>141.63</v>
      </c>
      <c r="AL300">
        <v>1</v>
      </c>
      <c r="AM300">
        <v>0.8</v>
      </c>
      <c r="AN300">
        <v>58.22</v>
      </c>
      <c r="AO300">
        <v>58.22</v>
      </c>
      <c r="AP300">
        <v>58.22</v>
      </c>
    </row>
    <row r="301" spans="1:42">
      <c r="A301">
        <v>300</v>
      </c>
      <c r="B301" t="str">
        <f>"300242"</f>
        <v>300242</v>
      </c>
      <c r="C301" t="s">
        <v>2655</v>
      </c>
      <c r="D301">
        <v>4.77</v>
      </c>
      <c r="E301">
        <v>5.07</v>
      </c>
      <c r="F301">
        <v>0.23</v>
      </c>
      <c r="G301" t="s">
        <v>545</v>
      </c>
      <c r="H301" t="s">
        <v>2371</v>
      </c>
      <c r="I301">
        <v>4.77</v>
      </c>
      <c r="J301">
        <v>4.78</v>
      </c>
      <c r="K301" t="s">
        <v>2647</v>
      </c>
      <c r="L301">
        <v>17.64</v>
      </c>
      <c r="M301" t="s">
        <v>46</v>
      </c>
      <c r="N301" t="s">
        <v>2656</v>
      </c>
      <c r="O301">
        <v>4.81</v>
      </c>
      <c r="P301">
        <v>4.48</v>
      </c>
      <c r="Q301">
        <v>4.49</v>
      </c>
      <c r="R301">
        <v>4.54</v>
      </c>
      <c r="S301">
        <v>7.27</v>
      </c>
      <c r="T301">
        <v>1.29</v>
      </c>
      <c r="U301">
        <v>-1.93</v>
      </c>
      <c r="V301">
        <v>-607</v>
      </c>
      <c r="W301">
        <v>4.68</v>
      </c>
      <c r="X301" t="s">
        <v>2657</v>
      </c>
      <c r="Y301" t="s">
        <v>2658</v>
      </c>
      <c r="Z301">
        <v>0.77</v>
      </c>
      <c r="AA301">
        <v>1174</v>
      </c>
      <c r="AB301">
        <v>2663</v>
      </c>
      <c r="AC301">
        <v>6.96</v>
      </c>
      <c r="AD301" t="s">
        <v>2659</v>
      </c>
      <c r="AE301" t="s">
        <v>2660</v>
      </c>
      <c r="AF301" t="s">
        <v>2661</v>
      </c>
      <c r="AG301" t="s">
        <v>2662</v>
      </c>
      <c r="AH301">
        <v>6</v>
      </c>
      <c r="AI301">
        <v>-3.05</v>
      </c>
      <c r="AJ301">
        <v>39.48</v>
      </c>
      <c r="AK301">
        <v>85.95</v>
      </c>
      <c r="AL301">
        <v>2</v>
      </c>
      <c r="AM301">
        <v>5.07</v>
      </c>
      <c r="AN301">
        <v>40.29</v>
      </c>
      <c r="AO301">
        <v>36.68</v>
      </c>
      <c r="AP301">
        <v>45.43</v>
      </c>
    </row>
    <row r="302" spans="1:42">
      <c r="A302">
        <v>301</v>
      </c>
      <c r="B302" t="str">
        <f>"301039"</f>
        <v>301039</v>
      </c>
      <c r="C302" t="s">
        <v>2663</v>
      </c>
      <c r="D302">
        <v>10.71</v>
      </c>
      <c r="E302">
        <v>-3.6</v>
      </c>
      <c r="F302">
        <v>-0.4</v>
      </c>
      <c r="G302" t="s">
        <v>2664</v>
      </c>
      <c r="H302">
        <v>4809</v>
      </c>
      <c r="I302">
        <v>10.71</v>
      </c>
      <c r="J302">
        <v>10.72</v>
      </c>
      <c r="K302" t="s">
        <v>2665</v>
      </c>
      <c r="L302">
        <v>6.62</v>
      </c>
      <c r="M302" t="s">
        <v>46</v>
      </c>
      <c r="N302" t="s">
        <v>2666</v>
      </c>
      <c r="O302">
        <v>11.06</v>
      </c>
      <c r="P302">
        <v>10.66</v>
      </c>
      <c r="Q302">
        <v>11.01</v>
      </c>
      <c r="R302">
        <v>11.11</v>
      </c>
      <c r="S302">
        <v>3.6</v>
      </c>
      <c r="T302">
        <v>1.18</v>
      </c>
      <c r="U302">
        <v>75.37</v>
      </c>
      <c r="V302" t="s">
        <v>2667</v>
      </c>
      <c r="W302">
        <v>10.77</v>
      </c>
      <c r="X302" t="s">
        <v>2668</v>
      </c>
      <c r="Y302" t="s">
        <v>797</v>
      </c>
      <c r="Z302">
        <v>1.68</v>
      </c>
      <c r="AA302">
        <v>2465</v>
      </c>
      <c r="AB302">
        <v>1051</v>
      </c>
      <c r="AC302">
        <v>1.48</v>
      </c>
      <c r="AD302" t="s">
        <v>2669</v>
      </c>
      <c r="AE302" t="s">
        <v>2670</v>
      </c>
      <c r="AF302" t="s">
        <v>2671</v>
      </c>
      <c r="AG302" t="s">
        <v>2672</v>
      </c>
      <c r="AH302">
        <v>4.28</v>
      </c>
      <c r="AI302">
        <v>2</v>
      </c>
      <c r="AJ302">
        <v>25.3</v>
      </c>
      <c r="AK302">
        <v>30.61</v>
      </c>
      <c r="AL302">
        <v>-1</v>
      </c>
      <c r="AM302">
        <v>-3.6</v>
      </c>
      <c r="AN302">
        <v>39.63</v>
      </c>
      <c r="AO302">
        <v>4.79</v>
      </c>
      <c r="AP302">
        <v>31.25</v>
      </c>
    </row>
    <row r="303" spans="1:42">
      <c r="A303">
        <v>302</v>
      </c>
      <c r="B303" t="str">
        <f>"301262"</f>
        <v>301262</v>
      </c>
      <c r="C303" t="s">
        <v>2673</v>
      </c>
      <c r="D303">
        <v>37.02</v>
      </c>
      <c r="E303">
        <v>2.61</v>
      </c>
      <c r="F303">
        <v>0.94</v>
      </c>
      <c r="G303" t="s">
        <v>960</v>
      </c>
      <c r="H303">
        <v>2101</v>
      </c>
      <c r="I303">
        <v>37.02</v>
      </c>
      <c r="J303">
        <v>37.03</v>
      </c>
      <c r="K303" t="s">
        <v>2665</v>
      </c>
      <c r="L303">
        <v>35.67</v>
      </c>
      <c r="M303" t="s">
        <v>46</v>
      </c>
      <c r="N303" t="s">
        <v>1906</v>
      </c>
      <c r="O303">
        <v>38.18</v>
      </c>
      <c r="P303">
        <v>35.15</v>
      </c>
      <c r="Q303">
        <v>35.22</v>
      </c>
      <c r="R303">
        <v>36.08</v>
      </c>
      <c r="S303">
        <v>8.4</v>
      </c>
      <c r="T303">
        <v>0.95</v>
      </c>
      <c r="U303">
        <v>73.09</v>
      </c>
      <c r="V303">
        <v>478</v>
      </c>
      <c r="W303">
        <v>37.02</v>
      </c>
      <c r="X303" t="s">
        <v>2674</v>
      </c>
      <c r="Y303" t="s">
        <v>2675</v>
      </c>
      <c r="Z303">
        <v>0.96</v>
      </c>
      <c r="AA303">
        <v>66</v>
      </c>
      <c r="AB303">
        <v>51</v>
      </c>
      <c r="AC303">
        <v>4.22</v>
      </c>
      <c r="AD303" t="s">
        <v>2676</v>
      </c>
      <c r="AE303" t="s">
        <v>2677</v>
      </c>
      <c r="AF303" t="s">
        <v>2678</v>
      </c>
      <c r="AG303" t="s">
        <v>2679</v>
      </c>
      <c r="AH303">
        <v>1.15</v>
      </c>
      <c r="AI303">
        <v>-2.58</v>
      </c>
      <c r="AJ303">
        <v>100.98</v>
      </c>
      <c r="AK303">
        <v>222.73</v>
      </c>
      <c r="AL303">
        <v>2</v>
      </c>
      <c r="AM303">
        <v>2.61</v>
      </c>
      <c r="AN303">
        <v>26.05</v>
      </c>
      <c r="AO303">
        <v>37.06</v>
      </c>
      <c r="AP303">
        <v>26.05</v>
      </c>
    </row>
    <row r="304" spans="1:42">
      <c r="A304">
        <v>303</v>
      </c>
      <c r="B304" t="str">
        <f>"002192"</f>
        <v>002192</v>
      </c>
      <c r="C304" t="s">
        <v>2680</v>
      </c>
      <c r="D304">
        <v>52.25</v>
      </c>
      <c r="E304">
        <v>3.28</v>
      </c>
      <c r="F304">
        <v>1.66</v>
      </c>
      <c r="G304" t="s">
        <v>2681</v>
      </c>
      <c r="H304">
        <v>917</v>
      </c>
      <c r="I304">
        <v>52.25</v>
      </c>
      <c r="J304">
        <v>52.26</v>
      </c>
      <c r="K304" t="s">
        <v>2682</v>
      </c>
      <c r="L304">
        <v>3.86</v>
      </c>
      <c r="M304" t="s">
        <v>46</v>
      </c>
      <c r="N304" t="s">
        <v>2683</v>
      </c>
      <c r="O304">
        <v>53.5</v>
      </c>
      <c r="P304">
        <v>49.92</v>
      </c>
      <c r="Q304">
        <v>50.72</v>
      </c>
      <c r="R304">
        <v>50.59</v>
      </c>
      <c r="S304">
        <v>7.08</v>
      </c>
      <c r="T304">
        <v>1.81</v>
      </c>
      <c r="U304">
        <v>-60.2</v>
      </c>
      <c r="V304">
        <v>-495</v>
      </c>
      <c r="W304">
        <v>51.45</v>
      </c>
      <c r="X304" t="s">
        <v>2684</v>
      </c>
      <c r="Y304" t="s">
        <v>2685</v>
      </c>
      <c r="Z304">
        <v>0.75</v>
      </c>
      <c r="AA304">
        <v>37</v>
      </c>
      <c r="AB304">
        <v>41</v>
      </c>
      <c r="AC304">
        <v>4.24</v>
      </c>
      <c r="AD304" t="s">
        <v>2686</v>
      </c>
      <c r="AE304" t="s">
        <v>2687</v>
      </c>
      <c r="AF304" t="s">
        <v>2688</v>
      </c>
      <c r="AG304" t="s">
        <v>2689</v>
      </c>
      <c r="AH304">
        <v>-0.95</v>
      </c>
      <c r="AI304">
        <v>-1.23</v>
      </c>
      <c r="AJ304">
        <v>7.32</v>
      </c>
      <c r="AK304">
        <v>14.51</v>
      </c>
      <c r="AL304">
        <v>1</v>
      </c>
      <c r="AM304">
        <v>3.28</v>
      </c>
      <c r="AN304">
        <v>-46.09</v>
      </c>
      <c r="AO304">
        <v>-3.72</v>
      </c>
      <c r="AP304">
        <v>-54.29</v>
      </c>
    </row>
    <row r="305" spans="1:42">
      <c r="A305">
        <v>304</v>
      </c>
      <c r="B305" t="str">
        <f>"300782"</f>
        <v>300782</v>
      </c>
      <c r="C305" t="s">
        <v>2690</v>
      </c>
      <c r="D305">
        <v>138.05</v>
      </c>
      <c r="E305">
        <v>-0.32</v>
      </c>
      <c r="F305">
        <v>-0.45</v>
      </c>
      <c r="G305" t="s">
        <v>2691</v>
      </c>
      <c r="H305">
        <v>437</v>
      </c>
      <c r="I305">
        <v>138.02</v>
      </c>
      <c r="J305">
        <v>138.05</v>
      </c>
      <c r="K305" t="s">
        <v>2692</v>
      </c>
      <c r="L305">
        <v>0.84</v>
      </c>
      <c r="M305" t="s">
        <v>46</v>
      </c>
      <c r="N305" t="s">
        <v>2693</v>
      </c>
      <c r="O305">
        <v>139.36</v>
      </c>
      <c r="P305">
        <v>136.01</v>
      </c>
      <c r="Q305">
        <v>139</v>
      </c>
      <c r="R305">
        <v>138.5</v>
      </c>
      <c r="S305">
        <v>2.42</v>
      </c>
      <c r="T305">
        <v>0.83</v>
      </c>
      <c r="U305">
        <v>-55.69</v>
      </c>
      <c r="V305">
        <v>-140</v>
      </c>
      <c r="W305">
        <v>137.29</v>
      </c>
      <c r="X305" t="s">
        <v>325</v>
      </c>
      <c r="Y305" t="s">
        <v>2694</v>
      </c>
      <c r="Z305">
        <v>0.96</v>
      </c>
      <c r="AA305">
        <v>10</v>
      </c>
      <c r="AB305">
        <v>161</v>
      </c>
      <c r="AC305">
        <v>7.78</v>
      </c>
      <c r="AD305" t="s">
        <v>2695</v>
      </c>
      <c r="AE305" t="s">
        <v>2696</v>
      </c>
      <c r="AF305" t="s">
        <v>2697</v>
      </c>
      <c r="AG305" t="s">
        <v>2698</v>
      </c>
      <c r="AH305">
        <v>2.61</v>
      </c>
      <c r="AI305">
        <v>0.17</v>
      </c>
      <c r="AJ305">
        <v>3.35</v>
      </c>
      <c r="AK305">
        <v>5.9</v>
      </c>
      <c r="AL305">
        <v>-2</v>
      </c>
      <c r="AM305">
        <v>-0.32</v>
      </c>
      <c r="AN305">
        <v>20.96</v>
      </c>
      <c r="AO305">
        <v>-4.96</v>
      </c>
      <c r="AP305">
        <v>17.81</v>
      </c>
    </row>
    <row r="306" spans="1:42">
      <c r="A306">
        <v>305</v>
      </c>
      <c r="B306" t="str">
        <f>"600155"</f>
        <v>600155</v>
      </c>
      <c r="C306" t="s">
        <v>2699</v>
      </c>
      <c r="D306">
        <v>9.03</v>
      </c>
      <c r="E306">
        <v>2.15</v>
      </c>
      <c r="F306">
        <v>0.19</v>
      </c>
      <c r="G306" t="s">
        <v>132</v>
      </c>
      <c r="H306">
        <v>7169</v>
      </c>
      <c r="I306">
        <v>9.03</v>
      </c>
      <c r="J306">
        <v>9.04</v>
      </c>
      <c r="K306" t="s">
        <v>2700</v>
      </c>
      <c r="L306">
        <v>2.5</v>
      </c>
      <c r="M306" t="s">
        <v>46</v>
      </c>
      <c r="N306" t="s">
        <v>67</v>
      </c>
      <c r="O306">
        <v>9.08</v>
      </c>
      <c r="P306">
        <v>8.84</v>
      </c>
      <c r="Q306">
        <v>8.85</v>
      </c>
      <c r="R306">
        <v>8.84</v>
      </c>
      <c r="S306">
        <v>2.71</v>
      </c>
      <c r="T306">
        <v>1.13</v>
      </c>
      <c r="U306">
        <v>-35.49</v>
      </c>
      <c r="V306" t="s">
        <v>2701</v>
      </c>
      <c r="W306">
        <v>8.99</v>
      </c>
      <c r="X306" t="s">
        <v>291</v>
      </c>
      <c r="Y306" t="s">
        <v>478</v>
      </c>
      <c r="Z306">
        <v>0.68</v>
      </c>
      <c r="AA306">
        <v>4268</v>
      </c>
      <c r="AB306">
        <v>2720</v>
      </c>
      <c r="AC306">
        <v>1.04</v>
      </c>
      <c r="AD306" t="s">
        <v>2702</v>
      </c>
      <c r="AE306" t="s">
        <v>1713</v>
      </c>
      <c r="AF306" t="s">
        <v>2702</v>
      </c>
      <c r="AG306" t="s">
        <v>1713</v>
      </c>
      <c r="AH306">
        <v>-0.99</v>
      </c>
      <c r="AI306">
        <v>-2.59</v>
      </c>
      <c r="AJ306">
        <v>7.07</v>
      </c>
      <c r="AK306">
        <v>13.58</v>
      </c>
      <c r="AL306">
        <v>1</v>
      </c>
      <c r="AM306">
        <v>2.15</v>
      </c>
      <c r="AN306">
        <v>38.92</v>
      </c>
      <c r="AO306">
        <v>-4.04</v>
      </c>
      <c r="AP306">
        <v>25.77</v>
      </c>
    </row>
    <row r="307" spans="1:42">
      <c r="A307">
        <v>306</v>
      </c>
      <c r="B307" t="str">
        <f>"002714"</f>
        <v>002714</v>
      </c>
      <c r="C307" t="s">
        <v>2703</v>
      </c>
      <c r="D307">
        <v>38.58</v>
      </c>
      <c r="E307">
        <v>-1.28</v>
      </c>
      <c r="F307">
        <v>-0.5</v>
      </c>
      <c r="G307" t="s">
        <v>1987</v>
      </c>
      <c r="H307">
        <v>1226</v>
      </c>
      <c r="I307">
        <v>38.58</v>
      </c>
      <c r="J307">
        <v>38.59</v>
      </c>
      <c r="K307" t="s">
        <v>2700</v>
      </c>
      <c r="L307">
        <v>0.36</v>
      </c>
      <c r="M307" t="s">
        <v>46</v>
      </c>
      <c r="N307" t="s">
        <v>2704</v>
      </c>
      <c r="O307">
        <v>39.08</v>
      </c>
      <c r="P307">
        <v>38.51</v>
      </c>
      <c r="Q307">
        <v>39.08</v>
      </c>
      <c r="R307">
        <v>39.08</v>
      </c>
      <c r="S307">
        <v>1.46</v>
      </c>
      <c r="T307">
        <v>0.65</v>
      </c>
      <c r="U307">
        <v>-21.67</v>
      </c>
      <c r="V307">
        <v>-370</v>
      </c>
      <c r="W307">
        <v>38.76</v>
      </c>
      <c r="X307" t="s">
        <v>2568</v>
      </c>
      <c r="Y307" t="s">
        <v>2705</v>
      </c>
      <c r="Z307">
        <v>1.08</v>
      </c>
      <c r="AA307">
        <v>307</v>
      </c>
      <c r="AB307">
        <v>572</v>
      </c>
      <c r="AC307">
        <v>3.28</v>
      </c>
      <c r="AD307" t="s">
        <v>2706</v>
      </c>
      <c r="AE307" t="s">
        <v>2707</v>
      </c>
      <c r="AF307" t="s">
        <v>2708</v>
      </c>
      <c r="AG307" t="s">
        <v>2709</v>
      </c>
      <c r="AH307">
        <v>-0.52</v>
      </c>
      <c r="AI307">
        <v>0.23</v>
      </c>
      <c r="AJ307">
        <v>1.17</v>
      </c>
      <c r="AK307">
        <v>3.11</v>
      </c>
      <c r="AL307">
        <v>-1</v>
      </c>
      <c r="AM307">
        <v>-1.28</v>
      </c>
      <c r="AN307">
        <v>-19.64</v>
      </c>
      <c r="AO307">
        <v>0.97</v>
      </c>
      <c r="AP307">
        <v>-16.22</v>
      </c>
    </row>
    <row r="308" spans="1:42">
      <c r="A308">
        <v>307</v>
      </c>
      <c r="B308" t="str">
        <f>"002131"</f>
        <v>002131</v>
      </c>
      <c r="C308" t="s">
        <v>2710</v>
      </c>
      <c r="D308">
        <v>2.39</v>
      </c>
      <c r="E308">
        <v>4.82</v>
      </c>
      <c r="F308">
        <v>0.11</v>
      </c>
      <c r="G308" t="s">
        <v>681</v>
      </c>
      <c r="H308" t="s">
        <v>2694</v>
      </c>
      <c r="I308">
        <v>2.38</v>
      </c>
      <c r="J308">
        <v>2.39</v>
      </c>
      <c r="K308" t="s">
        <v>2711</v>
      </c>
      <c r="L308">
        <v>3.69</v>
      </c>
      <c r="M308" t="s">
        <v>46</v>
      </c>
      <c r="N308" t="s">
        <v>2712</v>
      </c>
      <c r="O308">
        <v>2.4</v>
      </c>
      <c r="P308">
        <v>2.27</v>
      </c>
      <c r="Q308">
        <v>2.28</v>
      </c>
      <c r="R308">
        <v>2.28</v>
      </c>
      <c r="S308">
        <v>5.7</v>
      </c>
      <c r="T308">
        <v>1.78</v>
      </c>
      <c r="U308">
        <v>-17.7</v>
      </c>
      <c r="V308" t="s">
        <v>2713</v>
      </c>
      <c r="W308">
        <v>2.35</v>
      </c>
      <c r="X308" t="s">
        <v>2714</v>
      </c>
      <c r="Y308" t="s">
        <v>2715</v>
      </c>
      <c r="Z308">
        <v>0.43</v>
      </c>
      <c r="AA308" t="s">
        <v>837</v>
      </c>
      <c r="AB308" t="s">
        <v>2716</v>
      </c>
      <c r="AC308">
        <v>1.17</v>
      </c>
      <c r="AD308" t="s">
        <v>2717</v>
      </c>
      <c r="AE308" t="s">
        <v>2718</v>
      </c>
      <c r="AF308" t="s">
        <v>2719</v>
      </c>
      <c r="AG308" t="s">
        <v>2720</v>
      </c>
      <c r="AH308">
        <v>3.02</v>
      </c>
      <c r="AI308">
        <v>0</v>
      </c>
      <c r="AJ308">
        <v>7.58</v>
      </c>
      <c r="AK308">
        <v>14.09</v>
      </c>
      <c r="AL308">
        <v>1</v>
      </c>
      <c r="AM308">
        <v>4.82</v>
      </c>
      <c r="AN308">
        <v>35.03</v>
      </c>
      <c r="AO308">
        <v>5.29</v>
      </c>
      <c r="AP308">
        <v>30.6</v>
      </c>
    </row>
    <row r="309" spans="1:42">
      <c r="A309">
        <v>308</v>
      </c>
      <c r="B309" t="str">
        <f>"000536"</f>
        <v>000536</v>
      </c>
      <c r="C309" t="s">
        <v>2721</v>
      </c>
      <c r="D309">
        <v>3.74</v>
      </c>
      <c r="E309">
        <v>0.27</v>
      </c>
      <c r="F309">
        <v>0.01</v>
      </c>
      <c r="G309" t="s">
        <v>2722</v>
      </c>
      <c r="H309" t="s">
        <v>2723</v>
      </c>
      <c r="I309">
        <v>3.74</v>
      </c>
      <c r="J309">
        <v>3.75</v>
      </c>
      <c r="K309" t="s">
        <v>2724</v>
      </c>
      <c r="L309">
        <v>4.97</v>
      </c>
      <c r="M309" t="s">
        <v>46</v>
      </c>
      <c r="N309" t="s">
        <v>2725</v>
      </c>
      <c r="O309">
        <v>3.76</v>
      </c>
      <c r="P309">
        <v>3.54</v>
      </c>
      <c r="Q309">
        <v>3.68</v>
      </c>
      <c r="R309">
        <v>3.73</v>
      </c>
      <c r="S309">
        <v>5.9</v>
      </c>
      <c r="T309">
        <v>0.44</v>
      </c>
      <c r="U309">
        <v>10.58</v>
      </c>
      <c r="V309" t="s">
        <v>1777</v>
      </c>
      <c r="W309">
        <v>3.68</v>
      </c>
      <c r="X309" t="s">
        <v>2726</v>
      </c>
      <c r="Y309" t="s">
        <v>2726</v>
      </c>
      <c r="Z309">
        <v>1</v>
      </c>
      <c r="AA309">
        <v>2548</v>
      </c>
      <c r="AB309" t="s">
        <v>2727</v>
      </c>
      <c r="AC309">
        <v>3.52</v>
      </c>
      <c r="AD309" t="s">
        <v>2728</v>
      </c>
      <c r="AE309" t="s">
        <v>2729</v>
      </c>
      <c r="AF309" t="s">
        <v>2730</v>
      </c>
      <c r="AG309" t="s">
        <v>2731</v>
      </c>
      <c r="AH309">
        <v>-9.22</v>
      </c>
      <c r="AI309">
        <v>-13.43</v>
      </c>
      <c r="AJ309">
        <v>19.1</v>
      </c>
      <c r="AK309">
        <v>61.51</v>
      </c>
      <c r="AL309">
        <v>1</v>
      </c>
      <c r="AM309">
        <v>0.27</v>
      </c>
      <c r="AN309">
        <v>98.94</v>
      </c>
      <c r="AO309">
        <v>1.36</v>
      </c>
      <c r="AP309">
        <v>81.55</v>
      </c>
    </row>
    <row r="310" spans="1:42">
      <c r="A310">
        <v>309</v>
      </c>
      <c r="B310" t="str">
        <f>"600129"</f>
        <v>600129</v>
      </c>
      <c r="C310" t="s">
        <v>2732</v>
      </c>
      <c r="D310">
        <v>50.85</v>
      </c>
      <c r="E310">
        <v>-1.42</v>
      </c>
      <c r="F310">
        <v>-0.73</v>
      </c>
      <c r="G310" t="s">
        <v>2681</v>
      </c>
      <c r="H310">
        <v>952</v>
      </c>
      <c r="I310">
        <v>50.84</v>
      </c>
      <c r="J310">
        <v>50.85</v>
      </c>
      <c r="K310" t="s">
        <v>2733</v>
      </c>
      <c r="L310">
        <v>1.8</v>
      </c>
      <c r="M310" t="s">
        <v>46</v>
      </c>
      <c r="N310" t="s">
        <v>2734</v>
      </c>
      <c r="O310">
        <v>51.35</v>
      </c>
      <c r="P310">
        <v>49.9</v>
      </c>
      <c r="Q310">
        <v>50.2</v>
      </c>
      <c r="R310">
        <v>51.58</v>
      </c>
      <c r="S310">
        <v>2.81</v>
      </c>
      <c r="T310">
        <v>0.63</v>
      </c>
      <c r="U310">
        <v>-85.06</v>
      </c>
      <c r="V310">
        <v>-729</v>
      </c>
      <c r="W310">
        <v>50.51</v>
      </c>
      <c r="X310" t="s">
        <v>2735</v>
      </c>
      <c r="Y310" t="s">
        <v>2559</v>
      </c>
      <c r="Z310">
        <v>1.24</v>
      </c>
      <c r="AA310">
        <v>35</v>
      </c>
      <c r="AB310">
        <v>152</v>
      </c>
      <c r="AC310">
        <v>7.43</v>
      </c>
      <c r="AD310" t="s">
        <v>2736</v>
      </c>
      <c r="AE310" t="s">
        <v>2737</v>
      </c>
      <c r="AF310" t="s">
        <v>2736</v>
      </c>
      <c r="AG310" t="s">
        <v>2737</v>
      </c>
      <c r="AH310">
        <v>3.88</v>
      </c>
      <c r="AI310">
        <v>15.07</v>
      </c>
      <c r="AJ310">
        <v>7.13</v>
      </c>
      <c r="AK310">
        <v>15.94</v>
      </c>
      <c r="AL310">
        <v>-1</v>
      </c>
      <c r="AM310">
        <v>-1.42</v>
      </c>
      <c r="AN310">
        <v>69.16</v>
      </c>
      <c r="AO310">
        <v>19.09</v>
      </c>
      <c r="AP310">
        <v>47.05</v>
      </c>
    </row>
    <row r="311" spans="1:42">
      <c r="A311">
        <v>310</v>
      </c>
      <c r="B311" t="str">
        <f>"601595"</f>
        <v>601595</v>
      </c>
      <c r="C311" t="s">
        <v>2738</v>
      </c>
      <c r="D311">
        <v>21.77</v>
      </c>
      <c r="E311">
        <v>10.01</v>
      </c>
      <c r="F311">
        <v>1.98</v>
      </c>
      <c r="G311" t="s">
        <v>290</v>
      </c>
      <c r="H311">
        <v>874</v>
      </c>
      <c r="I311">
        <v>21.77</v>
      </c>
      <c r="J311" t="s">
        <v>76</v>
      </c>
      <c r="K311" t="s">
        <v>2739</v>
      </c>
      <c r="L311">
        <v>5.36</v>
      </c>
      <c r="M311" t="s">
        <v>46</v>
      </c>
      <c r="N311" t="s">
        <v>2195</v>
      </c>
      <c r="O311">
        <v>21.77</v>
      </c>
      <c r="P311">
        <v>19.81</v>
      </c>
      <c r="Q311">
        <v>19.9</v>
      </c>
      <c r="R311">
        <v>19.79</v>
      </c>
      <c r="S311">
        <v>9.9</v>
      </c>
      <c r="T311">
        <v>2.5</v>
      </c>
      <c r="U311">
        <v>100</v>
      </c>
      <c r="V311">
        <v>5200</v>
      </c>
      <c r="W311">
        <v>21</v>
      </c>
      <c r="X311" t="s">
        <v>1807</v>
      </c>
      <c r="Y311" t="s">
        <v>422</v>
      </c>
      <c r="Z311">
        <v>0.96</v>
      </c>
      <c r="AA311">
        <v>4888</v>
      </c>
      <c r="AB311">
        <v>0</v>
      </c>
      <c r="AC311">
        <v>5.93</v>
      </c>
      <c r="AD311" t="s">
        <v>2740</v>
      </c>
      <c r="AE311" t="s">
        <v>2741</v>
      </c>
      <c r="AF311" t="s">
        <v>2740</v>
      </c>
      <c r="AG311" t="s">
        <v>2741</v>
      </c>
      <c r="AH311">
        <v>7.51</v>
      </c>
      <c r="AI311">
        <v>3.81</v>
      </c>
      <c r="AJ311">
        <v>8.16</v>
      </c>
      <c r="AK311">
        <v>16.07</v>
      </c>
      <c r="AL311">
        <v>1</v>
      </c>
      <c r="AM311">
        <v>10.01</v>
      </c>
      <c r="AN311">
        <v>98.45</v>
      </c>
      <c r="AO311">
        <v>8.09</v>
      </c>
      <c r="AP311">
        <v>130.37</v>
      </c>
    </row>
    <row r="312" spans="1:42">
      <c r="A312">
        <v>311</v>
      </c>
      <c r="B312" t="str">
        <f>"002103"</f>
        <v>002103</v>
      </c>
      <c r="C312" t="s">
        <v>2742</v>
      </c>
      <c r="D312">
        <v>7.49</v>
      </c>
      <c r="E312">
        <v>2.18</v>
      </c>
      <c r="F312">
        <v>0.16</v>
      </c>
      <c r="G312" t="s">
        <v>2743</v>
      </c>
      <c r="H312" t="s">
        <v>1400</v>
      </c>
      <c r="I312">
        <v>7.49</v>
      </c>
      <c r="J312">
        <v>7.5</v>
      </c>
      <c r="K312" t="s">
        <v>2739</v>
      </c>
      <c r="L312">
        <v>17.89</v>
      </c>
      <c r="M312" t="s">
        <v>46</v>
      </c>
      <c r="N312" t="s">
        <v>2744</v>
      </c>
      <c r="O312">
        <v>7.6</v>
      </c>
      <c r="P312">
        <v>7.26</v>
      </c>
      <c r="Q312">
        <v>7.32</v>
      </c>
      <c r="R312">
        <v>7.33</v>
      </c>
      <c r="S312">
        <v>4.64</v>
      </c>
      <c r="T312">
        <v>0.82</v>
      </c>
      <c r="U312">
        <v>19.06</v>
      </c>
      <c r="V312">
        <v>3521</v>
      </c>
      <c r="W312">
        <v>7.47</v>
      </c>
      <c r="X312" t="s">
        <v>856</v>
      </c>
      <c r="Y312" t="s">
        <v>2745</v>
      </c>
      <c r="Z312">
        <v>1.03</v>
      </c>
      <c r="AA312">
        <v>4616</v>
      </c>
      <c r="AB312">
        <v>3671</v>
      </c>
      <c r="AC312">
        <v>4.47</v>
      </c>
      <c r="AD312" t="s">
        <v>2746</v>
      </c>
      <c r="AE312" t="s">
        <v>2747</v>
      </c>
      <c r="AF312" t="s">
        <v>2748</v>
      </c>
      <c r="AG312" t="s">
        <v>2749</v>
      </c>
      <c r="AH312">
        <v>4.03</v>
      </c>
      <c r="AI312">
        <v>-16.31</v>
      </c>
      <c r="AJ312">
        <v>47.63</v>
      </c>
      <c r="AK312">
        <v>126.79</v>
      </c>
      <c r="AL312">
        <v>3</v>
      </c>
      <c r="AM312">
        <v>2.18</v>
      </c>
      <c r="AN312">
        <v>37.94</v>
      </c>
      <c r="AO312">
        <v>25.25</v>
      </c>
      <c r="AP312">
        <v>39.22</v>
      </c>
    </row>
    <row r="313" spans="1:42">
      <c r="A313">
        <v>312</v>
      </c>
      <c r="B313" t="str">
        <f>"605577"</f>
        <v>605577</v>
      </c>
      <c r="C313" t="s">
        <v>2750</v>
      </c>
      <c r="D313">
        <v>17.2</v>
      </c>
      <c r="E313">
        <v>9.97</v>
      </c>
      <c r="F313">
        <v>1.56</v>
      </c>
      <c r="G313" t="s">
        <v>674</v>
      </c>
      <c r="H313">
        <v>234</v>
      </c>
      <c r="I313">
        <v>17.2</v>
      </c>
      <c r="J313" t="s">
        <v>76</v>
      </c>
      <c r="K313" t="s">
        <v>2739</v>
      </c>
      <c r="L313">
        <v>16.12</v>
      </c>
      <c r="M313" t="s">
        <v>46</v>
      </c>
      <c r="N313" t="s">
        <v>2751</v>
      </c>
      <c r="O313">
        <v>17.2</v>
      </c>
      <c r="P313">
        <v>15.44</v>
      </c>
      <c r="Q313">
        <v>15.5</v>
      </c>
      <c r="R313">
        <v>15.64</v>
      </c>
      <c r="S313">
        <v>11.25</v>
      </c>
      <c r="T313">
        <v>0.94</v>
      </c>
      <c r="U313">
        <v>100</v>
      </c>
      <c r="V313" t="s">
        <v>2752</v>
      </c>
      <c r="W313">
        <v>16.58</v>
      </c>
      <c r="X313" t="s">
        <v>2753</v>
      </c>
      <c r="Y313" t="s">
        <v>1439</v>
      </c>
      <c r="Z313">
        <v>0.82</v>
      </c>
      <c r="AA313" t="s">
        <v>2754</v>
      </c>
      <c r="AB313">
        <v>0</v>
      </c>
      <c r="AC313">
        <v>2.05</v>
      </c>
      <c r="AD313" t="s">
        <v>2755</v>
      </c>
      <c r="AE313" t="s">
        <v>2756</v>
      </c>
      <c r="AF313" t="s">
        <v>2757</v>
      </c>
      <c r="AG313" t="s">
        <v>2758</v>
      </c>
      <c r="AH313">
        <v>5.65</v>
      </c>
      <c r="AI313">
        <v>-5.86</v>
      </c>
      <c r="AJ313">
        <v>42.06</v>
      </c>
      <c r="AK313">
        <v>102.2</v>
      </c>
      <c r="AL313">
        <v>2</v>
      </c>
      <c r="AM313">
        <v>9.97</v>
      </c>
      <c r="AN313">
        <v>74.97</v>
      </c>
      <c r="AO313">
        <v>17.57</v>
      </c>
      <c r="AP313">
        <v>60.9</v>
      </c>
    </row>
    <row r="314" spans="1:42">
      <c r="A314">
        <v>313</v>
      </c>
      <c r="B314" t="str">
        <f>"600938"</f>
        <v>600938</v>
      </c>
      <c r="C314" t="s">
        <v>2759</v>
      </c>
      <c r="D314">
        <v>19.96</v>
      </c>
      <c r="E314">
        <v>0.4</v>
      </c>
      <c r="F314">
        <v>0.08</v>
      </c>
      <c r="G314" t="s">
        <v>1347</v>
      </c>
      <c r="H314">
        <v>1339</v>
      </c>
      <c r="I314">
        <v>19.95</v>
      </c>
      <c r="J314">
        <v>19.96</v>
      </c>
      <c r="K314" t="s">
        <v>2760</v>
      </c>
      <c r="L314">
        <v>0.89</v>
      </c>
      <c r="M314" t="s">
        <v>46</v>
      </c>
      <c r="N314" t="s">
        <v>2761</v>
      </c>
      <c r="O314">
        <v>20.03</v>
      </c>
      <c r="P314">
        <v>19.7</v>
      </c>
      <c r="Q314">
        <v>19.7</v>
      </c>
      <c r="R314">
        <v>19.88</v>
      </c>
      <c r="S314">
        <v>1.66</v>
      </c>
      <c r="T314">
        <v>0.98</v>
      </c>
      <c r="U314">
        <v>-61.12</v>
      </c>
      <c r="V314">
        <v>-5059</v>
      </c>
      <c r="W314">
        <v>19.91</v>
      </c>
      <c r="X314" t="s">
        <v>1987</v>
      </c>
      <c r="Y314" t="s">
        <v>447</v>
      </c>
      <c r="Z314">
        <v>1.07</v>
      </c>
      <c r="AA314">
        <v>805</v>
      </c>
      <c r="AB314">
        <v>106</v>
      </c>
      <c r="AC314">
        <v>1.48</v>
      </c>
      <c r="AD314" t="s">
        <v>2762</v>
      </c>
      <c r="AE314" t="s">
        <v>2763</v>
      </c>
      <c r="AF314" t="s">
        <v>2764</v>
      </c>
      <c r="AG314" t="s">
        <v>2765</v>
      </c>
      <c r="AH314">
        <v>3.8</v>
      </c>
      <c r="AI314">
        <v>3.8</v>
      </c>
      <c r="AJ314">
        <v>2.82</v>
      </c>
      <c r="AK314">
        <v>5.42</v>
      </c>
      <c r="AL314">
        <v>4</v>
      </c>
      <c r="AM314">
        <v>0.4</v>
      </c>
      <c r="AN314">
        <v>42.78</v>
      </c>
      <c r="AO314">
        <v>2.25</v>
      </c>
      <c r="AP314">
        <v>37.75</v>
      </c>
    </row>
    <row r="315" spans="1:42">
      <c r="A315">
        <v>314</v>
      </c>
      <c r="B315" t="str">
        <f>"300302"</f>
        <v>300302</v>
      </c>
      <c r="C315" t="s">
        <v>2766</v>
      </c>
      <c r="D315">
        <v>14.77</v>
      </c>
      <c r="E315">
        <v>7.11</v>
      </c>
      <c r="F315">
        <v>0.98</v>
      </c>
      <c r="G315" t="s">
        <v>1584</v>
      </c>
      <c r="H315">
        <v>2961</v>
      </c>
      <c r="I315">
        <v>14.76</v>
      </c>
      <c r="J315">
        <v>14.77</v>
      </c>
      <c r="K315" t="s">
        <v>2767</v>
      </c>
      <c r="L315">
        <v>9.51</v>
      </c>
      <c r="M315" t="s">
        <v>46</v>
      </c>
      <c r="N315" t="s">
        <v>2768</v>
      </c>
      <c r="O315">
        <v>14.86</v>
      </c>
      <c r="P315">
        <v>13.64</v>
      </c>
      <c r="Q315">
        <v>13.76</v>
      </c>
      <c r="R315">
        <v>13.79</v>
      </c>
      <c r="S315">
        <v>8.85</v>
      </c>
      <c r="T315">
        <v>1.54</v>
      </c>
      <c r="U315">
        <v>-82.3</v>
      </c>
      <c r="V315">
        <v>-4296</v>
      </c>
      <c r="W315">
        <v>14.38</v>
      </c>
      <c r="X315" t="s">
        <v>784</v>
      </c>
      <c r="Y315" t="s">
        <v>1125</v>
      </c>
      <c r="Z315">
        <v>0.66</v>
      </c>
      <c r="AA315">
        <v>112</v>
      </c>
      <c r="AB315">
        <v>1284</v>
      </c>
      <c r="AC315">
        <v>4.94</v>
      </c>
      <c r="AD315" t="s">
        <v>2769</v>
      </c>
      <c r="AE315" t="s">
        <v>2770</v>
      </c>
      <c r="AF315" t="s">
        <v>1113</v>
      </c>
      <c r="AG315" t="s">
        <v>2771</v>
      </c>
      <c r="AH315">
        <v>3.29</v>
      </c>
      <c r="AI315">
        <v>-0.27</v>
      </c>
      <c r="AJ315">
        <v>22.1</v>
      </c>
      <c r="AK315">
        <v>40.33</v>
      </c>
      <c r="AL315">
        <v>1</v>
      </c>
      <c r="AM315">
        <v>7.11</v>
      </c>
      <c r="AN315">
        <v>115.94</v>
      </c>
      <c r="AO315">
        <v>3.07</v>
      </c>
      <c r="AP315">
        <v>89.36</v>
      </c>
    </row>
    <row r="316" spans="1:42">
      <c r="A316">
        <v>315</v>
      </c>
      <c r="B316" t="str">
        <f>"603005"</f>
        <v>603005</v>
      </c>
      <c r="C316" t="s">
        <v>2772</v>
      </c>
      <c r="D316">
        <v>23.59</v>
      </c>
      <c r="E316">
        <v>1.03</v>
      </c>
      <c r="F316">
        <v>0.24</v>
      </c>
      <c r="G316" t="s">
        <v>2419</v>
      </c>
      <c r="H316">
        <v>3502</v>
      </c>
      <c r="I316">
        <v>23.58</v>
      </c>
      <c r="J316">
        <v>23.59</v>
      </c>
      <c r="K316" t="s">
        <v>2767</v>
      </c>
      <c r="L316">
        <v>3.29</v>
      </c>
      <c r="M316" t="s">
        <v>46</v>
      </c>
      <c r="N316" t="s">
        <v>2009</v>
      </c>
      <c r="O316">
        <v>23.68</v>
      </c>
      <c r="P316">
        <v>23.17</v>
      </c>
      <c r="Q316">
        <v>23.3</v>
      </c>
      <c r="R316">
        <v>23.35</v>
      </c>
      <c r="S316">
        <v>2.18</v>
      </c>
      <c r="T316">
        <v>0.67</v>
      </c>
      <c r="U316">
        <v>-29.5</v>
      </c>
      <c r="V316">
        <v>-1422</v>
      </c>
      <c r="W316">
        <v>23.4</v>
      </c>
      <c r="X316" t="s">
        <v>1499</v>
      </c>
      <c r="Y316" t="s">
        <v>656</v>
      </c>
      <c r="Z316">
        <v>0.91</v>
      </c>
      <c r="AA316">
        <v>776</v>
      </c>
      <c r="AB316">
        <v>326</v>
      </c>
      <c r="AC316">
        <v>3.81</v>
      </c>
      <c r="AD316" t="s">
        <v>2773</v>
      </c>
      <c r="AE316" t="s">
        <v>2774</v>
      </c>
      <c r="AF316" t="s">
        <v>2775</v>
      </c>
      <c r="AG316" t="s">
        <v>2776</v>
      </c>
      <c r="AH316">
        <v>-4.3</v>
      </c>
      <c r="AI316">
        <v>-7.53</v>
      </c>
      <c r="AJ316">
        <v>12.14</v>
      </c>
      <c r="AK316">
        <v>27.88</v>
      </c>
      <c r="AL316">
        <v>1</v>
      </c>
      <c r="AM316">
        <v>1.03</v>
      </c>
      <c r="AN316">
        <v>27.65</v>
      </c>
      <c r="AO316">
        <v>-1.91</v>
      </c>
      <c r="AP316">
        <v>9.11</v>
      </c>
    </row>
    <row r="317" spans="1:42">
      <c r="A317">
        <v>316</v>
      </c>
      <c r="B317" t="str">
        <f>"002222"</f>
        <v>002222</v>
      </c>
      <c r="C317" t="s">
        <v>2777</v>
      </c>
      <c r="D317">
        <v>30.29</v>
      </c>
      <c r="E317">
        <v>1.34</v>
      </c>
      <c r="F317">
        <v>0.4</v>
      </c>
      <c r="G317" t="s">
        <v>2778</v>
      </c>
      <c r="H317">
        <v>2127</v>
      </c>
      <c r="I317">
        <v>30.28</v>
      </c>
      <c r="J317">
        <v>30.29</v>
      </c>
      <c r="K317" t="s">
        <v>2779</v>
      </c>
      <c r="L317">
        <v>3.89</v>
      </c>
      <c r="M317" t="s">
        <v>46</v>
      </c>
      <c r="N317" t="s">
        <v>2780</v>
      </c>
      <c r="O317">
        <v>30.55</v>
      </c>
      <c r="P317">
        <v>29.71</v>
      </c>
      <c r="Q317">
        <v>29.89</v>
      </c>
      <c r="R317">
        <v>29.89</v>
      </c>
      <c r="S317">
        <v>2.81</v>
      </c>
      <c r="T317">
        <v>0.52</v>
      </c>
      <c r="U317">
        <v>17.84</v>
      </c>
      <c r="V317">
        <v>308</v>
      </c>
      <c r="W317">
        <v>30.14</v>
      </c>
      <c r="X317" t="s">
        <v>2781</v>
      </c>
      <c r="Y317" t="s">
        <v>2782</v>
      </c>
      <c r="Z317">
        <v>1.06</v>
      </c>
      <c r="AA317">
        <v>254</v>
      </c>
      <c r="AB317">
        <v>40</v>
      </c>
      <c r="AC317">
        <v>9</v>
      </c>
      <c r="AD317" t="s">
        <v>2783</v>
      </c>
      <c r="AE317" t="s">
        <v>2784</v>
      </c>
      <c r="AF317" t="s">
        <v>2785</v>
      </c>
      <c r="AG317" t="s">
        <v>2786</v>
      </c>
      <c r="AH317">
        <v>-1.75</v>
      </c>
      <c r="AI317">
        <v>-1.01</v>
      </c>
      <c r="AJ317">
        <v>14.15</v>
      </c>
      <c r="AK317">
        <v>41.39</v>
      </c>
      <c r="AL317">
        <v>1</v>
      </c>
      <c r="AM317">
        <v>1.34</v>
      </c>
      <c r="AN317">
        <v>96.43</v>
      </c>
      <c r="AO317">
        <v>18.32</v>
      </c>
      <c r="AP317">
        <v>99.28</v>
      </c>
    </row>
    <row r="318" spans="1:42">
      <c r="A318">
        <v>317</v>
      </c>
      <c r="B318" t="str">
        <f>"600335"</f>
        <v>600335</v>
      </c>
      <c r="C318" t="s">
        <v>2787</v>
      </c>
      <c r="D318">
        <v>9.31</v>
      </c>
      <c r="E318">
        <v>0.87</v>
      </c>
      <c r="F318">
        <v>0.08</v>
      </c>
      <c r="G318" t="s">
        <v>2788</v>
      </c>
      <c r="H318">
        <v>6838</v>
      </c>
      <c r="I318">
        <v>9.31</v>
      </c>
      <c r="J318">
        <v>9.32</v>
      </c>
      <c r="K318" t="s">
        <v>2789</v>
      </c>
      <c r="L318">
        <v>3.6</v>
      </c>
      <c r="M318" t="s">
        <v>46</v>
      </c>
      <c r="N318" t="s">
        <v>2790</v>
      </c>
      <c r="O318">
        <v>9.5</v>
      </c>
      <c r="P318">
        <v>8.95</v>
      </c>
      <c r="Q318">
        <v>9.12</v>
      </c>
      <c r="R318">
        <v>9.23</v>
      </c>
      <c r="S318">
        <v>5.96</v>
      </c>
      <c r="T318">
        <v>1</v>
      </c>
      <c r="U318">
        <v>-8.35</v>
      </c>
      <c r="V318">
        <v>-1656</v>
      </c>
      <c r="W318">
        <v>9.27</v>
      </c>
      <c r="X318" t="s">
        <v>2791</v>
      </c>
      <c r="Y318" t="s">
        <v>2381</v>
      </c>
      <c r="Z318">
        <v>1</v>
      </c>
      <c r="AA318">
        <v>1339</v>
      </c>
      <c r="AB318">
        <v>4537</v>
      </c>
      <c r="AC318">
        <v>1.22</v>
      </c>
      <c r="AD318" t="s">
        <v>596</v>
      </c>
      <c r="AE318" t="s">
        <v>2792</v>
      </c>
      <c r="AF318" t="s">
        <v>596</v>
      </c>
      <c r="AG318" t="s">
        <v>2792</v>
      </c>
      <c r="AH318">
        <v>-0.11</v>
      </c>
      <c r="AI318">
        <v>4.96</v>
      </c>
      <c r="AJ318">
        <v>12.66</v>
      </c>
      <c r="AK318">
        <v>21.53</v>
      </c>
      <c r="AL318">
        <v>1</v>
      </c>
      <c r="AM318">
        <v>0.87</v>
      </c>
      <c r="AN318">
        <v>21.22</v>
      </c>
      <c r="AO318">
        <v>9.79</v>
      </c>
      <c r="AP318">
        <v>19.36</v>
      </c>
    </row>
    <row r="319" spans="1:42">
      <c r="A319">
        <v>318</v>
      </c>
      <c r="B319" t="str">
        <f>"300136"</f>
        <v>300136</v>
      </c>
      <c r="C319" t="s">
        <v>2793</v>
      </c>
      <c r="D319">
        <v>23.5</v>
      </c>
      <c r="E319">
        <v>-0.13</v>
      </c>
      <c r="F319">
        <v>-0.03</v>
      </c>
      <c r="G319" t="s">
        <v>1125</v>
      </c>
      <c r="H319">
        <v>2817</v>
      </c>
      <c r="I319">
        <v>23.49</v>
      </c>
      <c r="J319">
        <v>23.51</v>
      </c>
      <c r="K319" t="s">
        <v>2794</v>
      </c>
      <c r="L319">
        <v>2.56</v>
      </c>
      <c r="M319" t="s">
        <v>46</v>
      </c>
      <c r="N319" t="s">
        <v>2795</v>
      </c>
      <c r="O319">
        <v>23.76</v>
      </c>
      <c r="P319">
        <v>23.07</v>
      </c>
      <c r="Q319">
        <v>23.36</v>
      </c>
      <c r="R319">
        <v>23.53</v>
      </c>
      <c r="S319">
        <v>2.93</v>
      </c>
      <c r="T319">
        <v>0.73</v>
      </c>
      <c r="U319">
        <v>20.57</v>
      </c>
      <c r="V319">
        <v>244</v>
      </c>
      <c r="W319">
        <v>23.49</v>
      </c>
      <c r="X319" t="s">
        <v>1128</v>
      </c>
      <c r="Y319" t="s">
        <v>1128</v>
      </c>
      <c r="Z319">
        <v>1</v>
      </c>
      <c r="AA319">
        <v>118</v>
      </c>
      <c r="AB319">
        <v>73</v>
      </c>
      <c r="AC319">
        <v>3.22</v>
      </c>
      <c r="AD319" t="s">
        <v>2796</v>
      </c>
      <c r="AE319" t="s">
        <v>2797</v>
      </c>
      <c r="AF319" t="s">
        <v>2798</v>
      </c>
      <c r="AG319" t="s">
        <v>2799</v>
      </c>
      <c r="AH319">
        <v>1.03</v>
      </c>
      <c r="AI319">
        <v>-0.42</v>
      </c>
      <c r="AJ319">
        <v>10.99</v>
      </c>
      <c r="AK319">
        <v>20.14</v>
      </c>
      <c r="AL319">
        <v>-2</v>
      </c>
      <c r="AM319">
        <v>-0.13</v>
      </c>
      <c r="AN319">
        <v>42.77</v>
      </c>
      <c r="AO319">
        <v>-5.66</v>
      </c>
      <c r="AP319">
        <v>37.43</v>
      </c>
    </row>
    <row r="320" spans="1:42">
      <c r="A320">
        <v>319</v>
      </c>
      <c r="B320" t="str">
        <f>"301116"</f>
        <v>301116</v>
      </c>
      <c r="C320" t="s">
        <v>2800</v>
      </c>
      <c r="D320">
        <v>14.93</v>
      </c>
      <c r="E320">
        <v>-2.61</v>
      </c>
      <c r="F320">
        <v>-0.4</v>
      </c>
      <c r="G320" t="s">
        <v>675</v>
      </c>
      <c r="H320">
        <v>3050</v>
      </c>
      <c r="I320">
        <v>14.92</v>
      </c>
      <c r="J320">
        <v>14.93</v>
      </c>
      <c r="K320" t="s">
        <v>2794</v>
      </c>
      <c r="L320">
        <v>27.06</v>
      </c>
      <c r="M320" t="s">
        <v>46</v>
      </c>
      <c r="N320" t="s">
        <v>2801</v>
      </c>
      <c r="O320">
        <v>16.26</v>
      </c>
      <c r="P320">
        <v>14.84</v>
      </c>
      <c r="Q320">
        <v>15.5</v>
      </c>
      <c r="R320">
        <v>15.33</v>
      </c>
      <c r="S320">
        <v>9.26</v>
      </c>
      <c r="T320">
        <v>1.92</v>
      </c>
      <c r="U320">
        <v>19.77</v>
      </c>
      <c r="V320">
        <v>410</v>
      </c>
      <c r="W320">
        <v>15.75</v>
      </c>
      <c r="X320" t="s">
        <v>2291</v>
      </c>
      <c r="Y320" t="s">
        <v>561</v>
      </c>
      <c r="Z320">
        <v>0.95</v>
      </c>
      <c r="AA320">
        <v>421</v>
      </c>
      <c r="AB320">
        <v>34</v>
      </c>
      <c r="AC320">
        <v>3.49</v>
      </c>
      <c r="AD320" t="s">
        <v>2508</v>
      </c>
      <c r="AE320" t="s">
        <v>2802</v>
      </c>
      <c r="AF320" t="s">
        <v>2803</v>
      </c>
      <c r="AG320" t="s">
        <v>2804</v>
      </c>
      <c r="AH320">
        <v>7.88</v>
      </c>
      <c r="AI320">
        <v>11.84</v>
      </c>
      <c r="AJ320">
        <v>63.91</v>
      </c>
      <c r="AK320">
        <v>97.66</v>
      </c>
      <c r="AL320">
        <v>-1</v>
      </c>
      <c r="AM320">
        <v>-2.61</v>
      </c>
      <c r="AN320">
        <v>-12.38</v>
      </c>
      <c r="AO320">
        <v>13.36</v>
      </c>
      <c r="AP320">
        <v>-6.22</v>
      </c>
    </row>
    <row r="321" spans="1:42">
      <c r="A321">
        <v>320</v>
      </c>
      <c r="B321" t="str">
        <f>"000609"</f>
        <v>000609</v>
      </c>
      <c r="C321" t="s">
        <v>2805</v>
      </c>
      <c r="D321">
        <v>7.23</v>
      </c>
      <c r="E321">
        <v>-5.61</v>
      </c>
      <c r="F321">
        <v>-0.43</v>
      </c>
      <c r="G321" t="s">
        <v>2806</v>
      </c>
      <c r="H321" t="s">
        <v>2807</v>
      </c>
      <c r="I321">
        <v>7.23</v>
      </c>
      <c r="J321">
        <v>7.24</v>
      </c>
      <c r="K321" t="s">
        <v>2808</v>
      </c>
      <c r="L321">
        <v>23.4</v>
      </c>
      <c r="M321" t="s">
        <v>46</v>
      </c>
      <c r="N321" t="s">
        <v>2809</v>
      </c>
      <c r="O321">
        <v>7.39</v>
      </c>
      <c r="P321">
        <v>7.06</v>
      </c>
      <c r="Q321">
        <v>7.38</v>
      </c>
      <c r="R321">
        <v>7.66</v>
      </c>
      <c r="S321">
        <v>4.31</v>
      </c>
      <c r="T321">
        <v>0.98</v>
      </c>
      <c r="U321">
        <v>32.91</v>
      </c>
      <c r="V321">
        <v>4188</v>
      </c>
      <c r="W321">
        <v>7.23</v>
      </c>
      <c r="X321" t="s">
        <v>2810</v>
      </c>
      <c r="Y321" t="s">
        <v>2811</v>
      </c>
      <c r="Z321">
        <v>1.34</v>
      </c>
      <c r="AA321">
        <v>1319</v>
      </c>
      <c r="AB321">
        <v>1852</v>
      </c>
      <c r="AC321">
        <v>4.32</v>
      </c>
      <c r="AD321" t="s">
        <v>2812</v>
      </c>
      <c r="AE321" t="s">
        <v>2813</v>
      </c>
      <c r="AF321" t="s">
        <v>2814</v>
      </c>
      <c r="AG321" t="s">
        <v>2815</v>
      </c>
      <c r="AH321">
        <v>8.56</v>
      </c>
      <c r="AI321">
        <v>4.33</v>
      </c>
      <c r="AJ321">
        <v>69.95</v>
      </c>
      <c r="AK321">
        <v>142.36</v>
      </c>
      <c r="AL321">
        <v>-1</v>
      </c>
      <c r="AM321">
        <v>-5.61</v>
      </c>
      <c r="AN321">
        <v>11.23</v>
      </c>
      <c r="AO321">
        <v>13.15</v>
      </c>
      <c r="AP321">
        <v>9.21</v>
      </c>
    </row>
    <row r="322" spans="1:42">
      <c r="A322">
        <v>321</v>
      </c>
      <c r="B322" t="str">
        <f>"600159"</f>
        <v>600159</v>
      </c>
      <c r="C322" t="s">
        <v>2816</v>
      </c>
      <c r="D322">
        <v>3.84</v>
      </c>
      <c r="E322">
        <v>3.23</v>
      </c>
      <c r="F322">
        <v>0.12</v>
      </c>
      <c r="G322" t="s">
        <v>2817</v>
      </c>
      <c r="H322" t="s">
        <v>2818</v>
      </c>
      <c r="I322">
        <v>3.84</v>
      </c>
      <c r="J322">
        <v>3.85</v>
      </c>
      <c r="K322" t="s">
        <v>2064</v>
      </c>
      <c r="L322">
        <v>15.63</v>
      </c>
      <c r="M322" t="s">
        <v>46</v>
      </c>
      <c r="N322" t="s">
        <v>2819</v>
      </c>
      <c r="O322">
        <v>3.9</v>
      </c>
      <c r="P322">
        <v>3.65</v>
      </c>
      <c r="Q322">
        <v>3.71</v>
      </c>
      <c r="R322">
        <v>3.72</v>
      </c>
      <c r="S322">
        <v>6.72</v>
      </c>
      <c r="T322">
        <v>0.78</v>
      </c>
      <c r="U322">
        <v>-20.04</v>
      </c>
      <c r="V322">
        <v>-4915</v>
      </c>
      <c r="W322">
        <v>3.8</v>
      </c>
      <c r="X322" t="s">
        <v>2820</v>
      </c>
      <c r="Y322" t="s">
        <v>2821</v>
      </c>
      <c r="Z322">
        <v>0.77</v>
      </c>
      <c r="AA322">
        <v>42</v>
      </c>
      <c r="AB322">
        <v>5664</v>
      </c>
      <c r="AC322">
        <v>1.41</v>
      </c>
      <c r="AD322" t="s">
        <v>2822</v>
      </c>
      <c r="AE322" t="s">
        <v>2823</v>
      </c>
      <c r="AF322" t="s">
        <v>2822</v>
      </c>
      <c r="AG322" t="s">
        <v>2823</v>
      </c>
      <c r="AH322">
        <v>2.4</v>
      </c>
      <c r="AI322">
        <v>-20.17</v>
      </c>
      <c r="AJ322">
        <v>38.71</v>
      </c>
      <c r="AK322">
        <v>115.62</v>
      </c>
      <c r="AL322">
        <v>1</v>
      </c>
      <c r="AM322">
        <v>3.23</v>
      </c>
      <c r="AN322">
        <v>27.15</v>
      </c>
      <c r="AO322">
        <v>21.9</v>
      </c>
      <c r="AP322">
        <v>29.73</v>
      </c>
    </row>
    <row r="323" spans="1:42">
      <c r="A323">
        <v>322</v>
      </c>
      <c r="B323" t="str">
        <f>"601186"</f>
        <v>601186</v>
      </c>
      <c r="C323" t="s">
        <v>2824</v>
      </c>
      <c r="D323">
        <v>7.76</v>
      </c>
      <c r="E323">
        <v>2.24</v>
      </c>
      <c r="F323">
        <v>0.17</v>
      </c>
      <c r="G323" t="s">
        <v>634</v>
      </c>
      <c r="H323">
        <v>5272</v>
      </c>
      <c r="I323">
        <v>7.75</v>
      </c>
      <c r="J323">
        <v>7.76</v>
      </c>
      <c r="K323" t="s">
        <v>2825</v>
      </c>
      <c r="L323">
        <v>0.56</v>
      </c>
      <c r="M323" t="s">
        <v>46</v>
      </c>
      <c r="N323" t="s">
        <v>2826</v>
      </c>
      <c r="O323">
        <v>7.77</v>
      </c>
      <c r="P323">
        <v>7.56</v>
      </c>
      <c r="Q323">
        <v>7.6</v>
      </c>
      <c r="R323">
        <v>7.59</v>
      </c>
      <c r="S323">
        <v>2.77</v>
      </c>
      <c r="T323">
        <v>1.42</v>
      </c>
      <c r="U323">
        <v>-44.33</v>
      </c>
      <c r="V323" t="s">
        <v>2827</v>
      </c>
      <c r="W323">
        <v>7.7</v>
      </c>
      <c r="X323" t="s">
        <v>2828</v>
      </c>
      <c r="Y323" t="s">
        <v>2829</v>
      </c>
      <c r="Z323">
        <v>0.55</v>
      </c>
      <c r="AA323">
        <v>4965</v>
      </c>
      <c r="AB323">
        <v>934</v>
      </c>
      <c r="AC323">
        <v>0.43</v>
      </c>
      <c r="AD323" t="s">
        <v>511</v>
      </c>
      <c r="AE323" t="s">
        <v>2830</v>
      </c>
      <c r="AF323" t="s">
        <v>2831</v>
      </c>
      <c r="AG323" t="s">
        <v>2832</v>
      </c>
      <c r="AH323">
        <v>1.57</v>
      </c>
      <c r="AI323">
        <v>-0.77</v>
      </c>
      <c r="AJ323">
        <v>1.39</v>
      </c>
      <c r="AK323">
        <v>2.51</v>
      </c>
      <c r="AL323">
        <v>2</v>
      </c>
      <c r="AM323">
        <v>2.24</v>
      </c>
      <c r="AN323">
        <v>4.16</v>
      </c>
      <c r="AO323">
        <v>-1.65</v>
      </c>
      <c r="AP323">
        <v>7.33</v>
      </c>
    </row>
    <row r="324" spans="1:42">
      <c r="A324">
        <v>323</v>
      </c>
      <c r="B324" t="str">
        <f>"600754"</f>
        <v>600754</v>
      </c>
      <c r="C324" t="s">
        <v>2833</v>
      </c>
      <c r="D324">
        <v>33.49</v>
      </c>
      <c r="E324">
        <v>-1.21</v>
      </c>
      <c r="F324">
        <v>-0.41</v>
      </c>
      <c r="G324" t="s">
        <v>1493</v>
      </c>
      <c r="H324">
        <v>570</v>
      </c>
      <c r="I324">
        <v>33.49</v>
      </c>
      <c r="J324">
        <v>33.5</v>
      </c>
      <c r="K324" t="s">
        <v>2834</v>
      </c>
      <c r="L324">
        <v>1.6</v>
      </c>
      <c r="M324" t="s">
        <v>46</v>
      </c>
      <c r="N324" t="s">
        <v>1958</v>
      </c>
      <c r="O324">
        <v>34.34</v>
      </c>
      <c r="P324">
        <v>33.25</v>
      </c>
      <c r="Q324">
        <v>33.92</v>
      </c>
      <c r="R324">
        <v>33.9</v>
      </c>
      <c r="S324">
        <v>3.22</v>
      </c>
      <c r="T324">
        <v>1.2</v>
      </c>
      <c r="U324">
        <v>-25.57</v>
      </c>
      <c r="V324">
        <v>-209</v>
      </c>
      <c r="W324">
        <v>33.59</v>
      </c>
      <c r="X324" t="s">
        <v>2835</v>
      </c>
      <c r="Y324" t="s">
        <v>2836</v>
      </c>
      <c r="Z324">
        <v>1.11</v>
      </c>
      <c r="AA324">
        <v>84</v>
      </c>
      <c r="AB324">
        <v>296</v>
      </c>
      <c r="AC324">
        <v>2.13</v>
      </c>
      <c r="AD324" t="s">
        <v>2837</v>
      </c>
      <c r="AE324" t="s">
        <v>2838</v>
      </c>
      <c r="AF324" t="s">
        <v>2839</v>
      </c>
      <c r="AG324" t="s">
        <v>2840</v>
      </c>
      <c r="AH324">
        <v>2.35</v>
      </c>
      <c r="AI324">
        <v>2.07</v>
      </c>
      <c r="AJ324">
        <v>5.09</v>
      </c>
      <c r="AK324">
        <v>8.26</v>
      </c>
      <c r="AL324">
        <v>-1</v>
      </c>
      <c r="AM324">
        <v>-1.21</v>
      </c>
      <c r="AN324">
        <v>-42.55</v>
      </c>
      <c r="AO324">
        <v>2.79</v>
      </c>
      <c r="AP324">
        <v>-32.59</v>
      </c>
    </row>
    <row r="325" spans="1:42">
      <c r="A325">
        <v>324</v>
      </c>
      <c r="B325" t="str">
        <f>"300192"</f>
        <v>300192</v>
      </c>
      <c r="C325" t="s">
        <v>2841</v>
      </c>
      <c r="D325">
        <v>11.07</v>
      </c>
      <c r="E325">
        <v>12.27</v>
      </c>
      <c r="F325">
        <v>1.21</v>
      </c>
      <c r="G325" t="s">
        <v>2842</v>
      </c>
      <c r="H325">
        <v>5089</v>
      </c>
      <c r="I325">
        <v>11.06</v>
      </c>
      <c r="J325">
        <v>11.07</v>
      </c>
      <c r="K325" t="s">
        <v>2843</v>
      </c>
      <c r="L325">
        <v>20.64</v>
      </c>
      <c r="M325" t="s">
        <v>46</v>
      </c>
      <c r="N325" t="s">
        <v>2844</v>
      </c>
      <c r="O325">
        <v>11.17</v>
      </c>
      <c r="P325">
        <v>9.84</v>
      </c>
      <c r="Q325">
        <v>9.88</v>
      </c>
      <c r="R325">
        <v>9.86</v>
      </c>
      <c r="S325">
        <v>13.49</v>
      </c>
      <c r="T325">
        <v>4.89</v>
      </c>
      <c r="U325">
        <v>0.34</v>
      </c>
      <c r="V325">
        <v>13</v>
      </c>
      <c r="W325">
        <v>10.67</v>
      </c>
      <c r="X325" t="s">
        <v>172</v>
      </c>
      <c r="Y325" t="s">
        <v>956</v>
      </c>
      <c r="Z325">
        <v>0.59</v>
      </c>
      <c r="AA325">
        <v>445</v>
      </c>
      <c r="AB325">
        <v>242</v>
      </c>
      <c r="AC325">
        <v>4.34</v>
      </c>
      <c r="AD325" t="s">
        <v>2845</v>
      </c>
      <c r="AE325" t="s">
        <v>2846</v>
      </c>
      <c r="AF325" t="s">
        <v>2847</v>
      </c>
      <c r="AG325" t="s">
        <v>2848</v>
      </c>
      <c r="AH325">
        <v>10.92</v>
      </c>
      <c r="AI325">
        <v>7.37</v>
      </c>
      <c r="AJ325">
        <v>29.53</v>
      </c>
      <c r="AK325">
        <v>41.74</v>
      </c>
      <c r="AL325">
        <v>1</v>
      </c>
      <c r="AM325">
        <v>12.27</v>
      </c>
      <c r="AN325">
        <v>54.61</v>
      </c>
      <c r="AO325">
        <v>16.9</v>
      </c>
      <c r="AP325">
        <v>58.14</v>
      </c>
    </row>
    <row r="326" spans="1:42">
      <c r="A326">
        <v>325</v>
      </c>
      <c r="B326" t="str">
        <f>"002463"</f>
        <v>002463</v>
      </c>
      <c r="C326" t="s">
        <v>2849</v>
      </c>
      <c r="D326">
        <v>21.02</v>
      </c>
      <c r="E326">
        <v>1.69</v>
      </c>
      <c r="F326">
        <v>0.35</v>
      </c>
      <c r="G326" t="s">
        <v>2850</v>
      </c>
      <c r="H326">
        <v>2903</v>
      </c>
      <c r="I326">
        <v>21.01</v>
      </c>
      <c r="J326">
        <v>21.02</v>
      </c>
      <c r="K326" t="s">
        <v>2843</v>
      </c>
      <c r="L326">
        <v>1.23</v>
      </c>
      <c r="M326" t="s">
        <v>46</v>
      </c>
      <c r="N326" t="s">
        <v>2851</v>
      </c>
      <c r="O326">
        <v>21.21</v>
      </c>
      <c r="P326">
        <v>20.4</v>
      </c>
      <c r="Q326">
        <v>20.62</v>
      </c>
      <c r="R326">
        <v>20.67</v>
      </c>
      <c r="S326">
        <v>3.92</v>
      </c>
      <c r="T326">
        <v>1.36</v>
      </c>
      <c r="U326">
        <v>5.9</v>
      </c>
      <c r="V326">
        <v>259</v>
      </c>
      <c r="W326">
        <v>20.85</v>
      </c>
      <c r="X326" t="s">
        <v>110</v>
      </c>
      <c r="Y326" t="s">
        <v>1759</v>
      </c>
      <c r="Z326">
        <v>0.76</v>
      </c>
      <c r="AA326">
        <v>369</v>
      </c>
      <c r="AB326">
        <v>132</v>
      </c>
      <c r="AC326">
        <v>4.39</v>
      </c>
      <c r="AD326" t="s">
        <v>2852</v>
      </c>
      <c r="AE326" t="s">
        <v>2853</v>
      </c>
      <c r="AF326" t="s">
        <v>2854</v>
      </c>
      <c r="AG326" t="s">
        <v>2855</v>
      </c>
      <c r="AH326">
        <v>2.24</v>
      </c>
      <c r="AI326">
        <v>1.59</v>
      </c>
      <c r="AJ326">
        <v>2.89</v>
      </c>
      <c r="AK326">
        <v>5.77</v>
      </c>
      <c r="AL326">
        <v>2</v>
      </c>
      <c r="AM326">
        <v>1.69</v>
      </c>
      <c r="AN326">
        <v>78.89</v>
      </c>
      <c r="AO326">
        <v>5.47</v>
      </c>
      <c r="AP326">
        <v>65.64</v>
      </c>
    </row>
    <row r="327" spans="1:42">
      <c r="A327">
        <v>326</v>
      </c>
      <c r="B327" t="str">
        <f>"300531"</f>
        <v>300531</v>
      </c>
      <c r="C327" t="s">
        <v>2856</v>
      </c>
      <c r="D327">
        <v>16.96</v>
      </c>
      <c r="E327">
        <v>5.74</v>
      </c>
      <c r="F327">
        <v>0.92</v>
      </c>
      <c r="G327" t="s">
        <v>2857</v>
      </c>
      <c r="H327">
        <v>3649</v>
      </c>
      <c r="I327">
        <v>16.96</v>
      </c>
      <c r="J327">
        <v>16.97</v>
      </c>
      <c r="K327" t="s">
        <v>2858</v>
      </c>
      <c r="L327">
        <v>9.2</v>
      </c>
      <c r="M327" t="s">
        <v>46</v>
      </c>
      <c r="N327" t="s">
        <v>1267</v>
      </c>
      <c r="O327">
        <v>17.38</v>
      </c>
      <c r="P327">
        <v>15.97</v>
      </c>
      <c r="Q327">
        <v>15.97</v>
      </c>
      <c r="R327">
        <v>16.04</v>
      </c>
      <c r="S327">
        <v>8.79</v>
      </c>
      <c r="T327">
        <v>1.67</v>
      </c>
      <c r="U327">
        <v>24.56</v>
      </c>
      <c r="V327">
        <v>755</v>
      </c>
      <c r="W327">
        <v>16.82</v>
      </c>
      <c r="X327" t="s">
        <v>1790</v>
      </c>
      <c r="Y327" t="s">
        <v>2859</v>
      </c>
      <c r="Z327">
        <v>0.72</v>
      </c>
      <c r="AA327">
        <v>758</v>
      </c>
      <c r="AB327">
        <v>196</v>
      </c>
      <c r="AC327">
        <v>3.09</v>
      </c>
      <c r="AD327" t="s">
        <v>2860</v>
      </c>
      <c r="AE327" t="s">
        <v>2861</v>
      </c>
      <c r="AF327" t="s">
        <v>2862</v>
      </c>
      <c r="AG327" t="s">
        <v>2863</v>
      </c>
      <c r="AH327">
        <v>2.54</v>
      </c>
      <c r="AI327">
        <v>2.11</v>
      </c>
      <c r="AJ327">
        <v>28.49</v>
      </c>
      <c r="AK327">
        <v>36.83</v>
      </c>
      <c r="AL327">
        <v>1</v>
      </c>
      <c r="AM327">
        <v>5.74</v>
      </c>
      <c r="AN327">
        <v>33.54</v>
      </c>
      <c r="AO327">
        <v>14.36</v>
      </c>
      <c r="AP327">
        <v>20.45</v>
      </c>
    </row>
    <row r="328" spans="1:42">
      <c r="A328">
        <v>327</v>
      </c>
      <c r="B328" t="str">
        <f>"601390"</f>
        <v>601390</v>
      </c>
      <c r="C328" t="s">
        <v>2864</v>
      </c>
      <c r="D328">
        <v>5.73</v>
      </c>
      <c r="E328">
        <v>1.6</v>
      </c>
      <c r="F328">
        <v>0.09</v>
      </c>
      <c r="G328" t="s">
        <v>231</v>
      </c>
      <c r="H328">
        <v>7590</v>
      </c>
      <c r="I328">
        <v>5.73</v>
      </c>
      <c r="J328">
        <v>5.74</v>
      </c>
      <c r="K328" t="s">
        <v>2858</v>
      </c>
      <c r="L328">
        <v>0.42</v>
      </c>
      <c r="M328" t="s">
        <v>46</v>
      </c>
      <c r="N328" t="s">
        <v>2865</v>
      </c>
      <c r="O328">
        <v>5.74</v>
      </c>
      <c r="P328">
        <v>5.61</v>
      </c>
      <c r="Q328">
        <v>5.64</v>
      </c>
      <c r="R328">
        <v>5.64</v>
      </c>
      <c r="S328">
        <v>2.3</v>
      </c>
      <c r="T328">
        <v>1.19</v>
      </c>
      <c r="U328">
        <v>-47.29</v>
      </c>
      <c r="V328" t="s">
        <v>2866</v>
      </c>
      <c r="W328">
        <v>5.69</v>
      </c>
      <c r="X328" t="s">
        <v>2458</v>
      </c>
      <c r="Y328" t="s">
        <v>2867</v>
      </c>
      <c r="Z328">
        <v>0.54</v>
      </c>
      <c r="AA328">
        <v>2033</v>
      </c>
      <c r="AB328">
        <v>9523</v>
      </c>
      <c r="AC328">
        <v>0.52</v>
      </c>
      <c r="AD328" t="s">
        <v>2868</v>
      </c>
      <c r="AE328" t="s">
        <v>1527</v>
      </c>
      <c r="AF328" t="s">
        <v>2869</v>
      </c>
      <c r="AG328" t="s">
        <v>2870</v>
      </c>
      <c r="AH328">
        <v>0.53</v>
      </c>
      <c r="AI328">
        <v>-1.55</v>
      </c>
      <c r="AJ328">
        <v>1.17</v>
      </c>
      <c r="AK328">
        <v>2.19</v>
      </c>
      <c r="AL328">
        <v>2</v>
      </c>
      <c r="AM328">
        <v>1.6</v>
      </c>
      <c r="AN328">
        <v>6.9</v>
      </c>
      <c r="AO328">
        <v>-2.55</v>
      </c>
      <c r="AP328">
        <v>8.73</v>
      </c>
    </row>
    <row r="329" spans="1:42">
      <c r="A329">
        <v>328</v>
      </c>
      <c r="B329" t="str">
        <f>"600072"</f>
        <v>600072</v>
      </c>
      <c r="C329" t="s">
        <v>2871</v>
      </c>
      <c r="D329">
        <v>18.18</v>
      </c>
      <c r="E329">
        <v>-1.14</v>
      </c>
      <c r="F329">
        <v>-0.21</v>
      </c>
      <c r="G329" t="s">
        <v>2381</v>
      </c>
      <c r="H329">
        <v>3276</v>
      </c>
      <c r="I329">
        <v>18.17</v>
      </c>
      <c r="J329">
        <v>18.18</v>
      </c>
      <c r="K329" t="s">
        <v>2858</v>
      </c>
      <c r="L329">
        <v>3.67</v>
      </c>
      <c r="M329" t="s">
        <v>46</v>
      </c>
      <c r="N329" t="s">
        <v>2320</v>
      </c>
      <c r="O329">
        <v>18.23</v>
      </c>
      <c r="P329">
        <v>17.85</v>
      </c>
      <c r="Q329">
        <v>18.15</v>
      </c>
      <c r="R329">
        <v>18.39</v>
      </c>
      <c r="S329">
        <v>2.07</v>
      </c>
      <c r="T329">
        <v>1.1</v>
      </c>
      <c r="U329">
        <v>17.96</v>
      </c>
      <c r="V329">
        <v>1315</v>
      </c>
      <c r="W329">
        <v>18.05</v>
      </c>
      <c r="X329" t="s">
        <v>960</v>
      </c>
      <c r="Y329" t="s">
        <v>1987</v>
      </c>
      <c r="Z329">
        <v>1.07</v>
      </c>
      <c r="AA329">
        <v>2412</v>
      </c>
      <c r="AB329">
        <v>358</v>
      </c>
      <c r="AC329">
        <v>2.5</v>
      </c>
      <c r="AD329" t="s">
        <v>93</v>
      </c>
      <c r="AE329" t="s">
        <v>2872</v>
      </c>
      <c r="AF329" t="s">
        <v>2873</v>
      </c>
      <c r="AG329" t="s">
        <v>2874</v>
      </c>
      <c r="AH329">
        <v>0.72</v>
      </c>
      <c r="AI329">
        <v>1.34</v>
      </c>
      <c r="AJ329">
        <v>13.49</v>
      </c>
      <c r="AK329">
        <v>20.35</v>
      </c>
      <c r="AL329">
        <v>-1</v>
      </c>
      <c r="AM329">
        <v>-1.14</v>
      </c>
      <c r="AN329">
        <v>53.42</v>
      </c>
      <c r="AO329">
        <v>3.06</v>
      </c>
      <c r="AP329">
        <v>38.78</v>
      </c>
    </row>
    <row r="330" spans="1:42">
      <c r="A330">
        <v>329</v>
      </c>
      <c r="B330" t="str">
        <f>"002920"</f>
        <v>002920</v>
      </c>
      <c r="C330" t="s">
        <v>2875</v>
      </c>
      <c r="D330">
        <v>128.84</v>
      </c>
      <c r="E330">
        <v>-0.76</v>
      </c>
      <c r="F330">
        <v>-0.99</v>
      </c>
      <c r="G330" t="s">
        <v>1566</v>
      </c>
      <c r="H330">
        <v>348</v>
      </c>
      <c r="I330">
        <v>128.8</v>
      </c>
      <c r="J330">
        <v>128.84</v>
      </c>
      <c r="K330" t="s">
        <v>2858</v>
      </c>
      <c r="L330">
        <v>0.69</v>
      </c>
      <c r="M330" t="s">
        <v>46</v>
      </c>
      <c r="N330" t="s">
        <v>2876</v>
      </c>
      <c r="O330">
        <v>129.99</v>
      </c>
      <c r="P330">
        <v>126.71</v>
      </c>
      <c r="Q330">
        <v>129.4</v>
      </c>
      <c r="R330">
        <v>129.83</v>
      </c>
      <c r="S330">
        <v>2.53</v>
      </c>
      <c r="T330">
        <v>0.82</v>
      </c>
      <c r="U330">
        <v>-2.94</v>
      </c>
      <c r="V330">
        <v>-2</v>
      </c>
      <c r="W330">
        <v>128.4</v>
      </c>
      <c r="X330" t="s">
        <v>2877</v>
      </c>
      <c r="Y330" t="s">
        <v>2878</v>
      </c>
      <c r="Z330">
        <v>1.09</v>
      </c>
      <c r="AA330">
        <v>14</v>
      </c>
      <c r="AB330">
        <v>8</v>
      </c>
      <c r="AC330">
        <v>9.86</v>
      </c>
      <c r="AD330" t="s">
        <v>2879</v>
      </c>
      <c r="AE330" t="s">
        <v>2880</v>
      </c>
      <c r="AF330" t="s">
        <v>2881</v>
      </c>
      <c r="AG330" t="s">
        <v>2882</v>
      </c>
      <c r="AH330">
        <v>-1.8</v>
      </c>
      <c r="AI330">
        <v>-6.23</v>
      </c>
      <c r="AJ330">
        <v>2.12</v>
      </c>
      <c r="AK330">
        <v>4.9</v>
      </c>
      <c r="AL330">
        <v>-2</v>
      </c>
      <c r="AM330">
        <v>-0.76</v>
      </c>
      <c r="AN330">
        <v>22.95</v>
      </c>
      <c r="AO330">
        <v>3.07</v>
      </c>
      <c r="AP330">
        <v>16.65</v>
      </c>
    </row>
    <row r="331" spans="1:42">
      <c r="A331">
        <v>330</v>
      </c>
      <c r="B331" t="str">
        <f>"600732"</f>
        <v>600732</v>
      </c>
      <c r="C331" t="s">
        <v>2883</v>
      </c>
      <c r="D331">
        <v>15.9</v>
      </c>
      <c r="E331">
        <v>-1.73</v>
      </c>
      <c r="F331">
        <v>-0.28</v>
      </c>
      <c r="G331" t="s">
        <v>2884</v>
      </c>
      <c r="H331">
        <v>4316</v>
      </c>
      <c r="I331">
        <v>15.9</v>
      </c>
      <c r="J331">
        <v>15.91</v>
      </c>
      <c r="K331" t="s">
        <v>2858</v>
      </c>
      <c r="L331">
        <v>1.92</v>
      </c>
      <c r="M331" t="s">
        <v>46</v>
      </c>
      <c r="N331" t="s">
        <v>2885</v>
      </c>
      <c r="O331">
        <v>16.21</v>
      </c>
      <c r="P331">
        <v>15.68</v>
      </c>
      <c r="Q331">
        <v>16.16</v>
      </c>
      <c r="R331">
        <v>16.18</v>
      </c>
      <c r="S331">
        <v>3.28</v>
      </c>
      <c r="T331">
        <v>1.31</v>
      </c>
      <c r="U331">
        <v>65.32</v>
      </c>
      <c r="V331">
        <v>5190</v>
      </c>
      <c r="W331">
        <v>15.92</v>
      </c>
      <c r="X331" t="s">
        <v>978</v>
      </c>
      <c r="Y331" t="s">
        <v>2291</v>
      </c>
      <c r="Z331">
        <v>0.99</v>
      </c>
      <c r="AA331">
        <v>3886</v>
      </c>
      <c r="AB331">
        <v>131</v>
      </c>
      <c r="AC331">
        <v>2.9</v>
      </c>
      <c r="AD331" t="s">
        <v>2886</v>
      </c>
      <c r="AE331" t="s">
        <v>2887</v>
      </c>
      <c r="AF331" t="s">
        <v>2888</v>
      </c>
      <c r="AG331" t="s">
        <v>2889</v>
      </c>
      <c r="AH331">
        <v>-3.93</v>
      </c>
      <c r="AI331">
        <v>-10.67</v>
      </c>
      <c r="AJ331">
        <v>4.62</v>
      </c>
      <c r="AK331">
        <v>9.28</v>
      </c>
      <c r="AL331">
        <v>-6</v>
      </c>
      <c r="AM331">
        <v>-1.73</v>
      </c>
      <c r="AN331">
        <v>-40.27</v>
      </c>
      <c r="AO331">
        <v>-10.27</v>
      </c>
      <c r="AP331">
        <v>-48.28</v>
      </c>
    </row>
    <row r="332" spans="1:42">
      <c r="A332">
        <v>331</v>
      </c>
      <c r="B332" t="str">
        <f>"605228"</f>
        <v>605228</v>
      </c>
      <c r="C332" t="s">
        <v>2890</v>
      </c>
      <c r="D332">
        <v>13.15</v>
      </c>
      <c r="E332">
        <v>-9.93</v>
      </c>
      <c r="F332">
        <v>-1.45</v>
      </c>
      <c r="G332" t="s">
        <v>2891</v>
      </c>
      <c r="H332">
        <v>4980</v>
      </c>
      <c r="I332">
        <v>13.15</v>
      </c>
      <c r="J332">
        <v>13.16</v>
      </c>
      <c r="K332" t="s">
        <v>2892</v>
      </c>
      <c r="L332">
        <v>37.15</v>
      </c>
      <c r="M332" t="s">
        <v>46</v>
      </c>
      <c r="N332" t="s">
        <v>289</v>
      </c>
      <c r="O332">
        <v>14.01</v>
      </c>
      <c r="P332">
        <v>13.14</v>
      </c>
      <c r="Q332">
        <v>13.81</v>
      </c>
      <c r="R332">
        <v>14.6</v>
      </c>
      <c r="S332">
        <v>5.96</v>
      </c>
      <c r="T332">
        <v>1.86</v>
      </c>
      <c r="U332">
        <v>69.67</v>
      </c>
      <c r="V332">
        <v>3634</v>
      </c>
      <c r="W332">
        <v>13.31</v>
      </c>
      <c r="X332" t="s">
        <v>2893</v>
      </c>
      <c r="Y332" t="s">
        <v>2222</v>
      </c>
      <c r="Z332">
        <v>1.43</v>
      </c>
      <c r="AA332">
        <v>42</v>
      </c>
      <c r="AB332">
        <v>257</v>
      </c>
      <c r="AC332">
        <v>3.72</v>
      </c>
      <c r="AD332" t="s">
        <v>2894</v>
      </c>
      <c r="AE332" t="s">
        <v>2895</v>
      </c>
      <c r="AF332" t="s">
        <v>2896</v>
      </c>
      <c r="AG332" t="s">
        <v>2897</v>
      </c>
      <c r="AH332">
        <v>-10.79</v>
      </c>
      <c r="AI332">
        <v>2.1</v>
      </c>
      <c r="AJ332">
        <v>90.38</v>
      </c>
      <c r="AK332">
        <v>136.92</v>
      </c>
      <c r="AL332">
        <v>-2</v>
      </c>
      <c r="AM332">
        <v>-9.93</v>
      </c>
      <c r="AN332">
        <v>55.62</v>
      </c>
      <c r="AO332">
        <v>17.41</v>
      </c>
      <c r="AP332">
        <v>56.55</v>
      </c>
    </row>
    <row r="333" spans="1:42">
      <c r="A333">
        <v>332</v>
      </c>
      <c r="B333" t="str">
        <f>"000925"</f>
        <v>000925</v>
      </c>
      <c r="C333" t="s">
        <v>2898</v>
      </c>
      <c r="D333">
        <v>9.58</v>
      </c>
      <c r="E333">
        <v>3.79</v>
      </c>
      <c r="F333">
        <v>0.35</v>
      </c>
      <c r="G333" t="s">
        <v>2899</v>
      </c>
      <c r="H333">
        <v>6683</v>
      </c>
      <c r="I333">
        <v>9.57</v>
      </c>
      <c r="J333">
        <v>9.58</v>
      </c>
      <c r="K333" t="s">
        <v>2892</v>
      </c>
      <c r="L333">
        <v>9.33</v>
      </c>
      <c r="M333" t="s">
        <v>46</v>
      </c>
      <c r="N333" t="s">
        <v>2900</v>
      </c>
      <c r="O333">
        <v>9.64</v>
      </c>
      <c r="P333">
        <v>9.17</v>
      </c>
      <c r="Q333">
        <v>9.28</v>
      </c>
      <c r="R333">
        <v>9.23</v>
      </c>
      <c r="S333">
        <v>5.09</v>
      </c>
      <c r="T333">
        <v>0.7</v>
      </c>
      <c r="U333">
        <v>-48.16</v>
      </c>
      <c r="V333">
        <v>-6150</v>
      </c>
      <c r="W333">
        <v>9.5</v>
      </c>
      <c r="X333" t="s">
        <v>1366</v>
      </c>
      <c r="Y333" t="s">
        <v>2901</v>
      </c>
      <c r="Z333">
        <v>0.86</v>
      </c>
      <c r="AA333">
        <v>906</v>
      </c>
      <c r="AB333">
        <v>72</v>
      </c>
      <c r="AC333">
        <v>1.93</v>
      </c>
      <c r="AD333" t="s">
        <v>2902</v>
      </c>
      <c r="AE333" t="s">
        <v>2903</v>
      </c>
      <c r="AF333" t="s">
        <v>2904</v>
      </c>
      <c r="AG333" t="s">
        <v>2905</v>
      </c>
      <c r="AH333">
        <v>-1.34</v>
      </c>
      <c r="AI333">
        <v>-9.71</v>
      </c>
      <c r="AJ333">
        <v>29.39</v>
      </c>
      <c r="AK333">
        <v>76.01</v>
      </c>
      <c r="AL333">
        <v>1</v>
      </c>
      <c r="AM333">
        <v>3.79</v>
      </c>
      <c r="AN333">
        <v>40.47</v>
      </c>
      <c r="AO333">
        <v>19.9</v>
      </c>
      <c r="AP333">
        <v>28.07</v>
      </c>
    </row>
    <row r="334" spans="1:42">
      <c r="A334">
        <v>333</v>
      </c>
      <c r="B334" t="str">
        <f>"300158"</f>
        <v>300158</v>
      </c>
      <c r="C334" t="s">
        <v>2906</v>
      </c>
      <c r="D334">
        <v>7.06</v>
      </c>
      <c r="E334">
        <v>5.69</v>
      </c>
      <c r="F334">
        <v>0.38</v>
      </c>
      <c r="G334" t="s">
        <v>2907</v>
      </c>
      <c r="H334" t="s">
        <v>1280</v>
      </c>
      <c r="I334">
        <v>7.05</v>
      </c>
      <c r="J334">
        <v>7.06</v>
      </c>
      <c r="K334" t="s">
        <v>2908</v>
      </c>
      <c r="L334">
        <v>6.86</v>
      </c>
      <c r="M334" t="s">
        <v>46</v>
      </c>
      <c r="N334" t="s">
        <v>2909</v>
      </c>
      <c r="O334">
        <v>7.06</v>
      </c>
      <c r="P334">
        <v>6.65</v>
      </c>
      <c r="Q334">
        <v>6.66</v>
      </c>
      <c r="R334">
        <v>6.68</v>
      </c>
      <c r="S334">
        <v>6.14</v>
      </c>
      <c r="T334">
        <v>1.92</v>
      </c>
      <c r="U334">
        <v>-8.65</v>
      </c>
      <c r="V334">
        <v>-1339</v>
      </c>
      <c r="W334">
        <v>6.89</v>
      </c>
      <c r="X334" t="s">
        <v>142</v>
      </c>
      <c r="Y334" t="s">
        <v>2910</v>
      </c>
      <c r="Z334">
        <v>0.52</v>
      </c>
      <c r="AA334">
        <v>3305</v>
      </c>
      <c r="AB334">
        <v>954</v>
      </c>
      <c r="AC334">
        <v>1.39</v>
      </c>
      <c r="AD334" t="s">
        <v>2911</v>
      </c>
      <c r="AE334" t="s">
        <v>2912</v>
      </c>
      <c r="AF334" t="s">
        <v>610</v>
      </c>
      <c r="AG334" t="s">
        <v>2913</v>
      </c>
      <c r="AH334">
        <v>7.13</v>
      </c>
      <c r="AI334">
        <v>7.13</v>
      </c>
      <c r="AJ334">
        <v>11.92</v>
      </c>
      <c r="AK334">
        <v>24.72</v>
      </c>
      <c r="AL334">
        <v>3</v>
      </c>
      <c r="AM334">
        <v>5.69</v>
      </c>
      <c r="AN334">
        <v>-5.23</v>
      </c>
      <c r="AO334">
        <v>11.89</v>
      </c>
      <c r="AP334">
        <v>-9.6</v>
      </c>
    </row>
    <row r="335" spans="1:42">
      <c r="A335">
        <v>334</v>
      </c>
      <c r="B335" t="str">
        <f>"002703"</f>
        <v>002703</v>
      </c>
      <c r="C335" t="s">
        <v>2914</v>
      </c>
      <c r="D335">
        <v>15.53</v>
      </c>
      <c r="E335">
        <v>-0.32</v>
      </c>
      <c r="F335">
        <v>-0.05</v>
      </c>
      <c r="G335" t="s">
        <v>2066</v>
      </c>
      <c r="H335">
        <v>6322</v>
      </c>
      <c r="I335">
        <v>15.53</v>
      </c>
      <c r="J335">
        <v>15.54</v>
      </c>
      <c r="K335" t="s">
        <v>2908</v>
      </c>
      <c r="L335">
        <v>5.67</v>
      </c>
      <c r="M335" t="s">
        <v>46</v>
      </c>
      <c r="N335" t="s">
        <v>966</v>
      </c>
      <c r="O335">
        <v>15.75</v>
      </c>
      <c r="P335">
        <v>15.2</v>
      </c>
      <c r="Q335">
        <v>15.58</v>
      </c>
      <c r="R335">
        <v>15.58</v>
      </c>
      <c r="S335">
        <v>3.53</v>
      </c>
      <c r="T335">
        <v>0.53</v>
      </c>
      <c r="U335">
        <v>27.85</v>
      </c>
      <c r="V335">
        <v>2300</v>
      </c>
      <c r="W335">
        <v>15.42</v>
      </c>
      <c r="X335" t="s">
        <v>2915</v>
      </c>
      <c r="Y335" t="s">
        <v>1296</v>
      </c>
      <c r="Z335">
        <v>1.22</v>
      </c>
      <c r="AA335">
        <v>1676</v>
      </c>
      <c r="AB335">
        <v>623</v>
      </c>
      <c r="AC335">
        <v>8.56</v>
      </c>
      <c r="AD335" t="s">
        <v>2916</v>
      </c>
      <c r="AE335" t="s">
        <v>2917</v>
      </c>
      <c r="AF335" t="s">
        <v>2918</v>
      </c>
      <c r="AG335" t="s">
        <v>2919</v>
      </c>
      <c r="AH335">
        <v>-4.67</v>
      </c>
      <c r="AI335">
        <v>-2.69</v>
      </c>
      <c r="AJ335">
        <v>31.97</v>
      </c>
      <c r="AK335">
        <v>59.68</v>
      </c>
      <c r="AL335">
        <v>-2</v>
      </c>
      <c r="AM335">
        <v>-0.32</v>
      </c>
      <c r="AN335">
        <v>67.53</v>
      </c>
      <c r="AO335">
        <v>9.52</v>
      </c>
      <c r="AP335">
        <v>59.28</v>
      </c>
    </row>
    <row r="336" spans="1:42">
      <c r="A336">
        <v>335</v>
      </c>
      <c r="B336" t="str">
        <f>"002304"</f>
        <v>002304</v>
      </c>
      <c r="C336" t="s">
        <v>2920</v>
      </c>
      <c r="D336">
        <v>115.9</v>
      </c>
      <c r="E336">
        <v>-0.63</v>
      </c>
      <c r="F336">
        <v>-0.73</v>
      </c>
      <c r="G336" t="s">
        <v>2921</v>
      </c>
      <c r="H336">
        <v>510</v>
      </c>
      <c r="I336">
        <v>115.9</v>
      </c>
      <c r="J336">
        <v>115.91</v>
      </c>
      <c r="K336" t="s">
        <v>2922</v>
      </c>
      <c r="L336">
        <v>0.28</v>
      </c>
      <c r="M336" t="s">
        <v>46</v>
      </c>
      <c r="N336" t="s">
        <v>2923</v>
      </c>
      <c r="O336">
        <v>116.9</v>
      </c>
      <c r="P336">
        <v>114.8</v>
      </c>
      <c r="Q336">
        <v>116.63</v>
      </c>
      <c r="R336">
        <v>116.63</v>
      </c>
      <c r="S336">
        <v>1.8</v>
      </c>
      <c r="T336">
        <v>1.36</v>
      </c>
      <c r="U336">
        <v>-37.14</v>
      </c>
      <c r="V336">
        <v>-117</v>
      </c>
      <c r="W336">
        <v>115.75</v>
      </c>
      <c r="X336" t="s">
        <v>377</v>
      </c>
      <c r="Y336" t="s">
        <v>2924</v>
      </c>
      <c r="Z336">
        <v>1.11</v>
      </c>
      <c r="AA336">
        <v>30</v>
      </c>
      <c r="AB336">
        <v>184</v>
      </c>
      <c r="AC336">
        <v>3.35</v>
      </c>
      <c r="AD336" t="s">
        <v>2925</v>
      </c>
      <c r="AE336" t="s">
        <v>2926</v>
      </c>
      <c r="AF336" t="s">
        <v>2927</v>
      </c>
      <c r="AG336" t="s">
        <v>2928</v>
      </c>
      <c r="AH336">
        <v>-0.51</v>
      </c>
      <c r="AI336">
        <v>-2.38</v>
      </c>
      <c r="AJ336">
        <v>0.7</v>
      </c>
      <c r="AK336">
        <v>1.3</v>
      </c>
      <c r="AL336">
        <v>-1</v>
      </c>
      <c r="AM336">
        <v>-0.63</v>
      </c>
      <c r="AN336">
        <v>-26.07</v>
      </c>
      <c r="AO336">
        <v>-4.3</v>
      </c>
      <c r="AP336">
        <v>-16.74</v>
      </c>
    </row>
    <row r="337" spans="1:42">
      <c r="A337">
        <v>336</v>
      </c>
      <c r="B337" t="str">
        <f>"002465"</f>
        <v>002465</v>
      </c>
      <c r="C337" t="s">
        <v>2929</v>
      </c>
      <c r="D337">
        <v>12.72</v>
      </c>
      <c r="E337">
        <v>0.47</v>
      </c>
      <c r="F337">
        <v>0.06</v>
      </c>
      <c r="G337" t="s">
        <v>969</v>
      </c>
      <c r="H337">
        <v>4386</v>
      </c>
      <c r="I337">
        <v>12.71</v>
      </c>
      <c r="J337">
        <v>12.72</v>
      </c>
      <c r="K337" t="s">
        <v>2922</v>
      </c>
      <c r="L337">
        <v>1.65</v>
      </c>
      <c r="M337" t="s">
        <v>46</v>
      </c>
      <c r="N337" t="s">
        <v>2328</v>
      </c>
      <c r="O337">
        <v>12.83</v>
      </c>
      <c r="P337">
        <v>12.53</v>
      </c>
      <c r="Q337">
        <v>12.61</v>
      </c>
      <c r="R337">
        <v>12.66</v>
      </c>
      <c r="S337">
        <v>2.37</v>
      </c>
      <c r="T337">
        <v>0.86</v>
      </c>
      <c r="U337">
        <v>8</v>
      </c>
      <c r="V337">
        <v>418</v>
      </c>
      <c r="W337">
        <v>12.71</v>
      </c>
      <c r="X337" t="s">
        <v>2930</v>
      </c>
      <c r="Y337" t="s">
        <v>2915</v>
      </c>
      <c r="Z337">
        <v>1.21</v>
      </c>
      <c r="AA337">
        <v>499</v>
      </c>
      <c r="AB337">
        <v>450</v>
      </c>
      <c r="AC337">
        <v>2.52</v>
      </c>
      <c r="AD337" t="s">
        <v>2931</v>
      </c>
      <c r="AE337" t="s">
        <v>2932</v>
      </c>
      <c r="AF337" t="s">
        <v>2933</v>
      </c>
      <c r="AG337" t="s">
        <v>2934</v>
      </c>
      <c r="AH337">
        <v>-2.45</v>
      </c>
      <c r="AI337">
        <v>-2.15</v>
      </c>
      <c r="AJ337">
        <v>5.08</v>
      </c>
      <c r="AK337">
        <v>11.3</v>
      </c>
      <c r="AL337">
        <v>1</v>
      </c>
      <c r="AM337">
        <v>0.47</v>
      </c>
      <c r="AN337">
        <v>59.6</v>
      </c>
      <c r="AO337">
        <v>2.91</v>
      </c>
      <c r="AP337">
        <v>49.12</v>
      </c>
    </row>
    <row r="338" spans="1:42">
      <c r="A338">
        <v>337</v>
      </c>
      <c r="B338" t="str">
        <f>"600406"</f>
        <v>600406</v>
      </c>
      <c r="C338" t="s">
        <v>2935</v>
      </c>
      <c r="D338">
        <v>21.98</v>
      </c>
      <c r="E338">
        <v>-0.14</v>
      </c>
      <c r="F338">
        <v>-0.03</v>
      </c>
      <c r="G338" t="s">
        <v>1447</v>
      </c>
      <c r="H338">
        <v>3974</v>
      </c>
      <c r="I338">
        <v>21.97</v>
      </c>
      <c r="J338">
        <v>21.98</v>
      </c>
      <c r="K338" t="s">
        <v>2922</v>
      </c>
      <c r="L338">
        <v>0.28</v>
      </c>
      <c r="M338" t="s">
        <v>46</v>
      </c>
      <c r="N338" t="s">
        <v>2936</v>
      </c>
      <c r="O338">
        <v>22.02</v>
      </c>
      <c r="P338">
        <v>21.55</v>
      </c>
      <c r="Q338">
        <v>22.01</v>
      </c>
      <c r="R338">
        <v>22.01</v>
      </c>
      <c r="S338">
        <v>2.14</v>
      </c>
      <c r="T338">
        <v>2</v>
      </c>
      <c r="U338">
        <v>-36.62</v>
      </c>
      <c r="V338">
        <v>-633</v>
      </c>
      <c r="W338">
        <v>21.81</v>
      </c>
      <c r="X338" t="s">
        <v>1438</v>
      </c>
      <c r="Y338" t="s">
        <v>829</v>
      </c>
      <c r="Z338">
        <v>0.99</v>
      </c>
      <c r="AA338">
        <v>33</v>
      </c>
      <c r="AB338">
        <v>97</v>
      </c>
      <c r="AC338">
        <v>3.99</v>
      </c>
      <c r="AD338" t="s">
        <v>2937</v>
      </c>
      <c r="AE338" t="s">
        <v>2938</v>
      </c>
      <c r="AF338" t="s">
        <v>2939</v>
      </c>
      <c r="AG338" t="s">
        <v>2940</v>
      </c>
      <c r="AH338">
        <v>-0.14</v>
      </c>
      <c r="AI338">
        <v>-1.17</v>
      </c>
      <c r="AJ338">
        <v>0.59</v>
      </c>
      <c r="AK338">
        <v>0.97</v>
      </c>
      <c r="AL338">
        <v>-1</v>
      </c>
      <c r="AM338">
        <v>-0.14</v>
      </c>
      <c r="AN338">
        <v>9.85</v>
      </c>
      <c r="AO338">
        <v>-2.66</v>
      </c>
      <c r="AP338">
        <v>0.69</v>
      </c>
    </row>
    <row r="339" spans="1:42">
      <c r="A339">
        <v>338</v>
      </c>
      <c r="B339" t="str">
        <f>"002355"</f>
        <v>002355</v>
      </c>
      <c r="C339" t="s">
        <v>2941</v>
      </c>
      <c r="D339">
        <v>6.38</v>
      </c>
      <c r="E339">
        <v>0</v>
      </c>
      <c r="F339">
        <v>0</v>
      </c>
      <c r="G339" t="s">
        <v>2942</v>
      </c>
      <c r="H339">
        <v>6680</v>
      </c>
      <c r="I339">
        <v>6.38</v>
      </c>
      <c r="J339">
        <v>6.39</v>
      </c>
      <c r="K339" t="s">
        <v>2943</v>
      </c>
      <c r="L339">
        <v>12.27</v>
      </c>
      <c r="M339" t="s">
        <v>46</v>
      </c>
      <c r="N339" t="s">
        <v>2237</v>
      </c>
      <c r="O339">
        <v>6.55</v>
      </c>
      <c r="P339">
        <v>6.11</v>
      </c>
      <c r="Q339">
        <v>6.31</v>
      </c>
      <c r="R339">
        <v>6.38</v>
      </c>
      <c r="S339">
        <v>6.9</v>
      </c>
      <c r="T339">
        <v>0.67</v>
      </c>
      <c r="U339">
        <v>4.73</v>
      </c>
      <c r="V339">
        <v>846</v>
      </c>
      <c r="W339">
        <v>6.36</v>
      </c>
      <c r="X339" t="s">
        <v>2002</v>
      </c>
      <c r="Y339" t="s">
        <v>2944</v>
      </c>
      <c r="Z339">
        <v>1.13</v>
      </c>
      <c r="AA339">
        <v>3193</v>
      </c>
      <c r="AB339">
        <v>3731</v>
      </c>
      <c r="AC339">
        <v>3.26</v>
      </c>
      <c r="AD339" t="s">
        <v>2945</v>
      </c>
      <c r="AE339" t="s">
        <v>2946</v>
      </c>
      <c r="AF339" t="s">
        <v>2947</v>
      </c>
      <c r="AG339" t="s">
        <v>2948</v>
      </c>
      <c r="AH339">
        <v>-4.49</v>
      </c>
      <c r="AI339">
        <v>8.5</v>
      </c>
      <c r="AJ339">
        <v>56.02</v>
      </c>
      <c r="AK339">
        <v>103.38</v>
      </c>
      <c r="AL339">
        <v>0</v>
      </c>
      <c r="AM339">
        <v>0</v>
      </c>
      <c r="AN339">
        <v>53.37</v>
      </c>
      <c r="AO339">
        <v>15.37</v>
      </c>
      <c r="AP339">
        <v>31.01</v>
      </c>
    </row>
    <row r="340" spans="1:42">
      <c r="A340">
        <v>339</v>
      </c>
      <c r="B340" t="str">
        <f>"002385"</f>
        <v>002385</v>
      </c>
      <c r="C340" t="s">
        <v>2949</v>
      </c>
      <c r="D340">
        <v>7.17</v>
      </c>
      <c r="E340">
        <v>-1.51</v>
      </c>
      <c r="F340">
        <v>-0.11</v>
      </c>
      <c r="G340" t="s">
        <v>2950</v>
      </c>
      <c r="H340">
        <v>3961</v>
      </c>
      <c r="I340">
        <v>7.17</v>
      </c>
      <c r="J340">
        <v>7.18</v>
      </c>
      <c r="K340" t="s">
        <v>2951</v>
      </c>
      <c r="L340">
        <v>2.03</v>
      </c>
      <c r="M340" t="s">
        <v>46</v>
      </c>
      <c r="N340" t="s">
        <v>2952</v>
      </c>
      <c r="O340">
        <v>7.29</v>
      </c>
      <c r="P340">
        <v>7.04</v>
      </c>
      <c r="Q340">
        <v>7.18</v>
      </c>
      <c r="R340">
        <v>7.28</v>
      </c>
      <c r="S340">
        <v>3.43</v>
      </c>
      <c r="T340">
        <v>0.76</v>
      </c>
      <c r="U340">
        <v>0.11</v>
      </c>
      <c r="V340">
        <v>28</v>
      </c>
      <c r="W340">
        <v>7.18</v>
      </c>
      <c r="X340" t="s">
        <v>898</v>
      </c>
      <c r="Y340" t="s">
        <v>1021</v>
      </c>
      <c r="Z340">
        <v>1.07</v>
      </c>
      <c r="AA340">
        <v>264</v>
      </c>
      <c r="AB340">
        <v>2300</v>
      </c>
      <c r="AC340">
        <v>3.13</v>
      </c>
      <c r="AD340" t="s">
        <v>2953</v>
      </c>
      <c r="AE340" t="s">
        <v>2954</v>
      </c>
      <c r="AF340" t="s">
        <v>2955</v>
      </c>
      <c r="AG340" t="s">
        <v>2956</v>
      </c>
      <c r="AH340">
        <v>-1.51</v>
      </c>
      <c r="AI340">
        <v>1.99</v>
      </c>
      <c r="AJ340">
        <v>6.72</v>
      </c>
      <c r="AK340">
        <v>15.36</v>
      </c>
      <c r="AL340">
        <v>-2</v>
      </c>
      <c r="AM340">
        <v>-1.51</v>
      </c>
      <c r="AN340">
        <v>-18.52</v>
      </c>
      <c r="AO340">
        <v>7.17</v>
      </c>
      <c r="AP340">
        <v>-19.53</v>
      </c>
    </row>
    <row r="341" spans="1:42">
      <c r="A341">
        <v>340</v>
      </c>
      <c r="B341" t="str">
        <f>"300790"</f>
        <v>300790</v>
      </c>
      <c r="C341" t="s">
        <v>2957</v>
      </c>
      <c r="D341">
        <v>17.85</v>
      </c>
      <c r="E341">
        <v>-6.05</v>
      </c>
      <c r="F341">
        <v>-1.15</v>
      </c>
      <c r="G341" t="s">
        <v>1885</v>
      </c>
      <c r="H341">
        <v>3767</v>
      </c>
      <c r="I341">
        <v>17.85</v>
      </c>
      <c r="J341">
        <v>17.86</v>
      </c>
      <c r="K341" t="s">
        <v>2958</v>
      </c>
      <c r="L341">
        <v>10.77</v>
      </c>
      <c r="M341" t="s">
        <v>46</v>
      </c>
      <c r="N341" t="s">
        <v>2959</v>
      </c>
      <c r="O341">
        <v>18.55</v>
      </c>
      <c r="P341">
        <v>17.38</v>
      </c>
      <c r="Q341">
        <v>18.5</v>
      </c>
      <c r="R341">
        <v>19</v>
      </c>
      <c r="S341">
        <v>6.16</v>
      </c>
      <c r="T341">
        <v>0.79</v>
      </c>
      <c r="U341">
        <v>67.22</v>
      </c>
      <c r="V341">
        <v>1732</v>
      </c>
      <c r="W341">
        <v>18</v>
      </c>
      <c r="X341" t="s">
        <v>2222</v>
      </c>
      <c r="Y341" t="s">
        <v>2960</v>
      </c>
      <c r="Z341">
        <v>1.29</v>
      </c>
      <c r="AA341">
        <v>342</v>
      </c>
      <c r="AB341">
        <v>6</v>
      </c>
      <c r="AC341">
        <v>3.22</v>
      </c>
      <c r="AD341" t="s">
        <v>2961</v>
      </c>
      <c r="AE341" t="s">
        <v>2962</v>
      </c>
      <c r="AF341" t="s">
        <v>2963</v>
      </c>
      <c r="AG341" t="s">
        <v>2964</v>
      </c>
      <c r="AH341">
        <v>-6.3</v>
      </c>
      <c r="AI341">
        <v>9.58</v>
      </c>
      <c r="AJ341">
        <v>40.6</v>
      </c>
      <c r="AK341">
        <v>78.72</v>
      </c>
      <c r="AL341">
        <v>-1</v>
      </c>
      <c r="AM341">
        <v>-6.05</v>
      </c>
      <c r="AN341">
        <v>19.8</v>
      </c>
      <c r="AO341">
        <v>16.74</v>
      </c>
      <c r="AP341">
        <v>11.56</v>
      </c>
    </row>
    <row r="342" spans="1:42">
      <c r="A342">
        <v>341</v>
      </c>
      <c r="B342" t="str">
        <f>"300031"</f>
        <v>300031</v>
      </c>
      <c r="C342" t="s">
        <v>2965</v>
      </c>
      <c r="D342">
        <v>19</v>
      </c>
      <c r="E342">
        <v>8.26</v>
      </c>
      <c r="F342">
        <v>1.45</v>
      </c>
      <c r="G342" t="s">
        <v>1420</v>
      </c>
      <c r="H342">
        <v>5410</v>
      </c>
      <c r="I342">
        <v>18.99</v>
      </c>
      <c r="J342">
        <v>19</v>
      </c>
      <c r="K342" t="s">
        <v>2958</v>
      </c>
      <c r="L342">
        <v>7.49</v>
      </c>
      <c r="M342" t="s">
        <v>46</v>
      </c>
      <c r="N342" t="s">
        <v>2966</v>
      </c>
      <c r="O342">
        <v>19.08</v>
      </c>
      <c r="P342">
        <v>17.54</v>
      </c>
      <c r="Q342">
        <v>17.6</v>
      </c>
      <c r="R342">
        <v>17.55</v>
      </c>
      <c r="S342">
        <v>8.77</v>
      </c>
      <c r="T342">
        <v>2.51</v>
      </c>
      <c r="U342">
        <v>-5.74</v>
      </c>
      <c r="V342">
        <v>-196</v>
      </c>
      <c r="W342">
        <v>18.52</v>
      </c>
      <c r="X342" t="s">
        <v>2967</v>
      </c>
      <c r="Y342" t="s">
        <v>1470</v>
      </c>
      <c r="Z342">
        <v>0.49</v>
      </c>
      <c r="AA342">
        <v>691</v>
      </c>
      <c r="AB342">
        <v>469</v>
      </c>
      <c r="AC342">
        <v>2.22</v>
      </c>
      <c r="AD342" t="s">
        <v>2968</v>
      </c>
      <c r="AE342" t="s">
        <v>2969</v>
      </c>
      <c r="AF342" t="s">
        <v>2970</v>
      </c>
      <c r="AG342" t="s">
        <v>2971</v>
      </c>
      <c r="AH342">
        <v>5.2</v>
      </c>
      <c r="AI342">
        <v>2.1</v>
      </c>
      <c r="AJ342">
        <v>11.72</v>
      </c>
      <c r="AK342">
        <v>22.41</v>
      </c>
      <c r="AL342">
        <v>1</v>
      </c>
      <c r="AM342">
        <v>8.26</v>
      </c>
      <c r="AN342">
        <v>37.38</v>
      </c>
      <c r="AO342">
        <v>8.51</v>
      </c>
      <c r="AP342">
        <v>21.1</v>
      </c>
    </row>
    <row r="343" spans="1:42">
      <c r="A343">
        <v>342</v>
      </c>
      <c r="B343" t="str">
        <f>"688167"</f>
        <v>688167</v>
      </c>
      <c r="C343" t="s">
        <v>2972</v>
      </c>
      <c r="D343">
        <v>122.23</v>
      </c>
      <c r="E343">
        <v>2.12</v>
      </c>
      <c r="F343">
        <v>2.54</v>
      </c>
      <c r="G343" t="s">
        <v>2973</v>
      </c>
      <c r="H343">
        <v>291</v>
      </c>
      <c r="I343">
        <v>122</v>
      </c>
      <c r="J343">
        <v>122.23</v>
      </c>
      <c r="K343" t="s">
        <v>2974</v>
      </c>
      <c r="L343">
        <v>5.72</v>
      </c>
      <c r="M343" t="s">
        <v>46</v>
      </c>
      <c r="N343" t="s">
        <v>2975</v>
      </c>
      <c r="O343">
        <v>126.18</v>
      </c>
      <c r="P343">
        <v>118.81</v>
      </c>
      <c r="Q343">
        <v>119.97</v>
      </c>
      <c r="R343">
        <v>119.69</v>
      </c>
      <c r="S343">
        <v>6.16</v>
      </c>
      <c r="T343">
        <v>0.97</v>
      </c>
      <c r="U343">
        <v>20.08</v>
      </c>
      <c r="V343">
        <v>19</v>
      </c>
      <c r="W343">
        <v>122.59</v>
      </c>
      <c r="X343" t="s">
        <v>2976</v>
      </c>
      <c r="Y343" t="s">
        <v>1525</v>
      </c>
      <c r="Z343">
        <v>1.07</v>
      </c>
      <c r="AA343">
        <v>17</v>
      </c>
      <c r="AB343">
        <v>12</v>
      </c>
      <c r="AC343">
        <v>4.56</v>
      </c>
      <c r="AD343" t="s">
        <v>2977</v>
      </c>
      <c r="AE343" t="s">
        <v>2978</v>
      </c>
      <c r="AF343" t="s">
        <v>2979</v>
      </c>
      <c r="AG343" t="s">
        <v>2980</v>
      </c>
      <c r="AH343">
        <v>-0.45</v>
      </c>
      <c r="AI343">
        <v>3.01</v>
      </c>
      <c r="AJ343">
        <v>14.62</v>
      </c>
      <c r="AK343">
        <v>35.11</v>
      </c>
      <c r="AL343">
        <v>1</v>
      </c>
      <c r="AM343">
        <v>2.12</v>
      </c>
      <c r="AN343">
        <v>31.57</v>
      </c>
      <c r="AO343">
        <v>41.75</v>
      </c>
      <c r="AP343">
        <v>16.2</v>
      </c>
    </row>
    <row r="344" spans="1:42">
      <c r="A344">
        <v>343</v>
      </c>
      <c r="B344" t="str">
        <f>"300316"</f>
        <v>300316</v>
      </c>
      <c r="C344" t="s">
        <v>2981</v>
      </c>
      <c r="D344">
        <v>42.76</v>
      </c>
      <c r="E344">
        <v>-0.95</v>
      </c>
      <c r="F344">
        <v>-0.41</v>
      </c>
      <c r="G344" t="s">
        <v>829</v>
      </c>
      <c r="H344">
        <v>1029</v>
      </c>
      <c r="I344">
        <v>42.76</v>
      </c>
      <c r="J344">
        <v>42.77</v>
      </c>
      <c r="K344" t="s">
        <v>2982</v>
      </c>
      <c r="L344">
        <v>0.9</v>
      </c>
      <c r="M344" t="s">
        <v>46</v>
      </c>
      <c r="N344" t="s">
        <v>2983</v>
      </c>
      <c r="O344">
        <v>44.2</v>
      </c>
      <c r="P344">
        <v>42.32</v>
      </c>
      <c r="Q344">
        <v>43.2</v>
      </c>
      <c r="R344">
        <v>43.17</v>
      </c>
      <c r="S344">
        <v>4.35</v>
      </c>
      <c r="T344">
        <v>1.07</v>
      </c>
      <c r="U344">
        <v>66.49</v>
      </c>
      <c r="V344">
        <v>290</v>
      </c>
      <c r="W344">
        <v>43.02</v>
      </c>
      <c r="X344" t="s">
        <v>2984</v>
      </c>
      <c r="Y344" t="s">
        <v>2685</v>
      </c>
      <c r="Z344">
        <v>0.95</v>
      </c>
      <c r="AA344">
        <v>135</v>
      </c>
      <c r="AB344">
        <v>28</v>
      </c>
      <c r="AC344">
        <v>4.04</v>
      </c>
      <c r="AD344" t="s">
        <v>2985</v>
      </c>
      <c r="AE344" t="s">
        <v>2986</v>
      </c>
      <c r="AF344" t="s">
        <v>2987</v>
      </c>
      <c r="AG344" t="s">
        <v>2988</v>
      </c>
      <c r="AH344">
        <v>2.64</v>
      </c>
      <c r="AI344">
        <v>-1.02</v>
      </c>
      <c r="AJ344">
        <v>3.4</v>
      </c>
      <c r="AK344">
        <v>5.13</v>
      </c>
      <c r="AL344">
        <v>-2</v>
      </c>
      <c r="AM344">
        <v>-0.95</v>
      </c>
      <c r="AN344">
        <v>-32.25</v>
      </c>
      <c r="AO344">
        <v>-0.21</v>
      </c>
      <c r="AP344">
        <v>-35.16</v>
      </c>
    </row>
    <row r="345" spans="1:42">
      <c r="A345">
        <v>344</v>
      </c>
      <c r="B345" t="str">
        <f>"600383"</f>
        <v>600383</v>
      </c>
      <c r="C345" t="s">
        <v>2989</v>
      </c>
      <c r="D345">
        <v>5.26</v>
      </c>
      <c r="E345">
        <v>2.73</v>
      </c>
      <c r="F345">
        <v>0.14</v>
      </c>
      <c r="G345" t="s">
        <v>2990</v>
      </c>
      <c r="H345">
        <v>5741</v>
      </c>
      <c r="I345">
        <v>5.25</v>
      </c>
      <c r="J345">
        <v>5.26</v>
      </c>
      <c r="K345" t="s">
        <v>2982</v>
      </c>
      <c r="L345">
        <v>2.03</v>
      </c>
      <c r="M345" t="s">
        <v>46</v>
      </c>
      <c r="N345" t="s">
        <v>2991</v>
      </c>
      <c r="O345">
        <v>5.29</v>
      </c>
      <c r="P345">
        <v>5.1</v>
      </c>
      <c r="Q345">
        <v>5.12</v>
      </c>
      <c r="R345">
        <v>5.12</v>
      </c>
      <c r="S345">
        <v>3.71</v>
      </c>
      <c r="T345">
        <v>0.84</v>
      </c>
      <c r="U345">
        <v>-37.03</v>
      </c>
      <c r="V345" t="s">
        <v>2992</v>
      </c>
      <c r="W345">
        <v>5.21</v>
      </c>
      <c r="X345" t="s">
        <v>2002</v>
      </c>
      <c r="Y345" t="s">
        <v>2993</v>
      </c>
      <c r="Z345">
        <v>0.78</v>
      </c>
      <c r="AA345">
        <v>2286</v>
      </c>
      <c r="AB345">
        <v>3422</v>
      </c>
      <c r="AC345">
        <v>0.37</v>
      </c>
      <c r="AD345" t="s">
        <v>2994</v>
      </c>
      <c r="AE345" t="s">
        <v>1209</v>
      </c>
      <c r="AF345" t="s">
        <v>2994</v>
      </c>
      <c r="AG345" t="s">
        <v>1209</v>
      </c>
      <c r="AH345">
        <v>-2.05</v>
      </c>
      <c r="AI345">
        <v>-8.68</v>
      </c>
      <c r="AJ345">
        <v>6.09</v>
      </c>
      <c r="AK345">
        <v>14.1</v>
      </c>
      <c r="AL345">
        <v>1</v>
      </c>
      <c r="AM345">
        <v>2.73</v>
      </c>
      <c r="AN345">
        <v>-47.87</v>
      </c>
      <c r="AO345">
        <v>4.78</v>
      </c>
      <c r="AP345">
        <v>-46.92</v>
      </c>
    </row>
    <row r="346" spans="1:42">
      <c r="A346">
        <v>345</v>
      </c>
      <c r="B346" t="str">
        <f>"600133"</f>
        <v>600133</v>
      </c>
      <c r="C346" t="s">
        <v>2995</v>
      </c>
      <c r="D346">
        <v>9.81</v>
      </c>
      <c r="E346">
        <v>3.15</v>
      </c>
      <c r="F346">
        <v>0.3</v>
      </c>
      <c r="G346" t="s">
        <v>1028</v>
      </c>
      <c r="H346">
        <v>9687</v>
      </c>
      <c r="I346">
        <v>9.81</v>
      </c>
      <c r="J346">
        <v>9.82</v>
      </c>
      <c r="K346" t="s">
        <v>2996</v>
      </c>
      <c r="L346">
        <v>4.72</v>
      </c>
      <c r="M346" t="s">
        <v>46</v>
      </c>
      <c r="N346" t="s">
        <v>379</v>
      </c>
      <c r="O346">
        <v>9.83</v>
      </c>
      <c r="P346">
        <v>9.49</v>
      </c>
      <c r="Q346">
        <v>9.51</v>
      </c>
      <c r="R346">
        <v>9.51</v>
      </c>
      <c r="S346">
        <v>3.58</v>
      </c>
      <c r="T346">
        <v>0.91</v>
      </c>
      <c r="U346">
        <v>-59.41</v>
      </c>
      <c r="V346">
        <v>-6270</v>
      </c>
      <c r="W346">
        <v>9.66</v>
      </c>
      <c r="X346" t="s">
        <v>142</v>
      </c>
      <c r="Y346" t="s">
        <v>1347</v>
      </c>
      <c r="Z346">
        <v>0.96</v>
      </c>
      <c r="AA346">
        <v>605</v>
      </c>
      <c r="AB346">
        <v>1122</v>
      </c>
      <c r="AC346">
        <v>1.47</v>
      </c>
      <c r="AD346" t="s">
        <v>2997</v>
      </c>
      <c r="AE346" t="s">
        <v>2998</v>
      </c>
      <c r="AF346" t="s">
        <v>2997</v>
      </c>
      <c r="AG346" t="s">
        <v>2998</v>
      </c>
      <c r="AH346">
        <v>9.12</v>
      </c>
      <c r="AI346">
        <v>6.75</v>
      </c>
      <c r="AJ346">
        <v>17.13</v>
      </c>
      <c r="AK346">
        <v>30.79</v>
      </c>
      <c r="AL346">
        <v>3</v>
      </c>
      <c r="AM346">
        <v>3.15</v>
      </c>
      <c r="AN346">
        <v>82.68</v>
      </c>
      <c r="AO346">
        <v>18.77</v>
      </c>
      <c r="AP346">
        <v>76.44</v>
      </c>
    </row>
    <row r="347" spans="1:42">
      <c r="A347">
        <v>346</v>
      </c>
      <c r="B347" t="str">
        <f>"000403"</f>
        <v>000403</v>
      </c>
      <c r="C347" t="s">
        <v>2999</v>
      </c>
      <c r="D347">
        <v>29.3</v>
      </c>
      <c r="E347">
        <v>1.74</v>
      </c>
      <c r="F347">
        <v>0.5</v>
      </c>
      <c r="G347" t="s">
        <v>665</v>
      </c>
      <c r="H347">
        <v>1760</v>
      </c>
      <c r="I347">
        <v>29.3</v>
      </c>
      <c r="J347">
        <v>29.31</v>
      </c>
      <c r="K347" t="s">
        <v>3000</v>
      </c>
      <c r="L347">
        <v>2.55</v>
      </c>
      <c r="M347" t="s">
        <v>46</v>
      </c>
      <c r="N347" t="s">
        <v>3001</v>
      </c>
      <c r="O347">
        <v>29.64</v>
      </c>
      <c r="P347">
        <v>28.63</v>
      </c>
      <c r="Q347">
        <v>28.97</v>
      </c>
      <c r="R347">
        <v>28.8</v>
      </c>
      <c r="S347">
        <v>3.51</v>
      </c>
      <c r="T347">
        <v>1.69</v>
      </c>
      <c r="U347">
        <v>31.95</v>
      </c>
      <c r="V347">
        <v>384</v>
      </c>
      <c r="W347">
        <v>29.22</v>
      </c>
      <c r="X347" t="s">
        <v>3002</v>
      </c>
      <c r="Y347" t="s">
        <v>3003</v>
      </c>
      <c r="Z347">
        <v>0.73</v>
      </c>
      <c r="AA347">
        <v>111</v>
      </c>
      <c r="AB347">
        <v>23</v>
      </c>
      <c r="AC347">
        <v>3.01</v>
      </c>
      <c r="AD347" t="s">
        <v>3004</v>
      </c>
      <c r="AE347" t="s">
        <v>3005</v>
      </c>
      <c r="AF347" t="s">
        <v>3006</v>
      </c>
      <c r="AG347" t="s">
        <v>3007</v>
      </c>
      <c r="AH347">
        <v>9.41</v>
      </c>
      <c r="AI347">
        <v>9.74</v>
      </c>
      <c r="AJ347">
        <v>6.65</v>
      </c>
      <c r="AK347">
        <v>10.09</v>
      </c>
      <c r="AL347">
        <v>4</v>
      </c>
      <c r="AM347">
        <v>1.74</v>
      </c>
      <c r="AN347">
        <v>29.19</v>
      </c>
      <c r="AO347">
        <v>22.8</v>
      </c>
      <c r="AP347">
        <v>51.19</v>
      </c>
    </row>
    <row r="348" spans="1:42">
      <c r="A348">
        <v>347</v>
      </c>
      <c r="B348" t="str">
        <f>"600100"</f>
        <v>600100</v>
      </c>
      <c r="C348" t="s">
        <v>3008</v>
      </c>
      <c r="D348">
        <v>8.23</v>
      </c>
      <c r="E348">
        <v>1.6</v>
      </c>
      <c r="F348">
        <v>0.13</v>
      </c>
      <c r="G348" t="s">
        <v>3009</v>
      </c>
      <c r="H348">
        <v>9574</v>
      </c>
      <c r="I348">
        <v>8.22</v>
      </c>
      <c r="J348">
        <v>8.23</v>
      </c>
      <c r="K348" t="s">
        <v>3000</v>
      </c>
      <c r="L348">
        <v>1.96</v>
      </c>
      <c r="M348" t="s">
        <v>46</v>
      </c>
      <c r="N348" t="s">
        <v>3010</v>
      </c>
      <c r="O348">
        <v>8.25</v>
      </c>
      <c r="P348">
        <v>8.02</v>
      </c>
      <c r="Q348">
        <v>8.05</v>
      </c>
      <c r="R348">
        <v>8.1</v>
      </c>
      <c r="S348">
        <v>2.84</v>
      </c>
      <c r="T348">
        <v>1.09</v>
      </c>
      <c r="U348">
        <v>-42.46</v>
      </c>
      <c r="V348" t="s">
        <v>3011</v>
      </c>
      <c r="W348">
        <v>8.16</v>
      </c>
      <c r="X348" t="s">
        <v>2828</v>
      </c>
      <c r="Y348" t="s">
        <v>468</v>
      </c>
      <c r="Z348">
        <v>0.63</v>
      </c>
      <c r="AA348">
        <v>4073</v>
      </c>
      <c r="AB348">
        <v>2818</v>
      </c>
      <c r="AC348">
        <v>1.9</v>
      </c>
      <c r="AD348" t="s">
        <v>3012</v>
      </c>
      <c r="AE348" t="s">
        <v>3013</v>
      </c>
      <c r="AF348" t="s">
        <v>3014</v>
      </c>
      <c r="AG348" t="s">
        <v>3015</v>
      </c>
      <c r="AH348">
        <v>0.98</v>
      </c>
      <c r="AI348">
        <v>-1.08</v>
      </c>
      <c r="AJ348">
        <v>5.51</v>
      </c>
      <c r="AK348">
        <v>10.95</v>
      </c>
      <c r="AL348">
        <v>1</v>
      </c>
      <c r="AM348">
        <v>1.6</v>
      </c>
      <c r="AN348">
        <v>90.95</v>
      </c>
      <c r="AO348">
        <v>-3.29</v>
      </c>
      <c r="AP348">
        <v>79.3</v>
      </c>
    </row>
    <row r="349" spans="1:42">
      <c r="A349">
        <v>348</v>
      </c>
      <c r="B349" t="str">
        <f>"601965"</f>
        <v>601965</v>
      </c>
      <c r="C349" t="s">
        <v>3016</v>
      </c>
      <c r="D349">
        <v>22.97</v>
      </c>
      <c r="E349">
        <v>6.74</v>
      </c>
      <c r="F349">
        <v>1.45</v>
      </c>
      <c r="G349" t="s">
        <v>1007</v>
      </c>
      <c r="H349">
        <v>2644</v>
      </c>
      <c r="I349">
        <v>22.97</v>
      </c>
      <c r="J349">
        <v>22.99</v>
      </c>
      <c r="K349" t="s">
        <v>3017</v>
      </c>
      <c r="L349">
        <v>2.15</v>
      </c>
      <c r="M349" t="s">
        <v>46</v>
      </c>
      <c r="N349" t="s">
        <v>2035</v>
      </c>
      <c r="O349">
        <v>23.03</v>
      </c>
      <c r="P349">
        <v>21.41</v>
      </c>
      <c r="Q349">
        <v>21.65</v>
      </c>
      <c r="R349">
        <v>21.52</v>
      </c>
      <c r="S349">
        <v>7.53</v>
      </c>
      <c r="T349">
        <v>2.46</v>
      </c>
      <c r="U349">
        <v>-78.57</v>
      </c>
      <c r="V349">
        <v>-1621</v>
      </c>
      <c r="W349">
        <v>22.43</v>
      </c>
      <c r="X349" t="s">
        <v>3018</v>
      </c>
      <c r="Y349" t="s">
        <v>2960</v>
      </c>
      <c r="Z349">
        <v>0.83</v>
      </c>
      <c r="AA349">
        <v>19</v>
      </c>
      <c r="AB349">
        <v>20</v>
      </c>
      <c r="AC349">
        <v>3.69</v>
      </c>
      <c r="AD349" t="s">
        <v>3019</v>
      </c>
      <c r="AE349" t="s">
        <v>3020</v>
      </c>
      <c r="AF349" t="s">
        <v>3021</v>
      </c>
      <c r="AG349" t="s">
        <v>3022</v>
      </c>
      <c r="AH349">
        <v>5.13</v>
      </c>
      <c r="AI349">
        <v>7.44</v>
      </c>
      <c r="AJ349">
        <v>3.27</v>
      </c>
      <c r="AK349">
        <v>6.53</v>
      </c>
      <c r="AL349">
        <v>1</v>
      </c>
      <c r="AM349">
        <v>6.74</v>
      </c>
      <c r="AN349">
        <v>20.39</v>
      </c>
      <c r="AO349">
        <v>21.73</v>
      </c>
      <c r="AP349">
        <v>25.45</v>
      </c>
    </row>
    <row r="350" spans="1:42">
      <c r="A350">
        <v>349</v>
      </c>
      <c r="B350" t="str">
        <f>"605018"</f>
        <v>605018</v>
      </c>
      <c r="C350" t="s">
        <v>3023</v>
      </c>
      <c r="D350">
        <v>12.99</v>
      </c>
      <c r="E350">
        <v>-3.64</v>
      </c>
      <c r="F350">
        <v>-0.49</v>
      </c>
      <c r="G350" t="s">
        <v>1770</v>
      </c>
      <c r="H350">
        <v>3492</v>
      </c>
      <c r="I350">
        <v>12.98</v>
      </c>
      <c r="J350">
        <v>12.99</v>
      </c>
      <c r="K350" t="s">
        <v>3017</v>
      </c>
      <c r="L350">
        <v>7.53</v>
      </c>
      <c r="M350" t="s">
        <v>46</v>
      </c>
      <c r="N350" t="s">
        <v>3024</v>
      </c>
      <c r="O350">
        <v>14.7</v>
      </c>
      <c r="P350">
        <v>12.67</v>
      </c>
      <c r="Q350">
        <v>14.68</v>
      </c>
      <c r="R350">
        <v>13.48</v>
      </c>
      <c r="S350">
        <v>15.06</v>
      </c>
      <c r="T350">
        <v>6.84</v>
      </c>
      <c r="U350">
        <v>-55.57</v>
      </c>
      <c r="V350">
        <v>-1049</v>
      </c>
      <c r="W350">
        <v>13.4</v>
      </c>
      <c r="X350" t="s">
        <v>869</v>
      </c>
      <c r="Y350" t="s">
        <v>561</v>
      </c>
      <c r="Z350">
        <v>1.2</v>
      </c>
      <c r="AA350">
        <v>100</v>
      </c>
      <c r="AB350">
        <v>1080</v>
      </c>
      <c r="AC350">
        <v>2.3</v>
      </c>
      <c r="AD350" t="s">
        <v>3025</v>
      </c>
      <c r="AE350" t="s">
        <v>3026</v>
      </c>
      <c r="AF350" t="s">
        <v>3027</v>
      </c>
      <c r="AG350" t="s">
        <v>3028</v>
      </c>
      <c r="AH350">
        <v>6.39</v>
      </c>
      <c r="AI350">
        <v>7.36</v>
      </c>
      <c r="AJ350">
        <v>10.7</v>
      </c>
      <c r="AK350">
        <v>13.03</v>
      </c>
      <c r="AL350">
        <v>-1</v>
      </c>
      <c r="AM350">
        <v>-3.64</v>
      </c>
      <c r="AN350">
        <v>27.48</v>
      </c>
      <c r="AO350">
        <v>13.55</v>
      </c>
      <c r="AP350">
        <v>15.98</v>
      </c>
    </row>
    <row r="351" spans="1:42">
      <c r="A351">
        <v>350</v>
      </c>
      <c r="B351" t="str">
        <f>"300496"</f>
        <v>300496</v>
      </c>
      <c r="C351" t="s">
        <v>3029</v>
      </c>
      <c r="D351">
        <v>82.1</v>
      </c>
      <c r="E351">
        <v>2.37</v>
      </c>
      <c r="F351">
        <v>1.9</v>
      </c>
      <c r="G351" t="s">
        <v>3030</v>
      </c>
      <c r="H351">
        <v>571</v>
      </c>
      <c r="I351">
        <v>82.09</v>
      </c>
      <c r="J351">
        <v>82.1</v>
      </c>
      <c r="K351" t="s">
        <v>3017</v>
      </c>
      <c r="L351">
        <v>1.59</v>
      </c>
      <c r="M351" t="s">
        <v>46</v>
      </c>
      <c r="N351" t="s">
        <v>3031</v>
      </c>
      <c r="O351">
        <v>82.36</v>
      </c>
      <c r="P351">
        <v>80.02</v>
      </c>
      <c r="Q351">
        <v>80.5</v>
      </c>
      <c r="R351">
        <v>80.2</v>
      </c>
      <c r="S351">
        <v>2.92</v>
      </c>
      <c r="T351">
        <v>1.31</v>
      </c>
      <c r="U351">
        <v>-64.05</v>
      </c>
      <c r="V351">
        <v>-253</v>
      </c>
      <c r="W351">
        <v>81.26</v>
      </c>
      <c r="X351" t="s">
        <v>3032</v>
      </c>
      <c r="Y351" t="s">
        <v>3033</v>
      </c>
      <c r="Z351">
        <v>0.92</v>
      </c>
      <c r="AA351">
        <v>3</v>
      </c>
      <c r="AB351">
        <v>148</v>
      </c>
      <c r="AC351">
        <v>3.93</v>
      </c>
      <c r="AD351" t="s">
        <v>3034</v>
      </c>
      <c r="AE351" t="s">
        <v>3035</v>
      </c>
      <c r="AF351" t="s">
        <v>1113</v>
      </c>
      <c r="AG351" t="s">
        <v>3036</v>
      </c>
      <c r="AH351">
        <v>0.22</v>
      </c>
      <c r="AI351">
        <v>-4.35</v>
      </c>
      <c r="AJ351">
        <v>3.65</v>
      </c>
      <c r="AK351">
        <v>7.64</v>
      </c>
      <c r="AL351">
        <v>1</v>
      </c>
      <c r="AM351">
        <v>2.37</v>
      </c>
      <c r="AN351">
        <v>-17.87</v>
      </c>
      <c r="AO351">
        <v>3.73</v>
      </c>
      <c r="AP351">
        <v>-32.46</v>
      </c>
    </row>
    <row r="352" spans="1:42">
      <c r="A352">
        <v>351</v>
      </c>
      <c r="B352" t="str">
        <f>"300294"</f>
        <v>300294</v>
      </c>
      <c r="C352" t="s">
        <v>3037</v>
      </c>
      <c r="D352">
        <v>36.45</v>
      </c>
      <c r="E352">
        <v>0.3</v>
      </c>
      <c r="F352">
        <v>0.11</v>
      </c>
      <c r="G352" t="s">
        <v>830</v>
      </c>
      <c r="H352">
        <v>1179</v>
      </c>
      <c r="I352">
        <v>36.45</v>
      </c>
      <c r="J352">
        <v>36.46</v>
      </c>
      <c r="K352" t="s">
        <v>3038</v>
      </c>
      <c r="L352">
        <v>3.05</v>
      </c>
      <c r="M352" t="s">
        <v>46</v>
      </c>
      <c r="N352" t="s">
        <v>3039</v>
      </c>
      <c r="O352">
        <v>36.64</v>
      </c>
      <c r="P352">
        <v>35.84</v>
      </c>
      <c r="Q352">
        <v>36.29</v>
      </c>
      <c r="R352">
        <v>36.34</v>
      </c>
      <c r="S352">
        <v>2.2</v>
      </c>
      <c r="T352">
        <v>1.65</v>
      </c>
      <c r="U352">
        <v>-49.39</v>
      </c>
      <c r="V352">
        <v>-323</v>
      </c>
      <c r="W352">
        <v>36.25</v>
      </c>
      <c r="X352" t="s">
        <v>3040</v>
      </c>
      <c r="Y352" t="s">
        <v>3041</v>
      </c>
      <c r="Z352">
        <v>0.76</v>
      </c>
      <c r="AA352">
        <v>29</v>
      </c>
      <c r="AB352">
        <v>32</v>
      </c>
      <c r="AC352">
        <v>2.43</v>
      </c>
      <c r="AD352" t="s">
        <v>3042</v>
      </c>
      <c r="AE352" t="s">
        <v>3043</v>
      </c>
      <c r="AF352" t="s">
        <v>3044</v>
      </c>
      <c r="AG352" t="s">
        <v>3045</v>
      </c>
      <c r="AH352">
        <v>11.95</v>
      </c>
      <c r="AI352">
        <v>12.81</v>
      </c>
      <c r="AJ352">
        <v>9.83</v>
      </c>
      <c r="AK352">
        <v>12.32</v>
      </c>
      <c r="AL352">
        <v>4</v>
      </c>
      <c r="AM352">
        <v>0.3</v>
      </c>
      <c r="AN352">
        <v>0.25</v>
      </c>
      <c r="AO352">
        <v>19.51</v>
      </c>
      <c r="AP352">
        <v>13.02</v>
      </c>
    </row>
    <row r="353" spans="1:42">
      <c r="A353">
        <v>352</v>
      </c>
      <c r="B353" t="str">
        <f>"000056"</f>
        <v>000056</v>
      </c>
      <c r="C353" t="s">
        <v>3046</v>
      </c>
      <c r="D353">
        <v>4.24</v>
      </c>
      <c r="E353">
        <v>2.91</v>
      </c>
      <c r="F353">
        <v>0.12</v>
      </c>
      <c r="G353" t="s">
        <v>1182</v>
      </c>
      <c r="H353" t="s">
        <v>882</v>
      </c>
      <c r="I353">
        <v>4.24</v>
      </c>
      <c r="J353">
        <v>4.25</v>
      </c>
      <c r="K353" t="s">
        <v>3038</v>
      </c>
      <c r="L353">
        <v>12.36</v>
      </c>
      <c r="M353" t="s">
        <v>46</v>
      </c>
      <c r="N353" t="s">
        <v>241</v>
      </c>
      <c r="O353">
        <v>4.34</v>
      </c>
      <c r="P353">
        <v>4.08</v>
      </c>
      <c r="Q353">
        <v>4.11</v>
      </c>
      <c r="R353">
        <v>4.12</v>
      </c>
      <c r="S353">
        <v>6.31</v>
      </c>
      <c r="T353">
        <v>1.19</v>
      </c>
      <c r="U353">
        <v>2.3</v>
      </c>
      <c r="V353">
        <v>1082</v>
      </c>
      <c r="W353">
        <v>4.21</v>
      </c>
      <c r="X353" t="s">
        <v>3047</v>
      </c>
      <c r="Y353" t="s">
        <v>3048</v>
      </c>
      <c r="Z353">
        <v>0.75</v>
      </c>
      <c r="AA353">
        <v>1538</v>
      </c>
      <c r="AB353">
        <v>8388</v>
      </c>
      <c r="AC353">
        <v>3.19</v>
      </c>
      <c r="AD353" t="s">
        <v>3049</v>
      </c>
      <c r="AE353" t="s">
        <v>3050</v>
      </c>
      <c r="AF353" t="s">
        <v>3051</v>
      </c>
      <c r="AG353" t="s">
        <v>3052</v>
      </c>
      <c r="AH353">
        <v>5.74</v>
      </c>
      <c r="AI353">
        <v>-2.3</v>
      </c>
      <c r="AJ353">
        <v>30.7</v>
      </c>
      <c r="AK353">
        <v>64.38</v>
      </c>
      <c r="AL353">
        <v>1</v>
      </c>
      <c r="AM353">
        <v>2.91</v>
      </c>
      <c r="AN353">
        <v>-8.82</v>
      </c>
      <c r="AO353">
        <v>43.73</v>
      </c>
      <c r="AP353">
        <v>-5.99</v>
      </c>
    </row>
    <row r="354" spans="1:42">
      <c r="A354">
        <v>353</v>
      </c>
      <c r="B354" t="str">
        <f>"000963"</f>
        <v>000963</v>
      </c>
      <c r="C354" t="s">
        <v>3053</v>
      </c>
      <c r="D354">
        <v>41.21</v>
      </c>
      <c r="E354">
        <v>1.03</v>
      </c>
      <c r="F354">
        <v>0.42</v>
      </c>
      <c r="G354" t="s">
        <v>262</v>
      </c>
      <c r="H354">
        <v>446</v>
      </c>
      <c r="I354">
        <v>41.21</v>
      </c>
      <c r="J354">
        <v>41.22</v>
      </c>
      <c r="K354" t="s">
        <v>1501</v>
      </c>
      <c r="L354">
        <v>0.64</v>
      </c>
      <c r="M354" t="s">
        <v>46</v>
      </c>
      <c r="N354" t="s">
        <v>3054</v>
      </c>
      <c r="O354">
        <v>42.3</v>
      </c>
      <c r="P354">
        <v>40.86</v>
      </c>
      <c r="Q354">
        <v>41.44</v>
      </c>
      <c r="R354">
        <v>40.79</v>
      </c>
      <c r="S354">
        <v>3.53</v>
      </c>
      <c r="T354">
        <v>1.9</v>
      </c>
      <c r="U354">
        <v>26.13</v>
      </c>
      <c r="V354">
        <v>91</v>
      </c>
      <c r="W354">
        <v>41.58</v>
      </c>
      <c r="X354" t="s">
        <v>3055</v>
      </c>
      <c r="Y354" t="s">
        <v>2735</v>
      </c>
      <c r="Z354">
        <v>1.04</v>
      </c>
      <c r="AA354">
        <v>30</v>
      </c>
      <c r="AB354">
        <v>5</v>
      </c>
      <c r="AC354">
        <v>3.56</v>
      </c>
      <c r="AD354" t="s">
        <v>3056</v>
      </c>
      <c r="AE354" t="s">
        <v>3057</v>
      </c>
      <c r="AF354" t="s">
        <v>3058</v>
      </c>
      <c r="AG354" t="s">
        <v>3059</v>
      </c>
      <c r="AH354">
        <v>0.51</v>
      </c>
      <c r="AI354">
        <v>0.54</v>
      </c>
      <c r="AJ354">
        <v>1.26</v>
      </c>
      <c r="AK354">
        <v>2.34</v>
      </c>
      <c r="AL354">
        <v>2</v>
      </c>
      <c r="AM354">
        <v>1.03</v>
      </c>
      <c r="AN354">
        <v>-11.4</v>
      </c>
      <c r="AO354">
        <v>-2.3</v>
      </c>
      <c r="AP354">
        <v>1.88</v>
      </c>
    </row>
    <row r="355" spans="1:42">
      <c r="A355">
        <v>354</v>
      </c>
      <c r="B355" t="str">
        <f>"603118"</f>
        <v>603118</v>
      </c>
      <c r="C355" t="s">
        <v>3060</v>
      </c>
      <c r="D355">
        <v>9.87</v>
      </c>
      <c r="E355">
        <v>0.2</v>
      </c>
      <c r="F355">
        <v>0.02</v>
      </c>
      <c r="G355" t="s">
        <v>2349</v>
      </c>
      <c r="H355">
        <v>8306</v>
      </c>
      <c r="I355">
        <v>9.87</v>
      </c>
      <c r="J355">
        <v>9.88</v>
      </c>
      <c r="K355" t="s">
        <v>1501</v>
      </c>
      <c r="L355">
        <v>6.06</v>
      </c>
      <c r="M355" t="s">
        <v>46</v>
      </c>
      <c r="N355" t="s">
        <v>3061</v>
      </c>
      <c r="O355">
        <v>9.97</v>
      </c>
      <c r="P355">
        <v>9.71</v>
      </c>
      <c r="Q355">
        <v>9.84</v>
      </c>
      <c r="R355">
        <v>9.85</v>
      </c>
      <c r="S355">
        <v>2.64</v>
      </c>
      <c r="T355">
        <v>1.33</v>
      </c>
      <c r="U355">
        <v>16.1</v>
      </c>
      <c r="V355">
        <v>1905</v>
      </c>
      <c r="W355">
        <v>9.83</v>
      </c>
      <c r="X355" t="s">
        <v>273</v>
      </c>
      <c r="Y355" t="s">
        <v>1959</v>
      </c>
      <c r="Z355">
        <v>1.13</v>
      </c>
      <c r="AA355">
        <v>1933</v>
      </c>
      <c r="AB355">
        <v>685</v>
      </c>
      <c r="AC355">
        <v>1.48</v>
      </c>
      <c r="AD355" t="s">
        <v>3062</v>
      </c>
      <c r="AE355" t="s">
        <v>3063</v>
      </c>
      <c r="AF355" t="s">
        <v>3064</v>
      </c>
      <c r="AG355" t="s">
        <v>3065</v>
      </c>
      <c r="AH355">
        <v>6.93</v>
      </c>
      <c r="AI355">
        <v>4.89</v>
      </c>
      <c r="AJ355">
        <v>22.88</v>
      </c>
      <c r="AK355">
        <v>28.75</v>
      </c>
      <c r="AL355">
        <v>1</v>
      </c>
      <c r="AM355">
        <v>0.2</v>
      </c>
      <c r="AN355">
        <v>26.21</v>
      </c>
      <c r="AO355">
        <v>11.02</v>
      </c>
      <c r="AP355">
        <v>9.18</v>
      </c>
    </row>
    <row r="356" spans="1:42">
      <c r="A356">
        <v>355</v>
      </c>
      <c r="B356" t="str">
        <f>"688498"</f>
        <v>688498</v>
      </c>
      <c r="C356" t="s">
        <v>3066</v>
      </c>
      <c r="D356">
        <v>162.5</v>
      </c>
      <c r="E356">
        <v>9.89</v>
      </c>
      <c r="F356">
        <v>14.63</v>
      </c>
      <c r="G356" t="s">
        <v>2125</v>
      </c>
      <c r="H356">
        <v>177</v>
      </c>
      <c r="I356">
        <v>162.49</v>
      </c>
      <c r="J356">
        <v>162.5</v>
      </c>
      <c r="K356" t="s">
        <v>3067</v>
      </c>
      <c r="L356">
        <v>14.65</v>
      </c>
      <c r="M356" t="s">
        <v>46</v>
      </c>
      <c r="N356" t="s">
        <v>3068</v>
      </c>
      <c r="O356">
        <v>165.9</v>
      </c>
      <c r="P356">
        <v>146.3</v>
      </c>
      <c r="Q356">
        <v>147</v>
      </c>
      <c r="R356">
        <v>147.87</v>
      </c>
      <c r="S356">
        <v>13.25</v>
      </c>
      <c r="T356">
        <v>1.74</v>
      </c>
      <c r="U356">
        <v>-50.47</v>
      </c>
      <c r="V356">
        <v>-73</v>
      </c>
      <c r="W356">
        <v>156.96</v>
      </c>
      <c r="X356" t="s">
        <v>1743</v>
      </c>
      <c r="Y356" t="s">
        <v>3069</v>
      </c>
      <c r="Z356">
        <v>0.64</v>
      </c>
      <c r="AA356">
        <v>2</v>
      </c>
      <c r="AB356">
        <v>15</v>
      </c>
      <c r="AC356">
        <v>6.51</v>
      </c>
      <c r="AD356" t="s">
        <v>3070</v>
      </c>
      <c r="AE356" t="s">
        <v>3071</v>
      </c>
      <c r="AF356" t="s">
        <v>3072</v>
      </c>
      <c r="AG356" t="s">
        <v>3073</v>
      </c>
      <c r="AH356">
        <v>5.45</v>
      </c>
      <c r="AI356">
        <v>-3.49</v>
      </c>
      <c r="AJ356">
        <v>28.74</v>
      </c>
      <c r="AK356">
        <v>56.65</v>
      </c>
      <c r="AL356">
        <v>1</v>
      </c>
      <c r="AM356">
        <v>9.89</v>
      </c>
      <c r="AN356">
        <v>91.38</v>
      </c>
      <c r="AO356">
        <v>4.97</v>
      </c>
      <c r="AP356">
        <v>127.46</v>
      </c>
    </row>
    <row r="357" spans="1:42">
      <c r="A357">
        <v>356</v>
      </c>
      <c r="B357" t="str">
        <f>"601939"</f>
        <v>601939</v>
      </c>
      <c r="C357" t="s">
        <v>3074</v>
      </c>
      <c r="D357">
        <v>6.38</v>
      </c>
      <c r="E357">
        <v>-0.31</v>
      </c>
      <c r="F357">
        <v>-0.02</v>
      </c>
      <c r="G357" t="s">
        <v>3075</v>
      </c>
      <c r="H357">
        <v>3390</v>
      </c>
      <c r="I357">
        <v>6.38</v>
      </c>
      <c r="J357">
        <v>6.39</v>
      </c>
      <c r="K357" t="s">
        <v>3076</v>
      </c>
      <c r="L357">
        <v>0.76</v>
      </c>
      <c r="M357" t="s">
        <v>46</v>
      </c>
      <c r="N357" t="s">
        <v>3077</v>
      </c>
      <c r="O357">
        <v>6.43</v>
      </c>
      <c r="P357">
        <v>6.36</v>
      </c>
      <c r="Q357">
        <v>6.39</v>
      </c>
      <c r="R357">
        <v>6.4</v>
      </c>
      <c r="S357">
        <v>1.09</v>
      </c>
      <c r="T357">
        <v>1</v>
      </c>
      <c r="U357">
        <v>-3.35</v>
      </c>
      <c r="V357">
        <v>-4458</v>
      </c>
      <c r="W357">
        <v>6.39</v>
      </c>
      <c r="X357" t="s">
        <v>1157</v>
      </c>
      <c r="Y357" t="s">
        <v>890</v>
      </c>
      <c r="Z357">
        <v>0.94</v>
      </c>
      <c r="AA357">
        <v>1800</v>
      </c>
      <c r="AB357">
        <v>2410</v>
      </c>
      <c r="AC357">
        <v>0.55</v>
      </c>
      <c r="AD357" t="s">
        <v>3078</v>
      </c>
      <c r="AE357" t="s">
        <v>3079</v>
      </c>
      <c r="AF357" t="s">
        <v>3080</v>
      </c>
      <c r="AG357" t="s">
        <v>3081</v>
      </c>
      <c r="AH357">
        <v>0.16</v>
      </c>
      <c r="AI357">
        <v>0.31</v>
      </c>
      <c r="AJ357">
        <v>2.3</v>
      </c>
      <c r="AK357">
        <v>4.56</v>
      </c>
      <c r="AL357">
        <v>-1</v>
      </c>
      <c r="AM357">
        <v>-0.31</v>
      </c>
      <c r="AN357">
        <v>21.76</v>
      </c>
      <c r="AO357">
        <v>1.27</v>
      </c>
      <c r="AP357">
        <v>26.34</v>
      </c>
    </row>
    <row r="358" spans="1:42">
      <c r="A358">
        <v>357</v>
      </c>
      <c r="B358" t="str">
        <f>"600699"</f>
        <v>600699</v>
      </c>
      <c r="C358" t="s">
        <v>3082</v>
      </c>
      <c r="D358">
        <v>19.44</v>
      </c>
      <c r="E358">
        <v>-1.12</v>
      </c>
      <c r="F358">
        <v>-0.22</v>
      </c>
      <c r="G358" t="s">
        <v>572</v>
      </c>
      <c r="H358">
        <v>2215</v>
      </c>
      <c r="I358">
        <v>19.44</v>
      </c>
      <c r="J358">
        <v>19.45</v>
      </c>
      <c r="K358" t="s">
        <v>3083</v>
      </c>
      <c r="L358">
        <v>1.75</v>
      </c>
      <c r="M358" t="s">
        <v>46</v>
      </c>
      <c r="N358" t="s">
        <v>3084</v>
      </c>
      <c r="O358">
        <v>19.76</v>
      </c>
      <c r="P358">
        <v>19.2</v>
      </c>
      <c r="Q358">
        <v>19.75</v>
      </c>
      <c r="R358">
        <v>19.66</v>
      </c>
      <c r="S358">
        <v>2.85</v>
      </c>
      <c r="T358">
        <v>0.68</v>
      </c>
      <c r="U358">
        <v>9.19</v>
      </c>
      <c r="V358">
        <v>335</v>
      </c>
      <c r="W358">
        <v>19.39</v>
      </c>
      <c r="X358" t="s">
        <v>1987</v>
      </c>
      <c r="Y358" t="s">
        <v>2402</v>
      </c>
      <c r="Z358">
        <v>1.22</v>
      </c>
      <c r="AA358">
        <v>377</v>
      </c>
      <c r="AB358">
        <v>167</v>
      </c>
      <c r="AC358">
        <v>2.03</v>
      </c>
      <c r="AD358" t="s">
        <v>3085</v>
      </c>
      <c r="AE358" t="s">
        <v>2872</v>
      </c>
      <c r="AF358" t="s">
        <v>3086</v>
      </c>
      <c r="AG358" t="s">
        <v>1964</v>
      </c>
      <c r="AH358">
        <v>-3.24</v>
      </c>
      <c r="AI358">
        <v>-4.57</v>
      </c>
      <c r="AJ358">
        <v>7.15</v>
      </c>
      <c r="AK358">
        <v>14.62</v>
      </c>
      <c r="AL358">
        <v>-2</v>
      </c>
      <c r="AM358">
        <v>-1.12</v>
      </c>
      <c r="AN358">
        <v>39.35</v>
      </c>
      <c r="AO358">
        <v>1.36</v>
      </c>
      <c r="AP358">
        <v>32.52</v>
      </c>
    </row>
    <row r="359" spans="1:42">
      <c r="A359">
        <v>358</v>
      </c>
      <c r="B359" t="str">
        <f>"600536"</f>
        <v>600536</v>
      </c>
      <c r="C359" t="s">
        <v>3087</v>
      </c>
      <c r="D359">
        <v>35.35</v>
      </c>
      <c r="E359">
        <v>2.76</v>
      </c>
      <c r="F359">
        <v>0.95</v>
      </c>
      <c r="G359" t="s">
        <v>263</v>
      </c>
      <c r="H359">
        <v>1910</v>
      </c>
      <c r="I359">
        <v>35.34</v>
      </c>
      <c r="J359">
        <v>35.35</v>
      </c>
      <c r="K359" t="s">
        <v>3088</v>
      </c>
      <c r="L359">
        <v>1.58</v>
      </c>
      <c r="M359" t="s">
        <v>46</v>
      </c>
      <c r="N359" t="s">
        <v>3089</v>
      </c>
      <c r="O359">
        <v>35.66</v>
      </c>
      <c r="P359">
        <v>34.08</v>
      </c>
      <c r="Q359">
        <v>34.36</v>
      </c>
      <c r="R359">
        <v>34.4</v>
      </c>
      <c r="S359">
        <v>4.59</v>
      </c>
      <c r="T359">
        <v>1.33</v>
      </c>
      <c r="U359">
        <v>-6.28</v>
      </c>
      <c r="V359">
        <v>-105</v>
      </c>
      <c r="W359">
        <v>34.89</v>
      </c>
      <c r="X359" t="s">
        <v>3090</v>
      </c>
      <c r="Y359" t="s">
        <v>3091</v>
      </c>
      <c r="Z359">
        <v>0.82</v>
      </c>
      <c r="AA359">
        <v>48</v>
      </c>
      <c r="AB359">
        <v>333</v>
      </c>
      <c r="AC359">
        <v>14.44</v>
      </c>
      <c r="AD359" t="s">
        <v>3092</v>
      </c>
      <c r="AE359" t="s">
        <v>3093</v>
      </c>
      <c r="AF359" t="s">
        <v>3094</v>
      </c>
      <c r="AG359" t="s">
        <v>1026</v>
      </c>
      <c r="AH359">
        <v>0.77</v>
      </c>
      <c r="AI359">
        <v>-2.27</v>
      </c>
      <c r="AJ359">
        <v>3.79</v>
      </c>
      <c r="AK359">
        <v>7.55</v>
      </c>
      <c r="AL359">
        <v>1</v>
      </c>
      <c r="AM359">
        <v>2.76</v>
      </c>
      <c r="AN359">
        <v>-21.18</v>
      </c>
      <c r="AO359">
        <v>3.12</v>
      </c>
      <c r="AP359">
        <v>-27.61</v>
      </c>
    </row>
    <row r="360" spans="1:42">
      <c r="A360">
        <v>359</v>
      </c>
      <c r="B360" t="str">
        <f>"603444"</f>
        <v>603444</v>
      </c>
      <c r="C360" t="s">
        <v>3095</v>
      </c>
      <c r="D360">
        <v>268.63</v>
      </c>
      <c r="E360">
        <v>4.81</v>
      </c>
      <c r="F360">
        <v>12.32</v>
      </c>
      <c r="G360" t="s">
        <v>876</v>
      </c>
      <c r="H360">
        <v>142</v>
      </c>
      <c r="I360">
        <v>268.6</v>
      </c>
      <c r="J360">
        <v>268.63</v>
      </c>
      <c r="K360" t="s">
        <v>1295</v>
      </c>
      <c r="L360">
        <v>2.41</v>
      </c>
      <c r="M360" t="s">
        <v>46</v>
      </c>
      <c r="N360" t="s">
        <v>3096</v>
      </c>
      <c r="O360">
        <v>272.57</v>
      </c>
      <c r="P360">
        <v>256.21</v>
      </c>
      <c r="Q360">
        <v>256.31</v>
      </c>
      <c r="R360">
        <v>256.31</v>
      </c>
      <c r="S360">
        <v>6.38</v>
      </c>
      <c r="T360">
        <v>2.14</v>
      </c>
      <c r="U360">
        <v>-1.69</v>
      </c>
      <c r="V360">
        <v>-1</v>
      </c>
      <c r="W360">
        <v>265.05</v>
      </c>
      <c r="X360">
        <v>7789</v>
      </c>
      <c r="Y360">
        <v>9599</v>
      </c>
      <c r="Z360">
        <v>0.81</v>
      </c>
      <c r="AA360">
        <v>2</v>
      </c>
      <c r="AB360">
        <v>25</v>
      </c>
      <c r="AC360">
        <v>4.6</v>
      </c>
      <c r="AD360" t="s">
        <v>3097</v>
      </c>
      <c r="AE360" t="s">
        <v>3098</v>
      </c>
      <c r="AF360" t="s">
        <v>3097</v>
      </c>
      <c r="AG360" t="s">
        <v>3098</v>
      </c>
      <c r="AH360">
        <v>2.27</v>
      </c>
      <c r="AI360">
        <v>-1.08</v>
      </c>
      <c r="AJ360">
        <v>4.66</v>
      </c>
      <c r="AK360">
        <v>8.05</v>
      </c>
      <c r="AL360">
        <v>1</v>
      </c>
      <c r="AM360">
        <v>4.81</v>
      </c>
      <c r="AN360">
        <v>-11.3</v>
      </c>
      <c r="AO360">
        <v>-3.82</v>
      </c>
      <c r="AP360">
        <v>-8.89</v>
      </c>
    </row>
    <row r="361" spans="1:42">
      <c r="A361">
        <v>360</v>
      </c>
      <c r="B361" t="str">
        <f>"301368"</f>
        <v>301368</v>
      </c>
      <c r="C361" t="s">
        <v>3099</v>
      </c>
      <c r="D361">
        <v>43.66</v>
      </c>
      <c r="E361">
        <v>-7.05</v>
      </c>
      <c r="F361">
        <v>-3.31</v>
      </c>
      <c r="G361" t="s">
        <v>1128</v>
      </c>
      <c r="H361">
        <v>1713</v>
      </c>
      <c r="I361">
        <v>43.66</v>
      </c>
      <c r="J361">
        <v>43.67</v>
      </c>
      <c r="K361" t="s">
        <v>3100</v>
      </c>
      <c r="L361">
        <v>35.19</v>
      </c>
      <c r="M361" t="s">
        <v>46</v>
      </c>
      <c r="N361" t="s">
        <v>3101</v>
      </c>
      <c r="O361">
        <v>45.48</v>
      </c>
      <c r="P361">
        <v>42.84</v>
      </c>
      <c r="Q361">
        <v>44.88</v>
      </c>
      <c r="R361">
        <v>46.97</v>
      </c>
      <c r="S361">
        <v>5.62</v>
      </c>
      <c r="T361">
        <v>1.85</v>
      </c>
      <c r="U361">
        <v>42.71</v>
      </c>
      <c r="V361">
        <v>412</v>
      </c>
      <c r="W361">
        <v>43.46</v>
      </c>
      <c r="X361" t="s">
        <v>3102</v>
      </c>
      <c r="Y361" t="s">
        <v>3103</v>
      </c>
      <c r="Z361">
        <v>1.41</v>
      </c>
      <c r="AA361">
        <v>545</v>
      </c>
      <c r="AB361">
        <v>100</v>
      </c>
      <c r="AC361">
        <v>5.37</v>
      </c>
      <c r="AD361" t="s">
        <v>3104</v>
      </c>
      <c r="AE361" t="s">
        <v>3105</v>
      </c>
      <c r="AF361" t="s">
        <v>3106</v>
      </c>
      <c r="AG361" t="s">
        <v>3107</v>
      </c>
      <c r="AH361">
        <v>2.18</v>
      </c>
      <c r="AI361">
        <v>-1.71</v>
      </c>
      <c r="AJ361">
        <v>97.2</v>
      </c>
      <c r="AK361">
        <v>130.5</v>
      </c>
      <c r="AL361">
        <v>-1</v>
      </c>
      <c r="AM361">
        <v>-7.05</v>
      </c>
      <c r="AN361">
        <v>120.84</v>
      </c>
      <c r="AO361">
        <v>1.89</v>
      </c>
      <c r="AP361">
        <v>96.67</v>
      </c>
    </row>
    <row r="362" spans="1:42">
      <c r="A362">
        <v>361</v>
      </c>
      <c r="B362" t="str">
        <f>"600702"</f>
        <v>600702</v>
      </c>
      <c r="C362" t="s">
        <v>3108</v>
      </c>
      <c r="D362">
        <v>100</v>
      </c>
      <c r="E362">
        <v>-0.31</v>
      </c>
      <c r="F362">
        <v>-0.31</v>
      </c>
      <c r="G362" t="s">
        <v>944</v>
      </c>
      <c r="H362">
        <v>585</v>
      </c>
      <c r="I362">
        <v>99.99</v>
      </c>
      <c r="J362">
        <v>100</v>
      </c>
      <c r="K362" t="s">
        <v>3100</v>
      </c>
      <c r="L362">
        <v>1.39</v>
      </c>
      <c r="M362" t="s">
        <v>46</v>
      </c>
      <c r="N362" t="s">
        <v>3109</v>
      </c>
      <c r="O362">
        <v>100.39</v>
      </c>
      <c r="P362">
        <v>98.51</v>
      </c>
      <c r="Q362">
        <v>100</v>
      </c>
      <c r="R362">
        <v>100.31</v>
      </c>
      <c r="S362">
        <v>1.87</v>
      </c>
      <c r="T362">
        <v>0.79</v>
      </c>
      <c r="U362">
        <v>80.11</v>
      </c>
      <c r="V362">
        <v>363</v>
      </c>
      <c r="W362">
        <v>99.45</v>
      </c>
      <c r="X362" t="s">
        <v>3110</v>
      </c>
      <c r="Y362" t="s">
        <v>153</v>
      </c>
      <c r="Z362">
        <v>1.19</v>
      </c>
      <c r="AA362">
        <v>141</v>
      </c>
      <c r="AB362">
        <v>32</v>
      </c>
      <c r="AC362">
        <v>4.9</v>
      </c>
      <c r="AD362" t="s">
        <v>3111</v>
      </c>
      <c r="AE362" t="s">
        <v>3112</v>
      </c>
      <c r="AF362" t="s">
        <v>3113</v>
      </c>
      <c r="AG362" t="s">
        <v>3114</v>
      </c>
      <c r="AH362">
        <v>-2.04</v>
      </c>
      <c r="AI362">
        <v>-7.66</v>
      </c>
      <c r="AJ362">
        <v>5.27</v>
      </c>
      <c r="AK362">
        <v>10.22</v>
      </c>
      <c r="AL362">
        <v>-1</v>
      </c>
      <c r="AM362">
        <v>-0.31</v>
      </c>
      <c r="AN362">
        <v>-36.58</v>
      </c>
      <c r="AO362">
        <v>-12.97</v>
      </c>
      <c r="AP362">
        <v>-27.28</v>
      </c>
    </row>
    <row r="363" spans="1:42">
      <c r="A363">
        <v>362</v>
      </c>
      <c r="B363" t="str">
        <f>"002239"</f>
        <v>002239</v>
      </c>
      <c r="C363" t="s">
        <v>3115</v>
      </c>
      <c r="D363">
        <v>3.25</v>
      </c>
      <c r="E363">
        <v>1.56</v>
      </c>
      <c r="F363">
        <v>0.05</v>
      </c>
      <c r="G363" t="s">
        <v>732</v>
      </c>
      <c r="H363" t="s">
        <v>3116</v>
      </c>
      <c r="I363">
        <v>3.24</v>
      </c>
      <c r="J363">
        <v>3.25</v>
      </c>
      <c r="K363" t="s">
        <v>3100</v>
      </c>
      <c r="L363">
        <v>4.39</v>
      </c>
      <c r="M363" t="s">
        <v>46</v>
      </c>
      <c r="N363" t="s">
        <v>3117</v>
      </c>
      <c r="O363">
        <v>3.26</v>
      </c>
      <c r="P363">
        <v>3.17</v>
      </c>
      <c r="Q363">
        <v>3.21</v>
      </c>
      <c r="R363">
        <v>3.2</v>
      </c>
      <c r="S363">
        <v>2.81</v>
      </c>
      <c r="T363">
        <v>0.62</v>
      </c>
      <c r="U363">
        <v>-11.26</v>
      </c>
      <c r="V363" t="s">
        <v>3118</v>
      </c>
      <c r="W363">
        <v>3.23</v>
      </c>
      <c r="X363" t="s">
        <v>3119</v>
      </c>
      <c r="Y363" t="s">
        <v>3120</v>
      </c>
      <c r="Z363">
        <v>0.88</v>
      </c>
      <c r="AA363" t="s">
        <v>2147</v>
      </c>
      <c r="AB363" t="s">
        <v>3121</v>
      </c>
      <c r="AC363">
        <v>1.88</v>
      </c>
      <c r="AD363" t="s">
        <v>1448</v>
      </c>
      <c r="AE363" t="s">
        <v>3122</v>
      </c>
      <c r="AF363" t="s">
        <v>1448</v>
      </c>
      <c r="AG363" t="s">
        <v>3122</v>
      </c>
      <c r="AH363">
        <v>-2.69</v>
      </c>
      <c r="AI363">
        <v>-4.13</v>
      </c>
      <c r="AJ363">
        <v>15.91</v>
      </c>
      <c r="AK363">
        <v>39.81</v>
      </c>
      <c r="AL363">
        <v>1</v>
      </c>
      <c r="AM363">
        <v>1.56</v>
      </c>
      <c r="AN363">
        <v>30</v>
      </c>
      <c r="AO363">
        <v>18.61</v>
      </c>
      <c r="AP363">
        <v>26.46</v>
      </c>
    </row>
    <row r="364" spans="1:42">
      <c r="A364">
        <v>363</v>
      </c>
      <c r="B364" t="str">
        <f>"603011"</f>
        <v>603011</v>
      </c>
      <c r="C364" t="s">
        <v>3123</v>
      </c>
      <c r="D364">
        <v>7.91</v>
      </c>
      <c r="E364">
        <v>1.67</v>
      </c>
      <c r="F364">
        <v>0.13</v>
      </c>
      <c r="G364" t="s">
        <v>3009</v>
      </c>
      <c r="H364">
        <v>8895</v>
      </c>
      <c r="I364">
        <v>7.9</v>
      </c>
      <c r="J364">
        <v>7.91</v>
      </c>
      <c r="K364" t="s">
        <v>3124</v>
      </c>
      <c r="L364">
        <v>11.74</v>
      </c>
      <c r="M364" t="s">
        <v>46</v>
      </c>
      <c r="N364" t="s">
        <v>3125</v>
      </c>
      <c r="O364">
        <v>8.1</v>
      </c>
      <c r="P364">
        <v>7.68</v>
      </c>
      <c r="Q364">
        <v>7.77</v>
      </c>
      <c r="R364">
        <v>7.78</v>
      </c>
      <c r="S364">
        <v>5.4</v>
      </c>
      <c r="T364">
        <v>1.29</v>
      </c>
      <c r="U364">
        <v>-52.19</v>
      </c>
      <c r="V364">
        <v>-5874</v>
      </c>
      <c r="W364">
        <v>7.9</v>
      </c>
      <c r="X364" t="s">
        <v>2436</v>
      </c>
      <c r="Y364" t="s">
        <v>3126</v>
      </c>
      <c r="Z364">
        <v>0.98</v>
      </c>
      <c r="AA364">
        <v>480</v>
      </c>
      <c r="AB364">
        <v>557</v>
      </c>
      <c r="AC364">
        <v>1.73</v>
      </c>
      <c r="AD364" t="s">
        <v>3127</v>
      </c>
      <c r="AE364" t="s">
        <v>3128</v>
      </c>
      <c r="AF364" t="s">
        <v>3127</v>
      </c>
      <c r="AG364" t="s">
        <v>3128</v>
      </c>
      <c r="AH364">
        <v>-0.5</v>
      </c>
      <c r="AI364">
        <v>9.86</v>
      </c>
      <c r="AJ364">
        <v>28.59</v>
      </c>
      <c r="AK364">
        <v>57.14</v>
      </c>
      <c r="AL364">
        <v>2</v>
      </c>
      <c r="AM364">
        <v>1.67</v>
      </c>
      <c r="AN364">
        <v>-3.18</v>
      </c>
      <c r="AO364">
        <v>12.2</v>
      </c>
      <c r="AP364">
        <v>-23.8</v>
      </c>
    </row>
    <row r="365" spans="1:42">
      <c r="A365">
        <v>364</v>
      </c>
      <c r="B365" t="str">
        <f>"002640"</f>
        <v>002640</v>
      </c>
      <c r="C365" t="s">
        <v>3129</v>
      </c>
      <c r="D365">
        <v>4.15</v>
      </c>
      <c r="E365">
        <v>3.75</v>
      </c>
      <c r="F365">
        <v>0.15</v>
      </c>
      <c r="G365" t="s">
        <v>545</v>
      </c>
      <c r="H365" t="s">
        <v>3130</v>
      </c>
      <c r="I365">
        <v>4.14</v>
      </c>
      <c r="J365">
        <v>4.15</v>
      </c>
      <c r="K365" t="s">
        <v>3124</v>
      </c>
      <c r="L365">
        <v>7.83</v>
      </c>
      <c r="M365" t="s">
        <v>46</v>
      </c>
      <c r="N365" t="s">
        <v>3131</v>
      </c>
      <c r="O365">
        <v>4.18</v>
      </c>
      <c r="P365">
        <v>3.98</v>
      </c>
      <c r="Q365">
        <v>3.98</v>
      </c>
      <c r="R365">
        <v>4</v>
      </c>
      <c r="S365">
        <v>5</v>
      </c>
      <c r="T365">
        <v>1.8</v>
      </c>
      <c r="U365">
        <v>-28.48</v>
      </c>
      <c r="V365" t="s">
        <v>3132</v>
      </c>
      <c r="W365">
        <v>4.13</v>
      </c>
      <c r="X365" t="s">
        <v>3133</v>
      </c>
      <c r="Y365" t="s">
        <v>2443</v>
      </c>
      <c r="Z365">
        <v>0.64</v>
      </c>
      <c r="AA365">
        <v>6558</v>
      </c>
      <c r="AB365" t="s">
        <v>3116</v>
      </c>
      <c r="AC365">
        <v>4.84</v>
      </c>
      <c r="AD365" t="s">
        <v>3134</v>
      </c>
      <c r="AE365" t="s">
        <v>3135</v>
      </c>
      <c r="AF365" t="s">
        <v>2582</v>
      </c>
      <c r="AG365" t="s">
        <v>3136</v>
      </c>
      <c r="AH365">
        <v>3.23</v>
      </c>
      <c r="AI365">
        <v>1.47</v>
      </c>
      <c r="AJ365">
        <v>18.19</v>
      </c>
      <c r="AK365">
        <v>29.59</v>
      </c>
      <c r="AL365">
        <v>1</v>
      </c>
      <c r="AM365">
        <v>3.75</v>
      </c>
      <c r="AN365">
        <v>-21.99</v>
      </c>
      <c r="AO365">
        <v>-6.53</v>
      </c>
      <c r="AP365">
        <v>15.92</v>
      </c>
    </row>
    <row r="366" spans="1:42">
      <c r="A366">
        <v>365</v>
      </c>
      <c r="B366" t="str">
        <f>"000801"</f>
        <v>000801</v>
      </c>
      <c r="C366" t="s">
        <v>3137</v>
      </c>
      <c r="D366">
        <v>9.21</v>
      </c>
      <c r="E366">
        <v>6.11</v>
      </c>
      <c r="F366">
        <v>0.53</v>
      </c>
      <c r="G366" t="s">
        <v>2899</v>
      </c>
      <c r="H366">
        <v>8717</v>
      </c>
      <c r="I366">
        <v>9.2</v>
      </c>
      <c r="J366">
        <v>9.21</v>
      </c>
      <c r="K366" t="s">
        <v>3124</v>
      </c>
      <c r="L366">
        <v>5</v>
      </c>
      <c r="M366" t="s">
        <v>46</v>
      </c>
      <c r="N366" t="s">
        <v>3138</v>
      </c>
      <c r="O366">
        <v>9.21</v>
      </c>
      <c r="P366">
        <v>8.62</v>
      </c>
      <c r="Q366">
        <v>8.68</v>
      </c>
      <c r="R366">
        <v>8.68</v>
      </c>
      <c r="S366">
        <v>6.8</v>
      </c>
      <c r="T366">
        <v>1.36</v>
      </c>
      <c r="U366">
        <v>21.3</v>
      </c>
      <c r="V366">
        <v>2013</v>
      </c>
      <c r="W366">
        <v>8.97</v>
      </c>
      <c r="X366" t="s">
        <v>3139</v>
      </c>
      <c r="Y366" t="s">
        <v>956</v>
      </c>
      <c r="Z366">
        <v>0.77</v>
      </c>
      <c r="AA366">
        <v>1807</v>
      </c>
      <c r="AB366">
        <v>1580</v>
      </c>
      <c r="AC366">
        <v>3.25</v>
      </c>
      <c r="AD366" t="s">
        <v>1070</v>
      </c>
      <c r="AE366" t="s">
        <v>3140</v>
      </c>
      <c r="AF366" t="s">
        <v>1070</v>
      </c>
      <c r="AG366" t="s">
        <v>3140</v>
      </c>
      <c r="AH366">
        <v>10.43</v>
      </c>
      <c r="AI366">
        <v>8.61</v>
      </c>
      <c r="AJ366">
        <v>18.09</v>
      </c>
      <c r="AK366">
        <v>23.42</v>
      </c>
      <c r="AL366">
        <v>1</v>
      </c>
      <c r="AM366">
        <v>6.11</v>
      </c>
      <c r="AN366">
        <v>43.46</v>
      </c>
      <c r="AO366">
        <v>10.7</v>
      </c>
      <c r="AP366">
        <v>24.46</v>
      </c>
    </row>
    <row r="367" spans="1:42">
      <c r="A367">
        <v>366</v>
      </c>
      <c r="B367" t="str">
        <f>"300429"</f>
        <v>300429</v>
      </c>
      <c r="C367" t="s">
        <v>3141</v>
      </c>
      <c r="D367">
        <v>14.66</v>
      </c>
      <c r="E367">
        <v>0.48</v>
      </c>
      <c r="F367">
        <v>0.07</v>
      </c>
      <c r="G367" t="s">
        <v>2066</v>
      </c>
      <c r="H367">
        <v>5663</v>
      </c>
      <c r="I367">
        <v>14.66</v>
      </c>
      <c r="J367">
        <v>14.67</v>
      </c>
      <c r="K367" t="s">
        <v>3142</v>
      </c>
      <c r="L367">
        <v>8.37</v>
      </c>
      <c r="M367" t="s">
        <v>46</v>
      </c>
      <c r="N367" t="s">
        <v>1091</v>
      </c>
      <c r="O367">
        <v>14.85</v>
      </c>
      <c r="P367">
        <v>14.18</v>
      </c>
      <c r="Q367">
        <v>14.3</v>
      </c>
      <c r="R367">
        <v>14.59</v>
      </c>
      <c r="S367">
        <v>4.59</v>
      </c>
      <c r="T367">
        <v>0.65</v>
      </c>
      <c r="U367">
        <v>-31.38</v>
      </c>
      <c r="V367">
        <v>-1610</v>
      </c>
      <c r="W367">
        <v>14.52</v>
      </c>
      <c r="X367" t="s">
        <v>3143</v>
      </c>
      <c r="Y367" t="s">
        <v>1412</v>
      </c>
      <c r="Z367">
        <v>1.07</v>
      </c>
      <c r="AA367">
        <v>175</v>
      </c>
      <c r="AB367">
        <v>1366</v>
      </c>
      <c r="AC367">
        <v>4.44</v>
      </c>
      <c r="AD367" t="s">
        <v>3144</v>
      </c>
      <c r="AE367" t="s">
        <v>3145</v>
      </c>
      <c r="AF367" t="s">
        <v>3146</v>
      </c>
      <c r="AG367" t="s">
        <v>3147</v>
      </c>
      <c r="AH367">
        <v>3.6</v>
      </c>
      <c r="AI367">
        <v>-0.27</v>
      </c>
      <c r="AJ367">
        <v>47.7</v>
      </c>
      <c r="AK367">
        <v>72.98</v>
      </c>
      <c r="AL367">
        <v>1</v>
      </c>
      <c r="AM367">
        <v>0.48</v>
      </c>
      <c r="AN367">
        <v>102.77</v>
      </c>
      <c r="AO367">
        <v>8.19</v>
      </c>
      <c r="AP367">
        <v>74.73</v>
      </c>
    </row>
    <row r="368" spans="1:42">
      <c r="A368">
        <v>367</v>
      </c>
      <c r="B368" t="str">
        <f>"603345"</f>
        <v>603345</v>
      </c>
      <c r="C368" t="s">
        <v>3148</v>
      </c>
      <c r="D368">
        <v>110.3</v>
      </c>
      <c r="E368">
        <v>-3.48</v>
      </c>
      <c r="F368">
        <v>-3.98</v>
      </c>
      <c r="G368" t="s">
        <v>3149</v>
      </c>
      <c r="H368">
        <v>622</v>
      </c>
      <c r="I368">
        <v>110.3</v>
      </c>
      <c r="J368">
        <v>110.33</v>
      </c>
      <c r="K368" t="s">
        <v>3142</v>
      </c>
      <c r="L368">
        <v>1.4</v>
      </c>
      <c r="M368" t="s">
        <v>46</v>
      </c>
      <c r="N368" t="s">
        <v>3150</v>
      </c>
      <c r="O368">
        <v>113.98</v>
      </c>
      <c r="P368">
        <v>110.18</v>
      </c>
      <c r="Q368">
        <v>113.55</v>
      </c>
      <c r="R368">
        <v>114.28</v>
      </c>
      <c r="S368">
        <v>3.33</v>
      </c>
      <c r="T368">
        <v>1.23</v>
      </c>
      <c r="U368">
        <v>-41.61</v>
      </c>
      <c r="V368">
        <v>-57</v>
      </c>
      <c r="W368">
        <v>111.24</v>
      </c>
      <c r="X368" t="s">
        <v>3151</v>
      </c>
      <c r="Y368" t="s">
        <v>2575</v>
      </c>
      <c r="Z368">
        <v>1.35</v>
      </c>
      <c r="AA368">
        <v>2</v>
      </c>
      <c r="AB368">
        <v>5</v>
      </c>
      <c r="AC368">
        <v>2.63</v>
      </c>
      <c r="AD368" t="s">
        <v>3152</v>
      </c>
      <c r="AE368" t="s">
        <v>3153</v>
      </c>
      <c r="AF368" t="s">
        <v>3152</v>
      </c>
      <c r="AG368" t="s">
        <v>3153</v>
      </c>
      <c r="AH368">
        <v>-2.04</v>
      </c>
      <c r="AI368">
        <v>-3.85</v>
      </c>
      <c r="AJ368">
        <v>4.63</v>
      </c>
      <c r="AK368">
        <v>7.07</v>
      </c>
      <c r="AL368">
        <v>-1</v>
      </c>
      <c r="AM368">
        <v>-3.48</v>
      </c>
      <c r="AN368">
        <v>-31.06</v>
      </c>
      <c r="AO368">
        <v>-14.48</v>
      </c>
      <c r="AP368">
        <v>-25</v>
      </c>
    </row>
    <row r="369" spans="1:42">
      <c r="A369">
        <v>368</v>
      </c>
      <c r="B369" t="str">
        <f>"300592"</f>
        <v>300592</v>
      </c>
      <c r="C369" t="s">
        <v>3154</v>
      </c>
      <c r="D369">
        <v>28</v>
      </c>
      <c r="E369">
        <v>4.56</v>
      </c>
      <c r="F369">
        <v>1.22</v>
      </c>
      <c r="G369" t="s">
        <v>3155</v>
      </c>
      <c r="H369">
        <v>1013</v>
      </c>
      <c r="I369">
        <v>27.99</v>
      </c>
      <c r="J369">
        <v>28</v>
      </c>
      <c r="K369" t="s">
        <v>3156</v>
      </c>
      <c r="L369">
        <v>10.42</v>
      </c>
      <c r="M369" t="s">
        <v>46</v>
      </c>
      <c r="N369" t="s">
        <v>3157</v>
      </c>
      <c r="O369">
        <v>28.29</v>
      </c>
      <c r="P369">
        <v>26.8</v>
      </c>
      <c r="Q369">
        <v>26.86</v>
      </c>
      <c r="R369">
        <v>26.78</v>
      </c>
      <c r="S369">
        <v>5.56</v>
      </c>
      <c r="T369">
        <v>2.48</v>
      </c>
      <c r="U369">
        <v>-1.28</v>
      </c>
      <c r="V369">
        <v>-13</v>
      </c>
      <c r="W369">
        <v>27.71</v>
      </c>
      <c r="X369" t="s">
        <v>3158</v>
      </c>
      <c r="Y369" t="s">
        <v>3159</v>
      </c>
      <c r="Z369">
        <v>0.81</v>
      </c>
      <c r="AA369">
        <v>58</v>
      </c>
      <c r="AB369">
        <v>176</v>
      </c>
      <c r="AC369">
        <v>3.89</v>
      </c>
      <c r="AD369" t="s">
        <v>3160</v>
      </c>
      <c r="AE369" t="s">
        <v>3161</v>
      </c>
      <c r="AF369" t="s">
        <v>3162</v>
      </c>
      <c r="AG369" t="s">
        <v>3163</v>
      </c>
      <c r="AH369">
        <v>6.63</v>
      </c>
      <c r="AI369">
        <v>13.68</v>
      </c>
      <c r="AJ369">
        <v>20.38</v>
      </c>
      <c r="AK369">
        <v>31.4</v>
      </c>
      <c r="AL369">
        <v>2</v>
      </c>
      <c r="AM369">
        <v>4.56</v>
      </c>
      <c r="AN369">
        <v>84.82</v>
      </c>
      <c r="AO369">
        <v>19.45</v>
      </c>
      <c r="AP369">
        <v>84.82</v>
      </c>
    </row>
    <row r="370" spans="1:42">
      <c r="A370">
        <v>369</v>
      </c>
      <c r="B370" t="str">
        <f>"688072"</f>
        <v>688072</v>
      </c>
      <c r="C370" t="s">
        <v>3164</v>
      </c>
      <c r="D370">
        <v>257.86</v>
      </c>
      <c r="E370">
        <v>-3.6</v>
      </c>
      <c r="F370">
        <v>-9.63</v>
      </c>
      <c r="G370" t="s">
        <v>3165</v>
      </c>
      <c r="H370">
        <v>103</v>
      </c>
      <c r="I370">
        <v>257.86</v>
      </c>
      <c r="J370">
        <v>257.99</v>
      </c>
      <c r="K370" t="s">
        <v>3166</v>
      </c>
      <c r="L370">
        <v>1.72</v>
      </c>
      <c r="M370" t="s">
        <v>46</v>
      </c>
      <c r="N370" t="s">
        <v>3167</v>
      </c>
      <c r="O370">
        <v>262.99</v>
      </c>
      <c r="P370">
        <v>252.01</v>
      </c>
      <c r="Q370">
        <v>262.99</v>
      </c>
      <c r="R370">
        <v>267.49</v>
      </c>
      <c r="S370">
        <v>4.1</v>
      </c>
      <c r="T370">
        <v>0.98</v>
      </c>
      <c r="U370">
        <v>-15.02</v>
      </c>
      <c r="V370">
        <v>-5</v>
      </c>
      <c r="W370">
        <v>256.93</v>
      </c>
      <c r="X370">
        <v>8858</v>
      </c>
      <c r="Y370">
        <v>8822</v>
      </c>
      <c r="Z370">
        <v>1</v>
      </c>
      <c r="AA370">
        <v>1</v>
      </c>
      <c r="AB370">
        <v>3</v>
      </c>
      <c r="AC370">
        <v>11.83</v>
      </c>
      <c r="AD370" t="s">
        <v>3168</v>
      </c>
      <c r="AE370" t="s">
        <v>3169</v>
      </c>
      <c r="AF370" t="s">
        <v>3170</v>
      </c>
      <c r="AG370" t="s">
        <v>3171</v>
      </c>
      <c r="AH370">
        <v>1.56</v>
      </c>
      <c r="AI370">
        <v>7.11</v>
      </c>
      <c r="AJ370">
        <v>5.03</v>
      </c>
      <c r="AK370">
        <v>10.44</v>
      </c>
      <c r="AL370">
        <v>-1</v>
      </c>
      <c r="AM370">
        <v>-3.6</v>
      </c>
      <c r="AN370">
        <v>76.28</v>
      </c>
      <c r="AO370">
        <v>8.44</v>
      </c>
      <c r="AP370">
        <v>70.84</v>
      </c>
    </row>
    <row r="371" spans="1:42">
      <c r="A371">
        <v>370</v>
      </c>
      <c r="B371" t="str">
        <f>"688777"</f>
        <v>688777</v>
      </c>
      <c r="C371" t="s">
        <v>3172</v>
      </c>
      <c r="D371">
        <v>42.38</v>
      </c>
      <c r="E371">
        <v>-3.24</v>
      </c>
      <c r="F371">
        <v>-1.42</v>
      </c>
      <c r="G371" t="s">
        <v>1909</v>
      </c>
      <c r="H371">
        <v>687</v>
      </c>
      <c r="I371">
        <v>42.37</v>
      </c>
      <c r="J371">
        <v>42.38</v>
      </c>
      <c r="K371" t="s">
        <v>3173</v>
      </c>
      <c r="L371">
        <v>1.38</v>
      </c>
      <c r="M371" t="s">
        <v>46</v>
      </c>
      <c r="N371" t="s">
        <v>3174</v>
      </c>
      <c r="O371">
        <v>43.17</v>
      </c>
      <c r="P371">
        <v>41.88</v>
      </c>
      <c r="Q371">
        <v>43.17</v>
      </c>
      <c r="R371">
        <v>43.8</v>
      </c>
      <c r="S371">
        <v>2.95</v>
      </c>
      <c r="T371">
        <v>1.36</v>
      </c>
      <c r="U371">
        <v>-9.1</v>
      </c>
      <c r="V371">
        <v>-48</v>
      </c>
      <c r="W371">
        <v>42.31</v>
      </c>
      <c r="X371" t="s">
        <v>3175</v>
      </c>
      <c r="Y371" t="s">
        <v>3176</v>
      </c>
      <c r="Z371">
        <v>1.45</v>
      </c>
      <c r="AA371">
        <v>43</v>
      </c>
      <c r="AB371">
        <v>148</v>
      </c>
      <c r="AC371">
        <v>3.53</v>
      </c>
      <c r="AD371" t="s">
        <v>3177</v>
      </c>
      <c r="AE371" t="s">
        <v>3178</v>
      </c>
      <c r="AF371" t="s">
        <v>3179</v>
      </c>
      <c r="AG371" t="s">
        <v>3180</v>
      </c>
      <c r="AH371">
        <v>-2.91</v>
      </c>
      <c r="AI371">
        <v>1.12</v>
      </c>
      <c r="AJ371">
        <v>3.32</v>
      </c>
      <c r="AK371">
        <v>6.46</v>
      </c>
      <c r="AL371">
        <v>-1</v>
      </c>
      <c r="AM371">
        <v>-3.24</v>
      </c>
      <c r="AN371">
        <v>-31.78</v>
      </c>
      <c r="AO371">
        <v>-1.92</v>
      </c>
      <c r="AP371">
        <v>-35.89</v>
      </c>
    </row>
    <row r="372" spans="1:42">
      <c r="A372">
        <v>371</v>
      </c>
      <c r="B372" t="str">
        <f>"601600"</f>
        <v>601600</v>
      </c>
      <c r="C372" t="s">
        <v>3181</v>
      </c>
      <c r="D372">
        <v>5.59</v>
      </c>
      <c r="E372">
        <v>0.9</v>
      </c>
      <c r="F372">
        <v>0.05</v>
      </c>
      <c r="G372" t="s">
        <v>3182</v>
      </c>
      <c r="H372">
        <v>9812</v>
      </c>
      <c r="I372">
        <v>5.58</v>
      </c>
      <c r="J372">
        <v>5.59</v>
      </c>
      <c r="K372" t="s">
        <v>3183</v>
      </c>
      <c r="L372">
        <v>0.62</v>
      </c>
      <c r="M372" t="s">
        <v>46</v>
      </c>
      <c r="N372" t="s">
        <v>3184</v>
      </c>
      <c r="O372">
        <v>5.6</v>
      </c>
      <c r="P372">
        <v>5.49</v>
      </c>
      <c r="Q372">
        <v>5.54</v>
      </c>
      <c r="R372">
        <v>5.54</v>
      </c>
      <c r="S372">
        <v>1.99</v>
      </c>
      <c r="T372">
        <v>1.1</v>
      </c>
      <c r="U372">
        <v>-43.93</v>
      </c>
      <c r="V372" t="s">
        <v>3185</v>
      </c>
      <c r="W372">
        <v>5.55</v>
      </c>
      <c r="X372" t="s">
        <v>96</v>
      </c>
      <c r="Y372" t="s">
        <v>2008</v>
      </c>
      <c r="Z372">
        <v>1.02</v>
      </c>
      <c r="AA372">
        <v>3631</v>
      </c>
      <c r="AB372">
        <v>1013</v>
      </c>
      <c r="AC372">
        <v>1.68</v>
      </c>
      <c r="AD372" t="s">
        <v>549</v>
      </c>
      <c r="AE372" t="s">
        <v>3186</v>
      </c>
      <c r="AF372" t="s">
        <v>3187</v>
      </c>
      <c r="AG372" t="s">
        <v>3188</v>
      </c>
      <c r="AH372">
        <v>-0.89</v>
      </c>
      <c r="AI372">
        <v>-2.1</v>
      </c>
      <c r="AJ372">
        <v>1.7</v>
      </c>
      <c r="AK372">
        <v>3.45</v>
      </c>
      <c r="AL372">
        <v>1</v>
      </c>
      <c r="AM372">
        <v>0.9</v>
      </c>
      <c r="AN372">
        <v>26.19</v>
      </c>
      <c r="AO372">
        <v>-7.3</v>
      </c>
      <c r="AP372">
        <v>30</v>
      </c>
    </row>
    <row r="373" spans="1:42">
      <c r="A373">
        <v>372</v>
      </c>
      <c r="B373" t="str">
        <f>"600436"</f>
        <v>600436</v>
      </c>
      <c r="C373" t="s">
        <v>3189</v>
      </c>
      <c r="D373">
        <v>252.11</v>
      </c>
      <c r="E373">
        <v>-0.26</v>
      </c>
      <c r="F373">
        <v>-0.65</v>
      </c>
      <c r="G373" t="s">
        <v>432</v>
      </c>
      <c r="H373">
        <v>167</v>
      </c>
      <c r="I373">
        <v>252.11</v>
      </c>
      <c r="J373">
        <v>252.17</v>
      </c>
      <c r="K373" t="s">
        <v>3183</v>
      </c>
      <c r="L373">
        <v>0.3</v>
      </c>
      <c r="M373" t="s">
        <v>46</v>
      </c>
      <c r="N373" t="s">
        <v>3190</v>
      </c>
      <c r="O373">
        <v>253.39</v>
      </c>
      <c r="P373">
        <v>247.5</v>
      </c>
      <c r="Q373">
        <v>251.67</v>
      </c>
      <c r="R373">
        <v>252.76</v>
      </c>
      <c r="S373">
        <v>2.33</v>
      </c>
      <c r="T373">
        <v>1.73</v>
      </c>
      <c r="U373">
        <v>-59.49</v>
      </c>
      <c r="V373">
        <v>-47</v>
      </c>
      <c r="W373">
        <v>250.5</v>
      </c>
      <c r="X373">
        <v>9425</v>
      </c>
      <c r="Y373">
        <v>8540</v>
      </c>
      <c r="Z373">
        <v>1.1</v>
      </c>
      <c r="AA373">
        <v>2</v>
      </c>
      <c r="AB373">
        <v>1</v>
      </c>
      <c r="AC373">
        <v>11.69</v>
      </c>
      <c r="AD373" t="s">
        <v>3191</v>
      </c>
      <c r="AE373" t="s">
        <v>3192</v>
      </c>
      <c r="AF373" t="s">
        <v>3191</v>
      </c>
      <c r="AG373" t="s">
        <v>3192</v>
      </c>
      <c r="AH373">
        <v>-1.04</v>
      </c>
      <c r="AI373">
        <v>-1.86</v>
      </c>
      <c r="AJ373">
        <v>0.65</v>
      </c>
      <c r="AK373">
        <v>1.16</v>
      </c>
      <c r="AL373">
        <v>-1</v>
      </c>
      <c r="AM373">
        <v>-0.26</v>
      </c>
      <c r="AN373">
        <v>-12.22</v>
      </c>
      <c r="AO373">
        <v>0.27</v>
      </c>
      <c r="AP373">
        <v>-1.18</v>
      </c>
    </row>
    <row r="374" spans="1:42">
      <c r="A374">
        <v>373</v>
      </c>
      <c r="B374" t="str">
        <f>"000670"</f>
        <v>000670</v>
      </c>
      <c r="C374" t="s">
        <v>3193</v>
      </c>
      <c r="D374">
        <v>7.29</v>
      </c>
      <c r="E374">
        <v>2.82</v>
      </c>
      <c r="F374">
        <v>0.2</v>
      </c>
      <c r="G374" t="s">
        <v>3194</v>
      </c>
      <c r="H374">
        <v>8340</v>
      </c>
      <c r="I374">
        <v>7.29</v>
      </c>
      <c r="J374">
        <v>7.3</v>
      </c>
      <c r="K374" t="s">
        <v>3183</v>
      </c>
      <c r="L374">
        <v>8.63</v>
      </c>
      <c r="M374" t="s">
        <v>46</v>
      </c>
      <c r="N374" t="s">
        <v>3195</v>
      </c>
      <c r="O374">
        <v>7.49</v>
      </c>
      <c r="P374">
        <v>6.94</v>
      </c>
      <c r="Q374">
        <v>7.03</v>
      </c>
      <c r="R374">
        <v>7.09</v>
      </c>
      <c r="S374">
        <v>7.76</v>
      </c>
      <c r="T374">
        <v>0.67</v>
      </c>
      <c r="U374">
        <v>-40.65</v>
      </c>
      <c r="V374">
        <v>-8194</v>
      </c>
      <c r="W374">
        <v>7.21</v>
      </c>
      <c r="X374" t="s">
        <v>2884</v>
      </c>
      <c r="Y374" t="s">
        <v>554</v>
      </c>
      <c r="Z374">
        <v>0.97</v>
      </c>
      <c r="AA374">
        <v>336</v>
      </c>
      <c r="AB374">
        <v>5898</v>
      </c>
      <c r="AC374">
        <v>100.64</v>
      </c>
      <c r="AD374" t="s">
        <v>3196</v>
      </c>
      <c r="AE374" t="s">
        <v>3197</v>
      </c>
      <c r="AF374" t="s">
        <v>3198</v>
      </c>
      <c r="AG374" t="s">
        <v>3199</v>
      </c>
      <c r="AH374">
        <v>-10.44</v>
      </c>
      <c r="AI374">
        <v>-8.3</v>
      </c>
      <c r="AJ374">
        <v>29.9</v>
      </c>
      <c r="AK374">
        <v>72.74</v>
      </c>
      <c r="AL374">
        <v>1</v>
      </c>
      <c r="AM374">
        <v>2.82</v>
      </c>
      <c r="AN374">
        <v>3.85</v>
      </c>
      <c r="AO374">
        <v>1.11</v>
      </c>
      <c r="AP374">
        <v>-10</v>
      </c>
    </row>
    <row r="375" spans="1:42">
      <c r="A375">
        <v>374</v>
      </c>
      <c r="B375" t="str">
        <f>"688008"</f>
        <v>688008</v>
      </c>
      <c r="C375" t="s">
        <v>3200</v>
      </c>
      <c r="D375">
        <v>60.09</v>
      </c>
      <c r="E375">
        <v>1.88</v>
      </c>
      <c r="F375">
        <v>1.11</v>
      </c>
      <c r="G375" t="s">
        <v>3201</v>
      </c>
      <c r="H375">
        <v>896</v>
      </c>
      <c r="I375">
        <v>60.09</v>
      </c>
      <c r="J375">
        <v>60.18</v>
      </c>
      <c r="K375" t="s">
        <v>3202</v>
      </c>
      <c r="L375">
        <v>0.67</v>
      </c>
      <c r="M375" t="s">
        <v>46</v>
      </c>
      <c r="N375" t="s">
        <v>3203</v>
      </c>
      <c r="O375">
        <v>60.5</v>
      </c>
      <c r="P375">
        <v>57.69</v>
      </c>
      <c r="Q375">
        <v>58.8</v>
      </c>
      <c r="R375">
        <v>58.98</v>
      </c>
      <c r="S375">
        <v>4.76</v>
      </c>
      <c r="T375">
        <v>1.13</v>
      </c>
      <c r="U375">
        <v>82.66</v>
      </c>
      <c r="V375">
        <v>470</v>
      </c>
      <c r="W375">
        <v>59</v>
      </c>
      <c r="X375" t="s">
        <v>925</v>
      </c>
      <c r="Y375" t="s">
        <v>3204</v>
      </c>
      <c r="Z375">
        <v>0.68</v>
      </c>
      <c r="AA375">
        <v>9</v>
      </c>
      <c r="AB375">
        <v>2</v>
      </c>
      <c r="AC375">
        <v>6.76</v>
      </c>
      <c r="AD375" t="s">
        <v>302</v>
      </c>
      <c r="AE375" t="s">
        <v>3205</v>
      </c>
      <c r="AF375" t="s">
        <v>302</v>
      </c>
      <c r="AG375" t="s">
        <v>3205</v>
      </c>
      <c r="AH375">
        <v>4.03</v>
      </c>
      <c r="AI375">
        <v>2.79</v>
      </c>
      <c r="AJ375">
        <v>1.8</v>
      </c>
      <c r="AK375">
        <v>3.63</v>
      </c>
      <c r="AL375">
        <v>3</v>
      </c>
      <c r="AM375">
        <v>1.88</v>
      </c>
      <c r="AN375">
        <v>-3.55</v>
      </c>
      <c r="AO375">
        <v>5.98</v>
      </c>
      <c r="AP375">
        <v>-13.25</v>
      </c>
    </row>
    <row r="376" spans="1:42">
      <c r="A376">
        <v>375</v>
      </c>
      <c r="B376" t="str">
        <f>"300769"</f>
        <v>300769</v>
      </c>
      <c r="C376" t="s">
        <v>3206</v>
      </c>
      <c r="D376">
        <v>62.78</v>
      </c>
      <c r="E376">
        <v>-2.82</v>
      </c>
      <c r="F376">
        <v>-1.82</v>
      </c>
      <c r="G376" t="s">
        <v>3207</v>
      </c>
      <c r="H376">
        <v>510</v>
      </c>
      <c r="I376">
        <v>62.78</v>
      </c>
      <c r="J376">
        <v>62.79</v>
      </c>
      <c r="K376" t="s">
        <v>3208</v>
      </c>
      <c r="L376">
        <v>2.87</v>
      </c>
      <c r="M376" t="s">
        <v>46</v>
      </c>
      <c r="N376" t="s">
        <v>3209</v>
      </c>
      <c r="O376">
        <v>64.65</v>
      </c>
      <c r="P376">
        <v>62.07</v>
      </c>
      <c r="Q376">
        <v>64.54</v>
      </c>
      <c r="R376">
        <v>64.6</v>
      </c>
      <c r="S376">
        <v>3.99</v>
      </c>
      <c r="T376">
        <v>1.78</v>
      </c>
      <c r="U376">
        <v>7.62</v>
      </c>
      <c r="V376">
        <v>18</v>
      </c>
      <c r="W376">
        <v>62.86</v>
      </c>
      <c r="X376" t="s">
        <v>3210</v>
      </c>
      <c r="Y376" t="s">
        <v>3211</v>
      </c>
      <c r="Z376">
        <v>1.11</v>
      </c>
      <c r="AA376">
        <v>27</v>
      </c>
      <c r="AB376">
        <v>7</v>
      </c>
      <c r="AC376">
        <v>2.27</v>
      </c>
      <c r="AD376" t="s">
        <v>3212</v>
      </c>
      <c r="AE376" t="s">
        <v>3213</v>
      </c>
      <c r="AF376" t="s">
        <v>3214</v>
      </c>
      <c r="AG376" t="s">
        <v>3215</v>
      </c>
      <c r="AH376">
        <v>-9.11</v>
      </c>
      <c r="AI376">
        <v>-13.69</v>
      </c>
      <c r="AJ376">
        <v>6.63</v>
      </c>
      <c r="AK376">
        <v>10.93</v>
      </c>
      <c r="AL376">
        <v>-3</v>
      </c>
      <c r="AM376">
        <v>-2.82</v>
      </c>
      <c r="AN376">
        <v>-56.06</v>
      </c>
      <c r="AO376">
        <v>-16.29</v>
      </c>
      <c r="AP376">
        <v>-59.27</v>
      </c>
    </row>
    <row r="377" spans="1:42">
      <c r="A377">
        <v>376</v>
      </c>
      <c r="B377" t="str">
        <f>"002952"</f>
        <v>002952</v>
      </c>
      <c r="C377" t="s">
        <v>3216</v>
      </c>
      <c r="D377">
        <v>20.86</v>
      </c>
      <c r="E377">
        <v>-10.01</v>
      </c>
      <c r="F377">
        <v>-2.32</v>
      </c>
      <c r="G377" t="s">
        <v>3217</v>
      </c>
      <c r="H377">
        <v>373</v>
      </c>
      <c r="I377" t="s">
        <v>76</v>
      </c>
      <c r="J377">
        <v>20.86</v>
      </c>
      <c r="K377" t="s">
        <v>1346</v>
      </c>
      <c r="L377">
        <v>15.87</v>
      </c>
      <c r="M377" t="s">
        <v>46</v>
      </c>
      <c r="N377" t="s">
        <v>496</v>
      </c>
      <c r="O377">
        <v>23</v>
      </c>
      <c r="P377">
        <v>20.86</v>
      </c>
      <c r="Q377">
        <v>23</v>
      </c>
      <c r="R377">
        <v>23.18</v>
      </c>
      <c r="S377">
        <v>9.23</v>
      </c>
      <c r="T377">
        <v>3.27</v>
      </c>
      <c r="U377">
        <v>-100</v>
      </c>
      <c r="V377">
        <v>-6699</v>
      </c>
      <c r="W377">
        <v>21.26</v>
      </c>
      <c r="X377" t="s">
        <v>829</v>
      </c>
      <c r="Y377" t="s">
        <v>3218</v>
      </c>
      <c r="Z377">
        <v>1.12</v>
      </c>
      <c r="AA377">
        <v>0</v>
      </c>
      <c r="AB377">
        <v>6128</v>
      </c>
      <c r="AC377">
        <v>3.99</v>
      </c>
      <c r="AD377" t="s">
        <v>3219</v>
      </c>
      <c r="AE377" t="s">
        <v>3220</v>
      </c>
      <c r="AF377" t="s">
        <v>3221</v>
      </c>
      <c r="AG377" t="s">
        <v>3222</v>
      </c>
      <c r="AH377">
        <v>8.93</v>
      </c>
      <c r="AI377">
        <v>18.25</v>
      </c>
      <c r="AJ377">
        <v>25.83</v>
      </c>
      <c r="AK377">
        <v>40.12</v>
      </c>
      <c r="AL377">
        <v>-1</v>
      </c>
      <c r="AM377">
        <v>-10.01</v>
      </c>
      <c r="AN377">
        <v>43.07</v>
      </c>
      <c r="AO377">
        <v>29.73</v>
      </c>
      <c r="AP377">
        <v>18.73</v>
      </c>
    </row>
    <row r="378" spans="1:42">
      <c r="A378">
        <v>377</v>
      </c>
      <c r="B378" t="str">
        <f>"301052"</f>
        <v>301052</v>
      </c>
      <c r="C378" t="s">
        <v>3223</v>
      </c>
      <c r="D378">
        <v>66.56</v>
      </c>
      <c r="E378">
        <v>19.99</v>
      </c>
      <c r="F378">
        <v>11.09</v>
      </c>
      <c r="G378" t="s">
        <v>3224</v>
      </c>
      <c r="H378">
        <v>423</v>
      </c>
      <c r="I378">
        <v>66.56</v>
      </c>
      <c r="J378" t="s">
        <v>76</v>
      </c>
      <c r="K378" t="s">
        <v>3225</v>
      </c>
      <c r="L378">
        <v>13.05</v>
      </c>
      <c r="M378" t="s">
        <v>46</v>
      </c>
      <c r="N378" t="s">
        <v>997</v>
      </c>
      <c r="O378">
        <v>66.56</v>
      </c>
      <c r="P378">
        <v>55.6</v>
      </c>
      <c r="Q378">
        <v>56.58</v>
      </c>
      <c r="R378">
        <v>55.47</v>
      </c>
      <c r="S378">
        <v>19.76</v>
      </c>
      <c r="T378">
        <v>2.01</v>
      </c>
      <c r="U378">
        <v>100</v>
      </c>
      <c r="V378">
        <v>7597</v>
      </c>
      <c r="W378">
        <v>61.7</v>
      </c>
      <c r="X378" t="s">
        <v>3226</v>
      </c>
      <c r="Y378" t="s">
        <v>3227</v>
      </c>
      <c r="Z378">
        <v>0.78</v>
      </c>
      <c r="AA378">
        <v>7569</v>
      </c>
      <c r="AB378">
        <v>0</v>
      </c>
      <c r="AC378">
        <v>7.42</v>
      </c>
      <c r="AD378" t="s">
        <v>3228</v>
      </c>
      <c r="AE378" t="s">
        <v>3229</v>
      </c>
      <c r="AF378" t="s">
        <v>3230</v>
      </c>
      <c r="AG378" t="s">
        <v>3231</v>
      </c>
      <c r="AH378">
        <v>20.58</v>
      </c>
      <c r="AI378">
        <v>25.87</v>
      </c>
      <c r="AJ378">
        <v>23.57</v>
      </c>
      <c r="AK378">
        <v>45.57</v>
      </c>
      <c r="AL378">
        <v>2</v>
      </c>
      <c r="AM378">
        <v>19.99</v>
      </c>
      <c r="AN378">
        <v>199.95</v>
      </c>
      <c r="AO378">
        <v>70.71</v>
      </c>
      <c r="AP378">
        <v>148.73</v>
      </c>
    </row>
    <row r="379" spans="1:42">
      <c r="A379">
        <v>378</v>
      </c>
      <c r="B379" t="str">
        <f>"688228"</f>
        <v>688228</v>
      </c>
      <c r="C379" t="s">
        <v>3232</v>
      </c>
      <c r="D379">
        <v>59.91</v>
      </c>
      <c r="E379">
        <v>13.25</v>
      </c>
      <c r="F379">
        <v>7.01</v>
      </c>
      <c r="G379" t="s">
        <v>3233</v>
      </c>
      <c r="H379">
        <v>1351</v>
      </c>
      <c r="I379">
        <v>59.91</v>
      </c>
      <c r="J379">
        <v>59.92</v>
      </c>
      <c r="K379" t="s">
        <v>3225</v>
      </c>
      <c r="L379">
        <v>11.58</v>
      </c>
      <c r="M379" t="s">
        <v>46</v>
      </c>
      <c r="N379" t="s">
        <v>3234</v>
      </c>
      <c r="O379">
        <v>60.36</v>
      </c>
      <c r="P379">
        <v>53.69</v>
      </c>
      <c r="Q379">
        <v>54.48</v>
      </c>
      <c r="R379">
        <v>52.9</v>
      </c>
      <c r="S379">
        <v>12.61</v>
      </c>
      <c r="T379">
        <v>1.95</v>
      </c>
      <c r="U379">
        <v>-59.02</v>
      </c>
      <c r="V379">
        <v>-289</v>
      </c>
      <c r="W379">
        <v>56.77</v>
      </c>
      <c r="X379" t="s">
        <v>762</v>
      </c>
      <c r="Y379" t="s">
        <v>3235</v>
      </c>
      <c r="Z379">
        <v>0.81</v>
      </c>
      <c r="AA379">
        <v>70</v>
      </c>
      <c r="AB379">
        <v>4</v>
      </c>
      <c r="AC379">
        <v>3.23</v>
      </c>
      <c r="AD379" t="s">
        <v>3236</v>
      </c>
      <c r="AE379" t="s">
        <v>3237</v>
      </c>
      <c r="AF379" t="s">
        <v>3236</v>
      </c>
      <c r="AG379" t="s">
        <v>3237</v>
      </c>
      <c r="AH379">
        <v>21.15</v>
      </c>
      <c r="AI379">
        <v>15.88</v>
      </c>
      <c r="AJ379">
        <v>24.76</v>
      </c>
      <c r="AK379">
        <v>41.28</v>
      </c>
      <c r="AL379">
        <v>3</v>
      </c>
      <c r="AM379">
        <v>13.25</v>
      </c>
      <c r="AN379">
        <v>92.27</v>
      </c>
      <c r="AO379">
        <v>54.61</v>
      </c>
      <c r="AP379">
        <v>68.1</v>
      </c>
    </row>
    <row r="380" spans="1:42">
      <c r="A380">
        <v>379</v>
      </c>
      <c r="B380" t="str">
        <f>"300766"</f>
        <v>300766</v>
      </c>
      <c r="C380" t="s">
        <v>3238</v>
      </c>
      <c r="D380">
        <v>17.15</v>
      </c>
      <c r="E380">
        <v>7.05</v>
      </c>
      <c r="F380">
        <v>1.13</v>
      </c>
      <c r="G380" t="s">
        <v>1015</v>
      </c>
      <c r="H380">
        <v>2762</v>
      </c>
      <c r="I380">
        <v>17.14</v>
      </c>
      <c r="J380">
        <v>17.15</v>
      </c>
      <c r="K380" t="s">
        <v>3239</v>
      </c>
      <c r="L380">
        <v>7.28</v>
      </c>
      <c r="M380" t="s">
        <v>46</v>
      </c>
      <c r="N380" t="s">
        <v>3240</v>
      </c>
      <c r="O380">
        <v>17.3</v>
      </c>
      <c r="P380">
        <v>15.99</v>
      </c>
      <c r="Q380">
        <v>16.02</v>
      </c>
      <c r="R380">
        <v>16.02</v>
      </c>
      <c r="S380">
        <v>8.18</v>
      </c>
      <c r="T380">
        <v>1.66</v>
      </c>
      <c r="U380">
        <v>-10.87</v>
      </c>
      <c r="V380">
        <v>-395</v>
      </c>
      <c r="W380">
        <v>16.79</v>
      </c>
      <c r="X380" t="s">
        <v>3241</v>
      </c>
      <c r="Y380" t="s">
        <v>1439</v>
      </c>
      <c r="Z380">
        <v>0.58</v>
      </c>
      <c r="AA380">
        <v>528</v>
      </c>
      <c r="AB380">
        <v>129</v>
      </c>
      <c r="AC380">
        <v>4.09</v>
      </c>
      <c r="AD380" t="s">
        <v>3242</v>
      </c>
      <c r="AE380" t="s">
        <v>3243</v>
      </c>
      <c r="AF380" t="s">
        <v>3244</v>
      </c>
      <c r="AG380" t="s">
        <v>3245</v>
      </c>
      <c r="AH380">
        <v>2.2</v>
      </c>
      <c r="AI380">
        <v>-0.92</v>
      </c>
      <c r="AJ380">
        <v>15.15</v>
      </c>
      <c r="AK380">
        <v>29.22</v>
      </c>
      <c r="AL380">
        <v>1</v>
      </c>
      <c r="AM380">
        <v>7.05</v>
      </c>
      <c r="AN380">
        <v>64.11</v>
      </c>
      <c r="AO380">
        <v>12.09</v>
      </c>
      <c r="AP380">
        <v>54.09</v>
      </c>
    </row>
    <row r="381" spans="1:42">
      <c r="A381">
        <v>380</v>
      </c>
      <c r="B381" t="str">
        <f>"002766"</f>
        <v>002766</v>
      </c>
      <c r="C381" t="s">
        <v>3246</v>
      </c>
      <c r="D381">
        <v>6.23</v>
      </c>
      <c r="E381">
        <v>-2.96</v>
      </c>
      <c r="F381">
        <v>-0.19</v>
      </c>
      <c r="G381" t="s">
        <v>3247</v>
      </c>
      <c r="H381">
        <v>6906</v>
      </c>
      <c r="I381">
        <v>6.22</v>
      </c>
      <c r="J381">
        <v>6.23</v>
      </c>
      <c r="K381" t="s">
        <v>3239</v>
      </c>
      <c r="L381">
        <v>8.42</v>
      </c>
      <c r="M381" t="s">
        <v>46</v>
      </c>
      <c r="N381" t="s">
        <v>3248</v>
      </c>
      <c r="O381">
        <v>6.46</v>
      </c>
      <c r="P381">
        <v>6.1</v>
      </c>
      <c r="Q381">
        <v>6.36</v>
      </c>
      <c r="R381">
        <v>6.42</v>
      </c>
      <c r="S381">
        <v>5.61</v>
      </c>
      <c r="T381">
        <v>1.74</v>
      </c>
      <c r="U381">
        <v>43.8</v>
      </c>
      <c r="V381">
        <v>5639</v>
      </c>
      <c r="W381">
        <v>6.22</v>
      </c>
      <c r="X381" t="s">
        <v>969</v>
      </c>
      <c r="Y381" t="s">
        <v>2494</v>
      </c>
      <c r="Z381">
        <v>1.15</v>
      </c>
      <c r="AA381">
        <v>2433</v>
      </c>
      <c r="AB381">
        <v>2307</v>
      </c>
      <c r="AC381">
        <v>7.62</v>
      </c>
      <c r="AD381" t="s">
        <v>3249</v>
      </c>
      <c r="AE381" t="s">
        <v>3250</v>
      </c>
      <c r="AF381" t="s">
        <v>3251</v>
      </c>
      <c r="AG381" t="s">
        <v>3252</v>
      </c>
      <c r="AH381">
        <v>5.06</v>
      </c>
      <c r="AI381">
        <v>6.13</v>
      </c>
      <c r="AJ381">
        <v>26.86</v>
      </c>
      <c r="AK381">
        <v>32.69</v>
      </c>
      <c r="AL381">
        <v>-1</v>
      </c>
      <c r="AM381">
        <v>-2.96</v>
      </c>
      <c r="AN381">
        <v>23.12</v>
      </c>
      <c r="AO381">
        <v>11.85</v>
      </c>
      <c r="AP381">
        <v>15.16</v>
      </c>
    </row>
    <row r="382" spans="1:42">
      <c r="A382">
        <v>381</v>
      </c>
      <c r="B382" t="str">
        <f>"002756"</f>
        <v>002756</v>
      </c>
      <c r="C382" t="s">
        <v>3253</v>
      </c>
      <c r="D382">
        <v>44</v>
      </c>
      <c r="E382">
        <v>0.05</v>
      </c>
      <c r="F382">
        <v>0.02</v>
      </c>
      <c r="G382" t="s">
        <v>3254</v>
      </c>
      <c r="H382">
        <v>1227</v>
      </c>
      <c r="I382">
        <v>44</v>
      </c>
      <c r="J382">
        <v>44.01</v>
      </c>
      <c r="K382" t="s">
        <v>742</v>
      </c>
      <c r="L382">
        <v>2.58</v>
      </c>
      <c r="M382" t="s">
        <v>46</v>
      </c>
      <c r="N382" t="s">
        <v>2140</v>
      </c>
      <c r="O382">
        <v>45.48</v>
      </c>
      <c r="P382">
        <v>43.19</v>
      </c>
      <c r="Q382">
        <v>43.96</v>
      </c>
      <c r="R382">
        <v>43.98</v>
      </c>
      <c r="S382">
        <v>5.21</v>
      </c>
      <c r="T382">
        <v>1.93</v>
      </c>
      <c r="U382">
        <v>58.97</v>
      </c>
      <c r="V382">
        <v>552</v>
      </c>
      <c r="W382">
        <v>44.29</v>
      </c>
      <c r="X382" t="s">
        <v>3255</v>
      </c>
      <c r="Y382" t="s">
        <v>3255</v>
      </c>
      <c r="Z382">
        <v>1</v>
      </c>
      <c r="AA382">
        <v>148</v>
      </c>
      <c r="AB382">
        <v>2</v>
      </c>
      <c r="AC382">
        <v>1.86</v>
      </c>
      <c r="AD382" t="s">
        <v>3256</v>
      </c>
      <c r="AE382" t="s">
        <v>2956</v>
      </c>
      <c r="AF382" t="s">
        <v>3257</v>
      </c>
      <c r="AG382" t="s">
        <v>3258</v>
      </c>
      <c r="AH382">
        <v>-1.26</v>
      </c>
      <c r="AI382">
        <v>-4.56</v>
      </c>
      <c r="AJ382">
        <v>4.34</v>
      </c>
      <c r="AK382">
        <v>9.25</v>
      </c>
      <c r="AL382">
        <v>1</v>
      </c>
      <c r="AM382">
        <v>0.05</v>
      </c>
      <c r="AN382">
        <v>-33.38</v>
      </c>
      <c r="AO382">
        <v>-10</v>
      </c>
      <c r="AP382">
        <v>-48.32</v>
      </c>
    </row>
    <row r="383" spans="1:42">
      <c r="A383">
        <v>382</v>
      </c>
      <c r="B383" t="str">
        <f>"002821"</f>
        <v>002821</v>
      </c>
      <c r="C383" t="s">
        <v>3259</v>
      </c>
      <c r="D383">
        <v>141</v>
      </c>
      <c r="E383">
        <v>-2.08</v>
      </c>
      <c r="F383">
        <v>-3</v>
      </c>
      <c r="G383" t="s">
        <v>3260</v>
      </c>
      <c r="H383">
        <v>331</v>
      </c>
      <c r="I383">
        <v>141</v>
      </c>
      <c r="J383">
        <v>141.01</v>
      </c>
      <c r="K383" t="s">
        <v>742</v>
      </c>
      <c r="L383">
        <v>0.95</v>
      </c>
      <c r="M383" t="s">
        <v>46</v>
      </c>
      <c r="N383" t="s">
        <v>3261</v>
      </c>
      <c r="O383">
        <v>144.87</v>
      </c>
      <c r="P383">
        <v>140</v>
      </c>
      <c r="Q383">
        <v>144</v>
      </c>
      <c r="R383">
        <v>144</v>
      </c>
      <c r="S383">
        <v>3.38</v>
      </c>
      <c r="T383">
        <v>1.23</v>
      </c>
      <c r="U383">
        <v>76.75</v>
      </c>
      <c r="V383">
        <v>165</v>
      </c>
      <c r="W383">
        <v>141.35</v>
      </c>
      <c r="X383" t="s">
        <v>3165</v>
      </c>
      <c r="Y383" t="s">
        <v>1384</v>
      </c>
      <c r="Z383">
        <v>1.31</v>
      </c>
      <c r="AA383">
        <v>100</v>
      </c>
      <c r="AB383">
        <v>12</v>
      </c>
      <c r="AC383">
        <v>2.99</v>
      </c>
      <c r="AD383" t="s">
        <v>3262</v>
      </c>
      <c r="AE383" t="s">
        <v>3263</v>
      </c>
      <c r="AF383" t="s">
        <v>2860</v>
      </c>
      <c r="AG383" t="s">
        <v>3264</v>
      </c>
      <c r="AH383">
        <v>-2.21</v>
      </c>
      <c r="AI383">
        <v>-0.46</v>
      </c>
      <c r="AJ383">
        <v>2.29</v>
      </c>
      <c r="AK383">
        <v>4.8</v>
      </c>
      <c r="AL383">
        <v>-1</v>
      </c>
      <c r="AM383">
        <v>-2.08</v>
      </c>
      <c r="AN383">
        <v>-3.56</v>
      </c>
      <c r="AO383">
        <v>-4.42</v>
      </c>
      <c r="AP383">
        <v>-1.55</v>
      </c>
    </row>
    <row r="384" spans="1:42">
      <c r="A384">
        <v>383</v>
      </c>
      <c r="B384" t="str">
        <f>"002193"</f>
        <v>002193</v>
      </c>
      <c r="C384" t="s">
        <v>3265</v>
      </c>
      <c r="D384">
        <v>7.39</v>
      </c>
      <c r="E384">
        <v>-1.2</v>
      </c>
      <c r="F384">
        <v>-0.09</v>
      </c>
      <c r="G384" t="s">
        <v>2260</v>
      </c>
      <c r="H384">
        <v>5691</v>
      </c>
      <c r="I384">
        <v>7.39</v>
      </c>
      <c r="J384">
        <v>7.4</v>
      </c>
      <c r="K384" t="s">
        <v>742</v>
      </c>
      <c r="L384">
        <v>22.47</v>
      </c>
      <c r="M384" t="s">
        <v>46</v>
      </c>
      <c r="N384" t="s">
        <v>3266</v>
      </c>
      <c r="O384">
        <v>7.87</v>
      </c>
      <c r="P384">
        <v>7.19</v>
      </c>
      <c r="Q384">
        <v>7.29</v>
      </c>
      <c r="R384">
        <v>7.48</v>
      </c>
      <c r="S384">
        <v>9.09</v>
      </c>
      <c r="T384">
        <v>3.87</v>
      </c>
      <c r="U384">
        <v>38.04</v>
      </c>
      <c r="V384">
        <v>2337</v>
      </c>
      <c r="W384">
        <v>7.53</v>
      </c>
      <c r="X384" t="s">
        <v>3267</v>
      </c>
      <c r="Y384" t="s">
        <v>710</v>
      </c>
      <c r="Z384">
        <v>1.01</v>
      </c>
      <c r="AA384">
        <v>2601</v>
      </c>
      <c r="AB384">
        <v>724</v>
      </c>
      <c r="AC384">
        <v>0.78</v>
      </c>
      <c r="AD384" t="s">
        <v>3268</v>
      </c>
      <c r="AE384" t="s">
        <v>378</v>
      </c>
      <c r="AF384" t="s">
        <v>3269</v>
      </c>
      <c r="AG384" t="s">
        <v>3270</v>
      </c>
      <c r="AH384">
        <v>7.1</v>
      </c>
      <c r="AI384">
        <v>6.33</v>
      </c>
      <c r="AJ384">
        <v>37.06</v>
      </c>
      <c r="AK384">
        <v>51.49</v>
      </c>
      <c r="AL384">
        <v>-1</v>
      </c>
      <c r="AM384">
        <v>-1.2</v>
      </c>
      <c r="AN384">
        <v>-23.42</v>
      </c>
      <c r="AO384">
        <v>12.82</v>
      </c>
      <c r="AP384">
        <v>20.55</v>
      </c>
    </row>
    <row r="385" spans="1:42">
      <c r="A385">
        <v>384</v>
      </c>
      <c r="B385" t="str">
        <f>"300792"</f>
        <v>300792</v>
      </c>
      <c r="C385" t="s">
        <v>3271</v>
      </c>
      <c r="D385">
        <v>26.01</v>
      </c>
      <c r="E385">
        <v>4.54</v>
      </c>
      <c r="F385">
        <v>1.13</v>
      </c>
      <c r="G385" t="s">
        <v>2859</v>
      </c>
      <c r="H385">
        <v>1569</v>
      </c>
      <c r="I385">
        <v>26.01</v>
      </c>
      <c r="J385">
        <v>26.02</v>
      </c>
      <c r="K385" t="s">
        <v>3272</v>
      </c>
      <c r="L385">
        <v>8.09</v>
      </c>
      <c r="M385" t="s">
        <v>46</v>
      </c>
      <c r="N385" t="s">
        <v>3273</v>
      </c>
      <c r="O385">
        <v>26.87</v>
      </c>
      <c r="P385">
        <v>24.6</v>
      </c>
      <c r="Q385">
        <v>24.6</v>
      </c>
      <c r="R385">
        <v>24.88</v>
      </c>
      <c r="S385">
        <v>9.12</v>
      </c>
      <c r="T385">
        <v>3.05</v>
      </c>
      <c r="U385">
        <v>48.35</v>
      </c>
      <c r="V385">
        <v>726</v>
      </c>
      <c r="W385">
        <v>26.07</v>
      </c>
      <c r="X385" t="s">
        <v>3274</v>
      </c>
      <c r="Y385" t="s">
        <v>3275</v>
      </c>
      <c r="Z385">
        <v>0.87</v>
      </c>
      <c r="AA385">
        <v>330</v>
      </c>
      <c r="AB385">
        <v>208</v>
      </c>
      <c r="AC385">
        <v>2.2</v>
      </c>
      <c r="AD385" t="s">
        <v>3276</v>
      </c>
      <c r="AE385" t="s">
        <v>3277</v>
      </c>
      <c r="AF385" t="s">
        <v>3278</v>
      </c>
      <c r="AG385" t="s">
        <v>3279</v>
      </c>
      <c r="AH385">
        <v>8.78</v>
      </c>
      <c r="AI385">
        <v>5.39</v>
      </c>
      <c r="AJ385">
        <v>17.01</v>
      </c>
      <c r="AK385">
        <v>21.33</v>
      </c>
      <c r="AL385">
        <v>4</v>
      </c>
      <c r="AM385">
        <v>4.54</v>
      </c>
      <c r="AN385">
        <v>-6.27</v>
      </c>
      <c r="AO385">
        <v>8.28</v>
      </c>
      <c r="AP385">
        <v>-9.02</v>
      </c>
    </row>
    <row r="386" spans="1:42">
      <c r="A386">
        <v>385</v>
      </c>
      <c r="B386" t="str">
        <f>"601816"</f>
        <v>601816</v>
      </c>
      <c r="C386" t="s">
        <v>3280</v>
      </c>
      <c r="D386">
        <v>5.07</v>
      </c>
      <c r="E386">
        <v>0.4</v>
      </c>
      <c r="F386">
        <v>0.02</v>
      </c>
      <c r="G386" t="s">
        <v>3281</v>
      </c>
      <c r="H386">
        <v>7299</v>
      </c>
      <c r="I386">
        <v>5.07</v>
      </c>
      <c r="J386">
        <v>5.08</v>
      </c>
      <c r="K386" t="s">
        <v>3282</v>
      </c>
      <c r="L386">
        <v>0.18</v>
      </c>
      <c r="M386" t="s">
        <v>46</v>
      </c>
      <c r="N386" t="s">
        <v>3283</v>
      </c>
      <c r="O386">
        <v>5.15</v>
      </c>
      <c r="P386">
        <v>5.05</v>
      </c>
      <c r="Q386">
        <v>5.1</v>
      </c>
      <c r="R386">
        <v>5.05</v>
      </c>
      <c r="S386">
        <v>1.98</v>
      </c>
      <c r="T386">
        <v>1.04</v>
      </c>
      <c r="U386">
        <v>17.39</v>
      </c>
      <c r="V386" t="s">
        <v>3284</v>
      </c>
      <c r="W386">
        <v>5.1</v>
      </c>
      <c r="X386" t="s">
        <v>865</v>
      </c>
      <c r="Y386" t="s">
        <v>3285</v>
      </c>
      <c r="Z386">
        <v>0.78</v>
      </c>
      <c r="AA386">
        <v>2310</v>
      </c>
      <c r="AB386">
        <v>9166</v>
      </c>
      <c r="AC386">
        <v>1.29</v>
      </c>
      <c r="AD386" t="s">
        <v>3286</v>
      </c>
      <c r="AE386" t="s">
        <v>3287</v>
      </c>
      <c r="AF386" t="s">
        <v>3286</v>
      </c>
      <c r="AG386" t="s">
        <v>3287</v>
      </c>
      <c r="AH386">
        <v>0.8</v>
      </c>
      <c r="AI386">
        <v>1.6</v>
      </c>
      <c r="AJ386">
        <v>0.71</v>
      </c>
      <c r="AK386">
        <v>1.02</v>
      </c>
      <c r="AL386">
        <v>2</v>
      </c>
      <c r="AM386">
        <v>0.4</v>
      </c>
      <c r="AN386">
        <v>3.26</v>
      </c>
      <c r="AO386">
        <v>1.6</v>
      </c>
      <c r="AP386">
        <v>7.64</v>
      </c>
    </row>
    <row r="387" spans="1:42">
      <c r="A387">
        <v>386</v>
      </c>
      <c r="B387" t="str">
        <f>"603991"</f>
        <v>603991</v>
      </c>
      <c r="C387" t="s">
        <v>3288</v>
      </c>
      <c r="D387">
        <v>51.43</v>
      </c>
      <c r="E387">
        <v>-5.34</v>
      </c>
      <c r="F387">
        <v>-2.9</v>
      </c>
      <c r="G387" t="s">
        <v>1317</v>
      </c>
      <c r="H387">
        <v>1407</v>
      </c>
      <c r="I387">
        <v>51.43</v>
      </c>
      <c r="J387">
        <v>51.49</v>
      </c>
      <c r="K387" t="s">
        <v>3282</v>
      </c>
      <c r="L387">
        <v>11.17</v>
      </c>
      <c r="M387" t="s">
        <v>46</v>
      </c>
      <c r="N387" t="s">
        <v>3289</v>
      </c>
      <c r="O387">
        <v>55.46</v>
      </c>
      <c r="P387">
        <v>50.79</v>
      </c>
      <c r="Q387">
        <v>53.8</v>
      </c>
      <c r="R387">
        <v>54.33</v>
      </c>
      <c r="S387">
        <v>8.6</v>
      </c>
      <c r="T387">
        <v>0.91</v>
      </c>
      <c r="U387">
        <v>75.9</v>
      </c>
      <c r="V387">
        <v>189</v>
      </c>
      <c r="W387">
        <v>52.63</v>
      </c>
      <c r="X387" t="s">
        <v>3290</v>
      </c>
      <c r="Y387" t="s">
        <v>3291</v>
      </c>
      <c r="Z387">
        <v>1.15</v>
      </c>
      <c r="AA387">
        <v>6</v>
      </c>
      <c r="AB387">
        <v>1</v>
      </c>
      <c r="AC387">
        <v>13.37</v>
      </c>
      <c r="AD387" t="s">
        <v>3292</v>
      </c>
      <c r="AE387" t="s">
        <v>3293</v>
      </c>
      <c r="AF387" t="s">
        <v>3292</v>
      </c>
      <c r="AG387" t="s">
        <v>3293</v>
      </c>
      <c r="AH387">
        <v>-5.75</v>
      </c>
      <c r="AI387">
        <v>1.6</v>
      </c>
      <c r="AJ387">
        <v>36.42</v>
      </c>
      <c r="AK387">
        <v>72.78</v>
      </c>
      <c r="AL387">
        <v>-2</v>
      </c>
      <c r="AM387">
        <v>-5.34</v>
      </c>
      <c r="AN387">
        <v>35.34</v>
      </c>
      <c r="AO387">
        <v>41.52</v>
      </c>
      <c r="AP387">
        <v>44.39</v>
      </c>
    </row>
    <row r="388" spans="1:42">
      <c r="A388">
        <v>387</v>
      </c>
      <c r="B388" t="str">
        <f>"300630"</f>
        <v>300630</v>
      </c>
      <c r="C388" t="s">
        <v>3294</v>
      </c>
      <c r="D388">
        <v>24.58</v>
      </c>
      <c r="E388">
        <v>-0.97</v>
      </c>
      <c r="F388">
        <v>-0.24</v>
      </c>
      <c r="G388" t="s">
        <v>625</v>
      </c>
      <c r="H388">
        <v>2384</v>
      </c>
      <c r="I388">
        <v>24.58</v>
      </c>
      <c r="J388">
        <v>24.59</v>
      </c>
      <c r="K388" t="s">
        <v>3282</v>
      </c>
      <c r="L388">
        <v>5.23</v>
      </c>
      <c r="M388" t="s">
        <v>46</v>
      </c>
      <c r="N388" t="s">
        <v>2900</v>
      </c>
      <c r="O388">
        <v>25.24</v>
      </c>
      <c r="P388">
        <v>24.53</v>
      </c>
      <c r="Q388">
        <v>24.78</v>
      </c>
      <c r="R388">
        <v>24.82</v>
      </c>
      <c r="S388">
        <v>2.86</v>
      </c>
      <c r="T388">
        <v>0.53</v>
      </c>
      <c r="U388">
        <v>59.46</v>
      </c>
      <c r="V388">
        <v>1566</v>
      </c>
      <c r="W388">
        <v>24.76</v>
      </c>
      <c r="X388" t="s">
        <v>3295</v>
      </c>
      <c r="Y388" t="s">
        <v>3296</v>
      </c>
      <c r="Z388">
        <v>1.09</v>
      </c>
      <c r="AA388">
        <v>18</v>
      </c>
      <c r="AB388">
        <v>122</v>
      </c>
      <c r="AC388">
        <v>3.67</v>
      </c>
      <c r="AD388" t="s">
        <v>3297</v>
      </c>
      <c r="AE388" t="s">
        <v>3298</v>
      </c>
      <c r="AF388" t="s">
        <v>3299</v>
      </c>
      <c r="AG388" t="s">
        <v>3300</v>
      </c>
      <c r="AH388">
        <v>-5.21</v>
      </c>
      <c r="AI388">
        <v>-8.04</v>
      </c>
      <c r="AJ388">
        <v>16.25</v>
      </c>
      <c r="AK388">
        <v>54.38</v>
      </c>
      <c r="AL388">
        <v>-3</v>
      </c>
      <c r="AM388">
        <v>-0.97</v>
      </c>
      <c r="AN388">
        <v>0</v>
      </c>
      <c r="AO388">
        <v>-9.3</v>
      </c>
      <c r="AP388">
        <v>-11.17</v>
      </c>
    </row>
    <row r="389" spans="1:42">
      <c r="A389">
        <v>388</v>
      </c>
      <c r="B389" t="str">
        <f>"688668"</f>
        <v>688668</v>
      </c>
      <c r="C389" t="s">
        <v>3301</v>
      </c>
      <c r="D389">
        <v>57.66</v>
      </c>
      <c r="E389">
        <v>6.86</v>
      </c>
      <c r="F389">
        <v>3.7</v>
      </c>
      <c r="G389" t="s">
        <v>3302</v>
      </c>
      <c r="H389">
        <v>481</v>
      </c>
      <c r="I389">
        <v>57.63</v>
      </c>
      <c r="J389">
        <v>57.66</v>
      </c>
      <c r="K389" t="s">
        <v>3303</v>
      </c>
      <c r="L389">
        <v>16.14</v>
      </c>
      <c r="M389" t="s">
        <v>46</v>
      </c>
      <c r="N389" t="s">
        <v>2834</v>
      </c>
      <c r="O389">
        <v>59.59</v>
      </c>
      <c r="P389">
        <v>55</v>
      </c>
      <c r="Q389">
        <v>55</v>
      </c>
      <c r="R389">
        <v>53.96</v>
      </c>
      <c r="S389">
        <v>8.51</v>
      </c>
      <c r="T389">
        <v>2.9</v>
      </c>
      <c r="U389">
        <v>-89.84</v>
      </c>
      <c r="V389">
        <v>-365</v>
      </c>
      <c r="W389">
        <v>58.11</v>
      </c>
      <c r="X389" t="s">
        <v>2125</v>
      </c>
      <c r="Y389" t="s">
        <v>3304</v>
      </c>
      <c r="Z389">
        <v>0.65</v>
      </c>
      <c r="AA389">
        <v>3</v>
      </c>
      <c r="AB389">
        <v>114</v>
      </c>
      <c r="AC389">
        <v>3.32</v>
      </c>
      <c r="AD389" t="s">
        <v>3305</v>
      </c>
      <c r="AE389" t="s">
        <v>3306</v>
      </c>
      <c r="AF389" t="s">
        <v>3307</v>
      </c>
      <c r="AG389" t="s">
        <v>3308</v>
      </c>
      <c r="AH389">
        <v>10.88</v>
      </c>
      <c r="AI389">
        <v>5.2</v>
      </c>
      <c r="AJ389">
        <v>29.82</v>
      </c>
      <c r="AK389">
        <v>43.96</v>
      </c>
      <c r="AL389">
        <v>2</v>
      </c>
      <c r="AM389">
        <v>6.86</v>
      </c>
      <c r="AN389">
        <v>-11.7</v>
      </c>
      <c r="AO389">
        <v>27.43</v>
      </c>
      <c r="AP389">
        <v>-18.33</v>
      </c>
    </row>
    <row r="390" spans="1:42">
      <c r="A390">
        <v>389</v>
      </c>
      <c r="B390" t="str">
        <f>"601136"</f>
        <v>601136</v>
      </c>
      <c r="C390" t="s">
        <v>3309</v>
      </c>
      <c r="D390">
        <v>21.4</v>
      </c>
      <c r="E390">
        <v>-0.56</v>
      </c>
      <c r="F390">
        <v>-0.12</v>
      </c>
      <c r="G390" t="s">
        <v>1925</v>
      </c>
      <c r="H390">
        <v>2693</v>
      </c>
      <c r="I390">
        <v>21.4</v>
      </c>
      <c r="J390">
        <v>21.41</v>
      </c>
      <c r="K390" t="s">
        <v>3310</v>
      </c>
      <c r="L390">
        <v>7.44</v>
      </c>
      <c r="M390" t="s">
        <v>46</v>
      </c>
      <c r="N390" t="s">
        <v>1638</v>
      </c>
      <c r="O390">
        <v>21.64</v>
      </c>
      <c r="P390">
        <v>21.24</v>
      </c>
      <c r="Q390">
        <v>21.33</v>
      </c>
      <c r="R390">
        <v>21.52</v>
      </c>
      <c r="S390">
        <v>1.86</v>
      </c>
      <c r="T390">
        <v>1.1</v>
      </c>
      <c r="U390">
        <v>68.57</v>
      </c>
      <c r="V390">
        <v>4806</v>
      </c>
      <c r="W390">
        <v>21.42</v>
      </c>
      <c r="X390" t="s">
        <v>1807</v>
      </c>
      <c r="Y390" t="s">
        <v>3311</v>
      </c>
      <c r="Z390">
        <v>1.37</v>
      </c>
      <c r="AA390">
        <v>1838</v>
      </c>
      <c r="AB390">
        <v>408</v>
      </c>
      <c r="AC390">
        <v>4.84</v>
      </c>
      <c r="AD390" t="s">
        <v>3312</v>
      </c>
      <c r="AE390" t="s">
        <v>3313</v>
      </c>
      <c r="AF390" t="s">
        <v>3314</v>
      </c>
      <c r="AG390" t="s">
        <v>3315</v>
      </c>
      <c r="AH390">
        <v>3.83</v>
      </c>
      <c r="AI390">
        <v>0.9</v>
      </c>
      <c r="AJ390">
        <v>26.92</v>
      </c>
      <c r="AK390">
        <v>41.41</v>
      </c>
      <c r="AL390">
        <v>-1</v>
      </c>
      <c r="AM390">
        <v>-0.56</v>
      </c>
      <c r="AN390">
        <v>24.13</v>
      </c>
      <c r="AO390">
        <v>-2.59</v>
      </c>
      <c r="AP390">
        <v>210.6</v>
      </c>
    </row>
    <row r="391" spans="1:42">
      <c r="A391">
        <v>390</v>
      </c>
      <c r="B391" t="str">
        <f>"000999"</f>
        <v>000999</v>
      </c>
      <c r="C391" t="s">
        <v>3316</v>
      </c>
      <c r="D391">
        <v>49.07</v>
      </c>
      <c r="E391">
        <v>1.01</v>
      </c>
      <c r="F391">
        <v>0.49</v>
      </c>
      <c r="G391" t="s">
        <v>759</v>
      </c>
      <c r="H391">
        <v>504</v>
      </c>
      <c r="I391">
        <v>49.03</v>
      </c>
      <c r="J391">
        <v>49.07</v>
      </c>
      <c r="K391" t="s">
        <v>3310</v>
      </c>
      <c r="L391">
        <v>0.91</v>
      </c>
      <c r="M391" t="s">
        <v>46</v>
      </c>
      <c r="N391" t="s">
        <v>3317</v>
      </c>
      <c r="O391">
        <v>49.36</v>
      </c>
      <c r="P391">
        <v>48.28</v>
      </c>
      <c r="Q391">
        <v>48.39</v>
      </c>
      <c r="R391">
        <v>48.58</v>
      </c>
      <c r="S391">
        <v>2.22</v>
      </c>
      <c r="T391">
        <v>0.92</v>
      </c>
      <c r="U391">
        <v>-42.58</v>
      </c>
      <c r="V391">
        <v>-114</v>
      </c>
      <c r="W391">
        <v>48.92</v>
      </c>
      <c r="X391" t="s">
        <v>3318</v>
      </c>
      <c r="Y391" t="s">
        <v>3319</v>
      </c>
      <c r="Z391">
        <v>0.8</v>
      </c>
      <c r="AA391">
        <v>1</v>
      </c>
      <c r="AB391">
        <v>73</v>
      </c>
      <c r="AC391">
        <v>2.62</v>
      </c>
      <c r="AD391" t="s">
        <v>3320</v>
      </c>
      <c r="AE391" t="s">
        <v>3321</v>
      </c>
      <c r="AF391" t="s">
        <v>3322</v>
      </c>
      <c r="AG391" t="s">
        <v>3323</v>
      </c>
      <c r="AH391">
        <v>0.62</v>
      </c>
      <c r="AI391">
        <v>2.25</v>
      </c>
      <c r="AJ391">
        <v>2.46</v>
      </c>
      <c r="AK391">
        <v>5.83</v>
      </c>
      <c r="AL391">
        <v>1</v>
      </c>
      <c r="AM391">
        <v>1.01</v>
      </c>
      <c r="AN391">
        <v>7.12</v>
      </c>
      <c r="AO391">
        <v>13.67</v>
      </c>
      <c r="AP391">
        <v>-8.14</v>
      </c>
    </row>
    <row r="392" spans="1:42">
      <c r="A392">
        <v>391</v>
      </c>
      <c r="B392" t="str">
        <f>"688114"</f>
        <v>688114</v>
      </c>
      <c r="C392" t="s">
        <v>3324</v>
      </c>
      <c r="D392">
        <v>94</v>
      </c>
      <c r="E392">
        <v>-0.31</v>
      </c>
      <c r="F392">
        <v>-0.29</v>
      </c>
      <c r="G392" t="s">
        <v>2299</v>
      </c>
      <c r="H392">
        <v>205</v>
      </c>
      <c r="I392">
        <v>93.69</v>
      </c>
      <c r="J392">
        <v>94</v>
      </c>
      <c r="K392" t="s">
        <v>3325</v>
      </c>
      <c r="L392">
        <v>2.19</v>
      </c>
      <c r="M392" t="s">
        <v>46</v>
      </c>
      <c r="N392" t="s">
        <v>3326</v>
      </c>
      <c r="O392">
        <v>95.38</v>
      </c>
      <c r="P392">
        <v>92</v>
      </c>
      <c r="Q392">
        <v>94.4</v>
      </c>
      <c r="R392">
        <v>94.29</v>
      </c>
      <c r="S392">
        <v>3.58</v>
      </c>
      <c r="T392">
        <v>1.14</v>
      </c>
      <c r="U392">
        <v>-27.31</v>
      </c>
      <c r="V392">
        <v>-49</v>
      </c>
      <c r="W392">
        <v>93.67</v>
      </c>
      <c r="X392" t="s">
        <v>3327</v>
      </c>
      <c r="Y392" t="s">
        <v>3328</v>
      </c>
      <c r="Z392">
        <v>0.95</v>
      </c>
      <c r="AA392">
        <v>2</v>
      </c>
      <c r="AB392">
        <v>21</v>
      </c>
      <c r="AC392">
        <v>4.26</v>
      </c>
      <c r="AD392" t="s">
        <v>3329</v>
      </c>
      <c r="AE392" t="s">
        <v>3330</v>
      </c>
      <c r="AF392" t="s">
        <v>3331</v>
      </c>
      <c r="AG392" t="s">
        <v>3332</v>
      </c>
      <c r="AH392">
        <v>1.1</v>
      </c>
      <c r="AI392">
        <v>1.08</v>
      </c>
      <c r="AJ392">
        <v>6.72</v>
      </c>
      <c r="AK392">
        <v>11.78</v>
      </c>
      <c r="AL392">
        <v>-2</v>
      </c>
      <c r="AM392">
        <v>-0.31</v>
      </c>
      <c r="AN392">
        <v>-15.12</v>
      </c>
      <c r="AO392">
        <v>17.49</v>
      </c>
      <c r="AP392">
        <v>-23.64</v>
      </c>
    </row>
    <row r="393" spans="1:42">
      <c r="A393">
        <v>392</v>
      </c>
      <c r="B393" t="str">
        <f>"601456"</f>
        <v>601456</v>
      </c>
      <c r="C393" t="s">
        <v>3333</v>
      </c>
      <c r="D393">
        <v>11.69</v>
      </c>
      <c r="E393">
        <v>0.34</v>
      </c>
      <c r="F393">
        <v>0.04</v>
      </c>
      <c r="G393" t="s">
        <v>334</v>
      </c>
      <c r="H393">
        <v>4018</v>
      </c>
      <c r="I393">
        <v>11.69</v>
      </c>
      <c r="J393">
        <v>11.7</v>
      </c>
      <c r="K393" t="s">
        <v>3325</v>
      </c>
      <c r="L393">
        <v>1.56</v>
      </c>
      <c r="M393" t="s">
        <v>46</v>
      </c>
      <c r="N393" t="s">
        <v>3334</v>
      </c>
      <c r="O393">
        <v>11.85</v>
      </c>
      <c r="P393">
        <v>11.61</v>
      </c>
      <c r="Q393">
        <v>11.68</v>
      </c>
      <c r="R393">
        <v>11.65</v>
      </c>
      <c r="S393">
        <v>2.06</v>
      </c>
      <c r="T393">
        <v>0.91</v>
      </c>
      <c r="U393">
        <v>12.97</v>
      </c>
      <c r="V393">
        <v>1341</v>
      </c>
      <c r="W393">
        <v>11.7</v>
      </c>
      <c r="X393" t="s">
        <v>486</v>
      </c>
      <c r="Y393" t="s">
        <v>172</v>
      </c>
      <c r="Z393">
        <v>1.19</v>
      </c>
      <c r="AA393">
        <v>330</v>
      </c>
      <c r="AB393">
        <v>1449</v>
      </c>
      <c r="AC393">
        <v>1.85</v>
      </c>
      <c r="AD393" t="s">
        <v>3335</v>
      </c>
      <c r="AE393" t="s">
        <v>387</v>
      </c>
      <c r="AF393" t="s">
        <v>3336</v>
      </c>
      <c r="AG393" t="s">
        <v>3337</v>
      </c>
      <c r="AH393">
        <v>-0.68</v>
      </c>
      <c r="AI393">
        <v>-0.09</v>
      </c>
      <c r="AJ393">
        <v>4.67</v>
      </c>
      <c r="AK393">
        <v>10.07</v>
      </c>
      <c r="AL393">
        <v>2</v>
      </c>
      <c r="AM393">
        <v>0.34</v>
      </c>
      <c r="AN393">
        <v>3.91</v>
      </c>
      <c r="AO393">
        <v>7.84</v>
      </c>
      <c r="AP393">
        <v>14.95</v>
      </c>
    </row>
    <row r="394" spans="1:42">
      <c r="A394">
        <v>393</v>
      </c>
      <c r="B394" t="str">
        <f>"001979"</f>
        <v>001979</v>
      </c>
      <c r="C394" t="s">
        <v>3338</v>
      </c>
      <c r="D394">
        <v>10.26</v>
      </c>
      <c r="E394">
        <v>-1.54</v>
      </c>
      <c r="F394">
        <v>-0.16</v>
      </c>
      <c r="G394" t="s">
        <v>3339</v>
      </c>
      <c r="H394">
        <v>3098</v>
      </c>
      <c r="I394">
        <v>10.26</v>
      </c>
      <c r="J394">
        <v>10.27</v>
      </c>
      <c r="K394" t="s">
        <v>3340</v>
      </c>
      <c r="L394">
        <v>0.55</v>
      </c>
      <c r="M394" t="s">
        <v>46</v>
      </c>
      <c r="N394" t="s">
        <v>3341</v>
      </c>
      <c r="O394">
        <v>10.39</v>
      </c>
      <c r="P394">
        <v>10.15</v>
      </c>
      <c r="Q394">
        <v>10.3</v>
      </c>
      <c r="R394">
        <v>10.42</v>
      </c>
      <c r="S394">
        <v>2.3</v>
      </c>
      <c r="T394">
        <v>1</v>
      </c>
      <c r="U394">
        <v>10.84</v>
      </c>
      <c r="V394">
        <v>1888</v>
      </c>
      <c r="W394">
        <v>10.23</v>
      </c>
      <c r="X394" t="s">
        <v>2828</v>
      </c>
      <c r="Y394" t="s">
        <v>416</v>
      </c>
      <c r="Z394">
        <v>1.13</v>
      </c>
      <c r="AA394">
        <v>1944</v>
      </c>
      <c r="AB394">
        <v>2442</v>
      </c>
      <c r="AC394">
        <v>0.96</v>
      </c>
      <c r="AD394" t="s">
        <v>3342</v>
      </c>
      <c r="AE394" t="s">
        <v>3343</v>
      </c>
      <c r="AF394" t="s">
        <v>3344</v>
      </c>
      <c r="AG394" t="s">
        <v>3345</v>
      </c>
      <c r="AH394">
        <v>-5.7</v>
      </c>
      <c r="AI394">
        <v>-7.57</v>
      </c>
      <c r="AJ394">
        <v>1.79</v>
      </c>
      <c r="AK394">
        <v>3.29</v>
      </c>
      <c r="AL394">
        <v>-5</v>
      </c>
      <c r="AM394">
        <v>-1.54</v>
      </c>
      <c r="AN394">
        <v>-17.26</v>
      </c>
      <c r="AO394">
        <v>-4.74</v>
      </c>
      <c r="AP394">
        <v>-26.98</v>
      </c>
    </row>
    <row r="395" spans="1:42">
      <c r="A395">
        <v>394</v>
      </c>
      <c r="B395" t="str">
        <f>"002007"</f>
        <v>002007</v>
      </c>
      <c r="C395" t="s">
        <v>3346</v>
      </c>
      <c r="D395">
        <v>24.44</v>
      </c>
      <c r="E395">
        <v>1.12</v>
      </c>
      <c r="F395">
        <v>0.27</v>
      </c>
      <c r="G395" t="s">
        <v>3347</v>
      </c>
      <c r="H395">
        <v>1550</v>
      </c>
      <c r="I395">
        <v>24.44</v>
      </c>
      <c r="J395">
        <v>24.45</v>
      </c>
      <c r="K395" t="s">
        <v>3348</v>
      </c>
      <c r="L395">
        <v>1.13</v>
      </c>
      <c r="M395" t="s">
        <v>46</v>
      </c>
      <c r="N395" t="s">
        <v>3349</v>
      </c>
      <c r="O395">
        <v>24.55</v>
      </c>
      <c r="P395">
        <v>24.04</v>
      </c>
      <c r="Q395">
        <v>24.18</v>
      </c>
      <c r="R395">
        <v>24.17</v>
      </c>
      <c r="S395">
        <v>2.11</v>
      </c>
      <c r="T395">
        <v>1.25</v>
      </c>
      <c r="U395">
        <v>-18.2</v>
      </c>
      <c r="V395">
        <v>-533</v>
      </c>
      <c r="W395">
        <v>24.3</v>
      </c>
      <c r="X395" t="s">
        <v>3350</v>
      </c>
      <c r="Y395" t="s">
        <v>740</v>
      </c>
      <c r="Z395">
        <v>0.72</v>
      </c>
      <c r="AA395">
        <v>159</v>
      </c>
      <c r="AB395">
        <v>454</v>
      </c>
      <c r="AC395">
        <v>4.07</v>
      </c>
      <c r="AD395" t="s">
        <v>3351</v>
      </c>
      <c r="AE395" t="s">
        <v>3352</v>
      </c>
      <c r="AF395" t="s">
        <v>579</v>
      </c>
      <c r="AG395" t="s">
        <v>3353</v>
      </c>
      <c r="AH395">
        <v>4.58</v>
      </c>
      <c r="AI395">
        <v>5.21</v>
      </c>
      <c r="AJ395">
        <v>3.66</v>
      </c>
      <c r="AK395">
        <v>5.65</v>
      </c>
      <c r="AL395">
        <v>2</v>
      </c>
      <c r="AM395">
        <v>1.12</v>
      </c>
      <c r="AN395">
        <v>9.45</v>
      </c>
      <c r="AO395">
        <v>5.21</v>
      </c>
      <c r="AP395">
        <v>20.1</v>
      </c>
    </row>
    <row r="396" spans="1:42">
      <c r="A396">
        <v>395</v>
      </c>
      <c r="B396" t="str">
        <f>"000526"</f>
        <v>000526</v>
      </c>
      <c r="C396" t="s">
        <v>3354</v>
      </c>
      <c r="D396">
        <v>45.3</v>
      </c>
      <c r="E396">
        <v>10</v>
      </c>
      <c r="F396">
        <v>4.12</v>
      </c>
      <c r="G396" t="s">
        <v>1513</v>
      </c>
      <c r="H396">
        <v>914</v>
      </c>
      <c r="I396">
        <v>45.3</v>
      </c>
      <c r="J396" t="s">
        <v>76</v>
      </c>
      <c r="K396" t="s">
        <v>3348</v>
      </c>
      <c r="L396">
        <v>8.34</v>
      </c>
      <c r="M396" t="s">
        <v>46</v>
      </c>
      <c r="N396" t="s">
        <v>3355</v>
      </c>
      <c r="O396">
        <v>45.3</v>
      </c>
      <c r="P396">
        <v>41.18</v>
      </c>
      <c r="Q396">
        <v>41.68</v>
      </c>
      <c r="R396">
        <v>41.18</v>
      </c>
      <c r="S396">
        <v>10</v>
      </c>
      <c r="T396">
        <v>1.56</v>
      </c>
      <c r="U396">
        <v>100</v>
      </c>
      <c r="V396">
        <v>622</v>
      </c>
      <c r="W396">
        <v>44.06</v>
      </c>
      <c r="X396" t="s">
        <v>3356</v>
      </c>
      <c r="Y396" t="s">
        <v>3357</v>
      </c>
      <c r="Z396">
        <v>1.02</v>
      </c>
      <c r="AA396">
        <v>517</v>
      </c>
      <c r="AB396">
        <v>0</v>
      </c>
      <c r="AC396">
        <v>9.83</v>
      </c>
      <c r="AD396" t="s">
        <v>3358</v>
      </c>
      <c r="AE396" t="s">
        <v>3359</v>
      </c>
      <c r="AF396" t="s">
        <v>3360</v>
      </c>
      <c r="AG396" t="s">
        <v>3361</v>
      </c>
      <c r="AH396">
        <v>16.9</v>
      </c>
      <c r="AI396">
        <v>28.22</v>
      </c>
      <c r="AJ396">
        <v>20.45</v>
      </c>
      <c r="AK396">
        <v>35.02</v>
      </c>
      <c r="AL396">
        <v>5</v>
      </c>
      <c r="AM396">
        <v>10</v>
      </c>
      <c r="AN396">
        <v>153.78</v>
      </c>
      <c r="AO396">
        <v>24.14</v>
      </c>
      <c r="AP396">
        <v>130.18</v>
      </c>
    </row>
    <row r="397" spans="1:42">
      <c r="A397">
        <v>396</v>
      </c>
      <c r="B397" t="str">
        <f>"002050"</f>
        <v>002050</v>
      </c>
      <c r="C397" t="s">
        <v>3362</v>
      </c>
      <c r="D397">
        <v>28.49</v>
      </c>
      <c r="E397">
        <v>-1.49</v>
      </c>
      <c r="F397">
        <v>-0.43</v>
      </c>
      <c r="G397" t="s">
        <v>2222</v>
      </c>
      <c r="H397">
        <v>1358</v>
      </c>
      <c r="I397">
        <v>28.48</v>
      </c>
      <c r="J397">
        <v>28.49</v>
      </c>
      <c r="K397" t="s">
        <v>3363</v>
      </c>
      <c r="L397">
        <v>0.41</v>
      </c>
      <c r="M397" t="s">
        <v>46</v>
      </c>
      <c r="N397" t="s">
        <v>3364</v>
      </c>
      <c r="O397">
        <v>28.86</v>
      </c>
      <c r="P397">
        <v>28.11</v>
      </c>
      <c r="Q397">
        <v>28.82</v>
      </c>
      <c r="R397">
        <v>28.92</v>
      </c>
      <c r="S397">
        <v>2.59</v>
      </c>
      <c r="T397">
        <v>1.11</v>
      </c>
      <c r="U397">
        <v>-41.55</v>
      </c>
      <c r="V397">
        <v>-1043</v>
      </c>
      <c r="W397">
        <v>28.41</v>
      </c>
      <c r="X397" t="s">
        <v>2335</v>
      </c>
      <c r="Y397" t="s">
        <v>3365</v>
      </c>
      <c r="Z397">
        <v>1.41</v>
      </c>
      <c r="AA397">
        <v>61</v>
      </c>
      <c r="AB397">
        <v>29</v>
      </c>
      <c r="AC397">
        <v>6.18</v>
      </c>
      <c r="AD397" t="s">
        <v>3366</v>
      </c>
      <c r="AE397" t="s">
        <v>3367</v>
      </c>
      <c r="AF397" t="s">
        <v>3368</v>
      </c>
      <c r="AG397" t="s">
        <v>3369</v>
      </c>
      <c r="AH397">
        <v>-1.42</v>
      </c>
      <c r="AI397">
        <v>0</v>
      </c>
      <c r="AJ397">
        <v>1.15</v>
      </c>
      <c r="AK397">
        <v>2.25</v>
      </c>
      <c r="AL397">
        <v>-2</v>
      </c>
      <c r="AM397">
        <v>-1.49</v>
      </c>
      <c r="AN397">
        <v>35.86</v>
      </c>
      <c r="AO397">
        <v>7.51</v>
      </c>
      <c r="AP397">
        <v>29.5</v>
      </c>
    </row>
    <row r="398" spans="1:42">
      <c r="A398">
        <v>397</v>
      </c>
      <c r="B398" t="str">
        <f>"300781"</f>
        <v>300781</v>
      </c>
      <c r="C398" t="s">
        <v>3370</v>
      </c>
      <c r="D398">
        <v>30.24</v>
      </c>
      <c r="E398">
        <v>20</v>
      </c>
      <c r="F398">
        <v>5.04</v>
      </c>
      <c r="G398" t="s">
        <v>1493</v>
      </c>
      <c r="H398">
        <v>149</v>
      </c>
      <c r="I398">
        <v>30.24</v>
      </c>
      <c r="J398" t="s">
        <v>76</v>
      </c>
      <c r="K398" t="s">
        <v>3363</v>
      </c>
      <c r="L398">
        <v>17.99</v>
      </c>
      <c r="M398" t="s">
        <v>46</v>
      </c>
      <c r="N398" t="s">
        <v>3371</v>
      </c>
      <c r="O398">
        <v>30.24</v>
      </c>
      <c r="P398">
        <v>25.25</v>
      </c>
      <c r="Q398">
        <v>25.25</v>
      </c>
      <c r="R398">
        <v>25.2</v>
      </c>
      <c r="S398">
        <v>19.8</v>
      </c>
      <c r="T398">
        <v>2.45</v>
      </c>
      <c r="U398">
        <v>100</v>
      </c>
      <c r="V398" t="s">
        <v>3372</v>
      </c>
      <c r="W398">
        <v>29.27</v>
      </c>
      <c r="X398" t="s">
        <v>881</v>
      </c>
      <c r="Y398" t="s">
        <v>3373</v>
      </c>
      <c r="Z398">
        <v>2.6</v>
      </c>
      <c r="AA398" t="s">
        <v>3372</v>
      </c>
      <c r="AB398">
        <v>0</v>
      </c>
      <c r="AC398">
        <v>4.9</v>
      </c>
      <c r="AD398" t="s">
        <v>3374</v>
      </c>
      <c r="AE398" t="s">
        <v>3375</v>
      </c>
      <c r="AF398" t="s">
        <v>3376</v>
      </c>
      <c r="AG398" t="s">
        <v>3377</v>
      </c>
      <c r="AH398">
        <v>18.31</v>
      </c>
      <c r="AI398">
        <v>17.44</v>
      </c>
      <c r="AJ398">
        <v>28.04</v>
      </c>
      <c r="AK398">
        <v>54.79</v>
      </c>
      <c r="AL398">
        <v>2</v>
      </c>
      <c r="AM398">
        <v>20</v>
      </c>
      <c r="AN398">
        <v>74.5</v>
      </c>
      <c r="AO398">
        <v>36.46</v>
      </c>
      <c r="AP398">
        <v>63.55</v>
      </c>
    </row>
    <row r="399" spans="1:42">
      <c r="A399">
        <v>398</v>
      </c>
      <c r="B399" t="str">
        <f>"601985"</f>
        <v>601985</v>
      </c>
      <c r="C399" t="s">
        <v>3378</v>
      </c>
      <c r="D399">
        <v>7.1</v>
      </c>
      <c r="E399">
        <v>1</v>
      </c>
      <c r="F399">
        <v>0.07</v>
      </c>
      <c r="G399" t="s">
        <v>69</v>
      </c>
      <c r="H399">
        <v>7855</v>
      </c>
      <c r="I399">
        <v>7.09</v>
      </c>
      <c r="J399">
        <v>7.1</v>
      </c>
      <c r="K399" t="s">
        <v>3363</v>
      </c>
      <c r="L399">
        <v>0.32</v>
      </c>
      <c r="M399" t="s">
        <v>46</v>
      </c>
      <c r="N399" t="s">
        <v>2418</v>
      </c>
      <c r="O399">
        <v>7.1</v>
      </c>
      <c r="P399">
        <v>7.01</v>
      </c>
      <c r="Q399">
        <v>7.01</v>
      </c>
      <c r="R399">
        <v>7.03</v>
      </c>
      <c r="S399">
        <v>1.28</v>
      </c>
      <c r="T399">
        <v>0.99</v>
      </c>
      <c r="U399">
        <v>-27.84</v>
      </c>
      <c r="V399" t="s">
        <v>3379</v>
      </c>
      <c r="W399">
        <v>7.07</v>
      </c>
      <c r="X399" t="s">
        <v>508</v>
      </c>
      <c r="Y399" t="s">
        <v>2065</v>
      </c>
      <c r="Z399">
        <v>0.58</v>
      </c>
      <c r="AA399">
        <v>1957</v>
      </c>
      <c r="AB399">
        <v>2204</v>
      </c>
      <c r="AC399">
        <v>1.51</v>
      </c>
      <c r="AD399" t="s">
        <v>3380</v>
      </c>
      <c r="AE399" t="s">
        <v>3381</v>
      </c>
      <c r="AF399" t="s">
        <v>3380</v>
      </c>
      <c r="AG399" t="s">
        <v>3381</v>
      </c>
      <c r="AH399">
        <v>1.87</v>
      </c>
      <c r="AI399">
        <v>1.28</v>
      </c>
      <c r="AJ399">
        <v>1.17</v>
      </c>
      <c r="AK399">
        <v>1.94</v>
      </c>
      <c r="AL399">
        <v>2</v>
      </c>
      <c r="AM399">
        <v>1</v>
      </c>
      <c r="AN399">
        <v>21.78</v>
      </c>
      <c r="AO399">
        <v>-3.66</v>
      </c>
      <c r="AP399">
        <v>16.39</v>
      </c>
    </row>
    <row r="400" spans="1:42">
      <c r="A400">
        <v>399</v>
      </c>
      <c r="B400" t="str">
        <f>"002796"</f>
        <v>002796</v>
      </c>
      <c r="C400" t="s">
        <v>3382</v>
      </c>
      <c r="D400">
        <v>13.99</v>
      </c>
      <c r="E400">
        <v>3.63</v>
      </c>
      <c r="F400">
        <v>0.49</v>
      </c>
      <c r="G400" t="s">
        <v>1348</v>
      </c>
      <c r="H400">
        <v>2734</v>
      </c>
      <c r="I400">
        <v>13.98</v>
      </c>
      <c r="J400">
        <v>13.99</v>
      </c>
      <c r="K400" t="s">
        <v>3383</v>
      </c>
      <c r="L400">
        <v>13.02</v>
      </c>
      <c r="M400" t="s">
        <v>46</v>
      </c>
      <c r="N400" t="s">
        <v>3384</v>
      </c>
      <c r="O400">
        <v>14.63</v>
      </c>
      <c r="P400">
        <v>13.8</v>
      </c>
      <c r="Q400">
        <v>14.07</v>
      </c>
      <c r="R400">
        <v>13.5</v>
      </c>
      <c r="S400">
        <v>6.15</v>
      </c>
      <c r="T400">
        <v>0.98</v>
      </c>
      <c r="U400">
        <v>-65.73</v>
      </c>
      <c r="V400">
        <v>-2227</v>
      </c>
      <c r="W400">
        <v>14.05</v>
      </c>
      <c r="X400" t="s">
        <v>571</v>
      </c>
      <c r="Y400" t="s">
        <v>3385</v>
      </c>
      <c r="Z400">
        <v>1.12</v>
      </c>
      <c r="AA400">
        <v>155</v>
      </c>
      <c r="AB400">
        <v>601</v>
      </c>
      <c r="AC400">
        <v>4.33</v>
      </c>
      <c r="AD400" t="s">
        <v>3386</v>
      </c>
      <c r="AE400" t="s">
        <v>3387</v>
      </c>
      <c r="AF400" t="s">
        <v>3388</v>
      </c>
      <c r="AG400" t="s">
        <v>1448</v>
      </c>
      <c r="AH400">
        <v>0.87</v>
      </c>
      <c r="AI400">
        <v>6.96</v>
      </c>
      <c r="AJ400">
        <v>40.56</v>
      </c>
      <c r="AK400">
        <v>79.64</v>
      </c>
      <c r="AL400">
        <v>1</v>
      </c>
      <c r="AM400">
        <v>3.63</v>
      </c>
      <c r="AN400">
        <v>61.36</v>
      </c>
      <c r="AO400">
        <v>17.96</v>
      </c>
      <c r="AP400">
        <v>55.27</v>
      </c>
    </row>
    <row r="401" spans="1:42">
      <c r="A401">
        <v>400</v>
      </c>
      <c r="B401" t="str">
        <f>"300607"</f>
        <v>300607</v>
      </c>
      <c r="C401" t="s">
        <v>3389</v>
      </c>
      <c r="D401">
        <v>16.73</v>
      </c>
      <c r="E401">
        <v>-3.74</v>
      </c>
      <c r="F401">
        <v>-0.65</v>
      </c>
      <c r="G401" t="s">
        <v>443</v>
      </c>
      <c r="H401">
        <v>1608</v>
      </c>
      <c r="I401">
        <v>16.73</v>
      </c>
      <c r="J401">
        <v>16.74</v>
      </c>
      <c r="K401" t="s">
        <v>3383</v>
      </c>
      <c r="L401">
        <v>8.78</v>
      </c>
      <c r="M401" t="s">
        <v>46</v>
      </c>
      <c r="N401" t="s">
        <v>3390</v>
      </c>
      <c r="O401">
        <v>17.42</v>
      </c>
      <c r="P401">
        <v>16.64</v>
      </c>
      <c r="Q401">
        <v>16.98</v>
      </c>
      <c r="R401">
        <v>17.38</v>
      </c>
      <c r="S401">
        <v>4.49</v>
      </c>
      <c r="T401">
        <v>1.72</v>
      </c>
      <c r="U401">
        <v>78.86</v>
      </c>
      <c r="V401">
        <v>858</v>
      </c>
      <c r="W401">
        <v>16.95</v>
      </c>
      <c r="X401" t="s">
        <v>368</v>
      </c>
      <c r="Y401" t="s">
        <v>2960</v>
      </c>
      <c r="Z401">
        <v>1.16</v>
      </c>
      <c r="AA401">
        <v>252</v>
      </c>
      <c r="AB401">
        <v>27</v>
      </c>
      <c r="AC401">
        <v>2.99</v>
      </c>
      <c r="AD401" t="s">
        <v>3391</v>
      </c>
      <c r="AE401" t="s">
        <v>3392</v>
      </c>
      <c r="AF401" t="s">
        <v>3393</v>
      </c>
      <c r="AG401" t="s">
        <v>3394</v>
      </c>
      <c r="AH401">
        <v>3.59</v>
      </c>
      <c r="AI401">
        <v>1.39</v>
      </c>
      <c r="AJ401">
        <v>23.99</v>
      </c>
      <c r="AK401">
        <v>34.26</v>
      </c>
      <c r="AL401">
        <v>-1</v>
      </c>
      <c r="AM401">
        <v>-3.74</v>
      </c>
      <c r="AN401">
        <v>15.54</v>
      </c>
      <c r="AO401">
        <v>9.78</v>
      </c>
      <c r="AP401">
        <v>9.92</v>
      </c>
    </row>
    <row r="402" spans="1:42">
      <c r="A402">
        <v>401</v>
      </c>
      <c r="B402" t="str">
        <f>"002576"</f>
        <v>002576</v>
      </c>
      <c r="C402" t="s">
        <v>3395</v>
      </c>
      <c r="D402">
        <v>19.23</v>
      </c>
      <c r="E402">
        <v>-2.98</v>
      </c>
      <c r="F402">
        <v>-0.59</v>
      </c>
      <c r="G402" t="s">
        <v>508</v>
      </c>
      <c r="H402">
        <v>2802</v>
      </c>
      <c r="I402">
        <v>19.22</v>
      </c>
      <c r="J402">
        <v>19.23</v>
      </c>
      <c r="K402" t="s">
        <v>3396</v>
      </c>
      <c r="L402">
        <v>13.7</v>
      </c>
      <c r="M402" t="s">
        <v>46</v>
      </c>
      <c r="N402" t="s">
        <v>2900</v>
      </c>
      <c r="O402">
        <v>19.73</v>
      </c>
      <c r="P402">
        <v>18.5</v>
      </c>
      <c r="Q402">
        <v>19.48</v>
      </c>
      <c r="R402">
        <v>19.82</v>
      </c>
      <c r="S402">
        <v>6.21</v>
      </c>
      <c r="T402">
        <v>1.02</v>
      </c>
      <c r="U402">
        <v>72.26</v>
      </c>
      <c r="V402">
        <v>2433</v>
      </c>
      <c r="W402">
        <v>19.04</v>
      </c>
      <c r="X402" t="s">
        <v>447</v>
      </c>
      <c r="Y402" t="s">
        <v>1232</v>
      </c>
      <c r="Z402">
        <v>1.22</v>
      </c>
      <c r="AA402">
        <v>163</v>
      </c>
      <c r="AB402">
        <v>3</v>
      </c>
      <c r="AC402">
        <v>2.68</v>
      </c>
      <c r="AD402" t="s">
        <v>3397</v>
      </c>
      <c r="AE402" t="s">
        <v>3398</v>
      </c>
      <c r="AF402" t="s">
        <v>3399</v>
      </c>
      <c r="AG402" t="s">
        <v>3400</v>
      </c>
      <c r="AH402">
        <v>-3.32</v>
      </c>
      <c r="AI402">
        <v>1.26</v>
      </c>
      <c r="AJ402">
        <v>41.01</v>
      </c>
      <c r="AK402">
        <v>80.73</v>
      </c>
      <c r="AL402">
        <v>-1</v>
      </c>
      <c r="AM402">
        <v>-2.98</v>
      </c>
      <c r="AN402">
        <v>63.94</v>
      </c>
      <c r="AO402">
        <v>3.11</v>
      </c>
      <c r="AP402">
        <v>49.53</v>
      </c>
    </row>
    <row r="403" spans="1:42">
      <c r="A403">
        <v>402</v>
      </c>
      <c r="B403" t="str">
        <f>"002767"</f>
        <v>002767</v>
      </c>
      <c r="C403" t="s">
        <v>3401</v>
      </c>
      <c r="D403">
        <v>18.94</v>
      </c>
      <c r="E403">
        <v>9.99</v>
      </c>
      <c r="F403">
        <v>1.72</v>
      </c>
      <c r="G403" t="s">
        <v>572</v>
      </c>
      <c r="H403">
        <v>383</v>
      </c>
      <c r="I403">
        <v>18.94</v>
      </c>
      <c r="J403" t="s">
        <v>76</v>
      </c>
      <c r="K403" t="s">
        <v>3396</v>
      </c>
      <c r="L403">
        <v>18.33</v>
      </c>
      <c r="M403" t="s">
        <v>46</v>
      </c>
      <c r="N403" t="s">
        <v>3239</v>
      </c>
      <c r="O403">
        <v>18.94</v>
      </c>
      <c r="P403">
        <v>16.44</v>
      </c>
      <c r="Q403">
        <v>18.69</v>
      </c>
      <c r="R403">
        <v>17.22</v>
      </c>
      <c r="S403">
        <v>14.52</v>
      </c>
      <c r="T403">
        <v>5.24</v>
      </c>
      <c r="U403">
        <v>100</v>
      </c>
      <c r="V403" t="s">
        <v>1967</v>
      </c>
      <c r="W403">
        <v>17.69</v>
      </c>
      <c r="X403" t="s">
        <v>1376</v>
      </c>
      <c r="Y403" t="s">
        <v>3402</v>
      </c>
      <c r="Z403">
        <v>1.32</v>
      </c>
      <c r="AA403" t="s">
        <v>1170</v>
      </c>
      <c r="AB403">
        <v>0</v>
      </c>
      <c r="AC403">
        <v>3.44</v>
      </c>
      <c r="AD403" t="s">
        <v>3403</v>
      </c>
      <c r="AE403" t="s">
        <v>3404</v>
      </c>
      <c r="AF403" t="s">
        <v>3405</v>
      </c>
      <c r="AG403" t="s">
        <v>3406</v>
      </c>
      <c r="AH403">
        <v>20.95</v>
      </c>
      <c r="AI403">
        <v>20.48</v>
      </c>
      <c r="AJ403">
        <v>28.22</v>
      </c>
      <c r="AK403">
        <v>35.82</v>
      </c>
      <c r="AL403">
        <v>2</v>
      </c>
      <c r="AM403">
        <v>9.99</v>
      </c>
      <c r="AN403">
        <v>67.91</v>
      </c>
      <c r="AO403">
        <v>23.07</v>
      </c>
      <c r="AP403">
        <v>55.63</v>
      </c>
    </row>
    <row r="404" spans="1:42">
      <c r="A404">
        <v>403</v>
      </c>
      <c r="B404" t="str">
        <f>"300020"</f>
        <v>300020</v>
      </c>
      <c r="C404" t="s">
        <v>3407</v>
      </c>
      <c r="D404">
        <v>9.21</v>
      </c>
      <c r="E404">
        <v>1.43</v>
      </c>
      <c r="F404">
        <v>0.13</v>
      </c>
      <c r="G404" t="s">
        <v>3408</v>
      </c>
      <c r="H404" t="s">
        <v>1646</v>
      </c>
      <c r="I404">
        <v>9.21</v>
      </c>
      <c r="J404">
        <v>9.22</v>
      </c>
      <c r="K404" t="s">
        <v>3396</v>
      </c>
      <c r="L404">
        <v>6.03</v>
      </c>
      <c r="M404" t="s">
        <v>46</v>
      </c>
      <c r="N404" t="s">
        <v>3409</v>
      </c>
      <c r="O404">
        <v>9.23</v>
      </c>
      <c r="P404">
        <v>8.97</v>
      </c>
      <c r="Q404">
        <v>9.02</v>
      </c>
      <c r="R404">
        <v>9.08</v>
      </c>
      <c r="S404">
        <v>2.86</v>
      </c>
      <c r="T404">
        <v>1.79</v>
      </c>
      <c r="U404">
        <v>-35.08</v>
      </c>
      <c r="V404">
        <v>-5927</v>
      </c>
      <c r="W404">
        <v>9.13</v>
      </c>
      <c r="X404" t="s">
        <v>509</v>
      </c>
      <c r="Y404" t="s">
        <v>3410</v>
      </c>
      <c r="Z404">
        <v>0.8</v>
      </c>
      <c r="AA404">
        <v>814</v>
      </c>
      <c r="AB404">
        <v>2459</v>
      </c>
      <c r="AC404">
        <v>1.6</v>
      </c>
      <c r="AD404" t="s">
        <v>1466</v>
      </c>
      <c r="AE404" t="s">
        <v>3411</v>
      </c>
      <c r="AF404" t="s">
        <v>3412</v>
      </c>
      <c r="AG404" t="s">
        <v>3413</v>
      </c>
      <c r="AH404">
        <v>2.68</v>
      </c>
      <c r="AI404">
        <v>1.77</v>
      </c>
      <c r="AJ404">
        <v>14.22</v>
      </c>
      <c r="AK404">
        <v>22.89</v>
      </c>
      <c r="AL404">
        <v>2</v>
      </c>
      <c r="AM404">
        <v>1.43</v>
      </c>
      <c r="AN404">
        <v>45.96</v>
      </c>
      <c r="AO404">
        <v>7.22</v>
      </c>
      <c r="AP404">
        <v>33.87</v>
      </c>
    </row>
    <row r="405" spans="1:42">
      <c r="A405">
        <v>404</v>
      </c>
      <c r="B405" t="str">
        <f>"600703"</f>
        <v>600703</v>
      </c>
      <c r="C405" t="s">
        <v>3414</v>
      </c>
      <c r="D405">
        <v>13.84</v>
      </c>
      <c r="E405">
        <v>-0.29</v>
      </c>
      <c r="F405">
        <v>-0.04</v>
      </c>
      <c r="G405" t="s">
        <v>3415</v>
      </c>
      <c r="H405">
        <v>4589</v>
      </c>
      <c r="I405">
        <v>13.84</v>
      </c>
      <c r="J405">
        <v>13.85</v>
      </c>
      <c r="K405" t="s">
        <v>3416</v>
      </c>
      <c r="L405">
        <v>0.61</v>
      </c>
      <c r="M405" t="s">
        <v>46</v>
      </c>
      <c r="N405" t="s">
        <v>2172</v>
      </c>
      <c r="O405">
        <v>13.87</v>
      </c>
      <c r="P405">
        <v>13.62</v>
      </c>
      <c r="Q405">
        <v>13.82</v>
      </c>
      <c r="R405">
        <v>13.88</v>
      </c>
      <c r="S405">
        <v>1.8</v>
      </c>
      <c r="T405">
        <v>0.97</v>
      </c>
      <c r="U405">
        <v>-11.72</v>
      </c>
      <c r="V405">
        <v>-1261</v>
      </c>
      <c r="W405">
        <v>13.75</v>
      </c>
      <c r="X405" t="s">
        <v>1367</v>
      </c>
      <c r="Y405" t="s">
        <v>263</v>
      </c>
      <c r="Z405">
        <v>1.31</v>
      </c>
      <c r="AA405">
        <v>2076</v>
      </c>
      <c r="AB405">
        <v>1480</v>
      </c>
      <c r="AC405">
        <v>1.79</v>
      </c>
      <c r="AD405" t="s">
        <v>3417</v>
      </c>
      <c r="AE405" t="s">
        <v>3418</v>
      </c>
      <c r="AF405" t="s">
        <v>3417</v>
      </c>
      <c r="AG405" t="s">
        <v>3418</v>
      </c>
      <c r="AH405">
        <v>-2.67</v>
      </c>
      <c r="AI405">
        <v>-3.28</v>
      </c>
      <c r="AJ405">
        <v>1.95</v>
      </c>
      <c r="AK405">
        <v>3.76</v>
      </c>
      <c r="AL405">
        <v>-3</v>
      </c>
      <c r="AM405">
        <v>-0.29</v>
      </c>
      <c r="AN405">
        <v>-19.11</v>
      </c>
      <c r="AO405">
        <v>-7.92</v>
      </c>
      <c r="AP405">
        <v>-26.58</v>
      </c>
    </row>
    <row r="406" spans="1:42">
      <c r="A406">
        <v>405</v>
      </c>
      <c r="B406" t="str">
        <f>"601699"</f>
        <v>601699</v>
      </c>
      <c r="C406" t="s">
        <v>3419</v>
      </c>
      <c r="D406">
        <v>22.06</v>
      </c>
      <c r="E406">
        <v>0.87</v>
      </c>
      <c r="F406">
        <v>0.19</v>
      </c>
      <c r="G406" t="s">
        <v>2382</v>
      </c>
      <c r="H406">
        <v>1037</v>
      </c>
      <c r="I406">
        <v>22.05</v>
      </c>
      <c r="J406">
        <v>22.06</v>
      </c>
      <c r="K406" t="s">
        <v>3420</v>
      </c>
      <c r="L406">
        <v>0.64</v>
      </c>
      <c r="M406" t="s">
        <v>46</v>
      </c>
      <c r="N406" t="s">
        <v>3421</v>
      </c>
      <c r="O406">
        <v>22.3</v>
      </c>
      <c r="P406">
        <v>21.76</v>
      </c>
      <c r="Q406">
        <v>21.99</v>
      </c>
      <c r="R406">
        <v>21.87</v>
      </c>
      <c r="S406">
        <v>2.47</v>
      </c>
      <c r="T406">
        <v>0.85</v>
      </c>
      <c r="U406">
        <v>-51.59</v>
      </c>
      <c r="V406">
        <v>-755</v>
      </c>
      <c r="W406">
        <v>22</v>
      </c>
      <c r="X406" t="s">
        <v>646</v>
      </c>
      <c r="Y406" t="s">
        <v>110</v>
      </c>
      <c r="Z406">
        <v>0.88</v>
      </c>
      <c r="AA406">
        <v>109</v>
      </c>
      <c r="AB406">
        <v>206</v>
      </c>
      <c r="AC406">
        <v>1.35</v>
      </c>
      <c r="AD406" t="s">
        <v>3422</v>
      </c>
      <c r="AE406" t="s">
        <v>3423</v>
      </c>
      <c r="AF406" t="s">
        <v>3422</v>
      </c>
      <c r="AG406" t="s">
        <v>3423</v>
      </c>
      <c r="AH406">
        <v>1.29</v>
      </c>
      <c r="AI406">
        <v>7.87</v>
      </c>
      <c r="AJ406">
        <v>1.85</v>
      </c>
      <c r="AK406">
        <v>4.36</v>
      </c>
      <c r="AL406">
        <v>1</v>
      </c>
      <c r="AM406">
        <v>0.87</v>
      </c>
      <c r="AN406">
        <v>57.57</v>
      </c>
      <c r="AO406">
        <v>15.08</v>
      </c>
      <c r="AP406">
        <v>60.09</v>
      </c>
    </row>
    <row r="407" spans="1:42">
      <c r="A407">
        <v>406</v>
      </c>
      <c r="B407" t="str">
        <f>"002861"</f>
        <v>002861</v>
      </c>
      <c r="C407" t="s">
        <v>3424</v>
      </c>
      <c r="D407">
        <v>14.01</v>
      </c>
      <c r="E407">
        <v>5.74</v>
      </c>
      <c r="F407">
        <v>0.76</v>
      </c>
      <c r="G407" t="s">
        <v>2811</v>
      </c>
      <c r="H407">
        <v>2694</v>
      </c>
      <c r="I407">
        <v>14</v>
      </c>
      <c r="J407">
        <v>14.01</v>
      </c>
      <c r="K407" t="s">
        <v>1531</v>
      </c>
      <c r="L407">
        <v>24.44</v>
      </c>
      <c r="M407" t="s">
        <v>46</v>
      </c>
      <c r="N407" t="s">
        <v>2548</v>
      </c>
      <c r="O407">
        <v>14.58</v>
      </c>
      <c r="P407">
        <v>13.11</v>
      </c>
      <c r="Q407">
        <v>13.28</v>
      </c>
      <c r="R407">
        <v>13.25</v>
      </c>
      <c r="S407">
        <v>11.09</v>
      </c>
      <c r="T407">
        <v>1.24</v>
      </c>
      <c r="U407">
        <v>85.26</v>
      </c>
      <c r="V407">
        <v>1831</v>
      </c>
      <c r="W407">
        <v>14.32</v>
      </c>
      <c r="X407" t="s">
        <v>1367</v>
      </c>
      <c r="Y407" t="s">
        <v>1908</v>
      </c>
      <c r="Z407">
        <v>1.45</v>
      </c>
      <c r="AA407">
        <v>508</v>
      </c>
      <c r="AB407">
        <v>49</v>
      </c>
      <c r="AC407">
        <v>2.47</v>
      </c>
      <c r="AD407" t="s">
        <v>3425</v>
      </c>
      <c r="AE407" t="s">
        <v>3426</v>
      </c>
      <c r="AF407" t="s">
        <v>3427</v>
      </c>
      <c r="AG407" t="s">
        <v>3428</v>
      </c>
      <c r="AH407">
        <v>-1.55</v>
      </c>
      <c r="AI407">
        <v>-2.1</v>
      </c>
      <c r="AJ407">
        <v>50.4</v>
      </c>
      <c r="AK407">
        <v>123.37</v>
      </c>
      <c r="AL407">
        <v>1</v>
      </c>
      <c r="AM407">
        <v>5.74</v>
      </c>
      <c r="AN407">
        <v>39.13</v>
      </c>
      <c r="AO407">
        <v>9.62</v>
      </c>
      <c r="AP407">
        <v>27.83</v>
      </c>
    </row>
    <row r="408" spans="1:42">
      <c r="A408">
        <v>407</v>
      </c>
      <c r="B408" t="str">
        <f>"600630"</f>
        <v>600630</v>
      </c>
      <c r="C408" t="s">
        <v>3429</v>
      </c>
      <c r="D408">
        <v>8.14</v>
      </c>
      <c r="E408">
        <v>3.56</v>
      </c>
      <c r="F408">
        <v>0.28</v>
      </c>
      <c r="G408" t="s">
        <v>3430</v>
      </c>
      <c r="H408">
        <v>4562</v>
      </c>
      <c r="I408">
        <v>8.13</v>
      </c>
      <c r="J408">
        <v>8.14</v>
      </c>
      <c r="K408" t="s">
        <v>3431</v>
      </c>
      <c r="L408">
        <v>12.08</v>
      </c>
      <c r="M408" t="s">
        <v>46</v>
      </c>
      <c r="N408" t="s">
        <v>3125</v>
      </c>
      <c r="O408">
        <v>8.37</v>
      </c>
      <c r="P408">
        <v>7.81</v>
      </c>
      <c r="Q408">
        <v>7.81</v>
      </c>
      <c r="R408">
        <v>7.86</v>
      </c>
      <c r="S408">
        <v>7.12</v>
      </c>
      <c r="T408">
        <v>1.55</v>
      </c>
      <c r="U408">
        <v>2.37</v>
      </c>
      <c r="V408">
        <v>350</v>
      </c>
      <c r="W408">
        <v>8.12</v>
      </c>
      <c r="X408" t="s">
        <v>518</v>
      </c>
      <c r="Y408" t="s">
        <v>595</v>
      </c>
      <c r="Z408">
        <v>0.73</v>
      </c>
      <c r="AA408">
        <v>4090</v>
      </c>
      <c r="AB408">
        <v>854</v>
      </c>
      <c r="AC408">
        <v>4.98</v>
      </c>
      <c r="AD408" t="s">
        <v>2894</v>
      </c>
      <c r="AE408" t="s">
        <v>3432</v>
      </c>
      <c r="AF408" t="s">
        <v>2894</v>
      </c>
      <c r="AG408" t="s">
        <v>3432</v>
      </c>
      <c r="AH408">
        <v>3.96</v>
      </c>
      <c r="AI408">
        <v>-7.08</v>
      </c>
      <c r="AJ408">
        <v>24.46</v>
      </c>
      <c r="AK408">
        <v>51.19</v>
      </c>
      <c r="AL408">
        <v>1</v>
      </c>
      <c r="AM408">
        <v>3.56</v>
      </c>
      <c r="AN408">
        <v>48.81</v>
      </c>
      <c r="AO408">
        <v>-11.23</v>
      </c>
      <c r="AP408">
        <v>49.91</v>
      </c>
    </row>
    <row r="409" spans="1:42">
      <c r="A409">
        <v>408</v>
      </c>
      <c r="B409" t="str">
        <f>"300634"</f>
        <v>300634</v>
      </c>
      <c r="C409" t="s">
        <v>3433</v>
      </c>
      <c r="D409">
        <v>22.5</v>
      </c>
      <c r="E409">
        <v>5.98</v>
      </c>
      <c r="F409">
        <v>1.27</v>
      </c>
      <c r="G409" t="s">
        <v>3434</v>
      </c>
      <c r="H409">
        <v>3065</v>
      </c>
      <c r="I409">
        <v>22.5</v>
      </c>
      <c r="J409">
        <v>22.51</v>
      </c>
      <c r="K409" t="s">
        <v>3435</v>
      </c>
      <c r="L409">
        <v>4.39</v>
      </c>
      <c r="M409" t="s">
        <v>46</v>
      </c>
      <c r="N409" t="s">
        <v>3436</v>
      </c>
      <c r="O409">
        <v>22.66</v>
      </c>
      <c r="P409">
        <v>21.11</v>
      </c>
      <c r="Q409">
        <v>21.2</v>
      </c>
      <c r="R409">
        <v>21.23</v>
      </c>
      <c r="S409">
        <v>7.3</v>
      </c>
      <c r="T409">
        <v>1.28</v>
      </c>
      <c r="U409">
        <v>-14.97</v>
      </c>
      <c r="V409">
        <v>-603</v>
      </c>
      <c r="W409">
        <v>21.97</v>
      </c>
      <c r="X409" t="s">
        <v>3437</v>
      </c>
      <c r="Y409" t="s">
        <v>1128</v>
      </c>
      <c r="Z409">
        <v>0.78</v>
      </c>
      <c r="AA409">
        <v>886</v>
      </c>
      <c r="AB409">
        <v>287</v>
      </c>
      <c r="AC409">
        <v>3.89</v>
      </c>
      <c r="AD409" t="s">
        <v>3438</v>
      </c>
      <c r="AE409" t="s">
        <v>3439</v>
      </c>
      <c r="AF409" t="s">
        <v>3440</v>
      </c>
      <c r="AG409" t="s">
        <v>3441</v>
      </c>
      <c r="AH409">
        <v>2.65</v>
      </c>
      <c r="AI409">
        <v>-5.42</v>
      </c>
      <c r="AJ409">
        <v>9.2</v>
      </c>
      <c r="AK409">
        <v>21.59</v>
      </c>
      <c r="AL409">
        <v>1</v>
      </c>
      <c r="AM409">
        <v>5.98</v>
      </c>
      <c r="AN409">
        <v>48.51</v>
      </c>
      <c r="AO409">
        <v>3.59</v>
      </c>
      <c r="AP409">
        <v>22.62</v>
      </c>
    </row>
    <row r="410" spans="1:42">
      <c r="A410">
        <v>409</v>
      </c>
      <c r="B410" t="str">
        <f>"300047"</f>
        <v>300047</v>
      </c>
      <c r="C410" t="s">
        <v>3442</v>
      </c>
      <c r="D410">
        <v>9.93</v>
      </c>
      <c r="E410">
        <v>3.55</v>
      </c>
      <c r="F410">
        <v>0.34</v>
      </c>
      <c r="G410" t="s">
        <v>3339</v>
      </c>
      <c r="H410" t="s">
        <v>51</v>
      </c>
      <c r="I410">
        <v>9.93</v>
      </c>
      <c r="J410">
        <v>9.94</v>
      </c>
      <c r="K410" t="s">
        <v>3435</v>
      </c>
      <c r="L410">
        <v>7.87</v>
      </c>
      <c r="M410" t="s">
        <v>46</v>
      </c>
      <c r="N410" t="s">
        <v>2513</v>
      </c>
      <c r="O410">
        <v>9.93</v>
      </c>
      <c r="P410">
        <v>9.55</v>
      </c>
      <c r="Q410">
        <v>9.59</v>
      </c>
      <c r="R410">
        <v>9.59</v>
      </c>
      <c r="S410">
        <v>3.96</v>
      </c>
      <c r="T410">
        <v>1.25</v>
      </c>
      <c r="U410">
        <v>-7.54</v>
      </c>
      <c r="V410">
        <v>-816</v>
      </c>
      <c r="W410">
        <v>9.8</v>
      </c>
      <c r="X410" t="s">
        <v>625</v>
      </c>
      <c r="Y410" t="s">
        <v>2096</v>
      </c>
      <c r="Z410">
        <v>0.71</v>
      </c>
      <c r="AA410">
        <v>1424</v>
      </c>
      <c r="AB410">
        <v>1061</v>
      </c>
      <c r="AC410">
        <v>1.91</v>
      </c>
      <c r="AD410" t="s">
        <v>3443</v>
      </c>
      <c r="AE410" t="s">
        <v>3444</v>
      </c>
      <c r="AF410" t="s">
        <v>3445</v>
      </c>
      <c r="AG410" t="s">
        <v>3446</v>
      </c>
      <c r="AH410">
        <v>1.22</v>
      </c>
      <c r="AI410">
        <v>-1.88</v>
      </c>
      <c r="AJ410">
        <v>18.67</v>
      </c>
      <c r="AK410">
        <v>39.35</v>
      </c>
      <c r="AL410">
        <v>1</v>
      </c>
      <c r="AM410">
        <v>3.55</v>
      </c>
      <c r="AN410">
        <v>65.78</v>
      </c>
      <c r="AO410">
        <v>13.23</v>
      </c>
      <c r="AP410">
        <v>50</v>
      </c>
    </row>
    <row r="411" spans="1:42">
      <c r="A411">
        <v>410</v>
      </c>
      <c r="B411" t="str">
        <f>"001236"</f>
        <v>001236</v>
      </c>
      <c r="C411" t="s">
        <v>3447</v>
      </c>
      <c r="D411">
        <v>12.85</v>
      </c>
      <c r="E411">
        <v>-4.53</v>
      </c>
      <c r="F411">
        <v>-0.61</v>
      </c>
      <c r="G411" t="s">
        <v>3448</v>
      </c>
      <c r="H411">
        <v>5517</v>
      </c>
      <c r="I411">
        <v>12.85</v>
      </c>
      <c r="J411">
        <v>12.86</v>
      </c>
      <c r="K411" t="s">
        <v>3435</v>
      </c>
      <c r="L411">
        <v>9.92</v>
      </c>
      <c r="M411" t="s">
        <v>46</v>
      </c>
      <c r="N411" t="s">
        <v>3436</v>
      </c>
      <c r="O411">
        <v>13.1</v>
      </c>
      <c r="P411">
        <v>12.7</v>
      </c>
      <c r="Q411">
        <v>13.06</v>
      </c>
      <c r="R411">
        <v>13.46</v>
      </c>
      <c r="S411">
        <v>2.97</v>
      </c>
      <c r="T411">
        <v>3.06</v>
      </c>
      <c r="U411">
        <v>85.61</v>
      </c>
      <c r="V411">
        <v>2106</v>
      </c>
      <c r="W411">
        <v>12.83</v>
      </c>
      <c r="X411" t="s">
        <v>1960</v>
      </c>
      <c r="Y411" t="s">
        <v>263</v>
      </c>
      <c r="Z411">
        <v>1.45</v>
      </c>
      <c r="AA411">
        <v>676</v>
      </c>
      <c r="AB411">
        <v>30</v>
      </c>
      <c r="AC411">
        <v>7.03</v>
      </c>
      <c r="AD411" t="s">
        <v>3449</v>
      </c>
      <c r="AE411" t="s">
        <v>2784</v>
      </c>
      <c r="AF411" t="s">
        <v>3450</v>
      </c>
      <c r="AG411" t="s">
        <v>3451</v>
      </c>
      <c r="AH411">
        <v>7.44</v>
      </c>
      <c r="AI411">
        <v>5.94</v>
      </c>
      <c r="AJ411">
        <v>23.24</v>
      </c>
      <c r="AK411">
        <v>26.15</v>
      </c>
      <c r="AL411">
        <v>-1</v>
      </c>
      <c r="AM411">
        <v>-4.53</v>
      </c>
      <c r="AN411">
        <v>-4.96</v>
      </c>
      <c r="AO411">
        <v>8.44</v>
      </c>
      <c r="AP411">
        <v>-18.62</v>
      </c>
    </row>
    <row r="412" spans="1:42">
      <c r="A412">
        <v>411</v>
      </c>
      <c r="B412" t="str">
        <f>"605168"</f>
        <v>605168</v>
      </c>
      <c r="C412" t="s">
        <v>3452</v>
      </c>
      <c r="D412">
        <v>69.56</v>
      </c>
      <c r="E412">
        <v>3.84</v>
      </c>
      <c r="F412">
        <v>2.57</v>
      </c>
      <c r="G412" t="s">
        <v>3453</v>
      </c>
      <c r="H412">
        <v>357</v>
      </c>
      <c r="I412">
        <v>69.56</v>
      </c>
      <c r="J412">
        <v>69.57</v>
      </c>
      <c r="K412" t="s">
        <v>3454</v>
      </c>
      <c r="L412">
        <v>4.13</v>
      </c>
      <c r="M412" t="s">
        <v>46</v>
      </c>
      <c r="N412" t="s">
        <v>3455</v>
      </c>
      <c r="O412">
        <v>70.8</v>
      </c>
      <c r="P412">
        <v>67.02</v>
      </c>
      <c r="Q412">
        <v>67.33</v>
      </c>
      <c r="R412">
        <v>66.99</v>
      </c>
      <c r="S412">
        <v>5.64</v>
      </c>
      <c r="T412">
        <v>1.36</v>
      </c>
      <c r="U412">
        <v>56.85</v>
      </c>
      <c r="V412">
        <v>434</v>
      </c>
      <c r="W412">
        <v>68.88</v>
      </c>
      <c r="X412" t="s">
        <v>3456</v>
      </c>
      <c r="Y412" t="s">
        <v>3457</v>
      </c>
      <c r="Z412">
        <v>0.81</v>
      </c>
      <c r="AA412">
        <v>44</v>
      </c>
      <c r="AB412">
        <v>55</v>
      </c>
      <c r="AC412">
        <v>3.75</v>
      </c>
      <c r="AD412" t="s">
        <v>3458</v>
      </c>
      <c r="AE412" t="s">
        <v>3459</v>
      </c>
      <c r="AF412" t="s">
        <v>3460</v>
      </c>
      <c r="AG412" t="s">
        <v>1058</v>
      </c>
      <c r="AH412">
        <v>7.25</v>
      </c>
      <c r="AI412">
        <v>2.46</v>
      </c>
      <c r="AJ412">
        <v>9.55</v>
      </c>
      <c r="AK412">
        <v>19.28</v>
      </c>
      <c r="AL412">
        <v>3</v>
      </c>
      <c r="AM412">
        <v>3.84</v>
      </c>
      <c r="AN412">
        <v>16.24</v>
      </c>
      <c r="AO412">
        <v>13.12</v>
      </c>
      <c r="AP412">
        <v>26.5</v>
      </c>
    </row>
    <row r="413" spans="1:42">
      <c r="A413">
        <v>412</v>
      </c>
      <c r="B413" t="str">
        <f>"002902"</f>
        <v>002902</v>
      </c>
      <c r="C413" t="s">
        <v>3461</v>
      </c>
      <c r="D413">
        <v>25.39</v>
      </c>
      <c r="E413">
        <v>3.89</v>
      </c>
      <c r="F413">
        <v>0.95</v>
      </c>
      <c r="G413" t="s">
        <v>2047</v>
      </c>
      <c r="H413">
        <v>1313</v>
      </c>
      <c r="I413">
        <v>25.39</v>
      </c>
      <c r="J413">
        <v>25.4</v>
      </c>
      <c r="K413" t="s">
        <v>3454</v>
      </c>
      <c r="L413">
        <v>11.05</v>
      </c>
      <c r="M413" t="s">
        <v>46</v>
      </c>
      <c r="N413" t="s">
        <v>1386</v>
      </c>
      <c r="O413">
        <v>25.6</v>
      </c>
      <c r="P413">
        <v>24.28</v>
      </c>
      <c r="Q413">
        <v>24.63</v>
      </c>
      <c r="R413">
        <v>24.44</v>
      </c>
      <c r="S413">
        <v>5.4</v>
      </c>
      <c r="T413">
        <v>2.03</v>
      </c>
      <c r="U413">
        <v>17.94</v>
      </c>
      <c r="V413">
        <v>812</v>
      </c>
      <c r="W413">
        <v>25.14</v>
      </c>
      <c r="X413" t="s">
        <v>3462</v>
      </c>
      <c r="Y413" t="s">
        <v>3463</v>
      </c>
      <c r="Z413">
        <v>0.73</v>
      </c>
      <c r="AA413">
        <v>1399</v>
      </c>
      <c r="AB413">
        <v>829</v>
      </c>
      <c r="AC413">
        <v>5.11</v>
      </c>
      <c r="AD413" t="s">
        <v>3464</v>
      </c>
      <c r="AE413" t="s">
        <v>3465</v>
      </c>
      <c r="AF413" t="s">
        <v>3466</v>
      </c>
      <c r="AG413" t="s">
        <v>3467</v>
      </c>
      <c r="AH413">
        <v>2.79</v>
      </c>
      <c r="AI413">
        <v>0.63</v>
      </c>
      <c r="AJ413">
        <v>20.03</v>
      </c>
      <c r="AK413">
        <v>38.29</v>
      </c>
      <c r="AL413">
        <v>1</v>
      </c>
      <c r="AM413">
        <v>3.89</v>
      </c>
      <c r="AN413">
        <v>102.47</v>
      </c>
      <c r="AO413">
        <v>3.55</v>
      </c>
      <c r="AP413">
        <v>77.68</v>
      </c>
    </row>
    <row r="414" spans="1:42">
      <c r="A414">
        <v>413</v>
      </c>
      <c r="B414" t="str">
        <f>"603993"</f>
        <v>603993</v>
      </c>
      <c r="C414" t="s">
        <v>3468</v>
      </c>
      <c r="D414">
        <v>5.28</v>
      </c>
      <c r="E414">
        <v>1.34</v>
      </c>
      <c r="F414">
        <v>0.07</v>
      </c>
      <c r="G414" t="s">
        <v>3469</v>
      </c>
      <c r="H414">
        <v>8105</v>
      </c>
      <c r="I414">
        <v>5.27</v>
      </c>
      <c r="J414">
        <v>5.28</v>
      </c>
      <c r="K414" t="s">
        <v>3454</v>
      </c>
      <c r="L414">
        <v>0.45</v>
      </c>
      <c r="M414" t="s">
        <v>46</v>
      </c>
      <c r="N414" t="s">
        <v>3470</v>
      </c>
      <c r="O414">
        <v>5.29</v>
      </c>
      <c r="P414">
        <v>5.2</v>
      </c>
      <c r="Q414">
        <v>5.21</v>
      </c>
      <c r="R414">
        <v>5.21</v>
      </c>
      <c r="S414">
        <v>1.73</v>
      </c>
      <c r="T414">
        <v>1.44</v>
      </c>
      <c r="U414">
        <v>-42.89</v>
      </c>
      <c r="V414" t="s">
        <v>3471</v>
      </c>
      <c r="W414">
        <v>5.25</v>
      </c>
      <c r="X414" t="s">
        <v>1832</v>
      </c>
      <c r="Y414" t="s">
        <v>1444</v>
      </c>
      <c r="Z414">
        <v>0.77</v>
      </c>
      <c r="AA414">
        <v>5269</v>
      </c>
      <c r="AB414">
        <v>1432</v>
      </c>
      <c r="AC414">
        <v>2.14</v>
      </c>
      <c r="AD414" t="s">
        <v>3472</v>
      </c>
      <c r="AE414" t="s">
        <v>3473</v>
      </c>
      <c r="AF414" t="s">
        <v>3474</v>
      </c>
      <c r="AG414" t="s">
        <v>3475</v>
      </c>
      <c r="AH414">
        <v>0.57</v>
      </c>
      <c r="AI414">
        <v>-0.75</v>
      </c>
      <c r="AJ414">
        <v>1.08</v>
      </c>
      <c r="AK414">
        <v>2.01</v>
      </c>
      <c r="AL414">
        <v>1</v>
      </c>
      <c r="AM414">
        <v>1.34</v>
      </c>
      <c r="AN414">
        <v>18.39</v>
      </c>
      <c r="AO414">
        <v>-2.4</v>
      </c>
      <c r="AP414">
        <v>16.04</v>
      </c>
    </row>
    <row r="415" spans="1:42">
      <c r="A415">
        <v>414</v>
      </c>
      <c r="B415" t="str">
        <f>"002436"</f>
        <v>002436</v>
      </c>
      <c r="C415" t="s">
        <v>3476</v>
      </c>
      <c r="D415">
        <v>15.54</v>
      </c>
      <c r="E415">
        <v>-0.89</v>
      </c>
      <c r="F415">
        <v>-0.14</v>
      </c>
      <c r="G415" t="s">
        <v>1111</v>
      </c>
      <c r="H415">
        <v>3624</v>
      </c>
      <c r="I415">
        <v>15.54</v>
      </c>
      <c r="J415">
        <v>15.55</v>
      </c>
      <c r="K415" t="s">
        <v>3477</v>
      </c>
      <c r="L415">
        <v>1.78</v>
      </c>
      <c r="M415" t="s">
        <v>46</v>
      </c>
      <c r="N415" t="s">
        <v>3478</v>
      </c>
      <c r="O415">
        <v>15.8</v>
      </c>
      <c r="P415">
        <v>15.36</v>
      </c>
      <c r="Q415">
        <v>15.41</v>
      </c>
      <c r="R415">
        <v>15.68</v>
      </c>
      <c r="S415">
        <v>2.81</v>
      </c>
      <c r="T415">
        <v>0.71</v>
      </c>
      <c r="U415">
        <v>1.05</v>
      </c>
      <c r="V415">
        <v>31</v>
      </c>
      <c r="W415">
        <v>15.5</v>
      </c>
      <c r="X415" t="s">
        <v>2753</v>
      </c>
      <c r="Y415" t="s">
        <v>830</v>
      </c>
      <c r="Z415">
        <v>1.06</v>
      </c>
      <c r="AA415">
        <v>278</v>
      </c>
      <c r="AB415">
        <v>388</v>
      </c>
      <c r="AC415">
        <v>3.95</v>
      </c>
      <c r="AD415" t="s">
        <v>3479</v>
      </c>
      <c r="AE415" t="s">
        <v>3480</v>
      </c>
      <c r="AF415" t="s">
        <v>3481</v>
      </c>
      <c r="AG415" t="s">
        <v>3482</v>
      </c>
      <c r="AH415">
        <v>0.58</v>
      </c>
      <c r="AI415">
        <v>-2.39</v>
      </c>
      <c r="AJ415">
        <v>7.82</v>
      </c>
      <c r="AK415">
        <v>14.28</v>
      </c>
      <c r="AL415">
        <v>-2</v>
      </c>
      <c r="AM415">
        <v>-0.89</v>
      </c>
      <c r="AN415">
        <v>61.88</v>
      </c>
      <c r="AO415">
        <v>1.24</v>
      </c>
      <c r="AP415">
        <v>27.9</v>
      </c>
    </row>
    <row r="416" spans="1:42">
      <c r="A416">
        <v>415</v>
      </c>
      <c r="B416" t="str">
        <f>"300053"</f>
        <v>300053</v>
      </c>
      <c r="C416" t="s">
        <v>3483</v>
      </c>
      <c r="D416">
        <v>14.66</v>
      </c>
      <c r="E416">
        <v>2.16</v>
      </c>
      <c r="F416">
        <v>0.31</v>
      </c>
      <c r="G416" t="s">
        <v>2213</v>
      </c>
      <c r="H416">
        <v>5351</v>
      </c>
      <c r="I416">
        <v>14.66</v>
      </c>
      <c r="J416">
        <v>14.67</v>
      </c>
      <c r="K416" t="s">
        <v>3484</v>
      </c>
      <c r="L416">
        <v>4.41</v>
      </c>
      <c r="M416" t="s">
        <v>46</v>
      </c>
      <c r="N416" t="s">
        <v>3485</v>
      </c>
      <c r="O416">
        <v>14.77</v>
      </c>
      <c r="P416">
        <v>14.2</v>
      </c>
      <c r="Q416">
        <v>14.42</v>
      </c>
      <c r="R416">
        <v>14.35</v>
      </c>
      <c r="S416">
        <v>3.97</v>
      </c>
      <c r="T416">
        <v>0.7</v>
      </c>
      <c r="U416">
        <v>-13.07</v>
      </c>
      <c r="V416">
        <v>-1024</v>
      </c>
      <c r="W416">
        <v>14.54</v>
      </c>
      <c r="X416" t="s">
        <v>44</v>
      </c>
      <c r="Y416" t="s">
        <v>1207</v>
      </c>
      <c r="Z416">
        <v>1.03</v>
      </c>
      <c r="AA416">
        <v>648</v>
      </c>
      <c r="AB416">
        <v>1378</v>
      </c>
      <c r="AC416">
        <v>4.01</v>
      </c>
      <c r="AD416" t="s">
        <v>3486</v>
      </c>
      <c r="AE416" t="s">
        <v>3487</v>
      </c>
      <c r="AF416" t="s">
        <v>3488</v>
      </c>
      <c r="AG416" t="s">
        <v>3489</v>
      </c>
      <c r="AH416">
        <v>-2.01</v>
      </c>
      <c r="AI416">
        <v>-4.81</v>
      </c>
      <c r="AJ416">
        <v>14.29</v>
      </c>
      <c r="AK416">
        <v>36.07</v>
      </c>
      <c r="AL416">
        <v>1</v>
      </c>
      <c r="AM416">
        <v>2.16</v>
      </c>
      <c r="AN416">
        <v>109.73</v>
      </c>
      <c r="AO416">
        <v>13.91</v>
      </c>
      <c r="AP416">
        <v>88.43</v>
      </c>
    </row>
    <row r="417" spans="1:42">
      <c r="A417">
        <v>416</v>
      </c>
      <c r="B417" t="str">
        <f>"002137"</f>
        <v>002137</v>
      </c>
      <c r="C417" t="s">
        <v>3490</v>
      </c>
      <c r="D417">
        <v>7.33</v>
      </c>
      <c r="E417">
        <v>2.23</v>
      </c>
      <c r="F417">
        <v>0.16</v>
      </c>
      <c r="G417" t="s">
        <v>1215</v>
      </c>
      <c r="H417">
        <v>9396</v>
      </c>
      <c r="I417">
        <v>7.33</v>
      </c>
      <c r="J417">
        <v>7.34</v>
      </c>
      <c r="K417" t="s">
        <v>3484</v>
      </c>
      <c r="L417">
        <v>14.31</v>
      </c>
      <c r="M417" t="s">
        <v>46</v>
      </c>
      <c r="N417" t="s">
        <v>3183</v>
      </c>
      <c r="O417">
        <v>7.35</v>
      </c>
      <c r="P417">
        <v>7.11</v>
      </c>
      <c r="Q417">
        <v>7.11</v>
      </c>
      <c r="R417">
        <v>7.17</v>
      </c>
      <c r="S417">
        <v>3.35</v>
      </c>
      <c r="T417">
        <v>0.43</v>
      </c>
      <c r="U417">
        <v>-40.45</v>
      </c>
      <c r="V417">
        <v>-8525</v>
      </c>
      <c r="W417">
        <v>7.26</v>
      </c>
      <c r="X417" t="s">
        <v>2408</v>
      </c>
      <c r="Y417" t="s">
        <v>1021</v>
      </c>
      <c r="Z417">
        <v>0.76</v>
      </c>
      <c r="AA417">
        <v>2441</v>
      </c>
      <c r="AB417">
        <v>3385</v>
      </c>
      <c r="AC417">
        <v>2.76</v>
      </c>
      <c r="AD417" t="s">
        <v>3491</v>
      </c>
      <c r="AE417" t="s">
        <v>3492</v>
      </c>
      <c r="AF417" t="s">
        <v>3493</v>
      </c>
      <c r="AG417" t="s">
        <v>3494</v>
      </c>
      <c r="AH417">
        <v>-3.04</v>
      </c>
      <c r="AI417">
        <v>-16.89</v>
      </c>
      <c r="AJ417">
        <v>50.49</v>
      </c>
      <c r="AK417">
        <v>182.22</v>
      </c>
      <c r="AL417">
        <v>1</v>
      </c>
      <c r="AM417">
        <v>2.23</v>
      </c>
      <c r="AN417">
        <v>-0.27</v>
      </c>
      <c r="AO417">
        <v>7.32</v>
      </c>
      <c r="AP417">
        <v>10.56</v>
      </c>
    </row>
    <row r="418" spans="1:42">
      <c r="A418">
        <v>417</v>
      </c>
      <c r="B418" t="str">
        <f>"002908"</f>
        <v>002908</v>
      </c>
      <c r="C418" t="s">
        <v>3495</v>
      </c>
      <c r="D418">
        <v>13.28</v>
      </c>
      <c r="E418">
        <v>2.71</v>
      </c>
      <c r="F418">
        <v>0.35</v>
      </c>
      <c r="G418" t="s">
        <v>2066</v>
      </c>
      <c r="H418">
        <v>6272</v>
      </c>
      <c r="I418">
        <v>13.28</v>
      </c>
      <c r="J418">
        <v>13.29</v>
      </c>
      <c r="K418" t="s">
        <v>3484</v>
      </c>
      <c r="L418">
        <v>10.17</v>
      </c>
      <c r="M418" t="s">
        <v>46</v>
      </c>
      <c r="N418" t="s">
        <v>2548</v>
      </c>
      <c r="O418">
        <v>13.3</v>
      </c>
      <c r="P418">
        <v>12.7</v>
      </c>
      <c r="Q418">
        <v>12.74</v>
      </c>
      <c r="R418">
        <v>12.93</v>
      </c>
      <c r="S418">
        <v>4.64</v>
      </c>
      <c r="T418">
        <v>1.25</v>
      </c>
      <c r="U418">
        <v>-17.3</v>
      </c>
      <c r="V418">
        <v>-1433</v>
      </c>
      <c r="W418">
        <v>13.1</v>
      </c>
      <c r="X418" t="s">
        <v>978</v>
      </c>
      <c r="Y418" t="s">
        <v>561</v>
      </c>
      <c r="Z418">
        <v>0.95</v>
      </c>
      <c r="AA418">
        <v>1313</v>
      </c>
      <c r="AB418">
        <v>1346</v>
      </c>
      <c r="AC418">
        <v>4.98</v>
      </c>
      <c r="AD418" t="s">
        <v>3496</v>
      </c>
      <c r="AE418" t="s">
        <v>3497</v>
      </c>
      <c r="AF418" t="s">
        <v>3498</v>
      </c>
      <c r="AG418" t="s">
        <v>3499</v>
      </c>
      <c r="AH418">
        <v>1.84</v>
      </c>
      <c r="AI418">
        <v>5.9</v>
      </c>
      <c r="AJ418">
        <v>24.27</v>
      </c>
      <c r="AK418">
        <v>50.85</v>
      </c>
      <c r="AL418">
        <v>2</v>
      </c>
      <c r="AM418">
        <v>2.71</v>
      </c>
      <c r="AN418">
        <v>19.21</v>
      </c>
      <c r="AO418">
        <v>22.4</v>
      </c>
      <c r="AP418">
        <v>6.58</v>
      </c>
    </row>
    <row r="419" spans="1:42">
      <c r="A419">
        <v>418</v>
      </c>
      <c r="B419" t="str">
        <f>"002322"</f>
        <v>002322</v>
      </c>
      <c r="C419" t="s">
        <v>3500</v>
      </c>
      <c r="D419">
        <v>13.29</v>
      </c>
      <c r="E419">
        <v>5.48</v>
      </c>
      <c r="F419">
        <v>0.69</v>
      </c>
      <c r="G419" t="s">
        <v>554</v>
      </c>
      <c r="H419">
        <v>2019</v>
      </c>
      <c r="I419">
        <v>13.28</v>
      </c>
      <c r="J419">
        <v>13.29</v>
      </c>
      <c r="K419" t="s">
        <v>3501</v>
      </c>
      <c r="L419">
        <v>8.78</v>
      </c>
      <c r="M419" t="s">
        <v>46</v>
      </c>
      <c r="N419" t="s">
        <v>3502</v>
      </c>
      <c r="O419">
        <v>13.48</v>
      </c>
      <c r="P419">
        <v>12.42</v>
      </c>
      <c r="Q419">
        <v>12.84</v>
      </c>
      <c r="R419">
        <v>12.6</v>
      </c>
      <c r="S419">
        <v>8.41</v>
      </c>
      <c r="T419">
        <v>2.85</v>
      </c>
      <c r="U419">
        <v>-16.78</v>
      </c>
      <c r="V419">
        <v>-687</v>
      </c>
      <c r="W419">
        <v>13.02</v>
      </c>
      <c r="X419" t="s">
        <v>2960</v>
      </c>
      <c r="Y419" t="s">
        <v>416</v>
      </c>
      <c r="Z419">
        <v>0.58</v>
      </c>
      <c r="AA419">
        <v>422</v>
      </c>
      <c r="AB419">
        <v>1081</v>
      </c>
      <c r="AC419">
        <v>1.57</v>
      </c>
      <c r="AD419" t="s">
        <v>3503</v>
      </c>
      <c r="AE419" t="s">
        <v>3504</v>
      </c>
      <c r="AF419" t="s">
        <v>3505</v>
      </c>
      <c r="AG419" t="s">
        <v>3506</v>
      </c>
      <c r="AH419">
        <v>4.4</v>
      </c>
      <c r="AI419">
        <v>1.92</v>
      </c>
      <c r="AJ419">
        <v>13.29</v>
      </c>
      <c r="AK419">
        <v>24.17</v>
      </c>
      <c r="AL419">
        <v>1</v>
      </c>
      <c r="AM419">
        <v>5.48</v>
      </c>
      <c r="AN419">
        <v>49.66</v>
      </c>
      <c r="AO419">
        <v>7.26</v>
      </c>
      <c r="AP419">
        <v>41.08</v>
      </c>
    </row>
    <row r="420" spans="1:42">
      <c r="A420">
        <v>419</v>
      </c>
      <c r="B420" t="str">
        <f>"600189"</f>
        <v>600189</v>
      </c>
      <c r="C420" t="s">
        <v>3507</v>
      </c>
      <c r="D420">
        <v>12.06</v>
      </c>
      <c r="E420">
        <v>5.33</v>
      </c>
      <c r="F420">
        <v>0.61</v>
      </c>
      <c r="G420" t="s">
        <v>1226</v>
      </c>
      <c r="H420">
        <v>5415</v>
      </c>
      <c r="I420">
        <v>12.06</v>
      </c>
      <c r="J420">
        <v>12.07</v>
      </c>
      <c r="K420" t="s">
        <v>3501</v>
      </c>
      <c r="L420">
        <v>4.84</v>
      </c>
      <c r="M420" t="s">
        <v>46</v>
      </c>
      <c r="N420" t="s">
        <v>3508</v>
      </c>
      <c r="O420">
        <v>12.21</v>
      </c>
      <c r="P420">
        <v>11.42</v>
      </c>
      <c r="Q420">
        <v>11.67</v>
      </c>
      <c r="R420">
        <v>11.45</v>
      </c>
      <c r="S420">
        <v>6.9</v>
      </c>
      <c r="T420">
        <v>1.14</v>
      </c>
      <c r="U420">
        <v>15.02</v>
      </c>
      <c r="V420">
        <v>1593</v>
      </c>
      <c r="W420">
        <v>11.87</v>
      </c>
      <c r="X420" t="s">
        <v>959</v>
      </c>
      <c r="Y420" t="s">
        <v>1462</v>
      </c>
      <c r="Z420">
        <v>0.76</v>
      </c>
      <c r="AA420">
        <v>130</v>
      </c>
      <c r="AB420">
        <v>1225</v>
      </c>
      <c r="AC420">
        <v>5.11</v>
      </c>
      <c r="AD420" t="s">
        <v>3509</v>
      </c>
      <c r="AE420" t="s">
        <v>3510</v>
      </c>
      <c r="AF420" t="s">
        <v>3509</v>
      </c>
      <c r="AG420" t="s">
        <v>3510</v>
      </c>
      <c r="AH420">
        <v>1.52</v>
      </c>
      <c r="AI420">
        <v>12.4</v>
      </c>
      <c r="AJ420">
        <v>10.08</v>
      </c>
      <c r="AK420">
        <v>26.09</v>
      </c>
      <c r="AL420">
        <v>1</v>
      </c>
      <c r="AM420">
        <v>5.33</v>
      </c>
      <c r="AN420">
        <v>77.88</v>
      </c>
      <c r="AO420">
        <v>18.7</v>
      </c>
      <c r="AP420">
        <v>96.42</v>
      </c>
    </row>
    <row r="421" spans="1:42">
      <c r="A421">
        <v>420</v>
      </c>
      <c r="B421" t="str">
        <f>"002856"</f>
        <v>002856</v>
      </c>
      <c r="C421" t="s">
        <v>3511</v>
      </c>
      <c r="D421">
        <v>14.75</v>
      </c>
      <c r="E421">
        <v>1.24</v>
      </c>
      <c r="F421">
        <v>0.18</v>
      </c>
      <c r="G421" t="s">
        <v>3512</v>
      </c>
      <c r="H421">
        <v>7142</v>
      </c>
      <c r="I421">
        <v>14.75</v>
      </c>
      <c r="J421">
        <v>14.76</v>
      </c>
      <c r="K421" t="s">
        <v>3501</v>
      </c>
      <c r="L421">
        <v>24.14</v>
      </c>
      <c r="M421" t="s">
        <v>46</v>
      </c>
      <c r="N421" t="s">
        <v>3513</v>
      </c>
      <c r="O421">
        <v>15.47</v>
      </c>
      <c r="P421">
        <v>14.08</v>
      </c>
      <c r="Q421">
        <v>14.23</v>
      </c>
      <c r="R421">
        <v>14.57</v>
      </c>
      <c r="S421">
        <v>9.54</v>
      </c>
      <c r="T421">
        <v>1.11</v>
      </c>
      <c r="U421">
        <v>58.05</v>
      </c>
      <c r="V421">
        <v>1068</v>
      </c>
      <c r="W421">
        <v>14.6</v>
      </c>
      <c r="X421" t="s">
        <v>1207</v>
      </c>
      <c r="Y421" t="s">
        <v>3385</v>
      </c>
      <c r="Z421">
        <v>0.98</v>
      </c>
      <c r="AA421">
        <v>430</v>
      </c>
      <c r="AB421">
        <v>139</v>
      </c>
      <c r="AC421">
        <v>3.87</v>
      </c>
      <c r="AD421" t="s">
        <v>3514</v>
      </c>
      <c r="AE421" t="s">
        <v>3515</v>
      </c>
      <c r="AF421" t="s">
        <v>2803</v>
      </c>
      <c r="AG421" t="s">
        <v>506</v>
      </c>
      <c r="AH421">
        <v>6.34</v>
      </c>
      <c r="AI421">
        <v>27.05</v>
      </c>
      <c r="AJ421">
        <v>97.6</v>
      </c>
      <c r="AK421">
        <v>133.28</v>
      </c>
      <c r="AL421">
        <v>5</v>
      </c>
      <c r="AM421">
        <v>1.24</v>
      </c>
      <c r="AN421">
        <v>46.62</v>
      </c>
      <c r="AO421">
        <v>37.34</v>
      </c>
      <c r="AP421">
        <v>39.15</v>
      </c>
    </row>
    <row r="422" spans="1:42">
      <c r="A422">
        <v>421</v>
      </c>
      <c r="B422" t="str">
        <f>"600426"</f>
        <v>600426</v>
      </c>
      <c r="C422" t="s">
        <v>3516</v>
      </c>
      <c r="D422">
        <v>28.7</v>
      </c>
      <c r="E422">
        <v>-3.85</v>
      </c>
      <c r="F422">
        <v>-1.15</v>
      </c>
      <c r="G422" t="s">
        <v>1296</v>
      </c>
      <c r="H422">
        <v>772</v>
      </c>
      <c r="I422">
        <v>28.7</v>
      </c>
      <c r="J422">
        <v>28.71</v>
      </c>
      <c r="K422" t="s">
        <v>3517</v>
      </c>
      <c r="L422">
        <v>0.67</v>
      </c>
      <c r="M422" t="s">
        <v>46</v>
      </c>
      <c r="N422" t="s">
        <v>3518</v>
      </c>
      <c r="O422">
        <v>29.88</v>
      </c>
      <c r="P422">
        <v>28.63</v>
      </c>
      <c r="Q422">
        <v>29.88</v>
      </c>
      <c r="R422">
        <v>29.85</v>
      </c>
      <c r="S422">
        <v>4.19</v>
      </c>
      <c r="T422">
        <v>2.63</v>
      </c>
      <c r="U422">
        <v>28.81</v>
      </c>
      <c r="V422">
        <v>238</v>
      </c>
      <c r="W422">
        <v>29.01</v>
      </c>
      <c r="X422" t="s">
        <v>3519</v>
      </c>
      <c r="Y422" t="s">
        <v>3520</v>
      </c>
      <c r="Z422">
        <v>1.38</v>
      </c>
      <c r="AA422">
        <v>417</v>
      </c>
      <c r="AB422">
        <v>156</v>
      </c>
      <c r="AC422">
        <v>2.16</v>
      </c>
      <c r="AD422" t="s">
        <v>3521</v>
      </c>
      <c r="AE422" t="s">
        <v>3522</v>
      </c>
      <c r="AF422" t="s">
        <v>2815</v>
      </c>
      <c r="AG422" t="s">
        <v>3523</v>
      </c>
      <c r="AH422">
        <v>-5.28</v>
      </c>
      <c r="AI422">
        <v>-5.16</v>
      </c>
      <c r="AJ422">
        <v>1.1</v>
      </c>
      <c r="AK422">
        <v>1.94</v>
      </c>
      <c r="AL422">
        <v>-3</v>
      </c>
      <c r="AM422">
        <v>-3.85</v>
      </c>
      <c r="AN422">
        <v>-11.28</v>
      </c>
      <c r="AO422">
        <v>-7.33</v>
      </c>
      <c r="AP422">
        <v>-1.03</v>
      </c>
    </row>
    <row r="423" spans="1:42">
      <c r="A423">
        <v>422</v>
      </c>
      <c r="B423" t="str">
        <f>"002575"</f>
        <v>002575</v>
      </c>
      <c r="C423" t="s">
        <v>3524</v>
      </c>
      <c r="D423">
        <v>6.77</v>
      </c>
      <c r="E423">
        <v>10.08</v>
      </c>
      <c r="F423">
        <v>0.62</v>
      </c>
      <c r="G423" t="s">
        <v>3525</v>
      </c>
      <c r="H423">
        <v>233</v>
      </c>
      <c r="I423">
        <v>6.77</v>
      </c>
      <c r="J423" t="s">
        <v>76</v>
      </c>
      <c r="K423" t="s">
        <v>3517</v>
      </c>
      <c r="L423">
        <v>10.8</v>
      </c>
      <c r="M423" t="s">
        <v>46</v>
      </c>
      <c r="N423" t="s">
        <v>3526</v>
      </c>
      <c r="O423">
        <v>6.77</v>
      </c>
      <c r="P423">
        <v>6.07</v>
      </c>
      <c r="Q423">
        <v>6.11</v>
      </c>
      <c r="R423">
        <v>6.15</v>
      </c>
      <c r="S423">
        <v>11.38</v>
      </c>
      <c r="T423">
        <v>4.64</v>
      </c>
      <c r="U423">
        <v>100</v>
      </c>
      <c r="V423">
        <v>8160</v>
      </c>
      <c r="W423">
        <v>6.59</v>
      </c>
      <c r="X423" t="s">
        <v>890</v>
      </c>
      <c r="Y423" t="s">
        <v>3527</v>
      </c>
      <c r="Z423">
        <v>1.52</v>
      </c>
      <c r="AA423">
        <v>7103</v>
      </c>
      <c r="AB423">
        <v>0</v>
      </c>
      <c r="AC423">
        <v>5.01</v>
      </c>
      <c r="AD423" t="s">
        <v>3528</v>
      </c>
      <c r="AE423" t="s">
        <v>3529</v>
      </c>
      <c r="AF423" t="s">
        <v>3530</v>
      </c>
      <c r="AG423" t="s">
        <v>3531</v>
      </c>
      <c r="AH423">
        <v>17.13</v>
      </c>
      <c r="AI423">
        <v>16.72</v>
      </c>
      <c r="AJ423">
        <v>19.63</v>
      </c>
      <c r="AK423">
        <v>22.44</v>
      </c>
      <c r="AL423">
        <v>3</v>
      </c>
      <c r="AM423">
        <v>10.08</v>
      </c>
      <c r="AN423">
        <v>8.84</v>
      </c>
      <c r="AO423">
        <v>20.25</v>
      </c>
      <c r="AP423">
        <v>11.53</v>
      </c>
    </row>
    <row r="424" spans="1:42">
      <c r="A424">
        <v>423</v>
      </c>
      <c r="B424" t="str">
        <f>"600330"</f>
        <v>600330</v>
      </c>
      <c r="C424" t="s">
        <v>3532</v>
      </c>
      <c r="D424">
        <v>9.16</v>
      </c>
      <c r="E424">
        <v>3.74</v>
      </c>
      <c r="F424">
        <v>0.33</v>
      </c>
      <c r="G424" t="s">
        <v>3533</v>
      </c>
      <c r="H424">
        <v>6993</v>
      </c>
      <c r="I424">
        <v>9.16</v>
      </c>
      <c r="J424">
        <v>9.17</v>
      </c>
      <c r="K424" t="s">
        <v>3534</v>
      </c>
      <c r="L424">
        <v>3.66</v>
      </c>
      <c r="M424" t="s">
        <v>46</v>
      </c>
      <c r="N424" t="s">
        <v>2410</v>
      </c>
      <c r="O424">
        <v>9.19</v>
      </c>
      <c r="P424">
        <v>8.69</v>
      </c>
      <c r="Q424">
        <v>8.8</v>
      </c>
      <c r="R424">
        <v>8.83</v>
      </c>
      <c r="S424">
        <v>5.66</v>
      </c>
      <c r="T424">
        <v>2.81</v>
      </c>
      <c r="U424">
        <v>-25.52</v>
      </c>
      <c r="V424">
        <v>-8782</v>
      </c>
      <c r="W424">
        <v>9.02</v>
      </c>
      <c r="X424" t="s">
        <v>1462</v>
      </c>
      <c r="Y424" t="s">
        <v>352</v>
      </c>
      <c r="Z424">
        <v>0.78</v>
      </c>
      <c r="AA424">
        <v>2127</v>
      </c>
      <c r="AB424">
        <v>1786</v>
      </c>
      <c r="AC424">
        <v>1.4</v>
      </c>
      <c r="AD424" t="s">
        <v>3535</v>
      </c>
      <c r="AE424" t="s">
        <v>3536</v>
      </c>
      <c r="AF424" t="s">
        <v>3535</v>
      </c>
      <c r="AG424" t="s">
        <v>3536</v>
      </c>
      <c r="AH424">
        <v>3.85</v>
      </c>
      <c r="AI424">
        <v>1.66</v>
      </c>
      <c r="AJ424">
        <v>6.86</v>
      </c>
      <c r="AK424">
        <v>10.17</v>
      </c>
      <c r="AL424">
        <v>1</v>
      </c>
      <c r="AM424">
        <v>3.74</v>
      </c>
      <c r="AN424">
        <v>-12.68</v>
      </c>
      <c r="AO424">
        <v>4.21</v>
      </c>
      <c r="AP424">
        <v>-20.28</v>
      </c>
    </row>
    <row r="425" spans="1:42">
      <c r="A425">
        <v>424</v>
      </c>
      <c r="B425" t="str">
        <f>"002995"</f>
        <v>002995</v>
      </c>
      <c r="C425" t="s">
        <v>3537</v>
      </c>
      <c r="D425">
        <v>24.62</v>
      </c>
      <c r="E425">
        <v>5.39</v>
      </c>
      <c r="F425">
        <v>1.26</v>
      </c>
      <c r="G425" t="s">
        <v>1245</v>
      </c>
      <c r="H425">
        <v>2238</v>
      </c>
      <c r="I425">
        <v>24.61</v>
      </c>
      <c r="J425">
        <v>24.62</v>
      </c>
      <c r="K425" t="s">
        <v>3534</v>
      </c>
      <c r="L425">
        <v>14.91</v>
      </c>
      <c r="M425" t="s">
        <v>46</v>
      </c>
      <c r="N425" t="s">
        <v>3538</v>
      </c>
      <c r="O425">
        <v>24.89</v>
      </c>
      <c r="P425">
        <v>23.22</v>
      </c>
      <c r="Q425">
        <v>23.23</v>
      </c>
      <c r="R425">
        <v>23.36</v>
      </c>
      <c r="S425">
        <v>7.15</v>
      </c>
      <c r="T425">
        <v>1.58</v>
      </c>
      <c r="U425">
        <v>3.69</v>
      </c>
      <c r="V425">
        <v>38</v>
      </c>
      <c r="W425">
        <v>24.29</v>
      </c>
      <c r="X425" t="s">
        <v>3539</v>
      </c>
      <c r="Y425" t="s">
        <v>3540</v>
      </c>
      <c r="Z425">
        <v>0.81</v>
      </c>
      <c r="AA425">
        <v>201</v>
      </c>
      <c r="AB425">
        <v>120</v>
      </c>
      <c r="AC425">
        <v>4.39</v>
      </c>
      <c r="AD425" t="s">
        <v>3541</v>
      </c>
      <c r="AE425" t="s">
        <v>3542</v>
      </c>
      <c r="AF425" t="s">
        <v>3543</v>
      </c>
      <c r="AG425" t="s">
        <v>3544</v>
      </c>
      <c r="AH425">
        <v>4.28</v>
      </c>
      <c r="AI425">
        <v>-3.15</v>
      </c>
      <c r="AJ425">
        <v>27.05</v>
      </c>
      <c r="AK425">
        <v>61.97</v>
      </c>
      <c r="AL425">
        <v>2</v>
      </c>
      <c r="AM425">
        <v>5.39</v>
      </c>
      <c r="AN425">
        <v>29.65</v>
      </c>
      <c r="AO425">
        <v>10.21</v>
      </c>
      <c r="AP425">
        <v>18.77</v>
      </c>
    </row>
    <row r="426" spans="1:42">
      <c r="A426">
        <v>425</v>
      </c>
      <c r="B426" t="str">
        <f>"002957"</f>
        <v>002957</v>
      </c>
      <c r="C426" t="s">
        <v>3545</v>
      </c>
      <c r="D426">
        <v>18.23</v>
      </c>
      <c r="E426">
        <v>0.83</v>
      </c>
      <c r="F426">
        <v>0.15</v>
      </c>
      <c r="G426" t="s">
        <v>2828</v>
      </c>
      <c r="H426">
        <v>3589</v>
      </c>
      <c r="I426">
        <v>18.22</v>
      </c>
      <c r="J426">
        <v>18.23</v>
      </c>
      <c r="K426" t="s">
        <v>3546</v>
      </c>
      <c r="L426">
        <v>5.48</v>
      </c>
      <c r="M426" t="s">
        <v>46</v>
      </c>
      <c r="N426" t="s">
        <v>3547</v>
      </c>
      <c r="O426">
        <v>18.3</v>
      </c>
      <c r="P426">
        <v>17.77</v>
      </c>
      <c r="Q426">
        <v>18.3</v>
      </c>
      <c r="R426">
        <v>18.08</v>
      </c>
      <c r="S426">
        <v>2.93</v>
      </c>
      <c r="T426">
        <v>1.15</v>
      </c>
      <c r="U426">
        <v>21.69</v>
      </c>
      <c r="V426">
        <v>591</v>
      </c>
      <c r="W426">
        <v>18.05</v>
      </c>
      <c r="X426" t="s">
        <v>2025</v>
      </c>
      <c r="Y426" t="s">
        <v>3218</v>
      </c>
      <c r="Z426">
        <v>1.27</v>
      </c>
      <c r="AA426">
        <v>1072</v>
      </c>
      <c r="AB426">
        <v>640</v>
      </c>
      <c r="AC426">
        <v>2.62</v>
      </c>
      <c r="AD426" t="s">
        <v>3548</v>
      </c>
      <c r="AE426" t="s">
        <v>3549</v>
      </c>
      <c r="AF426" t="s">
        <v>3550</v>
      </c>
      <c r="AG426" t="s">
        <v>3551</v>
      </c>
      <c r="AH426">
        <v>-0.98</v>
      </c>
      <c r="AI426">
        <v>3.93</v>
      </c>
      <c r="AJ426">
        <v>17.54</v>
      </c>
      <c r="AK426">
        <v>29.41</v>
      </c>
      <c r="AL426">
        <v>1</v>
      </c>
      <c r="AM426">
        <v>0.83</v>
      </c>
      <c r="AN426">
        <v>22.43</v>
      </c>
      <c r="AO426">
        <v>9.89</v>
      </c>
      <c r="AP426">
        <v>11.36</v>
      </c>
    </row>
    <row r="427" spans="1:42">
      <c r="A427">
        <v>426</v>
      </c>
      <c r="B427" t="str">
        <f>"300770"</f>
        <v>300770</v>
      </c>
      <c r="C427" t="s">
        <v>3552</v>
      </c>
      <c r="D427">
        <v>40.49</v>
      </c>
      <c r="E427">
        <v>6.58</v>
      </c>
      <c r="F427">
        <v>2.5</v>
      </c>
      <c r="G427" t="s">
        <v>1499</v>
      </c>
      <c r="H427">
        <v>1014</v>
      </c>
      <c r="I427">
        <v>40.49</v>
      </c>
      <c r="J427">
        <v>40.5</v>
      </c>
      <c r="K427" t="s">
        <v>3546</v>
      </c>
      <c r="L427">
        <v>4.43</v>
      </c>
      <c r="M427" t="s">
        <v>46</v>
      </c>
      <c r="N427" t="s">
        <v>3553</v>
      </c>
      <c r="O427">
        <v>41.06</v>
      </c>
      <c r="P427">
        <v>38.01</v>
      </c>
      <c r="Q427">
        <v>38.1</v>
      </c>
      <c r="R427">
        <v>37.99</v>
      </c>
      <c r="S427">
        <v>8.03</v>
      </c>
      <c r="T427">
        <v>1.75</v>
      </c>
      <c r="U427">
        <v>-35.76</v>
      </c>
      <c r="V427">
        <v>-141</v>
      </c>
      <c r="W427">
        <v>39.66</v>
      </c>
      <c r="X427" t="s">
        <v>843</v>
      </c>
      <c r="Y427" t="s">
        <v>3055</v>
      </c>
      <c r="Z427">
        <v>0.78</v>
      </c>
      <c r="AA427">
        <v>66</v>
      </c>
      <c r="AB427">
        <v>235</v>
      </c>
      <c r="AC427">
        <v>2.69</v>
      </c>
      <c r="AD427" t="s">
        <v>1378</v>
      </c>
      <c r="AE427" t="s">
        <v>3554</v>
      </c>
      <c r="AF427" t="s">
        <v>1378</v>
      </c>
      <c r="AG427" t="s">
        <v>3554</v>
      </c>
      <c r="AH427">
        <v>5.01</v>
      </c>
      <c r="AI427">
        <v>-1.75</v>
      </c>
      <c r="AJ427">
        <v>8.66</v>
      </c>
      <c r="AK427">
        <v>17.1</v>
      </c>
      <c r="AL427">
        <v>2</v>
      </c>
      <c r="AM427">
        <v>6.58</v>
      </c>
      <c r="AN427">
        <v>14.06</v>
      </c>
      <c r="AO427">
        <v>9.52</v>
      </c>
      <c r="AP427">
        <v>22.47</v>
      </c>
    </row>
    <row r="428" spans="1:42">
      <c r="A428">
        <v>427</v>
      </c>
      <c r="B428" t="str">
        <f>"603369"</f>
        <v>603369</v>
      </c>
      <c r="C428" t="s">
        <v>3555</v>
      </c>
      <c r="D428">
        <v>52.71</v>
      </c>
      <c r="E428">
        <v>-2.08</v>
      </c>
      <c r="F428">
        <v>-1.12</v>
      </c>
      <c r="G428" t="s">
        <v>2534</v>
      </c>
      <c r="H428">
        <v>345</v>
      </c>
      <c r="I428">
        <v>52.7</v>
      </c>
      <c r="J428">
        <v>52.71</v>
      </c>
      <c r="K428" t="s">
        <v>3556</v>
      </c>
      <c r="L428">
        <v>0.61</v>
      </c>
      <c r="M428" t="s">
        <v>46</v>
      </c>
      <c r="N428" t="s">
        <v>3557</v>
      </c>
      <c r="O428">
        <v>53.56</v>
      </c>
      <c r="P428">
        <v>51.81</v>
      </c>
      <c r="Q428">
        <v>53.56</v>
      </c>
      <c r="R428">
        <v>53.83</v>
      </c>
      <c r="S428">
        <v>3.25</v>
      </c>
      <c r="T428">
        <v>2.18</v>
      </c>
      <c r="U428">
        <v>-39.61</v>
      </c>
      <c r="V428">
        <v>-133</v>
      </c>
      <c r="W428">
        <v>52.48</v>
      </c>
      <c r="X428" t="s">
        <v>3304</v>
      </c>
      <c r="Y428" t="s">
        <v>3558</v>
      </c>
      <c r="Z428">
        <v>1.44</v>
      </c>
      <c r="AA428">
        <v>32</v>
      </c>
      <c r="AB428">
        <v>12</v>
      </c>
      <c r="AC428">
        <v>5.17</v>
      </c>
      <c r="AD428" t="s">
        <v>1227</v>
      </c>
      <c r="AE428" t="s">
        <v>3559</v>
      </c>
      <c r="AF428" t="s">
        <v>1227</v>
      </c>
      <c r="AG428" t="s">
        <v>3559</v>
      </c>
      <c r="AH428">
        <v>-1.95</v>
      </c>
      <c r="AI428">
        <v>-3.39</v>
      </c>
      <c r="AJ428">
        <v>1.16</v>
      </c>
      <c r="AK428">
        <v>2.02</v>
      </c>
      <c r="AL428">
        <v>-1</v>
      </c>
      <c r="AM428">
        <v>-2.08</v>
      </c>
      <c r="AN428">
        <v>5.06</v>
      </c>
      <c r="AO428">
        <v>-8.95</v>
      </c>
      <c r="AP428">
        <v>27.63</v>
      </c>
    </row>
    <row r="429" spans="1:42">
      <c r="A429">
        <v>428</v>
      </c>
      <c r="B429" t="str">
        <f>"600006"</f>
        <v>600006</v>
      </c>
      <c r="C429" t="s">
        <v>3560</v>
      </c>
      <c r="D429">
        <v>6.65</v>
      </c>
      <c r="E429">
        <v>-2.92</v>
      </c>
      <c r="F429">
        <v>-0.2</v>
      </c>
      <c r="G429" t="s">
        <v>1278</v>
      </c>
      <c r="H429">
        <v>8123</v>
      </c>
      <c r="I429">
        <v>6.65</v>
      </c>
      <c r="J429">
        <v>6.66</v>
      </c>
      <c r="K429" t="s">
        <v>3561</v>
      </c>
      <c r="L429">
        <v>3.04</v>
      </c>
      <c r="M429" t="s">
        <v>46</v>
      </c>
      <c r="N429" t="s">
        <v>3562</v>
      </c>
      <c r="O429">
        <v>6.92</v>
      </c>
      <c r="P429">
        <v>6.49</v>
      </c>
      <c r="Q429">
        <v>6.87</v>
      </c>
      <c r="R429">
        <v>6.85</v>
      </c>
      <c r="S429">
        <v>6.28</v>
      </c>
      <c r="T429">
        <v>0.55</v>
      </c>
      <c r="U429">
        <v>25.54</v>
      </c>
      <c r="V429">
        <v>5250</v>
      </c>
      <c r="W429">
        <v>6.65</v>
      </c>
      <c r="X429" t="s">
        <v>722</v>
      </c>
      <c r="Y429" t="s">
        <v>1032</v>
      </c>
      <c r="Z429">
        <v>1.31</v>
      </c>
      <c r="AA429">
        <v>4595</v>
      </c>
      <c r="AB429">
        <v>771</v>
      </c>
      <c r="AC429">
        <v>1.63</v>
      </c>
      <c r="AD429" t="s">
        <v>3563</v>
      </c>
      <c r="AE429" t="s">
        <v>3564</v>
      </c>
      <c r="AF429" t="s">
        <v>3563</v>
      </c>
      <c r="AG429" t="s">
        <v>3564</v>
      </c>
      <c r="AH429">
        <v>-10.26</v>
      </c>
      <c r="AI429">
        <v>0.91</v>
      </c>
      <c r="AJ429">
        <v>13.21</v>
      </c>
      <c r="AK429">
        <v>30.95</v>
      </c>
      <c r="AL429">
        <v>-3</v>
      </c>
      <c r="AM429">
        <v>-2.92</v>
      </c>
      <c r="AN429">
        <v>20.04</v>
      </c>
      <c r="AO429">
        <v>2.31</v>
      </c>
      <c r="AP429">
        <v>17.28</v>
      </c>
    </row>
    <row r="430" spans="1:42">
      <c r="A430">
        <v>429</v>
      </c>
      <c r="B430" t="str">
        <f>"300148"</f>
        <v>300148</v>
      </c>
      <c r="C430" t="s">
        <v>3565</v>
      </c>
      <c r="D430">
        <v>4.49</v>
      </c>
      <c r="E430">
        <v>8.72</v>
      </c>
      <c r="F430">
        <v>0.36</v>
      </c>
      <c r="G430" t="s">
        <v>3566</v>
      </c>
      <c r="H430" t="s">
        <v>2329</v>
      </c>
      <c r="I430">
        <v>4.48</v>
      </c>
      <c r="J430">
        <v>4.49</v>
      </c>
      <c r="K430" t="s">
        <v>3561</v>
      </c>
      <c r="L430">
        <v>11.68</v>
      </c>
      <c r="M430" t="s">
        <v>46</v>
      </c>
      <c r="N430" t="s">
        <v>3567</v>
      </c>
      <c r="O430">
        <v>4.58</v>
      </c>
      <c r="P430">
        <v>4.13</v>
      </c>
      <c r="Q430">
        <v>4.14</v>
      </c>
      <c r="R430">
        <v>4.13</v>
      </c>
      <c r="S430">
        <v>10.9</v>
      </c>
      <c r="T430">
        <v>3.77</v>
      </c>
      <c r="U430">
        <v>-48.55</v>
      </c>
      <c r="V430" t="s">
        <v>3568</v>
      </c>
      <c r="W430">
        <v>4.38</v>
      </c>
      <c r="X430" t="s">
        <v>3448</v>
      </c>
      <c r="Y430" t="s">
        <v>3569</v>
      </c>
      <c r="Z430">
        <v>0.54</v>
      </c>
      <c r="AA430">
        <v>1082</v>
      </c>
      <c r="AB430">
        <v>3262</v>
      </c>
      <c r="AC430">
        <v>3.63</v>
      </c>
      <c r="AD430" t="s">
        <v>3570</v>
      </c>
      <c r="AE430" t="s">
        <v>3571</v>
      </c>
      <c r="AF430" t="s">
        <v>1208</v>
      </c>
      <c r="AG430" t="s">
        <v>3572</v>
      </c>
      <c r="AH430">
        <v>6.65</v>
      </c>
      <c r="AI430">
        <v>2.98</v>
      </c>
      <c r="AJ430">
        <v>16.81</v>
      </c>
      <c r="AK430">
        <v>27.17</v>
      </c>
      <c r="AL430">
        <v>1</v>
      </c>
      <c r="AM430">
        <v>8.72</v>
      </c>
      <c r="AN430">
        <v>22.68</v>
      </c>
      <c r="AO430">
        <v>10.32</v>
      </c>
      <c r="AP430">
        <v>33.23</v>
      </c>
    </row>
    <row r="431" spans="1:42">
      <c r="A431">
        <v>430</v>
      </c>
      <c r="B431" t="str">
        <f>"600366"</f>
        <v>600366</v>
      </c>
      <c r="C431" t="s">
        <v>3573</v>
      </c>
      <c r="D431">
        <v>7.65</v>
      </c>
      <c r="E431">
        <v>-4.73</v>
      </c>
      <c r="F431">
        <v>-0.38</v>
      </c>
      <c r="G431" t="s">
        <v>3574</v>
      </c>
      <c r="H431">
        <v>5147</v>
      </c>
      <c r="I431">
        <v>7.65</v>
      </c>
      <c r="J431">
        <v>7.66</v>
      </c>
      <c r="K431" t="s">
        <v>3575</v>
      </c>
      <c r="L431">
        <v>4.92</v>
      </c>
      <c r="M431" t="s">
        <v>46</v>
      </c>
      <c r="N431" t="s">
        <v>2513</v>
      </c>
      <c r="O431">
        <v>7.94</v>
      </c>
      <c r="P431">
        <v>7.6</v>
      </c>
      <c r="Q431">
        <v>7.9</v>
      </c>
      <c r="R431">
        <v>8.03</v>
      </c>
      <c r="S431">
        <v>4.23</v>
      </c>
      <c r="T431">
        <v>2.11</v>
      </c>
      <c r="U431">
        <v>58.3</v>
      </c>
      <c r="V431">
        <v>6533</v>
      </c>
      <c r="W431">
        <v>7.71</v>
      </c>
      <c r="X431" t="s">
        <v>3576</v>
      </c>
      <c r="Y431" t="s">
        <v>553</v>
      </c>
      <c r="Z431">
        <v>1.46</v>
      </c>
      <c r="AA431">
        <v>1169</v>
      </c>
      <c r="AB431">
        <v>652</v>
      </c>
      <c r="AC431">
        <v>1.46</v>
      </c>
      <c r="AD431" t="s">
        <v>3577</v>
      </c>
      <c r="AE431" t="s">
        <v>3578</v>
      </c>
      <c r="AF431" t="s">
        <v>3579</v>
      </c>
      <c r="AG431" t="s">
        <v>3580</v>
      </c>
      <c r="AH431">
        <v>5.52</v>
      </c>
      <c r="AI431">
        <v>4.37</v>
      </c>
      <c r="AJ431">
        <v>15.01</v>
      </c>
      <c r="AK431">
        <v>16.59</v>
      </c>
      <c r="AL431">
        <v>-1</v>
      </c>
      <c r="AM431">
        <v>-4.73</v>
      </c>
      <c r="AN431">
        <v>-26.79</v>
      </c>
      <c r="AO431">
        <v>8.05</v>
      </c>
      <c r="AP431">
        <v>-26.02</v>
      </c>
    </row>
    <row r="432" spans="1:42">
      <c r="A432">
        <v>431</v>
      </c>
      <c r="B432" t="str">
        <f>"300081"</f>
        <v>300081</v>
      </c>
      <c r="C432" t="s">
        <v>3581</v>
      </c>
      <c r="D432">
        <v>9.86</v>
      </c>
      <c r="E432">
        <v>5.79</v>
      </c>
      <c r="F432">
        <v>0.54</v>
      </c>
      <c r="G432" t="s">
        <v>3582</v>
      </c>
      <c r="H432">
        <v>6146</v>
      </c>
      <c r="I432">
        <v>9.86</v>
      </c>
      <c r="J432">
        <v>9.87</v>
      </c>
      <c r="K432" t="s">
        <v>3575</v>
      </c>
      <c r="L432">
        <v>8.21</v>
      </c>
      <c r="M432" t="s">
        <v>46</v>
      </c>
      <c r="N432" t="s">
        <v>3583</v>
      </c>
      <c r="O432">
        <v>9.92</v>
      </c>
      <c r="P432">
        <v>9.3</v>
      </c>
      <c r="Q432">
        <v>9.3</v>
      </c>
      <c r="R432">
        <v>9.32</v>
      </c>
      <c r="S432">
        <v>6.65</v>
      </c>
      <c r="T432">
        <v>1.16</v>
      </c>
      <c r="U432">
        <v>-11.27</v>
      </c>
      <c r="V432">
        <v>-1570</v>
      </c>
      <c r="W432">
        <v>9.69</v>
      </c>
      <c r="X432" t="s">
        <v>3584</v>
      </c>
      <c r="Y432" t="s">
        <v>3410</v>
      </c>
      <c r="Z432">
        <v>0.62</v>
      </c>
      <c r="AA432">
        <v>28</v>
      </c>
      <c r="AB432">
        <v>1428</v>
      </c>
      <c r="AC432">
        <v>3.43</v>
      </c>
      <c r="AD432" t="s">
        <v>3585</v>
      </c>
      <c r="AE432" t="s">
        <v>3586</v>
      </c>
      <c r="AF432" t="s">
        <v>3587</v>
      </c>
      <c r="AG432" t="s">
        <v>3588</v>
      </c>
      <c r="AH432">
        <v>-0.8</v>
      </c>
      <c r="AI432">
        <v>-0.8</v>
      </c>
      <c r="AJ432">
        <v>20.9</v>
      </c>
      <c r="AK432">
        <v>43.66</v>
      </c>
      <c r="AL432">
        <v>1</v>
      </c>
      <c r="AM432">
        <v>5.79</v>
      </c>
      <c r="AN432">
        <v>47.83</v>
      </c>
      <c r="AO432">
        <v>14.52</v>
      </c>
      <c r="AP432">
        <v>28.55</v>
      </c>
    </row>
    <row r="433" spans="1:42">
      <c r="A433">
        <v>432</v>
      </c>
      <c r="B433" t="str">
        <f>"603982"</f>
        <v>603982</v>
      </c>
      <c r="C433" t="s">
        <v>3589</v>
      </c>
      <c r="D433">
        <v>16.88</v>
      </c>
      <c r="E433">
        <v>1.81</v>
      </c>
      <c r="F433">
        <v>0.3</v>
      </c>
      <c r="G433" t="s">
        <v>290</v>
      </c>
      <c r="H433">
        <v>2207</v>
      </c>
      <c r="I433">
        <v>16.88</v>
      </c>
      <c r="J433">
        <v>16.89</v>
      </c>
      <c r="K433" t="s">
        <v>3575</v>
      </c>
      <c r="L433">
        <v>9.86</v>
      </c>
      <c r="M433" t="s">
        <v>46</v>
      </c>
      <c r="N433" t="s">
        <v>3590</v>
      </c>
      <c r="O433">
        <v>17.42</v>
      </c>
      <c r="P433">
        <v>16.01</v>
      </c>
      <c r="Q433">
        <v>16.54</v>
      </c>
      <c r="R433">
        <v>16.58</v>
      </c>
      <c r="S433">
        <v>8.5</v>
      </c>
      <c r="T433">
        <v>2.48</v>
      </c>
      <c r="U433">
        <v>0.38</v>
      </c>
      <c r="V433">
        <v>9</v>
      </c>
      <c r="W433">
        <v>16.78</v>
      </c>
      <c r="X433" t="s">
        <v>1908</v>
      </c>
      <c r="Y433" t="s">
        <v>1937</v>
      </c>
      <c r="Z433">
        <v>0.99</v>
      </c>
      <c r="AA433">
        <v>529</v>
      </c>
      <c r="AB433">
        <v>236</v>
      </c>
      <c r="AC433">
        <v>1.9</v>
      </c>
      <c r="AD433" t="s">
        <v>3591</v>
      </c>
      <c r="AE433" t="s">
        <v>3592</v>
      </c>
      <c r="AF433" t="s">
        <v>3593</v>
      </c>
      <c r="AG433" t="s">
        <v>3594</v>
      </c>
      <c r="AH433">
        <v>4.2</v>
      </c>
      <c r="AI433">
        <v>4.65</v>
      </c>
      <c r="AJ433">
        <v>21.14</v>
      </c>
      <c r="AK433">
        <v>29.76</v>
      </c>
      <c r="AL433">
        <v>2</v>
      </c>
      <c r="AM433">
        <v>1.81</v>
      </c>
      <c r="AN433">
        <v>-16.77</v>
      </c>
      <c r="AO433">
        <v>2.61</v>
      </c>
      <c r="AP433">
        <v>-26.22</v>
      </c>
    </row>
    <row r="434" spans="1:42">
      <c r="A434">
        <v>433</v>
      </c>
      <c r="B434" t="str">
        <f>"000983"</f>
        <v>000983</v>
      </c>
      <c r="C434" t="s">
        <v>3595</v>
      </c>
      <c r="D434">
        <v>9.88</v>
      </c>
      <c r="E434">
        <v>1.54</v>
      </c>
      <c r="F434">
        <v>0.15</v>
      </c>
      <c r="G434" t="s">
        <v>412</v>
      </c>
      <c r="H434">
        <v>3290</v>
      </c>
      <c r="I434">
        <v>9.87</v>
      </c>
      <c r="J434">
        <v>9.88</v>
      </c>
      <c r="K434" t="s">
        <v>1677</v>
      </c>
      <c r="L434">
        <v>0.89</v>
      </c>
      <c r="M434" t="s">
        <v>46</v>
      </c>
      <c r="N434" t="s">
        <v>3596</v>
      </c>
      <c r="O434">
        <v>9.92</v>
      </c>
      <c r="P434">
        <v>9.74</v>
      </c>
      <c r="Q434">
        <v>9.76</v>
      </c>
      <c r="R434">
        <v>9.73</v>
      </c>
      <c r="S434">
        <v>1.85</v>
      </c>
      <c r="T434">
        <v>0.53</v>
      </c>
      <c r="U434">
        <v>-67.85</v>
      </c>
      <c r="V434" t="s">
        <v>3597</v>
      </c>
      <c r="W434">
        <v>9.86</v>
      </c>
      <c r="X434" t="s">
        <v>172</v>
      </c>
      <c r="Y434" t="s">
        <v>3598</v>
      </c>
      <c r="Z434">
        <v>0.72</v>
      </c>
      <c r="AA434">
        <v>373</v>
      </c>
      <c r="AB434">
        <v>3403</v>
      </c>
      <c r="AC434">
        <v>1.52</v>
      </c>
      <c r="AD434" t="s">
        <v>3599</v>
      </c>
      <c r="AE434" t="s">
        <v>3600</v>
      </c>
      <c r="AF434" t="s">
        <v>3601</v>
      </c>
      <c r="AG434" t="s">
        <v>3602</v>
      </c>
      <c r="AH434">
        <v>1.54</v>
      </c>
      <c r="AI434">
        <v>7.98</v>
      </c>
      <c r="AJ434">
        <v>3.74</v>
      </c>
      <c r="AK434">
        <v>9.35</v>
      </c>
      <c r="AL434">
        <v>1</v>
      </c>
      <c r="AM434">
        <v>1.54</v>
      </c>
      <c r="AN434">
        <v>-5.45</v>
      </c>
      <c r="AO434">
        <v>14.48</v>
      </c>
      <c r="AP434">
        <v>-9.44</v>
      </c>
    </row>
    <row r="435" spans="1:42">
      <c r="A435">
        <v>434</v>
      </c>
      <c r="B435" t="str">
        <f>"600249"</f>
        <v>600249</v>
      </c>
      <c r="C435" t="s">
        <v>3603</v>
      </c>
      <c r="D435">
        <v>6.05</v>
      </c>
      <c r="E435">
        <v>4.31</v>
      </c>
      <c r="F435">
        <v>0.25</v>
      </c>
      <c r="G435" t="s">
        <v>3604</v>
      </c>
      <c r="H435">
        <v>3168</v>
      </c>
      <c r="I435">
        <v>6.05</v>
      </c>
      <c r="J435">
        <v>6.06</v>
      </c>
      <c r="K435" t="s">
        <v>3605</v>
      </c>
      <c r="L435">
        <v>11.78</v>
      </c>
      <c r="M435" t="s">
        <v>46</v>
      </c>
      <c r="N435" t="s">
        <v>3606</v>
      </c>
      <c r="O435">
        <v>6.38</v>
      </c>
      <c r="P435">
        <v>5.8</v>
      </c>
      <c r="Q435">
        <v>5.81</v>
      </c>
      <c r="R435">
        <v>5.8</v>
      </c>
      <c r="S435">
        <v>10</v>
      </c>
      <c r="T435">
        <v>4.75</v>
      </c>
      <c r="U435">
        <v>50.47</v>
      </c>
      <c r="V435">
        <v>1659</v>
      </c>
      <c r="W435">
        <v>6.18</v>
      </c>
      <c r="X435" t="s">
        <v>1684</v>
      </c>
      <c r="Y435" t="s">
        <v>1347</v>
      </c>
      <c r="Z435">
        <v>1.57</v>
      </c>
      <c r="AA435">
        <v>1293</v>
      </c>
      <c r="AB435">
        <v>99</v>
      </c>
      <c r="AC435">
        <v>1.56</v>
      </c>
      <c r="AD435" t="s">
        <v>3607</v>
      </c>
      <c r="AE435" t="s">
        <v>3608</v>
      </c>
      <c r="AF435" t="s">
        <v>3607</v>
      </c>
      <c r="AG435" t="s">
        <v>3608</v>
      </c>
      <c r="AH435">
        <v>3.24</v>
      </c>
      <c r="AI435">
        <v>3.6</v>
      </c>
      <c r="AJ435">
        <v>14.86</v>
      </c>
      <c r="AK435">
        <v>24.19</v>
      </c>
      <c r="AL435">
        <v>2</v>
      </c>
      <c r="AM435">
        <v>4.31</v>
      </c>
      <c r="AN435">
        <v>15.24</v>
      </c>
      <c r="AO435">
        <v>10</v>
      </c>
      <c r="AP435">
        <v>9.01</v>
      </c>
    </row>
    <row r="436" spans="1:42">
      <c r="A436">
        <v>435</v>
      </c>
      <c r="B436" t="str">
        <f>"300969"</f>
        <v>300969</v>
      </c>
      <c r="C436" t="s">
        <v>3609</v>
      </c>
      <c r="D436">
        <v>97.5</v>
      </c>
      <c r="E436">
        <v>-2.7</v>
      </c>
      <c r="F436">
        <v>-2.71</v>
      </c>
      <c r="G436" t="s">
        <v>2337</v>
      </c>
      <c r="H436">
        <v>791</v>
      </c>
      <c r="I436">
        <v>97.5</v>
      </c>
      <c r="J436">
        <v>97.56</v>
      </c>
      <c r="K436" t="s">
        <v>3605</v>
      </c>
      <c r="L436">
        <v>20.92</v>
      </c>
      <c r="M436" t="s">
        <v>46</v>
      </c>
      <c r="N436" t="s">
        <v>3610</v>
      </c>
      <c r="O436">
        <v>99.84</v>
      </c>
      <c r="P436">
        <v>93.89</v>
      </c>
      <c r="Q436">
        <v>98.21</v>
      </c>
      <c r="R436">
        <v>100.21</v>
      </c>
      <c r="S436">
        <v>5.94</v>
      </c>
      <c r="T436">
        <v>0.94</v>
      </c>
      <c r="U436">
        <v>22.47</v>
      </c>
      <c r="V436">
        <v>16</v>
      </c>
      <c r="W436">
        <v>95.7</v>
      </c>
      <c r="X436" t="s">
        <v>3611</v>
      </c>
      <c r="Y436" t="s">
        <v>2694</v>
      </c>
      <c r="Z436">
        <v>1.2</v>
      </c>
      <c r="AA436">
        <v>13</v>
      </c>
      <c r="AB436">
        <v>2</v>
      </c>
      <c r="AC436">
        <v>7.47</v>
      </c>
      <c r="AD436" t="s">
        <v>3612</v>
      </c>
      <c r="AE436" t="s">
        <v>3613</v>
      </c>
      <c r="AF436" t="s">
        <v>3614</v>
      </c>
      <c r="AG436" t="s">
        <v>3615</v>
      </c>
      <c r="AH436">
        <v>-15.25</v>
      </c>
      <c r="AI436">
        <v>-2.69</v>
      </c>
      <c r="AJ436">
        <v>76.58</v>
      </c>
      <c r="AK436">
        <v>131.71</v>
      </c>
      <c r="AL436">
        <v>-2</v>
      </c>
      <c r="AM436">
        <v>-2.7</v>
      </c>
      <c r="AN436">
        <v>48.18</v>
      </c>
      <c r="AO436">
        <v>14.71</v>
      </c>
      <c r="AP436">
        <v>32.28</v>
      </c>
    </row>
    <row r="437" spans="1:42">
      <c r="A437">
        <v>436</v>
      </c>
      <c r="B437" t="str">
        <f>"300520"</f>
        <v>300520</v>
      </c>
      <c r="C437" t="s">
        <v>3616</v>
      </c>
      <c r="D437">
        <v>23.3</v>
      </c>
      <c r="E437">
        <v>5.91</v>
      </c>
      <c r="F437">
        <v>1.3</v>
      </c>
      <c r="G437" t="s">
        <v>1470</v>
      </c>
      <c r="H437">
        <v>3751</v>
      </c>
      <c r="I437">
        <v>23.3</v>
      </c>
      <c r="J437">
        <v>23.31</v>
      </c>
      <c r="K437" t="s">
        <v>3617</v>
      </c>
      <c r="L437">
        <v>7.46</v>
      </c>
      <c r="M437" t="s">
        <v>46</v>
      </c>
      <c r="N437" t="s">
        <v>2744</v>
      </c>
      <c r="O437">
        <v>23.33</v>
      </c>
      <c r="P437">
        <v>22.33</v>
      </c>
      <c r="Q437">
        <v>22.36</v>
      </c>
      <c r="R437">
        <v>22</v>
      </c>
      <c r="S437">
        <v>4.55</v>
      </c>
      <c r="T437">
        <v>1.98</v>
      </c>
      <c r="U437">
        <v>-26.18</v>
      </c>
      <c r="V437">
        <v>-659</v>
      </c>
      <c r="W437">
        <v>22.99</v>
      </c>
      <c r="X437" t="s">
        <v>3618</v>
      </c>
      <c r="Y437" t="s">
        <v>1232</v>
      </c>
      <c r="Z437">
        <v>0.73</v>
      </c>
      <c r="AA437">
        <v>545</v>
      </c>
      <c r="AB437">
        <v>232</v>
      </c>
      <c r="AC437">
        <v>3.77</v>
      </c>
      <c r="AD437" t="s">
        <v>3619</v>
      </c>
      <c r="AE437" t="s">
        <v>3620</v>
      </c>
      <c r="AF437" t="s">
        <v>3621</v>
      </c>
      <c r="AG437" t="s">
        <v>3622</v>
      </c>
      <c r="AH437">
        <v>2.42</v>
      </c>
      <c r="AI437">
        <v>2.6</v>
      </c>
      <c r="AJ437">
        <v>14.35</v>
      </c>
      <c r="AK437">
        <v>26.27</v>
      </c>
      <c r="AL437">
        <v>1</v>
      </c>
      <c r="AM437">
        <v>5.91</v>
      </c>
      <c r="AN437">
        <v>46.91</v>
      </c>
      <c r="AO437">
        <v>8.22</v>
      </c>
      <c r="AP437">
        <v>31.34</v>
      </c>
    </row>
    <row r="438" spans="1:42">
      <c r="A438">
        <v>437</v>
      </c>
      <c r="B438" t="str">
        <f>"601666"</f>
        <v>601666</v>
      </c>
      <c r="C438" t="s">
        <v>3623</v>
      </c>
      <c r="D438">
        <v>11.68</v>
      </c>
      <c r="E438">
        <v>-0.51</v>
      </c>
      <c r="F438">
        <v>-0.06</v>
      </c>
      <c r="G438" t="s">
        <v>1842</v>
      </c>
      <c r="H438">
        <v>1585</v>
      </c>
      <c r="I438">
        <v>11.68</v>
      </c>
      <c r="J438">
        <v>11.69</v>
      </c>
      <c r="K438" t="s">
        <v>3624</v>
      </c>
      <c r="L438">
        <v>1.48</v>
      </c>
      <c r="M438" t="s">
        <v>46</v>
      </c>
      <c r="N438" t="s">
        <v>3625</v>
      </c>
      <c r="O438">
        <v>11.82</v>
      </c>
      <c r="P438">
        <v>11.6</v>
      </c>
      <c r="Q438">
        <v>11.74</v>
      </c>
      <c r="R438">
        <v>11.74</v>
      </c>
      <c r="S438">
        <v>1.87</v>
      </c>
      <c r="T438">
        <v>0.74</v>
      </c>
      <c r="U438">
        <v>-15.52</v>
      </c>
      <c r="V438">
        <v>-1202</v>
      </c>
      <c r="W438">
        <v>11.68</v>
      </c>
      <c r="X438" t="s">
        <v>859</v>
      </c>
      <c r="Y438" t="s">
        <v>3584</v>
      </c>
      <c r="Z438">
        <v>1.14</v>
      </c>
      <c r="AA438">
        <v>257</v>
      </c>
      <c r="AB438">
        <v>315</v>
      </c>
      <c r="AC438">
        <v>1.21</v>
      </c>
      <c r="AD438" t="s">
        <v>3626</v>
      </c>
      <c r="AE438" t="s">
        <v>3627</v>
      </c>
      <c r="AF438" t="s">
        <v>3628</v>
      </c>
      <c r="AG438" t="s">
        <v>3629</v>
      </c>
      <c r="AH438">
        <v>3.91</v>
      </c>
      <c r="AI438">
        <v>8.35</v>
      </c>
      <c r="AJ438">
        <v>6.68</v>
      </c>
      <c r="AK438">
        <v>11.44</v>
      </c>
      <c r="AL438">
        <v>-2</v>
      </c>
      <c r="AM438">
        <v>-0.51</v>
      </c>
      <c r="AN438">
        <v>17.51</v>
      </c>
      <c r="AO438">
        <v>16.68</v>
      </c>
      <c r="AP438">
        <v>15.99</v>
      </c>
    </row>
    <row r="439" spans="1:42">
      <c r="A439">
        <v>438</v>
      </c>
      <c r="B439" t="str">
        <f>"601658"</f>
        <v>601658</v>
      </c>
      <c r="C439" t="s">
        <v>3630</v>
      </c>
      <c r="D439">
        <v>4.42</v>
      </c>
      <c r="E439">
        <v>0.68</v>
      </c>
      <c r="F439">
        <v>0.03</v>
      </c>
      <c r="G439" t="s">
        <v>964</v>
      </c>
      <c r="H439">
        <v>9950</v>
      </c>
      <c r="I439">
        <v>4.42</v>
      </c>
      <c r="J439">
        <v>4.43</v>
      </c>
      <c r="K439" t="s">
        <v>3631</v>
      </c>
      <c r="L439">
        <v>0.13</v>
      </c>
      <c r="M439" t="s">
        <v>46</v>
      </c>
      <c r="N439" t="s">
        <v>3632</v>
      </c>
      <c r="O439">
        <v>4.44</v>
      </c>
      <c r="P439">
        <v>4.39</v>
      </c>
      <c r="Q439">
        <v>4.39</v>
      </c>
      <c r="R439">
        <v>4.39</v>
      </c>
      <c r="S439">
        <v>1.14</v>
      </c>
      <c r="T439">
        <v>0.77</v>
      </c>
      <c r="U439">
        <v>-35.48</v>
      </c>
      <c r="V439" t="s">
        <v>3633</v>
      </c>
      <c r="W439">
        <v>4.42</v>
      </c>
      <c r="X439" t="s">
        <v>479</v>
      </c>
      <c r="Y439" t="s">
        <v>3634</v>
      </c>
      <c r="Z439">
        <v>0.82</v>
      </c>
      <c r="AA439">
        <v>1906</v>
      </c>
      <c r="AB439" t="s">
        <v>2547</v>
      </c>
      <c r="AC439">
        <v>0.57</v>
      </c>
      <c r="AD439" t="s">
        <v>3635</v>
      </c>
      <c r="AE439" t="s">
        <v>3636</v>
      </c>
      <c r="AF439" t="s">
        <v>3637</v>
      </c>
      <c r="AG439" t="s">
        <v>3638</v>
      </c>
      <c r="AH439">
        <v>-0.67</v>
      </c>
      <c r="AI439">
        <v>-2.43</v>
      </c>
      <c r="AJ439">
        <v>0.57</v>
      </c>
      <c r="AK439">
        <v>1.01</v>
      </c>
      <c r="AL439">
        <v>2</v>
      </c>
      <c r="AM439">
        <v>0.68</v>
      </c>
      <c r="AN439">
        <v>1.38</v>
      </c>
      <c r="AO439">
        <v>-4.74</v>
      </c>
      <c r="AP439">
        <v>8.87</v>
      </c>
    </row>
    <row r="440" spans="1:42">
      <c r="A440">
        <v>439</v>
      </c>
      <c r="B440" t="str">
        <f>"300609"</f>
        <v>300609</v>
      </c>
      <c r="C440" t="s">
        <v>3639</v>
      </c>
      <c r="D440">
        <v>32.15</v>
      </c>
      <c r="E440">
        <v>1.58</v>
      </c>
      <c r="F440">
        <v>0.5</v>
      </c>
      <c r="G440" t="s">
        <v>1986</v>
      </c>
      <c r="H440">
        <v>2206</v>
      </c>
      <c r="I440">
        <v>32.15</v>
      </c>
      <c r="J440">
        <v>32.16</v>
      </c>
      <c r="K440" t="s">
        <v>3631</v>
      </c>
      <c r="L440">
        <v>13.17</v>
      </c>
      <c r="M440" t="s">
        <v>46</v>
      </c>
      <c r="N440" t="s">
        <v>3640</v>
      </c>
      <c r="O440">
        <v>32.33</v>
      </c>
      <c r="P440">
        <v>30.85</v>
      </c>
      <c r="Q440">
        <v>31.24</v>
      </c>
      <c r="R440">
        <v>31.65</v>
      </c>
      <c r="S440">
        <v>4.68</v>
      </c>
      <c r="T440">
        <v>1.09</v>
      </c>
      <c r="U440">
        <v>-69.45</v>
      </c>
      <c r="V440">
        <v>-1355</v>
      </c>
      <c r="W440">
        <v>31.72</v>
      </c>
      <c r="X440" t="s">
        <v>3641</v>
      </c>
      <c r="Y440" t="s">
        <v>3642</v>
      </c>
      <c r="Z440">
        <v>0.98</v>
      </c>
      <c r="AA440">
        <v>158</v>
      </c>
      <c r="AB440">
        <v>124</v>
      </c>
      <c r="AC440">
        <v>3.67</v>
      </c>
      <c r="AD440" t="s">
        <v>3643</v>
      </c>
      <c r="AE440" t="s">
        <v>3644</v>
      </c>
      <c r="AF440" t="s">
        <v>3645</v>
      </c>
      <c r="AG440" t="s">
        <v>3646</v>
      </c>
      <c r="AH440">
        <v>0.31</v>
      </c>
      <c r="AI440">
        <v>0.78</v>
      </c>
      <c r="AJ440">
        <v>35.16</v>
      </c>
      <c r="AK440">
        <v>73.66</v>
      </c>
      <c r="AL440">
        <v>2</v>
      </c>
      <c r="AM440">
        <v>1.58</v>
      </c>
      <c r="AN440">
        <v>107.69</v>
      </c>
      <c r="AO440">
        <v>34.29</v>
      </c>
      <c r="AP440">
        <v>95.44</v>
      </c>
    </row>
    <row r="441" spans="1:42">
      <c r="A441">
        <v>440</v>
      </c>
      <c r="B441" t="str">
        <f>"002269"</f>
        <v>002269</v>
      </c>
      <c r="C441" t="s">
        <v>3647</v>
      </c>
      <c r="D441">
        <v>1.99</v>
      </c>
      <c r="E441">
        <v>9.94</v>
      </c>
      <c r="F441">
        <v>0.18</v>
      </c>
      <c r="G441" t="s">
        <v>3648</v>
      </c>
      <c r="H441">
        <v>4983</v>
      </c>
      <c r="I441">
        <v>1.99</v>
      </c>
      <c r="J441" t="s">
        <v>76</v>
      </c>
      <c r="K441" t="s">
        <v>3649</v>
      </c>
      <c r="L441">
        <v>8.17</v>
      </c>
      <c r="M441" t="s">
        <v>46</v>
      </c>
      <c r="N441" t="s">
        <v>3650</v>
      </c>
      <c r="O441">
        <v>1.99</v>
      </c>
      <c r="P441">
        <v>1.79</v>
      </c>
      <c r="Q441">
        <v>1.79</v>
      </c>
      <c r="R441">
        <v>1.81</v>
      </c>
      <c r="S441">
        <v>11.05</v>
      </c>
      <c r="T441">
        <v>3.12</v>
      </c>
      <c r="U441">
        <v>100</v>
      </c>
      <c r="V441" t="s">
        <v>2096</v>
      </c>
      <c r="W441">
        <v>1.93</v>
      </c>
      <c r="X441" t="s">
        <v>3281</v>
      </c>
      <c r="Y441" t="s">
        <v>3651</v>
      </c>
      <c r="Z441">
        <v>0.72</v>
      </c>
      <c r="AA441" t="s">
        <v>1934</v>
      </c>
      <c r="AB441">
        <v>0</v>
      </c>
      <c r="AC441">
        <v>17.84</v>
      </c>
      <c r="AD441" t="s">
        <v>3652</v>
      </c>
      <c r="AE441" t="s">
        <v>3653</v>
      </c>
      <c r="AF441" t="s">
        <v>3652</v>
      </c>
      <c r="AG441" t="s">
        <v>3653</v>
      </c>
      <c r="AH441">
        <v>11.17</v>
      </c>
      <c r="AI441">
        <v>7.57</v>
      </c>
      <c r="AJ441">
        <v>15.1</v>
      </c>
      <c r="AK441">
        <v>21.26</v>
      </c>
      <c r="AL441">
        <v>2</v>
      </c>
      <c r="AM441">
        <v>9.94</v>
      </c>
      <c r="AN441">
        <v>-1.49</v>
      </c>
      <c r="AO441">
        <v>13.07</v>
      </c>
      <c r="AP441">
        <v>13.07</v>
      </c>
    </row>
    <row r="442" spans="1:42">
      <c r="A442">
        <v>441</v>
      </c>
      <c r="B442" t="str">
        <f>"600104"</f>
        <v>600104</v>
      </c>
      <c r="C442" t="s">
        <v>3654</v>
      </c>
      <c r="D442">
        <v>14.86</v>
      </c>
      <c r="E442">
        <v>-0.13</v>
      </c>
      <c r="F442">
        <v>-0.02</v>
      </c>
      <c r="G442" t="s">
        <v>1885</v>
      </c>
      <c r="H442">
        <v>1977</v>
      </c>
      <c r="I442">
        <v>14.86</v>
      </c>
      <c r="J442">
        <v>14.87</v>
      </c>
      <c r="K442" t="s">
        <v>3649</v>
      </c>
      <c r="L442">
        <v>0.23</v>
      </c>
      <c r="M442" t="s">
        <v>46</v>
      </c>
      <c r="N442" t="s">
        <v>3655</v>
      </c>
      <c r="O442">
        <v>14.89</v>
      </c>
      <c r="P442">
        <v>14.65</v>
      </c>
      <c r="Q442">
        <v>14.85</v>
      </c>
      <c r="R442">
        <v>14.88</v>
      </c>
      <c r="S442">
        <v>1.61</v>
      </c>
      <c r="T442">
        <v>0.56</v>
      </c>
      <c r="U442">
        <v>-69.09</v>
      </c>
      <c r="V442">
        <v>-2489</v>
      </c>
      <c r="W442">
        <v>14.81</v>
      </c>
      <c r="X442" t="s">
        <v>1759</v>
      </c>
      <c r="Y442" t="s">
        <v>368</v>
      </c>
      <c r="Z442">
        <v>0.99</v>
      </c>
      <c r="AA442">
        <v>28</v>
      </c>
      <c r="AB442">
        <v>57</v>
      </c>
      <c r="AC442">
        <v>0.61</v>
      </c>
      <c r="AD442" t="s">
        <v>3656</v>
      </c>
      <c r="AE442" t="s">
        <v>3657</v>
      </c>
      <c r="AF442" t="s">
        <v>3656</v>
      </c>
      <c r="AG442" t="s">
        <v>3657</v>
      </c>
      <c r="AH442">
        <v>-3.32</v>
      </c>
      <c r="AI442">
        <v>1.16</v>
      </c>
      <c r="AJ442">
        <v>0.76</v>
      </c>
      <c r="AK442">
        <v>2.27</v>
      </c>
      <c r="AL442">
        <v>-4</v>
      </c>
      <c r="AM442">
        <v>-0.13</v>
      </c>
      <c r="AN442">
        <v>5.61</v>
      </c>
      <c r="AO442">
        <v>0.2</v>
      </c>
      <c r="AP442">
        <v>5.46</v>
      </c>
    </row>
    <row r="443" spans="1:42">
      <c r="A443">
        <v>442</v>
      </c>
      <c r="B443" t="str">
        <f>"603283"</f>
        <v>603283</v>
      </c>
      <c r="C443" t="s">
        <v>3658</v>
      </c>
      <c r="D443">
        <v>76.81</v>
      </c>
      <c r="E443">
        <v>-0.14</v>
      </c>
      <c r="F443">
        <v>-0.11</v>
      </c>
      <c r="G443" t="s">
        <v>3659</v>
      </c>
      <c r="H443">
        <v>624</v>
      </c>
      <c r="I443">
        <v>76.81</v>
      </c>
      <c r="J443">
        <v>76.82</v>
      </c>
      <c r="K443" t="s">
        <v>3660</v>
      </c>
      <c r="L443">
        <v>2.78</v>
      </c>
      <c r="M443" t="s">
        <v>46</v>
      </c>
      <c r="N443" t="s">
        <v>3661</v>
      </c>
      <c r="O443">
        <v>77.9</v>
      </c>
      <c r="P443">
        <v>74.91</v>
      </c>
      <c r="Q443">
        <v>77.5</v>
      </c>
      <c r="R443">
        <v>76.92</v>
      </c>
      <c r="S443">
        <v>3.89</v>
      </c>
      <c r="T443">
        <v>0.66</v>
      </c>
      <c r="U443">
        <v>-16.18</v>
      </c>
      <c r="V443">
        <v>-22</v>
      </c>
      <c r="W443">
        <v>76.53</v>
      </c>
      <c r="X443" t="s">
        <v>2388</v>
      </c>
      <c r="Y443" t="s">
        <v>3662</v>
      </c>
      <c r="Z443">
        <v>1.1</v>
      </c>
      <c r="AA443">
        <v>9</v>
      </c>
      <c r="AB443">
        <v>50</v>
      </c>
      <c r="AC443">
        <v>7.28</v>
      </c>
      <c r="AD443" t="s">
        <v>3663</v>
      </c>
      <c r="AE443" t="s">
        <v>1880</v>
      </c>
      <c r="AF443" t="s">
        <v>3664</v>
      </c>
      <c r="AG443" t="s">
        <v>3665</v>
      </c>
      <c r="AH443">
        <v>-0.76</v>
      </c>
      <c r="AI443">
        <v>-1.6</v>
      </c>
      <c r="AJ443">
        <v>9.78</v>
      </c>
      <c r="AK443">
        <v>23.69</v>
      </c>
      <c r="AL443">
        <v>-2</v>
      </c>
      <c r="AM443">
        <v>-0.14</v>
      </c>
      <c r="AN443">
        <v>160.37</v>
      </c>
      <c r="AO443">
        <v>40.94</v>
      </c>
      <c r="AP443">
        <v>92.07</v>
      </c>
    </row>
    <row r="444" spans="1:42">
      <c r="A444">
        <v>443</v>
      </c>
      <c r="B444" t="str">
        <f>"300978"</f>
        <v>300978</v>
      </c>
      <c r="C444" t="s">
        <v>3666</v>
      </c>
      <c r="D444">
        <v>15.63</v>
      </c>
      <c r="E444">
        <v>1.36</v>
      </c>
      <c r="F444">
        <v>0.21</v>
      </c>
      <c r="G444" t="s">
        <v>352</v>
      </c>
      <c r="H444">
        <v>6982</v>
      </c>
      <c r="I444">
        <v>15.63</v>
      </c>
      <c r="J444">
        <v>15.64</v>
      </c>
      <c r="K444" t="s">
        <v>3660</v>
      </c>
      <c r="L444">
        <v>19.29</v>
      </c>
      <c r="M444" t="s">
        <v>46</v>
      </c>
      <c r="N444" t="s">
        <v>2533</v>
      </c>
      <c r="O444">
        <v>15.78</v>
      </c>
      <c r="P444">
        <v>15.2</v>
      </c>
      <c r="Q444">
        <v>15.53</v>
      </c>
      <c r="R444">
        <v>15.42</v>
      </c>
      <c r="S444">
        <v>3.76</v>
      </c>
      <c r="T444">
        <v>0.7</v>
      </c>
      <c r="U444">
        <v>-28.9</v>
      </c>
      <c r="V444">
        <v>-734</v>
      </c>
      <c r="W444">
        <v>15.53</v>
      </c>
      <c r="X444" t="s">
        <v>44</v>
      </c>
      <c r="Y444" t="s">
        <v>1438</v>
      </c>
      <c r="Z444">
        <v>1.31</v>
      </c>
      <c r="AA444">
        <v>136</v>
      </c>
      <c r="AB444">
        <v>214</v>
      </c>
      <c r="AC444">
        <v>4.06</v>
      </c>
      <c r="AD444" t="s">
        <v>3667</v>
      </c>
      <c r="AE444" t="s">
        <v>3668</v>
      </c>
      <c r="AF444" t="s">
        <v>3669</v>
      </c>
      <c r="AG444" t="s">
        <v>3670</v>
      </c>
      <c r="AH444">
        <v>-13.17</v>
      </c>
      <c r="AI444">
        <v>6.62</v>
      </c>
      <c r="AJ444">
        <v>80.22</v>
      </c>
      <c r="AK444">
        <v>157.47</v>
      </c>
      <c r="AL444">
        <v>1</v>
      </c>
      <c r="AM444">
        <v>1.36</v>
      </c>
      <c r="AN444">
        <v>41.96</v>
      </c>
      <c r="AO444">
        <v>6.25</v>
      </c>
      <c r="AP444">
        <v>24.94</v>
      </c>
    </row>
    <row r="445" spans="1:42">
      <c r="A445">
        <v>444</v>
      </c>
      <c r="B445" t="str">
        <f>"600186"</f>
        <v>600186</v>
      </c>
      <c r="C445" t="s">
        <v>3671</v>
      </c>
      <c r="D445">
        <v>5.95</v>
      </c>
      <c r="E445">
        <v>-0.5</v>
      </c>
      <c r="F445">
        <v>-0.03</v>
      </c>
      <c r="G445" t="s">
        <v>3672</v>
      </c>
      <c r="H445">
        <v>6799</v>
      </c>
      <c r="I445">
        <v>5.94</v>
      </c>
      <c r="J445">
        <v>5.95</v>
      </c>
      <c r="K445" t="s">
        <v>3660</v>
      </c>
      <c r="L445">
        <v>3.71</v>
      </c>
      <c r="M445" t="s">
        <v>46</v>
      </c>
      <c r="N445" t="s">
        <v>3673</v>
      </c>
      <c r="O445">
        <v>6.06</v>
      </c>
      <c r="P445">
        <v>5.88</v>
      </c>
      <c r="Q445">
        <v>5.9</v>
      </c>
      <c r="R445">
        <v>5.98</v>
      </c>
      <c r="S445">
        <v>3.01</v>
      </c>
      <c r="T445">
        <v>0.82</v>
      </c>
      <c r="U445">
        <v>-10.67</v>
      </c>
      <c r="V445">
        <v>-2573</v>
      </c>
      <c r="W445">
        <v>5.96</v>
      </c>
      <c r="X445" t="s">
        <v>3674</v>
      </c>
      <c r="Y445" t="s">
        <v>2458</v>
      </c>
      <c r="Z445">
        <v>1.21</v>
      </c>
      <c r="AA445">
        <v>769</v>
      </c>
      <c r="AB445">
        <v>150</v>
      </c>
      <c r="AC445">
        <v>7.13</v>
      </c>
      <c r="AD445" t="s">
        <v>3675</v>
      </c>
      <c r="AE445" t="s">
        <v>3676</v>
      </c>
      <c r="AF445" t="s">
        <v>3677</v>
      </c>
      <c r="AG445" t="s">
        <v>3678</v>
      </c>
      <c r="AH445">
        <v>-2.62</v>
      </c>
      <c r="AI445">
        <v>-8.88</v>
      </c>
      <c r="AJ445">
        <v>15.33</v>
      </c>
      <c r="AK445">
        <v>26.36</v>
      </c>
      <c r="AL445">
        <v>-1</v>
      </c>
      <c r="AM445">
        <v>-0.5</v>
      </c>
      <c r="AN445">
        <v>119.56</v>
      </c>
      <c r="AO445">
        <v>-22.73</v>
      </c>
      <c r="AP445">
        <v>113.26</v>
      </c>
    </row>
    <row r="446" spans="1:42">
      <c r="A446">
        <v>445</v>
      </c>
      <c r="B446" t="str">
        <f>"300432"</f>
        <v>300432</v>
      </c>
      <c r="C446" t="s">
        <v>3679</v>
      </c>
      <c r="D446">
        <v>12.17</v>
      </c>
      <c r="E446">
        <v>-3.41</v>
      </c>
      <c r="F446">
        <v>-0.43</v>
      </c>
      <c r="G446" t="s">
        <v>1021</v>
      </c>
      <c r="H446">
        <v>3041</v>
      </c>
      <c r="I446">
        <v>12.17</v>
      </c>
      <c r="J446">
        <v>12.18</v>
      </c>
      <c r="K446" t="s">
        <v>3680</v>
      </c>
      <c r="L446">
        <v>2.68</v>
      </c>
      <c r="M446" t="s">
        <v>46</v>
      </c>
      <c r="N446" t="s">
        <v>3681</v>
      </c>
      <c r="O446">
        <v>12.59</v>
      </c>
      <c r="P446">
        <v>12.06</v>
      </c>
      <c r="Q446">
        <v>12.47</v>
      </c>
      <c r="R446">
        <v>12.6</v>
      </c>
      <c r="S446">
        <v>4.21</v>
      </c>
      <c r="T446">
        <v>0.86</v>
      </c>
      <c r="U446">
        <v>5.92</v>
      </c>
      <c r="V446">
        <v>312</v>
      </c>
      <c r="W446">
        <v>12.19</v>
      </c>
      <c r="X446" t="s">
        <v>868</v>
      </c>
      <c r="Y446" t="s">
        <v>1207</v>
      </c>
      <c r="Z446">
        <v>1.33</v>
      </c>
      <c r="AA446">
        <v>1204</v>
      </c>
      <c r="AB446">
        <v>913</v>
      </c>
      <c r="AC446">
        <v>3.58</v>
      </c>
      <c r="AD446" t="s">
        <v>3682</v>
      </c>
      <c r="AE446" t="s">
        <v>3683</v>
      </c>
      <c r="AF446" t="s">
        <v>3684</v>
      </c>
      <c r="AG446" t="s">
        <v>3685</v>
      </c>
      <c r="AH446">
        <v>-1.93</v>
      </c>
      <c r="AI446">
        <v>-2.95</v>
      </c>
      <c r="AJ446">
        <v>10.94</v>
      </c>
      <c r="AK446">
        <v>18.34</v>
      </c>
      <c r="AL446">
        <v>-1</v>
      </c>
      <c r="AM446">
        <v>-3.41</v>
      </c>
      <c r="AN446">
        <v>-14.48</v>
      </c>
      <c r="AO446">
        <v>12.69</v>
      </c>
      <c r="AP446">
        <v>-15.72</v>
      </c>
    </row>
    <row r="447" spans="1:42">
      <c r="A447">
        <v>446</v>
      </c>
      <c r="B447" t="str">
        <f>"831526"</f>
        <v>831526</v>
      </c>
      <c r="C447" t="s">
        <v>3686</v>
      </c>
      <c r="D447">
        <v>24.27</v>
      </c>
      <c r="E447">
        <v>-11.42</v>
      </c>
      <c r="F447">
        <v>-3.13</v>
      </c>
      <c r="G447" t="s">
        <v>3687</v>
      </c>
      <c r="H447">
        <v>1781</v>
      </c>
      <c r="I447">
        <v>24.27</v>
      </c>
      <c r="J447">
        <v>24.28</v>
      </c>
      <c r="K447" t="s">
        <v>3688</v>
      </c>
      <c r="L447">
        <v>63.43</v>
      </c>
      <c r="M447" t="s">
        <v>46</v>
      </c>
      <c r="N447" t="s">
        <v>3689</v>
      </c>
      <c r="O447">
        <v>27.9</v>
      </c>
      <c r="P447">
        <v>22.2</v>
      </c>
      <c r="Q447">
        <v>25</v>
      </c>
      <c r="R447">
        <v>27.4</v>
      </c>
      <c r="S447">
        <v>20.8</v>
      </c>
      <c r="T447">
        <v>1.12</v>
      </c>
      <c r="U447">
        <v>-83.42</v>
      </c>
      <c r="V447">
        <v>-564</v>
      </c>
      <c r="W447">
        <v>25.07</v>
      </c>
      <c r="X447" t="s">
        <v>3690</v>
      </c>
      <c r="Y447" t="s">
        <v>3691</v>
      </c>
      <c r="Z447">
        <v>1.06</v>
      </c>
      <c r="AA447">
        <v>20</v>
      </c>
      <c r="AB447">
        <v>50</v>
      </c>
      <c r="AC447">
        <v>9.81</v>
      </c>
      <c r="AD447" t="s">
        <v>3692</v>
      </c>
      <c r="AE447" t="s">
        <v>309</v>
      </c>
      <c r="AF447" t="s">
        <v>3693</v>
      </c>
      <c r="AG447" t="s">
        <v>3694</v>
      </c>
      <c r="AH447">
        <v>-11.42</v>
      </c>
      <c r="AI447">
        <v>26.87</v>
      </c>
      <c r="AJ447">
        <v>63.43</v>
      </c>
      <c r="AK447">
        <v>175.13</v>
      </c>
      <c r="AL447">
        <v>-1</v>
      </c>
      <c r="AM447">
        <v>-11.42</v>
      </c>
      <c r="AN447">
        <v>496.31</v>
      </c>
      <c r="AO447">
        <v>433.41</v>
      </c>
      <c r="AP447">
        <v>276.28</v>
      </c>
    </row>
    <row r="448" spans="1:42">
      <c r="A448">
        <v>447</v>
      </c>
      <c r="B448" t="str">
        <f>"601800"</f>
        <v>601800</v>
      </c>
      <c r="C448" t="s">
        <v>3695</v>
      </c>
      <c r="D448">
        <v>7.89</v>
      </c>
      <c r="E448">
        <v>2.47</v>
      </c>
      <c r="F448">
        <v>0.19</v>
      </c>
      <c r="G448" t="s">
        <v>2211</v>
      </c>
      <c r="H448">
        <v>4668</v>
      </c>
      <c r="I448">
        <v>7.89</v>
      </c>
      <c r="J448">
        <v>7.9</v>
      </c>
      <c r="K448" t="s">
        <v>3688</v>
      </c>
      <c r="L448">
        <v>0.43</v>
      </c>
      <c r="M448" t="s">
        <v>46</v>
      </c>
      <c r="N448" t="s">
        <v>3696</v>
      </c>
      <c r="O448">
        <v>7.9</v>
      </c>
      <c r="P448">
        <v>7.7</v>
      </c>
      <c r="Q448">
        <v>7.72</v>
      </c>
      <c r="R448">
        <v>7.7</v>
      </c>
      <c r="S448">
        <v>2.6</v>
      </c>
      <c r="T448">
        <v>1.42</v>
      </c>
      <c r="U448">
        <v>-21.72</v>
      </c>
      <c r="V448">
        <v>-6066</v>
      </c>
      <c r="W448">
        <v>7.82</v>
      </c>
      <c r="X448" t="s">
        <v>99</v>
      </c>
      <c r="Y448" t="s">
        <v>554</v>
      </c>
      <c r="Z448">
        <v>0.59</v>
      </c>
      <c r="AA448">
        <v>4060</v>
      </c>
      <c r="AB448">
        <v>5973</v>
      </c>
      <c r="AC448">
        <v>0.5</v>
      </c>
      <c r="AD448" t="s">
        <v>3697</v>
      </c>
      <c r="AE448" t="s">
        <v>3698</v>
      </c>
      <c r="AF448" t="s">
        <v>3699</v>
      </c>
      <c r="AG448" t="s">
        <v>3700</v>
      </c>
      <c r="AH448">
        <v>2.2</v>
      </c>
      <c r="AI448">
        <v>-0.38</v>
      </c>
      <c r="AJ448">
        <v>1.05</v>
      </c>
      <c r="AK448">
        <v>1.93</v>
      </c>
      <c r="AL448">
        <v>2</v>
      </c>
      <c r="AM448">
        <v>2.47</v>
      </c>
      <c r="AN448">
        <v>0.77</v>
      </c>
      <c r="AO448">
        <v>-1.38</v>
      </c>
      <c r="AP448">
        <v>4.09</v>
      </c>
    </row>
    <row r="449" spans="1:42">
      <c r="A449">
        <v>448</v>
      </c>
      <c r="B449" t="str">
        <f>"000757"</f>
        <v>000757</v>
      </c>
      <c r="C449" t="s">
        <v>3701</v>
      </c>
      <c r="D449">
        <v>5.47</v>
      </c>
      <c r="E449">
        <v>3.8</v>
      </c>
      <c r="F449">
        <v>0.2</v>
      </c>
      <c r="G449" t="s">
        <v>3702</v>
      </c>
      <c r="H449">
        <v>9828</v>
      </c>
      <c r="I449">
        <v>5.46</v>
      </c>
      <c r="J449">
        <v>5.47</v>
      </c>
      <c r="K449" t="s">
        <v>3688</v>
      </c>
      <c r="L449">
        <v>13.56</v>
      </c>
      <c r="M449" t="s">
        <v>46</v>
      </c>
      <c r="N449" t="s">
        <v>3703</v>
      </c>
      <c r="O449">
        <v>5.8</v>
      </c>
      <c r="P449">
        <v>5.16</v>
      </c>
      <c r="Q449">
        <v>5.29</v>
      </c>
      <c r="R449">
        <v>5.27</v>
      </c>
      <c r="S449">
        <v>12.14</v>
      </c>
      <c r="T449">
        <v>2.55</v>
      </c>
      <c r="U449">
        <v>-13.19</v>
      </c>
      <c r="V449">
        <v>-1345</v>
      </c>
      <c r="W449">
        <v>5.42</v>
      </c>
      <c r="X449" t="s">
        <v>1289</v>
      </c>
      <c r="Y449" t="s">
        <v>3704</v>
      </c>
      <c r="Z449">
        <v>1.19</v>
      </c>
      <c r="AA449">
        <v>629</v>
      </c>
      <c r="AB449">
        <v>2892</v>
      </c>
      <c r="AC449">
        <v>1.74</v>
      </c>
      <c r="AD449" t="s">
        <v>3705</v>
      </c>
      <c r="AE449" t="s">
        <v>3706</v>
      </c>
      <c r="AF449" t="s">
        <v>3705</v>
      </c>
      <c r="AG449" t="s">
        <v>3706</v>
      </c>
      <c r="AH449">
        <v>4.39</v>
      </c>
      <c r="AI449">
        <v>5.39</v>
      </c>
      <c r="AJ449">
        <v>28.96</v>
      </c>
      <c r="AK449">
        <v>40.15</v>
      </c>
      <c r="AL449">
        <v>5</v>
      </c>
      <c r="AM449">
        <v>3.8</v>
      </c>
      <c r="AN449">
        <v>32.13</v>
      </c>
      <c r="AO449">
        <v>12.09</v>
      </c>
      <c r="AP449">
        <v>30.24</v>
      </c>
    </row>
    <row r="450" spans="1:42">
      <c r="A450">
        <v>449</v>
      </c>
      <c r="B450" t="str">
        <f>"600188"</f>
        <v>600188</v>
      </c>
      <c r="C450" t="s">
        <v>3707</v>
      </c>
      <c r="D450">
        <v>20.67</v>
      </c>
      <c r="E450">
        <v>0.58</v>
      </c>
      <c r="F450">
        <v>0.12</v>
      </c>
      <c r="G450" t="s">
        <v>2382</v>
      </c>
      <c r="H450">
        <v>1300</v>
      </c>
      <c r="I450">
        <v>20.66</v>
      </c>
      <c r="J450">
        <v>20.67</v>
      </c>
      <c r="K450" t="s">
        <v>3708</v>
      </c>
      <c r="L450">
        <v>0.42</v>
      </c>
      <c r="M450" t="s">
        <v>46</v>
      </c>
      <c r="N450" t="s">
        <v>3709</v>
      </c>
      <c r="O450">
        <v>20.73</v>
      </c>
      <c r="P450">
        <v>20.51</v>
      </c>
      <c r="Q450">
        <v>20.55</v>
      </c>
      <c r="R450">
        <v>20.55</v>
      </c>
      <c r="S450">
        <v>1.07</v>
      </c>
      <c r="T450">
        <v>0.71</v>
      </c>
      <c r="U450">
        <v>-60.34</v>
      </c>
      <c r="V450">
        <v>-4239</v>
      </c>
      <c r="W450">
        <v>20.62</v>
      </c>
      <c r="X450" t="s">
        <v>3710</v>
      </c>
      <c r="Y450" t="s">
        <v>881</v>
      </c>
      <c r="Z450">
        <v>0.81</v>
      </c>
      <c r="AA450">
        <v>694</v>
      </c>
      <c r="AB450">
        <v>91</v>
      </c>
      <c r="AC450">
        <v>2.94</v>
      </c>
      <c r="AD450" t="s">
        <v>3711</v>
      </c>
      <c r="AE450" t="s">
        <v>3712</v>
      </c>
      <c r="AF450" t="s">
        <v>3713</v>
      </c>
      <c r="AG450" t="s">
        <v>3714</v>
      </c>
      <c r="AH450">
        <v>1.27</v>
      </c>
      <c r="AI450">
        <v>4.66</v>
      </c>
      <c r="AJ450">
        <v>1.44</v>
      </c>
      <c r="AK450">
        <v>3.4</v>
      </c>
      <c r="AL450">
        <v>1</v>
      </c>
      <c r="AM450">
        <v>0.58</v>
      </c>
      <c r="AN450">
        <v>5.89</v>
      </c>
      <c r="AO450">
        <v>7.15</v>
      </c>
      <c r="AP450">
        <v>-9.58</v>
      </c>
    </row>
    <row r="451" spans="1:42">
      <c r="A451">
        <v>450</v>
      </c>
      <c r="B451" t="str">
        <f>"603658"</f>
        <v>603658</v>
      </c>
      <c r="C451" t="s">
        <v>3715</v>
      </c>
      <c r="D451">
        <v>53.48</v>
      </c>
      <c r="E451">
        <v>4.15</v>
      </c>
      <c r="F451">
        <v>2.13</v>
      </c>
      <c r="G451" t="s">
        <v>3041</v>
      </c>
      <c r="H451">
        <v>395</v>
      </c>
      <c r="I451">
        <v>53.47</v>
      </c>
      <c r="J451">
        <v>53.48</v>
      </c>
      <c r="K451" t="s">
        <v>3708</v>
      </c>
      <c r="L451">
        <v>1.26</v>
      </c>
      <c r="M451" t="s">
        <v>46</v>
      </c>
      <c r="N451" t="s">
        <v>3390</v>
      </c>
      <c r="O451">
        <v>53.7</v>
      </c>
      <c r="P451">
        <v>50.84</v>
      </c>
      <c r="Q451">
        <v>51.3</v>
      </c>
      <c r="R451">
        <v>51.35</v>
      </c>
      <c r="S451">
        <v>5.57</v>
      </c>
      <c r="T451">
        <v>1.79</v>
      </c>
      <c r="U451">
        <v>-50.78</v>
      </c>
      <c r="V451">
        <v>-209</v>
      </c>
      <c r="W451">
        <v>52.84</v>
      </c>
      <c r="X451" t="s">
        <v>3716</v>
      </c>
      <c r="Y451" t="s">
        <v>1069</v>
      </c>
      <c r="Z451">
        <v>1.09</v>
      </c>
      <c r="AA451">
        <v>34</v>
      </c>
      <c r="AB451">
        <v>17</v>
      </c>
      <c r="AC451">
        <v>3.81</v>
      </c>
      <c r="AD451" t="s">
        <v>3717</v>
      </c>
      <c r="AE451" t="s">
        <v>3718</v>
      </c>
      <c r="AF451" t="s">
        <v>3717</v>
      </c>
      <c r="AG451" t="s">
        <v>3718</v>
      </c>
      <c r="AH451">
        <v>7.41</v>
      </c>
      <c r="AI451">
        <v>11.93</v>
      </c>
      <c r="AJ451">
        <v>3.16</v>
      </c>
      <c r="AK451">
        <v>4.78</v>
      </c>
      <c r="AL451">
        <v>2</v>
      </c>
      <c r="AM451">
        <v>4.15</v>
      </c>
      <c r="AN451">
        <v>-12.4</v>
      </c>
      <c r="AO451">
        <v>21.74</v>
      </c>
      <c r="AP451">
        <v>-11.37</v>
      </c>
    </row>
    <row r="452" spans="1:42">
      <c r="A452">
        <v>451</v>
      </c>
      <c r="B452" t="str">
        <f>"002757"</f>
        <v>002757</v>
      </c>
      <c r="C452" t="s">
        <v>3719</v>
      </c>
      <c r="D452">
        <v>17.39</v>
      </c>
      <c r="E452">
        <v>9.99</v>
      </c>
      <c r="F452">
        <v>1.58</v>
      </c>
      <c r="G452" t="s">
        <v>487</v>
      </c>
      <c r="H452">
        <v>1257</v>
      </c>
      <c r="I452">
        <v>17.39</v>
      </c>
      <c r="J452" t="s">
        <v>76</v>
      </c>
      <c r="K452" t="s">
        <v>3720</v>
      </c>
      <c r="L452">
        <v>8.3</v>
      </c>
      <c r="M452" t="s">
        <v>46</v>
      </c>
      <c r="N452" t="s">
        <v>3721</v>
      </c>
      <c r="O452">
        <v>17.39</v>
      </c>
      <c r="P452">
        <v>15.67</v>
      </c>
      <c r="Q452">
        <v>15.75</v>
      </c>
      <c r="R452">
        <v>15.81</v>
      </c>
      <c r="S452">
        <v>10.88</v>
      </c>
      <c r="T452">
        <v>2.42</v>
      </c>
      <c r="U452">
        <v>100</v>
      </c>
      <c r="V452" t="s">
        <v>3722</v>
      </c>
      <c r="W452">
        <v>16.66</v>
      </c>
      <c r="X452" t="s">
        <v>1915</v>
      </c>
      <c r="Y452" t="s">
        <v>881</v>
      </c>
      <c r="Z452">
        <v>1.24</v>
      </c>
      <c r="AA452" t="s">
        <v>3722</v>
      </c>
      <c r="AB452">
        <v>0</v>
      </c>
      <c r="AC452">
        <v>2.16</v>
      </c>
      <c r="AD452" t="s">
        <v>3723</v>
      </c>
      <c r="AE452" t="s">
        <v>3724</v>
      </c>
      <c r="AF452" t="s">
        <v>3725</v>
      </c>
      <c r="AG452" t="s">
        <v>3726</v>
      </c>
      <c r="AH452">
        <v>9.65</v>
      </c>
      <c r="AI452">
        <v>6.95</v>
      </c>
      <c r="AJ452">
        <v>13.4</v>
      </c>
      <c r="AK452">
        <v>25.47</v>
      </c>
      <c r="AL452">
        <v>2</v>
      </c>
      <c r="AM452">
        <v>9.99</v>
      </c>
      <c r="AN452">
        <v>74.77</v>
      </c>
      <c r="AO452">
        <v>16.63</v>
      </c>
      <c r="AP452">
        <v>54.44</v>
      </c>
    </row>
    <row r="453" spans="1:42">
      <c r="A453">
        <v>452</v>
      </c>
      <c r="B453" t="str">
        <f>"002273"</f>
        <v>002273</v>
      </c>
      <c r="C453" t="s">
        <v>3727</v>
      </c>
      <c r="D453">
        <v>12.93</v>
      </c>
      <c r="E453">
        <v>-0.92</v>
      </c>
      <c r="F453">
        <v>-0.12</v>
      </c>
      <c r="G453" t="s">
        <v>2458</v>
      </c>
      <c r="H453">
        <v>2350</v>
      </c>
      <c r="I453">
        <v>12.92</v>
      </c>
      <c r="J453">
        <v>12.93</v>
      </c>
      <c r="K453" t="s">
        <v>3728</v>
      </c>
      <c r="L453">
        <v>2.21</v>
      </c>
      <c r="M453" t="s">
        <v>46</v>
      </c>
      <c r="N453" t="s">
        <v>3729</v>
      </c>
      <c r="O453">
        <v>13.1</v>
      </c>
      <c r="P453">
        <v>12.87</v>
      </c>
      <c r="Q453">
        <v>13.05</v>
      </c>
      <c r="R453">
        <v>13.05</v>
      </c>
      <c r="S453">
        <v>1.76</v>
      </c>
      <c r="T453">
        <v>1.05</v>
      </c>
      <c r="U453">
        <v>3.26</v>
      </c>
      <c r="V453">
        <v>82</v>
      </c>
      <c r="W453">
        <v>12.99</v>
      </c>
      <c r="X453" t="s">
        <v>1470</v>
      </c>
      <c r="Y453" t="s">
        <v>2025</v>
      </c>
      <c r="Z453">
        <v>1.38</v>
      </c>
      <c r="AA453">
        <v>96</v>
      </c>
      <c r="AB453">
        <v>95</v>
      </c>
      <c r="AC453">
        <v>2.13</v>
      </c>
      <c r="AD453" t="s">
        <v>3730</v>
      </c>
      <c r="AE453" t="s">
        <v>3731</v>
      </c>
      <c r="AF453" t="s">
        <v>683</v>
      </c>
      <c r="AG453" t="s">
        <v>3732</v>
      </c>
      <c r="AH453">
        <v>-2.64</v>
      </c>
      <c r="AI453">
        <v>-1.67</v>
      </c>
      <c r="AJ453">
        <v>6.06</v>
      </c>
      <c r="AK453">
        <v>12.78</v>
      </c>
      <c r="AL453">
        <v>-4</v>
      </c>
      <c r="AM453">
        <v>-0.92</v>
      </c>
      <c r="AN453">
        <v>11.56</v>
      </c>
      <c r="AO453">
        <v>-6.03</v>
      </c>
      <c r="AP453">
        <v>7.39</v>
      </c>
    </row>
    <row r="454" spans="1:42">
      <c r="A454">
        <v>453</v>
      </c>
      <c r="B454" t="str">
        <f>"300042"</f>
        <v>300042</v>
      </c>
      <c r="C454" t="s">
        <v>3733</v>
      </c>
      <c r="D454">
        <v>40.34</v>
      </c>
      <c r="E454">
        <v>3.44</v>
      </c>
      <c r="F454">
        <v>1.34</v>
      </c>
      <c r="G454" t="s">
        <v>3734</v>
      </c>
      <c r="H454">
        <v>2188</v>
      </c>
      <c r="I454">
        <v>40.32</v>
      </c>
      <c r="J454">
        <v>40.34</v>
      </c>
      <c r="K454" t="s">
        <v>3735</v>
      </c>
      <c r="L454">
        <v>5.46</v>
      </c>
      <c r="M454" t="s">
        <v>46</v>
      </c>
      <c r="N454" t="s">
        <v>185</v>
      </c>
      <c r="O454">
        <v>40.4</v>
      </c>
      <c r="P454">
        <v>38.22</v>
      </c>
      <c r="Q454">
        <v>38.22</v>
      </c>
      <c r="R454">
        <v>39</v>
      </c>
      <c r="S454">
        <v>5.59</v>
      </c>
      <c r="T454">
        <v>0.86</v>
      </c>
      <c r="U454">
        <v>-28.6</v>
      </c>
      <c r="V454">
        <v>-302</v>
      </c>
      <c r="W454">
        <v>39.18</v>
      </c>
      <c r="X454" t="s">
        <v>3736</v>
      </c>
      <c r="Y454" t="s">
        <v>3737</v>
      </c>
      <c r="Z454">
        <v>1.03</v>
      </c>
      <c r="AA454">
        <v>7</v>
      </c>
      <c r="AB454">
        <v>432</v>
      </c>
      <c r="AC454">
        <v>7.11</v>
      </c>
      <c r="AD454" t="s">
        <v>3738</v>
      </c>
      <c r="AE454" t="s">
        <v>3739</v>
      </c>
      <c r="AF454" t="s">
        <v>3740</v>
      </c>
      <c r="AG454" t="s">
        <v>1888</v>
      </c>
      <c r="AH454">
        <v>2.13</v>
      </c>
      <c r="AI454">
        <v>3.14</v>
      </c>
      <c r="AJ454">
        <v>19.59</v>
      </c>
      <c r="AK454">
        <v>37.02</v>
      </c>
      <c r="AL454">
        <v>1</v>
      </c>
      <c r="AM454">
        <v>3.44</v>
      </c>
      <c r="AN454">
        <v>233.66</v>
      </c>
      <c r="AO454">
        <v>28.8</v>
      </c>
      <c r="AP454">
        <v>221.43</v>
      </c>
    </row>
    <row r="455" spans="1:42">
      <c r="A455">
        <v>454</v>
      </c>
      <c r="B455" t="str">
        <f>"300548"</f>
        <v>300548</v>
      </c>
      <c r="C455" t="s">
        <v>3741</v>
      </c>
      <c r="D455">
        <v>27.7</v>
      </c>
      <c r="E455">
        <v>4.41</v>
      </c>
      <c r="F455">
        <v>1.17</v>
      </c>
      <c r="G455" t="s">
        <v>3385</v>
      </c>
      <c r="H455">
        <v>1515</v>
      </c>
      <c r="I455">
        <v>27.69</v>
      </c>
      <c r="J455">
        <v>27.7</v>
      </c>
      <c r="K455" t="s">
        <v>3371</v>
      </c>
      <c r="L455">
        <v>6.21</v>
      </c>
      <c r="M455" t="s">
        <v>46</v>
      </c>
      <c r="N455" t="s">
        <v>3742</v>
      </c>
      <c r="O455">
        <v>27.98</v>
      </c>
      <c r="P455">
        <v>26.25</v>
      </c>
      <c r="Q455">
        <v>26.4</v>
      </c>
      <c r="R455">
        <v>26.53</v>
      </c>
      <c r="S455">
        <v>6.52</v>
      </c>
      <c r="T455">
        <v>1.48</v>
      </c>
      <c r="U455">
        <v>-67.95</v>
      </c>
      <c r="V455">
        <v>-1607</v>
      </c>
      <c r="W455">
        <v>27.28</v>
      </c>
      <c r="X455" t="s">
        <v>525</v>
      </c>
      <c r="Y455" t="s">
        <v>3743</v>
      </c>
      <c r="Z455">
        <v>0.7</v>
      </c>
      <c r="AA455">
        <v>182</v>
      </c>
      <c r="AB455">
        <v>209</v>
      </c>
      <c r="AC455">
        <v>3.64</v>
      </c>
      <c r="AD455" t="s">
        <v>3744</v>
      </c>
      <c r="AE455" t="s">
        <v>3745</v>
      </c>
      <c r="AF455" t="s">
        <v>3746</v>
      </c>
      <c r="AG455" t="s">
        <v>3747</v>
      </c>
      <c r="AH455">
        <v>0</v>
      </c>
      <c r="AI455">
        <v>-0.36</v>
      </c>
      <c r="AJ455">
        <v>14.75</v>
      </c>
      <c r="AK455">
        <v>27.17</v>
      </c>
      <c r="AL455">
        <v>1</v>
      </c>
      <c r="AM455">
        <v>4.41</v>
      </c>
      <c r="AN455">
        <v>66.17</v>
      </c>
      <c r="AO455">
        <v>12.69</v>
      </c>
      <c r="AP455">
        <v>34.08</v>
      </c>
    </row>
    <row r="456" spans="1:42">
      <c r="A456">
        <v>455</v>
      </c>
      <c r="B456" t="str">
        <f>"601633"</f>
        <v>601633</v>
      </c>
      <c r="C456" t="s">
        <v>3748</v>
      </c>
      <c r="D456">
        <v>26.51</v>
      </c>
      <c r="E456">
        <v>-1.45</v>
      </c>
      <c r="F456">
        <v>-0.39</v>
      </c>
      <c r="G456" t="s">
        <v>1493</v>
      </c>
      <c r="H456">
        <v>1715</v>
      </c>
      <c r="I456">
        <v>26.51</v>
      </c>
      <c r="J456">
        <v>26.52</v>
      </c>
      <c r="K456" t="s">
        <v>3371</v>
      </c>
      <c r="L456">
        <v>0.24</v>
      </c>
      <c r="M456" t="s">
        <v>46</v>
      </c>
      <c r="N456" t="s">
        <v>3749</v>
      </c>
      <c r="O456">
        <v>26.99</v>
      </c>
      <c r="P456">
        <v>26.36</v>
      </c>
      <c r="Q456">
        <v>26.9</v>
      </c>
      <c r="R456">
        <v>26.9</v>
      </c>
      <c r="S456">
        <v>2.34</v>
      </c>
      <c r="T456">
        <v>0.86</v>
      </c>
      <c r="U456">
        <v>-39.51</v>
      </c>
      <c r="V456">
        <v>-921</v>
      </c>
      <c r="W456">
        <v>26.54</v>
      </c>
      <c r="X456" t="s">
        <v>3750</v>
      </c>
      <c r="Y456" t="s">
        <v>3462</v>
      </c>
      <c r="Z456">
        <v>1.09</v>
      </c>
      <c r="AA456">
        <v>78</v>
      </c>
      <c r="AB456">
        <v>514</v>
      </c>
      <c r="AC456">
        <v>3.44</v>
      </c>
      <c r="AD456" t="s">
        <v>3751</v>
      </c>
      <c r="AE456" t="s">
        <v>3752</v>
      </c>
      <c r="AF456" t="s">
        <v>3753</v>
      </c>
      <c r="AG456" t="s">
        <v>3754</v>
      </c>
      <c r="AH456">
        <v>-4.5</v>
      </c>
      <c r="AI456">
        <v>-5.29</v>
      </c>
      <c r="AJ456">
        <v>0.66</v>
      </c>
      <c r="AK456">
        <v>1.61</v>
      </c>
      <c r="AL456">
        <v>-4</v>
      </c>
      <c r="AM456">
        <v>-1.45</v>
      </c>
      <c r="AN456">
        <v>-9.58</v>
      </c>
      <c r="AO456">
        <v>-11.54</v>
      </c>
      <c r="AP456">
        <v>-7.37</v>
      </c>
    </row>
    <row r="457" spans="1:42">
      <c r="A457">
        <v>456</v>
      </c>
      <c r="B457" t="str">
        <f>"300688"</f>
        <v>300688</v>
      </c>
      <c r="C457" t="s">
        <v>3755</v>
      </c>
      <c r="D457">
        <v>32.09</v>
      </c>
      <c r="E457">
        <v>6.36</v>
      </c>
      <c r="F457">
        <v>1.92</v>
      </c>
      <c r="G457" t="s">
        <v>422</v>
      </c>
      <c r="H457">
        <v>1881</v>
      </c>
      <c r="I457">
        <v>32.09</v>
      </c>
      <c r="J457">
        <v>32.1</v>
      </c>
      <c r="K457" t="s">
        <v>3756</v>
      </c>
      <c r="L457">
        <v>8.65</v>
      </c>
      <c r="M457" t="s">
        <v>46</v>
      </c>
      <c r="N457" t="s">
        <v>3757</v>
      </c>
      <c r="O457">
        <v>32.24</v>
      </c>
      <c r="P457">
        <v>30.06</v>
      </c>
      <c r="Q457">
        <v>30.48</v>
      </c>
      <c r="R457">
        <v>30.17</v>
      </c>
      <c r="S457">
        <v>7.23</v>
      </c>
      <c r="T457">
        <v>0.95</v>
      </c>
      <c r="U457">
        <v>41.41</v>
      </c>
      <c r="V457">
        <v>523</v>
      </c>
      <c r="W457">
        <v>31.44</v>
      </c>
      <c r="X457" t="s">
        <v>3758</v>
      </c>
      <c r="Y457" t="s">
        <v>3759</v>
      </c>
      <c r="Z457">
        <v>0.54</v>
      </c>
      <c r="AA457">
        <v>329</v>
      </c>
      <c r="AB457">
        <v>39</v>
      </c>
      <c r="AC457">
        <v>10.15</v>
      </c>
      <c r="AD457" t="s">
        <v>3760</v>
      </c>
      <c r="AE457" t="s">
        <v>3761</v>
      </c>
      <c r="AF457" t="s">
        <v>3762</v>
      </c>
      <c r="AG457" t="s">
        <v>3763</v>
      </c>
      <c r="AH457">
        <v>1.04</v>
      </c>
      <c r="AI457">
        <v>-1.17</v>
      </c>
      <c r="AJ457">
        <v>21.42</v>
      </c>
      <c r="AK457">
        <v>54.22</v>
      </c>
      <c r="AL457">
        <v>2</v>
      </c>
      <c r="AM457">
        <v>6.36</v>
      </c>
      <c r="AN457">
        <v>91.93</v>
      </c>
      <c r="AO457">
        <v>11.04</v>
      </c>
      <c r="AP457">
        <v>92.04</v>
      </c>
    </row>
    <row r="458" spans="1:42">
      <c r="A458">
        <v>457</v>
      </c>
      <c r="B458" t="str">
        <f>"600079"</f>
        <v>600079</v>
      </c>
      <c r="C458" t="s">
        <v>3764</v>
      </c>
      <c r="D458">
        <v>26.56</v>
      </c>
      <c r="E458">
        <v>-0.23</v>
      </c>
      <c r="F458">
        <v>-0.06</v>
      </c>
      <c r="G458" t="s">
        <v>1493</v>
      </c>
      <c r="H458">
        <v>1450</v>
      </c>
      <c r="I458">
        <v>26.56</v>
      </c>
      <c r="J458">
        <v>26.57</v>
      </c>
      <c r="K458" t="s">
        <v>3756</v>
      </c>
      <c r="L458">
        <v>0.95</v>
      </c>
      <c r="M458" t="s">
        <v>46</v>
      </c>
      <c r="N458" t="s">
        <v>3010</v>
      </c>
      <c r="O458">
        <v>26.72</v>
      </c>
      <c r="P458">
        <v>26.19</v>
      </c>
      <c r="Q458">
        <v>26.41</v>
      </c>
      <c r="R458">
        <v>26.62</v>
      </c>
      <c r="S458">
        <v>1.99</v>
      </c>
      <c r="T458">
        <v>0.52</v>
      </c>
      <c r="U458">
        <v>59.51</v>
      </c>
      <c r="V458">
        <v>1417</v>
      </c>
      <c r="W458">
        <v>26.46</v>
      </c>
      <c r="X458" t="s">
        <v>3765</v>
      </c>
      <c r="Y458" t="s">
        <v>1762</v>
      </c>
      <c r="Z458">
        <v>1.2</v>
      </c>
      <c r="AA458">
        <v>1564</v>
      </c>
      <c r="AB458">
        <v>27</v>
      </c>
      <c r="AC458">
        <v>2.59</v>
      </c>
      <c r="AD458" t="s">
        <v>3766</v>
      </c>
      <c r="AE458" t="s">
        <v>3767</v>
      </c>
      <c r="AF458" t="s">
        <v>3768</v>
      </c>
      <c r="AG458" t="s">
        <v>3769</v>
      </c>
      <c r="AH458">
        <v>1.14</v>
      </c>
      <c r="AI458">
        <v>10.99</v>
      </c>
      <c r="AJ458">
        <v>5.96</v>
      </c>
      <c r="AK458">
        <v>10.05</v>
      </c>
      <c r="AL458">
        <v>-1</v>
      </c>
      <c r="AM458">
        <v>-0.23</v>
      </c>
      <c r="AN458">
        <v>11.93</v>
      </c>
      <c r="AO458">
        <v>14.09</v>
      </c>
      <c r="AP458">
        <v>25.16</v>
      </c>
    </row>
    <row r="459" spans="1:42">
      <c r="A459">
        <v>458</v>
      </c>
      <c r="B459" t="str">
        <f>"600960"</f>
        <v>600960</v>
      </c>
      <c r="C459" t="s">
        <v>3770</v>
      </c>
      <c r="D459">
        <v>4.61</v>
      </c>
      <c r="E459">
        <v>-4.95</v>
      </c>
      <c r="F459">
        <v>-0.24</v>
      </c>
      <c r="G459" t="s">
        <v>3771</v>
      </c>
      <c r="H459" t="s">
        <v>2615</v>
      </c>
      <c r="I459">
        <v>4.6</v>
      </c>
      <c r="J459">
        <v>4.61</v>
      </c>
      <c r="K459" t="s">
        <v>2975</v>
      </c>
      <c r="L459">
        <v>8.8</v>
      </c>
      <c r="M459" t="s">
        <v>46</v>
      </c>
      <c r="N459" t="s">
        <v>3772</v>
      </c>
      <c r="O459">
        <v>4.75</v>
      </c>
      <c r="P459">
        <v>4.37</v>
      </c>
      <c r="Q459">
        <v>4.7</v>
      </c>
      <c r="R459">
        <v>4.85</v>
      </c>
      <c r="S459">
        <v>7.84</v>
      </c>
      <c r="T459">
        <v>0.74</v>
      </c>
      <c r="U459">
        <v>24.77</v>
      </c>
      <c r="V459">
        <v>4726</v>
      </c>
      <c r="W459">
        <v>4.59</v>
      </c>
      <c r="X459" t="s">
        <v>3773</v>
      </c>
      <c r="Y459" t="s">
        <v>478</v>
      </c>
      <c r="Z459">
        <v>1.48</v>
      </c>
      <c r="AA459">
        <v>4605</v>
      </c>
      <c r="AB459">
        <v>1165</v>
      </c>
      <c r="AC459">
        <v>0.99</v>
      </c>
      <c r="AD459" t="s">
        <v>3774</v>
      </c>
      <c r="AE459" t="s">
        <v>3775</v>
      </c>
      <c r="AF459" t="s">
        <v>3774</v>
      </c>
      <c r="AG459" t="s">
        <v>3775</v>
      </c>
      <c r="AH459">
        <v>-5.92</v>
      </c>
      <c r="AI459">
        <v>-0.86</v>
      </c>
      <c r="AJ459">
        <v>28.3</v>
      </c>
      <c r="AK459">
        <v>68.68</v>
      </c>
      <c r="AL459">
        <v>-1</v>
      </c>
      <c r="AM459">
        <v>-4.95</v>
      </c>
      <c r="AN459">
        <v>35.19</v>
      </c>
      <c r="AO459">
        <v>10.29</v>
      </c>
      <c r="AP459">
        <v>28.06</v>
      </c>
    </row>
    <row r="460" spans="1:42">
      <c r="A460">
        <v>459</v>
      </c>
      <c r="B460" t="str">
        <f>"300049"</f>
        <v>300049</v>
      </c>
      <c r="C460" t="s">
        <v>3776</v>
      </c>
      <c r="D460">
        <v>42.43</v>
      </c>
      <c r="E460">
        <v>1.87</v>
      </c>
      <c r="F460">
        <v>0.78</v>
      </c>
      <c r="G460" t="s">
        <v>3777</v>
      </c>
      <c r="H460">
        <v>2733</v>
      </c>
      <c r="I460">
        <v>42.43</v>
      </c>
      <c r="J460">
        <v>42.44</v>
      </c>
      <c r="K460" t="s">
        <v>3778</v>
      </c>
      <c r="L460">
        <v>3.96</v>
      </c>
      <c r="M460" t="s">
        <v>46</v>
      </c>
      <c r="N460" t="s">
        <v>1653</v>
      </c>
      <c r="O460">
        <v>42.63</v>
      </c>
      <c r="P460">
        <v>41.22</v>
      </c>
      <c r="Q460">
        <v>41.34</v>
      </c>
      <c r="R460">
        <v>41.65</v>
      </c>
      <c r="S460">
        <v>3.39</v>
      </c>
      <c r="T460">
        <v>1.38</v>
      </c>
      <c r="U460">
        <v>-77.57</v>
      </c>
      <c r="V460">
        <v>-754</v>
      </c>
      <c r="W460">
        <v>41.96</v>
      </c>
      <c r="X460" t="s">
        <v>3779</v>
      </c>
      <c r="Y460" t="s">
        <v>2299</v>
      </c>
      <c r="Z460">
        <v>0.97</v>
      </c>
      <c r="AA460">
        <v>19</v>
      </c>
      <c r="AB460">
        <v>124</v>
      </c>
      <c r="AC460">
        <v>7.19</v>
      </c>
      <c r="AD460" t="s">
        <v>3780</v>
      </c>
      <c r="AE460" t="s">
        <v>3781</v>
      </c>
      <c r="AF460" t="s">
        <v>3782</v>
      </c>
      <c r="AG460" t="s">
        <v>3783</v>
      </c>
      <c r="AH460">
        <v>12.31</v>
      </c>
      <c r="AI460">
        <v>8.79</v>
      </c>
      <c r="AJ460">
        <v>12.37</v>
      </c>
      <c r="AK460">
        <v>18.36</v>
      </c>
      <c r="AL460">
        <v>4</v>
      </c>
      <c r="AM460">
        <v>1.87</v>
      </c>
      <c r="AN460">
        <v>75.11</v>
      </c>
      <c r="AO460">
        <v>18.26</v>
      </c>
      <c r="AP460">
        <v>110.88</v>
      </c>
    </row>
    <row r="461" spans="1:42">
      <c r="A461">
        <v>460</v>
      </c>
      <c r="B461" t="str">
        <f>"603528"</f>
        <v>603528</v>
      </c>
      <c r="C461" t="s">
        <v>3784</v>
      </c>
      <c r="D461">
        <v>10.48</v>
      </c>
      <c r="E461">
        <v>1.06</v>
      </c>
      <c r="F461">
        <v>0.11</v>
      </c>
      <c r="G461" t="s">
        <v>1611</v>
      </c>
      <c r="H461">
        <v>7246</v>
      </c>
      <c r="I461">
        <v>10.47</v>
      </c>
      <c r="J461">
        <v>10.48</v>
      </c>
      <c r="K461" t="s">
        <v>3778</v>
      </c>
      <c r="L461">
        <v>5.53</v>
      </c>
      <c r="M461" t="s">
        <v>46</v>
      </c>
      <c r="N461" t="s">
        <v>3363</v>
      </c>
      <c r="O461">
        <v>10.48</v>
      </c>
      <c r="P461">
        <v>10.06</v>
      </c>
      <c r="Q461">
        <v>10.2</v>
      </c>
      <c r="R461">
        <v>10.37</v>
      </c>
      <c r="S461">
        <v>4.05</v>
      </c>
      <c r="T461">
        <v>0.7</v>
      </c>
      <c r="U461">
        <v>9.18</v>
      </c>
      <c r="V461">
        <v>1617</v>
      </c>
      <c r="W461">
        <v>10.31</v>
      </c>
      <c r="X461" t="s">
        <v>868</v>
      </c>
      <c r="Y461" t="s">
        <v>3785</v>
      </c>
      <c r="Z461">
        <v>0.98</v>
      </c>
      <c r="AA461">
        <v>2738</v>
      </c>
      <c r="AB461">
        <v>1644</v>
      </c>
      <c r="AC461">
        <v>4.76</v>
      </c>
      <c r="AD461" t="s">
        <v>3786</v>
      </c>
      <c r="AE461" t="s">
        <v>3787</v>
      </c>
      <c r="AF461" t="s">
        <v>3786</v>
      </c>
      <c r="AG461" t="s">
        <v>3787</v>
      </c>
      <c r="AH461">
        <v>-2.69</v>
      </c>
      <c r="AI461">
        <v>-5.92</v>
      </c>
      <c r="AJ461">
        <v>26.7</v>
      </c>
      <c r="AK461">
        <v>45.09</v>
      </c>
      <c r="AL461">
        <v>1</v>
      </c>
      <c r="AM461">
        <v>1.06</v>
      </c>
      <c r="AN461">
        <v>64.26</v>
      </c>
      <c r="AO461">
        <v>22</v>
      </c>
      <c r="AP461">
        <v>52.77</v>
      </c>
    </row>
    <row r="462" spans="1:42">
      <c r="A462">
        <v>461</v>
      </c>
      <c r="B462" t="str">
        <f>"002647"</f>
        <v>002647</v>
      </c>
      <c r="C462" t="s">
        <v>3788</v>
      </c>
      <c r="D462">
        <v>6.74</v>
      </c>
      <c r="E462">
        <v>5.15</v>
      </c>
      <c r="F462">
        <v>0.33</v>
      </c>
      <c r="G462" t="s">
        <v>1622</v>
      </c>
      <c r="H462">
        <v>4206</v>
      </c>
      <c r="I462">
        <v>6.73</v>
      </c>
      <c r="J462">
        <v>6.74</v>
      </c>
      <c r="K462" t="s">
        <v>3789</v>
      </c>
      <c r="L462">
        <v>10.18</v>
      </c>
      <c r="M462" t="s">
        <v>46</v>
      </c>
      <c r="N462" t="s">
        <v>2480</v>
      </c>
      <c r="O462">
        <v>6.93</v>
      </c>
      <c r="P462">
        <v>6.39</v>
      </c>
      <c r="Q462">
        <v>6.41</v>
      </c>
      <c r="R462">
        <v>6.41</v>
      </c>
      <c r="S462">
        <v>8.42</v>
      </c>
      <c r="T462">
        <v>1.76</v>
      </c>
      <c r="U462">
        <v>-23.66</v>
      </c>
      <c r="V462">
        <v>-4068</v>
      </c>
      <c r="W462">
        <v>6.71</v>
      </c>
      <c r="X462" t="s">
        <v>2096</v>
      </c>
      <c r="Y462" t="s">
        <v>2541</v>
      </c>
      <c r="Z462">
        <v>0.77</v>
      </c>
      <c r="AA462">
        <v>2047</v>
      </c>
      <c r="AB462">
        <v>1582</v>
      </c>
      <c r="AC462">
        <v>65.08</v>
      </c>
      <c r="AD462" t="s">
        <v>3790</v>
      </c>
      <c r="AE462" t="s">
        <v>3791</v>
      </c>
      <c r="AF462" t="s">
        <v>3790</v>
      </c>
      <c r="AG462" t="s">
        <v>3791</v>
      </c>
      <c r="AH462">
        <v>5.48</v>
      </c>
      <c r="AI462">
        <v>0.45</v>
      </c>
      <c r="AJ462">
        <v>20.38</v>
      </c>
      <c r="AK462">
        <v>39.09</v>
      </c>
      <c r="AL462">
        <v>1</v>
      </c>
      <c r="AM462">
        <v>5.15</v>
      </c>
      <c r="AN462">
        <v>0.15</v>
      </c>
      <c r="AO462">
        <v>19.29</v>
      </c>
      <c r="AP462">
        <v>-4.13</v>
      </c>
    </row>
    <row r="463" spans="1:42">
      <c r="A463">
        <v>462</v>
      </c>
      <c r="B463" t="str">
        <f>"600986"</f>
        <v>600986</v>
      </c>
      <c r="C463" t="s">
        <v>3792</v>
      </c>
      <c r="D463">
        <v>6.88</v>
      </c>
      <c r="E463">
        <v>2.84</v>
      </c>
      <c r="F463">
        <v>0.19</v>
      </c>
      <c r="G463" t="s">
        <v>2579</v>
      </c>
      <c r="H463" t="s">
        <v>3793</v>
      </c>
      <c r="I463">
        <v>6.87</v>
      </c>
      <c r="J463">
        <v>6.88</v>
      </c>
      <c r="K463" t="s">
        <v>3789</v>
      </c>
      <c r="L463">
        <v>4.25</v>
      </c>
      <c r="M463" t="s">
        <v>46</v>
      </c>
      <c r="N463" t="s">
        <v>3794</v>
      </c>
      <c r="O463">
        <v>6.91</v>
      </c>
      <c r="P463">
        <v>6.65</v>
      </c>
      <c r="Q463">
        <v>6.69</v>
      </c>
      <c r="R463">
        <v>6.69</v>
      </c>
      <c r="S463">
        <v>3.89</v>
      </c>
      <c r="T463">
        <v>1.1</v>
      </c>
      <c r="U463">
        <v>-61.19</v>
      </c>
      <c r="V463" t="s">
        <v>3795</v>
      </c>
      <c r="W463">
        <v>6.79</v>
      </c>
      <c r="X463" t="s">
        <v>2178</v>
      </c>
      <c r="Y463" t="s">
        <v>3796</v>
      </c>
      <c r="Z463">
        <v>0.73</v>
      </c>
      <c r="AA463">
        <v>1462</v>
      </c>
      <c r="AB463">
        <v>6538</v>
      </c>
      <c r="AC463">
        <v>2.05</v>
      </c>
      <c r="AD463" t="s">
        <v>3797</v>
      </c>
      <c r="AE463" t="s">
        <v>3798</v>
      </c>
      <c r="AF463" t="s">
        <v>3799</v>
      </c>
      <c r="AG463" t="s">
        <v>3800</v>
      </c>
      <c r="AH463">
        <v>1.93</v>
      </c>
      <c r="AI463">
        <v>-1.99</v>
      </c>
      <c r="AJ463">
        <v>9.63</v>
      </c>
      <c r="AK463">
        <v>23.57</v>
      </c>
      <c r="AL463">
        <v>1</v>
      </c>
      <c r="AM463">
        <v>2.84</v>
      </c>
      <c r="AN463">
        <v>37.88</v>
      </c>
      <c r="AO463">
        <v>22.86</v>
      </c>
      <c r="AP463">
        <v>33.59</v>
      </c>
    </row>
    <row r="464" spans="1:42">
      <c r="A464">
        <v>463</v>
      </c>
      <c r="B464" t="str">
        <f>"600415"</f>
        <v>600415</v>
      </c>
      <c r="C464" t="s">
        <v>3801</v>
      </c>
      <c r="D464">
        <v>8</v>
      </c>
      <c r="E464">
        <v>0.63</v>
      </c>
      <c r="F464">
        <v>0.05</v>
      </c>
      <c r="G464" t="s">
        <v>3047</v>
      </c>
      <c r="H464">
        <v>7500</v>
      </c>
      <c r="I464">
        <v>7.99</v>
      </c>
      <c r="J464">
        <v>8</v>
      </c>
      <c r="K464" t="s">
        <v>3789</v>
      </c>
      <c r="L464">
        <v>0.88</v>
      </c>
      <c r="M464" t="s">
        <v>46</v>
      </c>
      <c r="N464" t="s">
        <v>3802</v>
      </c>
      <c r="O464">
        <v>8.03</v>
      </c>
      <c r="P464">
        <v>7.88</v>
      </c>
      <c r="Q464">
        <v>7.96</v>
      </c>
      <c r="R464">
        <v>7.95</v>
      </c>
      <c r="S464">
        <v>1.89</v>
      </c>
      <c r="T464">
        <v>1.27</v>
      </c>
      <c r="U464">
        <v>-42.53</v>
      </c>
      <c r="V464" t="s">
        <v>3803</v>
      </c>
      <c r="W464">
        <v>7.96</v>
      </c>
      <c r="X464" t="s">
        <v>2850</v>
      </c>
      <c r="Y464" t="s">
        <v>2408</v>
      </c>
      <c r="Z464">
        <v>0.96</v>
      </c>
      <c r="AA464">
        <v>3422</v>
      </c>
      <c r="AB464">
        <v>397</v>
      </c>
      <c r="AC464">
        <v>2.53</v>
      </c>
      <c r="AD464" t="s">
        <v>3804</v>
      </c>
      <c r="AE464" t="s">
        <v>3805</v>
      </c>
      <c r="AF464" t="s">
        <v>3806</v>
      </c>
      <c r="AG464" t="s">
        <v>3807</v>
      </c>
      <c r="AH464">
        <v>1.78</v>
      </c>
      <c r="AI464">
        <v>1.14</v>
      </c>
      <c r="AJ464">
        <v>2.55</v>
      </c>
      <c r="AK464">
        <v>4.34</v>
      </c>
      <c r="AL464">
        <v>2</v>
      </c>
      <c r="AM464">
        <v>0.63</v>
      </c>
      <c r="AN464">
        <v>54.74</v>
      </c>
      <c r="AO464">
        <v>6.67</v>
      </c>
      <c r="AP464">
        <v>85.19</v>
      </c>
    </row>
    <row r="465" spans="1:42">
      <c r="A465">
        <v>464</v>
      </c>
      <c r="B465" t="str">
        <f>"002888"</f>
        <v>002888</v>
      </c>
      <c r="C465" t="s">
        <v>3808</v>
      </c>
      <c r="D465">
        <v>18.86</v>
      </c>
      <c r="E465">
        <v>2.67</v>
      </c>
      <c r="F465">
        <v>0.49</v>
      </c>
      <c r="G465" t="s">
        <v>3809</v>
      </c>
      <c r="H465">
        <v>3860</v>
      </c>
      <c r="I465">
        <v>18.86</v>
      </c>
      <c r="J465">
        <v>18.87</v>
      </c>
      <c r="K465" t="s">
        <v>3810</v>
      </c>
      <c r="L465">
        <v>27.21</v>
      </c>
      <c r="M465" t="s">
        <v>46</v>
      </c>
      <c r="N465" t="s">
        <v>3811</v>
      </c>
      <c r="O465">
        <v>19.12</v>
      </c>
      <c r="P465">
        <v>17.8</v>
      </c>
      <c r="Q465">
        <v>18.37</v>
      </c>
      <c r="R465">
        <v>18.37</v>
      </c>
      <c r="S465">
        <v>7.19</v>
      </c>
      <c r="T465">
        <v>0.87</v>
      </c>
      <c r="U465">
        <v>56.26</v>
      </c>
      <c r="V465">
        <v>1308</v>
      </c>
      <c r="W465">
        <v>18.52</v>
      </c>
      <c r="X465" t="s">
        <v>3812</v>
      </c>
      <c r="Y465" t="s">
        <v>262</v>
      </c>
      <c r="Z465">
        <v>0.82</v>
      </c>
      <c r="AA465">
        <v>1239</v>
      </c>
      <c r="AB465">
        <v>161</v>
      </c>
      <c r="AC465">
        <v>7.06</v>
      </c>
      <c r="AD465" t="s">
        <v>3813</v>
      </c>
      <c r="AE465" t="s">
        <v>3814</v>
      </c>
      <c r="AF465" t="s">
        <v>3815</v>
      </c>
      <c r="AG465" t="s">
        <v>3816</v>
      </c>
      <c r="AH465">
        <v>-15.27</v>
      </c>
      <c r="AI465">
        <v>-7.73</v>
      </c>
      <c r="AJ465">
        <v>68.22</v>
      </c>
      <c r="AK465">
        <v>183.91</v>
      </c>
      <c r="AL465">
        <v>1</v>
      </c>
      <c r="AM465">
        <v>2.67</v>
      </c>
      <c r="AN465">
        <v>51.49</v>
      </c>
      <c r="AO465">
        <v>5.19</v>
      </c>
      <c r="AP465">
        <v>53.08</v>
      </c>
    </row>
    <row r="466" spans="1:42">
      <c r="A466">
        <v>465</v>
      </c>
      <c r="B466" t="str">
        <f>"300379"</f>
        <v>300379</v>
      </c>
      <c r="C466" t="s">
        <v>3817</v>
      </c>
      <c r="D466">
        <v>21.47</v>
      </c>
      <c r="E466">
        <v>0</v>
      </c>
      <c r="F466">
        <v>0</v>
      </c>
      <c r="G466" t="s">
        <v>625</v>
      </c>
      <c r="H466">
        <v>3239</v>
      </c>
      <c r="I466">
        <v>21.46</v>
      </c>
      <c r="J466">
        <v>21.47</v>
      </c>
      <c r="K466" t="s">
        <v>3810</v>
      </c>
      <c r="L466">
        <v>4.09</v>
      </c>
      <c r="M466" t="s">
        <v>46</v>
      </c>
      <c r="N466" t="s">
        <v>3818</v>
      </c>
      <c r="O466">
        <v>21.8</v>
      </c>
      <c r="P466">
        <v>21.22</v>
      </c>
      <c r="Q466">
        <v>21.72</v>
      </c>
      <c r="R466">
        <v>21.47</v>
      </c>
      <c r="S466">
        <v>2.7</v>
      </c>
      <c r="T466">
        <v>0.79</v>
      </c>
      <c r="U466">
        <v>-59.13</v>
      </c>
      <c r="V466">
        <v>-1855</v>
      </c>
      <c r="W466">
        <v>21.51</v>
      </c>
      <c r="X466" t="s">
        <v>3819</v>
      </c>
      <c r="Y466" t="s">
        <v>3820</v>
      </c>
      <c r="Z466">
        <v>1.17</v>
      </c>
      <c r="AA466">
        <v>57</v>
      </c>
      <c r="AB466">
        <v>190</v>
      </c>
      <c r="AC466">
        <v>2.78</v>
      </c>
      <c r="AD466" t="s">
        <v>3821</v>
      </c>
      <c r="AE466" t="s">
        <v>3822</v>
      </c>
      <c r="AF466" t="s">
        <v>3823</v>
      </c>
      <c r="AG466" t="s">
        <v>3824</v>
      </c>
      <c r="AH466">
        <v>2.73</v>
      </c>
      <c r="AI466">
        <v>10.22</v>
      </c>
      <c r="AJ466">
        <v>14.18</v>
      </c>
      <c r="AK466">
        <v>30.01</v>
      </c>
      <c r="AL466">
        <v>0</v>
      </c>
      <c r="AM466">
        <v>0</v>
      </c>
      <c r="AN466">
        <v>5.25</v>
      </c>
      <c r="AO466">
        <v>13.24</v>
      </c>
      <c r="AP466">
        <v>-5.46</v>
      </c>
    </row>
    <row r="467" spans="1:42">
      <c r="A467">
        <v>466</v>
      </c>
      <c r="B467" t="str">
        <f>"300450"</f>
        <v>300450</v>
      </c>
      <c r="C467" t="s">
        <v>3825</v>
      </c>
      <c r="D467">
        <v>25.91</v>
      </c>
      <c r="E467">
        <v>-0.96</v>
      </c>
      <c r="F467">
        <v>-0.25</v>
      </c>
      <c r="G467" t="s">
        <v>2217</v>
      </c>
      <c r="H467">
        <v>1971</v>
      </c>
      <c r="I467">
        <v>25.91</v>
      </c>
      <c r="J467">
        <v>25.92</v>
      </c>
      <c r="K467" t="s">
        <v>3810</v>
      </c>
      <c r="L467">
        <v>1.01</v>
      </c>
      <c r="M467" t="s">
        <v>46</v>
      </c>
      <c r="N467" t="s">
        <v>3826</v>
      </c>
      <c r="O467">
        <v>26.39</v>
      </c>
      <c r="P467">
        <v>25.74</v>
      </c>
      <c r="Q467">
        <v>26.39</v>
      </c>
      <c r="R467">
        <v>26.16</v>
      </c>
      <c r="S467">
        <v>2.48</v>
      </c>
      <c r="T467">
        <v>1.16</v>
      </c>
      <c r="U467">
        <v>62.79</v>
      </c>
      <c r="V467">
        <v>1397</v>
      </c>
      <c r="W467">
        <v>25.94</v>
      </c>
      <c r="X467" t="s">
        <v>3827</v>
      </c>
      <c r="Y467" t="s">
        <v>3828</v>
      </c>
      <c r="Z467">
        <v>1.22</v>
      </c>
      <c r="AA467">
        <v>167</v>
      </c>
      <c r="AB467">
        <v>82</v>
      </c>
      <c r="AC467">
        <v>3.23</v>
      </c>
      <c r="AD467" t="s">
        <v>3829</v>
      </c>
      <c r="AE467" t="s">
        <v>3830</v>
      </c>
      <c r="AF467" t="s">
        <v>3831</v>
      </c>
      <c r="AG467" t="s">
        <v>3832</v>
      </c>
      <c r="AH467">
        <v>-3.54</v>
      </c>
      <c r="AI467">
        <v>-5.95</v>
      </c>
      <c r="AJ467">
        <v>2.47</v>
      </c>
      <c r="AK467">
        <v>5.39</v>
      </c>
      <c r="AL467">
        <v>-3</v>
      </c>
      <c r="AM467">
        <v>-0.96</v>
      </c>
      <c r="AN467">
        <v>-34.75</v>
      </c>
      <c r="AO467">
        <v>-4.99</v>
      </c>
      <c r="AP467">
        <v>-41.72</v>
      </c>
    </row>
    <row r="468" spans="1:42">
      <c r="A468">
        <v>467</v>
      </c>
      <c r="B468" t="str">
        <f>"601599"</f>
        <v>601599</v>
      </c>
      <c r="C468" t="s">
        <v>3833</v>
      </c>
      <c r="D468">
        <v>4.38</v>
      </c>
      <c r="E468">
        <v>6.05</v>
      </c>
      <c r="F468">
        <v>0.25</v>
      </c>
      <c r="G468" t="s">
        <v>3834</v>
      </c>
      <c r="H468" t="s">
        <v>1400</v>
      </c>
      <c r="I468">
        <v>4.37</v>
      </c>
      <c r="J468">
        <v>4.38</v>
      </c>
      <c r="K468" t="s">
        <v>3835</v>
      </c>
      <c r="L468">
        <v>9.83</v>
      </c>
      <c r="M468" t="s">
        <v>46</v>
      </c>
      <c r="N468" t="s">
        <v>3195</v>
      </c>
      <c r="O468">
        <v>4.48</v>
      </c>
      <c r="P468">
        <v>4.1</v>
      </c>
      <c r="Q468">
        <v>4.11</v>
      </c>
      <c r="R468">
        <v>4.13</v>
      </c>
      <c r="S468">
        <v>9.2</v>
      </c>
      <c r="T468">
        <v>2.13</v>
      </c>
      <c r="U468">
        <v>-56.56</v>
      </c>
      <c r="V468" t="s">
        <v>3836</v>
      </c>
      <c r="W468">
        <v>4.33</v>
      </c>
      <c r="X468" t="s">
        <v>3837</v>
      </c>
      <c r="Y468" t="s">
        <v>252</v>
      </c>
      <c r="Z468">
        <v>0.73</v>
      </c>
      <c r="AA468">
        <v>1107</v>
      </c>
      <c r="AB468">
        <v>7291</v>
      </c>
      <c r="AC468">
        <v>3.6</v>
      </c>
      <c r="AD468" t="s">
        <v>3838</v>
      </c>
      <c r="AE468" t="s">
        <v>3839</v>
      </c>
      <c r="AF468" t="s">
        <v>3840</v>
      </c>
      <c r="AG468" t="s">
        <v>3841</v>
      </c>
      <c r="AH468">
        <v>6.83</v>
      </c>
      <c r="AI468">
        <v>5.29</v>
      </c>
      <c r="AJ468">
        <v>17</v>
      </c>
      <c r="AK468">
        <v>32.96</v>
      </c>
      <c r="AL468">
        <v>2</v>
      </c>
      <c r="AM468">
        <v>6.05</v>
      </c>
      <c r="AN468">
        <v>34.36</v>
      </c>
      <c r="AO468">
        <v>25.5</v>
      </c>
      <c r="AP468">
        <v>40.38</v>
      </c>
    </row>
    <row r="469" spans="1:42">
      <c r="A469">
        <v>468</v>
      </c>
      <c r="B469" t="str">
        <f>"600886"</f>
        <v>600886</v>
      </c>
      <c r="C469" t="s">
        <v>3842</v>
      </c>
      <c r="D469">
        <v>12.56</v>
      </c>
      <c r="E469">
        <v>1.29</v>
      </c>
      <c r="F469">
        <v>0.16</v>
      </c>
      <c r="G469" t="s">
        <v>674</v>
      </c>
      <c r="H469">
        <v>1420</v>
      </c>
      <c r="I469">
        <v>12.56</v>
      </c>
      <c r="J469">
        <v>12.57</v>
      </c>
      <c r="K469" t="s">
        <v>3835</v>
      </c>
      <c r="L469">
        <v>0.44</v>
      </c>
      <c r="M469" t="s">
        <v>46</v>
      </c>
      <c r="N469" t="s">
        <v>3843</v>
      </c>
      <c r="O469">
        <v>12.6</v>
      </c>
      <c r="P469">
        <v>12.26</v>
      </c>
      <c r="Q469">
        <v>12.45</v>
      </c>
      <c r="R469">
        <v>12.4</v>
      </c>
      <c r="S469">
        <v>2.74</v>
      </c>
      <c r="T469">
        <v>1.62</v>
      </c>
      <c r="U469">
        <v>-74.35</v>
      </c>
      <c r="V469">
        <v>-5722</v>
      </c>
      <c r="W469">
        <v>12.5</v>
      </c>
      <c r="X469" t="s">
        <v>368</v>
      </c>
      <c r="Y469" t="s">
        <v>172</v>
      </c>
      <c r="Z469">
        <v>0.79</v>
      </c>
      <c r="AA469">
        <v>293</v>
      </c>
      <c r="AB469">
        <v>1074</v>
      </c>
      <c r="AC469">
        <v>1.77</v>
      </c>
      <c r="AD469" t="s">
        <v>3844</v>
      </c>
      <c r="AE469" t="s">
        <v>3845</v>
      </c>
      <c r="AF469" t="s">
        <v>3846</v>
      </c>
      <c r="AG469" t="s">
        <v>3847</v>
      </c>
      <c r="AH469">
        <v>2.53</v>
      </c>
      <c r="AI469">
        <v>0.88</v>
      </c>
      <c r="AJ469">
        <v>1.09</v>
      </c>
      <c r="AK469">
        <v>1.79</v>
      </c>
      <c r="AL469">
        <v>2</v>
      </c>
      <c r="AM469">
        <v>1.29</v>
      </c>
      <c r="AN469">
        <v>18.94</v>
      </c>
      <c r="AO469">
        <v>1.87</v>
      </c>
      <c r="AP469">
        <v>21.35</v>
      </c>
    </row>
    <row r="470" spans="1:42">
      <c r="A470">
        <v>469</v>
      </c>
      <c r="B470" t="str">
        <f>"300654"</f>
        <v>300654</v>
      </c>
      <c r="C470" t="s">
        <v>3848</v>
      </c>
      <c r="D470">
        <v>12.1</v>
      </c>
      <c r="E470">
        <v>7.08</v>
      </c>
      <c r="F470">
        <v>0.8</v>
      </c>
      <c r="G470" t="s">
        <v>3849</v>
      </c>
      <c r="H470">
        <v>3236</v>
      </c>
      <c r="I470">
        <v>12.09</v>
      </c>
      <c r="J470">
        <v>12.1</v>
      </c>
      <c r="K470" t="s">
        <v>3835</v>
      </c>
      <c r="L470">
        <v>9.93</v>
      </c>
      <c r="M470" t="s">
        <v>46</v>
      </c>
      <c r="N470" t="s">
        <v>3850</v>
      </c>
      <c r="O470">
        <v>12.3</v>
      </c>
      <c r="P470">
        <v>11.24</v>
      </c>
      <c r="Q470">
        <v>11.24</v>
      </c>
      <c r="R470">
        <v>11.3</v>
      </c>
      <c r="S470">
        <v>9.38</v>
      </c>
      <c r="T470">
        <v>2.71</v>
      </c>
      <c r="U470">
        <v>-59.92</v>
      </c>
      <c r="V470">
        <v>-3818</v>
      </c>
      <c r="W470">
        <v>11.84</v>
      </c>
      <c r="X470" t="s">
        <v>422</v>
      </c>
      <c r="Y470" t="s">
        <v>1462</v>
      </c>
      <c r="Z470">
        <v>0.62</v>
      </c>
      <c r="AA470">
        <v>619</v>
      </c>
      <c r="AB470">
        <v>2510</v>
      </c>
      <c r="AC470">
        <v>5.44</v>
      </c>
      <c r="AD470" t="s">
        <v>3851</v>
      </c>
      <c r="AE470" t="s">
        <v>3852</v>
      </c>
      <c r="AF470" t="s">
        <v>3853</v>
      </c>
      <c r="AG470" t="s">
        <v>3854</v>
      </c>
      <c r="AH470">
        <v>6.8</v>
      </c>
      <c r="AI470">
        <v>3.6</v>
      </c>
      <c r="AJ470">
        <v>15.5</v>
      </c>
      <c r="AK470">
        <v>28.23</v>
      </c>
      <c r="AL470">
        <v>2</v>
      </c>
      <c r="AM470">
        <v>7.08</v>
      </c>
      <c r="AN470">
        <v>104.74</v>
      </c>
      <c r="AO470">
        <v>7.65</v>
      </c>
      <c r="AP470">
        <v>95.79</v>
      </c>
    </row>
    <row r="471" spans="1:42">
      <c r="A471">
        <v>470</v>
      </c>
      <c r="B471" t="str">
        <f>"300184"</f>
        <v>300184</v>
      </c>
      <c r="C471" t="s">
        <v>3855</v>
      </c>
      <c r="D471">
        <v>6.6</v>
      </c>
      <c r="E471">
        <v>1.69</v>
      </c>
      <c r="F471">
        <v>0.11</v>
      </c>
      <c r="G471" t="s">
        <v>3856</v>
      </c>
      <c r="H471">
        <v>7786</v>
      </c>
      <c r="I471">
        <v>6.6</v>
      </c>
      <c r="J471">
        <v>6.61</v>
      </c>
      <c r="K471" t="s">
        <v>3857</v>
      </c>
      <c r="L471">
        <v>5.53</v>
      </c>
      <c r="M471" t="s">
        <v>46</v>
      </c>
      <c r="N471" t="s">
        <v>152</v>
      </c>
      <c r="O471">
        <v>6.62</v>
      </c>
      <c r="P471">
        <v>6.42</v>
      </c>
      <c r="Q471">
        <v>6.49</v>
      </c>
      <c r="R471">
        <v>6.49</v>
      </c>
      <c r="S471">
        <v>3.08</v>
      </c>
      <c r="T471">
        <v>0.6</v>
      </c>
      <c r="U471">
        <v>44.48</v>
      </c>
      <c r="V471" t="s">
        <v>1711</v>
      </c>
      <c r="W471">
        <v>6.55</v>
      </c>
      <c r="X471" t="s">
        <v>2436</v>
      </c>
      <c r="Y471" t="s">
        <v>710</v>
      </c>
      <c r="Z471">
        <v>0.99</v>
      </c>
      <c r="AA471" t="s">
        <v>3227</v>
      </c>
      <c r="AB471">
        <v>2558</v>
      </c>
      <c r="AC471">
        <v>2.08</v>
      </c>
      <c r="AD471" t="s">
        <v>3858</v>
      </c>
      <c r="AE471" t="s">
        <v>3859</v>
      </c>
      <c r="AF471" t="s">
        <v>3860</v>
      </c>
      <c r="AG471" t="s">
        <v>3861</v>
      </c>
      <c r="AH471">
        <v>-3.08</v>
      </c>
      <c r="AI471">
        <v>-6.52</v>
      </c>
      <c r="AJ471">
        <v>21.67</v>
      </c>
      <c r="AK471">
        <v>51.45</v>
      </c>
      <c r="AL471">
        <v>1</v>
      </c>
      <c r="AM471">
        <v>1.69</v>
      </c>
      <c r="AN471">
        <v>53.49</v>
      </c>
      <c r="AO471">
        <v>18.28</v>
      </c>
      <c r="AP471">
        <v>44.74</v>
      </c>
    </row>
    <row r="472" spans="1:42">
      <c r="A472">
        <v>471</v>
      </c>
      <c r="B472" t="str">
        <f>"600019"</f>
        <v>600019</v>
      </c>
      <c r="C472" t="s">
        <v>3862</v>
      </c>
      <c r="D472">
        <v>6.25</v>
      </c>
      <c r="E472">
        <v>0.48</v>
      </c>
      <c r="F472">
        <v>0.03</v>
      </c>
      <c r="G472" t="s">
        <v>717</v>
      </c>
      <c r="H472">
        <v>2858</v>
      </c>
      <c r="I472">
        <v>6.25</v>
      </c>
      <c r="J472">
        <v>6.26</v>
      </c>
      <c r="K472" t="s">
        <v>3857</v>
      </c>
      <c r="L472">
        <v>0.28</v>
      </c>
      <c r="M472" t="s">
        <v>46</v>
      </c>
      <c r="N472" t="s">
        <v>3863</v>
      </c>
      <c r="O472">
        <v>6.29</v>
      </c>
      <c r="P472">
        <v>6.21</v>
      </c>
      <c r="Q472">
        <v>6.23</v>
      </c>
      <c r="R472">
        <v>6.22</v>
      </c>
      <c r="S472">
        <v>1.29</v>
      </c>
      <c r="T472">
        <v>0.99</v>
      </c>
      <c r="U472">
        <v>-54.73</v>
      </c>
      <c r="V472" t="s">
        <v>3864</v>
      </c>
      <c r="W472">
        <v>6.25</v>
      </c>
      <c r="X472" t="s">
        <v>92</v>
      </c>
      <c r="Y472" t="s">
        <v>2472</v>
      </c>
      <c r="Z472">
        <v>0.87</v>
      </c>
      <c r="AA472">
        <v>876</v>
      </c>
      <c r="AB472">
        <v>286</v>
      </c>
      <c r="AC472">
        <v>0.7</v>
      </c>
      <c r="AD472" t="s">
        <v>3865</v>
      </c>
      <c r="AE472" t="s">
        <v>3866</v>
      </c>
      <c r="AF472" t="s">
        <v>3867</v>
      </c>
      <c r="AG472" t="s">
        <v>3868</v>
      </c>
      <c r="AH472">
        <v>-0.16</v>
      </c>
      <c r="AI472">
        <v>0</v>
      </c>
      <c r="AJ472">
        <v>0.76</v>
      </c>
      <c r="AK472">
        <v>1.68</v>
      </c>
      <c r="AL472">
        <v>2</v>
      </c>
      <c r="AM472">
        <v>0.48</v>
      </c>
      <c r="AN472">
        <v>16.17</v>
      </c>
      <c r="AO472">
        <v>1.3</v>
      </c>
      <c r="AP472">
        <v>20.66</v>
      </c>
    </row>
    <row r="473" spans="1:42">
      <c r="A473">
        <v>472</v>
      </c>
      <c r="B473" t="str">
        <f>"000936"</f>
        <v>000936</v>
      </c>
      <c r="C473" t="s">
        <v>3869</v>
      </c>
      <c r="D473">
        <v>8.82</v>
      </c>
      <c r="E473">
        <v>4.01</v>
      </c>
      <c r="F473">
        <v>0.34</v>
      </c>
      <c r="G473" t="s">
        <v>3133</v>
      </c>
      <c r="H473">
        <v>5587</v>
      </c>
      <c r="I473">
        <v>8.81</v>
      </c>
      <c r="J473">
        <v>8.82</v>
      </c>
      <c r="K473" t="s">
        <v>3857</v>
      </c>
      <c r="L473">
        <v>4.91</v>
      </c>
      <c r="M473" t="s">
        <v>46</v>
      </c>
      <c r="N473" t="s">
        <v>2474</v>
      </c>
      <c r="O473">
        <v>8.94</v>
      </c>
      <c r="P473">
        <v>8.45</v>
      </c>
      <c r="Q473">
        <v>8.48</v>
      </c>
      <c r="R473">
        <v>8.48</v>
      </c>
      <c r="S473">
        <v>5.78</v>
      </c>
      <c r="T473">
        <v>1.72</v>
      </c>
      <c r="U473">
        <v>13.38</v>
      </c>
      <c r="V473">
        <v>1920</v>
      </c>
      <c r="W473">
        <v>8.72</v>
      </c>
      <c r="X473" t="s">
        <v>1470</v>
      </c>
      <c r="Y473" t="s">
        <v>998</v>
      </c>
      <c r="Z473">
        <v>0.67</v>
      </c>
      <c r="AA473">
        <v>1262</v>
      </c>
      <c r="AB473">
        <v>1999</v>
      </c>
      <c r="AC473">
        <v>1.52</v>
      </c>
      <c r="AD473" t="s">
        <v>3870</v>
      </c>
      <c r="AE473" t="s">
        <v>3871</v>
      </c>
      <c r="AF473" t="s">
        <v>3872</v>
      </c>
      <c r="AG473" t="s">
        <v>3873</v>
      </c>
      <c r="AH473">
        <v>1.97</v>
      </c>
      <c r="AI473">
        <v>-3.08</v>
      </c>
      <c r="AJ473">
        <v>9.2</v>
      </c>
      <c r="AK473">
        <v>19.16</v>
      </c>
      <c r="AL473">
        <v>1</v>
      </c>
      <c r="AM473">
        <v>4.01</v>
      </c>
      <c r="AN473">
        <v>74.65</v>
      </c>
      <c r="AO473">
        <v>6.52</v>
      </c>
      <c r="AP473">
        <v>61.83</v>
      </c>
    </row>
    <row r="474" spans="1:42">
      <c r="A474">
        <v>473</v>
      </c>
      <c r="B474" t="str">
        <f>"000570"</f>
        <v>000570</v>
      </c>
      <c r="C474" t="s">
        <v>3874</v>
      </c>
      <c r="D474">
        <v>6.38</v>
      </c>
      <c r="E474">
        <v>0.79</v>
      </c>
      <c r="F474">
        <v>0.05</v>
      </c>
      <c r="G474" t="s">
        <v>3875</v>
      </c>
      <c r="H474">
        <v>5498</v>
      </c>
      <c r="I474">
        <v>6.38</v>
      </c>
      <c r="J474">
        <v>6.39</v>
      </c>
      <c r="K474" t="s">
        <v>3857</v>
      </c>
      <c r="L474">
        <v>11.92</v>
      </c>
      <c r="M474" t="s">
        <v>46</v>
      </c>
      <c r="N474" t="s">
        <v>2488</v>
      </c>
      <c r="O474">
        <v>6.51</v>
      </c>
      <c r="P474">
        <v>6.16</v>
      </c>
      <c r="Q474">
        <v>6.3</v>
      </c>
      <c r="R474">
        <v>6.33</v>
      </c>
      <c r="S474">
        <v>5.53</v>
      </c>
      <c r="T474">
        <v>1.74</v>
      </c>
      <c r="U474">
        <v>7.32</v>
      </c>
      <c r="V474">
        <v>766</v>
      </c>
      <c r="W474">
        <v>6.37</v>
      </c>
      <c r="X474" t="s">
        <v>3876</v>
      </c>
      <c r="Y474" t="s">
        <v>3512</v>
      </c>
      <c r="Z474">
        <v>1.11</v>
      </c>
      <c r="AA474">
        <v>186</v>
      </c>
      <c r="AB474">
        <v>1109</v>
      </c>
      <c r="AC474">
        <v>1.28</v>
      </c>
      <c r="AD474" t="s">
        <v>3877</v>
      </c>
      <c r="AE474" t="s">
        <v>1587</v>
      </c>
      <c r="AF474" t="s">
        <v>3878</v>
      </c>
      <c r="AG474" t="s">
        <v>3879</v>
      </c>
      <c r="AH474">
        <v>3.57</v>
      </c>
      <c r="AI474">
        <v>6.87</v>
      </c>
      <c r="AJ474">
        <v>31.76</v>
      </c>
      <c r="AK474">
        <v>46.2</v>
      </c>
      <c r="AL474">
        <v>2</v>
      </c>
      <c r="AM474">
        <v>0.79</v>
      </c>
      <c r="AN474">
        <v>34.03</v>
      </c>
      <c r="AO474">
        <v>12.32</v>
      </c>
      <c r="AP474">
        <v>27.6</v>
      </c>
    </row>
    <row r="475" spans="1:42">
      <c r="A475">
        <v>474</v>
      </c>
      <c r="B475" t="str">
        <f>"002869"</f>
        <v>002869</v>
      </c>
      <c r="C475" t="s">
        <v>3880</v>
      </c>
      <c r="D475">
        <v>24.12</v>
      </c>
      <c r="E475">
        <v>2.68</v>
      </c>
      <c r="F475">
        <v>0.63</v>
      </c>
      <c r="G475" t="s">
        <v>3687</v>
      </c>
      <c r="H475">
        <v>2252</v>
      </c>
      <c r="I475">
        <v>24.12</v>
      </c>
      <c r="J475">
        <v>24.13</v>
      </c>
      <c r="K475" t="s">
        <v>3881</v>
      </c>
      <c r="L475">
        <v>9.9</v>
      </c>
      <c r="M475" t="s">
        <v>46</v>
      </c>
      <c r="N475" t="s">
        <v>3882</v>
      </c>
      <c r="O475">
        <v>24.67</v>
      </c>
      <c r="P475">
        <v>23.4</v>
      </c>
      <c r="Q475">
        <v>23.7</v>
      </c>
      <c r="R475">
        <v>23.49</v>
      </c>
      <c r="S475">
        <v>5.41</v>
      </c>
      <c r="T475">
        <v>0.6</v>
      </c>
      <c r="U475">
        <v>-25.66</v>
      </c>
      <c r="V475">
        <v>-339</v>
      </c>
      <c r="W475">
        <v>24.15</v>
      </c>
      <c r="X475" t="s">
        <v>3883</v>
      </c>
      <c r="Y475" t="s">
        <v>3884</v>
      </c>
      <c r="Z475">
        <v>0.9</v>
      </c>
      <c r="AA475">
        <v>213</v>
      </c>
      <c r="AB475">
        <v>237</v>
      </c>
      <c r="AC475">
        <v>2.06</v>
      </c>
      <c r="AD475" t="s">
        <v>3885</v>
      </c>
      <c r="AE475" t="s">
        <v>3886</v>
      </c>
      <c r="AF475" t="s">
        <v>3887</v>
      </c>
      <c r="AG475" t="s">
        <v>3888</v>
      </c>
      <c r="AH475">
        <v>-9.02</v>
      </c>
      <c r="AI475">
        <v>-8.08</v>
      </c>
      <c r="AJ475">
        <v>38.24</v>
      </c>
      <c r="AK475">
        <v>92.22</v>
      </c>
      <c r="AL475">
        <v>1</v>
      </c>
      <c r="AM475">
        <v>2.68</v>
      </c>
      <c r="AN475">
        <v>12.4</v>
      </c>
      <c r="AO475">
        <v>12.87</v>
      </c>
      <c r="AP475">
        <v>-0.74</v>
      </c>
    </row>
    <row r="476" spans="1:42">
      <c r="A476">
        <v>475</v>
      </c>
      <c r="B476" t="str">
        <f>"000975"</f>
        <v>000975</v>
      </c>
      <c r="C476" t="s">
        <v>3889</v>
      </c>
      <c r="D476">
        <v>14.8</v>
      </c>
      <c r="E476">
        <v>0</v>
      </c>
      <c r="F476">
        <v>0</v>
      </c>
      <c r="G476" t="s">
        <v>1983</v>
      </c>
      <c r="H476">
        <v>5239</v>
      </c>
      <c r="I476">
        <v>14.79</v>
      </c>
      <c r="J476">
        <v>14.8</v>
      </c>
      <c r="K476" t="s">
        <v>3881</v>
      </c>
      <c r="L476">
        <v>1.03</v>
      </c>
      <c r="M476" t="s">
        <v>46</v>
      </c>
      <c r="N476" t="s">
        <v>3890</v>
      </c>
      <c r="O476">
        <v>14.92</v>
      </c>
      <c r="P476">
        <v>14.51</v>
      </c>
      <c r="Q476">
        <v>14.75</v>
      </c>
      <c r="R476">
        <v>14.8</v>
      </c>
      <c r="S476">
        <v>2.77</v>
      </c>
      <c r="T476">
        <v>0.86</v>
      </c>
      <c r="U476">
        <v>9.75</v>
      </c>
      <c r="V476">
        <v>1290</v>
      </c>
      <c r="W476">
        <v>14.77</v>
      </c>
      <c r="X476" t="s">
        <v>446</v>
      </c>
      <c r="Y476" t="s">
        <v>446</v>
      </c>
      <c r="Z476">
        <v>0.99</v>
      </c>
      <c r="AA476">
        <v>115</v>
      </c>
      <c r="AB476">
        <v>1025</v>
      </c>
      <c r="AC476">
        <v>3.65</v>
      </c>
      <c r="AD476" t="s">
        <v>3891</v>
      </c>
      <c r="AE476" t="s">
        <v>3892</v>
      </c>
      <c r="AF476" t="s">
        <v>3893</v>
      </c>
      <c r="AG476" t="s">
        <v>3894</v>
      </c>
      <c r="AH476">
        <v>4.37</v>
      </c>
      <c r="AI476">
        <v>4.59</v>
      </c>
      <c r="AJ476">
        <v>4.31</v>
      </c>
      <c r="AK476">
        <v>7.04</v>
      </c>
      <c r="AL476">
        <v>0</v>
      </c>
      <c r="AM476">
        <v>0</v>
      </c>
      <c r="AN476">
        <v>37.55</v>
      </c>
      <c r="AO476">
        <v>12.21</v>
      </c>
      <c r="AP476">
        <v>1.23</v>
      </c>
    </row>
    <row r="477" spans="1:42">
      <c r="A477">
        <v>476</v>
      </c>
      <c r="B477" t="str">
        <f>"002038"</f>
        <v>002038</v>
      </c>
      <c r="C477" t="s">
        <v>3895</v>
      </c>
      <c r="D477">
        <v>11.48</v>
      </c>
      <c r="E477">
        <v>1.15</v>
      </c>
      <c r="F477">
        <v>0.13</v>
      </c>
      <c r="G477" t="s">
        <v>3896</v>
      </c>
      <c r="H477">
        <v>3759</v>
      </c>
      <c r="I477">
        <v>11.47</v>
      </c>
      <c r="J477">
        <v>11.48</v>
      </c>
      <c r="K477" t="s">
        <v>3881</v>
      </c>
      <c r="L477">
        <v>3.86</v>
      </c>
      <c r="M477" t="s">
        <v>46</v>
      </c>
      <c r="N477" t="s">
        <v>1760</v>
      </c>
      <c r="O477">
        <v>11.67</v>
      </c>
      <c r="P477">
        <v>11.33</v>
      </c>
      <c r="Q477">
        <v>11.4</v>
      </c>
      <c r="R477">
        <v>11.35</v>
      </c>
      <c r="S477">
        <v>3</v>
      </c>
      <c r="T477">
        <v>0.55</v>
      </c>
      <c r="U477">
        <v>-17.21</v>
      </c>
      <c r="V477">
        <v>-1569</v>
      </c>
      <c r="W477">
        <v>11.5</v>
      </c>
      <c r="X477" t="s">
        <v>2047</v>
      </c>
      <c r="Y477" t="s">
        <v>3143</v>
      </c>
      <c r="Z477">
        <v>1.01</v>
      </c>
      <c r="AA477">
        <v>1314</v>
      </c>
      <c r="AB477">
        <v>363</v>
      </c>
      <c r="AC477">
        <v>2.08</v>
      </c>
      <c r="AD477" t="s">
        <v>2911</v>
      </c>
      <c r="AE477" t="s">
        <v>3897</v>
      </c>
      <c r="AF477" t="s">
        <v>3898</v>
      </c>
      <c r="AG477" t="s">
        <v>3899</v>
      </c>
      <c r="AH477">
        <v>-2.55</v>
      </c>
      <c r="AI477">
        <v>-7.94</v>
      </c>
      <c r="AJ477">
        <v>12.32</v>
      </c>
      <c r="AK477">
        <v>39.18</v>
      </c>
      <c r="AL477">
        <v>1</v>
      </c>
      <c r="AM477">
        <v>1.15</v>
      </c>
      <c r="AN477">
        <v>41.38</v>
      </c>
      <c r="AO477">
        <v>2.41</v>
      </c>
      <c r="AP477">
        <v>28.99</v>
      </c>
    </row>
    <row r="478" spans="1:42">
      <c r="A478">
        <v>477</v>
      </c>
      <c r="B478" t="str">
        <f>"600585"</f>
        <v>600585</v>
      </c>
      <c r="C478" t="s">
        <v>3900</v>
      </c>
      <c r="D478">
        <v>22.86</v>
      </c>
      <c r="E478">
        <v>-0.61</v>
      </c>
      <c r="F478">
        <v>-0.14</v>
      </c>
      <c r="G478" t="s">
        <v>2047</v>
      </c>
      <c r="H478">
        <v>914</v>
      </c>
      <c r="I478">
        <v>22.86</v>
      </c>
      <c r="J478">
        <v>22.87</v>
      </c>
      <c r="K478" t="s">
        <v>3901</v>
      </c>
      <c r="L478">
        <v>0.41</v>
      </c>
      <c r="M478" t="s">
        <v>46</v>
      </c>
      <c r="N478" t="s">
        <v>3902</v>
      </c>
      <c r="O478">
        <v>23.05</v>
      </c>
      <c r="P478">
        <v>22.68</v>
      </c>
      <c r="Q478">
        <v>22.98</v>
      </c>
      <c r="R478">
        <v>23</v>
      </c>
      <c r="S478">
        <v>1.61</v>
      </c>
      <c r="T478">
        <v>1.18</v>
      </c>
      <c r="U478">
        <v>2.55</v>
      </c>
      <c r="V478">
        <v>30</v>
      </c>
      <c r="W478">
        <v>22.82</v>
      </c>
      <c r="X478" t="s">
        <v>3903</v>
      </c>
      <c r="Y478" t="s">
        <v>3904</v>
      </c>
      <c r="Z478">
        <v>1.12</v>
      </c>
      <c r="AA478">
        <v>209</v>
      </c>
      <c r="AB478">
        <v>23</v>
      </c>
      <c r="AC478">
        <v>0.66</v>
      </c>
      <c r="AD478" t="s">
        <v>3905</v>
      </c>
      <c r="AE478" t="s">
        <v>3906</v>
      </c>
      <c r="AF478" t="s">
        <v>3907</v>
      </c>
      <c r="AG478" t="s">
        <v>3908</v>
      </c>
      <c r="AH478">
        <v>-2.76</v>
      </c>
      <c r="AI478">
        <v>-3.71</v>
      </c>
      <c r="AJ478">
        <v>1.17</v>
      </c>
      <c r="AK478">
        <v>2.17</v>
      </c>
      <c r="AL478">
        <v>-3</v>
      </c>
      <c r="AM478">
        <v>-0.61</v>
      </c>
      <c r="AN478">
        <v>-11.74</v>
      </c>
      <c r="AO478">
        <v>-3.83</v>
      </c>
      <c r="AP478">
        <v>-12.68</v>
      </c>
    </row>
    <row r="479" spans="1:42">
      <c r="A479">
        <v>478</v>
      </c>
      <c r="B479" t="str">
        <f>"000032"</f>
        <v>000032</v>
      </c>
      <c r="C479" t="s">
        <v>3909</v>
      </c>
      <c r="D479">
        <v>19.97</v>
      </c>
      <c r="E479">
        <v>2.52</v>
      </c>
      <c r="F479">
        <v>0.49</v>
      </c>
      <c r="G479" t="s">
        <v>2382</v>
      </c>
      <c r="H479">
        <v>2916</v>
      </c>
      <c r="I479">
        <v>19.97</v>
      </c>
      <c r="J479">
        <v>19.98</v>
      </c>
      <c r="K479" t="s">
        <v>3910</v>
      </c>
      <c r="L479">
        <v>2.95</v>
      </c>
      <c r="M479" t="s">
        <v>46</v>
      </c>
      <c r="N479" t="s">
        <v>3911</v>
      </c>
      <c r="O479">
        <v>20.19</v>
      </c>
      <c r="P479">
        <v>19.31</v>
      </c>
      <c r="Q479">
        <v>19.36</v>
      </c>
      <c r="R479">
        <v>19.48</v>
      </c>
      <c r="S479">
        <v>4.52</v>
      </c>
      <c r="T479">
        <v>0.69</v>
      </c>
      <c r="U479">
        <v>-6.64</v>
      </c>
      <c r="V479">
        <v>-220</v>
      </c>
      <c r="W479">
        <v>19.76</v>
      </c>
      <c r="X479" t="s">
        <v>2967</v>
      </c>
      <c r="Y479" t="s">
        <v>1128</v>
      </c>
      <c r="Z479">
        <v>0.8</v>
      </c>
      <c r="AA479">
        <v>411</v>
      </c>
      <c r="AB479">
        <v>248</v>
      </c>
      <c r="AC479">
        <v>3.86</v>
      </c>
      <c r="AD479" t="s">
        <v>302</v>
      </c>
      <c r="AE479" t="s">
        <v>160</v>
      </c>
      <c r="AF479" t="s">
        <v>3912</v>
      </c>
      <c r="AG479" t="s">
        <v>3913</v>
      </c>
      <c r="AH479">
        <v>-1.04</v>
      </c>
      <c r="AI479">
        <v>-4.9</v>
      </c>
      <c r="AJ479">
        <v>7.72</v>
      </c>
      <c r="AK479">
        <v>24.29</v>
      </c>
      <c r="AL479">
        <v>1</v>
      </c>
      <c r="AM479">
        <v>2.52</v>
      </c>
      <c r="AN479">
        <v>-0.5</v>
      </c>
      <c r="AO479">
        <v>4.99</v>
      </c>
      <c r="AP479">
        <v>-20.06</v>
      </c>
    </row>
    <row r="480" spans="1:42">
      <c r="A480">
        <v>479</v>
      </c>
      <c r="B480" t="str">
        <f>"300788"</f>
        <v>300788</v>
      </c>
      <c r="C480" t="s">
        <v>3914</v>
      </c>
      <c r="D480">
        <v>31.9</v>
      </c>
      <c r="E480">
        <v>11.15</v>
      </c>
      <c r="F480">
        <v>3.2</v>
      </c>
      <c r="G480" t="s">
        <v>447</v>
      </c>
      <c r="H480">
        <v>1828</v>
      </c>
      <c r="I480">
        <v>31.9</v>
      </c>
      <c r="J480">
        <v>31.91</v>
      </c>
      <c r="K480" t="s">
        <v>3910</v>
      </c>
      <c r="L480">
        <v>6.41</v>
      </c>
      <c r="M480" t="s">
        <v>46</v>
      </c>
      <c r="N480" t="s">
        <v>2636</v>
      </c>
      <c r="O480">
        <v>32.77</v>
      </c>
      <c r="P480">
        <v>28.97</v>
      </c>
      <c r="Q480">
        <v>29.12</v>
      </c>
      <c r="R480">
        <v>28.7</v>
      </c>
      <c r="S480">
        <v>13.24</v>
      </c>
      <c r="T480">
        <v>1.9</v>
      </c>
      <c r="U480">
        <v>58.87</v>
      </c>
      <c r="V480">
        <v>793</v>
      </c>
      <c r="W480">
        <v>30.84</v>
      </c>
      <c r="X480" t="s">
        <v>3915</v>
      </c>
      <c r="Y480" t="s">
        <v>3462</v>
      </c>
      <c r="Z480">
        <v>0.74</v>
      </c>
      <c r="AA480">
        <v>810</v>
      </c>
      <c r="AB480">
        <v>112</v>
      </c>
      <c r="AC480">
        <v>2.86</v>
      </c>
      <c r="AD480" t="s">
        <v>3916</v>
      </c>
      <c r="AE480" t="s">
        <v>3917</v>
      </c>
      <c r="AF480" t="s">
        <v>3916</v>
      </c>
      <c r="AG480" t="s">
        <v>3917</v>
      </c>
      <c r="AH480">
        <v>7.34</v>
      </c>
      <c r="AI480">
        <v>2.08</v>
      </c>
      <c r="AJ480">
        <v>10.81</v>
      </c>
      <c r="AK480">
        <v>23.29</v>
      </c>
      <c r="AL480">
        <v>1</v>
      </c>
      <c r="AM480">
        <v>11.15</v>
      </c>
      <c r="AN480">
        <v>60.3</v>
      </c>
      <c r="AO480">
        <v>25.44</v>
      </c>
      <c r="AP480">
        <v>59.34</v>
      </c>
    </row>
    <row r="481" spans="1:42">
      <c r="A481">
        <v>480</v>
      </c>
      <c r="B481" t="str">
        <f>"300999"</f>
        <v>300999</v>
      </c>
      <c r="C481" t="s">
        <v>3918</v>
      </c>
      <c r="D481">
        <v>33.76</v>
      </c>
      <c r="E481">
        <v>-3.29</v>
      </c>
      <c r="F481">
        <v>-1.15</v>
      </c>
      <c r="G481" t="s">
        <v>829</v>
      </c>
      <c r="H481">
        <v>724</v>
      </c>
      <c r="I481">
        <v>33.75</v>
      </c>
      <c r="J481">
        <v>33.76</v>
      </c>
      <c r="K481" t="s">
        <v>3910</v>
      </c>
      <c r="L481">
        <v>2.05</v>
      </c>
      <c r="M481" t="s">
        <v>46</v>
      </c>
      <c r="N481" t="s">
        <v>3919</v>
      </c>
      <c r="O481">
        <v>34.83</v>
      </c>
      <c r="P481">
        <v>33.5</v>
      </c>
      <c r="Q481">
        <v>34.81</v>
      </c>
      <c r="R481">
        <v>34.91</v>
      </c>
      <c r="S481">
        <v>3.81</v>
      </c>
      <c r="T481">
        <v>2.05</v>
      </c>
      <c r="U481">
        <v>-69.9</v>
      </c>
      <c r="V481">
        <v>-413</v>
      </c>
      <c r="W481">
        <v>33.85</v>
      </c>
      <c r="X481" t="s">
        <v>3090</v>
      </c>
      <c r="Y481" t="s">
        <v>1951</v>
      </c>
      <c r="Z481">
        <v>1.15</v>
      </c>
      <c r="AA481">
        <v>41</v>
      </c>
      <c r="AB481">
        <v>161</v>
      </c>
      <c r="AC481">
        <v>2.02</v>
      </c>
      <c r="AD481" t="s">
        <v>3920</v>
      </c>
      <c r="AE481" t="s">
        <v>952</v>
      </c>
      <c r="AF481" t="s">
        <v>3921</v>
      </c>
      <c r="AG481" t="s">
        <v>3922</v>
      </c>
      <c r="AH481">
        <v>-3.1</v>
      </c>
      <c r="AI481">
        <v>-3.79</v>
      </c>
      <c r="AJ481">
        <v>3.83</v>
      </c>
      <c r="AK481">
        <v>7.03</v>
      </c>
      <c r="AL481">
        <v>-1</v>
      </c>
      <c r="AM481">
        <v>-3.29</v>
      </c>
      <c r="AN481">
        <v>-22.36</v>
      </c>
      <c r="AO481">
        <v>-3.13</v>
      </c>
      <c r="AP481">
        <v>-17.88</v>
      </c>
    </row>
    <row r="482" spans="1:42">
      <c r="A482">
        <v>481</v>
      </c>
      <c r="B482" t="str">
        <f>"605111"</f>
        <v>605111</v>
      </c>
      <c r="C482" t="s">
        <v>3923</v>
      </c>
      <c r="D482">
        <v>41.49</v>
      </c>
      <c r="E482">
        <v>1.24</v>
      </c>
      <c r="F482">
        <v>0.51</v>
      </c>
      <c r="G482" t="s">
        <v>3924</v>
      </c>
      <c r="H482">
        <v>736</v>
      </c>
      <c r="I482">
        <v>41.49</v>
      </c>
      <c r="J482">
        <v>41.5</v>
      </c>
      <c r="K482" t="s">
        <v>3910</v>
      </c>
      <c r="L482">
        <v>3.05</v>
      </c>
      <c r="M482" t="s">
        <v>46</v>
      </c>
      <c r="N482" t="s">
        <v>261</v>
      </c>
      <c r="O482">
        <v>42.08</v>
      </c>
      <c r="P482">
        <v>40.56</v>
      </c>
      <c r="Q482">
        <v>40.8</v>
      </c>
      <c r="R482">
        <v>40.98</v>
      </c>
      <c r="S482">
        <v>3.71</v>
      </c>
      <c r="T482">
        <v>1</v>
      </c>
      <c r="U482">
        <v>11.62</v>
      </c>
      <c r="V482">
        <v>150</v>
      </c>
      <c r="W482">
        <v>41.45</v>
      </c>
      <c r="X482" t="s">
        <v>743</v>
      </c>
      <c r="Y482" t="s">
        <v>3925</v>
      </c>
      <c r="Z482">
        <v>1.21</v>
      </c>
      <c r="AA482">
        <v>347</v>
      </c>
      <c r="AB482">
        <v>405</v>
      </c>
      <c r="AC482">
        <v>3.47</v>
      </c>
      <c r="AD482" t="s">
        <v>3926</v>
      </c>
      <c r="AE482" t="s">
        <v>3927</v>
      </c>
      <c r="AF482" t="s">
        <v>3928</v>
      </c>
      <c r="AG482" t="s">
        <v>3929</v>
      </c>
      <c r="AH482">
        <v>4.91</v>
      </c>
      <c r="AI482">
        <v>5.47</v>
      </c>
      <c r="AJ482">
        <v>11.4</v>
      </c>
      <c r="AK482">
        <v>18.35</v>
      </c>
      <c r="AL482">
        <v>1</v>
      </c>
      <c r="AM482">
        <v>1.24</v>
      </c>
      <c r="AN482">
        <v>-24.73</v>
      </c>
      <c r="AO482">
        <v>-2.83</v>
      </c>
      <c r="AP482">
        <v>-35.37</v>
      </c>
    </row>
    <row r="483" spans="1:42">
      <c r="A483">
        <v>482</v>
      </c>
      <c r="B483" t="str">
        <f>"000756"</f>
        <v>000756</v>
      </c>
      <c r="C483" t="s">
        <v>3930</v>
      </c>
      <c r="D483">
        <v>21.66</v>
      </c>
      <c r="E483">
        <v>-1.77</v>
      </c>
      <c r="F483">
        <v>-0.39</v>
      </c>
      <c r="G483" t="s">
        <v>1367</v>
      </c>
      <c r="H483">
        <v>2340</v>
      </c>
      <c r="I483">
        <v>21.66</v>
      </c>
      <c r="J483">
        <v>21.67</v>
      </c>
      <c r="K483" t="s">
        <v>3931</v>
      </c>
      <c r="L483">
        <v>3.91</v>
      </c>
      <c r="M483" t="s">
        <v>46</v>
      </c>
      <c r="N483" t="s">
        <v>3932</v>
      </c>
      <c r="O483">
        <v>22.12</v>
      </c>
      <c r="P483">
        <v>21.5</v>
      </c>
      <c r="Q483">
        <v>21.9</v>
      </c>
      <c r="R483">
        <v>22.05</v>
      </c>
      <c r="S483">
        <v>2.81</v>
      </c>
      <c r="T483">
        <v>0.52</v>
      </c>
      <c r="U483">
        <v>18.17</v>
      </c>
      <c r="V483">
        <v>422</v>
      </c>
      <c r="W483">
        <v>21.75</v>
      </c>
      <c r="X483" t="s">
        <v>2058</v>
      </c>
      <c r="Y483" t="s">
        <v>3302</v>
      </c>
      <c r="Z483">
        <v>1.3</v>
      </c>
      <c r="AA483">
        <v>141</v>
      </c>
      <c r="AB483">
        <v>261</v>
      </c>
      <c r="AC483">
        <v>3.26</v>
      </c>
      <c r="AD483" t="s">
        <v>3933</v>
      </c>
      <c r="AE483" t="s">
        <v>3934</v>
      </c>
      <c r="AF483" t="s">
        <v>3935</v>
      </c>
      <c r="AG483" t="s">
        <v>3936</v>
      </c>
      <c r="AH483">
        <v>-2.87</v>
      </c>
      <c r="AI483">
        <v>-1.59</v>
      </c>
      <c r="AJ483">
        <v>14.17</v>
      </c>
      <c r="AK483">
        <v>41.31</v>
      </c>
      <c r="AL483">
        <v>-1</v>
      </c>
      <c r="AM483">
        <v>-1.77</v>
      </c>
      <c r="AN483">
        <v>-27.56</v>
      </c>
      <c r="AO483">
        <v>4.23</v>
      </c>
      <c r="AP483">
        <v>-10.9</v>
      </c>
    </row>
    <row r="484" spans="1:42">
      <c r="A484">
        <v>483</v>
      </c>
      <c r="B484" t="str">
        <f>"300252"</f>
        <v>300252</v>
      </c>
      <c r="C484" t="s">
        <v>3937</v>
      </c>
      <c r="D484">
        <v>10.29</v>
      </c>
      <c r="E484">
        <v>4.15</v>
      </c>
      <c r="F484">
        <v>0.41</v>
      </c>
      <c r="G484" t="s">
        <v>3938</v>
      </c>
      <c r="H484">
        <v>5441</v>
      </c>
      <c r="I484">
        <v>10.28</v>
      </c>
      <c r="J484">
        <v>10.29</v>
      </c>
      <c r="K484" t="s">
        <v>3939</v>
      </c>
      <c r="L484">
        <v>6.83</v>
      </c>
      <c r="M484" t="s">
        <v>46</v>
      </c>
      <c r="N484" t="s">
        <v>3673</v>
      </c>
      <c r="O484">
        <v>10.36</v>
      </c>
      <c r="P484">
        <v>9.79</v>
      </c>
      <c r="Q484">
        <v>9.86</v>
      </c>
      <c r="R484">
        <v>9.88</v>
      </c>
      <c r="S484">
        <v>5.77</v>
      </c>
      <c r="T484">
        <v>1.49</v>
      </c>
      <c r="U484">
        <v>5.53</v>
      </c>
      <c r="V484">
        <v>785</v>
      </c>
      <c r="W484">
        <v>10.17</v>
      </c>
      <c r="X484" t="s">
        <v>830</v>
      </c>
      <c r="Y484" t="s">
        <v>2850</v>
      </c>
      <c r="Z484">
        <v>0.55</v>
      </c>
      <c r="AA484">
        <v>3774</v>
      </c>
      <c r="AB484">
        <v>757</v>
      </c>
      <c r="AC484">
        <v>2.83</v>
      </c>
      <c r="AD484" t="s">
        <v>3940</v>
      </c>
      <c r="AE484" t="s">
        <v>3941</v>
      </c>
      <c r="AF484" t="s">
        <v>3942</v>
      </c>
      <c r="AG484" t="s">
        <v>3943</v>
      </c>
      <c r="AH484">
        <v>3.83</v>
      </c>
      <c r="AI484">
        <v>0.19</v>
      </c>
      <c r="AJ484">
        <v>16.04</v>
      </c>
      <c r="AK484">
        <v>29.82</v>
      </c>
      <c r="AL484">
        <v>1</v>
      </c>
      <c r="AM484">
        <v>4.15</v>
      </c>
      <c r="AN484">
        <v>39.62</v>
      </c>
      <c r="AO484">
        <v>9</v>
      </c>
      <c r="AP484">
        <v>29.11</v>
      </c>
    </row>
    <row r="485" spans="1:42">
      <c r="A485">
        <v>484</v>
      </c>
      <c r="B485" t="str">
        <f>"600355"</f>
        <v>600355</v>
      </c>
      <c r="C485" t="s">
        <v>3944</v>
      </c>
      <c r="D485">
        <v>5.33</v>
      </c>
      <c r="E485">
        <v>2.9</v>
      </c>
      <c r="F485">
        <v>0.15</v>
      </c>
      <c r="G485" t="s">
        <v>3945</v>
      </c>
      <c r="H485" t="s">
        <v>2284</v>
      </c>
      <c r="I485">
        <v>5.33</v>
      </c>
      <c r="J485">
        <v>5.34</v>
      </c>
      <c r="K485" t="s">
        <v>3946</v>
      </c>
      <c r="L485">
        <v>14.12</v>
      </c>
      <c r="M485" t="s">
        <v>46</v>
      </c>
      <c r="N485" t="s">
        <v>3947</v>
      </c>
      <c r="O485">
        <v>5.49</v>
      </c>
      <c r="P485">
        <v>5.13</v>
      </c>
      <c r="Q485">
        <v>5.15</v>
      </c>
      <c r="R485">
        <v>5.18</v>
      </c>
      <c r="S485">
        <v>6.95</v>
      </c>
      <c r="T485">
        <v>2.18</v>
      </c>
      <c r="U485">
        <v>18.14</v>
      </c>
      <c r="V485">
        <v>5044</v>
      </c>
      <c r="W485">
        <v>5.33</v>
      </c>
      <c r="X485" t="s">
        <v>674</v>
      </c>
      <c r="Y485" t="s">
        <v>1628</v>
      </c>
      <c r="Z485">
        <v>0.78</v>
      </c>
      <c r="AA485">
        <v>4619</v>
      </c>
      <c r="AB485">
        <v>4078</v>
      </c>
      <c r="AC485">
        <v>13.88</v>
      </c>
      <c r="AD485" t="s">
        <v>3948</v>
      </c>
      <c r="AE485" t="s">
        <v>3949</v>
      </c>
      <c r="AF485" t="s">
        <v>3948</v>
      </c>
      <c r="AG485" t="s">
        <v>3949</v>
      </c>
      <c r="AH485">
        <v>2.7</v>
      </c>
      <c r="AI485">
        <v>-0.37</v>
      </c>
      <c r="AJ485">
        <v>25.89</v>
      </c>
      <c r="AK485">
        <v>46.51</v>
      </c>
      <c r="AL485">
        <v>1</v>
      </c>
      <c r="AM485">
        <v>2.9</v>
      </c>
      <c r="AN485">
        <v>64.51</v>
      </c>
      <c r="AO485">
        <v>5.34</v>
      </c>
      <c r="AP485">
        <v>51.85</v>
      </c>
    </row>
    <row r="486" spans="1:42">
      <c r="A486">
        <v>485</v>
      </c>
      <c r="B486" t="str">
        <f>"300226"</f>
        <v>300226</v>
      </c>
      <c r="C486" t="s">
        <v>3950</v>
      </c>
      <c r="D486">
        <v>27.1</v>
      </c>
      <c r="E486">
        <v>5.69</v>
      </c>
      <c r="F486">
        <v>1.46</v>
      </c>
      <c r="G486" t="s">
        <v>1207</v>
      </c>
      <c r="H486">
        <v>1793</v>
      </c>
      <c r="I486">
        <v>27.1</v>
      </c>
      <c r="J486">
        <v>27.11</v>
      </c>
      <c r="K486" t="s">
        <v>3946</v>
      </c>
      <c r="L486">
        <v>4.49</v>
      </c>
      <c r="M486" t="s">
        <v>46</v>
      </c>
      <c r="N486" t="s">
        <v>3951</v>
      </c>
      <c r="O486">
        <v>27.25</v>
      </c>
      <c r="P486">
        <v>25.56</v>
      </c>
      <c r="Q486">
        <v>25.56</v>
      </c>
      <c r="R486">
        <v>25.64</v>
      </c>
      <c r="S486">
        <v>6.59</v>
      </c>
      <c r="T486">
        <v>1.15</v>
      </c>
      <c r="U486">
        <v>-29.13</v>
      </c>
      <c r="V486">
        <v>-354</v>
      </c>
      <c r="W486">
        <v>26.6</v>
      </c>
      <c r="X486" t="s">
        <v>2735</v>
      </c>
      <c r="Y486" t="s">
        <v>3743</v>
      </c>
      <c r="Z486">
        <v>0.66</v>
      </c>
      <c r="AA486">
        <v>295</v>
      </c>
      <c r="AB486">
        <v>210</v>
      </c>
      <c r="AC486">
        <v>4.52</v>
      </c>
      <c r="AD486" t="s">
        <v>3952</v>
      </c>
      <c r="AE486" t="s">
        <v>3953</v>
      </c>
      <c r="AF486" t="s">
        <v>3954</v>
      </c>
      <c r="AG486" t="s">
        <v>3955</v>
      </c>
      <c r="AH486">
        <v>2.53</v>
      </c>
      <c r="AI486">
        <v>-0.62</v>
      </c>
      <c r="AJ486">
        <v>8.95</v>
      </c>
      <c r="AK486">
        <v>24.01</v>
      </c>
      <c r="AL486">
        <v>1</v>
      </c>
      <c r="AM486">
        <v>5.69</v>
      </c>
      <c r="AN486">
        <v>17.72</v>
      </c>
      <c r="AO486">
        <v>7.58</v>
      </c>
      <c r="AP486">
        <v>46.88</v>
      </c>
    </row>
    <row r="487" spans="1:42">
      <c r="A487">
        <v>486</v>
      </c>
      <c r="B487" t="str">
        <f>"002906"</f>
        <v>002906</v>
      </c>
      <c r="C487" t="s">
        <v>3956</v>
      </c>
      <c r="D487">
        <v>34.5</v>
      </c>
      <c r="E487">
        <v>-0.49</v>
      </c>
      <c r="F487">
        <v>-0.17</v>
      </c>
      <c r="G487" t="s">
        <v>1909</v>
      </c>
      <c r="H487">
        <v>1437</v>
      </c>
      <c r="I487">
        <v>34.5</v>
      </c>
      <c r="J487">
        <v>34.51</v>
      </c>
      <c r="K487" t="s">
        <v>3946</v>
      </c>
      <c r="L487">
        <v>2.25</v>
      </c>
      <c r="M487" t="s">
        <v>46</v>
      </c>
      <c r="N487" t="s">
        <v>3957</v>
      </c>
      <c r="O487">
        <v>34.97</v>
      </c>
      <c r="P487">
        <v>33.98</v>
      </c>
      <c r="Q487">
        <v>34.67</v>
      </c>
      <c r="R487">
        <v>34.67</v>
      </c>
      <c r="S487">
        <v>2.86</v>
      </c>
      <c r="T487">
        <v>0.49</v>
      </c>
      <c r="U487">
        <v>28.24</v>
      </c>
      <c r="V487">
        <v>233</v>
      </c>
      <c r="W487">
        <v>34.44</v>
      </c>
      <c r="X487" t="s">
        <v>3958</v>
      </c>
      <c r="Y487" t="s">
        <v>3959</v>
      </c>
      <c r="Z487">
        <v>1.52</v>
      </c>
      <c r="AA487">
        <v>92</v>
      </c>
      <c r="AB487">
        <v>189</v>
      </c>
      <c r="AC487">
        <v>3.12</v>
      </c>
      <c r="AD487" t="s">
        <v>3960</v>
      </c>
      <c r="AE487" t="s">
        <v>3961</v>
      </c>
      <c r="AF487" t="s">
        <v>3962</v>
      </c>
      <c r="AG487" t="s">
        <v>3963</v>
      </c>
      <c r="AH487">
        <v>-5.35</v>
      </c>
      <c r="AI487">
        <v>-2.76</v>
      </c>
      <c r="AJ487">
        <v>8.97</v>
      </c>
      <c r="AK487">
        <v>24.99</v>
      </c>
      <c r="AL487">
        <v>-4</v>
      </c>
      <c r="AM487">
        <v>-0.49</v>
      </c>
      <c r="AN487">
        <v>4.64</v>
      </c>
      <c r="AO487">
        <v>1.38</v>
      </c>
      <c r="AP487">
        <v>-0.23</v>
      </c>
    </row>
    <row r="488" spans="1:42">
      <c r="A488">
        <v>487</v>
      </c>
      <c r="B488" t="str">
        <f>"600580"</f>
        <v>600580</v>
      </c>
      <c r="C488" t="s">
        <v>3964</v>
      </c>
      <c r="D488">
        <v>12.1</v>
      </c>
      <c r="E488">
        <v>-1.94</v>
      </c>
      <c r="F488">
        <v>-0.24</v>
      </c>
      <c r="G488" t="s">
        <v>143</v>
      </c>
      <c r="H488">
        <v>3370</v>
      </c>
      <c r="I488">
        <v>12.1</v>
      </c>
      <c r="J488">
        <v>12.11</v>
      </c>
      <c r="K488" t="s">
        <v>3850</v>
      </c>
      <c r="L488">
        <v>2.34</v>
      </c>
      <c r="M488" t="s">
        <v>46</v>
      </c>
      <c r="N488" t="s">
        <v>3965</v>
      </c>
      <c r="O488">
        <v>12.32</v>
      </c>
      <c r="P488">
        <v>11.97</v>
      </c>
      <c r="Q488">
        <v>12.27</v>
      </c>
      <c r="R488">
        <v>12.34</v>
      </c>
      <c r="S488">
        <v>2.84</v>
      </c>
      <c r="T488">
        <v>1.11</v>
      </c>
      <c r="U488">
        <v>-2.41</v>
      </c>
      <c r="V488">
        <v>-135</v>
      </c>
      <c r="W488">
        <v>12.08</v>
      </c>
      <c r="X488" t="s">
        <v>1509</v>
      </c>
      <c r="Y488" t="s">
        <v>1438</v>
      </c>
      <c r="Z488">
        <v>1.79</v>
      </c>
      <c r="AA488">
        <v>551</v>
      </c>
      <c r="AB488">
        <v>710</v>
      </c>
      <c r="AC488">
        <v>1.62</v>
      </c>
      <c r="AD488" t="s">
        <v>3966</v>
      </c>
      <c r="AE488" t="s">
        <v>3967</v>
      </c>
      <c r="AF488" t="s">
        <v>3968</v>
      </c>
      <c r="AG488" t="s">
        <v>3969</v>
      </c>
      <c r="AH488">
        <v>0.67</v>
      </c>
      <c r="AI488">
        <v>1</v>
      </c>
      <c r="AJ488">
        <v>9.84</v>
      </c>
      <c r="AK488">
        <v>12.84</v>
      </c>
      <c r="AL488">
        <v>-2</v>
      </c>
      <c r="AM488">
        <v>-1.94</v>
      </c>
      <c r="AN488">
        <v>-1.71</v>
      </c>
      <c r="AO488">
        <v>3.6</v>
      </c>
      <c r="AP488">
        <v>-3.74</v>
      </c>
    </row>
    <row r="489" spans="1:42">
      <c r="A489">
        <v>488</v>
      </c>
      <c r="B489" t="str">
        <f>"300608"</f>
        <v>300608</v>
      </c>
      <c r="C489" t="s">
        <v>3970</v>
      </c>
      <c r="D489">
        <v>15.02</v>
      </c>
      <c r="E489">
        <v>0.94</v>
      </c>
      <c r="F489">
        <v>0.14</v>
      </c>
      <c r="G489" t="s">
        <v>2096</v>
      </c>
      <c r="H489">
        <v>4758</v>
      </c>
      <c r="I489">
        <v>15.02</v>
      </c>
      <c r="J489">
        <v>15.03</v>
      </c>
      <c r="K489" t="s">
        <v>3850</v>
      </c>
      <c r="L489">
        <v>9.15</v>
      </c>
      <c r="M489" t="s">
        <v>46</v>
      </c>
      <c r="N489" t="s">
        <v>804</v>
      </c>
      <c r="O489">
        <v>15.06</v>
      </c>
      <c r="P489">
        <v>14.66</v>
      </c>
      <c r="Q489">
        <v>14.85</v>
      </c>
      <c r="R489">
        <v>14.88</v>
      </c>
      <c r="S489">
        <v>2.69</v>
      </c>
      <c r="T489">
        <v>0.86</v>
      </c>
      <c r="U489">
        <v>26.54</v>
      </c>
      <c r="V489">
        <v>1125</v>
      </c>
      <c r="W489">
        <v>14.87</v>
      </c>
      <c r="X489" t="s">
        <v>3971</v>
      </c>
      <c r="Y489" t="s">
        <v>1790</v>
      </c>
      <c r="Z489">
        <v>1.05</v>
      </c>
      <c r="AA489">
        <v>663</v>
      </c>
      <c r="AB489">
        <v>461</v>
      </c>
      <c r="AC489">
        <v>3.39</v>
      </c>
      <c r="AD489" t="s">
        <v>3972</v>
      </c>
      <c r="AE489" t="s">
        <v>3973</v>
      </c>
      <c r="AF489" t="s">
        <v>3974</v>
      </c>
      <c r="AG489" t="s">
        <v>3975</v>
      </c>
      <c r="AH489">
        <v>-3.35</v>
      </c>
      <c r="AI489">
        <v>-2.34</v>
      </c>
      <c r="AJ489">
        <v>30.26</v>
      </c>
      <c r="AK489">
        <v>62.17</v>
      </c>
      <c r="AL489">
        <v>2</v>
      </c>
      <c r="AM489">
        <v>0.94</v>
      </c>
      <c r="AN489">
        <v>84.29</v>
      </c>
      <c r="AO489">
        <v>37.92</v>
      </c>
      <c r="AP489">
        <v>68.39</v>
      </c>
    </row>
    <row r="490" spans="1:42">
      <c r="A490">
        <v>489</v>
      </c>
      <c r="B490" t="str">
        <f>"603488"</f>
        <v>603488</v>
      </c>
      <c r="C490" t="s">
        <v>3976</v>
      </c>
      <c r="D490">
        <v>10.75</v>
      </c>
      <c r="E490">
        <v>8.26</v>
      </c>
      <c r="F490">
        <v>0.82</v>
      </c>
      <c r="G490" t="s">
        <v>1584</v>
      </c>
      <c r="H490">
        <v>3708</v>
      </c>
      <c r="I490">
        <v>10.72</v>
      </c>
      <c r="J490">
        <v>10.75</v>
      </c>
      <c r="K490" t="s">
        <v>3977</v>
      </c>
      <c r="L490">
        <v>11.95</v>
      </c>
      <c r="M490" t="s">
        <v>46</v>
      </c>
      <c r="N490" t="s">
        <v>2259</v>
      </c>
      <c r="O490">
        <v>10.92</v>
      </c>
      <c r="P490">
        <v>9.82</v>
      </c>
      <c r="Q490">
        <v>9.94</v>
      </c>
      <c r="R490">
        <v>9.93</v>
      </c>
      <c r="S490">
        <v>11.08</v>
      </c>
      <c r="T490">
        <v>1.18</v>
      </c>
      <c r="U490">
        <v>-31.88</v>
      </c>
      <c r="V490">
        <v>-2348</v>
      </c>
      <c r="W490">
        <v>10.55</v>
      </c>
      <c r="X490" t="s">
        <v>869</v>
      </c>
      <c r="Y490" t="s">
        <v>796</v>
      </c>
      <c r="Z490">
        <v>1.24</v>
      </c>
      <c r="AA490">
        <v>17</v>
      </c>
      <c r="AB490">
        <v>256</v>
      </c>
      <c r="AC490">
        <v>3.19</v>
      </c>
      <c r="AD490" t="s">
        <v>3978</v>
      </c>
      <c r="AE490" t="s">
        <v>3979</v>
      </c>
      <c r="AF490" t="s">
        <v>3978</v>
      </c>
      <c r="AG490" t="s">
        <v>3979</v>
      </c>
      <c r="AH490">
        <v>9.25</v>
      </c>
      <c r="AI490">
        <v>-3.59</v>
      </c>
      <c r="AJ490">
        <v>26.11</v>
      </c>
      <c r="AK490">
        <v>62.72</v>
      </c>
      <c r="AL490">
        <v>2</v>
      </c>
      <c r="AM490">
        <v>8.26</v>
      </c>
      <c r="AN490">
        <v>69.03</v>
      </c>
      <c r="AO490">
        <v>20.92</v>
      </c>
      <c r="AP490">
        <v>55.8</v>
      </c>
    </row>
    <row r="491" spans="1:42">
      <c r="A491">
        <v>490</v>
      </c>
      <c r="B491" t="str">
        <f>"301215"</f>
        <v>301215</v>
      </c>
      <c r="C491" t="s">
        <v>3980</v>
      </c>
      <c r="D491">
        <v>6.91</v>
      </c>
      <c r="E491">
        <v>2.83</v>
      </c>
      <c r="F491">
        <v>0.19</v>
      </c>
      <c r="G491" t="s">
        <v>988</v>
      </c>
      <c r="H491">
        <v>5943</v>
      </c>
      <c r="I491">
        <v>6.91</v>
      </c>
      <c r="J491">
        <v>6.92</v>
      </c>
      <c r="K491" t="s">
        <v>3981</v>
      </c>
      <c r="L491">
        <v>7</v>
      </c>
      <c r="M491" t="s">
        <v>46</v>
      </c>
      <c r="N491" t="s">
        <v>3982</v>
      </c>
      <c r="O491">
        <v>6.98</v>
      </c>
      <c r="P491">
        <v>6.61</v>
      </c>
      <c r="Q491">
        <v>6.71</v>
      </c>
      <c r="R491">
        <v>6.72</v>
      </c>
      <c r="S491">
        <v>5.51</v>
      </c>
      <c r="T491">
        <v>0.55</v>
      </c>
      <c r="U491">
        <v>-24.74</v>
      </c>
      <c r="V491">
        <v>-3014</v>
      </c>
      <c r="W491">
        <v>6.83</v>
      </c>
      <c r="X491" t="s">
        <v>1411</v>
      </c>
      <c r="Y491" t="s">
        <v>92</v>
      </c>
      <c r="Z491">
        <v>0.91</v>
      </c>
      <c r="AA491">
        <v>150</v>
      </c>
      <c r="AB491">
        <v>1466</v>
      </c>
      <c r="AC491">
        <v>3.29</v>
      </c>
      <c r="AD491" t="s">
        <v>3799</v>
      </c>
      <c r="AE491" t="s">
        <v>3983</v>
      </c>
      <c r="AF491" t="s">
        <v>3984</v>
      </c>
      <c r="AG491" t="s">
        <v>3985</v>
      </c>
      <c r="AH491">
        <v>-5.6</v>
      </c>
      <c r="AI491">
        <v>-8.36</v>
      </c>
      <c r="AJ491">
        <v>23.36</v>
      </c>
      <c r="AK491">
        <v>70.21</v>
      </c>
      <c r="AL491">
        <v>1</v>
      </c>
      <c r="AM491">
        <v>2.83</v>
      </c>
      <c r="AN491">
        <v>34.96</v>
      </c>
      <c r="AO491">
        <v>14.98</v>
      </c>
      <c r="AP491">
        <v>23.61</v>
      </c>
    </row>
    <row r="492" spans="1:42">
      <c r="A492">
        <v>491</v>
      </c>
      <c r="B492" t="str">
        <f>"300691"</f>
        <v>300691</v>
      </c>
      <c r="C492" t="s">
        <v>3986</v>
      </c>
      <c r="D492">
        <v>20.7</v>
      </c>
      <c r="E492">
        <v>-3.18</v>
      </c>
      <c r="F492">
        <v>-0.68</v>
      </c>
      <c r="G492" t="s">
        <v>625</v>
      </c>
      <c r="H492">
        <v>2321</v>
      </c>
      <c r="I492">
        <v>20.7</v>
      </c>
      <c r="J492">
        <v>20.71</v>
      </c>
      <c r="K492" t="s">
        <v>3987</v>
      </c>
      <c r="L492">
        <v>8.84</v>
      </c>
      <c r="M492" t="s">
        <v>46</v>
      </c>
      <c r="N492" t="s">
        <v>958</v>
      </c>
      <c r="O492">
        <v>21.06</v>
      </c>
      <c r="P492">
        <v>20.2</v>
      </c>
      <c r="Q492">
        <v>21.02</v>
      </c>
      <c r="R492">
        <v>21.38</v>
      </c>
      <c r="S492">
        <v>4.02</v>
      </c>
      <c r="T492">
        <v>0.92</v>
      </c>
      <c r="U492">
        <v>65.37</v>
      </c>
      <c r="V492">
        <v>1390</v>
      </c>
      <c r="W492">
        <v>20.65</v>
      </c>
      <c r="X492" t="s">
        <v>3988</v>
      </c>
      <c r="Y492" t="s">
        <v>2782</v>
      </c>
      <c r="Z492">
        <v>1.2</v>
      </c>
      <c r="AA492">
        <v>964</v>
      </c>
      <c r="AB492">
        <v>197</v>
      </c>
      <c r="AC492">
        <v>3.37</v>
      </c>
      <c r="AD492" t="s">
        <v>3989</v>
      </c>
      <c r="AE492" t="s">
        <v>3990</v>
      </c>
      <c r="AF492" t="s">
        <v>3991</v>
      </c>
      <c r="AG492" t="s">
        <v>3992</v>
      </c>
      <c r="AH492">
        <v>1.12</v>
      </c>
      <c r="AI492">
        <v>5.67</v>
      </c>
      <c r="AJ492">
        <v>32.31</v>
      </c>
      <c r="AK492">
        <v>56.97</v>
      </c>
      <c r="AL492">
        <v>-1</v>
      </c>
      <c r="AM492">
        <v>-3.18</v>
      </c>
      <c r="AN492">
        <v>67.88</v>
      </c>
      <c r="AO492">
        <v>12.44</v>
      </c>
      <c r="AP492">
        <v>44.86</v>
      </c>
    </row>
    <row r="493" spans="1:42">
      <c r="A493">
        <v>492</v>
      </c>
      <c r="B493" t="str">
        <f>"300026"</f>
        <v>300026</v>
      </c>
      <c r="C493" t="s">
        <v>3993</v>
      </c>
      <c r="D493">
        <v>4.52</v>
      </c>
      <c r="E493">
        <v>1.8</v>
      </c>
      <c r="F493">
        <v>0.08</v>
      </c>
      <c r="G493" t="s">
        <v>3994</v>
      </c>
      <c r="H493">
        <v>7216</v>
      </c>
      <c r="I493">
        <v>4.52</v>
      </c>
      <c r="J493">
        <v>4.53</v>
      </c>
      <c r="K493" t="s">
        <v>3995</v>
      </c>
      <c r="L493">
        <v>2.93</v>
      </c>
      <c r="M493" t="s">
        <v>46</v>
      </c>
      <c r="N493" t="s">
        <v>3996</v>
      </c>
      <c r="O493">
        <v>4.57</v>
      </c>
      <c r="P493">
        <v>4.41</v>
      </c>
      <c r="Q493">
        <v>4.43</v>
      </c>
      <c r="R493">
        <v>4.44</v>
      </c>
      <c r="S493">
        <v>3.6</v>
      </c>
      <c r="T493">
        <v>0.66</v>
      </c>
      <c r="U493">
        <v>-38.38</v>
      </c>
      <c r="V493" t="s">
        <v>3997</v>
      </c>
      <c r="W493">
        <v>4.51</v>
      </c>
      <c r="X493" t="s">
        <v>3998</v>
      </c>
      <c r="Y493" t="s">
        <v>3999</v>
      </c>
      <c r="Z493">
        <v>0.77</v>
      </c>
      <c r="AA493">
        <v>957</v>
      </c>
      <c r="AB493">
        <v>4884</v>
      </c>
      <c r="AC493">
        <v>1.56</v>
      </c>
      <c r="AD493" t="s">
        <v>4000</v>
      </c>
      <c r="AE493" t="s">
        <v>511</v>
      </c>
      <c r="AF493" t="s">
        <v>4001</v>
      </c>
      <c r="AG493" t="s">
        <v>4002</v>
      </c>
      <c r="AH493">
        <v>-2.8</v>
      </c>
      <c r="AI493">
        <v>-3</v>
      </c>
      <c r="AJ493">
        <v>10.39</v>
      </c>
      <c r="AK493">
        <v>25.19</v>
      </c>
      <c r="AL493">
        <v>1</v>
      </c>
      <c r="AM493">
        <v>1.8</v>
      </c>
      <c r="AN493">
        <v>-20</v>
      </c>
      <c r="AO493">
        <v>1.12</v>
      </c>
      <c r="AP493">
        <v>-34.01</v>
      </c>
    </row>
    <row r="494" spans="1:42">
      <c r="A494">
        <v>493</v>
      </c>
      <c r="B494" t="str">
        <f>"002451"</f>
        <v>002451</v>
      </c>
      <c r="C494" t="s">
        <v>4003</v>
      </c>
      <c r="D494">
        <v>7.17</v>
      </c>
      <c r="E494">
        <v>-1.1</v>
      </c>
      <c r="F494">
        <v>-0.08</v>
      </c>
      <c r="G494" t="s">
        <v>4004</v>
      </c>
      <c r="H494">
        <v>3070</v>
      </c>
      <c r="I494">
        <v>7.16</v>
      </c>
      <c r="J494">
        <v>7.17</v>
      </c>
      <c r="K494" t="s">
        <v>3995</v>
      </c>
      <c r="L494">
        <v>11.31</v>
      </c>
      <c r="M494" t="s">
        <v>46</v>
      </c>
      <c r="N494" t="s">
        <v>1637</v>
      </c>
      <c r="O494">
        <v>7.77</v>
      </c>
      <c r="P494">
        <v>7.14</v>
      </c>
      <c r="Q494">
        <v>7.3</v>
      </c>
      <c r="R494">
        <v>7.25</v>
      </c>
      <c r="S494">
        <v>8.69</v>
      </c>
      <c r="T494">
        <v>4.41</v>
      </c>
      <c r="U494">
        <v>23.89</v>
      </c>
      <c r="V494">
        <v>1880</v>
      </c>
      <c r="W494">
        <v>7.33</v>
      </c>
      <c r="X494" t="s">
        <v>1411</v>
      </c>
      <c r="Y494" t="s">
        <v>142</v>
      </c>
      <c r="Z494">
        <v>1.05</v>
      </c>
      <c r="AA494">
        <v>585</v>
      </c>
      <c r="AB494">
        <v>504</v>
      </c>
      <c r="AC494">
        <v>4.2</v>
      </c>
      <c r="AD494" t="s">
        <v>4005</v>
      </c>
      <c r="AE494" t="s">
        <v>4006</v>
      </c>
      <c r="AF494" t="s">
        <v>4007</v>
      </c>
      <c r="AG494" t="s">
        <v>4006</v>
      </c>
      <c r="AH494">
        <v>2.14</v>
      </c>
      <c r="AI494">
        <v>1.85</v>
      </c>
      <c r="AJ494">
        <v>18.32</v>
      </c>
      <c r="AK494">
        <v>24.13</v>
      </c>
      <c r="AL494">
        <v>-1</v>
      </c>
      <c r="AM494">
        <v>-1.1</v>
      </c>
      <c r="AN494">
        <v>24.26</v>
      </c>
      <c r="AO494">
        <v>5.44</v>
      </c>
      <c r="AP494">
        <v>15.27</v>
      </c>
    </row>
    <row r="495" spans="1:42">
      <c r="A495">
        <v>494</v>
      </c>
      <c r="B495" t="str">
        <f>"603160"</f>
        <v>603160</v>
      </c>
      <c r="C495" t="s">
        <v>4008</v>
      </c>
      <c r="D495">
        <v>71.28</v>
      </c>
      <c r="E495">
        <v>-2.01</v>
      </c>
      <c r="F495">
        <v>-1.46</v>
      </c>
      <c r="G495" t="s">
        <v>4009</v>
      </c>
      <c r="H495">
        <v>587</v>
      </c>
      <c r="I495">
        <v>71.27</v>
      </c>
      <c r="J495">
        <v>71.28</v>
      </c>
      <c r="K495" t="s">
        <v>4010</v>
      </c>
      <c r="L495">
        <v>1.11</v>
      </c>
      <c r="M495" t="s">
        <v>46</v>
      </c>
      <c r="N495" t="s">
        <v>4011</v>
      </c>
      <c r="O495">
        <v>72.22</v>
      </c>
      <c r="P495">
        <v>70.85</v>
      </c>
      <c r="Q495">
        <v>72</v>
      </c>
      <c r="R495">
        <v>72.74</v>
      </c>
      <c r="S495">
        <v>1.88</v>
      </c>
      <c r="T495">
        <v>1.52</v>
      </c>
      <c r="U495">
        <v>-60</v>
      </c>
      <c r="V495">
        <v>-117</v>
      </c>
      <c r="W495">
        <v>71.38</v>
      </c>
      <c r="X495" t="s">
        <v>4012</v>
      </c>
      <c r="Y495" t="s">
        <v>4013</v>
      </c>
      <c r="Z495">
        <v>1.05</v>
      </c>
      <c r="AA495">
        <v>8</v>
      </c>
      <c r="AB495">
        <v>39</v>
      </c>
      <c r="AC495">
        <v>4.13</v>
      </c>
      <c r="AD495" t="s">
        <v>4014</v>
      </c>
      <c r="AE495" t="s">
        <v>4015</v>
      </c>
      <c r="AF495" t="s">
        <v>4014</v>
      </c>
      <c r="AG495" t="s">
        <v>4015</v>
      </c>
      <c r="AH495">
        <v>-1.91</v>
      </c>
      <c r="AI495">
        <v>-2.09</v>
      </c>
      <c r="AJ495">
        <v>2.84</v>
      </c>
      <c r="AK495">
        <v>4.77</v>
      </c>
      <c r="AL495">
        <v>-1</v>
      </c>
      <c r="AM495">
        <v>-2.01</v>
      </c>
      <c r="AN495">
        <v>41.99</v>
      </c>
      <c r="AO495">
        <v>-6.46</v>
      </c>
      <c r="AP495">
        <v>40.01</v>
      </c>
    </row>
    <row r="496" spans="1:42">
      <c r="A496">
        <v>495</v>
      </c>
      <c r="B496" t="str">
        <f>"300241"</f>
        <v>300241</v>
      </c>
      <c r="C496" t="s">
        <v>4016</v>
      </c>
      <c r="D496">
        <v>5.68</v>
      </c>
      <c r="E496">
        <v>-2.57</v>
      </c>
      <c r="F496">
        <v>-0.15</v>
      </c>
      <c r="G496" t="s">
        <v>3048</v>
      </c>
      <c r="H496" t="s">
        <v>4017</v>
      </c>
      <c r="I496">
        <v>5.68</v>
      </c>
      <c r="J496">
        <v>5.69</v>
      </c>
      <c r="K496" t="s">
        <v>4010</v>
      </c>
      <c r="L496">
        <v>11.16</v>
      </c>
      <c r="M496" t="s">
        <v>46</v>
      </c>
      <c r="N496" t="s">
        <v>289</v>
      </c>
      <c r="O496">
        <v>5.81</v>
      </c>
      <c r="P496">
        <v>5.64</v>
      </c>
      <c r="Q496">
        <v>5.81</v>
      </c>
      <c r="R496">
        <v>5.83</v>
      </c>
      <c r="S496">
        <v>2.92</v>
      </c>
      <c r="T496">
        <v>0.9</v>
      </c>
      <c r="U496">
        <v>45.37</v>
      </c>
      <c r="V496">
        <v>9797</v>
      </c>
      <c r="W496">
        <v>5.69</v>
      </c>
      <c r="X496" t="s">
        <v>890</v>
      </c>
      <c r="Y496" t="s">
        <v>1015</v>
      </c>
      <c r="Z496">
        <v>1.42</v>
      </c>
      <c r="AA496">
        <v>3045</v>
      </c>
      <c r="AB496">
        <v>520</v>
      </c>
      <c r="AC496">
        <v>1.84</v>
      </c>
      <c r="AD496" t="s">
        <v>4018</v>
      </c>
      <c r="AE496" t="s">
        <v>4019</v>
      </c>
      <c r="AF496" t="s">
        <v>4020</v>
      </c>
      <c r="AG496" t="s">
        <v>4021</v>
      </c>
      <c r="AH496">
        <v>-12.88</v>
      </c>
      <c r="AI496">
        <v>3.84</v>
      </c>
      <c r="AJ496">
        <v>60.06</v>
      </c>
      <c r="AK496">
        <v>73.03</v>
      </c>
      <c r="AL496">
        <v>-3</v>
      </c>
      <c r="AM496">
        <v>-2.57</v>
      </c>
      <c r="AN496">
        <v>19.33</v>
      </c>
      <c r="AO496">
        <v>6.57</v>
      </c>
      <c r="AP496">
        <v>12.25</v>
      </c>
    </row>
    <row r="497" spans="1:42">
      <c r="A497">
        <v>496</v>
      </c>
      <c r="B497" t="str">
        <f>"300693"</f>
        <v>300693</v>
      </c>
      <c r="C497" t="s">
        <v>4022</v>
      </c>
      <c r="D497">
        <v>27.77</v>
      </c>
      <c r="E497">
        <v>-1.73</v>
      </c>
      <c r="F497">
        <v>-0.49</v>
      </c>
      <c r="G497" t="s">
        <v>1915</v>
      </c>
      <c r="H497">
        <v>949</v>
      </c>
      <c r="I497">
        <v>27.77</v>
      </c>
      <c r="J497">
        <v>27.78</v>
      </c>
      <c r="K497" t="s">
        <v>4023</v>
      </c>
      <c r="L497">
        <v>5.23</v>
      </c>
      <c r="M497" t="s">
        <v>46</v>
      </c>
      <c r="N497" t="s">
        <v>4024</v>
      </c>
      <c r="O497">
        <v>28.94</v>
      </c>
      <c r="P497">
        <v>27.36</v>
      </c>
      <c r="Q497">
        <v>28.81</v>
      </c>
      <c r="R497">
        <v>28.26</v>
      </c>
      <c r="S497">
        <v>5.59</v>
      </c>
      <c r="T497">
        <v>1.26</v>
      </c>
      <c r="U497">
        <v>56.39</v>
      </c>
      <c r="V497">
        <v>934</v>
      </c>
      <c r="W497">
        <v>28</v>
      </c>
      <c r="X497" t="s">
        <v>700</v>
      </c>
      <c r="Y497" t="s">
        <v>1985</v>
      </c>
      <c r="Z497">
        <v>1.44</v>
      </c>
      <c r="AA497">
        <v>89</v>
      </c>
      <c r="AB497">
        <v>23</v>
      </c>
      <c r="AC497">
        <v>6.42</v>
      </c>
      <c r="AD497" t="s">
        <v>4025</v>
      </c>
      <c r="AE497" t="s">
        <v>2919</v>
      </c>
      <c r="AF497" t="s">
        <v>4026</v>
      </c>
      <c r="AG497" t="s">
        <v>4027</v>
      </c>
      <c r="AH497">
        <v>1.95</v>
      </c>
      <c r="AI497">
        <v>-2.83</v>
      </c>
      <c r="AJ497">
        <v>16.96</v>
      </c>
      <c r="AK497">
        <v>25.96</v>
      </c>
      <c r="AL497">
        <v>-1</v>
      </c>
      <c r="AM497">
        <v>-1.73</v>
      </c>
      <c r="AN497">
        <v>-23.12</v>
      </c>
      <c r="AO497">
        <v>4.75</v>
      </c>
      <c r="AP497">
        <v>-20.5</v>
      </c>
    </row>
    <row r="498" spans="1:42">
      <c r="A498">
        <v>497</v>
      </c>
      <c r="B498" t="str">
        <f>"002493"</f>
        <v>002493</v>
      </c>
      <c r="C498" t="s">
        <v>4028</v>
      </c>
      <c r="D498">
        <v>10.51</v>
      </c>
      <c r="E498">
        <v>-2.23</v>
      </c>
      <c r="F498">
        <v>-0.24</v>
      </c>
      <c r="G498" t="s">
        <v>856</v>
      </c>
      <c r="H498">
        <v>3654</v>
      </c>
      <c r="I498">
        <v>10.51</v>
      </c>
      <c r="J498">
        <v>10.52</v>
      </c>
      <c r="K498" t="s">
        <v>4023</v>
      </c>
      <c r="L498">
        <v>0.36</v>
      </c>
      <c r="M498" t="s">
        <v>46</v>
      </c>
      <c r="N498" t="s">
        <v>4029</v>
      </c>
      <c r="O498">
        <v>10.78</v>
      </c>
      <c r="P498">
        <v>10.5</v>
      </c>
      <c r="Q498">
        <v>10.77</v>
      </c>
      <c r="R498">
        <v>10.75</v>
      </c>
      <c r="S498">
        <v>2.6</v>
      </c>
      <c r="T498">
        <v>2.14</v>
      </c>
      <c r="U498">
        <v>58.12</v>
      </c>
      <c r="V498">
        <v>4882</v>
      </c>
      <c r="W498">
        <v>10.58</v>
      </c>
      <c r="X498" t="s">
        <v>3598</v>
      </c>
      <c r="Y498" t="s">
        <v>740</v>
      </c>
      <c r="Z498">
        <v>2.28</v>
      </c>
      <c r="AA498">
        <v>602</v>
      </c>
      <c r="AB498">
        <v>417</v>
      </c>
      <c r="AC498">
        <v>2.36</v>
      </c>
      <c r="AD498" t="s">
        <v>4030</v>
      </c>
      <c r="AE498" t="s">
        <v>4031</v>
      </c>
      <c r="AF498" t="s">
        <v>4032</v>
      </c>
      <c r="AG498" t="s">
        <v>4033</v>
      </c>
      <c r="AH498">
        <v>-3.4</v>
      </c>
      <c r="AI498">
        <v>-4.19</v>
      </c>
      <c r="AJ498">
        <v>0.69</v>
      </c>
      <c r="AK498">
        <v>1.2</v>
      </c>
      <c r="AL498">
        <v>-3</v>
      </c>
      <c r="AM498">
        <v>-2.23</v>
      </c>
      <c r="AN498">
        <v>-13.5</v>
      </c>
      <c r="AO498">
        <v>-7.4</v>
      </c>
      <c r="AP498">
        <v>-12.12</v>
      </c>
    </row>
    <row r="499" spans="1:42">
      <c r="A499">
        <v>498</v>
      </c>
      <c r="B499" t="str">
        <f>"601689"</f>
        <v>601689</v>
      </c>
      <c r="C499" t="s">
        <v>4034</v>
      </c>
      <c r="D499">
        <v>72.45</v>
      </c>
      <c r="E499">
        <v>-1.68</v>
      </c>
      <c r="F499">
        <v>-1.24</v>
      </c>
      <c r="G499" t="s">
        <v>4035</v>
      </c>
      <c r="H499">
        <v>373</v>
      </c>
      <c r="I499">
        <v>72.45</v>
      </c>
      <c r="J499">
        <v>72.46</v>
      </c>
      <c r="K499" t="s">
        <v>2123</v>
      </c>
      <c r="L499">
        <v>0.45</v>
      </c>
      <c r="M499" t="s">
        <v>46</v>
      </c>
      <c r="N499" t="s">
        <v>632</v>
      </c>
      <c r="O499">
        <v>73.27</v>
      </c>
      <c r="P499">
        <v>71.4</v>
      </c>
      <c r="Q499">
        <v>73.27</v>
      </c>
      <c r="R499">
        <v>73.69</v>
      </c>
      <c r="S499">
        <v>2.54</v>
      </c>
      <c r="T499">
        <v>0.96</v>
      </c>
      <c r="U499">
        <v>64.59</v>
      </c>
      <c r="V499">
        <v>469</v>
      </c>
      <c r="W499">
        <v>72.08</v>
      </c>
      <c r="X499" t="s">
        <v>4036</v>
      </c>
      <c r="Y499" t="s">
        <v>4037</v>
      </c>
      <c r="Z499">
        <v>1.07</v>
      </c>
      <c r="AA499">
        <v>488</v>
      </c>
      <c r="AB499">
        <v>2</v>
      </c>
      <c r="AC499">
        <v>6.11</v>
      </c>
      <c r="AD499" t="s">
        <v>4038</v>
      </c>
      <c r="AE499" t="s">
        <v>4039</v>
      </c>
      <c r="AF499" t="s">
        <v>4038</v>
      </c>
      <c r="AG499" t="s">
        <v>4039</v>
      </c>
      <c r="AH499">
        <v>-0.63</v>
      </c>
      <c r="AI499">
        <v>-2.46</v>
      </c>
      <c r="AJ499">
        <v>1.47</v>
      </c>
      <c r="AK499">
        <v>2.83</v>
      </c>
      <c r="AL499">
        <v>-1</v>
      </c>
      <c r="AM499">
        <v>-1.68</v>
      </c>
      <c r="AN499">
        <v>24.66</v>
      </c>
      <c r="AO499">
        <v>7.81</v>
      </c>
      <c r="AP499">
        <v>3.6</v>
      </c>
    </row>
    <row r="500" spans="1:42">
      <c r="A500">
        <v>499</v>
      </c>
      <c r="B500" t="str">
        <f>"300798"</f>
        <v>300798</v>
      </c>
      <c r="C500" t="s">
        <v>4040</v>
      </c>
      <c r="D500">
        <v>12.26</v>
      </c>
      <c r="E500">
        <v>-1.13</v>
      </c>
      <c r="F500">
        <v>-0.14</v>
      </c>
      <c r="G500" t="s">
        <v>710</v>
      </c>
      <c r="H500">
        <v>4643</v>
      </c>
      <c r="I500">
        <v>12.26</v>
      </c>
      <c r="J500">
        <v>12.27</v>
      </c>
      <c r="K500" t="s">
        <v>2123</v>
      </c>
      <c r="L500">
        <v>7.98</v>
      </c>
      <c r="M500" t="s">
        <v>46</v>
      </c>
      <c r="N500" t="s">
        <v>4041</v>
      </c>
      <c r="O500">
        <v>12.69</v>
      </c>
      <c r="P500">
        <v>12.18</v>
      </c>
      <c r="Q500">
        <v>12.3</v>
      </c>
      <c r="R500">
        <v>12.4</v>
      </c>
      <c r="S500">
        <v>4.11</v>
      </c>
      <c r="T500">
        <v>0.92</v>
      </c>
      <c r="U500">
        <v>46.99</v>
      </c>
      <c r="V500">
        <v>1908</v>
      </c>
      <c r="W500">
        <v>12.38</v>
      </c>
      <c r="X500" t="s">
        <v>561</v>
      </c>
      <c r="Y500" t="s">
        <v>830</v>
      </c>
      <c r="Z500">
        <v>1.24</v>
      </c>
      <c r="AA500">
        <v>1943</v>
      </c>
      <c r="AB500">
        <v>372</v>
      </c>
      <c r="AC500">
        <v>4.49</v>
      </c>
      <c r="AD500" t="s">
        <v>4042</v>
      </c>
      <c r="AE500" t="s">
        <v>4043</v>
      </c>
      <c r="AF500" t="s">
        <v>4044</v>
      </c>
      <c r="AG500" t="s">
        <v>4045</v>
      </c>
      <c r="AH500">
        <v>2.25</v>
      </c>
      <c r="AI500">
        <v>5.6</v>
      </c>
      <c r="AJ500">
        <v>23.19</v>
      </c>
      <c r="AK500">
        <v>51.52</v>
      </c>
      <c r="AL500">
        <v>-1</v>
      </c>
      <c r="AM500">
        <v>-1.13</v>
      </c>
      <c r="AN500">
        <v>80.83</v>
      </c>
      <c r="AO500">
        <v>24.72</v>
      </c>
      <c r="AP500">
        <v>86.89</v>
      </c>
    </row>
    <row r="501" spans="1:42">
      <c r="A501">
        <v>500</v>
      </c>
      <c r="B501" t="str">
        <f>"600584"</f>
        <v>600584</v>
      </c>
      <c r="C501" t="s">
        <v>4046</v>
      </c>
      <c r="D501">
        <v>30.54</v>
      </c>
      <c r="E501">
        <v>0</v>
      </c>
      <c r="F501">
        <v>0</v>
      </c>
      <c r="G501" t="s">
        <v>1540</v>
      </c>
      <c r="H501">
        <v>881</v>
      </c>
      <c r="I501">
        <v>30.53</v>
      </c>
      <c r="J501">
        <v>30.54</v>
      </c>
      <c r="K501" t="s">
        <v>2259</v>
      </c>
      <c r="L501">
        <v>0.66</v>
      </c>
      <c r="M501" t="s">
        <v>46</v>
      </c>
      <c r="N501" t="s">
        <v>4047</v>
      </c>
      <c r="O501">
        <v>30.68</v>
      </c>
      <c r="P501">
        <v>30.18</v>
      </c>
      <c r="Q501">
        <v>30.45</v>
      </c>
      <c r="R501">
        <v>30.54</v>
      </c>
      <c r="S501">
        <v>1.64</v>
      </c>
      <c r="T501">
        <v>0.84</v>
      </c>
      <c r="U501">
        <v>-50.73</v>
      </c>
      <c r="V501">
        <v>-1013</v>
      </c>
      <c r="W501">
        <v>30.42</v>
      </c>
      <c r="X501" t="s">
        <v>4048</v>
      </c>
      <c r="Y501" t="s">
        <v>4049</v>
      </c>
      <c r="Z501">
        <v>1.06</v>
      </c>
      <c r="AA501">
        <v>137</v>
      </c>
      <c r="AB501">
        <v>71</v>
      </c>
      <c r="AC501">
        <v>2.12</v>
      </c>
      <c r="AD501" t="s">
        <v>4050</v>
      </c>
      <c r="AE501" t="s">
        <v>4051</v>
      </c>
      <c r="AF501" t="s">
        <v>4050</v>
      </c>
      <c r="AG501" t="s">
        <v>4051</v>
      </c>
      <c r="AH501">
        <v>-0.84</v>
      </c>
      <c r="AI501">
        <v>-3.05</v>
      </c>
      <c r="AJ501">
        <v>2.13</v>
      </c>
      <c r="AK501">
        <v>4.6</v>
      </c>
      <c r="AL501">
        <v>0</v>
      </c>
      <c r="AM501">
        <v>0</v>
      </c>
      <c r="AN501">
        <v>33.65</v>
      </c>
      <c r="AO501">
        <v>-2.37</v>
      </c>
      <c r="AP501">
        <v>22.65</v>
      </c>
    </row>
    <row r="502" spans="1:42">
      <c r="A502">
        <v>501</v>
      </c>
      <c r="B502" t="str">
        <f>"300757"</f>
        <v>300757</v>
      </c>
      <c r="C502" t="s">
        <v>4052</v>
      </c>
      <c r="D502">
        <v>75.93</v>
      </c>
      <c r="E502">
        <v>3.26</v>
      </c>
      <c r="F502">
        <v>2.4</v>
      </c>
      <c r="G502" t="s">
        <v>4053</v>
      </c>
      <c r="H502">
        <v>379</v>
      </c>
      <c r="I502">
        <v>75.93</v>
      </c>
      <c r="J502">
        <v>75.98</v>
      </c>
      <c r="K502" t="s">
        <v>2259</v>
      </c>
      <c r="L502">
        <v>4.6</v>
      </c>
      <c r="M502" t="s">
        <v>46</v>
      </c>
      <c r="N502" t="s">
        <v>522</v>
      </c>
      <c r="O502">
        <v>76.88</v>
      </c>
      <c r="P502">
        <v>72.01</v>
      </c>
      <c r="Q502">
        <v>72.75</v>
      </c>
      <c r="R502">
        <v>73.53</v>
      </c>
      <c r="S502">
        <v>6.62</v>
      </c>
      <c r="T502">
        <v>1.22</v>
      </c>
      <c r="U502">
        <v>53.78</v>
      </c>
      <c r="V502">
        <v>121</v>
      </c>
      <c r="W502">
        <v>75.17</v>
      </c>
      <c r="X502" t="s">
        <v>377</v>
      </c>
      <c r="Y502" t="s">
        <v>1077</v>
      </c>
      <c r="Z502">
        <v>0.85</v>
      </c>
      <c r="AA502">
        <v>14</v>
      </c>
      <c r="AB502">
        <v>1</v>
      </c>
      <c r="AC502">
        <v>9.08</v>
      </c>
      <c r="AD502" t="s">
        <v>4054</v>
      </c>
      <c r="AE502" t="s">
        <v>4055</v>
      </c>
      <c r="AF502" t="s">
        <v>4056</v>
      </c>
      <c r="AG502" t="s">
        <v>4057</v>
      </c>
      <c r="AH502">
        <v>2.72</v>
      </c>
      <c r="AI502">
        <v>6.33</v>
      </c>
      <c r="AJ502">
        <v>12.28</v>
      </c>
      <c r="AK502">
        <v>23.5</v>
      </c>
      <c r="AL502">
        <v>1</v>
      </c>
      <c r="AM502">
        <v>3.26</v>
      </c>
      <c r="AN502">
        <v>45.21</v>
      </c>
      <c r="AO502">
        <v>20.22</v>
      </c>
      <c r="AP502">
        <v>61.9</v>
      </c>
    </row>
    <row r="503" spans="1:42">
      <c r="A503">
        <v>502</v>
      </c>
      <c r="B503" t="str">
        <f>"600256"</f>
        <v>600256</v>
      </c>
      <c r="C503" t="s">
        <v>4058</v>
      </c>
      <c r="D503">
        <v>7.36</v>
      </c>
      <c r="E503">
        <v>1.38</v>
      </c>
      <c r="F503">
        <v>0.1</v>
      </c>
      <c r="G503" t="s">
        <v>806</v>
      </c>
      <c r="H503">
        <v>4730</v>
      </c>
      <c r="I503">
        <v>7.35</v>
      </c>
      <c r="J503">
        <v>7.36</v>
      </c>
      <c r="K503" t="s">
        <v>2259</v>
      </c>
      <c r="L503">
        <v>0.75</v>
      </c>
      <c r="M503" t="s">
        <v>46</v>
      </c>
      <c r="N503" t="s">
        <v>4059</v>
      </c>
      <c r="O503">
        <v>7.37</v>
      </c>
      <c r="P503">
        <v>7.26</v>
      </c>
      <c r="Q503">
        <v>7.28</v>
      </c>
      <c r="R503">
        <v>7.26</v>
      </c>
      <c r="S503">
        <v>1.52</v>
      </c>
      <c r="T503">
        <v>0.7</v>
      </c>
      <c r="U503">
        <v>-34</v>
      </c>
      <c r="V503" t="s">
        <v>2114</v>
      </c>
      <c r="W503">
        <v>7.31</v>
      </c>
      <c r="X503" t="s">
        <v>509</v>
      </c>
      <c r="Y503" t="s">
        <v>1373</v>
      </c>
      <c r="Z503">
        <v>0.71</v>
      </c>
      <c r="AA503">
        <v>4441</v>
      </c>
      <c r="AB503">
        <v>1604</v>
      </c>
      <c r="AC503">
        <v>1.68</v>
      </c>
      <c r="AD503" t="s">
        <v>4060</v>
      </c>
      <c r="AE503" t="s">
        <v>4061</v>
      </c>
      <c r="AF503" t="s">
        <v>4060</v>
      </c>
      <c r="AG503" t="s">
        <v>4061</v>
      </c>
      <c r="AH503">
        <v>0.55</v>
      </c>
      <c r="AI503">
        <v>-0.14</v>
      </c>
      <c r="AJ503">
        <v>2.84</v>
      </c>
      <c r="AK503">
        <v>6.12</v>
      </c>
      <c r="AL503">
        <v>1</v>
      </c>
      <c r="AM503">
        <v>1.38</v>
      </c>
      <c r="AN503">
        <v>-10.46</v>
      </c>
      <c r="AO503">
        <v>-1.87</v>
      </c>
      <c r="AP503">
        <v>-23.89</v>
      </c>
    </row>
    <row r="504" spans="1:42">
      <c r="A504">
        <v>503</v>
      </c>
      <c r="B504" t="str">
        <f>"600822"</f>
        <v>600822</v>
      </c>
      <c r="C504" t="s">
        <v>4062</v>
      </c>
      <c r="D504">
        <v>12.21</v>
      </c>
      <c r="E504">
        <v>0.58</v>
      </c>
      <c r="F504">
        <v>0.07</v>
      </c>
      <c r="G504" t="s">
        <v>3126</v>
      </c>
      <c r="H504">
        <v>5137</v>
      </c>
      <c r="I504">
        <v>12.21</v>
      </c>
      <c r="J504">
        <v>12.22</v>
      </c>
      <c r="K504" t="s">
        <v>2259</v>
      </c>
      <c r="L504">
        <v>7.4</v>
      </c>
      <c r="M504" t="s">
        <v>46</v>
      </c>
      <c r="N504" t="s">
        <v>4063</v>
      </c>
      <c r="O504">
        <v>12.49</v>
      </c>
      <c r="P504">
        <v>12.05</v>
      </c>
      <c r="Q504">
        <v>12.2</v>
      </c>
      <c r="R504">
        <v>12.14</v>
      </c>
      <c r="S504">
        <v>3.62</v>
      </c>
      <c r="T504">
        <v>0.9</v>
      </c>
      <c r="U504">
        <v>1.21</v>
      </c>
      <c r="V504">
        <v>51</v>
      </c>
      <c r="W504">
        <v>12.24</v>
      </c>
      <c r="X504" t="s">
        <v>172</v>
      </c>
      <c r="Y504" t="s">
        <v>422</v>
      </c>
      <c r="Z504">
        <v>1.39</v>
      </c>
      <c r="AA504">
        <v>1303</v>
      </c>
      <c r="AB504">
        <v>464</v>
      </c>
      <c r="AC504">
        <v>5.3</v>
      </c>
      <c r="AD504" t="s">
        <v>4064</v>
      </c>
      <c r="AE504" t="s">
        <v>4065</v>
      </c>
      <c r="AF504" t="s">
        <v>4066</v>
      </c>
      <c r="AG504" t="s">
        <v>4067</v>
      </c>
      <c r="AH504">
        <v>5.35</v>
      </c>
      <c r="AI504">
        <v>10</v>
      </c>
      <c r="AJ504">
        <v>30.36</v>
      </c>
      <c r="AK504">
        <v>48.37</v>
      </c>
      <c r="AL504">
        <v>1</v>
      </c>
      <c r="AM504">
        <v>0.58</v>
      </c>
      <c r="AN504">
        <v>47.82</v>
      </c>
      <c r="AO504">
        <v>14.33</v>
      </c>
      <c r="AP504">
        <v>49.27</v>
      </c>
    </row>
    <row r="505" spans="1:42">
      <c r="A505">
        <v>504</v>
      </c>
      <c r="B505" t="str">
        <f>"600338"</f>
        <v>600338</v>
      </c>
      <c r="C505" t="s">
        <v>4068</v>
      </c>
      <c r="D505">
        <v>12.13</v>
      </c>
      <c r="E505">
        <v>2.71</v>
      </c>
      <c r="F505">
        <v>0.32</v>
      </c>
      <c r="G505" t="s">
        <v>2578</v>
      </c>
      <c r="H505">
        <v>1716</v>
      </c>
      <c r="I505">
        <v>12.12</v>
      </c>
      <c r="J505">
        <v>12.13</v>
      </c>
      <c r="K505" t="s">
        <v>2259</v>
      </c>
      <c r="L505">
        <v>3.31</v>
      </c>
      <c r="M505" t="s">
        <v>46</v>
      </c>
      <c r="N505" t="s">
        <v>4069</v>
      </c>
      <c r="O505">
        <v>12.13</v>
      </c>
      <c r="P505">
        <v>11.55</v>
      </c>
      <c r="Q505">
        <v>11.82</v>
      </c>
      <c r="R505">
        <v>11.81</v>
      </c>
      <c r="S505">
        <v>4.91</v>
      </c>
      <c r="T505">
        <v>1.58</v>
      </c>
      <c r="U505">
        <v>-14.38</v>
      </c>
      <c r="V505">
        <v>-803</v>
      </c>
      <c r="W505">
        <v>11.84</v>
      </c>
      <c r="X505" t="s">
        <v>2217</v>
      </c>
      <c r="Y505" t="s">
        <v>796</v>
      </c>
      <c r="Z505">
        <v>0.94</v>
      </c>
      <c r="AA505">
        <v>1232</v>
      </c>
      <c r="AB505">
        <v>1648</v>
      </c>
      <c r="AC505">
        <v>3.14</v>
      </c>
      <c r="AD505" t="s">
        <v>973</v>
      </c>
      <c r="AE505" t="s">
        <v>667</v>
      </c>
      <c r="AF505" t="s">
        <v>973</v>
      </c>
      <c r="AG505" t="s">
        <v>667</v>
      </c>
      <c r="AH505">
        <v>-3.04</v>
      </c>
      <c r="AI505">
        <v>-11.01</v>
      </c>
      <c r="AJ505">
        <v>7.44</v>
      </c>
      <c r="AK505">
        <v>13.81</v>
      </c>
      <c r="AL505">
        <v>1</v>
      </c>
      <c r="AM505">
        <v>2.71</v>
      </c>
      <c r="AN505">
        <v>-47.08</v>
      </c>
      <c r="AO505">
        <v>-10.48</v>
      </c>
      <c r="AP505">
        <v>-47.58</v>
      </c>
    </row>
    <row r="506" spans="1:42">
      <c r="A506">
        <v>505</v>
      </c>
      <c r="B506" t="str">
        <f>"002189"</f>
        <v>002189</v>
      </c>
      <c r="C506" t="s">
        <v>4070</v>
      </c>
      <c r="D506">
        <v>20.2</v>
      </c>
      <c r="E506">
        <v>4.55</v>
      </c>
      <c r="F506">
        <v>0.88</v>
      </c>
      <c r="G506" t="s">
        <v>797</v>
      </c>
      <c r="H506">
        <v>1868</v>
      </c>
      <c r="I506">
        <v>20.2</v>
      </c>
      <c r="J506">
        <v>20.21</v>
      </c>
      <c r="K506" t="s">
        <v>2259</v>
      </c>
      <c r="L506">
        <v>6.9</v>
      </c>
      <c r="M506" t="s">
        <v>46</v>
      </c>
      <c r="N506" t="s">
        <v>4071</v>
      </c>
      <c r="O506">
        <v>20.67</v>
      </c>
      <c r="P506">
        <v>18.82</v>
      </c>
      <c r="Q506">
        <v>19.14</v>
      </c>
      <c r="R506">
        <v>19.32</v>
      </c>
      <c r="S506">
        <v>9.58</v>
      </c>
      <c r="T506">
        <v>1.1</v>
      </c>
      <c r="U506">
        <v>-22.54</v>
      </c>
      <c r="V506">
        <v>-110</v>
      </c>
      <c r="W506">
        <v>19.9</v>
      </c>
      <c r="X506" t="s">
        <v>4072</v>
      </c>
      <c r="Y506" t="s">
        <v>881</v>
      </c>
      <c r="Z506">
        <v>0.72</v>
      </c>
      <c r="AA506">
        <v>52</v>
      </c>
      <c r="AB506">
        <v>2</v>
      </c>
      <c r="AC506">
        <v>4.32</v>
      </c>
      <c r="AD506" t="s">
        <v>3268</v>
      </c>
      <c r="AE506" t="s">
        <v>4073</v>
      </c>
      <c r="AF506" t="s">
        <v>4074</v>
      </c>
      <c r="AG506" t="s">
        <v>4075</v>
      </c>
      <c r="AH506">
        <v>1.51</v>
      </c>
      <c r="AI506">
        <v>0.85</v>
      </c>
      <c r="AJ506">
        <v>20.21</v>
      </c>
      <c r="AK506">
        <v>38.28</v>
      </c>
      <c r="AL506">
        <v>2</v>
      </c>
      <c r="AM506">
        <v>4.55</v>
      </c>
      <c r="AN506">
        <v>38.74</v>
      </c>
      <c r="AO506">
        <v>15.43</v>
      </c>
      <c r="AP506">
        <v>25.47</v>
      </c>
    </row>
    <row r="507" spans="1:42">
      <c r="A507">
        <v>506</v>
      </c>
      <c r="B507" t="str">
        <f>"300097"</f>
        <v>300097</v>
      </c>
      <c r="C507" t="s">
        <v>4076</v>
      </c>
      <c r="D507">
        <v>12.12</v>
      </c>
      <c r="E507">
        <v>-3.35</v>
      </c>
      <c r="F507">
        <v>-0.42</v>
      </c>
      <c r="G507" t="s">
        <v>4077</v>
      </c>
      <c r="H507">
        <v>4202</v>
      </c>
      <c r="I507">
        <v>12.12</v>
      </c>
      <c r="J507">
        <v>12.13</v>
      </c>
      <c r="K507" t="s">
        <v>4078</v>
      </c>
      <c r="L507">
        <v>10.9</v>
      </c>
      <c r="M507" t="s">
        <v>46</v>
      </c>
      <c r="N507" t="s">
        <v>943</v>
      </c>
      <c r="O507">
        <v>12.37</v>
      </c>
      <c r="P507">
        <v>11.89</v>
      </c>
      <c r="Q507">
        <v>12.37</v>
      </c>
      <c r="R507">
        <v>12.54</v>
      </c>
      <c r="S507">
        <v>3.83</v>
      </c>
      <c r="T507">
        <v>0.73</v>
      </c>
      <c r="U507">
        <v>4.84</v>
      </c>
      <c r="V507">
        <v>309</v>
      </c>
      <c r="W507">
        <v>12.14</v>
      </c>
      <c r="X507" t="s">
        <v>99</v>
      </c>
      <c r="Y507" t="s">
        <v>1438</v>
      </c>
      <c r="Z507">
        <v>1.69</v>
      </c>
      <c r="AA507">
        <v>688</v>
      </c>
      <c r="AB507">
        <v>459</v>
      </c>
      <c r="AC507">
        <v>5.26</v>
      </c>
      <c r="AD507" t="s">
        <v>4079</v>
      </c>
      <c r="AE507" t="s">
        <v>4080</v>
      </c>
      <c r="AF507" t="s">
        <v>4081</v>
      </c>
      <c r="AG507" t="s">
        <v>4082</v>
      </c>
      <c r="AH507">
        <v>2.45</v>
      </c>
      <c r="AI507">
        <v>1.08</v>
      </c>
      <c r="AJ507">
        <v>51.57</v>
      </c>
      <c r="AK507">
        <v>85.45</v>
      </c>
      <c r="AL507">
        <v>-2</v>
      </c>
      <c r="AM507">
        <v>-3.35</v>
      </c>
      <c r="AN507">
        <v>129.98</v>
      </c>
      <c r="AO507">
        <v>23.67</v>
      </c>
      <c r="AP507">
        <v>103.7</v>
      </c>
    </row>
    <row r="508" spans="1:42">
      <c r="A508">
        <v>507</v>
      </c>
      <c r="B508" t="str">
        <f>"601058"</f>
        <v>601058</v>
      </c>
      <c r="C508" t="s">
        <v>4083</v>
      </c>
      <c r="D508">
        <v>10.7</v>
      </c>
      <c r="E508">
        <v>0.28</v>
      </c>
      <c r="F508">
        <v>0.03</v>
      </c>
      <c r="G508" t="s">
        <v>1730</v>
      </c>
      <c r="H508">
        <v>1327</v>
      </c>
      <c r="I508">
        <v>10.69</v>
      </c>
      <c r="J508">
        <v>10.7</v>
      </c>
      <c r="K508" t="s">
        <v>4078</v>
      </c>
      <c r="L508">
        <v>1.07</v>
      </c>
      <c r="M508" t="s">
        <v>46</v>
      </c>
      <c r="N508" t="s">
        <v>3364</v>
      </c>
      <c r="O508">
        <v>10.78</v>
      </c>
      <c r="P508">
        <v>10.48</v>
      </c>
      <c r="Q508">
        <v>10.74</v>
      </c>
      <c r="R508">
        <v>10.67</v>
      </c>
      <c r="S508">
        <v>2.81</v>
      </c>
      <c r="T508">
        <v>1.43</v>
      </c>
      <c r="U508">
        <v>-22.67</v>
      </c>
      <c r="V508">
        <v>-874</v>
      </c>
      <c r="W508">
        <v>10.66</v>
      </c>
      <c r="X508" t="s">
        <v>562</v>
      </c>
      <c r="Y508" t="s">
        <v>797</v>
      </c>
      <c r="Z508">
        <v>0.86</v>
      </c>
      <c r="AA508">
        <v>137</v>
      </c>
      <c r="AB508">
        <v>366</v>
      </c>
      <c r="AC508">
        <v>2.44</v>
      </c>
      <c r="AD508" t="s">
        <v>4084</v>
      </c>
      <c r="AE508" t="s">
        <v>4085</v>
      </c>
      <c r="AF508" t="s">
        <v>4084</v>
      </c>
      <c r="AG508" t="s">
        <v>4085</v>
      </c>
      <c r="AH508">
        <v>-7.12</v>
      </c>
      <c r="AI508">
        <v>-7.6</v>
      </c>
      <c r="AJ508">
        <v>3.56</v>
      </c>
      <c r="AK508">
        <v>4.84</v>
      </c>
      <c r="AL508">
        <v>1</v>
      </c>
      <c r="AM508">
        <v>0.28</v>
      </c>
      <c r="AN508">
        <v>8.41</v>
      </c>
      <c r="AO508">
        <v>-5.23</v>
      </c>
      <c r="AP508">
        <v>18.89</v>
      </c>
    </row>
    <row r="509" spans="1:42">
      <c r="A509">
        <v>508</v>
      </c>
      <c r="B509" t="str">
        <f>"002865"</f>
        <v>002865</v>
      </c>
      <c r="C509" t="s">
        <v>4086</v>
      </c>
      <c r="D509">
        <v>85.23</v>
      </c>
      <c r="E509">
        <v>0.08</v>
      </c>
      <c r="F509">
        <v>0.07</v>
      </c>
      <c r="G509" t="s">
        <v>4087</v>
      </c>
      <c r="H509">
        <v>632</v>
      </c>
      <c r="I509">
        <v>85.22</v>
      </c>
      <c r="J509">
        <v>85.23</v>
      </c>
      <c r="K509" t="s">
        <v>4078</v>
      </c>
      <c r="L509">
        <v>2.17</v>
      </c>
      <c r="M509" t="s">
        <v>46</v>
      </c>
      <c r="N509" t="s">
        <v>4088</v>
      </c>
      <c r="O509">
        <v>86</v>
      </c>
      <c r="P509">
        <v>83.34</v>
      </c>
      <c r="Q509">
        <v>84.2</v>
      </c>
      <c r="R509">
        <v>85.16</v>
      </c>
      <c r="S509">
        <v>3.12</v>
      </c>
      <c r="T509">
        <v>0.76</v>
      </c>
      <c r="U509">
        <v>28.51</v>
      </c>
      <c r="V509">
        <v>142</v>
      </c>
      <c r="W509">
        <v>84.38</v>
      </c>
      <c r="X509" t="s">
        <v>1212</v>
      </c>
      <c r="Y509" t="s">
        <v>2877</v>
      </c>
      <c r="Z509">
        <v>1.14</v>
      </c>
      <c r="AA509">
        <v>183</v>
      </c>
      <c r="AB509">
        <v>100</v>
      </c>
      <c r="AC509">
        <v>3.52</v>
      </c>
      <c r="AD509" t="s">
        <v>4089</v>
      </c>
      <c r="AE509" t="s">
        <v>4090</v>
      </c>
      <c r="AF509" t="s">
        <v>4091</v>
      </c>
      <c r="AG509" t="s">
        <v>4092</v>
      </c>
      <c r="AH509">
        <v>-1.18</v>
      </c>
      <c r="AI509">
        <v>-8.99</v>
      </c>
      <c r="AJ509">
        <v>6.56</v>
      </c>
      <c r="AK509">
        <v>16.45</v>
      </c>
      <c r="AL509">
        <v>2</v>
      </c>
      <c r="AM509">
        <v>0.08</v>
      </c>
      <c r="AN509">
        <v>-35.42</v>
      </c>
      <c r="AO509">
        <v>0.06</v>
      </c>
      <c r="AP509">
        <v>-42.13</v>
      </c>
    </row>
    <row r="510" spans="1:42">
      <c r="A510">
        <v>509</v>
      </c>
      <c r="B510" t="str">
        <f>"003007"</f>
        <v>003007</v>
      </c>
      <c r="C510" t="s">
        <v>4093</v>
      </c>
      <c r="D510">
        <v>33.55</v>
      </c>
      <c r="E510">
        <v>2.07</v>
      </c>
      <c r="F510">
        <v>0.68</v>
      </c>
      <c r="G510" t="s">
        <v>1909</v>
      </c>
      <c r="H510">
        <v>1048</v>
      </c>
      <c r="I510">
        <v>33.55</v>
      </c>
      <c r="J510">
        <v>33.56</v>
      </c>
      <c r="K510" t="s">
        <v>4094</v>
      </c>
      <c r="L510">
        <v>10.44</v>
      </c>
      <c r="M510" t="s">
        <v>46</v>
      </c>
      <c r="N510" t="s">
        <v>4095</v>
      </c>
      <c r="O510">
        <v>33.87</v>
      </c>
      <c r="P510">
        <v>32.32</v>
      </c>
      <c r="Q510">
        <v>32.68</v>
      </c>
      <c r="R510">
        <v>32.87</v>
      </c>
      <c r="S510">
        <v>4.72</v>
      </c>
      <c r="T510">
        <v>1.51</v>
      </c>
      <c r="U510">
        <v>55.57</v>
      </c>
      <c r="V510">
        <v>1407</v>
      </c>
      <c r="W510">
        <v>33.2</v>
      </c>
      <c r="X510" t="s">
        <v>4049</v>
      </c>
      <c r="Y510" t="s">
        <v>4096</v>
      </c>
      <c r="Z510">
        <v>1.15</v>
      </c>
      <c r="AA510">
        <v>1352</v>
      </c>
      <c r="AB510">
        <v>308</v>
      </c>
      <c r="AC510">
        <v>4.56</v>
      </c>
      <c r="AD510" t="s">
        <v>4056</v>
      </c>
      <c r="AE510" t="s">
        <v>4097</v>
      </c>
      <c r="AF510" t="s">
        <v>4098</v>
      </c>
      <c r="AG510" t="s">
        <v>4099</v>
      </c>
      <c r="AH510">
        <v>5.47</v>
      </c>
      <c r="AI510">
        <v>1.98</v>
      </c>
      <c r="AJ510">
        <v>26.23</v>
      </c>
      <c r="AK510">
        <v>45.04</v>
      </c>
      <c r="AL510">
        <v>3</v>
      </c>
      <c r="AM510">
        <v>2.07</v>
      </c>
      <c r="AN510">
        <v>20.38</v>
      </c>
      <c r="AO510">
        <v>16.98</v>
      </c>
      <c r="AP510">
        <v>35.06</v>
      </c>
    </row>
    <row r="511" spans="1:42">
      <c r="A511">
        <v>510</v>
      </c>
      <c r="B511" t="str">
        <f>"600795"</f>
        <v>600795</v>
      </c>
      <c r="C511" t="s">
        <v>4100</v>
      </c>
      <c r="D511">
        <v>3.98</v>
      </c>
      <c r="E511">
        <v>0.76</v>
      </c>
      <c r="F511">
        <v>0.03</v>
      </c>
      <c r="G511" t="s">
        <v>4101</v>
      </c>
      <c r="H511">
        <v>3954</v>
      </c>
      <c r="I511">
        <v>3.98</v>
      </c>
      <c r="J511">
        <v>3.99</v>
      </c>
      <c r="K511" t="s">
        <v>4102</v>
      </c>
      <c r="L511">
        <v>0.5</v>
      </c>
      <c r="M511" t="s">
        <v>46</v>
      </c>
      <c r="N511" t="s">
        <v>4103</v>
      </c>
      <c r="O511">
        <v>4</v>
      </c>
      <c r="P511">
        <v>3.94</v>
      </c>
      <c r="Q511">
        <v>3.96</v>
      </c>
      <c r="R511">
        <v>3.95</v>
      </c>
      <c r="S511">
        <v>1.52</v>
      </c>
      <c r="T511">
        <v>1.29</v>
      </c>
      <c r="U511">
        <v>-53.54</v>
      </c>
      <c r="V511" t="s">
        <v>4104</v>
      </c>
      <c r="W511">
        <v>3.98</v>
      </c>
      <c r="X511" t="s">
        <v>143</v>
      </c>
      <c r="Y511" t="s">
        <v>2260</v>
      </c>
      <c r="Z511">
        <v>0.52</v>
      </c>
      <c r="AA511" t="s">
        <v>128</v>
      </c>
      <c r="AB511" t="s">
        <v>4105</v>
      </c>
      <c r="AC511">
        <v>1.43</v>
      </c>
      <c r="AD511" t="s">
        <v>4106</v>
      </c>
      <c r="AE511" t="s">
        <v>4107</v>
      </c>
      <c r="AF511" t="s">
        <v>4106</v>
      </c>
      <c r="AG511" t="s">
        <v>4107</v>
      </c>
      <c r="AH511">
        <v>1.02</v>
      </c>
      <c r="AI511">
        <v>2.58</v>
      </c>
      <c r="AJ511">
        <v>1.22</v>
      </c>
      <c r="AK511">
        <v>2.43</v>
      </c>
      <c r="AL511">
        <v>2</v>
      </c>
      <c r="AM511">
        <v>0.76</v>
      </c>
      <c r="AN511">
        <v>-3.4</v>
      </c>
      <c r="AO511">
        <v>7.28</v>
      </c>
      <c r="AP511">
        <v>-5.01</v>
      </c>
    </row>
    <row r="512" spans="1:42">
      <c r="A512">
        <v>511</v>
      </c>
      <c r="B512" t="str">
        <f>"600287"</f>
        <v>600287</v>
      </c>
      <c r="C512" t="s">
        <v>4108</v>
      </c>
      <c r="D512">
        <v>6.77</v>
      </c>
      <c r="E512">
        <v>-1.88</v>
      </c>
      <c r="F512">
        <v>-0.13</v>
      </c>
      <c r="G512" t="s">
        <v>4109</v>
      </c>
      <c r="H512">
        <v>8988</v>
      </c>
      <c r="I512">
        <v>6.77</v>
      </c>
      <c r="J512">
        <v>6.78</v>
      </c>
      <c r="K512" t="s">
        <v>4110</v>
      </c>
      <c r="L512">
        <v>11.65</v>
      </c>
      <c r="M512" t="s">
        <v>46</v>
      </c>
      <c r="N512" t="s">
        <v>4111</v>
      </c>
      <c r="O512">
        <v>7.4</v>
      </c>
      <c r="P512">
        <v>6.7</v>
      </c>
      <c r="Q512">
        <v>6.98</v>
      </c>
      <c r="R512">
        <v>6.9</v>
      </c>
      <c r="S512">
        <v>10.14</v>
      </c>
      <c r="T512">
        <v>0.83</v>
      </c>
      <c r="U512">
        <v>30.91</v>
      </c>
      <c r="V512">
        <v>1712</v>
      </c>
      <c r="W512">
        <v>6.95</v>
      </c>
      <c r="X512" t="s">
        <v>1015</v>
      </c>
      <c r="Y512" t="s">
        <v>259</v>
      </c>
      <c r="Z512">
        <v>1.08</v>
      </c>
      <c r="AA512">
        <v>657</v>
      </c>
      <c r="AB512">
        <v>332</v>
      </c>
      <c r="AC512">
        <v>1.66</v>
      </c>
      <c r="AD512" t="s">
        <v>4112</v>
      </c>
      <c r="AE512" t="s">
        <v>4113</v>
      </c>
      <c r="AF512" t="s">
        <v>1388</v>
      </c>
      <c r="AG512" t="s">
        <v>4114</v>
      </c>
      <c r="AH512">
        <v>3.2</v>
      </c>
      <c r="AI512">
        <v>-2.45</v>
      </c>
      <c r="AJ512">
        <v>40.46</v>
      </c>
      <c r="AK512">
        <v>82.29</v>
      </c>
      <c r="AL512">
        <v>-1</v>
      </c>
      <c r="AM512">
        <v>-1.88</v>
      </c>
      <c r="AN512">
        <v>31.2</v>
      </c>
      <c r="AO512">
        <v>24.45</v>
      </c>
      <c r="AP512">
        <v>34.59</v>
      </c>
    </row>
    <row r="513" spans="1:42">
      <c r="A513">
        <v>512</v>
      </c>
      <c r="B513" t="str">
        <f>"300612"</f>
        <v>300612</v>
      </c>
      <c r="C513" t="s">
        <v>4115</v>
      </c>
      <c r="D513">
        <v>20.9</v>
      </c>
      <c r="E513">
        <v>6.25</v>
      </c>
      <c r="F513">
        <v>1.23</v>
      </c>
      <c r="G513" t="s">
        <v>172</v>
      </c>
      <c r="H513">
        <v>1893</v>
      </c>
      <c r="I513">
        <v>20.89</v>
      </c>
      <c r="J513">
        <v>20.9</v>
      </c>
      <c r="K513" t="s">
        <v>4110</v>
      </c>
      <c r="L513">
        <v>10.71</v>
      </c>
      <c r="M513" t="s">
        <v>46</v>
      </c>
      <c r="N513" t="s">
        <v>4116</v>
      </c>
      <c r="O513">
        <v>21.34</v>
      </c>
      <c r="P513">
        <v>19.46</v>
      </c>
      <c r="Q513">
        <v>19.71</v>
      </c>
      <c r="R513">
        <v>19.67</v>
      </c>
      <c r="S513">
        <v>9.56</v>
      </c>
      <c r="T513">
        <v>2.51</v>
      </c>
      <c r="U513">
        <v>-12.76</v>
      </c>
      <c r="V513">
        <v>-148</v>
      </c>
      <c r="W513">
        <v>20.76</v>
      </c>
      <c r="X513" t="s">
        <v>4117</v>
      </c>
      <c r="Y513" t="s">
        <v>1928</v>
      </c>
      <c r="Z513">
        <v>0.86</v>
      </c>
      <c r="AA513">
        <v>88</v>
      </c>
      <c r="AB513">
        <v>356</v>
      </c>
      <c r="AC513">
        <v>10.16</v>
      </c>
      <c r="AD513" t="s">
        <v>4118</v>
      </c>
      <c r="AE513" t="s">
        <v>4119</v>
      </c>
      <c r="AF513" t="s">
        <v>4118</v>
      </c>
      <c r="AG513" t="s">
        <v>4119</v>
      </c>
      <c r="AH513">
        <v>6.91</v>
      </c>
      <c r="AI513">
        <v>2.9</v>
      </c>
      <c r="AJ513">
        <v>17.84</v>
      </c>
      <c r="AK513">
        <v>32.05</v>
      </c>
      <c r="AL513">
        <v>1</v>
      </c>
      <c r="AM513">
        <v>6.25</v>
      </c>
      <c r="AN513">
        <v>13.4</v>
      </c>
      <c r="AO513">
        <v>12.31</v>
      </c>
      <c r="AP513">
        <v>3.36</v>
      </c>
    </row>
    <row r="514" spans="1:42">
      <c r="A514">
        <v>513</v>
      </c>
      <c r="B514" t="str">
        <f>"600428"</f>
        <v>600428</v>
      </c>
      <c r="C514" t="s">
        <v>4120</v>
      </c>
      <c r="D514">
        <v>5.38</v>
      </c>
      <c r="E514">
        <v>3.26</v>
      </c>
      <c r="F514">
        <v>0.17</v>
      </c>
      <c r="G514" t="s">
        <v>4121</v>
      </c>
      <c r="H514">
        <v>4100</v>
      </c>
      <c r="I514">
        <v>5.37</v>
      </c>
      <c r="J514">
        <v>5.38</v>
      </c>
      <c r="K514" t="s">
        <v>4122</v>
      </c>
      <c r="L514">
        <v>3.05</v>
      </c>
      <c r="M514" t="s">
        <v>46</v>
      </c>
      <c r="N514" t="s">
        <v>4123</v>
      </c>
      <c r="O514">
        <v>5.52</v>
      </c>
      <c r="P514">
        <v>5.19</v>
      </c>
      <c r="Q514">
        <v>5.2</v>
      </c>
      <c r="R514">
        <v>5.21</v>
      </c>
      <c r="S514">
        <v>6.33</v>
      </c>
      <c r="T514">
        <v>4.39</v>
      </c>
      <c r="U514">
        <v>-7.54</v>
      </c>
      <c r="V514">
        <v>-2409</v>
      </c>
      <c r="W514">
        <v>5.4</v>
      </c>
      <c r="X514" t="s">
        <v>998</v>
      </c>
      <c r="Y514" t="s">
        <v>2150</v>
      </c>
      <c r="Z514">
        <v>0.66</v>
      </c>
      <c r="AA514">
        <v>4086</v>
      </c>
      <c r="AB514">
        <v>243</v>
      </c>
      <c r="AC514">
        <v>1.02</v>
      </c>
      <c r="AD514" t="s">
        <v>4124</v>
      </c>
      <c r="AE514" t="s">
        <v>4125</v>
      </c>
      <c r="AF514" t="s">
        <v>4124</v>
      </c>
      <c r="AG514" t="s">
        <v>4125</v>
      </c>
      <c r="AH514">
        <v>5.08</v>
      </c>
      <c r="AI514">
        <v>4.06</v>
      </c>
      <c r="AJ514">
        <v>5.16</v>
      </c>
      <c r="AK514">
        <v>6.52</v>
      </c>
      <c r="AL514">
        <v>2</v>
      </c>
      <c r="AM514">
        <v>3.26</v>
      </c>
      <c r="AN514">
        <v>-7.24</v>
      </c>
      <c r="AO514">
        <v>5.49</v>
      </c>
      <c r="AP514">
        <v>-23.47</v>
      </c>
    </row>
    <row r="515" spans="1:42">
      <c r="A515">
        <v>514</v>
      </c>
      <c r="B515" t="str">
        <f>"002508"</f>
        <v>002508</v>
      </c>
      <c r="C515" t="s">
        <v>4126</v>
      </c>
      <c r="D515">
        <v>22.72</v>
      </c>
      <c r="E515">
        <v>-2.2</v>
      </c>
      <c r="F515">
        <v>-0.51</v>
      </c>
      <c r="G515" t="s">
        <v>3687</v>
      </c>
      <c r="H515">
        <v>2083</v>
      </c>
      <c r="I515">
        <v>22.71</v>
      </c>
      <c r="J515">
        <v>22.72</v>
      </c>
      <c r="K515" t="s">
        <v>4122</v>
      </c>
      <c r="L515">
        <v>1.67</v>
      </c>
      <c r="M515" t="s">
        <v>46</v>
      </c>
      <c r="N515" t="s">
        <v>4127</v>
      </c>
      <c r="O515">
        <v>23.18</v>
      </c>
      <c r="P515">
        <v>22.23</v>
      </c>
      <c r="Q515">
        <v>23.07</v>
      </c>
      <c r="R515">
        <v>23.23</v>
      </c>
      <c r="S515">
        <v>4.09</v>
      </c>
      <c r="T515">
        <v>2.69</v>
      </c>
      <c r="U515">
        <v>-6.74</v>
      </c>
      <c r="V515">
        <v>-49</v>
      </c>
      <c r="W515">
        <v>22.5</v>
      </c>
      <c r="X515" t="s">
        <v>4128</v>
      </c>
      <c r="Y515" t="s">
        <v>2629</v>
      </c>
      <c r="Z515">
        <v>1.68</v>
      </c>
      <c r="AA515">
        <v>5</v>
      </c>
      <c r="AB515">
        <v>85</v>
      </c>
      <c r="AC515">
        <v>2.03</v>
      </c>
      <c r="AD515" t="s">
        <v>4129</v>
      </c>
      <c r="AE515" t="s">
        <v>4130</v>
      </c>
      <c r="AF515" t="s">
        <v>4131</v>
      </c>
      <c r="AG515" t="s">
        <v>4132</v>
      </c>
      <c r="AH515">
        <v>-4.22</v>
      </c>
      <c r="AI515">
        <v>-4.94</v>
      </c>
      <c r="AJ515">
        <v>2.82</v>
      </c>
      <c r="AK515">
        <v>4.78</v>
      </c>
      <c r="AL515">
        <v>-3</v>
      </c>
      <c r="AM515">
        <v>-2.2</v>
      </c>
      <c r="AN515">
        <v>-16.65</v>
      </c>
      <c r="AO515">
        <v>-2.03</v>
      </c>
      <c r="AP515">
        <v>-4.14</v>
      </c>
    </row>
    <row r="516" spans="1:42">
      <c r="A516">
        <v>515</v>
      </c>
      <c r="B516" t="str">
        <f>"002409"</f>
        <v>002409</v>
      </c>
      <c r="C516" t="s">
        <v>4133</v>
      </c>
      <c r="D516">
        <v>60.83</v>
      </c>
      <c r="E516">
        <v>-1.2</v>
      </c>
      <c r="F516">
        <v>-0.74</v>
      </c>
      <c r="G516" t="s">
        <v>1577</v>
      </c>
      <c r="H516">
        <v>585</v>
      </c>
      <c r="I516">
        <v>60.83</v>
      </c>
      <c r="J516">
        <v>60.84</v>
      </c>
      <c r="K516" t="s">
        <v>4134</v>
      </c>
      <c r="L516">
        <v>1.83</v>
      </c>
      <c r="M516" t="s">
        <v>46</v>
      </c>
      <c r="N516" t="s">
        <v>4135</v>
      </c>
      <c r="O516">
        <v>60.9</v>
      </c>
      <c r="P516">
        <v>60.06</v>
      </c>
      <c r="Q516">
        <v>60.72</v>
      </c>
      <c r="R516">
        <v>61.57</v>
      </c>
      <c r="S516">
        <v>1.36</v>
      </c>
      <c r="T516">
        <v>0.79</v>
      </c>
      <c r="U516">
        <v>-1.06</v>
      </c>
      <c r="V516">
        <v>-6</v>
      </c>
      <c r="W516">
        <v>60.55</v>
      </c>
      <c r="X516" t="s">
        <v>401</v>
      </c>
      <c r="Y516" t="s">
        <v>1711</v>
      </c>
      <c r="Z516">
        <v>1.11</v>
      </c>
      <c r="AA516">
        <v>7</v>
      </c>
      <c r="AB516">
        <v>48</v>
      </c>
      <c r="AC516">
        <v>4.27</v>
      </c>
      <c r="AD516" t="s">
        <v>4136</v>
      </c>
      <c r="AE516" t="s">
        <v>4137</v>
      </c>
      <c r="AF516" t="s">
        <v>4138</v>
      </c>
      <c r="AG516" t="s">
        <v>4090</v>
      </c>
      <c r="AH516">
        <v>-1.97</v>
      </c>
      <c r="AI516">
        <v>-2.23</v>
      </c>
      <c r="AJ516">
        <v>5.87</v>
      </c>
      <c r="AK516">
        <v>13.42</v>
      </c>
      <c r="AL516">
        <v>-4</v>
      </c>
      <c r="AM516">
        <v>-1.2</v>
      </c>
      <c r="AN516">
        <v>21.54</v>
      </c>
      <c r="AO516">
        <v>7.82</v>
      </c>
      <c r="AP516">
        <v>7.8</v>
      </c>
    </row>
    <row r="517" spans="1:42">
      <c r="A517">
        <v>516</v>
      </c>
      <c r="B517" t="str">
        <f>"603128"</f>
        <v>603128</v>
      </c>
      <c r="C517" t="s">
        <v>4139</v>
      </c>
      <c r="D517">
        <v>8.15</v>
      </c>
      <c r="E517">
        <v>3.43</v>
      </c>
      <c r="F517">
        <v>0.27</v>
      </c>
      <c r="G517" t="s">
        <v>253</v>
      </c>
      <c r="H517">
        <v>2169</v>
      </c>
      <c r="I517">
        <v>8.15</v>
      </c>
      <c r="J517">
        <v>8.16</v>
      </c>
      <c r="K517" t="s">
        <v>4134</v>
      </c>
      <c r="L517">
        <v>3.33</v>
      </c>
      <c r="M517" t="s">
        <v>46</v>
      </c>
      <c r="N517" t="s">
        <v>4140</v>
      </c>
      <c r="O517">
        <v>8.19</v>
      </c>
      <c r="P517">
        <v>7.8</v>
      </c>
      <c r="Q517">
        <v>7.87</v>
      </c>
      <c r="R517">
        <v>7.88</v>
      </c>
      <c r="S517">
        <v>4.95</v>
      </c>
      <c r="T517">
        <v>1.59</v>
      </c>
      <c r="U517">
        <v>-26.65</v>
      </c>
      <c r="V517">
        <v>-2825</v>
      </c>
      <c r="W517">
        <v>8.02</v>
      </c>
      <c r="X517" t="s">
        <v>172</v>
      </c>
      <c r="Y517" t="s">
        <v>2791</v>
      </c>
      <c r="Z517">
        <v>0.63</v>
      </c>
      <c r="AA517">
        <v>499</v>
      </c>
      <c r="AB517">
        <v>124</v>
      </c>
      <c r="AC517">
        <v>1.8</v>
      </c>
      <c r="AD517" t="s">
        <v>4141</v>
      </c>
      <c r="AE517" t="s">
        <v>4142</v>
      </c>
      <c r="AF517" t="s">
        <v>4141</v>
      </c>
      <c r="AG517" t="s">
        <v>4142</v>
      </c>
      <c r="AH517">
        <v>10.73</v>
      </c>
      <c r="AI517">
        <v>13.51</v>
      </c>
      <c r="AJ517">
        <v>9.46</v>
      </c>
      <c r="AK517">
        <v>13.82</v>
      </c>
      <c r="AL517">
        <v>5</v>
      </c>
      <c r="AM517">
        <v>3.43</v>
      </c>
      <c r="AN517">
        <v>-21.63</v>
      </c>
      <c r="AO517">
        <v>13.83</v>
      </c>
      <c r="AP517">
        <v>-30.99</v>
      </c>
    </row>
    <row r="518" spans="1:42">
      <c r="A518">
        <v>517</v>
      </c>
      <c r="B518" t="str">
        <f>"002737"</f>
        <v>002737</v>
      </c>
      <c r="C518" t="s">
        <v>4143</v>
      </c>
      <c r="D518">
        <v>27.7</v>
      </c>
      <c r="E518">
        <v>-1.91</v>
      </c>
      <c r="F518">
        <v>-0.54</v>
      </c>
      <c r="G518" t="s">
        <v>2025</v>
      </c>
      <c r="H518">
        <v>974</v>
      </c>
      <c r="I518">
        <v>27.69</v>
      </c>
      <c r="J518">
        <v>27.7</v>
      </c>
      <c r="K518" t="s">
        <v>3882</v>
      </c>
      <c r="L518">
        <v>2.16</v>
      </c>
      <c r="M518" t="s">
        <v>46</v>
      </c>
      <c r="N518" t="s">
        <v>4144</v>
      </c>
      <c r="O518">
        <v>28.22</v>
      </c>
      <c r="P518">
        <v>27.52</v>
      </c>
      <c r="Q518">
        <v>28</v>
      </c>
      <c r="R518">
        <v>28.24</v>
      </c>
      <c r="S518">
        <v>2.48</v>
      </c>
      <c r="T518">
        <v>0.61</v>
      </c>
      <c r="U518">
        <v>77.21</v>
      </c>
      <c r="V518">
        <v>1050</v>
      </c>
      <c r="W518">
        <v>27.79</v>
      </c>
      <c r="X518" t="s">
        <v>531</v>
      </c>
      <c r="Y518" t="s">
        <v>4145</v>
      </c>
      <c r="Z518">
        <v>1.27</v>
      </c>
      <c r="AA518">
        <v>255</v>
      </c>
      <c r="AB518">
        <v>78</v>
      </c>
      <c r="AC518">
        <v>3.6</v>
      </c>
      <c r="AD518" t="s">
        <v>4146</v>
      </c>
      <c r="AE518" t="s">
        <v>2235</v>
      </c>
      <c r="AF518" t="s">
        <v>4146</v>
      </c>
      <c r="AG518" t="s">
        <v>2235</v>
      </c>
      <c r="AH518">
        <v>-0.14</v>
      </c>
      <c r="AI518">
        <v>4.45</v>
      </c>
      <c r="AJ518">
        <v>7.32</v>
      </c>
      <c r="AK518">
        <v>19.84</v>
      </c>
      <c r="AL518">
        <v>-1</v>
      </c>
      <c r="AM518">
        <v>-1.91</v>
      </c>
      <c r="AN518">
        <v>24.89</v>
      </c>
      <c r="AO518">
        <v>16.09</v>
      </c>
      <c r="AP518">
        <v>-0.57</v>
      </c>
    </row>
    <row r="519" spans="1:42">
      <c r="A519">
        <v>518</v>
      </c>
      <c r="B519" t="str">
        <f>"688535"</f>
        <v>688535</v>
      </c>
      <c r="C519" t="s">
        <v>4147</v>
      </c>
      <c r="D519">
        <v>99.59</v>
      </c>
      <c r="E519">
        <v>2.78</v>
      </c>
      <c r="F519">
        <v>2.69</v>
      </c>
      <c r="G519" t="s">
        <v>4148</v>
      </c>
      <c r="H519">
        <v>632</v>
      </c>
      <c r="I519">
        <v>99.55</v>
      </c>
      <c r="J519">
        <v>99.59</v>
      </c>
      <c r="K519" t="s">
        <v>4149</v>
      </c>
      <c r="L519">
        <v>20.03</v>
      </c>
      <c r="M519" t="s">
        <v>46</v>
      </c>
      <c r="N519" t="s">
        <v>4150</v>
      </c>
      <c r="O519">
        <v>99.59</v>
      </c>
      <c r="P519">
        <v>95.5</v>
      </c>
      <c r="Q519">
        <v>96.82</v>
      </c>
      <c r="R519">
        <v>96.9</v>
      </c>
      <c r="S519">
        <v>4.22</v>
      </c>
      <c r="T519">
        <v>0.86</v>
      </c>
      <c r="U519">
        <v>-1</v>
      </c>
      <c r="V519">
        <v>-5</v>
      </c>
      <c r="W519">
        <v>97.76</v>
      </c>
      <c r="X519" t="s">
        <v>1112</v>
      </c>
      <c r="Y519" t="s">
        <v>2329</v>
      </c>
      <c r="Z519">
        <v>0.88</v>
      </c>
      <c r="AA519">
        <v>37</v>
      </c>
      <c r="AB519">
        <v>9</v>
      </c>
      <c r="AC519">
        <v>7.89</v>
      </c>
      <c r="AD519" t="s">
        <v>4151</v>
      </c>
      <c r="AE519" t="s">
        <v>4152</v>
      </c>
      <c r="AF519" t="s">
        <v>4153</v>
      </c>
      <c r="AG519" t="s">
        <v>4154</v>
      </c>
      <c r="AH519">
        <v>-3.59</v>
      </c>
      <c r="AI519">
        <v>-6.6</v>
      </c>
      <c r="AJ519">
        <v>63.5</v>
      </c>
      <c r="AK519">
        <v>136.33</v>
      </c>
      <c r="AL519">
        <v>1</v>
      </c>
      <c r="AM519">
        <v>2.78</v>
      </c>
      <c r="AN519">
        <v>186.18</v>
      </c>
      <c r="AO519">
        <v>18.07</v>
      </c>
      <c r="AP519">
        <v>186.18</v>
      </c>
    </row>
    <row r="520" spans="1:42">
      <c r="A520">
        <v>519</v>
      </c>
      <c r="B520" t="str">
        <f>"600792"</f>
        <v>600792</v>
      </c>
      <c r="C520" t="s">
        <v>4155</v>
      </c>
      <c r="D520">
        <v>5.31</v>
      </c>
      <c r="E520">
        <v>2.31</v>
      </c>
      <c r="F520">
        <v>0.12</v>
      </c>
      <c r="G520" t="s">
        <v>1383</v>
      </c>
      <c r="H520">
        <v>6307</v>
      </c>
      <c r="I520">
        <v>5.31</v>
      </c>
      <c r="J520">
        <v>5.32</v>
      </c>
      <c r="K520" t="s">
        <v>4149</v>
      </c>
      <c r="L520">
        <v>6.65</v>
      </c>
      <c r="M520" t="s">
        <v>46</v>
      </c>
      <c r="N520" t="s">
        <v>4156</v>
      </c>
      <c r="O520">
        <v>5.48</v>
      </c>
      <c r="P520">
        <v>5.12</v>
      </c>
      <c r="Q520">
        <v>5.12</v>
      </c>
      <c r="R520">
        <v>5.19</v>
      </c>
      <c r="S520">
        <v>6.94</v>
      </c>
      <c r="T520">
        <v>0.65</v>
      </c>
      <c r="U520">
        <v>-42.75</v>
      </c>
      <c r="V520">
        <v>-9386</v>
      </c>
      <c r="W520">
        <v>5.3</v>
      </c>
      <c r="X520" t="s">
        <v>2274</v>
      </c>
      <c r="Y520" t="s">
        <v>898</v>
      </c>
      <c r="Z520">
        <v>0.9</v>
      </c>
      <c r="AA520">
        <v>2057</v>
      </c>
      <c r="AB520">
        <v>5988</v>
      </c>
      <c r="AC520">
        <v>1.54</v>
      </c>
      <c r="AD520" t="s">
        <v>4157</v>
      </c>
      <c r="AE520" t="s">
        <v>4158</v>
      </c>
      <c r="AF520" t="s">
        <v>4157</v>
      </c>
      <c r="AG520" t="s">
        <v>4158</v>
      </c>
      <c r="AH520">
        <v>-11.2</v>
      </c>
      <c r="AI520">
        <v>-5.85</v>
      </c>
      <c r="AJ520">
        <v>21.58</v>
      </c>
      <c r="AK520">
        <v>57.51</v>
      </c>
      <c r="AL520">
        <v>1</v>
      </c>
      <c r="AM520">
        <v>2.31</v>
      </c>
      <c r="AN520">
        <v>53.03</v>
      </c>
      <c r="AO520">
        <v>28.88</v>
      </c>
      <c r="AP520">
        <v>46.28</v>
      </c>
    </row>
    <row r="521" spans="1:42">
      <c r="A521">
        <v>520</v>
      </c>
      <c r="B521" t="str">
        <f>"688223"</f>
        <v>688223</v>
      </c>
      <c r="C521" t="s">
        <v>4159</v>
      </c>
      <c r="D521">
        <v>8.88</v>
      </c>
      <c r="E521">
        <v>0</v>
      </c>
      <c r="F521">
        <v>0</v>
      </c>
      <c r="G521" t="s">
        <v>1684</v>
      </c>
      <c r="H521">
        <v>5960</v>
      </c>
      <c r="I521">
        <v>8.88</v>
      </c>
      <c r="J521">
        <v>8.89</v>
      </c>
      <c r="K521" t="s">
        <v>4149</v>
      </c>
      <c r="L521">
        <v>1.29</v>
      </c>
      <c r="M521" t="s">
        <v>46</v>
      </c>
      <c r="N521" t="s">
        <v>4160</v>
      </c>
      <c r="O521">
        <v>8.88</v>
      </c>
      <c r="P521">
        <v>8.73</v>
      </c>
      <c r="Q521">
        <v>8.87</v>
      </c>
      <c r="R521">
        <v>8.88</v>
      </c>
      <c r="S521">
        <v>1.69</v>
      </c>
      <c r="T521">
        <v>0.72</v>
      </c>
      <c r="U521">
        <v>7.09</v>
      </c>
      <c r="V521">
        <v>1223</v>
      </c>
      <c r="W521">
        <v>8.8</v>
      </c>
      <c r="X521" t="s">
        <v>3217</v>
      </c>
      <c r="Y521" t="s">
        <v>4161</v>
      </c>
      <c r="Z521">
        <v>1.13</v>
      </c>
      <c r="AA521">
        <v>559</v>
      </c>
      <c r="AB521">
        <v>1899</v>
      </c>
      <c r="AC521">
        <v>2.76</v>
      </c>
      <c r="AD521" t="s">
        <v>4162</v>
      </c>
      <c r="AE521" t="s">
        <v>4163</v>
      </c>
      <c r="AF521" t="s">
        <v>4164</v>
      </c>
      <c r="AG521" t="s">
        <v>4165</v>
      </c>
      <c r="AH521">
        <v>-4</v>
      </c>
      <c r="AI521">
        <v>-11.38</v>
      </c>
      <c r="AJ521">
        <v>4.9</v>
      </c>
      <c r="AK521">
        <v>10.17</v>
      </c>
      <c r="AL521">
        <v>0</v>
      </c>
      <c r="AM521">
        <v>0</v>
      </c>
      <c r="AN521">
        <v>-39.01</v>
      </c>
      <c r="AO521">
        <v>-1.55</v>
      </c>
      <c r="AP521">
        <v>-47.02</v>
      </c>
    </row>
    <row r="522" spans="1:42">
      <c r="A522">
        <v>521</v>
      </c>
      <c r="B522" t="str">
        <f>"002368"</f>
        <v>002368</v>
      </c>
      <c r="C522" t="s">
        <v>4166</v>
      </c>
      <c r="D522">
        <v>30.38</v>
      </c>
      <c r="E522">
        <v>3.33</v>
      </c>
      <c r="F522">
        <v>0.98</v>
      </c>
      <c r="G522" t="s">
        <v>1807</v>
      </c>
      <c r="H522">
        <v>1107</v>
      </c>
      <c r="I522">
        <v>30.38</v>
      </c>
      <c r="J522">
        <v>30.39</v>
      </c>
      <c r="K522" t="s">
        <v>4149</v>
      </c>
      <c r="L522">
        <v>1.89</v>
      </c>
      <c r="M522" t="s">
        <v>46</v>
      </c>
      <c r="N522" t="s">
        <v>4167</v>
      </c>
      <c r="O522">
        <v>30.52</v>
      </c>
      <c r="P522">
        <v>28.93</v>
      </c>
      <c r="Q522">
        <v>29.44</v>
      </c>
      <c r="R522">
        <v>29.4</v>
      </c>
      <c r="S522">
        <v>5.41</v>
      </c>
      <c r="T522">
        <v>0.95</v>
      </c>
      <c r="U522">
        <v>-24.99</v>
      </c>
      <c r="V522">
        <v>-555</v>
      </c>
      <c r="W522">
        <v>29.83</v>
      </c>
      <c r="X522" t="s">
        <v>4168</v>
      </c>
      <c r="Y522" t="s">
        <v>4169</v>
      </c>
      <c r="Z522">
        <v>0.66</v>
      </c>
      <c r="AA522">
        <v>488</v>
      </c>
      <c r="AB522">
        <v>287</v>
      </c>
      <c r="AC522">
        <v>3.87</v>
      </c>
      <c r="AD522" t="s">
        <v>1893</v>
      </c>
      <c r="AE522" t="s">
        <v>4170</v>
      </c>
      <c r="AF522" t="s">
        <v>4171</v>
      </c>
      <c r="AG522" t="s">
        <v>4172</v>
      </c>
      <c r="AH522">
        <v>3.19</v>
      </c>
      <c r="AI522">
        <v>-2.28</v>
      </c>
      <c r="AJ522">
        <v>4.56</v>
      </c>
      <c r="AK522">
        <v>11.83</v>
      </c>
      <c r="AL522">
        <v>2</v>
      </c>
      <c r="AM522">
        <v>3.33</v>
      </c>
      <c r="AN522">
        <v>8.69</v>
      </c>
      <c r="AO522">
        <v>6.3</v>
      </c>
      <c r="AP522">
        <v>-2.97</v>
      </c>
    </row>
    <row r="523" spans="1:42">
      <c r="A523">
        <v>522</v>
      </c>
      <c r="B523" t="str">
        <f>"300748"</f>
        <v>300748</v>
      </c>
      <c r="C523" t="s">
        <v>4173</v>
      </c>
      <c r="D523">
        <v>19.28</v>
      </c>
      <c r="E523">
        <v>-2.58</v>
      </c>
      <c r="F523">
        <v>-0.51</v>
      </c>
      <c r="G523" t="s">
        <v>1196</v>
      </c>
      <c r="H523">
        <v>1916</v>
      </c>
      <c r="I523">
        <v>19.27</v>
      </c>
      <c r="J523">
        <v>19.28</v>
      </c>
      <c r="K523" t="s">
        <v>1993</v>
      </c>
      <c r="L523">
        <v>1.58</v>
      </c>
      <c r="M523" t="s">
        <v>46</v>
      </c>
      <c r="N523" t="s">
        <v>4174</v>
      </c>
      <c r="O523">
        <v>19.88</v>
      </c>
      <c r="P523">
        <v>19.25</v>
      </c>
      <c r="Q523">
        <v>19.6</v>
      </c>
      <c r="R523">
        <v>19.79</v>
      </c>
      <c r="S523">
        <v>3.18</v>
      </c>
      <c r="T523">
        <v>0.82</v>
      </c>
      <c r="U523">
        <v>53.71</v>
      </c>
      <c r="V523">
        <v>1420</v>
      </c>
      <c r="W523">
        <v>19.45</v>
      </c>
      <c r="X523" t="s">
        <v>1232</v>
      </c>
      <c r="Y523" t="s">
        <v>4175</v>
      </c>
      <c r="Z523">
        <v>1.27</v>
      </c>
      <c r="AA523">
        <v>108</v>
      </c>
      <c r="AB523">
        <v>3</v>
      </c>
      <c r="AC523">
        <v>3.66</v>
      </c>
      <c r="AD523" t="s">
        <v>4176</v>
      </c>
      <c r="AE523" t="s">
        <v>4177</v>
      </c>
      <c r="AF523" t="s">
        <v>4178</v>
      </c>
      <c r="AG523" t="s">
        <v>4179</v>
      </c>
      <c r="AH523">
        <v>3.32</v>
      </c>
      <c r="AI523">
        <v>3.66</v>
      </c>
      <c r="AJ523">
        <v>7.8</v>
      </c>
      <c r="AK523">
        <v>11.25</v>
      </c>
      <c r="AL523">
        <v>-1</v>
      </c>
      <c r="AM523">
        <v>-2.58</v>
      </c>
      <c r="AN523">
        <v>6.34</v>
      </c>
      <c r="AO523">
        <v>11.77</v>
      </c>
      <c r="AP523">
        <v>3.54</v>
      </c>
    </row>
    <row r="524" spans="1:42">
      <c r="A524">
        <v>523</v>
      </c>
      <c r="B524" t="str">
        <f>"002777"</f>
        <v>002777</v>
      </c>
      <c r="C524" t="s">
        <v>4180</v>
      </c>
      <c r="D524">
        <v>27</v>
      </c>
      <c r="E524">
        <v>3.85</v>
      </c>
      <c r="F524">
        <v>1</v>
      </c>
      <c r="G524" t="s">
        <v>830</v>
      </c>
      <c r="H524">
        <v>1555</v>
      </c>
      <c r="I524">
        <v>27</v>
      </c>
      <c r="J524">
        <v>27.01</v>
      </c>
      <c r="K524" t="s">
        <v>4181</v>
      </c>
      <c r="L524">
        <v>3.26</v>
      </c>
      <c r="M524" t="s">
        <v>46</v>
      </c>
      <c r="N524" t="s">
        <v>4182</v>
      </c>
      <c r="O524">
        <v>27.27</v>
      </c>
      <c r="P524">
        <v>25.87</v>
      </c>
      <c r="Q524">
        <v>26.06</v>
      </c>
      <c r="R524">
        <v>26</v>
      </c>
      <c r="S524">
        <v>5.38</v>
      </c>
      <c r="T524">
        <v>0.76</v>
      </c>
      <c r="U524">
        <v>15.63</v>
      </c>
      <c r="V524">
        <v>432</v>
      </c>
      <c r="W524">
        <v>26.68</v>
      </c>
      <c r="X524" t="s">
        <v>308</v>
      </c>
      <c r="Y524" t="s">
        <v>4183</v>
      </c>
      <c r="Z524">
        <v>0.7</v>
      </c>
      <c r="AA524">
        <v>861</v>
      </c>
      <c r="AB524">
        <v>322</v>
      </c>
      <c r="AC524">
        <v>6.82</v>
      </c>
      <c r="AD524" t="s">
        <v>4184</v>
      </c>
      <c r="AE524" t="s">
        <v>4185</v>
      </c>
      <c r="AF524" t="s">
        <v>4186</v>
      </c>
      <c r="AG524" t="s">
        <v>4187</v>
      </c>
      <c r="AH524">
        <v>-1.03</v>
      </c>
      <c r="AI524">
        <v>-3.61</v>
      </c>
      <c r="AJ524">
        <v>8.82</v>
      </c>
      <c r="AK524">
        <v>24.79</v>
      </c>
      <c r="AL524">
        <v>1</v>
      </c>
      <c r="AM524">
        <v>3.85</v>
      </c>
      <c r="AN524">
        <v>81.21</v>
      </c>
      <c r="AO524">
        <v>13.35</v>
      </c>
      <c r="AP524">
        <v>64.63</v>
      </c>
    </row>
    <row r="525" spans="1:42">
      <c r="A525">
        <v>524</v>
      </c>
      <c r="B525" t="str">
        <f>"600025"</f>
        <v>600025</v>
      </c>
      <c r="C525" t="s">
        <v>4188</v>
      </c>
      <c r="D525">
        <v>8.36</v>
      </c>
      <c r="E525">
        <v>0.24</v>
      </c>
      <c r="F525">
        <v>0.02</v>
      </c>
      <c r="G525" t="s">
        <v>3582</v>
      </c>
      <c r="H525">
        <v>2032</v>
      </c>
      <c r="I525">
        <v>8.36</v>
      </c>
      <c r="J525">
        <v>8.37</v>
      </c>
      <c r="K525" t="s">
        <v>4181</v>
      </c>
      <c r="L525">
        <v>0.23</v>
      </c>
      <c r="M525" t="s">
        <v>46</v>
      </c>
      <c r="N525" t="s">
        <v>3010</v>
      </c>
      <c r="O525">
        <v>8.43</v>
      </c>
      <c r="P525">
        <v>8.28</v>
      </c>
      <c r="Q525">
        <v>8.37</v>
      </c>
      <c r="R525">
        <v>8.34</v>
      </c>
      <c r="S525">
        <v>1.8</v>
      </c>
      <c r="T525">
        <v>1.53</v>
      </c>
      <c r="U525">
        <v>-50.09</v>
      </c>
      <c r="V525" t="s">
        <v>4189</v>
      </c>
      <c r="W525">
        <v>8.34</v>
      </c>
      <c r="X525" t="s">
        <v>1196</v>
      </c>
      <c r="Y525" t="s">
        <v>2178</v>
      </c>
      <c r="Z525">
        <v>0.76</v>
      </c>
      <c r="AA525">
        <v>1956</v>
      </c>
      <c r="AB525">
        <v>3594</v>
      </c>
      <c r="AC525">
        <v>2.81</v>
      </c>
      <c r="AD525" t="s">
        <v>4190</v>
      </c>
      <c r="AE525" t="s">
        <v>4191</v>
      </c>
      <c r="AF525" t="s">
        <v>4190</v>
      </c>
      <c r="AG525" t="s">
        <v>4191</v>
      </c>
      <c r="AH525">
        <v>2.7</v>
      </c>
      <c r="AI525">
        <v>3.47</v>
      </c>
      <c r="AJ525">
        <v>0.51</v>
      </c>
      <c r="AK525">
        <v>0.99</v>
      </c>
      <c r="AL525">
        <v>4</v>
      </c>
      <c r="AM525">
        <v>0.24</v>
      </c>
      <c r="AN525">
        <v>30.22</v>
      </c>
      <c r="AO525">
        <v>7.18</v>
      </c>
      <c r="AP525">
        <v>30.42</v>
      </c>
    </row>
    <row r="526" spans="1:42">
      <c r="A526">
        <v>525</v>
      </c>
      <c r="B526" t="str">
        <f>"605136"</f>
        <v>605136</v>
      </c>
      <c r="C526" t="s">
        <v>4192</v>
      </c>
      <c r="D526">
        <v>11.7</v>
      </c>
      <c r="E526">
        <v>2.36</v>
      </c>
      <c r="F526">
        <v>0.27</v>
      </c>
      <c r="G526" t="s">
        <v>3267</v>
      </c>
      <c r="H526">
        <v>2290</v>
      </c>
      <c r="I526">
        <v>11.7</v>
      </c>
      <c r="J526">
        <v>11.71</v>
      </c>
      <c r="K526" t="s">
        <v>997</v>
      </c>
      <c r="L526">
        <v>7.36</v>
      </c>
      <c r="M526" t="s">
        <v>46</v>
      </c>
      <c r="N526" t="s">
        <v>4193</v>
      </c>
      <c r="O526">
        <v>11.99</v>
      </c>
      <c r="P526">
        <v>11.3</v>
      </c>
      <c r="Q526">
        <v>11.4</v>
      </c>
      <c r="R526">
        <v>11.43</v>
      </c>
      <c r="S526">
        <v>6.04</v>
      </c>
      <c r="T526">
        <v>1.64</v>
      </c>
      <c r="U526">
        <v>63.46</v>
      </c>
      <c r="V526">
        <v>2859</v>
      </c>
      <c r="W526">
        <v>11.74</v>
      </c>
      <c r="X526" t="s">
        <v>4194</v>
      </c>
      <c r="Y526" t="s">
        <v>2222</v>
      </c>
      <c r="Z526">
        <v>0.97</v>
      </c>
      <c r="AA526">
        <v>1354</v>
      </c>
      <c r="AB526">
        <v>293</v>
      </c>
      <c r="AC526">
        <v>1.91</v>
      </c>
      <c r="AD526" t="s">
        <v>4195</v>
      </c>
      <c r="AE526" t="s">
        <v>4196</v>
      </c>
      <c r="AF526" t="s">
        <v>4195</v>
      </c>
      <c r="AG526" t="s">
        <v>4196</v>
      </c>
      <c r="AH526">
        <v>8.74</v>
      </c>
      <c r="AI526">
        <v>9.14</v>
      </c>
      <c r="AJ526">
        <v>20.67</v>
      </c>
      <c r="AK526">
        <v>29.8</v>
      </c>
      <c r="AL526">
        <v>3</v>
      </c>
      <c r="AM526">
        <v>2.36</v>
      </c>
      <c r="AN526">
        <v>-16.31</v>
      </c>
      <c r="AO526">
        <v>13.92</v>
      </c>
      <c r="AP526">
        <v>0.78</v>
      </c>
    </row>
    <row r="527" spans="1:42">
      <c r="A527">
        <v>526</v>
      </c>
      <c r="B527" t="str">
        <f>"300204"</f>
        <v>300204</v>
      </c>
      <c r="C527" t="s">
        <v>4197</v>
      </c>
      <c r="D527">
        <v>11.72</v>
      </c>
      <c r="E527">
        <v>2</v>
      </c>
      <c r="F527">
        <v>0.23</v>
      </c>
      <c r="G527" t="s">
        <v>710</v>
      </c>
      <c r="H527">
        <v>4177</v>
      </c>
      <c r="I527">
        <v>11.72</v>
      </c>
      <c r="J527">
        <v>11.73</v>
      </c>
      <c r="K527" t="s">
        <v>997</v>
      </c>
      <c r="L527">
        <v>6.18</v>
      </c>
      <c r="M527" t="s">
        <v>46</v>
      </c>
      <c r="N527" t="s">
        <v>4198</v>
      </c>
      <c r="O527">
        <v>12.39</v>
      </c>
      <c r="P527">
        <v>11.34</v>
      </c>
      <c r="Q527">
        <v>11.34</v>
      </c>
      <c r="R527">
        <v>11.49</v>
      </c>
      <c r="S527">
        <v>9.14</v>
      </c>
      <c r="T527">
        <v>1.21</v>
      </c>
      <c r="U527">
        <v>15.71</v>
      </c>
      <c r="V527">
        <v>376</v>
      </c>
      <c r="W527">
        <v>11.87</v>
      </c>
      <c r="X527" t="s">
        <v>1412</v>
      </c>
      <c r="Y527" t="s">
        <v>1207</v>
      </c>
      <c r="Z527">
        <v>1.09</v>
      </c>
      <c r="AA527">
        <v>79</v>
      </c>
      <c r="AB527">
        <v>89</v>
      </c>
      <c r="AC527">
        <v>4.75</v>
      </c>
      <c r="AD527" t="s">
        <v>4199</v>
      </c>
      <c r="AE527" t="s">
        <v>4200</v>
      </c>
      <c r="AF527" t="s">
        <v>4201</v>
      </c>
      <c r="AG527" t="s">
        <v>3359</v>
      </c>
      <c r="AH527">
        <v>0.43</v>
      </c>
      <c r="AI527">
        <v>-2.5</v>
      </c>
      <c r="AJ527">
        <v>13.51</v>
      </c>
      <c r="AK527">
        <v>31.64</v>
      </c>
      <c r="AL527">
        <v>2</v>
      </c>
      <c r="AM527">
        <v>2</v>
      </c>
      <c r="AN527">
        <v>-13.82</v>
      </c>
      <c r="AO527">
        <v>12.8</v>
      </c>
      <c r="AP527">
        <v>-18.16</v>
      </c>
    </row>
    <row r="528" spans="1:42">
      <c r="A528">
        <v>527</v>
      </c>
      <c r="B528" t="str">
        <f>"001331"</f>
        <v>001331</v>
      </c>
      <c r="C528" t="s">
        <v>4202</v>
      </c>
      <c r="D528">
        <v>20</v>
      </c>
      <c r="E528">
        <v>-2.63</v>
      </c>
      <c r="F528">
        <v>-0.54</v>
      </c>
      <c r="G528" t="s">
        <v>1439</v>
      </c>
      <c r="H528">
        <v>2535</v>
      </c>
      <c r="I528">
        <v>20</v>
      </c>
      <c r="J528">
        <v>20.02</v>
      </c>
      <c r="K528" t="s">
        <v>997</v>
      </c>
      <c r="L528">
        <v>39.86</v>
      </c>
      <c r="M528" t="s">
        <v>46</v>
      </c>
      <c r="N528" t="s">
        <v>3096</v>
      </c>
      <c r="O528">
        <v>21.68</v>
      </c>
      <c r="P528">
        <v>19.68</v>
      </c>
      <c r="Q528">
        <v>20.5</v>
      </c>
      <c r="R528">
        <v>20.54</v>
      </c>
      <c r="S528">
        <v>9.74</v>
      </c>
      <c r="T528">
        <v>3.14</v>
      </c>
      <c r="U528">
        <v>87.74</v>
      </c>
      <c r="V528">
        <v>988</v>
      </c>
      <c r="W528">
        <v>20.64</v>
      </c>
      <c r="X528" t="s">
        <v>175</v>
      </c>
      <c r="Y528" t="s">
        <v>3690</v>
      </c>
      <c r="Z528">
        <v>1.08</v>
      </c>
      <c r="AA528">
        <v>111</v>
      </c>
      <c r="AB528">
        <v>29</v>
      </c>
      <c r="AC528">
        <v>2.25</v>
      </c>
      <c r="AD528" t="s">
        <v>2651</v>
      </c>
      <c r="AE528" t="s">
        <v>4203</v>
      </c>
      <c r="AF528" t="s">
        <v>4204</v>
      </c>
      <c r="AG528" t="s">
        <v>4205</v>
      </c>
      <c r="AH528">
        <v>5.26</v>
      </c>
      <c r="AI528">
        <v>6.04</v>
      </c>
      <c r="AJ528">
        <v>67.22</v>
      </c>
      <c r="AK528">
        <v>103.42</v>
      </c>
      <c r="AL528">
        <v>-1</v>
      </c>
      <c r="AM528">
        <v>-2.63</v>
      </c>
      <c r="AN528">
        <v>-3.8</v>
      </c>
      <c r="AO528">
        <v>10.01</v>
      </c>
      <c r="AP528">
        <v>-16.53</v>
      </c>
    </row>
    <row r="529" spans="1:42">
      <c r="A529">
        <v>528</v>
      </c>
      <c r="B529" t="str">
        <f>"000807"</f>
        <v>000807</v>
      </c>
      <c r="C529" t="s">
        <v>4206</v>
      </c>
      <c r="D529">
        <v>12.77</v>
      </c>
      <c r="E529">
        <v>-0.78</v>
      </c>
      <c r="F529">
        <v>-0.1</v>
      </c>
      <c r="G529" t="s">
        <v>91</v>
      </c>
      <c r="H529">
        <v>4227</v>
      </c>
      <c r="I529">
        <v>12.76</v>
      </c>
      <c r="J529">
        <v>12.77</v>
      </c>
      <c r="K529" t="s">
        <v>4207</v>
      </c>
      <c r="L529">
        <v>0.78</v>
      </c>
      <c r="M529" t="s">
        <v>46</v>
      </c>
      <c r="N529" t="s">
        <v>4208</v>
      </c>
      <c r="O529">
        <v>12.91</v>
      </c>
      <c r="P529">
        <v>12.64</v>
      </c>
      <c r="Q529">
        <v>12.91</v>
      </c>
      <c r="R529">
        <v>12.87</v>
      </c>
      <c r="S529">
        <v>2.1</v>
      </c>
      <c r="T529">
        <v>1.44</v>
      </c>
      <c r="U529">
        <v>-11.22</v>
      </c>
      <c r="V529">
        <v>-872</v>
      </c>
      <c r="W529">
        <v>12.71</v>
      </c>
      <c r="X529" t="s">
        <v>1412</v>
      </c>
      <c r="Y529" t="s">
        <v>1937</v>
      </c>
      <c r="Z529">
        <v>1.27</v>
      </c>
      <c r="AA529">
        <v>1009</v>
      </c>
      <c r="AB529">
        <v>976</v>
      </c>
      <c r="AC529">
        <v>1.82</v>
      </c>
      <c r="AD529" t="s">
        <v>4209</v>
      </c>
      <c r="AE529" t="s">
        <v>4210</v>
      </c>
      <c r="AF529" t="s">
        <v>4209</v>
      </c>
      <c r="AG529" t="s">
        <v>4210</v>
      </c>
      <c r="AH529">
        <v>-1.54</v>
      </c>
      <c r="AI529">
        <v>-2.52</v>
      </c>
      <c r="AJ529">
        <v>1.87</v>
      </c>
      <c r="AK529">
        <v>3.5</v>
      </c>
      <c r="AL529">
        <v>-6</v>
      </c>
      <c r="AM529">
        <v>-0.78</v>
      </c>
      <c r="AN529">
        <v>16.51</v>
      </c>
      <c r="AO529">
        <v>-5.9</v>
      </c>
      <c r="AP529">
        <v>28.21</v>
      </c>
    </row>
    <row r="530" spans="1:42">
      <c r="A530">
        <v>529</v>
      </c>
      <c r="B530" t="str">
        <f>"301308"</f>
        <v>301308</v>
      </c>
      <c r="C530" t="s">
        <v>4211</v>
      </c>
      <c r="D530">
        <v>96.17</v>
      </c>
      <c r="E530">
        <v>3.42</v>
      </c>
      <c r="F530">
        <v>3.18</v>
      </c>
      <c r="G530" t="s">
        <v>1313</v>
      </c>
      <c r="H530">
        <v>440</v>
      </c>
      <c r="I530">
        <v>96.16</v>
      </c>
      <c r="J530">
        <v>96.17</v>
      </c>
      <c r="K530" t="s">
        <v>4207</v>
      </c>
      <c r="L530">
        <v>3.25</v>
      </c>
      <c r="M530" t="s">
        <v>46</v>
      </c>
      <c r="N530" t="s">
        <v>4212</v>
      </c>
      <c r="O530">
        <v>96.23</v>
      </c>
      <c r="P530">
        <v>91.6</v>
      </c>
      <c r="Q530">
        <v>93.42</v>
      </c>
      <c r="R530">
        <v>92.99</v>
      </c>
      <c r="S530">
        <v>4.98</v>
      </c>
      <c r="T530">
        <v>1.26</v>
      </c>
      <c r="U530">
        <v>-67.89</v>
      </c>
      <c r="V530">
        <v>-254</v>
      </c>
      <c r="W530">
        <v>94.2</v>
      </c>
      <c r="X530" t="s">
        <v>1112</v>
      </c>
      <c r="Y530" t="s">
        <v>1590</v>
      </c>
      <c r="Z530">
        <v>0.84</v>
      </c>
      <c r="AA530">
        <v>24</v>
      </c>
      <c r="AB530">
        <v>146</v>
      </c>
      <c r="AC530">
        <v>6.71</v>
      </c>
      <c r="AD530" t="s">
        <v>4213</v>
      </c>
      <c r="AE530" t="s">
        <v>4214</v>
      </c>
      <c r="AF530" t="s">
        <v>4215</v>
      </c>
      <c r="AG530" t="s">
        <v>1860</v>
      </c>
      <c r="AH530">
        <v>1.8</v>
      </c>
      <c r="AI530">
        <v>0.51</v>
      </c>
      <c r="AJ530">
        <v>7.3</v>
      </c>
      <c r="AK530">
        <v>16.15</v>
      </c>
      <c r="AL530">
        <v>1</v>
      </c>
      <c r="AM530">
        <v>3.42</v>
      </c>
      <c r="AN530">
        <v>63.06</v>
      </c>
      <c r="AO530">
        <v>-7.43</v>
      </c>
      <c r="AP530">
        <v>28.74</v>
      </c>
    </row>
    <row r="531" spans="1:42">
      <c r="A531">
        <v>530</v>
      </c>
      <c r="B531" t="str">
        <f>"688188"</f>
        <v>688188</v>
      </c>
      <c r="C531" t="s">
        <v>4216</v>
      </c>
      <c r="D531">
        <v>230.08</v>
      </c>
      <c r="E531">
        <v>2.22</v>
      </c>
      <c r="F531">
        <v>4.99</v>
      </c>
      <c r="G531" t="s">
        <v>2371</v>
      </c>
      <c r="H531">
        <v>124</v>
      </c>
      <c r="I531">
        <v>230.01</v>
      </c>
      <c r="J531">
        <v>230.08</v>
      </c>
      <c r="K531" t="s">
        <v>4207</v>
      </c>
      <c r="L531">
        <v>1.03</v>
      </c>
      <c r="M531" t="s">
        <v>46</v>
      </c>
      <c r="N531" t="s">
        <v>1126</v>
      </c>
      <c r="O531">
        <v>234.95</v>
      </c>
      <c r="P531">
        <v>221.1</v>
      </c>
      <c r="Q531">
        <v>232</v>
      </c>
      <c r="R531">
        <v>225.09</v>
      </c>
      <c r="S531">
        <v>6.15</v>
      </c>
      <c r="T531">
        <v>3.88</v>
      </c>
      <c r="U531">
        <v>30.19</v>
      </c>
      <c r="V531">
        <v>38</v>
      </c>
      <c r="W531">
        <v>228.06</v>
      </c>
      <c r="X531">
        <v>7826</v>
      </c>
      <c r="Y531">
        <v>7286</v>
      </c>
      <c r="Z531">
        <v>1.07</v>
      </c>
      <c r="AA531">
        <v>2</v>
      </c>
      <c r="AB531">
        <v>11</v>
      </c>
      <c r="AC531">
        <v>7.05</v>
      </c>
      <c r="AD531" t="s">
        <v>4217</v>
      </c>
      <c r="AE531" t="s">
        <v>4218</v>
      </c>
      <c r="AF531" t="s">
        <v>4217</v>
      </c>
      <c r="AG531" t="s">
        <v>4218</v>
      </c>
      <c r="AH531">
        <v>4.06</v>
      </c>
      <c r="AI531">
        <v>2.94</v>
      </c>
      <c r="AJ531">
        <v>1.69</v>
      </c>
      <c r="AK531">
        <v>2.36</v>
      </c>
      <c r="AL531">
        <v>2</v>
      </c>
      <c r="AM531">
        <v>2.22</v>
      </c>
      <c r="AN531">
        <v>6.54</v>
      </c>
      <c r="AO531">
        <v>-0.61</v>
      </c>
      <c r="AP531">
        <v>-8.44</v>
      </c>
    </row>
    <row r="532" spans="1:42">
      <c r="A532">
        <v>531</v>
      </c>
      <c r="B532" t="str">
        <f>"300052"</f>
        <v>300052</v>
      </c>
      <c r="C532" t="s">
        <v>4219</v>
      </c>
      <c r="D532">
        <v>19.05</v>
      </c>
      <c r="E532">
        <v>5.77</v>
      </c>
      <c r="F532">
        <v>1.04</v>
      </c>
      <c r="G532" t="s">
        <v>868</v>
      </c>
      <c r="H532">
        <v>3259</v>
      </c>
      <c r="I532">
        <v>19.04</v>
      </c>
      <c r="J532">
        <v>19.05</v>
      </c>
      <c r="K532" t="s">
        <v>4220</v>
      </c>
      <c r="L532">
        <v>7.05</v>
      </c>
      <c r="M532" t="s">
        <v>46</v>
      </c>
      <c r="N532" t="s">
        <v>1752</v>
      </c>
      <c r="O532">
        <v>19.13</v>
      </c>
      <c r="P532">
        <v>17.99</v>
      </c>
      <c r="Q532">
        <v>18.01</v>
      </c>
      <c r="R532">
        <v>18.01</v>
      </c>
      <c r="S532">
        <v>6.33</v>
      </c>
      <c r="T532">
        <v>1.9</v>
      </c>
      <c r="U532">
        <v>-19.3</v>
      </c>
      <c r="V532">
        <v>-911</v>
      </c>
      <c r="W532">
        <v>18.69</v>
      </c>
      <c r="X532" t="s">
        <v>4221</v>
      </c>
      <c r="Y532" t="s">
        <v>1438</v>
      </c>
      <c r="Z532">
        <v>0.68</v>
      </c>
      <c r="AA532">
        <v>181</v>
      </c>
      <c r="AB532">
        <v>1732</v>
      </c>
      <c r="AC532">
        <v>8.77</v>
      </c>
      <c r="AD532" t="s">
        <v>4222</v>
      </c>
      <c r="AE532" t="s">
        <v>4223</v>
      </c>
      <c r="AF532" t="s">
        <v>4074</v>
      </c>
      <c r="AG532" t="s">
        <v>4224</v>
      </c>
      <c r="AH532">
        <v>1.49</v>
      </c>
      <c r="AI532">
        <v>-1.19</v>
      </c>
      <c r="AJ532">
        <v>13.9</v>
      </c>
      <c r="AK532">
        <v>25.62</v>
      </c>
      <c r="AL532">
        <v>1</v>
      </c>
      <c r="AM532">
        <v>5.77</v>
      </c>
      <c r="AN532">
        <v>-4.99</v>
      </c>
      <c r="AO532">
        <v>0.79</v>
      </c>
      <c r="AP532">
        <v>-3.54</v>
      </c>
    </row>
    <row r="533" spans="1:42">
      <c r="A533">
        <v>532</v>
      </c>
      <c r="B533" t="str">
        <f>"002792"</f>
        <v>002792</v>
      </c>
      <c r="C533" t="s">
        <v>4225</v>
      </c>
      <c r="D533">
        <v>18.01</v>
      </c>
      <c r="E533">
        <v>3.92</v>
      </c>
      <c r="F533">
        <v>0.68</v>
      </c>
      <c r="G533" t="s">
        <v>869</v>
      </c>
      <c r="H533">
        <v>1956</v>
      </c>
      <c r="I533">
        <v>18</v>
      </c>
      <c r="J533">
        <v>18.01</v>
      </c>
      <c r="K533" t="s">
        <v>4226</v>
      </c>
      <c r="L533">
        <v>8.03</v>
      </c>
      <c r="M533" t="s">
        <v>46</v>
      </c>
      <c r="N533" t="s">
        <v>4227</v>
      </c>
      <c r="O533">
        <v>18.06</v>
      </c>
      <c r="P533">
        <v>17.16</v>
      </c>
      <c r="Q533">
        <v>17.16</v>
      </c>
      <c r="R533">
        <v>17.33</v>
      </c>
      <c r="S533">
        <v>5.19</v>
      </c>
      <c r="T533">
        <v>1.5</v>
      </c>
      <c r="U533">
        <v>-33.52</v>
      </c>
      <c r="V533">
        <v>-1562</v>
      </c>
      <c r="W533">
        <v>17.83</v>
      </c>
      <c r="X533" t="s">
        <v>4228</v>
      </c>
      <c r="Y533" t="s">
        <v>447</v>
      </c>
      <c r="Z533">
        <v>0.58</v>
      </c>
      <c r="AA533">
        <v>461</v>
      </c>
      <c r="AB533">
        <v>450</v>
      </c>
      <c r="AC533">
        <v>2.59</v>
      </c>
      <c r="AD533" t="s">
        <v>4229</v>
      </c>
      <c r="AE533" t="s">
        <v>4230</v>
      </c>
      <c r="AF533" t="s">
        <v>4231</v>
      </c>
      <c r="AG533" t="s">
        <v>4232</v>
      </c>
      <c r="AH533">
        <v>4.41</v>
      </c>
      <c r="AI533">
        <v>-0.5</v>
      </c>
      <c r="AJ533">
        <v>16.21</v>
      </c>
      <c r="AK533">
        <v>34.79</v>
      </c>
      <c r="AL533">
        <v>2</v>
      </c>
      <c r="AM533">
        <v>3.92</v>
      </c>
      <c r="AN533">
        <v>71.2</v>
      </c>
      <c r="AO533">
        <v>0.67</v>
      </c>
      <c r="AP533">
        <v>51.6</v>
      </c>
    </row>
    <row r="534" spans="1:42">
      <c r="A534">
        <v>533</v>
      </c>
      <c r="B534" t="str">
        <f>"301311"</f>
        <v>301311</v>
      </c>
      <c r="C534" t="s">
        <v>4233</v>
      </c>
      <c r="D534">
        <v>23.1</v>
      </c>
      <c r="E534">
        <v>-1.66</v>
      </c>
      <c r="F534">
        <v>-0.39</v>
      </c>
      <c r="G534" t="s">
        <v>2222</v>
      </c>
      <c r="H534">
        <v>1477</v>
      </c>
      <c r="I534">
        <v>23.1</v>
      </c>
      <c r="J534">
        <v>23.11</v>
      </c>
      <c r="K534" t="s">
        <v>4234</v>
      </c>
      <c r="L534">
        <v>17.16</v>
      </c>
      <c r="M534" t="s">
        <v>46</v>
      </c>
      <c r="N534" t="s">
        <v>2480</v>
      </c>
      <c r="O534">
        <v>23.32</v>
      </c>
      <c r="P534">
        <v>22.6</v>
      </c>
      <c r="Q534">
        <v>22.87</v>
      </c>
      <c r="R534">
        <v>23.49</v>
      </c>
      <c r="S534">
        <v>3.07</v>
      </c>
      <c r="T534">
        <v>2.55</v>
      </c>
      <c r="U534">
        <v>81</v>
      </c>
      <c r="V534">
        <v>1594</v>
      </c>
      <c r="W534">
        <v>22.88</v>
      </c>
      <c r="X534" t="s">
        <v>4235</v>
      </c>
      <c r="Y534" t="s">
        <v>4236</v>
      </c>
      <c r="Z534">
        <v>1.08</v>
      </c>
      <c r="AA534">
        <v>512</v>
      </c>
      <c r="AB534">
        <v>10</v>
      </c>
      <c r="AC534">
        <v>3.05</v>
      </c>
      <c r="AD534" t="s">
        <v>4237</v>
      </c>
      <c r="AE534" t="s">
        <v>4238</v>
      </c>
      <c r="AF534" t="s">
        <v>4239</v>
      </c>
      <c r="AG534" t="s">
        <v>4240</v>
      </c>
      <c r="AH534">
        <v>7.49</v>
      </c>
      <c r="AI534">
        <v>5.62</v>
      </c>
      <c r="AJ534">
        <v>42.84</v>
      </c>
      <c r="AK534">
        <v>50.8</v>
      </c>
      <c r="AL534">
        <v>-1</v>
      </c>
      <c r="AM534">
        <v>-1.66</v>
      </c>
      <c r="AN534">
        <v>30.73</v>
      </c>
      <c r="AO534">
        <v>9.63</v>
      </c>
      <c r="AP534">
        <v>67.15</v>
      </c>
    </row>
    <row r="535" spans="1:42">
      <c r="A535">
        <v>534</v>
      </c>
      <c r="B535" t="str">
        <f>"600111"</f>
        <v>600111</v>
      </c>
      <c r="C535" t="s">
        <v>4241</v>
      </c>
      <c r="D535">
        <v>19.88</v>
      </c>
      <c r="E535">
        <v>0.2</v>
      </c>
      <c r="F535">
        <v>0.04</v>
      </c>
      <c r="G535" t="s">
        <v>1367</v>
      </c>
      <c r="H535">
        <v>1602</v>
      </c>
      <c r="I535">
        <v>19.88</v>
      </c>
      <c r="J535">
        <v>19.89</v>
      </c>
      <c r="K535" t="s">
        <v>4234</v>
      </c>
      <c r="L535">
        <v>0.48</v>
      </c>
      <c r="M535" t="s">
        <v>46</v>
      </c>
      <c r="N535" t="s">
        <v>4242</v>
      </c>
      <c r="O535">
        <v>19.96</v>
      </c>
      <c r="P535">
        <v>19.59</v>
      </c>
      <c r="Q535">
        <v>19.84</v>
      </c>
      <c r="R535">
        <v>19.84</v>
      </c>
      <c r="S535">
        <v>1.86</v>
      </c>
      <c r="T535">
        <v>1.18</v>
      </c>
      <c r="U535">
        <v>-32.03</v>
      </c>
      <c r="V535">
        <v>-1084</v>
      </c>
      <c r="W535">
        <v>19.79</v>
      </c>
      <c r="X535" t="s">
        <v>3812</v>
      </c>
      <c r="Y535" t="s">
        <v>4243</v>
      </c>
      <c r="Z535">
        <v>1.16</v>
      </c>
      <c r="AA535">
        <v>94</v>
      </c>
      <c r="AB535">
        <v>1201</v>
      </c>
      <c r="AC535">
        <v>3.47</v>
      </c>
      <c r="AD535" t="s">
        <v>4244</v>
      </c>
      <c r="AE535" t="s">
        <v>4245</v>
      </c>
      <c r="AF535" t="s">
        <v>4244</v>
      </c>
      <c r="AG535" t="s">
        <v>4245</v>
      </c>
      <c r="AH535">
        <v>-1.49</v>
      </c>
      <c r="AI535">
        <v>-4.15</v>
      </c>
      <c r="AJ535">
        <v>1.31</v>
      </c>
      <c r="AK535">
        <v>2.51</v>
      </c>
      <c r="AL535">
        <v>1</v>
      </c>
      <c r="AM535">
        <v>0.2</v>
      </c>
      <c r="AN535">
        <v>-20.1</v>
      </c>
      <c r="AO535">
        <v>-5.69</v>
      </c>
      <c r="AP535">
        <v>-21.76</v>
      </c>
    </row>
    <row r="536" spans="1:42">
      <c r="A536">
        <v>535</v>
      </c>
      <c r="B536" t="str">
        <f>"301091"</f>
        <v>301091</v>
      </c>
      <c r="C536" t="s">
        <v>4246</v>
      </c>
      <c r="D536">
        <v>25.34</v>
      </c>
      <c r="E536">
        <v>3.05</v>
      </c>
      <c r="F536">
        <v>0.75</v>
      </c>
      <c r="G536" t="s">
        <v>4247</v>
      </c>
      <c r="H536">
        <v>2088</v>
      </c>
      <c r="I536">
        <v>25.33</v>
      </c>
      <c r="J536">
        <v>25.34</v>
      </c>
      <c r="K536" t="s">
        <v>4248</v>
      </c>
      <c r="L536">
        <v>9.1</v>
      </c>
      <c r="M536" t="s">
        <v>46</v>
      </c>
      <c r="N536" t="s">
        <v>1401</v>
      </c>
      <c r="O536">
        <v>25.66</v>
      </c>
      <c r="P536">
        <v>24.59</v>
      </c>
      <c r="Q536">
        <v>24.59</v>
      </c>
      <c r="R536">
        <v>24.59</v>
      </c>
      <c r="S536">
        <v>4.35</v>
      </c>
      <c r="T536">
        <v>0.66</v>
      </c>
      <c r="U536">
        <v>34.92</v>
      </c>
      <c r="V536">
        <v>352</v>
      </c>
      <c r="W536">
        <v>25.19</v>
      </c>
      <c r="X536" t="s">
        <v>4249</v>
      </c>
      <c r="Y536" t="s">
        <v>4250</v>
      </c>
      <c r="Z536">
        <v>1.06</v>
      </c>
      <c r="AA536">
        <v>213</v>
      </c>
      <c r="AB536">
        <v>71</v>
      </c>
      <c r="AC536">
        <v>3.73</v>
      </c>
      <c r="AD536" t="s">
        <v>4251</v>
      </c>
      <c r="AE536" t="s">
        <v>4252</v>
      </c>
      <c r="AF536" t="s">
        <v>4253</v>
      </c>
      <c r="AG536" t="s">
        <v>4254</v>
      </c>
      <c r="AH536">
        <v>-7.45</v>
      </c>
      <c r="AI536">
        <v>-12.62</v>
      </c>
      <c r="AJ536">
        <v>33.11</v>
      </c>
      <c r="AK536">
        <v>78.57</v>
      </c>
      <c r="AL536">
        <v>1</v>
      </c>
      <c r="AM536">
        <v>3.05</v>
      </c>
      <c r="AN536">
        <v>60.08</v>
      </c>
      <c r="AO536">
        <v>9.22</v>
      </c>
      <c r="AP536">
        <v>48.1</v>
      </c>
    </row>
    <row r="537" spans="1:42">
      <c r="A537">
        <v>536</v>
      </c>
      <c r="B537" t="str">
        <f>"300763"</f>
        <v>300763</v>
      </c>
      <c r="C537" t="s">
        <v>4255</v>
      </c>
      <c r="D537">
        <v>65.36</v>
      </c>
      <c r="E537">
        <v>-1.94</v>
      </c>
      <c r="F537">
        <v>-1.29</v>
      </c>
      <c r="G537" t="s">
        <v>2386</v>
      </c>
      <c r="H537">
        <v>853</v>
      </c>
      <c r="I537">
        <v>65.35</v>
      </c>
      <c r="J537">
        <v>65.36</v>
      </c>
      <c r="K537" t="s">
        <v>4248</v>
      </c>
      <c r="L537">
        <v>1.61</v>
      </c>
      <c r="M537" t="s">
        <v>46</v>
      </c>
      <c r="N537" t="s">
        <v>4256</v>
      </c>
      <c r="O537">
        <v>66.73</v>
      </c>
      <c r="P537">
        <v>64.88</v>
      </c>
      <c r="Q537">
        <v>66.23</v>
      </c>
      <c r="R537">
        <v>66.65</v>
      </c>
      <c r="S537">
        <v>2.78</v>
      </c>
      <c r="T537">
        <v>0.92</v>
      </c>
      <c r="U537">
        <v>-45.37</v>
      </c>
      <c r="V537">
        <v>-196</v>
      </c>
      <c r="W537">
        <v>65.63</v>
      </c>
      <c r="X537" t="s">
        <v>1639</v>
      </c>
      <c r="Y537" t="s">
        <v>4257</v>
      </c>
      <c r="Z537">
        <v>1.03</v>
      </c>
      <c r="AA537">
        <v>47</v>
      </c>
      <c r="AB537">
        <v>96</v>
      </c>
      <c r="AC537">
        <v>3.38</v>
      </c>
      <c r="AD537" t="s">
        <v>4258</v>
      </c>
      <c r="AE537" t="s">
        <v>4259</v>
      </c>
      <c r="AF537" t="s">
        <v>4260</v>
      </c>
      <c r="AG537" t="s">
        <v>4261</v>
      </c>
      <c r="AH537">
        <v>0.14</v>
      </c>
      <c r="AI537">
        <v>-7.2</v>
      </c>
      <c r="AJ537">
        <v>5.34</v>
      </c>
      <c r="AK537">
        <v>10.34</v>
      </c>
      <c r="AL537">
        <v>-1</v>
      </c>
      <c r="AM537">
        <v>-1.94</v>
      </c>
      <c r="AN537">
        <v>-63.62</v>
      </c>
      <c r="AO537">
        <v>0.66</v>
      </c>
      <c r="AP537">
        <v>-65.88</v>
      </c>
    </row>
    <row r="538" spans="1:42">
      <c r="A538">
        <v>537</v>
      </c>
      <c r="B538" t="str">
        <f>"300705"</f>
        <v>300705</v>
      </c>
      <c r="C538" t="s">
        <v>4262</v>
      </c>
      <c r="D538">
        <v>33.47</v>
      </c>
      <c r="E538">
        <v>1.73</v>
      </c>
      <c r="F538">
        <v>0.57</v>
      </c>
      <c r="G538" t="s">
        <v>3402</v>
      </c>
      <c r="H538">
        <v>2327</v>
      </c>
      <c r="I538">
        <v>33.46</v>
      </c>
      <c r="J538">
        <v>33.47</v>
      </c>
      <c r="K538" t="s">
        <v>4248</v>
      </c>
      <c r="L538">
        <v>4.78</v>
      </c>
      <c r="M538" t="s">
        <v>46</v>
      </c>
      <c r="N538" t="s">
        <v>4263</v>
      </c>
      <c r="O538">
        <v>33.8</v>
      </c>
      <c r="P538">
        <v>32.14</v>
      </c>
      <c r="Q538">
        <v>32.92</v>
      </c>
      <c r="R538">
        <v>32.9</v>
      </c>
      <c r="S538">
        <v>5.05</v>
      </c>
      <c r="T538">
        <v>1.77</v>
      </c>
      <c r="U538">
        <v>-83.66</v>
      </c>
      <c r="V538">
        <v>-645</v>
      </c>
      <c r="W538">
        <v>33.09</v>
      </c>
      <c r="X538" t="s">
        <v>4264</v>
      </c>
      <c r="Y538" t="s">
        <v>372</v>
      </c>
      <c r="Z538">
        <v>0.93</v>
      </c>
      <c r="AA538">
        <v>14</v>
      </c>
      <c r="AB538">
        <v>21</v>
      </c>
      <c r="AC538">
        <v>6.34</v>
      </c>
      <c r="AD538" t="s">
        <v>4265</v>
      </c>
      <c r="AE538" t="s">
        <v>4125</v>
      </c>
      <c r="AF538" t="s">
        <v>4266</v>
      </c>
      <c r="AG538" t="s">
        <v>4267</v>
      </c>
      <c r="AH538">
        <v>13.3</v>
      </c>
      <c r="AI538">
        <v>17.36</v>
      </c>
      <c r="AJ538">
        <v>13.08</v>
      </c>
      <c r="AK538">
        <v>18.27</v>
      </c>
      <c r="AL538">
        <v>7</v>
      </c>
      <c r="AM538">
        <v>1.73</v>
      </c>
      <c r="AN538">
        <v>39.11</v>
      </c>
      <c r="AO538">
        <v>28.24</v>
      </c>
      <c r="AP538">
        <v>30.13</v>
      </c>
    </row>
    <row r="539" spans="1:42">
      <c r="A539">
        <v>538</v>
      </c>
      <c r="B539" t="str">
        <f>"002146"</f>
        <v>002146</v>
      </c>
      <c r="C539" t="s">
        <v>4268</v>
      </c>
      <c r="D539">
        <v>1.93</v>
      </c>
      <c r="E539">
        <v>1.58</v>
      </c>
      <c r="F539">
        <v>0.03</v>
      </c>
      <c r="G539" t="s">
        <v>880</v>
      </c>
      <c r="H539" t="s">
        <v>4269</v>
      </c>
      <c r="I539">
        <v>1.93</v>
      </c>
      <c r="J539">
        <v>1.94</v>
      </c>
      <c r="K539" t="s">
        <v>4270</v>
      </c>
      <c r="L539">
        <v>4.51</v>
      </c>
      <c r="M539" t="s">
        <v>46</v>
      </c>
      <c r="N539" t="s">
        <v>580</v>
      </c>
      <c r="O539">
        <v>1.97</v>
      </c>
      <c r="P539">
        <v>1.87</v>
      </c>
      <c r="Q539">
        <v>1.9</v>
      </c>
      <c r="R539">
        <v>1.9</v>
      </c>
      <c r="S539">
        <v>5.26</v>
      </c>
      <c r="T539">
        <v>0.81</v>
      </c>
      <c r="U539">
        <v>-10.51</v>
      </c>
      <c r="V539" t="s">
        <v>4271</v>
      </c>
      <c r="W539">
        <v>1.93</v>
      </c>
      <c r="X539" t="s">
        <v>2726</v>
      </c>
      <c r="Y539" t="s">
        <v>1483</v>
      </c>
      <c r="Z539">
        <v>0.64</v>
      </c>
      <c r="AA539" t="s">
        <v>3211</v>
      </c>
      <c r="AB539" t="s">
        <v>2684</v>
      </c>
      <c r="AC539">
        <v>0.36</v>
      </c>
      <c r="AD539" t="s">
        <v>4272</v>
      </c>
      <c r="AE539" t="s">
        <v>4273</v>
      </c>
      <c r="AF539" t="s">
        <v>4274</v>
      </c>
      <c r="AG539" t="s">
        <v>4275</v>
      </c>
      <c r="AH539">
        <v>-1.03</v>
      </c>
      <c r="AI539">
        <v>-8.53</v>
      </c>
      <c r="AJ539">
        <v>11.95</v>
      </c>
      <c r="AK539">
        <v>32.38</v>
      </c>
      <c r="AL539">
        <v>2</v>
      </c>
      <c r="AM539">
        <v>1.58</v>
      </c>
      <c r="AN539">
        <v>-11.06</v>
      </c>
      <c r="AO539">
        <v>3.21</v>
      </c>
      <c r="AP539">
        <v>-14.6</v>
      </c>
    </row>
    <row r="540" spans="1:42">
      <c r="A540">
        <v>539</v>
      </c>
      <c r="B540" t="str">
        <f>"688120"</f>
        <v>688120</v>
      </c>
      <c r="C540" t="s">
        <v>4276</v>
      </c>
      <c r="D540">
        <v>221.64</v>
      </c>
      <c r="E540">
        <v>0.98</v>
      </c>
      <c r="F540">
        <v>2.15</v>
      </c>
      <c r="G540" t="s">
        <v>578</v>
      </c>
      <c r="H540">
        <v>88</v>
      </c>
      <c r="I540">
        <v>221.64</v>
      </c>
      <c r="J540">
        <v>221.65</v>
      </c>
      <c r="K540" t="s">
        <v>4277</v>
      </c>
      <c r="L540">
        <v>1.34</v>
      </c>
      <c r="M540" t="s">
        <v>46</v>
      </c>
      <c r="N540" t="s">
        <v>4278</v>
      </c>
      <c r="O540">
        <v>224.1</v>
      </c>
      <c r="P540">
        <v>215.55</v>
      </c>
      <c r="Q540">
        <v>218.27</v>
      </c>
      <c r="R540">
        <v>219.49</v>
      </c>
      <c r="S540">
        <v>3.9</v>
      </c>
      <c r="T540">
        <v>0.86</v>
      </c>
      <c r="U540">
        <v>-56.89</v>
      </c>
      <c r="V540">
        <v>-160</v>
      </c>
      <c r="W540">
        <v>220.25</v>
      </c>
      <c r="X540">
        <v>7310</v>
      </c>
      <c r="Y540">
        <v>8000</v>
      </c>
      <c r="Z540">
        <v>0.91</v>
      </c>
      <c r="AA540">
        <v>32</v>
      </c>
      <c r="AB540">
        <v>2</v>
      </c>
      <c r="AC540">
        <v>6.61</v>
      </c>
      <c r="AD540" t="s">
        <v>4279</v>
      </c>
      <c r="AE540" t="s">
        <v>4280</v>
      </c>
      <c r="AF540" t="s">
        <v>4281</v>
      </c>
      <c r="AG540" t="s">
        <v>4282</v>
      </c>
      <c r="AH540">
        <v>1.33</v>
      </c>
      <c r="AI540">
        <v>4.55</v>
      </c>
      <c r="AJ540">
        <v>4.82</v>
      </c>
      <c r="AK540">
        <v>9.15</v>
      </c>
      <c r="AL540">
        <v>1</v>
      </c>
      <c r="AM540">
        <v>0.98</v>
      </c>
      <c r="AN540">
        <v>47.4</v>
      </c>
      <c r="AO540">
        <v>5.35</v>
      </c>
      <c r="AP540">
        <v>39.71</v>
      </c>
    </row>
    <row r="541" spans="1:42">
      <c r="A541">
        <v>540</v>
      </c>
      <c r="B541" t="str">
        <f>"600489"</f>
        <v>600489</v>
      </c>
      <c r="C541" t="s">
        <v>4283</v>
      </c>
      <c r="D541">
        <v>10.69</v>
      </c>
      <c r="E541">
        <v>-0.74</v>
      </c>
      <c r="F541">
        <v>-0.08</v>
      </c>
      <c r="G541" t="s">
        <v>2066</v>
      </c>
      <c r="H541">
        <v>2756</v>
      </c>
      <c r="I541">
        <v>10.69</v>
      </c>
      <c r="J541">
        <v>10.7</v>
      </c>
      <c r="K541" t="s">
        <v>4284</v>
      </c>
      <c r="L541">
        <v>0.65</v>
      </c>
      <c r="M541" t="s">
        <v>46</v>
      </c>
      <c r="N541" t="s">
        <v>4285</v>
      </c>
      <c r="O541">
        <v>10.79</v>
      </c>
      <c r="P541">
        <v>10.65</v>
      </c>
      <c r="Q541">
        <v>10.78</v>
      </c>
      <c r="R541">
        <v>10.77</v>
      </c>
      <c r="S541">
        <v>1.3</v>
      </c>
      <c r="T541">
        <v>0.73</v>
      </c>
      <c r="U541">
        <v>17.6</v>
      </c>
      <c r="V541">
        <v>4448</v>
      </c>
      <c r="W541">
        <v>10.7</v>
      </c>
      <c r="X541" t="s">
        <v>3155</v>
      </c>
      <c r="Y541" t="s">
        <v>2222</v>
      </c>
      <c r="Z541">
        <v>1.09</v>
      </c>
      <c r="AA541">
        <v>1475</v>
      </c>
      <c r="AB541">
        <v>7648</v>
      </c>
      <c r="AC541">
        <v>2.08</v>
      </c>
      <c r="AD541" t="s">
        <v>4286</v>
      </c>
      <c r="AE541" t="s">
        <v>4287</v>
      </c>
      <c r="AF541" t="s">
        <v>4286</v>
      </c>
      <c r="AG541" t="s">
        <v>4287</v>
      </c>
      <c r="AH541">
        <v>1.04</v>
      </c>
      <c r="AI541">
        <v>3.59</v>
      </c>
      <c r="AJ541">
        <v>2.45</v>
      </c>
      <c r="AK541">
        <v>5.11</v>
      </c>
      <c r="AL541">
        <v>-2</v>
      </c>
      <c r="AM541">
        <v>-0.74</v>
      </c>
      <c r="AN541">
        <v>35.15</v>
      </c>
      <c r="AO541">
        <v>1.42</v>
      </c>
      <c r="AP541">
        <v>42.34</v>
      </c>
    </row>
    <row r="542" spans="1:42">
      <c r="A542">
        <v>541</v>
      </c>
      <c r="B542" t="str">
        <f>"603129"</f>
        <v>603129</v>
      </c>
      <c r="C542" t="s">
        <v>4288</v>
      </c>
      <c r="D542">
        <v>91.06</v>
      </c>
      <c r="E542">
        <v>-3.88</v>
      </c>
      <c r="F542">
        <v>-3.68</v>
      </c>
      <c r="G542" t="s">
        <v>2189</v>
      </c>
      <c r="H542">
        <v>79</v>
      </c>
      <c r="I542">
        <v>91.06</v>
      </c>
      <c r="J542">
        <v>91.08</v>
      </c>
      <c r="K542" t="s">
        <v>4289</v>
      </c>
      <c r="L542">
        <v>2.45</v>
      </c>
      <c r="M542" t="s">
        <v>46</v>
      </c>
      <c r="N542" t="s">
        <v>4290</v>
      </c>
      <c r="O542">
        <v>94.99</v>
      </c>
      <c r="P542">
        <v>88.02</v>
      </c>
      <c r="Q542">
        <v>94.99</v>
      </c>
      <c r="R542">
        <v>94.74</v>
      </c>
      <c r="S542">
        <v>7.36</v>
      </c>
      <c r="T542">
        <v>2.63</v>
      </c>
      <c r="U542">
        <v>73.57</v>
      </c>
      <c r="V542">
        <v>245</v>
      </c>
      <c r="W542">
        <v>90.64</v>
      </c>
      <c r="X542" t="s">
        <v>1692</v>
      </c>
      <c r="Y542" t="s">
        <v>3372</v>
      </c>
      <c r="Z542">
        <v>0.8</v>
      </c>
      <c r="AA542">
        <v>14</v>
      </c>
      <c r="AB542">
        <v>1</v>
      </c>
      <c r="AC542">
        <v>2.78</v>
      </c>
      <c r="AD542" t="s">
        <v>4291</v>
      </c>
      <c r="AE542" t="s">
        <v>4292</v>
      </c>
      <c r="AF542" t="s">
        <v>4291</v>
      </c>
      <c r="AG542" t="s">
        <v>4292</v>
      </c>
      <c r="AH542">
        <v>-5.48</v>
      </c>
      <c r="AI542">
        <v>-11.09</v>
      </c>
      <c r="AJ542">
        <v>4.19</v>
      </c>
      <c r="AK542">
        <v>7.11</v>
      </c>
      <c r="AL542">
        <v>-2</v>
      </c>
      <c r="AM542">
        <v>-3.88</v>
      </c>
      <c r="AN542">
        <v>-18.05</v>
      </c>
      <c r="AO542">
        <v>-10.51</v>
      </c>
      <c r="AP542">
        <v>-31.69</v>
      </c>
    </row>
    <row r="543" spans="1:42">
      <c r="A543">
        <v>542</v>
      </c>
      <c r="B543" t="str">
        <f>"300498"</f>
        <v>300498</v>
      </c>
      <c r="C543" t="s">
        <v>4293</v>
      </c>
      <c r="D543">
        <v>19.12</v>
      </c>
      <c r="E543">
        <v>-0.73</v>
      </c>
      <c r="F543">
        <v>-0.14</v>
      </c>
      <c r="G543" t="s">
        <v>1470</v>
      </c>
      <c r="H543">
        <v>1743</v>
      </c>
      <c r="I543">
        <v>19.12</v>
      </c>
      <c r="J543">
        <v>19.13</v>
      </c>
      <c r="K543" t="s">
        <v>4289</v>
      </c>
      <c r="L543">
        <v>0.32</v>
      </c>
      <c r="M543" t="s">
        <v>46</v>
      </c>
      <c r="N543" t="s">
        <v>4294</v>
      </c>
      <c r="O543">
        <v>19.32</v>
      </c>
      <c r="P543">
        <v>19.05</v>
      </c>
      <c r="Q543">
        <v>19.24</v>
      </c>
      <c r="R543">
        <v>19.26</v>
      </c>
      <c r="S543">
        <v>1.4</v>
      </c>
      <c r="T543">
        <v>0.68</v>
      </c>
      <c r="U543">
        <v>80.22</v>
      </c>
      <c r="V543">
        <v>7578</v>
      </c>
      <c r="W543">
        <v>19.17</v>
      </c>
      <c r="X543" t="s">
        <v>4295</v>
      </c>
      <c r="Y543" t="s">
        <v>2502</v>
      </c>
      <c r="Z543">
        <v>1.04</v>
      </c>
      <c r="AA543">
        <v>1792</v>
      </c>
      <c r="AB543">
        <v>105</v>
      </c>
      <c r="AC543">
        <v>3.71</v>
      </c>
      <c r="AD543" t="s">
        <v>4296</v>
      </c>
      <c r="AE543" t="s">
        <v>4297</v>
      </c>
      <c r="AF543" t="s">
        <v>4298</v>
      </c>
      <c r="AG543" t="s">
        <v>4299</v>
      </c>
      <c r="AH543">
        <v>-0.16</v>
      </c>
      <c r="AI543">
        <v>0.74</v>
      </c>
      <c r="AJ543">
        <v>0.86</v>
      </c>
      <c r="AK543">
        <v>2.67</v>
      </c>
      <c r="AL543">
        <v>-1</v>
      </c>
      <c r="AM543">
        <v>-0.73</v>
      </c>
      <c r="AN543">
        <v>-1.6</v>
      </c>
      <c r="AO543">
        <v>2.96</v>
      </c>
      <c r="AP543">
        <v>11.49</v>
      </c>
    </row>
    <row r="544" spans="1:42">
      <c r="A544">
        <v>543</v>
      </c>
      <c r="B544" t="str">
        <f>"600985"</f>
        <v>600985</v>
      </c>
      <c r="C544" t="s">
        <v>4300</v>
      </c>
      <c r="D544">
        <v>16.17</v>
      </c>
      <c r="E544">
        <v>2.08</v>
      </c>
      <c r="F544">
        <v>0.33</v>
      </c>
      <c r="G544" t="s">
        <v>4301</v>
      </c>
      <c r="H544">
        <v>3078</v>
      </c>
      <c r="I544">
        <v>16.16</v>
      </c>
      <c r="J544">
        <v>16.17</v>
      </c>
      <c r="K544" t="s">
        <v>4289</v>
      </c>
      <c r="L544">
        <v>0.83</v>
      </c>
      <c r="M544" t="s">
        <v>46</v>
      </c>
      <c r="N544" t="s">
        <v>4302</v>
      </c>
      <c r="O544">
        <v>16.27</v>
      </c>
      <c r="P544">
        <v>15.82</v>
      </c>
      <c r="Q544">
        <v>15.84</v>
      </c>
      <c r="R544">
        <v>15.84</v>
      </c>
      <c r="S544">
        <v>2.84</v>
      </c>
      <c r="T544">
        <v>0.8</v>
      </c>
      <c r="U544">
        <v>-22.05</v>
      </c>
      <c r="V544">
        <v>-573</v>
      </c>
      <c r="W544">
        <v>16.13</v>
      </c>
      <c r="X544" t="s">
        <v>4303</v>
      </c>
      <c r="Y544" t="s">
        <v>262</v>
      </c>
      <c r="Z544">
        <v>0.84</v>
      </c>
      <c r="AA544">
        <v>109</v>
      </c>
      <c r="AB544">
        <v>202</v>
      </c>
      <c r="AC544">
        <v>1.1</v>
      </c>
      <c r="AD544" t="s">
        <v>4304</v>
      </c>
      <c r="AE544" t="s">
        <v>4305</v>
      </c>
      <c r="AF544" t="s">
        <v>4304</v>
      </c>
      <c r="AG544" t="s">
        <v>4305</v>
      </c>
      <c r="AH544">
        <v>3.12</v>
      </c>
      <c r="AI544">
        <v>6.03</v>
      </c>
      <c r="AJ544">
        <v>3.25</v>
      </c>
      <c r="AK544">
        <v>6.04</v>
      </c>
      <c r="AL544">
        <v>1</v>
      </c>
      <c r="AM544">
        <v>2.08</v>
      </c>
      <c r="AN544">
        <v>37.62</v>
      </c>
      <c r="AO544">
        <v>13.08</v>
      </c>
      <c r="AP544">
        <v>24.19</v>
      </c>
    </row>
    <row r="545" spans="1:42">
      <c r="A545">
        <v>544</v>
      </c>
      <c r="B545" t="str">
        <f>"603903"</f>
        <v>603903</v>
      </c>
      <c r="C545" t="s">
        <v>4306</v>
      </c>
      <c r="D545">
        <v>10.62</v>
      </c>
      <c r="E545">
        <v>-4.32</v>
      </c>
      <c r="F545">
        <v>-0.48</v>
      </c>
      <c r="G545" t="s">
        <v>2274</v>
      </c>
      <c r="H545">
        <v>5522</v>
      </c>
      <c r="I545">
        <v>10.62</v>
      </c>
      <c r="J545">
        <v>10.63</v>
      </c>
      <c r="K545" t="s">
        <v>4307</v>
      </c>
      <c r="L545">
        <v>15.38</v>
      </c>
      <c r="M545" t="s">
        <v>46</v>
      </c>
      <c r="N545" t="s">
        <v>1436</v>
      </c>
      <c r="O545">
        <v>11.06</v>
      </c>
      <c r="P545">
        <v>10.57</v>
      </c>
      <c r="Q545">
        <v>10.8</v>
      </c>
      <c r="R545">
        <v>11.1</v>
      </c>
      <c r="S545">
        <v>4.41</v>
      </c>
      <c r="T545">
        <v>1.37</v>
      </c>
      <c r="U545">
        <v>91.85</v>
      </c>
      <c r="V545">
        <v>5319</v>
      </c>
      <c r="W545">
        <v>10.71</v>
      </c>
      <c r="X545" t="s">
        <v>2382</v>
      </c>
      <c r="Y545" t="s">
        <v>1790</v>
      </c>
      <c r="Z545">
        <v>1.57</v>
      </c>
      <c r="AA545">
        <v>1862</v>
      </c>
      <c r="AB545">
        <v>49</v>
      </c>
      <c r="AC545">
        <v>1.6</v>
      </c>
      <c r="AD545" t="s">
        <v>4308</v>
      </c>
      <c r="AE545" t="s">
        <v>4309</v>
      </c>
      <c r="AF545" t="s">
        <v>4310</v>
      </c>
      <c r="AG545" t="s">
        <v>4311</v>
      </c>
      <c r="AH545">
        <v>2.51</v>
      </c>
      <c r="AI545">
        <v>7.16</v>
      </c>
      <c r="AJ545">
        <v>50.59</v>
      </c>
      <c r="AK545">
        <v>71.72</v>
      </c>
      <c r="AL545">
        <v>-2</v>
      </c>
      <c r="AM545">
        <v>-4.32</v>
      </c>
      <c r="AN545">
        <v>20</v>
      </c>
      <c r="AO545">
        <v>9.03</v>
      </c>
      <c r="AP545">
        <v>14.44</v>
      </c>
    </row>
    <row r="546" spans="1:42">
      <c r="A546">
        <v>545</v>
      </c>
      <c r="B546" t="str">
        <f>"002981"</f>
        <v>002981</v>
      </c>
      <c r="C546" t="s">
        <v>4312</v>
      </c>
      <c r="D546">
        <v>34.6</v>
      </c>
      <c r="E546">
        <v>-0.57</v>
      </c>
      <c r="F546">
        <v>-0.2</v>
      </c>
      <c r="G546" t="s">
        <v>3540</v>
      </c>
      <c r="H546">
        <v>761</v>
      </c>
      <c r="I546">
        <v>34.6</v>
      </c>
      <c r="J546">
        <v>34.61</v>
      </c>
      <c r="K546" t="s">
        <v>4313</v>
      </c>
      <c r="L546">
        <v>10.92</v>
      </c>
      <c r="M546" t="s">
        <v>46</v>
      </c>
      <c r="N546" t="s">
        <v>185</v>
      </c>
      <c r="O546">
        <v>38.26</v>
      </c>
      <c r="P546">
        <v>33.81</v>
      </c>
      <c r="Q546">
        <v>34</v>
      </c>
      <c r="R546">
        <v>34.8</v>
      </c>
      <c r="S546">
        <v>12.79</v>
      </c>
      <c r="T546">
        <v>1.17</v>
      </c>
      <c r="U546">
        <v>5.19</v>
      </c>
      <c r="V546">
        <v>15</v>
      </c>
      <c r="W546">
        <v>35.9</v>
      </c>
      <c r="X546" t="s">
        <v>4314</v>
      </c>
      <c r="Y546" t="s">
        <v>534</v>
      </c>
      <c r="Z546">
        <v>1.33</v>
      </c>
      <c r="AA546">
        <v>87</v>
      </c>
      <c r="AB546">
        <v>2</v>
      </c>
      <c r="AC546">
        <v>3.87</v>
      </c>
      <c r="AD546" t="s">
        <v>4315</v>
      </c>
      <c r="AE546" t="s">
        <v>4316</v>
      </c>
      <c r="AF546" t="s">
        <v>4317</v>
      </c>
      <c r="AG546" t="s">
        <v>4318</v>
      </c>
      <c r="AH546">
        <v>-17.38</v>
      </c>
      <c r="AI546">
        <v>-7.14</v>
      </c>
      <c r="AJ546">
        <v>27.05</v>
      </c>
      <c r="AK546">
        <v>57.72</v>
      </c>
      <c r="AL546">
        <v>-3</v>
      </c>
      <c r="AM546">
        <v>-0.57</v>
      </c>
      <c r="AN546">
        <v>17.81</v>
      </c>
      <c r="AO546">
        <v>-17.56</v>
      </c>
      <c r="AP546">
        <v>44.77</v>
      </c>
    </row>
    <row r="547" spans="1:42">
      <c r="A547">
        <v>546</v>
      </c>
      <c r="B547" t="str">
        <f>"600547"</f>
        <v>600547</v>
      </c>
      <c r="C547" t="s">
        <v>4319</v>
      </c>
      <c r="D547">
        <v>23.16</v>
      </c>
      <c r="E547">
        <v>-0.17</v>
      </c>
      <c r="F547">
        <v>-0.04</v>
      </c>
      <c r="G547" t="s">
        <v>44</v>
      </c>
      <c r="H547">
        <v>1617</v>
      </c>
      <c r="I547">
        <v>23.15</v>
      </c>
      <c r="J547">
        <v>23.16</v>
      </c>
      <c r="K547" t="s">
        <v>4313</v>
      </c>
      <c r="L547">
        <v>0.4</v>
      </c>
      <c r="M547" t="s">
        <v>46</v>
      </c>
      <c r="N547" t="s">
        <v>3084</v>
      </c>
      <c r="O547">
        <v>23.21</v>
      </c>
      <c r="P547">
        <v>22.95</v>
      </c>
      <c r="Q547">
        <v>23.1</v>
      </c>
      <c r="R547">
        <v>23.2</v>
      </c>
      <c r="S547">
        <v>1.12</v>
      </c>
      <c r="T547">
        <v>0.6</v>
      </c>
      <c r="U547">
        <v>-35.98</v>
      </c>
      <c r="V547">
        <v>-1369</v>
      </c>
      <c r="W547">
        <v>23.12</v>
      </c>
      <c r="X547" t="s">
        <v>4320</v>
      </c>
      <c r="Y547" t="s">
        <v>531</v>
      </c>
      <c r="Z547">
        <v>1.04</v>
      </c>
      <c r="AA547">
        <v>191</v>
      </c>
      <c r="AB547">
        <v>122</v>
      </c>
      <c r="AC547">
        <v>4.36</v>
      </c>
      <c r="AD547" t="s">
        <v>4321</v>
      </c>
      <c r="AE547" t="s">
        <v>4322</v>
      </c>
      <c r="AF547" t="s">
        <v>2153</v>
      </c>
      <c r="AG547" t="s">
        <v>4323</v>
      </c>
      <c r="AH547">
        <v>3.16</v>
      </c>
      <c r="AI547">
        <v>2.98</v>
      </c>
      <c r="AJ547">
        <v>2.46</v>
      </c>
      <c r="AK547">
        <v>3.71</v>
      </c>
      <c r="AL547">
        <v>-1</v>
      </c>
      <c r="AM547">
        <v>-0.17</v>
      </c>
      <c r="AN547">
        <v>21.32</v>
      </c>
      <c r="AO547">
        <v>-1.32</v>
      </c>
      <c r="AP547">
        <v>18.53</v>
      </c>
    </row>
    <row r="548" spans="1:42">
      <c r="A548">
        <v>547</v>
      </c>
      <c r="B548" t="str">
        <f>"300166"</f>
        <v>300166</v>
      </c>
      <c r="C548" t="s">
        <v>4324</v>
      </c>
      <c r="D548">
        <v>10.43</v>
      </c>
      <c r="E548">
        <v>3.88</v>
      </c>
      <c r="F548">
        <v>0.39</v>
      </c>
      <c r="G548" t="s">
        <v>2541</v>
      </c>
      <c r="H548">
        <v>5727</v>
      </c>
      <c r="I548">
        <v>10.43</v>
      </c>
      <c r="J548">
        <v>10.44</v>
      </c>
      <c r="K548" t="s">
        <v>4325</v>
      </c>
      <c r="L548">
        <v>3.5</v>
      </c>
      <c r="M548" t="s">
        <v>46</v>
      </c>
      <c r="N548" t="s">
        <v>4326</v>
      </c>
      <c r="O548">
        <v>10.48</v>
      </c>
      <c r="P548">
        <v>10.04</v>
      </c>
      <c r="Q548">
        <v>10.08</v>
      </c>
      <c r="R548">
        <v>10.04</v>
      </c>
      <c r="S548">
        <v>4.38</v>
      </c>
      <c r="T548">
        <v>1.19</v>
      </c>
      <c r="U548">
        <v>-29.04</v>
      </c>
      <c r="V548">
        <v>-4019</v>
      </c>
      <c r="W548">
        <v>10.29</v>
      </c>
      <c r="X548" t="s">
        <v>422</v>
      </c>
      <c r="Y548" t="s">
        <v>416</v>
      </c>
      <c r="Z548">
        <v>0.62</v>
      </c>
      <c r="AA548">
        <v>988</v>
      </c>
      <c r="AB548">
        <v>1460</v>
      </c>
      <c r="AC548">
        <v>1.82</v>
      </c>
      <c r="AD548" t="s">
        <v>896</v>
      </c>
      <c r="AE548" t="s">
        <v>4327</v>
      </c>
      <c r="AF548" t="s">
        <v>4328</v>
      </c>
      <c r="AG548" t="s">
        <v>4329</v>
      </c>
      <c r="AH548">
        <v>0.87</v>
      </c>
      <c r="AI548">
        <v>-2.8</v>
      </c>
      <c r="AJ548">
        <v>8.46</v>
      </c>
      <c r="AK548">
        <v>18.24</v>
      </c>
      <c r="AL548">
        <v>1</v>
      </c>
      <c r="AM548">
        <v>3.88</v>
      </c>
      <c r="AN548">
        <v>30.54</v>
      </c>
      <c r="AO548">
        <v>2.46</v>
      </c>
      <c r="AP548">
        <v>16.54</v>
      </c>
    </row>
    <row r="549" spans="1:42">
      <c r="A549">
        <v>548</v>
      </c>
      <c r="B549" t="str">
        <f>"000933"</f>
        <v>000933</v>
      </c>
      <c r="C549" t="s">
        <v>4330</v>
      </c>
      <c r="D549">
        <v>15.54</v>
      </c>
      <c r="E549">
        <v>-1.46</v>
      </c>
      <c r="F549">
        <v>-0.23</v>
      </c>
      <c r="G549" t="s">
        <v>1007</v>
      </c>
      <c r="H549">
        <v>1272</v>
      </c>
      <c r="I549">
        <v>15.54</v>
      </c>
      <c r="J549">
        <v>15.55</v>
      </c>
      <c r="K549" t="s">
        <v>4325</v>
      </c>
      <c r="L549">
        <v>0.95</v>
      </c>
      <c r="M549" t="s">
        <v>46</v>
      </c>
      <c r="N549" t="s">
        <v>2936</v>
      </c>
      <c r="O549">
        <v>15.84</v>
      </c>
      <c r="P549">
        <v>15.42</v>
      </c>
      <c r="Q549">
        <v>15.75</v>
      </c>
      <c r="R549">
        <v>15.77</v>
      </c>
      <c r="S549">
        <v>2.66</v>
      </c>
      <c r="T549">
        <v>1.09</v>
      </c>
      <c r="U549">
        <v>31.79</v>
      </c>
      <c r="V549">
        <v>1795</v>
      </c>
      <c r="W549">
        <v>15.58</v>
      </c>
      <c r="X549" t="s">
        <v>446</v>
      </c>
      <c r="Y549" t="s">
        <v>2967</v>
      </c>
      <c r="Z549">
        <v>1.5</v>
      </c>
      <c r="AA549">
        <v>902</v>
      </c>
      <c r="AB549">
        <v>885</v>
      </c>
      <c r="AC549">
        <v>1.96</v>
      </c>
      <c r="AD549" t="s">
        <v>4331</v>
      </c>
      <c r="AE549" t="s">
        <v>4332</v>
      </c>
      <c r="AF549" t="s">
        <v>4333</v>
      </c>
      <c r="AG549" t="s">
        <v>4334</v>
      </c>
      <c r="AH549">
        <v>-2.39</v>
      </c>
      <c r="AI549">
        <v>-2.02</v>
      </c>
      <c r="AJ549">
        <v>2.66</v>
      </c>
      <c r="AK549">
        <v>5.32</v>
      </c>
      <c r="AL549">
        <v>-2</v>
      </c>
      <c r="AM549">
        <v>-1.46</v>
      </c>
      <c r="AN549">
        <v>11.32</v>
      </c>
      <c r="AO549">
        <v>-1.96</v>
      </c>
      <c r="AP549">
        <v>4.23</v>
      </c>
    </row>
    <row r="550" spans="1:42">
      <c r="A550">
        <v>549</v>
      </c>
      <c r="B550" t="str">
        <f>"605005"</f>
        <v>605005</v>
      </c>
      <c r="C550" t="s">
        <v>4335</v>
      </c>
      <c r="D550">
        <v>19.61</v>
      </c>
      <c r="E550">
        <v>-3.16</v>
      </c>
      <c r="F550">
        <v>-0.64</v>
      </c>
      <c r="G550" t="s">
        <v>2859</v>
      </c>
      <c r="H550">
        <v>3092</v>
      </c>
      <c r="I550">
        <v>19.61</v>
      </c>
      <c r="J550">
        <v>19.63</v>
      </c>
      <c r="K550" t="s">
        <v>4325</v>
      </c>
      <c r="L550">
        <v>32.99</v>
      </c>
      <c r="M550" t="s">
        <v>46</v>
      </c>
      <c r="N550" t="s">
        <v>4336</v>
      </c>
      <c r="O550">
        <v>20.29</v>
      </c>
      <c r="P550">
        <v>19.11</v>
      </c>
      <c r="Q550">
        <v>20.06</v>
      </c>
      <c r="R550">
        <v>20.25</v>
      </c>
      <c r="S550">
        <v>5.83</v>
      </c>
      <c r="T550">
        <v>1.16</v>
      </c>
      <c r="U550">
        <v>56.91</v>
      </c>
      <c r="V550">
        <v>639</v>
      </c>
      <c r="W550">
        <v>19.55</v>
      </c>
      <c r="X550" t="s">
        <v>3159</v>
      </c>
      <c r="Y550" t="s">
        <v>4175</v>
      </c>
      <c r="Z550">
        <v>1.15</v>
      </c>
      <c r="AA550">
        <v>448</v>
      </c>
      <c r="AB550">
        <v>35</v>
      </c>
      <c r="AC550">
        <v>4.65</v>
      </c>
      <c r="AD550" t="s">
        <v>945</v>
      </c>
      <c r="AE550" t="s">
        <v>4337</v>
      </c>
      <c r="AF550" t="s">
        <v>4338</v>
      </c>
      <c r="AG550" t="s">
        <v>557</v>
      </c>
      <c r="AH550">
        <v>-12.26</v>
      </c>
      <c r="AI550">
        <v>2.78</v>
      </c>
      <c r="AJ550">
        <v>142.77</v>
      </c>
      <c r="AK550">
        <v>175.01</v>
      </c>
      <c r="AL550">
        <v>-2</v>
      </c>
      <c r="AM550">
        <v>-3.16</v>
      </c>
      <c r="AN550">
        <v>30.47</v>
      </c>
      <c r="AO550">
        <v>4.14</v>
      </c>
      <c r="AP550">
        <v>13.16</v>
      </c>
    </row>
    <row r="551" spans="1:42">
      <c r="A551">
        <v>550</v>
      </c>
      <c r="B551" t="str">
        <f>"601798"</f>
        <v>601798</v>
      </c>
      <c r="C551" t="s">
        <v>4339</v>
      </c>
      <c r="D551">
        <v>7.71</v>
      </c>
      <c r="E551">
        <v>-5.28</v>
      </c>
      <c r="F551">
        <v>-0.43</v>
      </c>
      <c r="G551" t="s">
        <v>4340</v>
      </c>
      <c r="H551">
        <v>9597</v>
      </c>
      <c r="I551">
        <v>7.71</v>
      </c>
      <c r="J551">
        <v>7.72</v>
      </c>
      <c r="K551" t="s">
        <v>4325</v>
      </c>
      <c r="L551">
        <v>12.11</v>
      </c>
      <c r="M551" t="s">
        <v>46</v>
      </c>
      <c r="N551" t="s">
        <v>4341</v>
      </c>
      <c r="O551">
        <v>8</v>
      </c>
      <c r="P551">
        <v>7.61</v>
      </c>
      <c r="Q551">
        <v>8</v>
      </c>
      <c r="R551">
        <v>8.14</v>
      </c>
      <c r="S551">
        <v>4.79</v>
      </c>
      <c r="T551">
        <v>4.27</v>
      </c>
      <c r="U551">
        <v>4.65</v>
      </c>
      <c r="V551">
        <v>188</v>
      </c>
      <c r="W551">
        <v>7.7</v>
      </c>
      <c r="X551" t="s">
        <v>3598</v>
      </c>
      <c r="Y551" t="s">
        <v>1960</v>
      </c>
      <c r="Z551">
        <v>1.25</v>
      </c>
      <c r="AA551">
        <v>496</v>
      </c>
      <c r="AB551">
        <v>319</v>
      </c>
      <c r="AC551">
        <v>1.99</v>
      </c>
      <c r="AD551" t="s">
        <v>4342</v>
      </c>
      <c r="AE551" t="s">
        <v>3312</v>
      </c>
      <c r="AF551" t="s">
        <v>4342</v>
      </c>
      <c r="AG551" t="s">
        <v>3312</v>
      </c>
      <c r="AH551">
        <v>2.94</v>
      </c>
      <c r="AI551">
        <v>4.33</v>
      </c>
      <c r="AJ551">
        <v>20.95</v>
      </c>
      <c r="AK551">
        <v>26.29</v>
      </c>
      <c r="AL551">
        <v>-1</v>
      </c>
      <c r="AM551">
        <v>-5.28</v>
      </c>
      <c r="AN551">
        <v>13.72</v>
      </c>
      <c r="AO551">
        <v>11.1</v>
      </c>
      <c r="AP551">
        <v>-0.64</v>
      </c>
    </row>
    <row r="552" spans="1:42">
      <c r="A552">
        <v>551</v>
      </c>
      <c r="B552" t="str">
        <f>"688253"</f>
        <v>688253</v>
      </c>
      <c r="C552" t="s">
        <v>4343</v>
      </c>
      <c r="D552">
        <v>35.22</v>
      </c>
      <c r="E552">
        <v>4.98</v>
      </c>
      <c r="F552">
        <v>1.67</v>
      </c>
      <c r="G552" t="s">
        <v>3018</v>
      </c>
      <c r="H552">
        <v>294</v>
      </c>
      <c r="I552">
        <v>35.22</v>
      </c>
      <c r="J552">
        <v>35.23</v>
      </c>
      <c r="K552" t="s">
        <v>4344</v>
      </c>
      <c r="L552">
        <v>14.35</v>
      </c>
      <c r="M552" t="s">
        <v>46</v>
      </c>
      <c r="N552" t="s">
        <v>4345</v>
      </c>
      <c r="O552">
        <v>36.85</v>
      </c>
      <c r="P552">
        <v>32.51</v>
      </c>
      <c r="Q552">
        <v>33.5</v>
      </c>
      <c r="R552">
        <v>33.55</v>
      </c>
      <c r="S552">
        <v>12.94</v>
      </c>
      <c r="T552">
        <v>1.08</v>
      </c>
      <c r="U552">
        <v>-45.13</v>
      </c>
      <c r="V552">
        <v>-187</v>
      </c>
      <c r="W552">
        <v>34.43</v>
      </c>
      <c r="X552" t="s">
        <v>4168</v>
      </c>
      <c r="Y552" t="s">
        <v>4264</v>
      </c>
      <c r="Z552">
        <v>0.94</v>
      </c>
      <c r="AA552">
        <v>73</v>
      </c>
      <c r="AB552">
        <v>107</v>
      </c>
      <c r="AC552">
        <v>2.73</v>
      </c>
      <c r="AD552" t="s">
        <v>4346</v>
      </c>
      <c r="AE552" t="s">
        <v>4347</v>
      </c>
      <c r="AF552" t="s">
        <v>4348</v>
      </c>
      <c r="AG552" t="s">
        <v>4349</v>
      </c>
      <c r="AH552">
        <v>17.79</v>
      </c>
      <c r="AI552">
        <v>17.01</v>
      </c>
      <c r="AJ552">
        <v>34.83</v>
      </c>
      <c r="AK552">
        <v>80.59</v>
      </c>
      <c r="AL552">
        <v>3</v>
      </c>
      <c r="AM552">
        <v>4.98</v>
      </c>
      <c r="AN552">
        <v>48.92</v>
      </c>
      <c r="AO552">
        <v>55.22</v>
      </c>
      <c r="AP552">
        <v>34.79</v>
      </c>
    </row>
    <row r="553" spans="1:42">
      <c r="A553">
        <v>552</v>
      </c>
      <c r="B553" t="str">
        <f>"600106"</f>
        <v>600106</v>
      </c>
      <c r="C553" t="s">
        <v>4350</v>
      </c>
      <c r="D553">
        <v>6.53</v>
      </c>
      <c r="E553">
        <v>-1.06</v>
      </c>
      <c r="F553">
        <v>-0.07</v>
      </c>
      <c r="G553" t="s">
        <v>4109</v>
      </c>
      <c r="H553">
        <v>4894</v>
      </c>
      <c r="I553">
        <v>6.53</v>
      </c>
      <c r="J553">
        <v>6.54</v>
      </c>
      <c r="K553" t="s">
        <v>4351</v>
      </c>
      <c r="L553">
        <v>3.83</v>
      </c>
      <c r="M553" t="s">
        <v>46</v>
      </c>
      <c r="N553" t="s">
        <v>4352</v>
      </c>
      <c r="O553">
        <v>6.64</v>
      </c>
      <c r="P553">
        <v>6.37</v>
      </c>
      <c r="Q553">
        <v>6.63</v>
      </c>
      <c r="R553">
        <v>6.6</v>
      </c>
      <c r="S553">
        <v>4.09</v>
      </c>
      <c r="T553">
        <v>1</v>
      </c>
      <c r="U553">
        <v>-19.54</v>
      </c>
      <c r="V553">
        <v>-2770</v>
      </c>
      <c r="W553">
        <v>6.47</v>
      </c>
      <c r="X553" t="s">
        <v>2578</v>
      </c>
      <c r="Y553" t="s">
        <v>4301</v>
      </c>
      <c r="Z553">
        <v>1.46</v>
      </c>
      <c r="AA553">
        <v>250</v>
      </c>
      <c r="AB553">
        <v>1205</v>
      </c>
      <c r="AC553">
        <v>1.82</v>
      </c>
      <c r="AD553" t="s">
        <v>4353</v>
      </c>
      <c r="AE553" t="s">
        <v>4354</v>
      </c>
      <c r="AF553" t="s">
        <v>4353</v>
      </c>
      <c r="AG553" t="s">
        <v>4354</v>
      </c>
      <c r="AH553">
        <v>0.62</v>
      </c>
      <c r="AI553">
        <v>3.65</v>
      </c>
      <c r="AJ553">
        <v>11.61</v>
      </c>
      <c r="AK553">
        <v>22.98</v>
      </c>
      <c r="AL553">
        <v>-1</v>
      </c>
      <c r="AM553">
        <v>-1.06</v>
      </c>
      <c r="AN553">
        <v>32.99</v>
      </c>
      <c r="AO553">
        <v>23.67</v>
      </c>
      <c r="AP553">
        <v>26.06</v>
      </c>
    </row>
    <row r="554" spans="1:42">
      <c r="A554">
        <v>553</v>
      </c>
      <c r="B554" t="str">
        <f>"300551"</f>
        <v>300551</v>
      </c>
      <c r="C554" t="s">
        <v>4355</v>
      </c>
      <c r="D554">
        <v>28.99</v>
      </c>
      <c r="E554">
        <v>5.11</v>
      </c>
      <c r="F554">
        <v>1.41</v>
      </c>
      <c r="G554" t="s">
        <v>4356</v>
      </c>
      <c r="H554">
        <v>1263</v>
      </c>
      <c r="I554">
        <v>28.99</v>
      </c>
      <c r="J554">
        <v>29</v>
      </c>
      <c r="K554" t="s">
        <v>4357</v>
      </c>
      <c r="L554">
        <v>4.54</v>
      </c>
      <c r="M554" t="s">
        <v>46</v>
      </c>
      <c r="N554" t="s">
        <v>3348</v>
      </c>
      <c r="O554">
        <v>29.07</v>
      </c>
      <c r="P554">
        <v>27.58</v>
      </c>
      <c r="Q554">
        <v>28</v>
      </c>
      <c r="R554">
        <v>27.58</v>
      </c>
      <c r="S554">
        <v>5.4</v>
      </c>
      <c r="T554">
        <v>1.76</v>
      </c>
      <c r="U554">
        <v>-88.29</v>
      </c>
      <c r="V554">
        <v>-3892</v>
      </c>
      <c r="W554">
        <v>28.43</v>
      </c>
      <c r="X554" t="s">
        <v>4358</v>
      </c>
      <c r="Y554" t="s">
        <v>4359</v>
      </c>
      <c r="Z554">
        <v>0.63</v>
      </c>
      <c r="AA554">
        <v>1</v>
      </c>
      <c r="AB554">
        <v>2606</v>
      </c>
      <c r="AC554">
        <v>9.77</v>
      </c>
      <c r="AD554" t="s">
        <v>2970</v>
      </c>
      <c r="AE554" t="s">
        <v>4360</v>
      </c>
      <c r="AF554" t="s">
        <v>4361</v>
      </c>
      <c r="AG554" t="s">
        <v>4362</v>
      </c>
      <c r="AH554">
        <v>3.87</v>
      </c>
      <c r="AI554">
        <v>9.07</v>
      </c>
      <c r="AJ554">
        <v>8.94</v>
      </c>
      <c r="AK554">
        <v>17.45</v>
      </c>
      <c r="AL554">
        <v>2</v>
      </c>
      <c r="AM554">
        <v>5.11</v>
      </c>
      <c r="AN554">
        <v>148.2</v>
      </c>
      <c r="AO554">
        <v>29.3</v>
      </c>
      <c r="AP554">
        <v>154.52</v>
      </c>
    </row>
    <row r="555" spans="1:42">
      <c r="A555">
        <v>554</v>
      </c>
      <c r="B555" t="str">
        <f>"688158"</f>
        <v>688158</v>
      </c>
      <c r="C555" t="s">
        <v>4363</v>
      </c>
      <c r="D555">
        <v>18.12</v>
      </c>
      <c r="E555">
        <v>4.08</v>
      </c>
      <c r="F555">
        <v>0.71</v>
      </c>
      <c r="G555" t="s">
        <v>1402</v>
      </c>
      <c r="H555">
        <v>1978</v>
      </c>
      <c r="I555">
        <v>18.11</v>
      </c>
      <c r="J555">
        <v>18.12</v>
      </c>
      <c r="K555" t="s">
        <v>4357</v>
      </c>
      <c r="L555">
        <v>4.84</v>
      </c>
      <c r="M555" t="s">
        <v>46</v>
      </c>
      <c r="N555" t="s">
        <v>261</v>
      </c>
      <c r="O555">
        <v>18.34</v>
      </c>
      <c r="P555">
        <v>17.31</v>
      </c>
      <c r="Q555">
        <v>17.4</v>
      </c>
      <c r="R555">
        <v>17.41</v>
      </c>
      <c r="S555">
        <v>5.92</v>
      </c>
      <c r="T555">
        <v>1.6</v>
      </c>
      <c r="U555">
        <v>39.5</v>
      </c>
      <c r="V555">
        <v>979</v>
      </c>
      <c r="W555">
        <v>17.83</v>
      </c>
      <c r="X555" t="s">
        <v>655</v>
      </c>
      <c r="Y555" t="s">
        <v>740</v>
      </c>
      <c r="Z555">
        <v>0.77</v>
      </c>
      <c r="AA555">
        <v>824</v>
      </c>
      <c r="AB555">
        <v>370</v>
      </c>
      <c r="AC555">
        <v>3.05</v>
      </c>
      <c r="AD555" t="s">
        <v>4364</v>
      </c>
      <c r="AE555" t="s">
        <v>4365</v>
      </c>
      <c r="AF555" t="s">
        <v>4366</v>
      </c>
      <c r="AG555" t="s">
        <v>4367</v>
      </c>
      <c r="AH555">
        <v>3.13</v>
      </c>
      <c r="AI555">
        <v>1.12</v>
      </c>
      <c r="AJ555">
        <v>10.02</v>
      </c>
      <c r="AK555">
        <v>19.95</v>
      </c>
      <c r="AL555">
        <v>2</v>
      </c>
      <c r="AM555">
        <v>4.08</v>
      </c>
      <c r="AN555">
        <v>44.84</v>
      </c>
      <c r="AO555">
        <v>11.71</v>
      </c>
      <c r="AP555">
        <v>32.75</v>
      </c>
    </row>
    <row r="556" spans="1:42">
      <c r="A556">
        <v>555</v>
      </c>
      <c r="B556" t="str">
        <f>"601788"</f>
        <v>601788</v>
      </c>
      <c r="C556" t="s">
        <v>4368</v>
      </c>
      <c r="D556">
        <v>16.29</v>
      </c>
      <c r="E556">
        <v>0.25</v>
      </c>
      <c r="F556">
        <v>0.04</v>
      </c>
      <c r="G556" t="s">
        <v>2011</v>
      </c>
      <c r="H556">
        <v>2598</v>
      </c>
      <c r="I556">
        <v>16.29</v>
      </c>
      <c r="J556">
        <v>16.3</v>
      </c>
      <c r="K556" t="s">
        <v>4357</v>
      </c>
      <c r="L556">
        <v>0.52</v>
      </c>
      <c r="M556" t="s">
        <v>46</v>
      </c>
      <c r="N556" t="s">
        <v>795</v>
      </c>
      <c r="O556">
        <v>16.31</v>
      </c>
      <c r="P556">
        <v>16.12</v>
      </c>
      <c r="Q556">
        <v>16.25</v>
      </c>
      <c r="R556">
        <v>16.25</v>
      </c>
      <c r="S556">
        <v>1.17</v>
      </c>
      <c r="T556">
        <v>1.15</v>
      </c>
      <c r="U556">
        <v>-5.24</v>
      </c>
      <c r="V556">
        <v>-564</v>
      </c>
      <c r="W556">
        <v>16.23</v>
      </c>
      <c r="X556" t="s">
        <v>4369</v>
      </c>
      <c r="Y556" t="s">
        <v>3903</v>
      </c>
      <c r="Z556">
        <v>1.3</v>
      </c>
      <c r="AA556">
        <v>549</v>
      </c>
      <c r="AB556">
        <v>781</v>
      </c>
      <c r="AC556">
        <v>1.3</v>
      </c>
      <c r="AD556" t="s">
        <v>4370</v>
      </c>
      <c r="AE556" t="s">
        <v>4371</v>
      </c>
      <c r="AF556" t="s">
        <v>4372</v>
      </c>
      <c r="AG556" t="s">
        <v>4373</v>
      </c>
      <c r="AH556">
        <v>-0.18</v>
      </c>
      <c r="AI556">
        <v>-2.34</v>
      </c>
      <c r="AJ556">
        <v>1.4</v>
      </c>
      <c r="AK556">
        <v>2.76</v>
      </c>
      <c r="AL556">
        <v>2</v>
      </c>
      <c r="AM556">
        <v>0.25</v>
      </c>
      <c r="AN556">
        <v>11.12</v>
      </c>
      <c r="AO556">
        <v>-0.97</v>
      </c>
      <c r="AP556">
        <v>6.12</v>
      </c>
    </row>
    <row r="557" spans="1:42">
      <c r="A557">
        <v>556</v>
      </c>
      <c r="B557" t="str">
        <f>"835579"</f>
        <v>835579</v>
      </c>
      <c r="C557" t="s">
        <v>4374</v>
      </c>
      <c r="D557">
        <v>17.77</v>
      </c>
      <c r="E557">
        <v>-14.15</v>
      </c>
      <c r="F557">
        <v>-2.93</v>
      </c>
      <c r="G557" t="s">
        <v>842</v>
      </c>
      <c r="H557">
        <v>1245</v>
      </c>
      <c r="I557">
        <v>17.77</v>
      </c>
      <c r="J557">
        <v>17.79</v>
      </c>
      <c r="K557" t="s">
        <v>4357</v>
      </c>
      <c r="L557">
        <v>50.46</v>
      </c>
      <c r="M557" t="s">
        <v>46</v>
      </c>
      <c r="N557" t="s">
        <v>4375</v>
      </c>
      <c r="O557">
        <v>21.8</v>
      </c>
      <c r="P557">
        <v>17.55</v>
      </c>
      <c r="Q557">
        <v>20.94</v>
      </c>
      <c r="R557">
        <v>20.7</v>
      </c>
      <c r="S557">
        <v>20.53</v>
      </c>
      <c r="T557">
        <v>3.02</v>
      </c>
      <c r="U557">
        <v>15.11</v>
      </c>
      <c r="V557">
        <v>50</v>
      </c>
      <c r="W557">
        <v>18.69</v>
      </c>
      <c r="X557" t="s">
        <v>1499</v>
      </c>
      <c r="Y557" t="s">
        <v>4376</v>
      </c>
      <c r="Z557">
        <v>1.4</v>
      </c>
      <c r="AA557">
        <v>25</v>
      </c>
      <c r="AB557">
        <v>4</v>
      </c>
      <c r="AC557">
        <v>4.72</v>
      </c>
      <c r="AD557" t="s">
        <v>4377</v>
      </c>
      <c r="AE557" t="s">
        <v>676</v>
      </c>
      <c r="AF557" t="s">
        <v>4378</v>
      </c>
      <c r="AG557" t="s">
        <v>4379</v>
      </c>
      <c r="AH557">
        <v>26.12</v>
      </c>
      <c r="AI557">
        <v>26.12</v>
      </c>
      <c r="AJ557">
        <v>133.92</v>
      </c>
      <c r="AK557">
        <v>133.92</v>
      </c>
      <c r="AL557">
        <v>-1</v>
      </c>
      <c r="AM557">
        <v>-14.15</v>
      </c>
      <c r="AN557">
        <v>26.12</v>
      </c>
      <c r="AO557">
        <v>26.12</v>
      </c>
      <c r="AP557">
        <v>26.12</v>
      </c>
    </row>
    <row r="558" spans="1:42">
      <c r="A558">
        <v>557</v>
      </c>
      <c r="B558" t="str">
        <f>"002268"</f>
        <v>002268</v>
      </c>
      <c r="C558" t="s">
        <v>4380</v>
      </c>
      <c r="D558">
        <v>23.76</v>
      </c>
      <c r="E558">
        <v>3.76</v>
      </c>
      <c r="F558">
        <v>0.86</v>
      </c>
      <c r="G558" t="s">
        <v>1207</v>
      </c>
      <c r="H558">
        <v>1495</v>
      </c>
      <c r="I558">
        <v>23.75</v>
      </c>
      <c r="J558">
        <v>23.76</v>
      </c>
      <c r="K558" t="s">
        <v>4357</v>
      </c>
      <c r="L558">
        <v>1.66</v>
      </c>
      <c r="M558" t="s">
        <v>46</v>
      </c>
      <c r="N558" t="s">
        <v>392</v>
      </c>
      <c r="O558">
        <v>23.91</v>
      </c>
      <c r="P558">
        <v>22.8</v>
      </c>
      <c r="Q558">
        <v>22.9</v>
      </c>
      <c r="R558">
        <v>22.9</v>
      </c>
      <c r="S558">
        <v>4.85</v>
      </c>
      <c r="T558">
        <v>0.73</v>
      </c>
      <c r="U558">
        <v>-49.3</v>
      </c>
      <c r="V558">
        <v>-1305</v>
      </c>
      <c r="W558">
        <v>23.42</v>
      </c>
      <c r="X558" t="s">
        <v>4381</v>
      </c>
      <c r="Y558" t="s">
        <v>4382</v>
      </c>
      <c r="Z558">
        <v>0.72</v>
      </c>
      <c r="AA558">
        <v>520</v>
      </c>
      <c r="AB558">
        <v>129</v>
      </c>
      <c r="AC558">
        <v>3.82</v>
      </c>
      <c r="AD558" t="s">
        <v>4383</v>
      </c>
      <c r="AE558" t="s">
        <v>4384</v>
      </c>
      <c r="AF558" t="s">
        <v>4385</v>
      </c>
      <c r="AG558" t="s">
        <v>4386</v>
      </c>
      <c r="AH558">
        <v>0.21</v>
      </c>
      <c r="AI558">
        <v>-6.46</v>
      </c>
      <c r="AJ558">
        <v>4.24</v>
      </c>
      <c r="AK558">
        <v>13.09</v>
      </c>
      <c r="AL558">
        <v>1</v>
      </c>
      <c r="AM558">
        <v>3.76</v>
      </c>
      <c r="AN558">
        <v>-22.02</v>
      </c>
      <c r="AO558">
        <v>7.22</v>
      </c>
      <c r="AP558">
        <v>-39.76</v>
      </c>
    </row>
    <row r="559" spans="1:42">
      <c r="A559">
        <v>558</v>
      </c>
      <c r="B559" t="str">
        <f>"603535"</f>
        <v>603535</v>
      </c>
      <c r="C559" t="s">
        <v>4387</v>
      </c>
      <c r="D559">
        <v>19.61</v>
      </c>
      <c r="E559">
        <v>7.75</v>
      </c>
      <c r="F559">
        <v>1.41</v>
      </c>
      <c r="G559" t="s">
        <v>2778</v>
      </c>
      <c r="H559">
        <v>1103</v>
      </c>
      <c r="I559">
        <v>19.61</v>
      </c>
      <c r="J559">
        <v>19.63</v>
      </c>
      <c r="K559" t="s">
        <v>2373</v>
      </c>
      <c r="L559">
        <v>7.6</v>
      </c>
      <c r="M559" t="s">
        <v>46</v>
      </c>
      <c r="N559" t="s">
        <v>4388</v>
      </c>
      <c r="O559">
        <v>20.02</v>
      </c>
      <c r="P559">
        <v>18.61</v>
      </c>
      <c r="Q559">
        <v>18.61</v>
      </c>
      <c r="R559">
        <v>18.2</v>
      </c>
      <c r="S559">
        <v>7.75</v>
      </c>
      <c r="T559">
        <v>3.41</v>
      </c>
      <c r="U559">
        <v>12.84</v>
      </c>
      <c r="V559">
        <v>72</v>
      </c>
      <c r="W559">
        <v>19.7</v>
      </c>
      <c r="X559" t="s">
        <v>1753</v>
      </c>
      <c r="Y559" t="s">
        <v>2359</v>
      </c>
      <c r="Z559">
        <v>1.47</v>
      </c>
      <c r="AA559">
        <v>108</v>
      </c>
      <c r="AB559">
        <v>10</v>
      </c>
      <c r="AC559">
        <v>1.96</v>
      </c>
      <c r="AD559" t="s">
        <v>4389</v>
      </c>
      <c r="AE559" t="s">
        <v>4390</v>
      </c>
      <c r="AF559" t="s">
        <v>4391</v>
      </c>
      <c r="AG559" t="s">
        <v>4392</v>
      </c>
      <c r="AH559">
        <v>13.88</v>
      </c>
      <c r="AI559">
        <v>13.55</v>
      </c>
      <c r="AJ559">
        <v>17.69</v>
      </c>
      <c r="AK559">
        <v>18.75</v>
      </c>
      <c r="AL559">
        <v>1</v>
      </c>
      <c r="AM559">
        <v>7.75</v>
      </c>
      <c r="AN559">
        <v>10.23</v>
      </c>
      <c r="AO559">
        <v>14.28</v>
      </c>
      <c r="AP559">
        <v>9.43</v>
      </c>
    </row>
    <row r="560" spans="1:42">
      <c r="A560">
        <v>559</v>
      </c>
      <c r="B560" t="str">
        <f>"300825"</f>
        <v>300825</v>
      </c>
      <c r="C560" t="s">
        <v>4393</v>
      </c>
      <c r="D560">
        <v>15.35</v>
      </c>
      <c r="E560">
        <v>2.95</v>
      </c>
      <c r="F560">
        <v>0.44</v>
      </c>
      <c r="G560" t="s">
        <v>553</v>
      </c>
      <c r="H560">
        <v>1747</v>
      </c>
      <c r="I560">
        <v>15.35</v>
      </c>
      <c r="J560">
        <v>15.36</v>
      </c>
      <c r="K560" t="s">
        <v>2373</v>
      </c>
      <c r="L560">
        <v>4.5</v>
      </c>
      <c r="M560" t="s">
        <v>46</v>
      </c>
      <c r="N560" t="s">
        <v>2648</v>
      </c>
      <c r="O560">
        <v>15.67</v>
      </c>
      <c r="P560">
        <v>15</v>
      </c>
      <c r="Q560">
        <v>15.51</v>
      </c>
      <c r="R560">
        <v>14.91</v>
      </c>
      <c r="S560">
        <v>4.49</v>
      </c>
      <c r="T560">
        <v>1.32</v>
      </c>
      <c r="U560">
        <v>-53.18</v>
      </c>
      <c r="V560">
        <v>-2161</v>
      </c>
      <c r="W560">
        <v>15.32</v>
      </c>
      <c r="X560" t="s">
        <v>4369</v>
      </c>
      <c r="Y560" t="s">
        <v>3734</v>
      </c>
      <c r="Z560">
        <v>1.15</v>
      </c>
      <c r="AA560">
        <v>184</v>
      </c>
      <c r="AB560">
        <v>1103</v>
      </c>
      <c r="AC560">
        <v>3.2</v>
      </c>
      <c r="AD560" t="s">
        <v>4394</v>
      </c>
      <c r="AE560" t="s">
        <v>4395</v>
      </c>
      <c r="AF560" t="s">
        <v>4396</v>
      </c>
      <c r="AG560" t="s">
        <v>4397</v>
      </c>
      <c r="AH560">
        <v>1.39</v>
      </c>
      <c r="AI560">
        <v>-8.25</v>
      </c>
      <c r="AJ560">
        <v>9.32</v>
      </c>
      <c r="AK560">
        <v>21.58</v>
      </c>
      <c r="AL560">
        <v>1</v>
      </c>
      <c r="AM560">
        <v>2.95</v>
      </c>
      <c r="AN560">
        <v>39.17</v>
      </c>
      <c r="AO560">
        <v>-0.52</v>
      </c>
      <c r="AP560">
        <v>19.55</v>
      </c>
    </row>
    <row r="561" spans="1:42">
      <c r="A561">
        <v>560</v>
      </c>
      <c r="B561" t="str">
        <f>"300223"</f>
        <v>300223</v>
      </c>
      <c r="C561" t="s">
        <v>4398</v>
      </c>
      <c r="D561">
        <v>68.9</v>
      </c>
      <c r="E561">
        <v>1.23</v>
      </c>
      <c r="F561">
        <v>0.84</v>
      </c>
      <c r="G561" t="s">
        <v>4399</v>
      </c>
      <c r="H561">
        <v>625</v>
      </c>
      <c r="I561">
        <v>68.89</v>
      </c>
      <c r="J561">
        <v>68.9</v>
      </c>
      <c r="K561" t="s">
        <v>4400</v>
      </c>
      <c r="L561">
        <v>1.14</v>
      </c>
      <c r="M561" t="s">
        <v>46</v>
      </c>
      <c r="N561" t="s">
        <v>4401</v>
      </c>
      <c r="O561">
        <v>68.99</v>
      </c>
      <c r="P561">
        <v>67.7</v>
      </c>
      <c r="Q561">
        <v>68</v>
      </c>
      <c r="R561">
        <v>68.06</v>
      </c>
      <c r="S561">
        <v>1.9</v>
      </c>
      <c r="T561">
        <v>1.18</v>
      </c>
      <c r="U561">
        <v>-65.18</v>
      </c>
      <c r="V561">
        <v>-277</v>
      </c>
      <c r="W561">
        <v>68.39</v>
      </c>
      <c r="X561" t="s">
        <v>4257</v>
      </c>
      <c r="Y561" t="s">
        <v>377</v>
      </c>
      <c r="Z561">
        <v>1.16</v>
      </c>
      <c r="AA561">
        <v>18</v>
      </c>
      <c r="AB561">
        <v>195</v>
      </c>
      <c r="AC561">
        <v>2.86</v>
      </c>
      <c r="AD561" t="s">
        <v>4402</v>
      </c>
      <c r="AE561" t="s">
        <v>4403</v>
      </c>
      <c r="AF561" t="s">
        <v>807</v>
      </c>
      <c r="AG561" t="s">
        <v>4404</v>
      </c>
      <c r="AH561">
        <v>-0.51</v>
      </c>
      <c r="AI561">
        <v>-2.57</v>
      </c>
      <c r="AJ561">
        <v>3.23</v>
      </c>
      <c r="AK561">
        <v>6.01</v>
      </c>
      <c r="AL561">
        <v>1</v>
      </c>
      <c r="AM561">
        <v>1.23</v>
      </c>
      <c r="AN561">
        <v>-2.08</v>
      </c>
      <c r="AO561">
        <v>-9.66</v>
      </c>
      <c r="AP561">
        <v>-11.13</v>
      </c>
    </row>
    <row r="562" spans="1:42">
      <c r="A562">
        <v>561</v>
      </c>
      <c r="B562" t="str">
        <f>"601928"</f>
        <v>601928</v>
      </c>
      <c r="C562" t="s">
        <v>4405</v>
      </c>
      <c r="D562">
        <v>10.04</v>
      </c>
      <c r="E562">
        <v>-0.2</v>
      </c>
      <c r="F562">
        <v>-0.02</v>
      </c>
      <c r="G562" t="s">
        <v>2472</v>
      </c>
      <c r="H562">
        <v>3950</v>
      </c>
      <c r="I562">
        <v>10.04</v>
      </c>
      <c r="J562">
        <v>10.05</v>
      </c>
      <c r="K562" t="s">
        <v>4400</v>
      </c>
      <c r="L562">
        <v>1.28</v>
      </c>
      <c r="M562" t="s">
        <v>46</v>
      </c>
      <c r="N562" t="s">
        <v>4406</v>
      </c>
      <c r="O562">
        <v>10.09</v>
      </c>
      <c r="P562">
        <v>9.86</v>
      </c>
      <c r="Q562">
        <v>9.96</v>
      </c>
      <c r="R562">
        <v>10.06</v>
      </c>
      <c r="S562">
        <v>2.29</v>
      </c>
      <c r="T562">
        <v>1.65</v>
      </c>
      <c r="U562">
        <v>-14.19</v>
      </c>
      <c r="V562">
        <v>-961</v>
      </c>
      <c r="W562">
        <v>9.98</v>
      </c>
      <c r="X562" t="s">
        <v>1403</v>
      </c>
      <c r="Y562" t="s">
        <v>959</v>
      </c>
      <c r="Z562">
        <v>1.18</v>
      </c>
      <c r="AA562">
        <v>72</v>
      </c>
      <c r="AB562">
        <v>247</v>
      </c>
      <c r="AC562">
        <v>1.44</v>
      </c>
      <c r="AD562" t="s">
        <v>4407</v>
      </c>
      <c r="AE562" t="s">
        <v>4408</v>
      </c>
      <c r="AF562" t="s">
        <v>4407</v>
      </c>
      <c r="AG562" t="s">
        <v>4408</v>
      </c>
      <c r="AH562">
        <v>-0.3</v>
      </c>
      <c r="AI562">
        <v>-3.92</v>
      </c>
      <c r="AJ562">
        <v>2.42</v>
      </c>
      <c r="AK562">
        <v>5.15</v>
      </c>
      <c r="AL562">
        <v>-1</v>
      </c>
      <c r="AM562">
        <v>-0.2</v>
      </c>
      <c r="AN562">
        <v>35.31</v>
      </c>
      <c r="AO562">
        <v>2.45</v>
      </c>
      <c r="AP562">
        <v>43.02</v>
      </c>
    </row>
    <row r="563" spans="1:42">
      <c r="A563">
        <v>562</v>
      </c>
      <c r="B563" t="str">
        <f>"000712"</f>
        <v>000712</v>
      </c>
      <c r="C563" t="s">
        <v>4409</v>
      </c>
      <c r="D563">
        <v>15.38</v>
      </c>
      <c r="E563">
        <v>0.79</v>
      </c>
      <c r="F563">
        <v>0.12</v>
      </c>
      <c r="G563" t="s">
        <v>1007</v>
      </c>
      <c r="H563">
        <v>4833</v>
      </c>
      <c r="I563">
        <v>15.38</v>
      </c>
      <c r="J563">
        <v>15.39</v>
      </c>
      <c r="K563" t="s">
        <v>4400</v>
      </c>
      <c r="L563">
        <v>2.36</v>
      </c>
      <c r="M563" t="s">
        <v>46</v>
      </c>
      <c r="N563" t="s">
        <v>4410</v>
      </c>
      <c r="O563">
        <v>15.47</v>
      </c>
      <c r="P563">
        <v>15.08</v>
      </c>
      <c r="Q563">
        <v>15.23</v>
      </c>
      <c r="R563">
        <v>15.26</v>
      </c>
      <c r="S563">
        <v>2.56</v>
      </c>
      <c r="T563">
        <v>0.54</v>
      </c>
      <c r="U563">
        <v>-8.01</v>
      </c>
      <c r="V563">
        <v>-442</v>
      </c>
      <c r="W563">
        <v>15.34</v>
      </c>
      <c r="X563" t="s">
        <v>110</v>
      </c>
      <c r="Y563" t="s">
        <v>1438</v>
      </c>
      <c r="Z563">
        <v>0.92</v>
      </c>
      <c r="AA563">
        <v>326</v>
      </c>
      <c r="AB563">
        <v>443</v>
      </c>
      <c r="AC563">
        <v>5.32</v>
      </c>
      <c r="AD563" t="s">
        <v>4411</v>
      </c>
      <c r="AE563" t="s">
        <v>4412</v>
      </c>
      <c r="AF563" t="s">
        <v>4413</v>
      </c>
      <c r="AG563" t="s">
        <v>4414</v>
      </c>
      <c r="AH563">
        <v>-2.04</v>
      </c>
      <c r="AI563">
        <v>-3.87</v>
      </c>
      <c r="AJ563">
        <v>9.04</v>
      </c>
      <c r="AK563">
        <v>24.08</v>
      </c>
      <c r="AL563">
        <v>2</v>
      </c>
      <c r="AM563">
        <v>0.79</v>
      </c>
      <c r="AN563">
        <v>18.86</v>
      </c>
      <c r="AO563">
        <v>1.99</v>
      </c>
      <c r="AP563">
        <v>13.25</v>
      </c>
    </row>
    <row r="564" spans="1:42">
      <c r="A564">
        <v>563</v>
      </c>
      <c r="B564" t="str">
        <f>"603386"</f>
        <v>603386</v>
      </c>
      <c r="C564" t="s">
        <v>4415</v>
      </c>
      <c r="D564">
        <v>13.75</v>
      </c>
      <c r="E564">
        <v>-0.58</v>
      </c>
      <c r="F564">
        <v>-0.08</v>
      </c>
      <c r="G564" t="s">
        <v>487</v>
      </c>
      <c r="H564">
        <v>4837</v>
      </c>
      <c r="I564">
        <v>13.74</v>
      </c>
      <c r="J564">
        <v>13.75</v>
      </c>
      <c r="K564" t="s">
        <v>4416</v>
      </c>
      <c r="L564">
        <v>7.16</v>
      </c>
      <c r="M564" t="s">
        <v>46</v>
      </c>
      <c r="N564" t="s">
        <v>2452</v>
      </c>
      <c r="O564">
        <v>14.26</v>
      </c>
      <c r="P564">
        <v>13.62</v>
      </c>
      <c r="Q564">
        <v>13.96</v>
      </c>
      <c r="R564">
        <v>13.83</v>
      </c>
      <c r="S564">
        <v>4.63</v>
      </c>
      <c r="T564">
        <v>0.65</v>
      </c>
      <c r="U564">
        <v>34.2</v>
      </c>
      <c r="V564">
        <v>986</v>
      </c>
      <c r="W564">
        <v>13.88</v>
      </c>
      <c r="X564" t="s">
        <v>368</v>
      </c>
      <c r="Y564" t="s">
        <v>4417</v>
      </c>
      <c r="Z564">
        <v>1.35</v>
      </c>
      <c r="AA564">
        <v>192</v>
      </c>
      <c r="AB564">
        <v>550</v>
      </c>
      <c r="AC564">
        <v>2.94</v>
      </c>
      <c r="AD564" t="s">
        <v>4418</v>
      </c>
      <c r="AE564" t="s">
        <v>4419</v>
      </c>
      <c r="AF564" t="s">
        <v>4418</v>
      </c>
      <c r="AG564" t="s">
        <v>4419</v>
      </c>
      <c r="AH564">
        <v>-5.5</v>
      </c>
      <c r="AI564">
        <v>7.84</v>
      </c>
      <c r="AJ564">
        <v>32.08</v>
      </c>
      <c r="AK564">
        <v>62.02</v>
      </c>
      <c r="AL564">
        <v>-2</v>
      </c>
      <c r="AM564">
        <v>-0.58</v>
      </c>
      <c r="AN564">
        <v>37.09</v>
      </c>
      <c r="AO564">
        <v>10.09</v>
      </c>
      <c r="AP564">
        <v>23.43</v>
      </c>
    </row>
    <row r="565" spans="1:42">
      <c r="A565">
        <v>564</v>
      </c>
      <c r="B565" t="str">
        <f>"301221"</f>
        <v>301221</v>
      </c>
      <c r="C565" t="s">
        <v>4420</v>
      </c>
      <c r="D565">
        <v>66.68</v>
      </c>
      <c r="E565">
        <v>0.53</v>
      </c>
      <c r="F565">
        <v>0.35</v>
      </c>
      <c r="G565" t="s">
        <v>4421</v>
      </c>
      <c r="H565">
        <v>1068</v>
      </c>
      <c r="I565">
        <v>66.68</v>
      </c>
      <c r="J565">
        <v>66.69</v>
      </c>
      <c r="K565" t="s">
        <v>4416</v>
      </c>
      <c r="L565">
        <v>11.29</v>
      </c>
      <c r="M565" t="s">
        <v>46</v>
      </c>
      <c r="N565" t="s">
        <v>3708</v>
      </c>
      <c r="O565">
        <v>67.5</v>
      </c>
      <c r="P565">
        <v>64.2</v>
      </c>
      <c r="Q565">
        <v>66.2</v>
      </c>
      <c r="R565">
        <v>66.33</v>
      </c>
      <c r="S565">
        <v>4.98</v>
      </c>
      <c r="T565">
        <v>0.58</v>
      </c>
      <c r="U565">
        <v>-18.94</v>
      </c>
      <c r="V565">
        <v>-43</v>
      </c>
      <c r="W565">
        <v>65.96</v>
      </c>
      <c r="X565" t="s">
        <v>4422</v>
      </c>
      <c r="Y565" t="s">
        <v>3151</v>
      </c>
      <c r="Z565">
        <v>1.09</v>
      </c>
      <c r="AA565">
        <v>51</v>
      </c>
      <c r="AB565">
        <v>2</v>
      </c>
      <c r="AC565">
        <v>3.02</v>
      </c>
      <c r="AD565" t="s">
        <v>4423</v>
      </c>
      <c r="AE565" t="s">
        <v>4424</v>
      </c>
      <c r="AF565" t="s">
        <v>4425</v>
      </c>
      <c r="AG565" t="s">
        <v>4426</v>
      </c>
      <c r="AH565">
        <v>-4.73</v>
      </c>
      <c r="AI565">
        <v>-0.69</v>
      </c>
      <c r="AJ565">
        <v>42.77</v>
      </c>
      <c r="AK565">
        <v>109</v>
      </c>
      <c r="AL565">
        <v>1</v>
      </c>
      <c r="AM565">
        <v>0.53</v>
      </c>
      <c r="AN565">
        <v>72.26</v>
      </c>
      <c r="AO565">
        <v>4.69</v>
      </c>
      <c r="AP565">
        <v>47.03</v>
      </c>
    </row>
    <row r="566" spans="1:42">
      <c r="A566">
        <v>565</v>
      </c>
      <c r="B566" t="str">
        <f>"000716"</f>
        <v>000716</v>
      </c>
      <c r="C566" t="s">
        <v>4427</v>
      </c>
      <c r="D566">
        <v>6.63</v>
      </c>
      <c r="E566">
        <v>0.45</v>
      </c>
      <c r="F566">
        <v>0.03</v>
      </c>
      <c r="G566" t="s">
        <v>343</v>
      </c>
      <c r="H566">
        <v>6128</v>
      </c>
      <c r="I566">
        <v>6.62</v>
      </c>
      <c r="J566">
        <v>6.63</v>
      </c>
      <c r="K566" t="s">
        <v>4416</v>
      </c>
      <c r="L566">
        <v>6.98</v>
      </c>
      <c r="M566" t="s">
        <v>46</v>
      </c>
      <c r="N566" t="s">
        <v>4428</v>
      </c>
      <c r="O566">
        <v>6.75</v>
      </c>
      <c r="P566">
        <v>6.54</v>
      </c>
      <c r="Q566">
        <v>6.55</v>
      </c>
      <c r="R566">
        <v>6.6</v>
      </c>
      <c r="S566">
        <v>3.18</v>
      </c>
      <c r="T566">
        <v>1.19</v>
      </c>
      <c r="U566">
        <v>26.1</v>
      </c>
      <c r="V566">
        <v>7225</v>
      </c>
      <c r="W566">
        <v>6.66</v>
      </c>
      <c r="X566" t="s">
        <v>572</v>
      </c>
      <c r="Y566" t="s">
        <v>3527</v>
      </c>
      <c r="Z566">
        <v>0.97</v>
      </c>
      <c r="AA566">
        <v>4700</v>
      </c>
      <c r="AB566">
        <v>546</v>
      </c>
      <c r="AC566">
        <v>1.96</v>
      </c>
      <c r="AD566" t="s">
        <v>4429</v>
      </c>
      <c r="AE566" t="s">
        <v>4430</v>
      </c>
      <c r="AF566" t="s">
        <v>4431</v>
      </c>
      <c r="AG566" t="s">
        <v>4432</v>
      </c>
      <c r="AH566">
        <v>2</v>
      </c>
      <c r="AI566">
        <v>3.27</v>
      </c>
      <c r="AJ566">
        <v>17.69</v>
      </c>
      <c r="AK566">
        <v>36.23</v>
      </c>
      <c r="AL566">
        <v>2</v>
      </c>
      <c r="AM566">
        <v>0.45</v>
      </c>
      <c r="AN566">
        <v>-17.13</v>
      </c>
      <c r="AO566">
        <v>6.42</v>
      </c>
      <c r="AP566">
        <v>52.06</v>
      </c>
    </row>
    <row r="567" spans="1:42">
      <c r="A567">
        <v>566</v>
      </c>
      <c r="B567" t="str">
        <f>"600115"</f>
        <v>600115</v>
      </c>
      <c r="C567" t="s">
        <v>4433</v>
      </c>
      <c r="D567">
        <v>4.08</v>
      </c>
      <c r="E567">
        <v>-2.86</v>
      </c>
      <c r="F567">
        <v>-0.12</v>
      </c>
      <c r="G567" t="s">
        <v>2053</v>
      </c>
      <c r="H567">
        <v>4035</v>
      </c>
      <c r="I567">
        <v>4.08</v>
      </c>
      <c r="J567">
        <v>4.09</v>
      </c>
      <c r="K567" t="s">
        <v>4416</v>
      </c>
      <c r="L567">
        <v>0.58</v>
      </c>
      <c r="M567" t="s">
        <v>46</v>
      </c>
      <c r="N567" t="s">
        <v>4434</v>
      </c>
      <c r="O567">
        <v>4.24</v>
      </c>
      <c r="P567">
        <v>4.07</v>
      </c>
      <c r="Q567">
        <v>4.2</v>
      </c>
      <c r="R567">
        <v>4.2</v>
      </c>
      <c r="S567">
        <v>4.05</v>
      </c>
      <c r="T567">
        <v>2.13</v>
      </c>
      <c r="U567">
        <v>-8.93</v>
      </c>
      <c r="V567">
        <v>-5611</v>
      </c>
      <c r="W567">
        <v>4.12</v>
      </c>
      <c r="X567" t="s">
        <v>4435</v>
      </c>
      <c r="Y567" t="s">
        <v>1537</v>
      </c>
      <c r="Z567">
        <v>2.26</v>
      </c>
      <c r="AA567">
        <v>7297</v>
      </c>
      <c r="AB567">
        <v>8379</v>
      </c>
      <c r="AC567">
        <v>3.44</v>
      </c>
      <c r="AD567" t="s">
        <v>4436</v>
      </c>
      <c r="AE567" t="s">
        <v>4437</v>
      </c>
      <c r="AF567" t="s">
        <v>513</v>
      </c>
      <c r="AG567" t="s">
        <v>4438</v>
      </c>
      <c r="AH567">
        <v>-2.63</v>
      </c>
      <c r="AI567">
        <v>-4.9</v>
      </c>
      <c r="AJ567">
        <v>1.16</v>
      </c>
      <c r="AK567">
        <v>1.95</v>
      </c>
      <c r="AL567">
        <v>-1</v>
      </c>
      <c r="AM567">
        <v>-2.86</v>
      </c>
      <c r="AN567">
        <v>-26.22</v>
      </c>
      <c r="AO567">
        <v>-4.23</v>
      </c>
      <c r="AP567">
        <v>-17.74</v>
      </c>
    </row>
    <row r="568" spans="1:42">
      <c r="A568">
        <v>567</v>
      </c>
      <c r="B568" t="str">
        <f>"601001"</f>
        <v>601001</v>
      </c>
      <c r="C568" t="s">
        <v>4439</v>
      </c>
      <c r="D568">
        <v>13.43</v>
      </c>
      <c r="E568">
        <v>1.82</v>
      </c>
      <c r="F568">
        <v>0.24</v>
      </c>
      <c r="G568" t="s">
        <v>142</v>
      </c>
      <c r="H568">
        <v>653</v>
      </c>
      <c r="I568">
        <v>13.42</v>
      </c>
      <c r="J568">
        <v>13.43</v>
      </c>
      <c r="K568" t="s">
        <v>4416</v>
      </c>
      <c r="L568">
        <v>1.45</v>
      </c>
      <c r="M568" t="s">
        <v>46</v>
      </c>
      <c r="N568" t="s">
        <v>4440</v>
      </c>
      <c r="O568">
        <v>13.45</v>
      </c>
      <c r="P568">
        <v>13.04</v>
      </c>
      <c r="Q568">
        <v>13.19</v>
      </c>
      <c r="R568">
        <v>13.19</v>
      </c>
      <c r="S568">
        <v>3.11</v>
      </c>
      <c r="T568">
        <v>0.97</v>
      </c>
      <c r="U568">
        <v>-82.37</v>
      </c>
      <c r="V568">
        <v>-5194</v>
      </c>
      <c r="W568">
        <v>13.35</v>
      </c>
      <c r="X568" t="s">
        <v>4441</v>
      </c>
      <c r="Y568" t="s">
        <v>959</v>
      </c>
      <c r="Z568">
        <v>0.63</v>
      </c>
      <c r="AA568">
        <v>115</v>
      </c>
      <c r="AB568">
        <v>879</v>
      </c>
      <c r="AC568">
        <v>1.4</v>
      </c>
      <c r="AD568" t="s">
        <v>922</v>
      </c>
      <c r="AE568" t="s">
        <v>224</v>
      </c>
      <c r="AF568" t="s">
        <v>922</v>
      </c>
      <c r="AG568" t="s">
        <v>224</v>
      </c>
      <c r="AH568">
        <v>5.33</v>
      </c>
      <c r="AI568">
        <v>7.01</v>
      </c>
      <c r="AJ568">
        <v>4.38</v>
      </c>
      <c r="AK568">
        <v>8.93</v>
      </c>
      <c r="AL568">
        <v>1</v>
      </c>
      <c r="AM568">
        <v>1.82</v>
      </c>
      <c r="AN568">
        <v>18.53</v>
      </c>
      <c r="AO568">
        <v>16.28</v>
      </c>
      <c r="AP568">
        <v>10.81</v>
      </c>
    </row>
    <row r="569" spans="1:42">
      <c r="A569">
        <v>568</v>
      </c>
      <c r="B569" t="str">
        <f>"300299"</f>
        <v>300299</v>
      </c>
      <c r="C569" t="s">
        <v>4442</v>
      </c>
      <c r="D569">
        <v>6.9</v>
      </c>
      <c r="E569">
        <v>7.64</v>
      </c>
      <c r="F569">
        <v>0.49</v>
      </c>
      <c r="G569" t="s">
        <v>2095</v>
      </c>
      <c r="H569" t="s">
        <v>4443</v>
      </c>
      <c r="I569">
        <v>6.89</v>
      </c>
      <c r="J569">
        <v>6.91</v>
      </c>
      <c r="K569" t="s">
        <v>4416</v>
      </c>
      <c r="L569">
        <v>7.43</v>
      </c>
      <c r="M569" t="s">
        <v>46</v>
      </c>
      <c r="N569" t="s">
        <v>4444</v>
      </c>
      <c r="O569">
        <v>6.96</v>
      </c>
      <c r="P569">
        <v>6.39</v>
      </c>
      <c r="Q569">
        <v>6.4</v>
      </c>
      <c r="R569">
        <v>6.41</v>
      </c>
      <c r="S569">
        <v>8.89</v>
      </c>
      <c r="T569">
        <v>1.51</v>
      </c>
      <c r="U569">
        <v>-36.77</v>
      </c>
      <c r="V569">
        <v>-4270</v>
      </c>
      <c r="W569">
        <v>6.73</v>
      </c>
      <c r="X569" t="s">
        <v>2915</v>
      </c>
      <c r="Y569" t="s">
        <v>3576</v>
      </c>
      <c r="Z569">
        <v>0.55</v>
      </c>
      <c r="AA569">
        <v>860</v>
      </c>
      <c r="AB569">
        <v>2572</v>
      </c>
      <c r="AC569">
        <v>8.25</v>
      </c>
      <c r="AD569" t="s">
        <v>4445</v>
      </c>
      <c r="AE569" t="s">
        <v>4446</v>
      </c>
      <c r="AF569" t="s">
        <v>4447</v>
      </c>
      <c r="AG569" t="s">
        <v>4448</v>
      </c>
      <c r="AH569">
        <v>5.02</v>
      </c>
      <c r="AI569">
        <v>-2.54</v>
      </c>
      <c r="AJ569">
        <v>13.48</v>
      </c>
      <c r="AK569">
        <v>32.01</v>
      </c>
      <c r="AL569">
        <v>1</v>
      </c>
      <c r="AM569">
        <v>7.64</v>
      </c>
      <c r="AN569">
        <v>36.63</v>
      </c>
      <c r="AO569">
        <v>4.23</v>
      </c>
      <c r="AP569">
        <v>23.43</v>
      </c>
    </row>
    <row r="570" spans="1:42">
      <c r="A570">
        <v>569</v>
      </c>
      <c r="B570" t="str">
        <f>"601238"</f>
        <v>601238</v>
      </c>
      <c r="C570" t="s">
        <v>4449</v>
      </c>
      <c r="D570">
        <v>9.85</v>
      </c>
      <c r="E570">
        <v>-0.71</v>
      </c>
      <c r="F570">
        <v>-0.07</v>
      </c>
      <c r="G570" t="s">
        <v>3896</v>
      </c>
      <c r="H570">
        <v>2589</v>
      </c>
      <c r="I570">
        <v>9.85</v>
      </c>
      <c r="J570">
        <v>9.86</v>
      </c>
      <c r="K570" t="s">
        <v>4450</v>
      </c>
      <c r="L570">
        <v>0.45</v>
      </c>
      <c r="M570" t="s">
        <v>46</v>
      </c>
      <c r="N570" t="s">
        <v>4451</v>
      </c>
      <c r="O570">
        <v>9.94</v>
      </c>
      <c r="P570">
        <v>9.78</v>
      </c>
      <c r="Q570">
        <v>9.92</v>
      </c>
      <c r="R570">
        <v>9.92</v>
      </c>
      <c r="S570">
        <v>1.61</v>
      </c>
      <c r="T570">
        <v>0.64</v>
      </c>
      <c r="U570">
        <v>18.53</v>
      </c>
      <c r="V570">
        <v>2507</v>
      </c>
      <c r="W570">
        <v>9.82</v>
      </c>
      <c r="X570" t="s">
        <v>2893</v>
      </c>
      <c r="Y570" t="s">
        <v>4356</v>
      </c>
      <c r="Z570">
        <v>1.87</v>
      </c>
      <c r="AA570">
        <v>1439</v>
      </c>
      <c r="AB570">
        <v>1600</v>
      </c>
      <c r="AC570">
        <v>0.89</v>
      </c>
      <c r="AD570" t="s">
        <v>4452</v>
      </c>
      <c r="AE570" t="s">
        <v>4453</v>
      </c>
      <c r="AF570" t="s">
        <v>4454</v>
      </c>
      <c r="AG570" t="s">
        <v>4455</v>
      </c>
      <c r="AH570">
        <v>-4</v>
      </c>
      <c r="AI570">
        <v>-0.81</v>
      </c>
      <c r="AJ570">
        <v>1.75</v>
      </c>
      <c r="AK570">
        <v>3.98</v>
      </c>
      <c r="AL570">
        <v>-3</v>
      </c>
      <c r="AM570">
        <v>-0.71</v>
      </c>
      <c r="AN570">
        <v>-8.8</v>
      </c>
      <c r="AO570">
        <v>-2.48</v>
      </c>
      <c r="AP570">
        <v>-13.22</v>
      </c>
    </row>
    <row r="571" spans="1:42">
      <c r="A571">
        <v>570</v>
      </c>
      <c r="B571" t="str">
        <f>"300672"</f>
        <v>300672</v>
      </c>
      <c r="C571" t="s">
        <v>4456</v>
      </c>
      <c r="D571">
        <v>63.25</v>
      </c>
      <c r="E571">
        <v>3.01</v>
      </c>
      <c r="F571">
        <v>1.85</v>
      </c>
      <c r="G571" t="s">
        <v>1951</v>
      </c>
      <c r="H571">
        <v>961</v>
      </c>
      <c r="I571">
        <v>63.25</v>
      </c>
      <c r="J571">
        <v>63.26</v>
      </c>
      <c r="K571" t="s">
        <v>4450</v>
      </c>
      <c r="L571">
        <v>2.46</v>
      </c>
      <c r="M571" t="s">
        <v>46</v>
      </c>
      <c r="N571" t="s">
        <v>4457</v>
      </c>
      <c r="O571">
        <v>64.15</v>
      </c>
      <c r="P571">
        <v>61.41</v>
      </c>
      <c r="Q571">
        <v>63.07</v>
      </c>
      <c r="R571">
        <v>61.4</v>
      </c>
      <c r="S571">
        <v>4.46</v>
      </c>
      <c r="T571">
        <v>1.77</v>
      </c>
      <c r="U571">
        <v>49.55</v>
      </c>
      <c r="V571">
        <v>185</v>
      </c>
      <c r="W571">
        <v>62.58</v>
      </c>
      <c r="X571" t="s">
        <v>3121</v>
      </c>
      <c r="Y571" t="s">
        <v>4269</v>
      </c>
      <c r="Z571">
        <v>1.13</v>
      </c>
      <c r="AA571">
        <v>108</v>
      </c>
      <c r="AB571">
        <v>9</v>
      </c>
      <c r="AC571">
        <v>3.38</v>
      </c>
      <c r="AD571" t="s">
        <v>4458</v>
      </c>
      <c r="AE571" t="s">
        <v>4459</v>
      </c>
      <c r="AF571" t="s">
        <v>4460</v>
      </c>
      <c r="AG571" t="s">
        <v>4461</v>
      </c>
      <c r="AH571">
        <v>0.94</v>
      </c>
      <c r="AI571">
        <v>-2.18</v>
      </c>
      <c r="AJ571">
        <v>5.81</v>
      </c>
      <c r="AK571">
        <v>9.43</v>
      </c>
      <c r="AL571">
        <v>1</v>
      </c>
      <c r="AM571">
        <v>3.01</v>
      </c>
      <c r="AN571">
        <v>-25.37</v>
      </c>
      <c r="AO571">
        <v>-6.13</v>
      </c>
      <c r="AP571">
        <v>-19.59</v>
      </c>
    </row>
    <row r="572" spans="1:42">
      <c r="A572">
        <v>571</v>
      </c>
      <c r="B572" t="str">
        <f>"002921"</f>
        <v>002921</v>
      </c>
      <c r="C572" t="s">
        <v>4462</v>
      </c>
      <c r="D572">
        <v>17.58</v>
      </c>
      <c r="E572">
        <v>-1.68</v>
      </c>
      <c r="F572">
        <v>-0.3</v>
      </c>
      <c r="G572" t="s">
        <v>859</v>
      </c>
      <c r="H572">
        <v>1909</v>
      </c>
      <c r="I572">
        <v>17.57</v>
      </c>
      <c r="J572">
        <v>17.58</v>
      </c>
      <c r="K572" t="s">
        <v>4450</v>
      </c>
      <c r="L572">
        <v>16.43</v>
      </c>
      <c r="M572" t="s">
        <v>46</v>
      </c>
      <c r="N572" t="s">
        <v>4463</v>
      </c>
      <c r="O572">
        <v>18.34</v>
      </c>
      <c r="P572">
        <v>17.3</v>
      </c>
      <c r="Q572">
        <v>17.75</v>
      </c>
      <c r="R572">
        <v>17.88</v>
      </c>
      <c r="S572">
        <v>5.82</v>
      </c>
      <c r="T572">
        <v>2.23</v>
      </c>
      <c r="U572">
        <v>51.62</v>
      </c>
      <c r="V572">
        <v>286</v>
      </c>
      <c r="W572">
        <v>17.7</v>
      </c>
      <c r="X572" t="s">
        <v>1512</v>
      </c>
      <c r="Y572" t="s">
        <v>4464</v>
      </c>
      <c r="Z572">
        <v>1.17</v>
      </c>
      <c r="AA572">
        <v>15</v>
      </c>
      <c r="AB572">
        <v>6</v>
      </c>
      <c r="AC572">
        <v>2.08</v>
      </c>
      <c r="AD572" t="s">
        <v>4465</v>
      </c>
      <c r="AE572" t="s">
        <v>2933</v>
      </c>
      <c r="AF572" t="s">
        <v>4466</v>
      </c>
      <c r="AG572" t="s">
        <v>3615</v>
      </c>
      <c r="AH572">
        <v>3.05</v>
      </c>
      <c r="AI572">
        <v>5.33</v>
      </c>
      <c r="AJ572">
        <v>40.93</v>
      </c>
      <c r="AK572">
        <v>53.25</v>
      </c>
      <c r="AL572">
        <v>-1</v>
      </c>
      <c r="AM572">
        <v>-1.68</v>
      </c>
      <c r="AN572">
        <v>38.1</v>
      </c>
      <c r="AO572">
        <v>4.15</v>
      </c>
      <c r="AP572">
        <v>25.48</v>
      </c>
    </row>
    <row r="573" spans="1:42">
      <c r="A573">
        <v>572</v>
      </c>
      <c r="B573" t="str">
        <f>"002696"</f>
        <v>002696</v>
      </c>
      <c r="C573" t="s">
        <v>4467</v>
      </c>
      <c r="D573">
        <v>6.88</v>
      </c>
      <c r="E573">
        <v>0</v>
      </c>
      <c r="F573">
        <v>0</v>
      </c>
      <c r="G573" t="s">
        <v>1107</v>
      </c>
      <c r="H573">
        <v>4034</v>
      </c>
      <c r="I573">
        <v>6.88</v>
      </c>
      <c r="J573">
        <v>6.89</v>
      </c>
      <c r="K573" t="s">
        <v>4468</v>
      </c>
      <c r="L573">
        <v>13.52</v>
      </c>
      <c r="M573" t="s">
        <v>46</v>
      </c>
      <c r="N573" t="s">
        <v>4469</v>
      </c>
      <c r="O573">
        <v>7.09</v>
      </c>
      <c r="P573">
        <v>6.73</v>
      </c>
      <c r="Q573">
        <v>6.79</v>
      </c>
      <c r="R573">
        <v>6.88</v>
      </c>
      <c r="S573">
        <v>5.23</v>
      </c>
      <c r="T573">
        <v>2.44</v>
      </c>
      <c r="U573">
        <v>32.91</v>
      </c>
      <c r="V573">
        <v>1861</v>
      </c>
      <c r="W573">
        <v>6.94</v>
      </c>
      <c r="X573" t="s">
        <v>1934</v>
      </c>
      <c r="Y573" t="s">
        <v>351</v>
      </c>
      <c r="Z573">
        <v>0.99</v>
      </c>
      <c r="AA573">
        <v>781</v>
      </c>
      <c r="AB573">
        <v>770</v>
      </c>
      <c r="AC573">
        <v>1.66</v>
      </c>
      <c r="AD573" t="s">
        <v>4470</v>
      </c>
      <c r="AE573" t="s">
        <v>4471</v>
      </c>
      <c r="AF573" t="s">
        <v>4472</v>
      </c>
      <c r="AG573" t="s">
        <v>4473</v>
      </c>
      <c r="AH573">
        <v>5.52</v>
      </c>
      <c r="AI573">
        <v>6.01</v>
      </c>
      <c r="AJ573">
        <v>31.22</v>
      </c>
      <c r="AK573">
        <v>41.23</v>
      </c>
      <c r="AL573">
        <v>0</v>
      </c>
      <c r="AM573">
        <v>0</v>
      </c>
      <c r="AN573">
        <v>-8.63</v>
      </c>
      <c r="AO573">
        <v>9.73</v>
      </c>
      <c r="AP573">
        <v>4.88</v>
      </c>
    </row>
    <row r="574" spans="1:42">
      <c r="A574">
        <v>573</v>
      </c>
      <c r="B574" t="str">
        <f>"300476"</f>
        <v>300476</v>
      </c>
      <c r="C574" t="s">
        <v>4474</v>
      </c>
      <c r="D574">
        <v>19.69</v>
      </c>
      <c r="E574">
        <v>2.23</v>
      </c>
      <c r="F574">
        <v>0.43</v>
      </c>
      <c r="G574" t="s">
        <v>2047</v>
      </c>
      <c r="H574">
        <v>1686</v>
      </c>
      <c r="I574">
        <v>19.69</v>
      </c>
      <c r="J574">
        <v>19.7</v>
      </c>
      <c r="K574" t="s">
        <v>4468</v>
      </c>
      <c r="L574">
        <v>1.93</v>
      </c>
      <c r="M574" t="s">
        <v>46</v>
      </c>
      <c r="N574" t="s">
        <v>4475</v>
      </c>
      <c r="O574">
        <v>19.85</v>
      </c>
      <c r="P574">
        <v>19.14</v>
      </c>
      <c r="Q574">
        <v>19.26</v>
      </c>
      <c r="R574">
        <v>19.26</v>
      </c>
      <c r="S574">
        <v>3.69</v>
      </c>
      <c r="T574">
        <v>1.01</v>
      </c>
      <c r="U574">
        <v>28.48</v>
      </c>
      <c r="V574">
        <v>782</v>
      </c>
      <c r="W574">
        <v>19.5</v>
      </c>
      <c r="X574" t="s">
        <v>3201</v>
      </c>
      <c r="Y574" t="s">
        <v>4476</v>
      </c>
      <c r="Z574">
        <v>0.86</v>
      </c>
      <c r="AA574">
        <v>475</v>
      </c>
      <c r="AB574">
        <v>287</v>
      </c>
      <c r="AC574">
        <v>2.29</v>
      </c>
      <c r="AD574" t="s">
        <v>4477</v>
      </c>
      <c r="AE574" t="s">
        <v>4478</v>
      </c>
      <c r="AF574" t="s">
        <v>4479</v>
      </c>
      <c r="AG574" t="s">
        <v>1424</v>
      </c>
      <c r="AH574">
        <v>1.44</v>
      </c>
      <c r="AI574">
        <v>-2.52</v>
      </c>
      <c r="AJ574">
        <v>5.06</v>
      </c>
      <c r="AK574">
        <v>11.52</v>
      </c>
      <c r="AL574">
        <v>1</v>
      </c>
      <c r="AM574">
        <v>2.23</v>
      </c>
      <c r="AN574">
        <v>54.43</v>
      </c>
      <c r="AO574">
        <v>-1.1</v>
      </c>
      <c r="AP574">
        <v>34.96</v>
      </c>
    </row>
    <row r="575" spans="1:42">
      <c r="A575">
        <v>574</v>
      </c>
      <c r="B575" t="str">
        <f>"601111"</f>
        <v>601111</v>
      </c>
      <c r="C575" t="s">
        <v>4480</v>
      </c>
      <c r="D575">
        <v>7.92</v>
      </c>
      <c r="E575">
        <v>-1.86</v>
      </c>
      <c r="F575">
        <v>-0.15</v>
      </c>
      <c r="G575" t="s">
        <v>1056</v>
      </c>
      <c r="H575">
        <v>3917</v>
      </c>
      <c r="I575">
        <v>7.91</v>
      </c>
      <c r="J575">
        <v>7.92</v>
      </c>
      <c r="K575" t="s">
        <v>4468</v>
      </c>
      <c r="L575">
        <v>0.37</v>
      </c>
      <c r="M575" t="s">
        <v>46</v>
      </c>
      <c r="N575" t="s">
        <v>4481</v>
      </c>
      <c r="O575">
        <v>8.11</v>
      </c>
      <c r="P575">
        <v>7.88</v>
      </c>
      <c r="Q575">
        <v>8.07</v>
      </c>
      <c r="R575">
        <v>8.07</v>
      </c>
      <c r="S575">
        <v>2.85</v>
      </c>
      <c r="T575">
        <v>1.27</v>
      </c>
      <c r="U575">
        <v>2.59</v>
      </c>
      <c r="V575">
        <v>624</v>
      </c>
      <c r="W575">
        <v>7.95</v>
      </c>
      <c r="X575" t="s">
        <v>2408</v>
      </c>
      <c r="Y575" t="s">
        <v>561</v>
      </c>
      <c r="Z575">
        <v>1.52</v>
      </c>
      <c r="AA575">
        <v>1340</v>
      </c>
      <c r="AB575">
        <v>2420</v>
      </c>
      <c r="AC575">
        <v>3.28</v>
      </c>
      <c r="AD575" t="s">
        <v>4482</v>
      </c>
      <c r="AE575" t="s">
        <v>3698</v>
      </c>
      <c r="AF575" t="s">
        <v>4185</v>
      </c>
      <c r="AG575" t="s">
        <v>4483</v>
      </c>
      <c r="AH575">
        <v>-2.22</v>
      </c>
      <c r="AI575">
        <v>-3.41</v>
      </c>
      <c r="AJ575">
        <v>0.81</v>
      </c>
      <c r="AK575">
        <v>1.82</v>
      </c>
      <c r="AL575">
        <v>-1</v>
      </c>
      <c r="AM575">
        <v>-1.86</v>
      </c>
      <c r="AN575">
        <v>-25.28</v>
      </c>
      <c r="AO575">
        <v>1.02</v>
      </c>
      <c r="AP575">
        <v>-15.74</v>
      </c>
    </row>
    <row r="576" spans="1:42">
      <c r="A576">
        <v>575</v>
      </c>
      <c r="B576" t="str">
        <f>"600327"</f>
        <v>600327</v>
      </c>
      <c r="C576" t="s">
        <v>4484</v>
      </c>
      <c r="D576">
        <v>5.7</v>
      </c>
      <c r="E576">
        <v>-2.9</v>
      </c>
      <c r="F576">
        <v>-0.17</v>
      </c>
      <c r="G576" t="s">
        <v>2867</v>
      </c>
      <c r="H576">
        <v>5122</v>
      </c>
      <c r="I576">
        <v>5.7</v>
      </c>
      <c r="J576">
        <v>5.71</v>
      </c>
      <c r="K576" t="s">
        <v>4468</v>
      </c>
      <c r="L576">
        <v>6.3</v>
      </c>
      <c r="M576" t="s">
        <v>46</v>
      </c>
      <c r="N576" t="s">
        <v>3721</v>
      </c>
      <c r="O576">
        <v>5.99</v>
      </c>
      <c r="P576">
        <v>5.65</v>
      </c>
      <c r="Q576">
        <v>5.81</v>
      </c>
      <c r="R576">
        <v>5.87</v>
      </c>
      <c r="S576">
        <v>5.79</v>
      </c>
      <c r="T576">
        <v>0.61</v>
      </c>
      <c r="U576">
        <v>44.19</v>
      </c>
      <c r="V576">
        <v>5933</v>
      </c>
      <c r="W576">
        <v>5.77</v>
      </c>
      <c r="X576" t="s">
        <v>622</v>
      </c>
      <c r="Y576" t="s">
        <v>1447</v>
      </c>
      <c r="Z576">
        <v>1.52</v>
      </c>
      <c r="AA576">
        <v>3241</v>
      </c>
      <c r="AB576">
        <v>1961</v>
      </c>
      <c r="AC576">
        <v>1.56</v>
      </c>
      <c r="AD576" t="s">
        <v>4485</v>
      </c>
      <c r="AE576" t="s">
        <v>4486</v>
      </c>
      <c r="AF576" t="s">
        <v>4485</v>
      </c>
      <c r="AG576" t="s">
        <v>4486</v>
      </c>
      <c r="AH576">
        <v>-4.04</v>
      </c>
      <c r="AI576">
        <v>7.34</v>
      </c>
      <c r="AJ576">
        <v>22.78</v>
      </c>
      <c r="AK576">
        <v>57.6</v>
      </c>
      <c r="AL576">
        <v>-1</v>
      </c>
      <c r="AM576">
        <v>-2.9</v>
      </c>
      <c r="AN576">
        <v>18.26</v>
      </c>
      <c r="AO576">
        <v>19.25</v>
      </c>
      <c r="AP576">
        <v>25</v>
      </c>
    </row>
    <row r="577" spans="1:42">
      <c r="A577">
        <v>576</v>
      </c>
      <c r="B577" t="str">
        <f>"300017"</f>
        <v>300017</v>
      </c>
      <c r="C577" t="s">
        <v>4487</v>
      </c>
      <c r="D577">
        <v>7.15</v>
      </c>
      <c r="E577">
        <v>3.32</v>
      </c>
      <c r="F577">
        <v>0.23</v>
      </c>
      <c r="G577" t="s">
        <v>4488</v>
      </c>
      <c r="H577">
        <v>8740</v>
      </c>
      <c r="I577">
        <v>7.14</v>
      </c>
      <c r="J577">
        <v>7.15</v>
      </c>
      <c r="K577" t="s">
        <v>4489</v>
      </c>
      <c r="L577">
        <v>2</v>
      </c>
      <c r="M577" t="s">
        <v>46</v>
      </c>
      <c r="N577" t="s">
        <v>4490</v>
      </c>
      <c r="O577">
        <v>7.18</v>
      </c>
      <c r="P577">
        <v>6.9</v>
      </c>
      <c r="Q577">
        <v>6.92</v>
      </c>
      <c r="R577">
        <v>6.92</v>
      </c>
      <c r="S577">
        <v>4.05</v>
      </c>
      <c r="T577">
        <v>1.28</v>
      </c>
      <c r="U577">
        <v>-39.9</v>
      </c>
      <c r="V577" t="s">
        <v>4491</v>
      </c>
      <c r="W577">
        <v>7.07</v>
      </c>
      <c r="X577" t="s">
        <v>172</v>
      </c>
      <c r="Y577" t="s">
        <v>165</v>
      </c>
      <c r="Z577">
        <v>0.6</v>
      </c>
      <c r="AA577">
        <v>2041</v>
      </c>
      <c r="AB577">
        <v>330</v>
      </c>
      <c r="AC577">
        <v>1.86</v>
      </c>
      <c r="AD577" t="s">
        <v>4492</v>
      </c>
      <c r="AE577" t="s">
        <v>4493</v>
      </c>
      <c r="AF577" t="s">
        <v>4494</v>
      </c>
      <c r="AG577" t="s">
        <v>3697</v>
      </c>
      <c r="AH577">
        <v>1.85</v>
      </c>
      <c r="AI577">
        <v>-1.65</v>
      </c>
      <c r="AJ577">
        <v>4.92</v>
      </c>
      <c r="AK577">
        <v>9.83</v>
      </c>
      <c r="AL577">
        <v>1</v>
      </c>
      <c r="AM577">
        <v>3.32</v>
      </c>
      <c r="AN577">
        <v>29.29</v>
      </c>
      <c r="AO577">
        <v>3.32</v>
      </c>
      <c r="AP577">
        <v>28.6</v>
      </c>
    </row>
    <row r="578" spans="1:42">
      <c r="A578">
        <v>577</v>
      </c>
      <c r="B578" t="str">
        <f>"600148"</f>
        <v>600148</v>
      </c>
      <c r="C578" t="s">
        <v>4495</v>
      </c>
      <c r="D578">
        <v>20.11</v>
      </c>
      <c r="E578">
        <v>-5.28</v>
      </c>
      <c r="F578">
        <v>-1.12</v>
      </c>
      <c r="G578" t="s">
        <v>571</v>
      </c>
      <c r="H578">
        <v>2760</v>
      </c>
      <c r="I578">
        <v>20.11</v>
      </c>
      <c r="J578">
        <v>20.12</v>
      </c>
      <c r="K578" t="s">
        <v>4489</v>
      </c>
      <c r="L578">
        <v>11.31</v>
      </c>
      <c r="M578" t="s">
        <v>46</v>
      </c>
      <c r="N578" t="s">
        <v>4496</v>
      </c>
      <c r="O578">
        <v>20.8</v>
      </c>
      <c r="P578">
        <v>19.65</v>
      </c>
      <c r="Q578">
        <v>20.62</v>
      </c>
      <c r="R578">
        <v>21.23</v>
      </c>
      <c r="S578">
        <v>5.42</v>
      </c>
      <c r="T578">
        <v>0.74</v>
      </c>
      <c r="U578">
        <v>64.28</v>
      </c>
      <c r="V578">
        <v>619</v>
      </c>
      <c r="W578">
        <v>20.07</v>
      </c>
      <c r="X578" t="s">
        <v>4497</v>
      </c>
      <c r="Y578" t="s">
        <v>2674</v>
      </c>
      <c r="Z578">
        <v>1.34</v>
      </c>
      <c r="AA578">
        <v>206</v>
      </c>
      <c r="AB578">
        <v>27</v>
      </c>
      <c r="AC578">
        <v>6.22</v>
      </c>
      <c r="AD578" t="s">
        <v>4498</v>
      </c>
      <c r="AE578" t="s">
        <v>4499</v>
      </c>
      <c r="AF578" t="s">
        <v>4498</v>
      </c>
      <c r="AG578" t="s">
        <v>4499</v>
      </c>
      <c r="AH578">
        <v>1.87</v>
      </c>
      <c r="AI578">
        <v>9</v>
      </c>
      <c r="AJ578">
        <v>44.76</v>
      </c>
      <c r="AK578">
        <v>87.62</v>
      </c>
      <c r="AL578">
        <v>-2</v>
      </c>
      <c r="AM578">
        <v>-5.28</v>
      </c>
      <c r="AN578">
        <v>48.09</v>
      </c>
      <c r="AO578">
        <v>21.73</v>
      </c>
      <c r="AP578">
        <v>41.82</v>
      </c>
    </row>
    <row r="579" spans="1:42">
      <c r="A579">
        <v>578</v>
      </c>
      <c r="B579" t="str">
        <f>"300342"</f>
        <v>300342</v>
      </c>
      <c r="C579" t="s">
        <v>4500</v>
      </c>
      <c r="D579">
        <v>15.86</v>
      </c>
      <c r="E579">
        <v>2.12</v>
      </c>
      <c r="F579">
        <v>0.33</v>
      </c>
      <c r="G579" t="s">
        <v>1925</v>
      </c>
      <c r="H579">
        <v>3733</v>
      </c>
      <c r="I579">
        <v>15.85</v>
      </c>
      <c r="J579">
        <v>15.86</v>
      </c>
      <c r="K579" t="s">
        <v>4501</v>
      </c>
      <c r="L579">
        <v>4.88</v>
      </c>
      <c r="M579" t="s">
        <v>46</v>
      </c>
      <c r="N579" t="s">
        <v>1916</v>
      </c>
      <c r="O579">
        <v>15.92</v>
      </c>
      <c r="P579">
        <v>15.39</v>
      </c>
      <c r="Q579">
        <v>15.59</v>
      </c>
      <c r="R579">
        <v>15.53</v>
      </c>
      <c r="S579">
        <v>3.41</v>
      </c>
      <c r="T579">
        <v>0.97</v>
      </c>
      <c r="U579">
        <v>-38.87</v>
      </c>
      <c r="V579">
        <v>-1928</v>
      </c>
      <c r="W579">
        <v>15.74</v>
      </c>
      <c r="X579" t="s">
        <v>4502</v>
      </c>
      <c r="Y579" t="s">
        <v>829</v>
      </c>
      <c r="Z579">
        <v>0.83</v>
      </c>
      <c r="AA579">
        <v>869</v>
      </c>
      <c r="AB579">
        <v>183</v>
      </c>
      <c r="AC579">
        <v>4.4</v>
      </c>
      <c r="AD579" t="s">
        <v>4503</v>
      </c>
      <c r="AE579" t="s">
        <v>4504</v>
      </c>
      <c r="AF579" t="s">
        <v>4505</v>
      </c>
      <c r="AG579" t="s">
        <v>4506</v>
      </c>
      <c r="AH579">
        <v>0.19</v>
      </c>
      <c r="AI579">
        <v>-1.61</v>
      </c>
      <c r="AJ579">
        <v>15.38</v>
      </c>
      <c r="AK579">
        <v>30.18</v>
      </c>
      <c r="AL579">
        <v>1</v>
      </c>
      <c r="AM579">
        <v>2.12</v>
      </c>
      <c r="AN579">
        <v>105.17</v>
      </c>
      <c r="AO579">
        <v>-6.04</v>
      </c>
      <c r="AP579">
        <v>83.56</v>
      </c>
    </row>
    <row r="580" spans="1:42">
      <c r="A580">
        <v>579</v>
      </c>
      <c r="B580" t="str">
        <f>"300832"</f>
        <v>300832</v>
      </c>
      <c r="C580" t="s">
        <v>4507</v>
      </c>
      <c r="D580">
        <v>72.61</v>
      </c>
      <c r="E580">
        <v>3.34</v>
      </c>
      <c r="F580">
        <v>2.35</v>
      </c>
      <c r="G580" t="s">
        <v>2559</v>
      </c>
      <c r="H580">
        <v>877</v>
      </c>
      <c r="I580">
        <v>72.61</v>
      </c>
      <c r="J580">
        <v>72.62</v>
      </c>
      <c r="K580" t="s">
        <v>4501</v>
      </c>
      <c r="L580">
        <v>0.64</v>
      </c>
      <c r="M580" t="s">
        <v>46</v>
      </c>
      <c r="N580" t="s">
        <v>4508</v>
      </c>
      <c r="O580">
        <v>72.67</v>
      </c>
      <c r="P580">
        <v>69.81</v>
      </c>
      <c r="Q580">
        <v>70.23</v>
      </c>
      <c r="R580">
        <v>70.26</v>
      </c>
      <c r="S580">
        <v>4.07</v>
      </c>
      <c r="T580">
        <v>1.37</v>
      </c>
      <c r="U580">
        <v>1.1</v>
      </c>
      <c r="V580">
        <v>1</v>
      </c>
      <c r="W580">
        <v>71.64</v>
      </c>
      <c r="X580" t="s">
        <v>4509</v>
      </c>
      <c r="Y580" t="s">
        <v>4509</v>
      </c>
      <c r="Z580">
        <v>1</v>
      </c>
      <c r="AA580">
        <v>12</v>
      </c>
      <c r="AB580">
        <v>5</v>
      </c>
      <c r="AC580">
        <v>8.03</v>
      </c>
      <c r="AD580" t="s">
        <v>4510</v>
      </c>
      <c r="AE580" t="s">
        <v>4511</v>
      </c>
      <c r="AF580" t="s">
        <v>4512</v>
      </c>
      <c r="AG580" t="s">
        <v>4513</v>
      </c>
      <c r="AH580">
        <v>3.82</v>
      </c>
      <c r="AI580">
        <v>5.97</v>
      </c>
      <c r="AJ580">
        <v>1.36</v>
      </c>
      <c r="AK580">
        <v>2.97</v>
      </c>
      <c r="AL580">
        <v>2</v>
      </c>
      <c r="AM580">
        <v>3.34</v>
      </c>
      <c r="AN580">
        <v>46.86</v>
      </c>
      <c r="AO580">
        <v>8.97</v>
      </c>
      <c r="AP580">
        <v>48.21</v>
      </c>
    </row>
    <row r="581" spans="1:42">
      <c r="A581">
        <v>580</v>
      </c>
      <c r="B581" t="str">
        <f>"300482"</f>
        <v>300482</v>
      </c>
      <c r="C581" t="s">
        <v>4514</v>
      </c>
      <c r="D581">
        <v>31.46</v>
      </c>
      <c r="E581">
        <v>3.18</v>
      </c>
      <c r="F581">
        <v>0.97</v>
      </c>
      <c r="G581" t="s">
        <v>1499</v>
      </c>
      <c r="H581">
        <v>1209</v>
      </c>
      <c r="I581">
        <v>31.45</v>
      </c>
      <c r="J581">
        <v>31.46</v>
      </c>
      <c r="K581" t="s">
        <v>4515</v>
      </c>
      <c r="L581">
        <v>3.08</v>
      </c>
      <c r="M581" t="s">
        <v>46</v>
      </c>
      <c r="N581" t="s">
        <v>4516</v>
      </c>
      <c r="O581">
        <v>31.61</v>
      </c>
      <c r="P581">
        <v>30.46</v>
      </c>
      <c r="Q581">
        <v>30.46</v>
      </c>
      <c r="R581">
        <v>30.49</v>
      </c>
      <c r="S581">
        <v>3.77</v>
      </c>
      <c r="T581">
        <v>0.74</v>
      </c>
      <c r="U581">
        <v>-23.37</v>
      </c>
      <c r="V581">
        <v>-161</v>
      </c>
      <c r="W581">
        <v>31.18</v>
      </c>
      <c r="X581" t="s">
        <v>3149</v>
      </c>
      <c r="Y581" t="s">
        <v>4517</v>
      </c>
      <c r="Z581">
        <v>0.67</v>
      </c>
      <c r="AA581">
        <v>207</v>
      </c>
      <c r="AB581">
        <v>8</v>
      </c>
      <c r="AC581">
        <v>3.16</v>
      </c>
      <c r="AD581" t="s">
        <v>4518</v>
      </c>
      <c r="AE581" t="s">
        <v>4519</v>
      </c>
      <c r="AF581" t="s">
        <v>4520</v>
      </c>
      <c r="AG581" t="s">
        <v>4521</v>
      </c>
      <c r="AH581">
        <v>0.64</v>
      </c>
      <c r="AI581">
        <v>5.01</v>
      </c>
      <c r="AJ581">
        <v>9.41</v>
      </c>
      <c r="AK581">
        <v>23.96</v>
      </c>
      <c r="AL581">
        <v>1</v>
      </c>
      <c r="AM581">
        <v>3.18</v>
      </c>
      <c r="AN581">
        <v>0.29</v>
      </c>
      <c r="AO581">
        <v>21.37</v>
      </c>
      <c r="AP581">
        <v>-22.13</v>
      </c>
    </row>
    <row r="582" spans="1:42">
      <c r="A582">
        <v>581</v>
      </c>
      <c r="B582" t="str">
        <f>"601162"</f>
        <v>601162</v>
      </c>
      <c r="C582" t="s">
        <v>4522</v>
      </c>
      <c r="D582">
        <v>3.22</v>
      </c>
      <c r="E582">
        <v>0.94</v>
      </c>
      <c r="F582">
        <v>0.03</v>
      </c>
      <c r="G582" t="s">
        <v>4523</v>
      </c>
      <c r="H582" t="s">
        <v>617</v>
      </c>
      <c r="I582">
        <v>3.21</v>
      </c>
      <c r="J582">
        <v>3.22</v>
      </c>
      <c r="K582" t="s">
        <v>4515</v>
      </c>
      <c r="L582">
        <v>1.15</v>
      </c>
      <c r="M582" t="s">
        <v>46</v>
      </c>
      <c r="N582" t="s">
        <v>4524</v>
      </c>
      <c r="O582">
        <v>3.22</v>
      </c>
      <c r="P582">
        <v>3.17</v>
      </c>
      <c r="Q582">
        <v>3.18</v>
      </c>
      <c r="R582">
        <v>3.19</v>
      </c>
      <c r="S582">
        <v>1.57</v>
      </c>
      <c r="T582">
        <v>0.96</v>
      </c>
      <c r="U582">
        <v>5.02</v>
      </c>
      <c r="V582" t="s">
        <v>4525</v>
      </c>
      <c r="W582">
        <v>3.2</v>
      </c>
      <c r="X582" t="s">
        <v>505</v>
      </c>
      <c r="Y582" t="s">
        <v>4526</v>
      </c>
      <c r="Z582">
        <v>0.74</v>
      </c>
      <c r="AA582" t="s">
        <v>1255</v>
      </c>
      <c r="AB582" t="s">
        <v>4527</v>
      </c>
      <c r="AC582">
        <v>1.17</v>
      </c>
      <c r="AD582" t="s">
        <v>501</v>
      </c>
      <c r="AE582" t="s">
        <v>4528</v>
      </c>
      <c r="AF582" t="s">
        <v>501</v>
      </c>
      <c r="AG582" t="s">
        <v>4528</v>
      </c>
      <c r="AH582">
        <v>0.31</v>
      </c>
      <c r="AI582">
        <v>-2.42</v>
      </c>
      <c r="AJ582">
        <v>3.61</v>
      </c>
      <c r="AK582">
        <v>7.13</v>
      </c>
      <c r="AL582">
        <v>2</v>
      </c>
      <c r="AM582">
        <v>0.94</v>
      </c>
      <c r="AN582">
        <v>12.2</v>
      </c>
      <c r="AO582">
        <v>0.94</v>
      </c>
      <c r="AP582">
        <v>7.33</v>
      </c>
    </row>
    <row r="583" spans="1:42">
      <c r="A583">
        <v>582</v>
      </c>
      <c r="B583" t="str">
        <f>"688609"</f>
        <v>688609</v>
      </c>
      <c r="C583" t="s">
        <v>4529</v>
      </c>
      <c r="D583">
        <v>12.12</v>
      </c>
      <c r="E583">
        <v>3.5</v>
      </c>
      <c r="F583">
        <v>0.41</v>
      </c>
      <c r="G583" t="s">
        <v>1015</v>
      </c>
      <c r="H583">
        <v>3668</v>
      </c>
      <c r="I583">
        <v>12.12</v>
      </c>
      <c r="J583">
        <v>12.13</v>
      </c>
      <c r="K583" t="s">
        <v>4530</v>
      </c>
      <c r="L583">
        <v>8.03</v>
      </c>
      <c r="M583" t="s">
        <v>46</v>
      </c>
      <c r="N583" t="s">
        <v>4531</v>
      </c>
      <c r="O583">
        <v>12.26</v>
      </c>
      <c r="P583">
        <v>11.6</v>
      </c>
      <c r="Q583">
        <v>11.78</v>
      </c>
      <c r="R583">
        <v>11.71</v>
      </c>
      <c r="S583">
        <v>5.64</v>
      </c>
      <c r="T583">
        <v>0.84</v>
      </c>
      <c r="U583">
        <v>13.5</v>
      </c>
      <c r="V583">
        <v>451</v>
      </c>
      <c r="W583">
        <v>12.02</v>
      </c>
      <c r="X583" t="s">
        <v>422</v>
      </c>
      <c r="Y583" t="s">
        <v>3385</v>
      </c>
      <c r="Z583">
        <v>0.87</v>
      </c>
      <c r="AA583">
        <v>75</v>
      </c>
      <c r="AB583">
        <v>252</v>
      </c>
      <c r="AC583">
        <v>5.44</v>
      </c>
      <c r="AD583" t="s">
        <v>4532</v>
      </c>
      <c r="AE583" t="s">
        <v>4533</v>
      </c>
      <c r="AF583" t="s">
        <v>4534</v>
      </c>
      <c r="AG583" t="s">
        <v>4535</v>
      </c>
      <c r="AH583">
        <v>-2.65</v>
      </c>
      <c r="AI583">
        <v>-2.73</v>
      </c>
      <c r="AJ583">
        <v>25.95</v>
      </c>
      <c r="AK583">
        <v>56.15</v>
      </c>
      <c r="AL583">
        <v>1</v>
      </c>
      <c r="AM583">
        <v>3.5</v>
      </c>
      <c r="AN583">
        <v>85.04</v>
      </c>
      <c r="AO583">
        <v>32.46</v>
      </c>
      <c r="AP583">
        <v>60.11</v>
      </c>
    </row>
    <row r="584" spans="1:42">
      <c r="A584">
        <v>583</v>
      </c>
      <c r="B584" t="str">
        <f>"688599"</f>
        <v>688599</v>
      </c>
      <c r="C584" t="s">
        <v>4536</v>
      </c>
      <c r="D584">
        <v>26.77</v>
      </c>
      <c r="E584">
        <v>-0.7</v>
      </c>
      <c r="F584">
        <v>-0.19</v>
      </c>
      <c r="G584" t="s">
        <v>1908</v>
      </c>
      <c r="H584">
        <v>1034</v>
      </c>
      <c r="I584">
        <v>26.76</v>
      </c>
      <c r="J584">
        <v>26.77</v>
      </c>
      <c r="K584" t="s">
        <v>3101</v>
      </c>
      <c r="L584">
        <v>0.55</v>
      </c>
      <c r="M584" t="s">
        <v>46</v>
      </c>
      <c r="N584" t="s">
        <v>4537</v>
      </c>
      <c r="O584">
        <v>26.97</v>
      </c>
      <c r="P584">
        <v>26.5</v>
      </c>
      <c r="Q584">
        <v>26.92</v>
      </c>
      <c r="R584">
        <v>26.96</v>
      </c>
      <c r="S584">
        <v>1.74</v>
      </c>
      <c r="T584">
        <v>0.9</v>
      </c>
      <c r="U584">
        <v>66.37</v>
      </c>
      <c r="V584">
        <v>222</v>
      </c>
      <c r="W584">
        <v>26.74</v>
      </c>
      <c r="X584" t="s">
        <v>3365</v>
      </c>
      <c r="Y584" t="s">
        <v>296</v>
      </c>
      <c r="Z584">
        <v>1.1</v>
      </c>
      <c r="AA584">
        <v>188</v>
      </c>
      <c r="AB584">
        <v>13</v>
      </c>
      <c r="AC584">
        <v>1.89</v>
      </c>
      <c r="AD584" t="s">
        <v>4538</v>
      </c>
      <c r="AE584" t="s">
        <v>4539</v>
      </c>
      <c r="AF584" t="s">
        <v>4538</v>
      </c>
      <c r="AG584" t="s">
        <v>4539</v>
      </c>
      <c r="AH584">
        <v>-3.88</v>
      </c>
      <c r="AI584">
        <v>-9.53</v>
      </c>
      <c r="AJ584">
        <v>1.78</v>
      </c>
      <c r="AK584">
        <v>3.59</v>
      </c>
      <c r="AL584">
        <v>-3</v>
      </c>
      <c r="AM584">
        <v>-0.7</v>
      </c>
      <c r="AN584">
        <v>-57.7</v>
      </c>
      <c r="AO584">
        <v>-7.88</v>
      </c>
      <c r="AP584">
        <v>-57.82</v>
      </c>
    </row>
    <row r="585" spans="1:42">
      <c r="A585">
        <v>584</v>
      </c>
      <c r="B585" t="str">
        <f>"600546"</f>
        <v>600546</v>
      </c>
      <c r="C585" t="s">
        <v>4540</v>
      </c>
      <c r="D585">
        <v>18.42</v>
      </c>
      <c r="E585">
        <v>0.77</v>
      </c>
      <c r="F585">
        <v>0.14</v>
      </c>
      <c r="G585" t="s">
        <v>2915</v>
      </c>
      <c r="H585">
        <v>859</v>
      </c>
      <c r="I585">
        <v>18.42</v>
      </c>
      <c r="J585">
        <v>18.43</v>
      </c>
      <c r="K585" t="s">
        <v>3101</v>
      </c>
      <c r="L585">
        <v>0.87</v>
      </c>
      <c r="M585" t="s">
        <v>46</v>
      </c>
      <c r="N585" t="s">
        <v>4541</v>
      </c>
      <c r="O585">
        <v>18.58</v>
      </c>
      <c r="P585">
        <v>18.23</v>
      </c>
      <c r="Q585">
        <v>18.32</v>
      </c>
      <c r="R585">
        <v>18.28</v>
      </c>
      <c r="S585">
        <v>1.91</v>
      </c>
      <c r="T585">
        <v>0.56</v>
      </c>
      <c r="U585">
        <v>-46.5</v>
      </c>
      <c r="V585">
        <v>-1610</v>
      </c>
      <c r="W585">
        <v>18.46</v>
      </c>
      <c r="X585" t="s">
        <v>4542</v>
      </c>
      <c r="Y585" t="s">
        <v>1753</v>
      </c>
      <c r="Z585">
        <v>0.74</v>
      </c>
      <c r="AA585">
        <v>316</v>
      </c>
      <c r="AB585">
        <v>1350</v>
      </c>
      <c r="AC585">
        <v>2.34</v>
      </c>
      <c r="AD585" t="s">
        <v>4543</v>
      </c>
      <c r="AE585" t="s">
        <v>4544</v>
      </c>
      <c r="AF585" t="s">
        <v>4543</v>
      </c>
      <c r="AG585" t="s">
        <v>4544</v>
      </c>
      <c r="AH585">
        <v>0.93</v>
      </c>
      <c r="AI585">
        <v>5.08</v>
      </c>
      <c r="AJ585">
        <v>3.22</v>
      </c>
      <c r="AK585">
        <v>8.56</v>
      </c>
      <c r="AL585">
        <v>1</v>
      </c>
      <c r="AM585">
        <v>0.77</v>
      </c>
      <c r="AN585">
        <v>45.15</v>
      </c>
      <c r="AO585">
        <v>14.77</v>
      </c>
      <c r="AP585">
        <v>36.34</v>
      </c>
    </row>
    <row r="586" spans="1:42">
      <c r="A586">
        <v>585</v>
      </c>
      <c r="B586" t="str">
        <f>"002410"</f>
        <v>002410</v>
      </c>
      <c r="C586" t="s">
        <v>4545</v>
      </c>
      <c r="D586">
        <v>19.76</v>
      </c>
      <c r="E586">
        <v>0.87</v>
      </c>
      <c r="F586">
        <v>0.17</v>
      </c>
      <c r="G586" t="s">
        <v>561</v>
      </c>
      <c r="H586">
        <v>1360</v>
      </c>
      <c r="I586">
        <v>19.76</v>
      </c>
      <c r="J586">
        <v>19.77</v>
      </c>
      <c r="K586" t="s">
        <v>3101</v>
      </c>
      <c r="L586">
        <v>1.01</v>
      </c>
      <c r="M586" t="s">
        <v>46</v>
      </c>
      <c r="N586" t="s">
        <v>4546</v>
      </c>
      <c r="O586">
        <v>19.94</v>
      </c>
      <c r="P586">
        <v>19.37</v>
      </c>
      <c r="Q586">
        <v>19.58</v>
      </c>
      <c r="R586">
        <v>19.59</v>
      </c>
      <c r="S586">
        <v>2.91</v>
      </c>
      <c r="T586">
        <v>1.28</v>
      </c>
      <c r="U586">
        <v>54.17</v>
      </c>
      <c r="V586">
        <v>683</v>
      </c>
      <c r="W586">
        <v>19.63</v>
      </c>
      <c r="X586" t="s">
        <v>3750</v>
      </c>
      <c r="Y586" t="s">
        <v>4547</v>
      </c>
      <c r="Z586">
        <v>0.89</v>
      </c>
      <c r="AA586">
        <v>222</v>
      </c>
      <c r="AB586">
        <v>21</v>
      </c>
      <c r="AC586">
        <v>5.36</v>
      </c>
      <c r="AD586" t="s">
        <v>4548</v>
      </c>
      <c r="AE586" t="s">
        <v>4549</v>
      </c>
      <c r="AF586" t="s">
        <v>4550</v>
      </c>
      <c r="AG586" t="s">
        <v>4551</v>
      </c>
      <c r="AH586">
        <v>-2.08</v>
      </c>
      <c r="AI586">
        <v>-4.26</v>
      </c>
      <c r="AJ586">
        <v>2.4</v>
      </c>
      <c r="AK586">
        <v>5</v>
      </c>
      <c r="AL586">
        <v>1</v>
      </c>
      <c r="AM586">
        <v>0.87</v>
      </c>
      <c r="AN586">
        <v>-53.55</v>
      </c>
      <c r="AO586">
        <v>6.24</v>
      </c>
      <c r="AP586">
        <v>-46.94</v>
      </c>
    </row>
    <row r="587" spans="1:42">
      <c r="A587">
        <v>586</v>
      </c>
      <c r="B587" t="str">
        <f>"600989"</f>
        <v>600989</v>
      </c>
      <c r="C587" t="s">
        <v>4552</v>
      </c>
      <c r="D587">
        <v>14.18</v>
      </c>
      <c r="E587">
        <v>-3.34</v>
      </c>
      <c r="F587">
        <v>-0.49</v>
      </c>
      <c r="G587" t="s">
        <v>4553</v>
      </c>
      <c r="H587">
        <v>2385</v>
      </c>
      <c r="I587">
        <v>14.18</v>
      </c>
      <c r="J587">
        <v>14.2</v>
      </c>
      <c r="K587" t="s">
        <v>4554</v>
      </c>
      <c r="L587">
        <v>0.3</v>
      </c>
      <c r="M587" t="s">
        <v>46</v>
      </c>
      <c r="N587" t="s">
        <v>4047</v>
      </c>
      <c r="O587">
        <v>14.8</v>
      </c>
      <c r="P587">
        <v>14.18</v>
      </c>
      <c r="Q587">
        <v>14.68</v>
      </c>
      <c r="R587">
        <v>14.67</v>
      </c>
      <c r="S587">
        <v>4.23</v>
      </c>
      <c r="T587">
        <v>1.35</v>
      </c>
      <c r="U587">
        <v>57.32</v>
      </c>
      <c r="V587">
        <v>2721</v>
      </c>
      <c r="W587">
        <v>14.38</v>
      </c>
      <c r="X587" t="s">
        <v>960</v>
      </c>
      <c r="Y587" t="s">
        <v>4555</v>
      </c>
      <c r="Z587">
        <v>1.75</v>
      </c>
      <c r="AA587">
        <v>1476</v>
      </c>
      <c r="AB587">
        <v>7</v>
      </c>
      <c r="AC587">
        <v>2.83</v>
      </c>
      <c r="AD587" t="s">
        <v>4556</v>
      </c>
      <c r="AE587" t="s">
        <v>4557</v>
      </c>
      <c r="AF587" t="s">
        <v>4556</v>
      </c>
      <c r="AG587" t="s">
        <v>4557</v>
      </c>
      <c r="AH587">
        <v>-4.51</v>
      </c>
      <c r="AI587">
        <v>-2.88</v>
      </c>
      <c r="AJ587">
        <v>0.79</v>
      </c>
      <c r="AK587">
        <v>1.41</v>
      </c>
      <c r="AL587">
        <v>-3</v>
      </c>
      <c r="AM587">
        <v>-3.34</v>
      </c>
      <c r="AN587">
        <v>18.86</v>
      </c>
      <c r="AO587">
        <v>-1.05</v>
      </c>
      <c r="AP587">
        <v>14.72</v>
      </c>
    </row>
    <row r="588" spans="1:42">
      <c r="A588">
        <v>587</v>
      </c>
      <c r="B588" t="str">
        <f>"603353"</f>
        <v>603353</v>
      </c>
      <c r="C588" t="s">
        <v>4558</v>
      </c>
      <c r="D588">
        <v>35.89</v>
      </c>
      <c r="E588">
        <v>6.15</v>
      </c>
      <c r="F588">
        <v>2.08</v>
      </c>
      <c r="G588" t="s">
        <v>2335</v>
      </c>
      <c r="H588">
        <v>402</v>
      </c>
      <c r="I588">
        <v>35.89</v>
      </c>
      <c r="J588">
        <v>35.9</v>
      </c>
      <c r="K588" t="s">
        <v>4554</v>
      </c>
      <c r="L588">
        <v>5.08</v>
      </c>
      <c r="M588" t="s">
        <v>46</v>
      </c>
      <c r="N588" t="s">
        <v>2577</v>
      </c>
      <c r="O588">
        <v>36.8</v>
      </c>
      <c r="P588">
        <v>34.01</v>
      </c>
      <c r="Q588">
        <v>34.23</v>
      </c>
      <c r="R588">
        <v>33.81</v>
      </c>
      <c r="S588">
        <v>8.25</v>
      </c>
      <c r="T588">
        <v>1.17</v>
      </c>
      <c r="U588">
        <v>-73.61</v>
      </c>
      <c r="V588">
        <v>-171</v>
      </c>
      <c r="W588">
        <v>35.82</v>
      </c>
      <c r="X588" t="s">
        <v>2621</v>
      </c>
      <c r="Y588" t="s">
        <v>4559</v>
      </c>
      <c r="Z588">
        <v>0.91</v>
      </c>
      <c r="AA588">
        <v>1</v>
      </c>
      <c r="AB588">
        <v>95</v>
      </c>
      <c r="AC588">
        <v>3.66</v>
      </c>
      <c r="AD588" t="s">
        <v>4560</v>
      </c>
      <c r="AE588" t="s">
        <v>4561</v>
      </c>
      <c r="AF588" t="s">
        <v>4560</v>
      </c>
      <c r="AG588" t="s">
        <v>4561</v>
      </c>
      <c r="AH588">
        <v>2.54</v>
      </c>
      <c r="AI588">
        <v>8.43</v>
      </c>
      <c r="AJ588">
        <v>14.13</v>
      </c>
      <c r="AK588">
        <v>26.82</v>
      </c>
      <c r="AL588">
        <v>2</v>
      </c>
      <c r="AM588">
        <v>6.15</v>
      </c>
      <c r="AN588">
        <v>98.51</v>
      </c>
      <c r="AO588">
        <v>29.61</v>
      </c>
      <c r="AP588">
        <v>80.26</v>
      </c>
    </row>
    <row r="589" spans="1:42">
      <c r="A589">
        <v>588</v>
      </c>
      <c r="B589" t="str">
        <f>"601022"</f>
        <v>601022</v>
      </c>
      <c r="C589" t="s">
        <v>4562</v>
      </c>
      <c r="D589">
        <v>10.87</v>
      </c>
      <c r="E589">
        <v>2.16</v>
      </c>
      <c r="F589">
        <v>0.23</v>
      </c>
      <c r="G589" t="s">
        <v>2811</v>
      </c>
      <c r="H589">
        <v>4468</v>
      </c>
      <c r="I589">
        <v>10.87</v>
      </c>
      <c r="J589">
        <v>10.88</v>
      </c>
      <c r="K589" t="s">
        <v>4563</v>
      </c>
      <c r="L589">
        <v>22.35</v>
      </c>
      <c r="M589" t="s">
        <v>46</v>
      </c>
      <c r="N589" t="s">
        <v>4564</v>
      </c>
      <c r="O589">
        <v>11.03</v>
      </c>
      <c r="P589">
        <v>10.36</v>
      </c>
      <c r="Q589">
        <v>10.64</v>
      </c>
      <c r="R589">
        <v>10.64</v>
      </c>
      <c r="S589">
        <v>6.3</v>
      </c>
      <c r="T589">
        <v>1.95</v>
      </c>
      <c r="U589">
        <v>-26.92</v>
      </c>
      <c r="V589">
        <v>-1728</v>
      </c>
      <c r="W589">
        <v>10.78</v>
      </c>
      <c r="X589" t="s">
        <v>784</v>
      </c>
      <c r="Y589" t="s">
        <v>562</v>
      </c>
      <c r="Z589">
        <v>0.89</v>
      </c>
      <c r="AA589">
        <v>798</v>
      </c>
      <c r="AB589">
        <v>1309</v>
      </c>
      <c r="AC589">
        <v>2.67</v>
      </c>
      <c r="AD589" t="s">
        <v>2985</v>
      </c>
      <c r="AE589" t="s">
        <v>4565</v>
      </c>
      <c r="AF589" t="s">
        <v>4465</v>
      </c>
      <c r="AG589" t="s">
        <v>4566</v>
      </c>
      <c r="AH589">
        <v>4.32</v>
      </c>
      <c r="AI589">
        <v>0.93</v>
      </c>
      <c r="AJ589">
        <v>46.88</v>
      </c>
      <c r="AK589">
        <v>79.63</v>
      </c>
      <c r="AL589">
        <v>2</v>
      </c>
      <c r="AM589">
        <v>2.16</v>
      </c>
      <c r="AN589">
        <v>-18.58</v>
      </c>
      <c r="AO589">
        <v>21.32</v>
      </c>
      <c r="AP589">
        <v>34.7</v>
      </c>
    </row>
    <row r="590" spans="1:42">
      <c r="A590">
        <v>589</v>
      </c>
      <c r="B590" t="str">
        <f>"688711"</f>
        <v>688711</v>
      </c>
      <c r="C590" t="s">
        <v>4567</v>
      </c>
      <c r="D590">
        <v>43.18</v>
      </c>
      <c r="E590">
        <v>-5.6</v>
      </c>
      <c r="F590">
        <v>-2.56</v>
      </c>
      <c r="G590" t="s">
        <v>4568</v>
      </c>
      <c r="H590">
        <v>616</v>
      </c>
      <c r="I590">
        <v>43.18</v>
      </c>
      <c r="J590">
        <v>43.19</v>
      </c>
      <c r="K590" t="s">
        <v>4563</v>
      </c>
      <c r="L590">
        <v>5.84</v>
      </c>
      <c r="M590" t="s">
        <v>46</v>
      </c>
      <c r="N590" t="s">
        <v>1729</v>
      </c>
      <c r="O590">
        <v>45.75</v>
      </c>
      <c r="P590">
        <v>41.41</v>
      </c>
      <c r="Q590">
        <v>45.75</v>
      </c>
      <c r="R590">
        <v>45.74</v>
      </c>
      <c r="S590">
        <v>9.49</v>
      </c>
      <c r="T590">
        <v>2.34</v>
      </c>
      <c r="U590">
        <v>80.57</v>
      </c>
      <c r="V590">
        <v>580</v>
      </c>
      <c r="W590">
        <v>43.34</v>
      </c>
      <c r="X590" t="s">
        <v>4569</v>
      </c>
      <c r="Y590" t="s">
        <v>617</v>
      </c>
      <c r="Z590">
        <v>1.41</v>
      </c>
      <c r="AA590">
        <v>525</v>
      </c>
      <c r="AB590">
        <v>21</v>
      </c>
      <c r="AC590">
        <v>6.09</v>
      </c>
      <c r="AD590" t="s">
        <v>4570</v>
      </c>
      <c r="AE590" t="s">
        <v>4571</v>
      </c>
      <c r="AF590" t="s">
        <v>4572</v>
      </c>
      <c r="AG590" t="s">
        <v>4573</v>
      </c>
      <c r="AH590">
        <v>-8.44</v>
      </c>
      <c r="AI590">
        <v>-9.74</v>
      </c>
      <c r="AJ590">
        <v>13.46</v>
      </c>
      <c r="AK590">
        <v>18.34</v>
      </c>
      <c r="AL590">
        <v>-2</v>
      </c>
      <c r="AM590">
        <v>-5.6</v>
      </c>
      <c r="AN590">
        <v>-48.78</v>
      </c>
      <c r="AO590">
        <v>-17.12</v>
      </c>
      <c r="AP590">
        <v>-42.65</v>
      </c>
    </row>
    <row r="591" spans="1:42">
      <c r="A591">
        <v>590</v>
      </c>
      <c r="B591" t="str">
        <f>"000776"</f>
        <v>000776</v>
      </c>
      <c r="C591" t="s">
        <v>4574</v>
      </c>
      <c r="D591">
        <v>14.51</v>
      </c>
      <c r="E591">
        <v>0.69</v>
      </c>
      <c r="F591">
        <v>0.1</v>
      </c>
      <c r="G591" t="s">
        <v>518</v>
      </c>
      <c r="H591">
        <v>2244</v>
      </c>
      <c r="I591">
        <v>14.5</v>
      </c>
      <c r="J591">
        <v>14.51</v>
      </c>
      <c r="K591" t="s">
        <v>4575</v>
      </c>
      <c r="L591">
        <v>0.37</v>
      </c>
      <c r="M591" t="s">
        <v>46</v>
      </c>
      <c r="N591" t="s">
        <v>4576</v>
      </c>
      <c r="O591">
        <v>14.53</v>
      </c>
      <c r="P591">
        <v>14.38</v>
      </c>
      <c r="Q591">
        <v>14.39</v>
      </c>
      <c r="R591">
        <v>14.41</v>
      </c>
      <c r="S591">
        <v>1.04</v>
      </c>
      <c r="T591">
        <v>1</v>
      </c>
      <c r="U591">
        <v>-7.94</v>
      </c>
      <c r="V591">
        <v>-1450</v>
      </c>
      <c r="W591">
        <v>14.46</v>
      </c>
      <c r="X591" t="s">
        <v>4577</v>
      </c>
      <c r="Y591" t="s">
        <v>1986</v>
      </c>
      <c r="Z591">
        <v>0.74</v>
      </c>
      <c r="AA591">
        <v>1978</v>
      </c>
      <c r="AB591">
        <v>579</v>
      </c>
      <c r="AC591">
        <v>0.99</v>
      </c>
      <c r="AD591" t="s">
        <v>4578</v>
      </c>
      <c r="AE591" t="s">
        <v>4579</v>
      </c>
      <c r="AF591" t="s">
        <v>4580</v>
      </c>
      <c r="AG591" t="s">
        <v>4581</v>
      </c>
      <c r="AH591">
        <v>0</v>
      </c>
      <c r="AI591">
        <v>-1.29</v>
      </c>
      <c r="AJ591">
        <v>1.06</v>
      </c>
      <c r="AK591">
        <v>2.21</v>
      </c>
      <c r="AL591">
        <v>2</v>
      </c>
      <c r="AM591">
        <v>0.69</v>
      </c>
      <c r="AN591">
        <v>-4.16</v>
      </c>
      <c r="AO591">
        <v>-1.96</v>
      </c>
      <c r="AP591">
        <v>-3.52</v>
      </c>
    </row>
    <row r="592" spans="1:42">
      <c r="A592">
        <v>591</v>
      </c>
      <c r="B592" t="str">
        <f>"603273"</f>
        <v>603273</v>
      </c>
      <c r="C592" t="s">
        <v>4582</v>
      </c>
      <c r="D592">
        <v>25.62</v>
      </c>
      <c r="E592">
        <v>2.85</v>
      </c>
      <c r="F592">
        <v>0.71</v>
      </c>
      <c r="G592" t="s">
        <v>422</v>
      </c>
      <c r="H592">
        <v>1456</v>
      </c>
      <c r="I592">
        <v>25.61</v>
      </c>
      <c r="J592">
        <v>25.62</v>
      </c>
      <c r="K592" t="s">
        <v>4575</v>
      </c>
      <c r="L592">
        <v>23.45</v>
      </c>
      <c r="M592" t="s">
        <v>46</v>
      </c>
      <c r="N592" t="s">
        <v>4583</v>
      </c>
      <c r="O592">
        <v>26.22</v>
      </c>
      <c r="P592">
        <v>24.31</v>
      </c>
      <c r="Q592">
        <v>24.97</v>
      </c>
      <c r="R592">
        <v>24.91</v>
      </c>
      <c r="S592">
        <v>7.67</v>
      </c>
      <c r="T592">
        <v>0.79</v>
      </c>
      <c r="U592">
        <v>-24.64</v>
      </c>
      <c r="V592">
        <v>-648</v>
      </c>
      <c r="W592">
        <v>25.51</v>
      </c>
      <c r="X592" t="s">
        <v>4584</v>
      </c>
      <c r="Y592" t="s">
        <v>4585</v>
      </c>
      <c r="Z592">
        <v>0.87</v>
      </c>
      <c r="AA592">
        <v>391</v>
      </c>
      <c r="AB592">
        <v>466</v>
      </c>
      <c r="AC592">
        <v>6.51</v>
      </c>
      <c r="AD592" t="s">
        <v>4586</v>
      </c>
      <c r="AE592" t="s">
        <v>4587</v>
      </c>
      <c r="AF592" t="s">
        <v>4588</v>
      </c>
      <c r="AG592" t="s">
        <v>4589</v>
      </c>
      <c r="AH592">
        <v>-3.86</v>
      </c>
      <c r="AI592">
        <v>-23.48</v>
      </c>
      <c r="AJ592">
        <v>62.58</v>
      </c>
      <c r="AK592">
        <v>172.4</v>
      </c>
      <c r="AL592">
        <v>1</v>
      </c>
      <c r="AM592">
        <v>2.85</v>
      </c>
      <c r="AN592">
        <v>169.68</v>
      </c>
      <c r="AO592">
        <v>-7.21</v>
      </c>
      <c r="AP592">
        <v>169.68</v>
      </c>
    </row>
    <row r="593" spans="1:42">
      <c r="A593">
        <v>592</v>
      </c>
      <c r="B593" t="str">
        <f>"002384"</f>
        <v>002384</v>
      </c>
      <c r="C593" t="s">
        <v>4590</v>
      </c>
      <c r="D593">
        <v>18.55</v>
      </c>
      <c r="E593">
        <v>-0.43</v>
      </c>
      <c r="F593">
        <v>-0.08</v>
      </c>
      <c r="G593" t="s">
        <v>2859</v>
      </c>
      <c r="H593">
        <v>1415</v>
      </c>
      <c r="I593">
        <v>18.54</v>
      </c>
      <c r="J593">
        <v>18.56</v>
      </c>
      <c r="K593" t="s">
        <v>4575</v>
      </c>
      <c r="L593">
        <v>1.22</v>
      </c>
      <c r="M593" t="s">
        <v>46</v>
      </c>
      <c r="N593" t="s">
        <v>4591</v>
      </c>
      <c r="O593">
        <v>18.73</v>
      </c>
      <c r="P593">
        <v>18.31</v>
      </c>
      <c r="Q593">
        <v>18.53</v>
      </c>
      <c r="R593">
        <v>18.63</v>
      </c>
      <c r="S593">
        <v>2.25</v>
      </c>
      <c r="T593">
        <v>0.85</v>
      </c>
      <c r="U593">
        <v>44.19</v>
      </c>
      <c r="V593">
        <v>1894</v>
      </c>
      <c r="W593">
        <v>18.54</v>
      </c>
      <c r="X593" t="s">
        <v>1317</v>
      </c>
      <c r="Y593" t="s">
        <v>3311</v>
      </c>
      <c r="Z593">
        <v>0.97</v>
      </c>
      <c r="AA593">
        <v>2222</v>
      </c>
      <c r="AB593">
        <v>422</v>
      </c>
      <c r="AC593">
        <v>1.83</v>
      </c>
      <c r="AD593" t="s">
        <v>1979</v>
      </c>
      <c r="AE593" t="s">
        <v>4592</v>
      </c>
      <c r="AF593" t="s">
        <v>4593</v>
      </c>
      <c r="AG593" t="s">
        <v>4594</v>
      </c>
      <c r="AH593">
        <v>-2.16</v>
      </c>
      <c r="AI593">
        <v>-2.27</v>
      </c>
      <c r="AJ593">
        <v>3.65</v>
      </c>
      <c r="AK593">
        <v>8.39</v>
      </c>
      <c r="AL593">
        <v>-2</v>
      </c>
      <c r="AM593">
        <v>-0.43</v>
      </c>
      <c r="AN593">
        <v>-24.65</v>
      </c>
      <c r="AO593">
        <v>-2.11</v>
      </c>
      <c r="AP593">
        <v>-31.47</v>
      </c>
    </row>
    <row r="594" spans="1:42">
      <c r="A594">
        <v>593</v>
      </c>
      <c r="B594" t="str">
        <f>"601949"</f>
        <v>601949</v>
      </c>
      <c r="C594" t="s">
        <v>4595</v>
      </c>
      <c r="D594">
        <v>9.03</v>
      </c>
      <c r="E594">
        <v>6.11</v>
      </c>
      <c r="F594">
        <v>0.52</v>
      </c>
      <c r="G594" t="s">
        <v>1770</v>
      </c>
      <c r="H594">
        <v>3709</v>
      </c>
      <c r="I594">
        <v>9.03</v>
      </c>
      <c r="J594">
        <v>9.04</v>
      </c>
      <c r="K594" t="s">
        <v>4575</v>
      </c>
      <c r="L594">
        <v>1.94</v>
      </c>
      <c r="M594" t="s">
        <v>46</v>
      </c>
      <c r="N594" t="s">
        <v>3455</v>
      </c>
      <c r="O594">
        <v>9.15</v>
      </c>
      <c r="P594">
        <v>8.51</v>
      </c>
      <c r="Q594">
        <v>8.54</v>
      </c>
      <c r="R594">
        <v>8.51</v>
      </c>
      <c r="S594">
        <v>7.52</v>
      </c>
      <c r="T594">
        <v>2.11</v>
      </c>
      <c r="U594">
        <v>-46.12</v>
      </c>
      <c r="V594">
        <v>-6268</v>
      </c>
      <c r="W594">
        <v>8.87</v>
      </c>
      <c r="X594" t="s">
        <v>2025</v>
      </c>
      <c r="Y594" t="s">
        <v>2351</v>
      </c>
      <c r="Z594">
        <v>0.55</v>
      </c>
      <c r="AA594">
        <v>34</v>
      </c>
      <c r="AB594">
        <v>977</v>
      </c>
      <c r="AC594">
        <v>1.97</v>
      </c>
      <c r="AD594" t="s">
        <v>4596</v>
      </c>
      <c r="AE594" t="s">
        <v>4597</v>
      </c>
      <c r="AF594" t="s">
        <v>4598</v>
      </c>
      <c r="AG594" t="s">
        <v>4599</v>
      </c>
      <c r="AH594">
        <v>3.67</v>
      </c>
      <c r="AI594">
        <v>-1.74</v>
      </c>
      <c r="AJ594">
        <v>3.23</v>
      </c>
      <c r="AK594">
        <v>6.53</v>
      </c>
      <c r="AL594">
        <v>1</v>
      </c>
      <c r="AM594">
        <v>6.11</v>
      </c>
      <c r="AN594">
        <v>85.04</v>
      </c>
      <c r="AO594">
        <v>3.08</v>
      </c>
      <c r="AP594">
        <v>97.59</v>
      </c>
    </row>
    <row r="595" spans="1:42">
      <c r="A595">
        <v>594</v>
      </c>
      <c r="B595" t="str">
        <f>"600506"</f>
        <v>600506</v>
      </c>
      <c r="C595" t="s">
        <v>4600</v>
      </c>
      <c r="D595">
        <v>13.9</v>
      </c>
      <c r="E595">
        <v>2.73</v>
      </c>
      <c r="F595">
        <v>0.37</v>
      </c>
      <c r="G595" t="s">
        <v>2351</v>
      </c>
      <c r="H595">
        <v>4982</v>
      </c>
      <c r="I595">
        <v>13.89</v>
      </c>
      <c r="J595">
        <v>13.9</v>
      </c>
      <c r="K595" t="s">
        <v>4601</v>
      </c>
      <c r="L595">
        <v>15.35</v>
      </c>
      <c r="M595" t="s">
        <v>46</v>
      </c>
      <c r="N595" t="s">
        <v>4602</v>
      </c>
      <c r="O595">
        <v>13.99</v>
      </c>
      <c r="P595">
        <v>13.45</v>
      </c>
      <c r="Q595">
        <v>13.52</v>
      </c>
      <c r="R595">
        <v>13.53</v>
      </c>
      <c r="S595">
        <v>3.99</v>
      </c>
      <c r="T595">
        <v>0.67</v>
      </c>
      <c r="U595">
        <v>-14.72</v>
      </c>
      <c r="V595">
        <v>-414</v>
      </c>
      <c r="W595">
        <v>13.79</v>
      </c>
      <c r="X595" t="s">
        <v>1438</v>
      </c>
      <c r="Y595" t="s">
        <v>1807</v>
      </c>
      <c r="Z595">
        <v>0.94</v>
      </c>
      <c r="AA595">
        <v>256</v>
      </c>
      <c r="AB595">
        <v>489</v>
      </c>
      <c r="AC595">
        <v>6.32</v>
      </c>
      <c r="AD595" t="s">
        <v>4603</v>
      </c>
      <c r="AE595" t="s">
        <v>4604</v>
      </c>
      <c r="AF595" t="s">
        <v>4605</v>
      </c>
      <c r="AG595" t="s">
        <v>4606</v>
      </c>
      <c r="AH595">
        <v>2.73</v>
      </c>
      <c r="AI595">
        <v>-12.41</v>
      </c>
      <c r="AJ595">
        <v>50.47</v>
      </c>
      <c r="AK595">
        <v>129.46</v>
      </c>
      <c r="AL595">
        <v>1</v>
      </c>
      <c r="AM595">
        <v>2.73</v>
      </c>
      <c r="AN595">
        <v>14.12</v>
      </c>
      <c r="AO595">
        <v>32.38</v>
      </c>
      <c r="AP595">
        <v>26.71</v>
      </c>
    </row>
    <row r="596" spans="1:42">
      <c r="A596">
        <v>595</v>
      </c>
      <c r="B596" t="str">
        <f>"688205"</f>
        <v>688205</v>
      </c>
      <c r="C596" t="s">
        <v>4607</v>
      </c>
      <c r="D596">
        <v>58.43</v>
      </c>
      <c r="E596">
        <v>4.94</v>
      </c>
      <c r="F596">
        <v>2.75</v>
      </c>
      <c r="G596" t="s">
        <v>744</v>
      </c>
      <c r="H596">
        <v>226</v>
      </c>
      <c r="I596">
        <v>58.43</v>
      </c>
      <c r="J596">
        <v>58.47</v>
      </c>
      <c r="K596" t="s">
        <v>4608</v>
      </c>
      <c r="L596">
        <v>11.11</v>
      </c>
      <c r="M596" t="s">
        <v>46</v>
      </c>
      <c r="N596" t="s">
        <v>4609</v>
      </c>
      <c r="O596">
        <v>60.12</v>
      </c>
      <c r="P596">
        <v>54.1</v>
      </c>
      <c r="Q596">
        <v>55.66</v>
      </c>
      <c r="R596">
        <v>55.68</v>
      </c>
      <c r="S596">
        <v>10.81</v>
      </c>
      <c r="T596">
        <v>3.42</v>
      </c>
      <c r="U596">
        <v>-1.35</v>
      </c>
      <c r="V596">
        <v>-4</v>
      </c>
      <c r="W596">
        <v>57.69</v>
      </c>
      <c r="X596" t="s">
        <v>4422</v>
      </c>
      <c r="Y596" t="s">
        <v>4610</v>
      </c>
      <c r="Z596">
        <v>0.9</v>
      </c>
      <c r="AA596">
        <v>23</v>
      </c>
      <c r="AB596">
        <v>43</v>
      </c>
      <c r="AC596">
        <v>2.72</v>
      </c>
      <c r="AD596" t="s">
        <v>4611</v>
      </c>
      <c r="AE596" t="s">
        <v>4612</v>
      </c>
      <c r="AF596" t="s">
        <v>4613</v>
      </c>
      <c r="AG596" t="s">
        <v>1904</v>
      </c>
      <c r="AH596">
        <v>9.03</v>
      </c>
      <c r="AI596">
        <v>7.31</v>
      </c>
      <c r="AJ596">
        <v>20.74</v>
      </c>
      <c r="AK596">
        <v>27.38</v>
      </c>
      <c r="AL596">
        <v>2</v>
      </c>
      <c r="AM596">
        <v>4.94</v>
      </c>
      <c r="AN596">
        <v>17.9</v>
      </c>
      <c r="AO596">
        <v>7.8</v>
      </c>
      <c r="AP596">
        <v>7.43</v>
      </c>
    </row>
    <row r="597" spans="1:42">
      <c r="A597">
        <v>596</v>
      </c>
      <c r="B597" t="str">
        <f>"601628"</f>
        <v>601628</v>
      </c>
      <c r="C597" t="s">
        <v>4614</v>
      </c>
      <c r="D597">
        <v>30.2</v>
      </c>
      <c r="E597">
        <v>0.53</v>
      </c>
      <c r="F597">
        <v>0.16</v>
      </c>
      <c r="G597" t="s">
        <v>740</v>
      </c>
      <c r="H597">
        <v>1218</v>
      </c>
      <c r="I597">
        <v>30.2</v>
      </c>
      <c r="J597">
        <v>30.21</v>
      </c>
      <c r="K597" t="s">
        <v>4608</v>
      </c>
      <c r="L597">
        <v>0.05</v>
      </c>
      <c r="M597" t="s">
        <v>46</v>
      </c>
      <c r="N597" t="s">
        <v>4615</v>
      </c>
      <c r="O597">
        <v>30.28</v>
      </c>
      <c r="P597">
        <v>29.65</v>
      </c>
      <c r="Q597">
        <v>29.93</v>
      </c>
      <c r="R597">
        <v>30.04</v>
      </c>
      <c r="S597">
        <v>2.1</v>
      </c>
      <c r="T597">
        <v>0.99</v>
      </c>
      <c r="U597">
        <v>-32.07</v>
      </c>
      <c r="V597">
        <v>-727</v>
      </c>
      <c r="W597">
        <v>29.98</v>
      </c>
      <c r="X597" t="s">
        <v>3659</v>
      </c>
      <c r="Y597" t="s">
        <v>4616</v>
      </c>
      <c r="Z597">
        <v>0.99</v>
      </c>
      <c r="AA597">
        <v>563</v>
      </c>
      <c r="AB597">
        <v>334</v>
      </c>
      <c r="AC597">
        <v>1.93</v>
      </c>
      <c r="AD597" t="s">
        <v>4617</v>
      </c>
      <c r="AE597" t="s">
        <v>4618</v>
      </c>
      <c r="AF597" t="s">
        <v>4619</v>
      </c>
      <c r="AG597" t="s">
        <v>4620</v>
      </c>
      <c r="AH597">
        <v>-1.08</v>
      </c>
      <c r="AI597">
        <v>-4.88</v>
      </c>
      <c r="AJ597">
        <v>0.17</v>
      </c>
      <c r="AK597">
        <v>0.3</v>
      </c>
      <c r="AL597">
        <v>2</v>
      </c>
      <c r="AM597">
        <v>0.53</v>
      </c>
      <c r="AN597">
        <v>-17.55</v>
      </c>
      <c r="AO597">
        <v>-7.76</v>
      </c>
      <c r="AP597">
        <v>-6.41</v>
      </c>
    </row>
    <row r="598" spans="1:42">
      <c r="A598">
        <v>597</v>
      </c>
      <c r="B598" t="str">
        <f>"300085"</f>
        <v>300085</v>
      </c>
      <c r="C598" t="s">
        <v>4621</v>
      </c>
      <c r="D598">
        <v>14.07</v>
      </c>
      <c r="E598">
        <v>4.15</v>
      </c>
      <c r="F598">
        <v>0.56</v>
      </c>
      <c r="G598" t="s">
        <v>2828</v>
      </c>
      <c r="H598">
        <v>3190</v>
      </c>
      <c r="I598">
        <v>14.06</v>
      </c>
      <c r="J598">
        <v>14.07</v>
      </c>
      <c r="K598" t="s">
        <v>3583</v>
      </c>
      <c r="L598">
        <v>4.38</v>
      </c>
      <c r="M598" t="s">
        <v>46</v>
      </c>
      <c r="N598" t="s">
        <v>4622</v>
      </c>
      <c r="O598">
        <v>14.1</v>
      </c>
      <c r="P598">
        <v>13.46</v>
      </c>
      <c r="Q598">
        <v>13.46</v>
      </c>
      <c r="R598">
        <v>13.51</v>
      </c>
      <c r="S598">
        <v>4.74</v>
      </c>
      <c r="T598">
        <v>1.1</v>
      </c>
      <c r="U598">
        <v>-20.56</v>
      </c>
      <c r="V598">
        <v>-1151</v>
      </c>
      <c r="W598">
        <v>13.85</v>
      </c>
      <c r="X598" t="s">
        <v>3003</v>
      </c>
      <c r="Y598" t="s">
        <v>1987</v>
      </c>
      <c r="Z598">
        <v>0.72</v>
      </c>
      <c r="AA598">
        <v>441</v>
      </c>
      <c r="AB598">
        <v>96</v>
      </c>
      <c r="AC598">
        <v>13.5</v>
      </c>
      <c r="AD598" t="s">
        <v>4623</v>
      </c>
      <c r="AE598" t="s">
        <v>4624</v>
      </c>
      <c r="AF598" t="s">
        <v>4625</v>
      </c>
      <c r="AG598" t="s">
        <v>4626</v>
      </c>
      <c r="AH598">
        <v>1.37</v>
      </c>
      <c r="AI598">
        <v>-3.43</v>
      </c>
      <c r="AJ598">
        <v>10.04</v>
      </c>
      <c r="AK598">
        <v>24.38</v>
      </c>
      <c r="AL598">
        <v>1</v>
      </c>
      <c r="AM598">
        <v>4.15</v>
      </c>
      <c r="AN598">
        <v>51.29</v>
      </c>
      <c r="AO598">
        <v>17.54</v>
      </c>
      <c r="AP598">
        <v>39.58</v>
      </c>
    </row>
    <row r="599" spans="1:42">
      <c r="A599">
        <v>598</v>
      </c>
      <c r="B599" t="str">
        <f>"002648"</f>
        <v>002648</v>
      </c>
      <c r="C599" t="s">
        <v>4627</v>
      </c>
      <c r="D599">
        <v>15.67</v>
      </c>
      <c r="E599">
        <v>-1.82</v>
      </c>
      <c r="F599">
        <v>-0.29</v>
      </c>
      <c r="G599" t="s">
        <v>4628</v>
      </c>
      <c r="H599">
        <v>1386</v>
      </c>
      <c r="I599">
        <v>15.66</v>
      </c>
      <c r="J599">
        <v>15.67</v>
      </c>
      <c r="K599" t="s">
        <v>3583</v>
      </c>
      <c r="L599">
        <v>0.59</v>
      </c>
      <c r="M599" t="s">
        <v>46</v>
      </c>
      <c r="N599" t="s">
        <v>3283</v>
      </c>
      <c r="O599">
        <v>16.04</v>
      </c>
      <c r="P599">
        <v>15.56</v>
      </c>
      <c r="Q599">
        <v>16</v>
      </c>
      <c r="R599">
        <v>15.96</v>
      </c>
      <c r="S599">
        <v>3.01</v>
      </c>
      <c r="T599">
        <v>1.42</v>
      </c>
      <c r="U599">
        <v>39.9</v>
      </c>
      <c r="V599">
        <v>1736</v>
      </c>
      <c r="W599">
        <v>15.73</v>
      </c>
      <c r="X599" t="s">
        <v>4369</v>
      </c>
      <c r="Y599" t="s">
        <v>1317</v>
      </c>
      <c r="Z599">
        <v>1.37</v>
      </c>
      <c r="AA599">
        <v>767</v>
      </c>
      <c r="AB599">
        <v>67</v>
      </c>
      <c r="AC599">
        <v>2.14</v>
      </c>
      <c r="AD599" t="s">
        <v>4629</v>
      </c>
      <c r="AE599" t="s">
        <v>4630</v>
      </c>
      <c r="AF599" t="s">
        <v>4631</v>
      </c>
      <c r="AG599" t="s">
        <v>4632</v>
      </c>
      <c r="AH599">
        <v>0.38</v>
      </c>
      <c r="AI599">
        <v>-1.76</v>
      </c>
      <c r="AJ599">
        <v>1.8</v>
      </c>
      <c r="AK599">
        <v>2.65</v>
      </c>
      <c r="AL599">
        <v>-1</v>
      </c>
      <c r="AM599">
        <v>-1.82</v>
      </c>
      <c r="AN599">
        <v>1.1</v>
      </c>
      <c r="AO599">
        <v>-3.27</v>
      </c>
      <c r="AP599">
        <v>12.9</v>
      </c>
    </row>
    <row r="600" spans="1:42">
      <c r="A600">
        <v>599</v>
      </c>
      <c r="B600" t="str">
        <f>"000792"</f>
        <v>000792</v>
      </c>
      <c r="C600" t="s">
        <v>4633</v>
      </c>
      <c r="D600">
        <v>15.99</v>
      </c>
      <c r="E600">
        <v>0.88</v>
      </c>
      <c r="F600">
        <v>0.14</v>
      </c>
      <c r="G600" t="s">
        <v>1328</v>
      </c>
      <c r="H600">
        <v>2034</v>
      </c>
      <c r="I600">
        <v>15.98</v>
      </c>
      <c r="J600">
        <v>15.99</v>
      </c>
      <c r="K600" t="s">
        <v>3583</v>
      </c>
      <c r="L600">
        <v>0.36</v>
      </c>
      <c r="M600" t="s">
        <v>46</v>
      </c>
      <c r="N600" t="s">
        <v>4634</v>
      </c>
      <c r="O600">
        <v>16.15</v>
      </c>
      <c r="P600">
        <v>15.73</v>
      </c>
      <c r="Q600">
        <v>15.9</v>
      </c>
      <c r="R600">
        <v>15.85</v>
      </c>
      <c r="S600">
        <v>2.65</v>
      </c>
      <c r="T600">
        <v>1.13</v>
      </c>
      <c r="U600">
        <v>29.06</v>
      </c>
      <c r="V600">
        <v>1325</v>
      </c>
      <c r="W600">
        <v>15.93</v>
      </c>
      <c r="X600" t="s">
        <v>4635</v>
      </c>
      <c r="Y600" t="s">
        <v>740</v>
      </c>
      <c r="Z600">
        <v>0.88</v>
      </c>
      <c r="AA600">
        <v>1247</v>
      </c>
      <c r="AB600">
        <v>57</v>
      </c>
      <c r="AC600">
        <v>2.93</v>
      </c>
      <c r="AD600" t="s">
        <v>4636</v>
      </c>
      <c r="AE600" t="s">
        <v>4637</v>
      </c>
      <c r="AF600" t="s">
        <v>4636</v>
      </c>
      <c r="AG600" t="s">
        <v>4637</v>
      </c>
      <c r="AH600">
        <v>-0.5</v>
      </c>
      <c r="AI600">
        <v>-1.54</v>
      </c>
      <c r="AJ600">
        <v>0.9</v>
      </c>
      <c r="AK600">
        <v>1.95</v>
      </c>
      <c r="AL600">
        <v>1</v>
      </c>
      <c r="AM600">
        <v>0.88</v>
      </c>
      <c r="AN600">
        <v>-29.53</v>
      </c>
      <c r="AO600">
        <v>-4.59</v>
      </c>
      <c r="AP600">
        <v>-35.76</v>
      </c>
    </row>
    <row r="601" spans="1:42">
      <c r="A601">
        <v>600</v>
      </c>
      <c r="B601" t="str">
        <f>"600329"</f>
        <v>600329</v>
      </c>
      <c r="C601" t="s">
        <v>4638</v>
      </c>
      <c r="D601">
        <v>35.76</v>
      </c>
      <c r="E601">
        <v>-0.36</v>
      </c>
      <c r="F601">
        <v>-0.13</v>
      </c>
      <c r="G601" t="s">
        <v>1065</v>
      </c>
      <c r="H601">
        <v>740</v>
      </c>
      <c r="I601">
        <v>35.76</v>
      </c>
      <c r="J601">
        <v>35.77</v>
      </c>
      <c r="K601" t="s">
        <v>3240</v>
      </c>
      <c r="L601">
        <v>1.54</v>
      </c>
      <c r="M601" t="s">
        <v>46</v>
      </c>
      <c r="N601" t="s">
        <v>1145</v>
      </c>
      <c r="O601">
        <v>35.99</v>
      </c>
      <c r="P601">
        <v>35.33</v>
      </c>
      <c r="Q601">
        <v>35.88</v>
      </c>
      <c r="R601">
        <v>35.89</v>
      </c>
      <c r="S601">
        <v>1.84</v>
      </c>
      <c r="T601">
        <v>0.66</v>
      </c>
      <c r="U601">
        <v>37.33</v>
      </c>
      <c r="V601">
        <v>742</v>
      </c>
      <c r="W601">
        <v>35.66</v>
      </c>
      <c r="X601" t="s">
        <v>4639</v>
      </c>
      <c r="Y601" t="s">
        <v>2189</v>
      </c>
      <c r="Z601">
        <v>1.35</v>
      </c>
      <c r="AA601">
        <v>507</v>
      </c>
      <c r="AB601">
        <v>78</v>
      </c>
      <c r="AC601">
        <v>4.26</v>
      </c>
      <c r="AD601" t="s">
        <v>4640</v>
      </c>
      <c r="AE601" t="s">
        <v>4641</v>
      </c>
      <c r="AF601" t="s">
        <v>4642</v>
      </c>
      <c r="AG601" t="s">
        <v>4643</v>
      </c>
      <c r="AH601">
        <v>0.9</v>
      </c>
      <c r="AI601">
        <v>5.7</v>
      </c>
      <c r="AJ601">
        <v>6.66</v>
      </c>
      <c r="AK601">
        <v>13.22</v>
      </c>
      <c r="AL601">
        <v>-1</v>
      </c>
      <c r="AM601">
        <v>-0.36</v>
      </c>
      <c r="AN601">
        <v>27.81</v>
      </c>
      <c r="AO601">
        <v>21.51</v>
      </c>
      <c r="AP601">
        <v>18.29</v>
      </c>
    </row>
    <row r="602" spans="1:42">
      <c r="A602">
        <v>601</v>
      </c>
      <c r="B602" t="str">
        <f>"603466"</f>
        <v>603466</v>
      </c>
      <c r="C602" t="s">
        <v>4644</v>
      </c>
      <c r="D602">
        <v>13.08</v>
      </c>
      <c r="E602">
        <v>6.43</v>
      </c>
      <c r="F602">
        <v>0.79</v>
      </c>
      <c r="G602" t="s">
        <v>1537</v>
      </c>
      <c r="H602">
        <v>1852</v>
      </c>
      <c r="I602">
        <v>13.07</v>
      </c>
      <c r="J602">
        <v>13.08</v>
      </c>
      <c r="K602" t="s">
        <v>3240</v>
      </c>
      <c r="L602">
        <v>4.05</v>
      </c>
      <c r="M602" t="s">
        <v>46</v>
      </c>
      <c r="N602" t="s">
        <v>4278</v>
      </c>
      <c r="O602">
        <v>13.12</v>
      </c>
      <c r="P602">
        <v>12.28</v>
      </c>
      <c r="Q602">
        <v>12.29</v>
      </c>
      <c r="R602">
        <v>12.29</v>
      </c>
      <c r="S602">
        <v>6.83</v>
      </c>
      <c r="T602">
        <v>2.54</v>
      </c>
      <c r="U602">
        <v>-70.07</v>
      </c>
      <c r="V602">
        <v>-3280</v>
      </c>
      <c r="W602">
        <v>12.85</v>
      </c>
      <c r="X602" t="s">
        <v>4645</v>
      </c>
      <c r="Y602" t="s">
        <v>2081</v>
      </c>
      <c r="Z602">
        <v>0.68</v>
      </c>
      <c r="AA602">
        <v>304</v>
      </c>
      <c r="AB602">
        <v>508</v>
      </c>
      <c r="AC602">
        <v>3.31</v>
      </c>
      <c r="AD602" t="s">
        <v>4646</v>
      </c>
      <c r="AE602" t="s">
        <v>4647</v>
      </c>
      <c r="AF602" t="s">
        <v>4646</v>
      </c>
      <c r="AG602" t="s">
        <v>4647</v>
      </c>
      <c r="AH602">
        <v>3.32</v>
      </c>
      <c r="AI602">
        <v>0.77</v>
      </c>
      <c r="AJ602">
        <v>6.5</v>
      </c>
      <c r="AK602">
        <v>12.02</v>
      </c>
      <c r="AL602">
        <v>1</v>
      </c>
      <c r="AM602">
        <v>6.43</v>
      </c>
      <c r="AN602">
        <v>-3.04</v>
      </c>
      <c r="AO602">
        <v>7.21</v>
      </c>
      <c r="AP602">
        <v>5.06</v>
      </c>
    </row>
    <row r="603" spans="1:42">
      <c r="A603">
        <v>602</v>
      </c>
      <c r="B603" t="str">
        <f>"600408"</f>
        <v>600408</v>
      </c>
      <c r="C603" t="s">
        <v>4648</v>
      </c>
      <c r="D603">
        <v>2.82</v>
      </c>
      <c r="E603">
        <v>10.16</v>
      </c>
      <c r="F603">
        <v>0.26</v>
      </c>
      <c r="G603" t="s">
        <v>1182</v>
      </c>
      <c r="H603">
        <v>2641</v>
      </c>
      <c r="I603">
        <v>2.82</v>
      </c>
      <c r="J603" t="s">
        <v>76</v>
      </c>
      <c r="K603" t="s">
        <v>3240</v>
      </c>
      <c r="L603">
        <v>11.13</v>
      </c>
      <c r="M603" t="s">
        <v>46</v>
      </c>
      <c r="N603" t="s">
        <v>4649</v>
      </c>
      <c r="O603">
        <v>2.82</v>
      </c>
      <c r="P603">
        <v>2.56</v>
      </c>
      <c r="Q603">
        <v>2.56</v>
      </c>
      <c r="R603">
        <v>2.56</v>
      </c>
      <c r="S603">
        <v>10.16</v>
      </c>
      <c r="T603">
        <v>2.99</v>
      </c>
      <c r="U603">
        <v>100</v>
      </c>
      <c r="V603" t="s">
        <v>1255</v>
      </c>
      <c r="W603">
        <v>2.76</v>
      </c>
      <c r="X603" t="s">
        <v>4650</v>
      </c>
      <c r="Y603" t="s">
        <v>4651</v>
      </c>
      <c r="Z603">
        <v>1.22</v>
      </c>
      <c r="AA603" t="s">
        <v>61</v>
      </c>
      <c r="AB603">
        <v>0</v>
      </c>
      <c r="AC603">
        <v>1.36</v>
      </c>
      <c r="AD603" t="s">
        <v>1119</v>
      </c>
      <c r="AE603" t="s">
        <v>4652</v>
      </c>
      <c r="AF603" t="s">
        <v>1119</v>
      </c>
      <c r="AG603" t="s">
        <v>4652</v>
      </c>
      <c r="AH603">
        <v>7.22</v>
      </c>
      <c r="AI603">
        <v>8.05</v>
      </c>
      <c r="AJ603">
        <v>15.83</v>
      </c>
      <c r="AK603">
        <v>29.75</v>
      </c>
      <c r="AL603">
        <v>1</v>
      </c>
      <c r="AM603">
        <v>10.16</v>
      </c>
      <c r="AN603">
        <v>5.62</v>
      </c>
      <c r="AO603">
        <v>15.1</v>
      </c>
      <c r="AP603">
        <v>2.55</v>
      </c>
    </row>
    <row r="604" spans="1:42">
      <c r="A604">
        <v>603</v>
      </c>
      <c r="B604" t="str">
        <f>"873593"</f>
        <v>873593</v>
      </c>
      <c r="C604" t="s">
        <v>4653</v>
      </c>
      <c r="D604">
        <v>42.4</v>
      </c>
      <c r="E604">
        <v>-13.65</v>
      </c>
      <c r="F604">
        <v>-6.7</v>
      </c>
      <c r="G604" t="s">
        <v>4654</v>
      </c>
      <c r="H604">
        <v>591</v>
      </c>
      <c r="I604">
        <v>42.38</v>
      </c>
      <c r="J604">
        <v>42.4</v>
      </c>
      <c r="K604" t="s">
        <v>3240</v>
      </c>
      <c r="L604">
        <v>16.97</v>
      </c>
      <c r="M604" t="s">
        <v>46</v>
      </c>
      <c r="N604" t="s">
        <v>4655</v>
      </c>
      <c r="O604">
        <v>48.98</v>
      </c>
      <c r="P604">
        <v>42.3</v>
      </c>
      <c r="Q604">
        <v>48.61</v>
      </c>
      <c r="R604">
        <v>49.1</v>
      </c>
      <c r="S604">
        <v>13.6</v>
      </c>
      <c r="T604">
        <v>1.03</v>
      </c>
      <c r="U604">
        <v>-63.59</v>
      </c>
      <c r="V604">
        <v>-447</v>
      </c>
      <c r="W604">
        <v>44.98</v>
      </c>
      <c r="X604" t="s">
        <v>2921</v>
      </c>
      <c r="Y604" t="s">
        <v>2388</v>
      </c>
      <c r="Z604">
        <v>1.54</v>
      </c>
      <c r="AA604">
        <v>9</v>
      </c>
      <c r="AB604">
        <v>204</v>
      </c>
      <c r="AC604">
        <v>6.23</v>
      </c>
      <c r="AD604" t="s">
        <v>4656</v>
      </c>
      <c r="AE604" t="s">
        <v>4657</v>
      </c>
      <c r="AF604" t="s">
        <v>4658</v>
      </c>
      <c r="AG604" t="s">
        <v>4659</v>
      </c>
      <c r="AH604">
        <v>-9.23</v>
      </c>
      <c r="AI604">
        <v>-4.22</v>
      </c>
      <c r="AJ604">
        <v>48.33</v>
      </c>
      <c r="AK604">
        <v>99.43</v>
      </c>
      <c r="AL604">
        <v>-1</v>
      </c>
      <c r="AM604">
        <v>-13.65</v>
      </c>
      <c r="AN604">
        <v>-57.27</v>
      </c>
      <c r="AO604">
        <v>40.58</v>
      </c>
      <c r="AP604">
        <v>-57.27</v>
      </c>
    </row>
    <row r="605" spans="1:42">
      <c r="A605">
        <v>604</v>
      </c>
      <c r="B605" t="str">
        <f>"002020"</f>
        <v>002020</v>
      </c>
      <c r="C605" t="s">
        <v>4660</v>
      </c>
      <c r="D605">
        <v>13.64</v>
      </c>
      <c r="E605">
        <v>0.37</v>
      </c>
      <c r="F605">
        <v>0.05</v>
      </c>
      <c r="G605" t="s">
        <v>100</v>
      </c>
      <c r="H605">
        <v>3309</v>
      </c>
      <c r="I605">
        <v>13.64</v>
      </c>
      <c r="J605">
        <v>13.65</v>
      </c>
      <c r="K605" t="s">
        <v>3240</v>
      </c>
      <c r="L605">
        <v>3.44</v>
      </c>
      <c r="M605" t="s">
        <v>46</v>
      </c>
      <c r="N605" t="s">
        <v>4661</v>
      </c>
      <c r="O605">
        <v>13.94</v>
      </c>
      <c r="P605">
        <v>13.5</v>
      </c>
      <c r="Q605">
        <v>13.54</v>
      </c>
      <c r="R605">
        <v>13.59</v>
      </c>
      <c r="S605">
        <v>3.24</v>
      </c>
      <c r="T605">
        <v>0.82</v>
      </c>
      <c r="U605">
        <v>37.11</v>
      </c>
      <c r="V605">
        <v>2548</v>
      </c>
      <c r="W605">
        <v>13.71</v>
      </c>
      <c r="X605" t="s">
        <v>1949</v>
      </c>
      <c r="Y605" t="s">
        <v>1807</v>
      </c>
      <c r="Z605">
        <v>0.93</v>
      </c>
      <c r="AA605">
        <v>69</v>
      </c>
      <c r="AB605">
        <v>301</v>
      </c>
      <c r="AC605">
        <v>2.19</v>
      </c>
      <c r="AD605" t="s">
        <v>4662</v>
      </c>
      <c r="AE605" t="s">
        <v>1732</v>
      </c>
      <c r="AF605" t="s">
        <v>4663</v>
      </c>
      <c r="AG605" t="s">
        <v>4664</v>
      </c>
      <c r="AH605">
        <v>-4.68</v>
      </c>
      <c r="AI605">
        <v>-5.08</v>
      </c>
      <c r="AJ605">
        <v>16.22</v>
      </c>
      <c r="AK605">
        <v>24.38</v>
      </c>
      <c r="AL605">
        <v>1</v>
      </c>
      <c r="AM605">
        <v>0.37</v>
      </c>
      <c r="AN605">
        <v>14.81</v>
      </c>
      <c r="AO605">
        <v>-2.92</v>
      </c>
      <c r="AP605">
        <v>-0.58</v>
      </c>
    </row>
    <row r="606" spans="1:42">
      <c r="A606">
        <v>605</v>
      </c>
      <c r="B606" t="str">
        <f>"002512"</f>
        <v>002512</v>
      </c>
      <c r="C606" t="s">
        <v>4665</v>
      </c>
      <c r="D606">
        <v>5.49</v>
      </c>
      <c r="E606">
        <v>2.23</v>
      </c>
      <c r="F606">
        <v>0.12</v>
      </c>
      <c r="G606" t="s">
        <v>805</v>
      </c>
      <c r="H606">
        <v>9659</v>
      </c>
      <c r="I606">
        <v>5.48</v>
      </c>
      <c r="J606">
        <v>5.49</v>
      </c>
      <c r="K606" t="s">
        <v>3266</v>
      </c>
      <c r="L606">
        <v>5.42</v>
      </c>
      <c r="M606" t="s">
        <v>46</v>
      </c>
      <c r="N606" t="s">
        <v>3409</v>
      </c>
      <c r="O606">
        <v>5.49</v>
      </c>
      <c r="P606">
        <v>5.36</v>
      </c>
      <c r="Q606">
        <v>5.36</v>
      </c>
      <c r="R606">
        <v>5.37</v>
      </c>
      <c r="S606">
        <v>2.42</v>
      </c>
      <c r="T606">
        <v>1.14</v>
      </c>
      <c r="U606">
        <v>-24.54</v>
      </c>
      <c r="V606">
        <v>-8716</v>
      </c>
      <c r="W606">
        <v>5.44</v>
      </c>
      <c r="X606" t="s">
        <v>1885</v>
      </c>
      <c r="Y606" t="s">
        <v>2668</v>
      </c>
      <c r="Z606">
        <v>0.89</v>
      </c>
      <c r="AA606">
        <v>3565</v>
      </c>
      <c r="AB606">
        <v>4370</v>
      </c>
      <c r="AC606">
        <v>8.18</v>
      </c>
      <c r="AD606" t="s">
        <v>4666</v>
      </c>
      <c r="AE606" t="s">
        <v>4667</v>
      </c>
      <c r="AF606" t="s">
        <v>3860</v>
      </c>
      <c r="AG606" t="s">
        <v>4668</v>
      </c>
      <c r="AH606">
        <v>0.37</v>
      </c>
      <c r="AI606">
        <v>-3.68</v>
      </c>
      <c r="AJ606">
        <v>13.33</v>
      </c>
      <c r="AK606">
        <v>29.15</v>
      </c>
      <c r="AL606">
        <v>1</v>
      </c>
      <c r="AM606">
        <v>2.23</v>
      </c>
      <c r="AN606">
        <v>58.67</v>
      </c>
      <c r="AO606">
        <v>11.81</v>
      </c>
      <c r="AP606">
        <v>51.66</v>
      </c>
    </row>
    <row r="607" spans="1:42">
      <c r="A607">
        <v>606</v>
      </c>
      <c r="B607" t="str">
        <f>"300559"</f>
        <v>300559</v>
      </c>
      <c r="C607" t="s">
        <v>4669</v>
      </c>
      <c r="D607">
        <v>17.14</v>
      </c>
      <c r="E607">
        <v>10.58</v>
      </c>
      <c r="F607">
        <v>1.64</v>
      </c>
      <c r="G607" t="s">
        <v>3785</v>
      </c>
      <c r="H607">
        <v>2797</v>
      </c>
      <c r="I607">
        <v>17.13</v>
      </c>
      <c r="J607">
        <v>17.14</v>
      </c>
      <c r="K607" t="s">
        <v>3266</v>
      </c>
      <c r="L607">
        <v>6.05</v>
      </c>
      <c r="M607" t="s">
        <v>46</v>
      </c>
      <c r="N607" t="s">
        <v>3310</v>
      </c>
      <c r="O607">
        <v>17.19</v>
      </c>
      <c r="P607">
        <v>15.21</v>
      </c>
      <c r="Q607">
        <v>15.5</v>
      </c>
      <c r="R607">
        <v>15.5</v>
      </c>
      <c r="S607">
        <v>12.77</v>
      </c>
      <c r="T607">
        <v>3.04</v>
      </c>
      <c r="U607">
        <v>-27.7</v>
      </c>
      <c r="V607">
        <v>-169</v>
      </c>
      <c r="W607">
        <v>16.43</v>
      </c>
      <c r="X607" t="s">
        <v>4670</v>
      </c>
      <c r="Y607" t="s">
        <v>1128</v>
      </c>
      <c r="Z607">
        <v>0.78</v>
      </c>
      <c r="AA607">
        <v>6</v>
      </c>
      <c r="AB607">
        <v>17</v>
      </c>
      <c r="AC607">
        <v>5.85</v>
      </c>
      <c r="AD607" t="s">
        <v>4671</v>
      </c>
      <c r="AE607" t="s">
        <v>4672</v>
      </c>
      <c r="AF607" t="s">
        <v>4673</v>
      </c>
      <c r="AG607" t="s">
        <v>4674</v>
      </c>
      <c r="AH607">
        <v>8.89</v>
      </c>
      <c r="AI607">
        <v>5.8</v>
      </c>
      <c r="AJ607">
        <v>9.08</v>
      </c>
      <c r="AK607">
        <v>15.98</v>
      </c>
      <c r="AL607">
        <v>2</v>
      </c>
      <c r="AM607">
        <v>10.58</v>
      </c>
      <c r="AN607">
        <v>73.83</v>
      </c>
      <c r="AO607">
        <v>13.51</v>
      </c>
      <c r="AP607">
        <v>71.92</v>
      </c>
    </row>
    <row r="608" spans="1:42">
      <c r="A608">
        <v>607</v>
      </c>
      <c r="B608" t="str">
        <f>"002336"</f>
        <v>002336</v>
      </c>
      <c r="C608" t="s">
        <v>4675</v>
      </c>
      <c r="D608">
        <v>15.3</v>
      </c>
      <c r="E608">
        <v>-1.42</v>
      </c>
      <c r="F608">
        <v>-0.22</v>
      </c>
      <c r="G608" t="s">
        <v>1462</v>
      </c>
      <c r="H608">
        <v>1868</v>
      </c>
      <c r="I608">
        <v>15.29</v>
      </c>
      <c r="J608">
        <v>15.3</v>
      </c>
      <c r="K608" t="s">
        <v>4676</v>
      </c>
      <c r="L608">
        <v>5.29</v>
      </c>
      <c r="M608" t="s">
        <v>46</v>
      </c>
      <c r="N608" t="s">
        <v>4677</v>
      </c>
      <c r="O608">
        <v>16.29</v>
      </c>
      <c r="P608">
        <v>15.24</v>
      </c>
      <c r="Q608">
        <v>15.5</v>
      </c>
      <c r="R608">
        <v>15.52</v>
      </c>
      <c r="S608">
        <v>6.77</v>
      </c>
      <c r="T608">
        <v>1.28</v>
      </c>
      <c r="U608">
        <v>50.13</v>
      </c>
      <c r="V608">
        <v>2407</v>
      </c>
      <c r="W608">
        <v>15.62</v>
      </c>
      <c r="X608" t="s">
        <v>2960</v>
      </c>
      <c r="Y608" t="s">
        <v>1045</v>
      </c>
      <c r="Z608">
        <v>1.41</v>
      </c>
      <c r="AA608">
        <v>884</v>
      </c>
      <c r="AB608">
        <v>287</v>
      </c>
      <c r="AC608">
        <v>-18.32</v>
      </c>
      <c r="AD608" t="s">
        <v>4678</v>
      </c>
      <c r="AE608" t="s">
        <v>2068</v>
      </c>
      <c r="AF608" t="s">
        <v>4679</v>
      </c>
      <c r="AG608" t="s">
        <v>4680</v>
      </c>
      <c r="AH608">
        <v>1.12</v>
      </c>
      <c r="AI608">
        <v>2.96</v>
      </c>
      <c r="AJ608">
        <v>15.78</v>
      </c>
      <c r="AK608">
        <v>26.01</v>
      </c>
      <c r="AL608">
        <v>-1</v>
      </c>
      <c r="AM608">
        <v>-1.42</v>
      </c>
      <c r="AN608">
        <v>-18.44</v>
      </c>
      <c r="AO608">
        <v>12.09</v>
      </c>
      <c r="AP608">
        <v>106.2</v>
      </c>
    </row>
    <row r="609" spans="1:42">
      <c r="A609">
        <v>608</v>
      </c>
      <c r="B609" t="str">
        <f>"601211"</f>
        <v>601211</v>
      </c>
      <c r="C609" t="s">
        <v>4681</v>
      </c>
      <c r="D609">
        <v>15.07</v>
      </c>
      <c r="E609">
        <v>-0.2</v>
      </c>
      <c r="F609">
        <v>-0.03</v>
      </c>
      <c r="G609" t="s">
        <v>509</v>
      </c>
      <c r="H609">
        <v>1054</v>
      </c>
      <c r="I609">
        <v>15.07</v>
      </c>
      <c r="J609">
        <v>15.08</v>
      </c>
      <c r="K609" t="s">
        <v>4676</v>
      </c>
      <c r="L609">
        <v>0.27</v>
      </c>
      <c r="M609" t="s">
        <v>46</v>
      </c>
      <c r="N609" t="s">
        <v>4682</v>
      </c>
      <c r="O609">
        <v>15.13</v>
      </c>
      <c r="P609">
        <v>14.97</v>
      </c>
      <c r="Q609">
        <v>15.05</v>
      </c>
      <c r="R609">
        <v>15.1</v>
      </c>
      <c r="S609">
        <v>1.06</v>
      </c>
      <c r="T609">
        <v>1.23</v>
      </c>
      <c r="U609">
        <v>-19.21</v>
      </c>
      <c r="V609">
        <v>-961</v>
      </c>
      <c r="W609">
        <v>15.05</v>
      </c>
      <c r="X609" t="s">
        <v>4683</v>
      </c>
      <c r="Y609" t="s">
        <v>4356</v>
      </c>
      <c r="Z609">
        <v>0.78</v>
      </c>
      <c r="AA609">
        <v>194</v>
      </c>
      <c r="AB609">
        <v>564</v>
      </c>
      <c r="AC609">
        <v>0.92</v>
      </c>
      <c r="AD609" t="s">
        <v>4684</v>
      </c>
      <c r="AE609" t="s">
        <v>4685</v>
      </c>
      <c r="AF609" t="s">
        <v>1551</v>
      </c>
      <c r="AG609" t="s">
        <v>4686</v>
      </c>
      <c r="AH609">
        <v>-0.07</v>
      </c>
      <c r="AI609">
        <v>-1.31</v>
      </c>
      <c r="AJ609">
        <v>0.72</v>
      </c>
      <c r="AK609">
        <v>1.39</v>
      </c>
      <c r="AL609">
        <v>-1</v>
      </c>
      <c r="AM609">
        <v>-0.2</v>
      </c>
      <c r="AN609">
        <v>15.39</v>
      </c>
      <c r="AO609">
        <v>0.87</v>
      </c>
      <c r="AP609">
        <v>13.74</v>
      </c>
    </row>
    <row r="610" spans="1:42">
      <c r="A610">
        <v>609</v>
      </c>
      <c r="B610" t="str">
        <f>"300135"</f>
        <v>300135</v>
      </c>
      <c r="C610" t="s">
        <v>4687</v>
      </c>
      <c r="D610">
        <v>5.89</v>
      </c>
      <c r="E610">
        <v>1.73</v>
      </c>
      <c r="F610">
        <v>0.1</v>
      </c>
      <c r="G610" t="s">
        <v>4688</v>
      </c>
      <c r="H610">
        <v>7724</v>
      </c>
      <c r="I610">
        <v>5.89</v>
      </c>
      <c r="J610">
        <v>5.9</v>
      </c>
      <c r="K610" t="s">
        <v>4676</v>
      </c>
      <c r="L610">
        <v>5.69</v>
      </c>
      <c r="M610" t="s">
        <v>46</v>
      </c>
      <c r="N610" t="s">
        <v>4689</v>
      </c>
      <c r="O610">
        <v>6</v>
      </c>
      <c r="P610">
        <v>5.74</v>
      </c>
      <c r="Q610">
        <v>5.76</v>
      </c>
      <c r="R610">
        <v>5.79</v>
      </c>
      <c r="S610">
        <v>4.49</v>
      </c>
      <c r="T610">
        <v>0.67</v>
      </c>
      <c r="U610">
        <v>43.87</v>
      </c>
      <c r="V610" t="s">
        <v>383</v>
      </c>
      <c r="W610">
        <v>5.88</v>
      </c>
      <c r="X610" t="s">
        <v>2507</v>
      </c>
      <c r="Y610" t="s">
        <v>3410</v>
      </c>
      <c r="Z610">
        <v>1.04</v>
      </c>
      <c r="AA610" t="s">
        <v>189</v>
      </c>
      <c r="AB610">
        <v>3349</v>
      </c>
      <c r="AC610">
        <v>5.42</v>
      </c>
      <c r="AD610" t="s">
        <v>4690</v>
      </c>
      <c r="AE610" t="s">
        <v>4691</v>
      </c>
      <c r="AF610" t="s">
        <v>4690</v>
      </c>
      <c r="AG610" t="s">
        <v>4691</v>
      </c>
      <c r="AH610">
        <v>0</v>
      </c>
      <c r="AI610">
        <v>25.32</v>
      </c>
      <c r="AJ610">
        <v>16.68</v>
      </c>
      <c r="AK610">
        <v>48.39</v>
      </c>
      <c r="AL610">
        <v>1</v>
      </c>
      <c r="AM610">
        <v>1.73</v>
      </c>
      <c r="AN610">
        <v>114.18</v>
      </c>
      <c r="AO610">
        <v>59.62</v>
      </c>
      <c r="AP610">
        <v>124.81</v>
      </c>
    </row>
    <row r="611" spans="1:42">
      <c r="A611">
        <v>610</v>
      </c>
      <c r="B611" t="str">
        <f>"002600"</f>
        <v>002600</v>
      </c>
      <c r="C611" t="s">
        <v>4692</v>
      </c>
      <c r="D611">
        <v>6.74</v>
      </c>
      <c r="E611">
        <v>0.75</v>
      </c>
      <c r="F611">
        <v>0.05</v>
      </c>
      <c r="G611" t="s">
        <v>2141</v>
      </c>
      <c r="H611">
        <v>3347</v>
      </c>
      <c r="I611">
        <v>6.74</v>
      </c>
      <c r="J611">
        <v>6.75</v>
      </c>
      <c r="K611" t="s">
        <v>4676</v>
      </c>
      <c r="L611">
        <v>0.67</v>
      </c>
      <c r="M611" t="s">
        <v>46</v>
      </c>
      <c r="N611" t="s">
        <v>4693</v>
      </c>
      <c r="O611">
        <v>6.78</v>
      </c>
      <c r="P611">
        <v>6.61</v>
      </c>
      <c r="Q611">
        <v>6.66</v>
      </c>
      <c r="R611">
        <v>6.69</v>
      </c>
      <c r="S611">
        <v>2.54</v>
      </c>
      <c r="T611">
        <v>0.5</v>
      </c>
      <c r="U611">
        <v>-39.19</v>
      </c>
      <c r="V611" t="s">
        <v>4694</v>
      </c>
      <c r="W611">
        <v>6.7</v>
      </c>
      <c r="X611" t="s">
        <v>2408</v>
      </c>
      <c r="Y611" t="s">
        <v>1786</v>
      </c>
      <c r="Z611">
        <v>1.13</v>
      </c>
      <c r="AA611">
        <v>1998</v>
      </c>
      <c r="AB611">
        <v>5183</v>
      </c>
      <c r="AC611">
        <v>2.61</v>
      </c>
      <c r="AD611" t="s">
        <v>4695</v>
      </c>
      <c r="AE611" t="s">
        <v>4696</v>
      </c>
      <c r="AF611" t="s">
        <v>4697</v>
      </c>
      <c r="AG611" t="s">
        <v>4698</v>
      </c>
      <c r="AH611">
        <v>-1.17</v>
      </c>
      <c r="AI611">
        <v>0.3</v>
      </c>
      <c r="AJ611">
        <v>2.87</v>
      </c>
      <c r="AK611">
        <v>7.29</v>
      </c>
      <c r="AL611">
        <v>1</v>
      </c>
      <c r="AM611">
        <v>0.75</v>
      </c>
      <c r="AN611">
        <v>53.53</v>
      </c>
      <c r="AO611">
        <v>10.86</v>
      </c>
      <c r="AP611">
        <v>41.89</v>
      </c>
    </row>
    <row r="612" spans="1:42">
      <c r="A612">
        <v>611</v>
      </c>
      <c r="B612" t="str">
        <f>"000503"</f>
        <v>000503</v>
      </c>
      <c r="C612" t="s">
        <v>4699</v>
      </c>
      <c r="D612">
        <v>14.28</v>
      </c>
      <c r="E612">
        <v>0.99</v>
      </c>
      <c r="F612">
        <v>0.14</v>
      </c>
      <c r="G612" t="s">
        <v>2893</v>
      </c>
      <c r="H612">
        <v>5684</v>
      </c>
      <c r="I612">
        <v>14.27</v>
      </c>
      <c r="J612">
        <v>14.28</v>
      </c>
      <c r="K612" t="s">
        <v>3485</v>
      </c>
      <c r="L612">
        <v>2.4</v>
      </c>
      <c r="M612" t="s">
        <v>46</v>
      </c>
      <c r="N612" t="s">
        <v>4700</v>
      </c>
      <c r="O612">
        <v>14.65</v>
      </c>
      <c r="P612">
        <v>14</v>
      </c>
      <c r="Q612">
        <v>14.13</v>
      </c>
      <c r="R612">
        <v>14.14</v>
      </c>
      <c r="S612">
        <v>4.6</v>
      </c>
      <c r="T612">
        <v>0.5</v>
      </c>
      <c r="U612">
        <v>-58.66</v>
      </c>
      <c r="V612">
        <v>-3653</v>
      </c>
      <c r="W612">
        <v>14.27</v>
      </c>
      <c r="X612" t="s">
        <v>829</v>
      </c>
      <c r="Y612" t="s">
        <v>740</v>
      </c>
      <c r="Z612">
        <v>1.06</v>
      </c>
      <c r="AA612">
        <v>26</v>
      </c>
      <c r="AB612">
        <v>2055</v>
      </c>
      <c r="AC612">
        <v>21.31</v>
      </c>
      <c r="AD612" t="s">
        <v>4701</v>
      </c>
      <c r="AE612" t="s">
        <v>4702</v>
      </c>
      <c r="AF612" t="s">
        <v>4703</v>
      </c>
      <c r="AG612" t="s">
        <v>4704</v>
      </c>
      <c r="AH612">
        <v>-2.06</v>
      </c>
      <c r="AI612">
        <v>-1.59</v>
      </c>
      <c r="AJ612">
        <v>9.41</v>
      </c>
      <c r="AK612">
        <v>26.55</v>
      </c>
      <c r="AL612">
        <v>1</v>
      </c>
      <c r="AM612">
        <v>0.99</v>
      </c>
      <c r="AN612">
        <v>40.55</v>
      </c>
      <c r="AO612">
        <v>29.94</v>
      </c>
      <c r="AP612">
        <v>31.01</v>
      </c>
    </row>
    <row r="613" spans="1:42">
      <c r="A613">
        <v>612</v>
      </c>
      <c r="B613" t="str">
        <f>"605090"</f>
        <v>605090</v>
      </c>
      <c r="C613" t="s">
        <v>4705</v>
      </c>
      <c r="D613">
        <v>30.78</v>
      </c>
      <c r="E613">
        <v>-0.23</v>
      </c>
      <c r="F613">
        <v>-0.07</v>
      </c>
      <c r="G613" t="s">
        <v>4706</v>
      </c>
      <c r="H613">
        <v>1106</v>
      </c>
      <c r="I613">
        <v>30.75</v>
      </c>
      <c r="J613">
        <v>30.78</v>
      </c>
      <c r="K613" t="s">
        <v>3485</v>
      </c>
      <c r="L613">
        <v>3.85</v>
      </c>
      <c r="M613" t="s">
        <v>46</v>
      </c>
      <c r="N613" t="s">
        <v>4707</v>
      </c>
      <c r="O613">
        <v>31.5</v>
      </c>
      <c r="P613">
        <v>30.3</v>
      </c>
      <c r="Q613">
        <v>30.37</v>
      </c>
      <c r="R613">
        <v>30.85</v>
      </c>
      <c r="S613">
        <v>3.89</v>
      </c>
      <c r="T613">
        <v>0.68</v>
      </c>
      <c r="U613">
        <v>-69.33</v>
      </c>
      <c r="V613">
        <v>-493</v>
      </c>
      <c r="W613">
        <v>30.73</v>
      </c>
      <c r="X613" t="s">
        <v>4708</v>
      </c>
      <c r="Y613" t="s">
        <v>1708</v>
      </c>
      <c r="Z613">
        <v>0.97</v>
      </c>
      <c r="AA613">
        <v>14</v>
      </c>
      <c r="AB613">
        <v>12</v>
      </c>
      <c r="AC613">
        <v>2.58</v>
      </c>
      <c r="AD613" t="s">
        <v>4709</v>
      </c>
      <c r="AE613" t="s">
        <v>4710</v>
      </c>
      <c r="AF613" t="s">
        <v>4711</v>
      </c>
      <c r="AG613" t="s">
        <v>4712</v>
      </c>
      <c r="AH613">
        <v>7.51</v>
      </c>
      <c r="AI613">
        <v>7.25</v>
      </c>
      <c r="AJ613">
        <v>15.69</v>
      </c>
      <c r="AK613">
        <v>32.16</v>
      </c>
      <c r="AL613">
        <v>-1</v>
      </c>
      <c r="AM613">
        <v>-0.23</v>
      </c>
      <c r="AN613">
        <v>53.52</v>
      </c>
      <c r="AO613">
        <v>26.61</v>
      </c>
      <c r="AP613">
        <v>39.15</v>
      </c>
    </row>
    <row r="614" spans="1:42">
      <c r="A614">
        <v>613</v>
      </c>
      <c r="B614" t="str">
        <f>"601868"</f>
        <v>601868</v>
      </c>
      <c r="C614" t="s">
        <v>4713</v>
      </c>
      <c r="D614">
        <v>2.15</v>
      </c>
      <c r="E614">
        <v>0.94</v>
      </c>
      <c r="F614">
        <v>0.02</v>
      </c>
      <c r="G614" t="s">
        <v>732</v>
      </c>
      <c r="H614" t="s">
        <v>1710</v>
      </c>
      <c r="I614">
        <v>2.15</v>
      </c>
      <c r="J614">
        <v>2.16</v>
      </c>
      <c r="K614" t="s">
        <v>4714</v>
      </c>
      <c r="L614">
        <v>1.01</v>
      </c>
      <c r="M614" t="s">
        <v>46</v>
      </c>
      <c r="N614" t="s">
        <v>4715</v>
      </c>
      <c r="O614">
        <v>2.16</v>
      </c>
      <c r="P614">
        <v>2.12</v>
      </c>
      <c r="Q614">
        <v>2.14</v>
      </c>
      <c r="R614">
        <v>2.13</v>
      </c>
      <c r="S614">
        <v>1.88</v>
      </c>
      <c r="T614">
        <v>1.4</v>
      </c>
      <c r="U614">
        <v>-11.47</v>
      </c>
      <c r="V614" t="s">
        <v>4716</v>
      </c>
      <c r="W614">
        <v>2.14</v>
      </c>
      <c r="X614" t="s">
        <v>96</v>
      </c>
      <c r="Y614" t="s">
        <v>812</v>
      </c>
      <c r="Z614">
        <v>0.4</v>
      </c>
      <c r="AA614" t="s">
        <v>4717</v>
      </c>
      <c r="AB614" t="s">
        <v>2213</v>
      </c>
      <c r="AC614">
        <v>0.94</v>
      </c>
      <c r="AD614" t="s">
        <v>4718</v>
      </c>
      <c r="AE614" t="s">
        <v>4719</v>
      </c>
      <c r="AF614" t="s">
        <v>4565</v>
      </c>
      <c r="AG614" t="s">
        <v>4720</v>
      </c>
      <c r="AH614">
        <v>0</v>
      </c>
      <c r="AI614">
        <v>-0.92</v>
      </c>
      <c r="AJ614">
        <v>2.4</v>
      </c>
      <c r="AK614">
        <v>4.59</v>
      </c>
      <c r="AL614">
        <v>1</v>
      </c>
      <c r="AM614">
        <v>0.94</v>
      </c>
      <c r="AN614">
        <v>-4.87</v>
      </c>
      <c r="AO614">
        <v>-1.38</v>
      </c>
      <c r="AP614">
        <v>-11.16</v>
      </c>
    </row>
    <row r="615" spans="1:42">
      <c r="A615">
        <v>614</v>
      </c>
      <c r="B615" t="str">
        <f>"300580"</f>
        <v>300580</v>
      </c>
      <c r="C615" t="s">
        <v>4721</v>
      </c>
      <c r="D615">
        <v>33.05</v>
      </c>
      <c r="E615">
        <v>-3.11</v>
      </c>
      <c r="F615">
        <v>-1.06</v>
      </c>
      <c r="G615" t="s">
        <v>4722</v>
      </c>
      <c r="H615">
        <v>693</v>
      </c>
      <c r="I615">
        <v>33.04</v>
      </c>
      <c r="J615">
        <v>33.05</v>
      </c>
      <c r="K615" t="s">
        <v>4723</v>
      </c>
      <c r="L615">
        <v>2.88</v>
      </c>
      <c r="M615" t="s">
        <v>46</v>
      </c>
      <c r="N615" t="s">
        <v>241</v>
      </c>
      <c r="O615">
        <v>34.56</v>
      </c>
      <c r="P615">
        <v>32.5</v>
      </c>
      <c r="Q615">
        <v>33.66</v>
      </c>
      <c r="R615">
        <v>34.11</v>
      </c>
      <c r="S615">
        <v>6.04</v>
      </c>
      <c r="T615">
        <v>0.85</v>
      </c>
      <c r="U615">
        <v>41.73</v>
      </c>
      <c r="V615">
        <v>169</v>
      </c>
      <c r="W615">
        <v>33.24</v>
      </c>
      <c r="X615" t="s">
        <v>1951</v>
      </c>
      <c r="Y615" t="s">
        <v>4724</v>
      </c>
      <c r="Z615">
        <v>1.28</v>
      </c>
      <c r="AA615">
        <v>5</v>
      </c>
      <c r="AB615">
        <v>59</v>
      </c>
      <c r="AC615">
        <v>4</v>
      </c>
      <c r="AD615" t="s">
        <v>4725</v>
      </c>
      <c r="AE615" t="s">
        <v>4726</v>
      </c>
      <c r="AF615" t="s">
        <v>4727</v>
      </c>
      <c r="AG615" t="s">
        <v>4728</v>
      </c>
      <c r="AH615">
        <v>-0.21</v>
      </c>
      <c r="AI615">
        <v>0.39</v>
      </c>
      <c r="AJ615">
        <v>10.85</v>
      </c>
      <c r="AK615">
        <v>19.9</v>
      </c>
      <c r="AL615">
        <v>-2</v>
      </c>
      <c r="AM615">
        <v>-3.11</v>
      </c>
      <c r="AN615">
        <v>172.02</v>
      </c>
      <c r="AO615">
        <v>24.29</v>
      </c>
      <c r="AP615">
        <v>158.61</v>
      </c>
    </row>
    <row r="616" spans="1:42">
      <c r="A616">
        <v>615</v>
      </c>
      <c r="B616" t="str">
        <f>"601007"</f>
        <v>601007</v>
      </c>
      <c r="C616" t="s">
        <v>4729</v>
      </c>
      <c r="D616">
        <v>8.88</v>
      </c>
      <c r="E616">
        <v>0</v>
      </c>
      <c r="F616">
        <v>0</v>
      </c>
      <c r="G616" t="s">
        <v>1832</v>
      </c>
      <c r="H616">
        <v>2319</v>
      </c>
      <c r="I616">
        <v>8.88</v>
      </c>
      <c r="J616">
        <v>8.89</v>
      </c>
      <c r="K616" t="s">
        <v>4723</v>
      </c>
      <c r="L616">
        <v>8.78</v>
      </c>
      <c r="M616" t="s">
        <v>46</v>
      </c>
      <c r="N616" t="s">
        <v>2900</v>
      </c>
      <c r="O616">
        <v>9.18</v>
      </c>
      <c r="P616">
        <v>8.71</v>
      </c>
      <c r="Q616">
        <v>8.98</v>
      </c>
      <c r="R616">
        <v>8.88</v>
      </c>
      <c r="S616">
        <v>5.29</v>
      </c>
      <c r="T616">
        <v>1.57</v>
      </c>
      <c r="U616">
        <v>-38.62</v>
      </c>
      <c r="V616">
        <v>-2372</v>
      </c>
      <c r="W616">
        <v>8.9</v>
      </c>
      <c r="X616" t="s">
        <v>937</v>
      </c>
      <c r="Y616" t="s">
        <v>937</v>
      </c>
      <c r="Z616">
        <v>1</v>
      </c>
      <c r="AA616">
        <v>1124</v>
      </c>
      <c r="AB616">
        <v>2331</v>
      </c>
      <c r="AC616">
        <v>2.18</v>
      </c>
      <c r="AD616" t="s">
        <v>4730</v>
      </c>
      <c r="AE616" t="s">
        <v>4731</v>
      </c>
      <c r="AF616" t="s">
        <v>4730</v>
      </c>
      <c r="AG616" t="s">
        <v>4731</v>
      </c>
      <c r="AH616">
        <v>5.71</v>
      </c>
      <c r="AI616">
        <v>10.04</v>
      </c>
      <c r="AJ616">
        <v>22.97</v>
      </c>
      <c r="AK616">
        <v>36.85</v>
      </c>
      <c r="AL616">
        <v>0</v>
      </c>
      <c r="AM616">
        <v>0</v>
      </c>
      <c r="AN616">
        <v>-27.33</v>
      </c>
      <c r="AO616">
        <v>15.03</v>
      </c>
      <c r="AP616">
        <v>4.72</v>
      </c>
    </row>
    <row r="617" spans="1:42">
      <c r="A617">
        <v>616</v>
      </c>
      <c r="B617" t="str">
        <f>"301191"</f>
        <v>301191</v>
      </c>
      <c r="C617" t="s">
        <v>4732</v>
      </c>
      <c r="D617">
        <v>98.85</v>
      </c>
      <c r="E617">
        <v>4.07</v>
      </c>
      <c r="F617">
        <v>3.87</v>
      </c>
      <c r="G617" t="s">
        <v>4733</v>
      </c>
      <c r="H617">
        <v>314</v>
      </c>
      <c r="I617">
        <v>98.85</v>
      </c>
      <c r="J617">
        <v>98.86</v>
      </c>
      <c r="K617" t="s">
        <v>4723</v>
      </c>
      <c r="L617">
        <v>12.06</v>
      </c>
      <c r="M617" t="s">
        <v>46</v>
      </c>
      <c r="N617" t="s">
        <v>2959</v>
      </c>
      <c r="O617">
        <v>100</v>
      </c>
      <c r="P617">
        <v>93.4</v>
      </c>
      <c r="Q617">
        <v>94.98</v>
      </c>
      <c r="R617">
        <v>94.98</v>
      </c>
      <c r="S617">
        <v>6.95</v>
      </c>
      <c r="T617">
        <v>1.24</v>
      </c>
      <c r="U617">
        <v>25.13</v>
      </c>
      <c r="V617">
        <v>54</v>
      </c>
      <c r="W617">
        <v>96.76</v>
      </c>
      <c r="X617" t="s">
        <v>1384</v>
      </c>
      <c r="Y617" t="s">
        <v>432</v>
      </c>
      <c r="Z617">
        <v>0.75</v>
      </c>
      <c r="AA617">
        <v>63</v>
      </c>
      <c r="AB617">
        <v>10</v>
      </c>
      <c r="AC617">
        <v>4.16</v>
      </c>
      <c r="AD617" t="s">
        <v>4734</v>
      </c>
      <c r="AE617" t="s">
        <v>4735</v>
      </c>
      <c r="AF617" t="s">
        <v>4736</v>
      </c>
      <c r="AG617" t="s">
        <v>4737</v>
      </c>
      <c r="AH617">
        <v>2.03</v>
      </c>
      <c r="AI617">
        <v>4.5</v>
      </c>
      <c r="AJ617">
        <v>31.39</v>
      </c>
      <c r="AK617">
        <v>60.8</v>
      </c>
      <c r="AL617">
        <v>1</v>
      </c>
      <c r="AM617">
        <v>4.07</v>
      </c>
      <c r="AN617">
        <v>83.33</v>
      </c>
      <c r="AO617">
        <v>9.44</v>
      </c>
      <c r="AP617">
        <v>41.05</v>
      </c>
    </row>
    <row r="618" spans="1:42">
      <c r="A618">
        <v>617</v>
      </c>
      <c r="B618" t="str">
        <f>"002979"</f>
        <v>002979</v>
      </c>
      <c r="C618" t="s">
        <v>4738</v>
      </c>
      <c r="D618">
        <v>20.7</v>
      </c>
      <c r="E618">
        <v>0.58</v>
      </c>
      <c r="F618">
        <v>0.12</v>
      </c>
      <c r="G618" t="s">
        <v>598</v>
      </c>
      <c r="H618">
        <v>2507</v>
      </c>
      <c r="I618">
        <v>20.69</v>
      </c>
      <c r="J618">
        <v>20.7</v>
      </c>
      <c r="K618" t="s">
        <v>4739</v>
      </c>
      <c r="L618">
        <v>6.87</v>
      </c>
      <c r="M618" t="s">
        <v>46</v>
      </c>
      <c r="N618" t="s">
        <v>289</v>
      </c>
      <c r="O618">
        <v>20.95</v>
      </c>
      <c r="P618">
        <v>20.3</v>
      </c>
      <c r="Q618">
        <v>20.5</v>
      </c>
      <c r="R618">
        <v>20.58</v>
      </c>
      <c r="S618">
        <v>3.16</v>
      </c>
      <c r="T618">
        <v>0.66</v>
      </c>
      <c r="U618">
        <v>-72.97</v>
      </c>
      <c r="V618">
        <v>-923</v>
      </c>
      <c r="W618">
        <v>20.61</v>
      </c>
      <c r="X618" t="s">
        <v>4740</v>
      </c>
      <c r="Y618" t="s">
        <v>4741</v>
      </c>
      <c r="Z618">
        <v>1.08</v>
      </c>
      <c r="AA618">
        <v>16</v>
      </c>
      <c r="AB618">
        <v>984</v>
      </c>
      <c r="AC618">
        <v>5.03</v>
      </c>
      <c r="AD618" t="s">
        <v>4025</v>
      </c>
      <c r="AE618" t="s">
        <v>4742</v>
      </c>
      <c r="AF618" t="s">
        <v>4743</v>
      </c>
      <c r="AG618" t="s">
        <v>4744</v>
      </c>
      <c r="AH618">
        <v>-3.32</v>
      </c>
      <c r="AI618">
        <v>9</v>
      </c>
      <c r="AJ618">
        <v>29.89</v>
      </c>
      <c r="AK618">
        <v>58.8</v>
      </c>
      <c r="AL618">
        <v>1</v>
      </c>
      <c r="AM618">
        <v>0.58</v>
      </c>
      <c r="AN618">
        <v>-7.22</v>
      </c>
      <c r="AO618">
        <v>24.7</v>
      </c>
      <c r="AP618">
        <v>-10</v>
      </c>
    </row>
    <row r="619" spans="1:42">
      <c r="A619">
        <v>618</v>
      </c>
      <c r="B619" t="str">
        <f>"002988"</f>
        <v>002988</v>
      </c>
      <c r="C619" t="s">
        <v>4745</v>
      </c>
      <c r="D619">
        <v>25.15</v>
      </c>
      <c r="E619">
        <v>2.07</v>
      </c>
      <c r="F619">
        <v>0.51</v>
      </c>
      <c r="G619" t="s">
        <v>447</v>
      </c>
      <c r="H619">
        <v>2893</v>
      </c>
      <c r="I619">
        <v>25.15</v>
      </c>
      <c r="J619">
        <v>25.16</v>
      </c>
      <c r="K619" t="s">
        <v>4739</v>
      </c>
      <c r="L619">
        <v>4.99</v>
      </c>
      <c r="M619" t="s">
        <v>46</v>
      </c>
      <c r="N619" t="s">
        <v>4144</v>
      </c>
      <c r="O619">
        <v>25.22</v>
      </c>
      <c r="P619">
        <v>24.38</v>
      </c>
      <c r="Q619">
        <v>24.66</v>
      </c>
      <c r="R619">
        <v>24.64</v>
      </c>
      <c r="S619">
        <v>3.41</v>
      </c>
      <c r="T619">
        <v>1</v>
      </c>
      <c r="U619">
        <v>57.5</v>
      </c>
      <c r="V619">
        <v>1894</v>
      </c>
      <c r="W619">
        <v>24.97</v>
      </c>
      <c r="X619" t="s">
        <v>4746</v>
      </c>
      <c r="Y619" t="s">
        <v>3090</v>
      </c>
      <c r="Z619">
        <v>1.05</v>
      </c>
      <c r="AA619">
        <v>461</v>
      </c>
      <c r="AB619">
        <v>29</v>
      </c>
      <c r="AC619">
        <v>3.02</v>
      </c>
      <c r="AD619" t="s">
        <v>4747</v>
      </c>
      <c r="AE619" t="s">
        <v>4748</v>
      </c>
      <c r="AF619" t="s">
        <v>4749</v>
      </c>
      <c r="AG619" t="s">
        <v>4750</v>
      </c>
      <c r="AH619">
        <v>0.56</v>
      </c>
      <c r="AI619">
        <v>-3.6</v>
      </c>
      <c r="AJ619">
        <v>12.24</v>
      </c>
      <c r="AK619">
        <v>30.02</v>
      </c>
      <c r="AL619">
        <v>1</v>
      </c>
      <c r="AM619">
        <v>2.07</v>
      </c>
      <c r="AN619">
        <v>88.39</v>
      </c>
      <c r="AO619">
        <v>22.8</v>
      </c>
      <c r="AP619">
        <v>69.7</v>
      </c>
    </row>
    <row r="620" spans="1:42">
      <c r="A620">
        <v>619</v>
      </c>
      <c r="B620" t="str">
        <f>"002803"</f>
        <v>002803</v>
      </c>
      <c r="C620" t="s">
        <v>4751</v>
      </c>
      <c r="D620">
        <v>24.01</v>
      </c>
      <c r="E620">
        <v>2.83</v>
      </c>
      <c r="F620">
        <v>0.66</v>
      </c>
      <c r="G620" t="s">
        <v>446</v>
      </c>
      <c r="H620">
        <v>3672</v>
      </c>
      <c r="I620">
        <v>24.01</v>
      </c>
      <c r="J620">
        <v>24.02</v>
      </c>
      <c r="K620" t="s">
        <v>4739</v>
      </c>
      <c r="L620">
        <v>4.49</v>
      </c>
      <c r="M620" t="s">
        <v>46</v>
      </c>
      <c r="N620" t="s">
        <v>4752</v>
      </c>
      <c r="O620">
        <v>24.04</v>
      </c>
      <c r="P620">
        <v>23.36</v>
      </c>
      <c r="Q620">
        <v>23.36</v>
      </c>
      <c r="R620">
        <v>23.35</v>
      </c>
      <c r="S620">
        <v>2.91</v>
      </c>
      <c r="T620">
        <v>1.29</v>
      </c>
      <c r="U620">
        <v>50.13</v>
      </c>
      <c r="V620">
        <v>1100</v>
      </c>
      <c r="W620">
        <v>23.78</v>
      </c>
      <c r="X620" t="s">
        <v>4753</v>
      </c>
      <c r="Y620" t="s">
        <v>3002</v>
      </c>
      <c r="Z620">
        <v>0.86</v>
      </c>
      <c r="AA620">
        <v>659</v>
      </c>
      <c r="AB620">
        <v>148</v>
      </c>
      <c r="AC620">
        <v>3.98</v>
      </c>
      <c r="AD620" t="s">
        <v>4754</v>
      </c>
      <c r="AE620" t="s">
        <v>4755</v>
      </c>
      <c r="AF620" t="s">
        <v>4756</v>
      </c>
      <c r="AG620" t="s">
        <v>4757</v>
      </c>
      <c r="AH620">
        <v>4.85</v>
      </c>
      <c r="AI620">
        <v>1.27</v>
      </c>
      <c r="AJ620">
        <v>10.58</v>
      </c>
      <c r="AK620">
        <v>21.89</v>
      </c>
      <c r="AL620">
        <v>3</v>
      </c>
      <c r="AM620">
        <v>2.83</v>
      </c>
      <c r="AN620">
        <v>56.11</v>
      </c>
      <c r="AO620">
        <v>14.99</v>
      </c>
      <c r="AP620">
        <v>71.5</v>
      </c>
    </row>
    <row r="621" spans="1:42">
      <c r="A621">
        <v>620</v>
      </c>
      <c r="B621" t="str">
        <f>"300114"</f>
        <v>300114</v>
      </c>
      <c r="C621" t="s">
        <v>4758</v>
      </c>
      <c r="D621">
        <v>44.63</v>
      </c>
      <c r="E621">
        <v>1.76</v>
      </c>
      <c r="F621">
        <v>0.77</v>
      </c>
      <c r="G621" t="s">
        <v>4759</v>
      </c>
      <c r="H621">
        <v>783</v>
      </c>
      <c r="I621">
        <v>44.62</v>
      </c>
      <c r="J621">
        <v>44.63</v>
      </c>
      <c r="K621" t="s">
        <v>4760</v>
      </c>
      <c r="L621">
        <v>1.15</v>
      </c>
      <c r="M621" t="s">
        <v>46</v>
      </c>
      <c r="N621" t="s">
        <v>3125</v>
      </c>
      <c r="O621">
        <v>45.2</v>
      </c>
      <c r="P621">
        <v>43.9</v>
      </c>
      <c r="Q621">
        <v>43.96</v>
      </c>
      <c r="R621">
        <v>43.86</v>
      </c>
      <c r="S621">
        <v>2.96</v>
      </c>
      <c r="T621">
        <v>1.04</v>
      </c>
      <c r="U621">
        <v>-0.47</v>
      </c>
      <c r="V621">
        <v>-3</v>
      </c>
      <c r="W621">
        <v>44.64</v>
      </c>
      <c r="X621" t="s">
        <v>4761</v>
      </c>
      <c r="Y621" t="s">
        <v>4527</v>
      </c>
      <c r="Z621">
        <v>0.92</v>
      </c>
      <c r="AA621">
        <v>16</v>
      </c>
      <c r="AB621">
        <v>45</v>
      </c>
      <c r="AC621">
        <v>11.08</v>
      </c>
      <c r="AD621" t="s">
        <v>4762</v>
      </c>
      <c r="AE621" t="s">
        <v>4763</v>
      </c>
      <c r="AF621" t="s">
        <v>4762</v>
      </c>
      <c r="AG621" t="s">
        <v>4763</v>
      </c>
      <c r="AH621">
        <v>-1.11</v>
      </c>
      <c r="AI621">
        <v>-0.82</v>
      </c>
      <c r="AJ621">
        <v>3.24</v>
      </c>
      <c r="AK621">
        <v>6.64</v>
      </c>
      <c r="AL621">
        <v>1</v>
      </c>
      <c r="AM621">
        <v>1.76</v>
      </c>
      <c r="AN621">
        <v>336.27</v>
      </c>
      <c r="AO621">
        <v>-1.61</v>
      </c>
      <c r="AP621">
        <v>303.53</v>
      </c>
    </row>
    <row r="622" spans="1:42">
      <c r="A622">
        <v>621</v>
      </c>
      <c r="B622" t="str">
        <f>"002896"</f>
        <v>002896</v>
      </c>
      <c r="C622" t="s">
        <v>4764</v>
      </c>
      <c r="D622">
        <v>37.87</v>
      </c>
      <c r="E622">
        <v>-1.79</v>
      </c>
      <c r="F622">
        <v>-0.69</v>
      </c>
      <c r="G622" t="s">
        <v>4765</v>
      </c>
      <c r="H622">
        <v>635</v>
      </c>
      <c r="I622">
        <v>37.87</v>
      </c>
      <c r="J622">
        <v>37.88</v>
      </c>
      <c r="K622" t="s">
        <v>4760</v>
      </c>
      <c r="L622">
        <v>5.3</v>
      </c>
      <c r="M622" t="s">
        <v>46</v>
      </c>
      <c r="N622" t="s">
        <v>1629</v>
      </c>
      <c r="O622">
        <v>38.54</v>
      </c>
      <c r="P622">
        <v>37.26</v>
      </c>
      <c r="Q622">
        <v>38.3</v>
      </c>
      <c r="R622">
        <v>38.56</v>
      </c>
      <c r="S622">
        <v>3.32</v>
      </c>
      <c r="T622">
        <v>1.06</v>
      </c>
      <c r="U622">
        <v>36.36</v>
      </c>
      <c r="V622">
        <v>160</v>
      </c>
      <c r="W622">
        <v>37.71</v>
      </c>
      <c r="X622" t="s">
        <v>4766</v>
      </c>
      <c r="Y622" t="s">
        <v>2327</v>
      </c>
      <c r="Z622">
        <v>1.26</v>
      </c>
      <c r="AA622">
        <v>65</v>
      </c>
      <c r="AB622">
        <v>14</v>
      </c>
      <c r="AC622">
        <v>5.22</v>
      </c>
      <c r="AD622" t="s">
        <v>4767</v>
      </c>
      <c r="AE622" t="s">
        <v>2285</v>
      </c>
      <c r="AF622" t="s">
        <v>4767</v>
      </c>
      <c r="AG622" t="s">
        <v>2285</v>
      </c>
      <c r="AH622">
        <v>-1.2</v>
      </c>
      <c r="AI622">
        <v>-2.32</v>
      </c>
      <c r="AJ622">
        <v>17.39</v>
      </c>
      <c r="AK622">
        <v>30.38</v>
      </c>
      <c r="AL622">
        <v>-1</v>
      </c>
      <c r="AM622">
        <v>-1.79</v>
      </c>
      <c r="AN622">
        <v>68.01</v>
      </c>
      <c r="AO622">
        <v>-2.57</v>
      </c>
      <c r="AP622">
        <v>55.27</v>
      </c>
    </row>
    <row r="623" spans="1:42">
      <c r="A623">
        <v>622</v>
      </c>
      <c r="B623" t="str">
        <f>"300390"</f>
        <v>300390</v>
      </c>
      <c r="C623" t="s">
        <v>4768</v>
      </c>
      <c r="D623">
        <v>24.18</v>
      </c>
      <c r="E623">
        <v>0.33</v>
      </c>
      <c r="F623">
        <v>0.08</v>
      </c>
      <c r="G623" t="s">
        <v>2025</v>
      </c>
      <c r="H623">
        <v>1162</v>
      </c>
      <c r="I623">
        <v>24.18</v>
      </c>
      <c r="J623">
        <v>24.19</v>
      </c>
      <c r="K623" t="s">
        <v>4760</v>
      </c>
      <c r="L623">
        <v>1.86</v>
      </c>
      <c r="M623" t="s">
        <v>46</v>
      </c>
      <c r="N623" t="s">
        <v>4123</v>
      </c>
      <c r="O623">
        <v>24.37</v>
      </c>
      <c r="P623">
        <v>23.58</v>
      </c>
      <c r="Q623">
        <v>24.05</v>
      </c>
      <c r="R623">
        <v>24.1</v>
      </c>
      <c r="S623">
        <v>3.28</v>
      </c>
      <c r="T623">
        <v>1.25</v>
      </c>
      <c r="U623">
        <v>-38.7</v>
      </c>
      <c r="V623">
        <v>-676</v>
      </c>
      <c r="W623">
        <v>23.93</v>
      </c>
      <c r="X623" t="s">
        <v>4759</v>
      </c>
      <c r="Y623" t="s">
        <v>2629</v>
      </c>
      <c r="Z623">
        <v>1.16</v>
      </c>
      <c r="AA623">
        <v>249</v>
      </c>
      <c r="AB623">
        <v>361</v>
      </c>
      <c r="AC623">
        <v>1.65</v>
      </c>
      <c r="AD623" t="s">
        <v>4769</v>
      </c>
      <c r="AE623" t="s">
        <v>4770</v>
      </c>
      <c r="AF623" t="s">
        <v>4771</v>
      </c>
      <c r="AG623" t="s">
        <v>4772</v>
      </c>
      <c r="AH623">
        <v>-4.65</v>
      </c>
      <c r="AI623">
        <v>-8.24</v>
      </c>
      <c r="AJ623">
        <v>5.33</v>
      </c>
      <c r="AK623">
        <v>9.3</v>
      </c>
      <c r="AL623">
        <v>1</v>
      </c>
      <c r="AM623">
        <v>0.33</v>
      </c>
      <c r="AN623">
        <v>-41.66</v>
      </c>
      <c r="AO623">
        <v>-8.62</v>
      </c>
      <c r="AP623">
        <v>-47.8</v>
      </c>
    </row>
    <row r="624" spans="1:42">
      <c r="A624">
        <v>623</v>
      </c>
      <c r="B624" t="str">
        <f>"601615"</f>
        <v>601615</v>
      </c>
      <c r="C624" t="s">
        <v>4773</v>
      </c>
      <c r="D624">
        <v>13.15</v>
      </c>
      <c r="E624">
        <v>-2.38</v>
      </c>
      <c r="F624">
        <v>-0.32</v>
      </c>
      <c r="G624" t="s">
        <v>291</v>
      </c>
      <c r="H624">
        <v>2464</v>
      </c>
      <c r="I624">
        <v>13.15</v>
      </c>
      <c r="J624">
        <v>13.16</v>
      </c>
      <c r="K624" t="s">
        <v>4760</v>
      </c>
      <c r="L624">
        <v>1.01</v>
      </c>
      <c r="M624" t="s">
        <v>46</v>
      </c>
      <c r="N624" t="s">
        <v>4774</v>
      </c>
      <c r="O624">
        <v>13.48</v>
      </c>
      <c r="P624">
        <v>13.02</v>
      </c>
      <c r="Q624">
        <v>13.47</v>
      </c>
      <c r="R624">
        <v>13.47</v>
      </c>
      <c r="S624">
        <v>3.41</v>
      </c>
      <c r="T624">
        <v>1.45</v>
      </c>
      <c r="U624">
        <v>6.02</v>
      </c>
      <c r="V624">
        <v>270</v>
      </c>
      <c r="W624">
        <v>13.16</v>
      </c>
      <c r="X624" t="s">
        <v>1759</v>
      </c>
      <c r="Y624" t="s">
        <v>4775</v>
      </c>
      <c r="Z624">
        <v>1.37</v>
      </c>
      <c r="AA624">
        <v>121</v>
      </c>
      <c r="AB624">
        <v>461</v>
      </c>
      <c r="AC624">
        <v>1.05</v>
      </c>
      <c r="AD624" t="s">
        <v>4776</v>
      </c>
      <c r="AE624" t="s">
        <v>4777</v>
      </c>
      <c r="AF624" t="s">
        <v>219</v>
      </c>
      <c r="AG624" t="s">
        <v>4778</v>
      </c>
      <c r="AH624">
        <v>-5.73</v>
      </c>
      <c r="AI624">
        <v>-6.47</v>
      </c>
      <c r="AJ624">
        <v>2.52</v>
      </c>
      <c r="AK624">
        <v>4.51</v>
      </c>
      <c r="AL624">
        <v>-3</v>
      </c>
      <c r="AM624">
        <v>-2.38</v>
      </c>
      <c r="AN624">
        <v>-47.32</v>
      </c>
      <c r="AO624">
        <v>-6.34</v>
      </c>
      <c r="AP624">
        <v>-50.68</v>
      </c>
    </row>
    <row r="625" spans="1:42">
      <c r="A625">
        <v>624</v>
      </c>
      <c r="B625" t="str">
        <f>"001306"</f>
        <v>001306</v>
      </c>
      <c r="C625" t="s">
        <v>4779</v>
      </c>
      <c r="D625">
        <v>88.43</v>
      </c>
      <c r="E625">
        <v>-2.7</v>
      </c>
      <c r="F625">
        <v>-2.45</v>
      </c>
      <c r="G625" t="s">
        <v>4780</v>
      </c>
      <c r="H625">
        <v>443</v>
      </c>
      <c r="I625">
        <v>88.43</v>
      </c>
      <c r="J625">
        <v>88.44</v>
      </c>
      <c r="K625" t="s">
        <v>4781</v>
      </c>
      <c r="L625">
        <v>22.43</v>
      </c>
      <c r="M625" t="s">
        <v>46</v>
      </c>
      <c r="N625" t="s">
        <v>3835</v>
      </c>
      <c r="O625">
        <v>90.88</v>
      </c>
      <c r="P625">
        <v>86.53</v>
      </c>
      <c r="Q625">
        <v>90</v>
      </c>
      <c r="R625">
        <v>90.88</v>
      </c>
      <c r="S625">
        <v>4.79</v>
      </c>
      <c r="T625">
        <v>0.7</v>
      </c>
      <c r="U625">
        <v>37.11</v>
      </c>
      <c r="V625">
        <v>131</v>
      </c>
      <c r="W625">
        <v>88.39</v>
      </c>
      <c r="X625" t="s">
        <v>2694</v>
      </c>
      <c r="Y625" t="s">
        <v>3793</v>
      </c>
      <c r="Z625">
        <v>1.26</v>
      </c>
      <c r="AA625">
        <v>146</v>
      </c>
      <c r="AB625">
        <v>6</v>
      </c>
      <c r="AC625">
        <v>4.24</v>
      </c>
      <c r="AD625" t="s">
        <v>4782</v>
      </c>
      <c r="AE625" t="s">
        <v>4783</v>
      </c>
      <c r="AF625" t="s">
        <v>4784</v>
      </c>
      <c r="AG625" t="s">
        <v>4176</v>
      </c>
      <c r="AH625">
        <v>-4.24</v>
      </c>
      <c r="AI625">
        <v>-7.49</v>
      </c>
      <c r="AJ625">
        <v>91.23</v>
      </c>
      <c r="AK625">
        <v>182.86</v>
      </c>
      <c r="AL625">
        <v>-2</v>
      </c>
      <c r="AM625">
        <v>-2.7</v>
      </c>
      <c r="AN625">
        <v>64.89</v>
      </c>
      <c r="AO625">
        <v>64.89</v>
      </c>
      <c r="AP625">
        <v>64.89</v>
      </c>
    </row>
    <row r="626" spans="1:42">
      <c r="A626">
        <v>625</v>
      </c>
      <c r="B626" t="str">
        <f>"300251"</f>
        <v>300251</v>
      </c>
      <c r="C626" t="s">
        <v>4785</v>
      </c>
      <c r="D626">
        <v>8.16</v>
      </c>
      <c r="E626">
        <v>2.64</v>
      </c>
      <c r="F626">
        <v>0.21</v>
      </c>
      <c r="G626" t="s">
        <v>1611</v>
      </c>
      <c r="H626">
        <v>5317</v>
      </c>
      <c r="I626">
        <v>8.16</v>
      </c>
      <c r="J626">
        <v>8.17</v>
      </c>
      <c r="K626" t="s">
        <v>4781</v>
      </c>
      <c r="L626">
        <v>1.33</v>
      </c>
      <c r="M626" t="s">
        <v>46</v>
      </c>
      <c r="N626" t="s">
        <v>4786</v>
      </c>
      <c r="O626">
        <v>8.23</v>
      </c>
      <c r="P626">
        <v>7.93</v>
      </c>
      <c r="Q626">
        <v>7.93</v>
      </c>
      <c r="R626">
        <v>7.95</v>
      </c>
      <c r="S626">
        <v>3.77</v>
      </c>
      <c r="T626">
        <v>1.94</v>
      </c>
      <c r="U626">
        <v>-15.22</v>
      </c>
      <c r="V626">
        <v>-1167</v>
      </c>
      <c r="W626">
        <v>8.11</v>
      </c>
      <c r="X626" t="s">
        <v>868</v>
      </c>
      <c r="Y626" t="s">
        <v>1008</v>
      </c>
      <c r="Z626">
        <v>0.99</v>
      </c>
      <c r="AA626">
        <v>402</v>
      </c>
      <c r="AB626">
        <v>59</v>
      </c>
      <c r="AC626">
        <v>2.82</v>
      </c>
      <c r="AD626" t="s">
        <v>4787</v>
      </c>
      <c r="AE626" t="s">
        <v>4788</v>
      </c>
      <c r="AF626" t="s">
        <v>4789</v>
      </c>
      <c r="AG626" t="s">
        <v>2797</v>
      </c>
      <c r="AH626">
        <v>1.87</v>
      </c>
      <c r="AI626">
        <v>0.99</v>
      </c>
      <c r="AJ626">
        <v>2.54</v>
      </c>
      <c r="AK626">
        <v>4.77</v>
      </c>
      <c r="AL626">
        <v>1</v>
      </c>
      <c r="AM626">
        <v>2.64</v>
      </c>
      <c r="AN626">
        <v>-5.23</v>
      </c>
      <c r="AO626">
        <v>1.49</v>
      </c>
      <c r="AP626">
        <v>9.09</v>
      </c>
    </row>
    <row r="627" spans="1:42">
      <c r="A627">
        <v>626</v>
      </c>
      <c r="B627" t="str">
        <f>"600730"</f>
        <v>600730</v>
      </c>
      <c r="C627" t="s">
        <v>4790</v>
      </c>
      <c r="D627">
        <v>6.37</v>
      </c>
      <c r="E627">
        <v>10.02</v>
      </c>
      <c r="F627">
        <v>0.58</v>
      </c>
      <c r="G627" t="s">
        <v>816</v>
      </c>
      <c r="H627">
        <v>5177</v>
      </c>
      <c r="I627">
        <v>6.37</v>
      </c>
      <c r="J627" t="s">
        <v>76</v>
      </c>
      <c r="K627" t="s">
        <v>4781</v>
      </c>
      <c r="L627">
        <v>8.23</v>
      </c>
      <c r="M627" t="s">
        <v>46</v>
      </c>
      <c r="N627" t="s">
        <v>4791</v>
      </c>
      <c r="O627">
        <v>6.37</v>
      </c>
      <c r="P627">
        <v>5.78</v>
      </c>
      <c r="Q627">
        <v>5.83</v>
      </c>
      <c r="R627">
        <v>5.79</v>
      </c>
      <c r="S627">
        <v>10.19</v>
      </c>
      <c r="T627">
        <v>9.57</v>
      </c>
      <c r="U627">
        <v>100</v>
      </c>
      <c r="V627" t="s">
        <v>4792</v>
      </c>
      <c r="W627">
        <v>6.23</v>
      </c>
      <c r="X627" t="s">
        <v>3267</v>
      </c>
      <c r="Y627" t="s">
        <v>3785</v>
      </c>
      <c r="Z627">
        <v>1.57</v>
      </c>
      <c r="AA627">
        <v>1113</v>
      </c>
      <c r="AB627">
        <v>0</v>
      </c>
      <c r="AC627">
        <v>2.11</v>
      </c>
      <c r="AD627" t="s">
        <v>4793</v>
      </c>
      <c r="AE627" t="s">
        <v>2554</v>
      </c>
      <c r="AF627" t="s">
        <v>4793</v>
      </c>
      <c r="AG627" t="s">
        <v>2554</v>
      </c>
      <c r="AH627">
        <v>9.45</v>
      </c>
      <c r="AI627">
        <v>8.33</v>
      </c>
      <c r="AJ627">
        <v>10.06</v>
      </c>
      <c r="AK627">
        <v>12.53</v>
      </c>
      <c r="AL627">
        <v>2</v>
      </c>
      <c r="AM627">
        <v>10.02</v>
      </c>
      <c r="AN627">
        <v>2.91</v>
      </c>
      <c r="AO627">
        <v>15.19</v>
      </c>
      <c r="AP627">
        <v>-7.68</v>
      </c>
    </row>
    <row r="628" spans="1:42">
      <c r="A628">
        <v>627</v>
      </c>
      <c r="B628" t="str">
        <f>"002866"</f>
        <v>002866</v>
      </c>
      <c r="C628" t="s">
        <v>4794</v>
      </c>
      <c r="D628">
        <v>22.43</v>
      </c>
      <c r="E628">
        <v>-1.58</v>
      </c>
      <c r="F628">
        <v>-0.36</v>
      </c>
      <c r="G628" t="s">
        <v>368</v>
      </c>
      <c r="H628">
        <v>2683</v>
      </c>
      <c r="I628">
        <v>22.43</v>
      </c>
      <c r="J628">
        <v>22.44</v>
      </c>
      <c r="K628" t="s">
        <v>4795</v>
      </c>
      <c r="L628">
        <v>7.4</v>
      </c>
      <c r="M628" t="s">
        <v>46</v>
      </c>
      <c r="N628" t="s">
        <v>4796</v>
      </c>
      <c r="O628">
        <v>22.95</v>
      </c>
      <c r="P628">
        <v>22.2</v>
      </c>
      <c r="Q628">
        <v>22.79</v>
      </c>
      <c r="R628">
        <v>22.79</v>
      </c>
      <c r="S628">
        <v>3.29</v>
      </c>
      <c r="T628">
        <v>0.76</v>
      </c>
      <c r="U628">
        <v>68.73</v>
      </c>
      <c r="V628">
        <v>1652</v>
      </c>
      <c r="W628">
        <v>22.46</v>
      </c>
      <c r="X628" t="s">
        <v>4797</v>
      </c>
      <c r="Y628" t="s">
        <v>4517</v>
      </c>
      <c r="Z628">
        <v>1.18</v>
      </c>
      <c r="AA628">
        <v>154</v>
      </c>
      <c r="AB628">
        <v>78</v>
      </c>
      <c r="AC628">
        <v>3.08</v>
      </c>
      <c r="AD628" t="s">
        <v>4798</v>
      </c>
      <c r="AE628" t="s">
        <v>4799</v>
      </c>
      <c r="AF628" t="s">
        <v>4800</v>
      </c>
      <c r="AG628" t="s">
        <v>4801</v>
      </c>
      <c r="AH628">
        <v>-1.28</v>
      </c>
      <c r="AI628">
        <v>-0.4</v>
      </c>
      <c r="AJ628">
        <v>31.92</v>
      </c>
      <c r="AK628">
        <v>56.02</v>
      </c>
      <c r="AL628">
        <v>-1</v>
      </c>
      <c r="AM628">
        <v>-1.58</v>
      </c>
      <c r="AN628">
        <v>-50.95</v>
      </c>
      <c r="AO628">
        <v>11.59</v>
      </c>
      <c r="AP628">
        <v>-45.15</v>
      </c>
    </row>
    <row r="629" spans="1:42">
      <c r="A629">
        <v>628</v>
      </c>
      <c r="B629" t="str">
        <f>"600794"</f>
        <v>600794</v>
      </c>
      <c r="C629" t="s">
        <v>4802</v>
      </c>
      <c r="D629">
        <v>4.46</v>
      </c>
      <c r="E629">
        <v>0</v>
      </c>
      <c r="F629">
        <v>0</v>
      </c>
      <c r="G629" t="s">
        <v>1430</v>
      </c>
      <c r="H629">
        <v>9136</v>
      </c>
      <c r="I629">
        <v>4.46</v>
      </c>
      <c r="J629">
        <v>4.47</v>
      </c>
      <c r="K629" t="s">
        <v>4803</v>
      </c>
      <c r="L629">
        <v>5.49</v>
      </c>
      <c r="M629" t="s">
        <v>46</v>
      </c>
      <c r="N629" t="s">
        <v>1568</v>
      </c>
      <c r="O629">
        <v>4.63</v>
      </c>
      <c r="P629">
        <v>4.4</v>
      </c>
      <c r="Q629">
        <v>4.54</v>
      </c>
      <c r="R629">
        <v>4.46</v>
      </c>
      <c r="S629">
        <v>5.16</v>
      </c>
      <c r="T629">
        <v>0.96</v>
      </c>
      <c r="U629">
        <v>-6.01</v>
      </c>
      <c r="V629">
        <v>-1612</v>
      </c>
      <c r="W629">
        <v>4.49</v>
      </c>
      <c r="X629" t="s">
        <v>2425</v>
      </c>
      <c r="Y629" t="s">
        <v>2494</v>
      </c>
      <c r="Z629">
        <v>1.01</v>
      </c>
      <c r="AA629">
        <v>5417</v>
      </c>
      <c r="AB629">
        <v>330</v>
      </c>
      <c r="AC629">
        <v>2.17</v>
      </c>
      <c r="AD629" t="s">
        <v>1073</v>
      </c>
      <c r="AE629" t="s">
        <v>4804</v>
      </c>
      <c r="AF629" t="s">
        <v>1073</v>
      </c>
      <c r="AG629" t="s">
        <v>4804</v>
      </c>
      <c r="AH629">
        <v>9.05</v>
      </c>
      <c r="AI629">
        <v>17.99</v>
      </c>
      <c r="AJ629">
        <v>22.36</v>
      </c>
      <c r="AK629">
        <v>34.09</v>
      </c>
      <c r="AL629">
        <v>0</v>
      </c>
      <c r="AM629">
        <v>0</v>
      </c>
      <c r="AN629">
        <v>15.25</v>
      </c>
      <c r="AO629">
        <v>25.28</v>
      </c>
      <c r="AP629">
        <v>21.53</v>
      </c>
    </row>
    <row r="630" spans="1:42">
      <c r="A630">
        <v>629</v>
      </c>
      <c r="B630" t="str">
        <f>"600011"</f>
        <v>600011</v>
      </c>
      <c r="C630" t="s">
        <v>4805</v>
      </c>
      <c r="D630">
        <v>7.66</v>
      </c>
      <c r="E630">
        <v>-0.65</v>
      </c>
      <c r="F630">
        <v>-0.05</v>
      </c>
      <c r="G630" t="s">
        <v>1628</v>
      </c>
      <c r="H630">
        <v>1678</v>
      </c>
      <c r="I630">
        <v>7.66</v>
      </c>
      <c r="J630">
        <v>7.67</v>
      </c>
      <c r="K630" t="s">
        <v>4803</v>
      </c>
      <c r="L630">
        <v>0.36</v>
      </c>
      <c r="M630" t="s">
        <v>46</v>
      </c>
      <c r="N630" t="s">
        <v>4806</v>
      </c>
      <c r="O630">
        <v>7.72</v>
      </c>
      <c r="P630">
        <v>7.58</v>
      </c>
      <c r="Q630">
        <v>7.72</v>
      </c>
      <c r="R630">
        <v>7.71</v>
      </c>
      <c r="S630">
        <v>1.82</v>
      </c>
      <c r="T630">
        <v>0.72</v>
      </c>
      <c r="U630">
        <v>-21.11</v>
      </c>
      <c r="V630">
        <v>-4567</v>
      </c>
      <c r="W630">
        <v>7.65</v>
      </c>
      <c r="X630" t="s">
        <v>2828</v>
      </c>
      <c r="Y630" t="s">
        <v>2047</v>
      </c>
      <c r="Z630">
        <v>1.37</v>
      </c>
      <c r="AA630">
        <v>527</v>
      </c>
      <c r="AB630">
        <v>4136</v>
      </c>
      <c r="AC630">
        <v>2.08</v>
      </c>
      <c r="AD630" t="s">
        <v>4807</v>
      </c>
      <c r="AE630" t="s">
        <v>4808</v>
      </c>
      <c r="AF630" t="s">
        <v>694</v>
      </c>
      <c r="AG630" t="s">
        <v>4809</v>
      </c>
      <c r="AH630">
        <v>2.41</v>
      </c>
      <c r="AI630">
        <v>1.86</v>
      </c>
      <c r="AJ630">
        <v>1.63</v>
      </c>
      <c r="AK630">
        <v>2.82</v>
      </c>
      <c r="AL630">
        <v>-1</v>
      </c>
      <c r="AM630">
        <v>-0.65</v>
      </c>
      <c r="AN630">
        <v>0.66</v>
      </c>
      <c r="AO630">
        <v>-0.13</v>
      </c>
      <c r="AP630">
        <v>0.52</v>
      </c>
    </row>
    <row r="631" spans="1:42">
      <c r="A631">
        <v>630</v>
      </c>
      <c r="B631" t="str">
        <f>"603596"</f>
        <v>603596</v>
      </c>
      <c r="C631" t="s">
        <v>4810</v>
      </c>
      <c r="D631">
        <v>78.95</v>
      </c>
      <c r="E631">
        <v>1.19</v>
      </c>
      <c r="F631">
        <v>0.93</v>
      </c>
      <c r="G631" t="s">
        <v>4811</v>
      </c>
      <c r="H631">
        <v>311</v>
      </c>
      <c r="I631">
        <v>78.95</v>
      </c>
      <c r="J631">
        <v>78.96</v>
      </c>
      <c r="K631" t="s">
        <v>4812</v>
      </c>
      <c r="L631">
        <v>0.9</v>
      </c>
      <c r="M631" t="s">
        <v>46</v>
      </c>
      <c r="N631" t="s">
        <v>4813</v>
      </c>
      <c r="O631">
        <v>81.3</v>
      </c>
      <c r="P631">
        <v>75.3</v>
      </c>
      <c r="Q631">
        <v>81.3</v>
      </c>
      <c r="R631">
        <v>78.02</v>
      </c>
      <c r="S631">
        <v>7.69</v>
      </c>
      <c r="T631">
        <v>1.66</v>
      </c>
      <c r="U631">
        <v>40.53</v>
      </c>
      <c r="V631">
        <v>172</v>
      </c>
      <c r="W631">
        <v>77.1</v>
      </c>
      <c r="X631" t="s">
        <v>2329</v>
      </c>
      <c r="Y631" t="s">
        <v>1455</v>
      </c>
      <c r="Z631">
        <v>0.97</v>
      </c>
      <c r="AA631">
        <v>243</v>
      </c>
      <c r="AB631">
        <v>3</v>
      </c>
      <c r="AC631">
        <v>7.48</v>
      </c>
      <c r="AD631" t="s">
        <v>4814</v>
      </c>
      <c r="AE631" t="s">
        <v>1673</v>
      </c>
      <c r="AF631" t="s">
        <v>4815</v>
      </c>
      <c r="AG631" t="s">
        <v>4816</v>
      </c>
      <c r="AH631">
        <v>-0.19</v>
      </c>
      <c r="AI631">
        <v>-0.9</v>
      </c>
      <c r="AJ631">
        <v>1.79</v>
      </c>
      <c r="AK631">
        <v>3.59</v>
      </c>
      <c r="AL631">
        <v>1</v>
      </c>
      <c r="AM631">
        <v>1.19</v>
      </c>
      <c r="AN631">
        <v>-0.64</v>
      </c>
      <c r="AO631">
        <v>4.1</v>
      </c>
      <c r="AP631">
        <v>-4.37</v>
      </c>
    </row>
    <row r="632" spans="1:42">
      <c r="A632">
        <v>631</v>
      </c>
      <c r="B632" t="str">
        <f>"600157"</f>
        <v>600157</v>
      </c>
      <c r="C632" t="s">
        <v>4817</v>
      </c>
      <c r="D632">
        <v>1.42</v>
      </c>
      <c r="E632">
        <v>0</v>
      </c>
      <c r="F632">
        <v>0</v>
      </c>
      <c r="G632" t="s">
        <v>4818</v>
      </c>
      <c r="H632" t="s">
        <v>4819</v>
      </c>
      <c r="I632">
        <v>1.42</v>
      </c>
      <c r="J632">
        <v>1.43</v>
      </c>
      <c r="K632" t="s">
        <v>4812</v>
      </c>
      <c r="L632">
        <v>0.94</v>
      </c>
      <c r="M632" t="s">
        <v>46</v>
      </c>
      <c r="N632" t="s">
        <v>4820</v>
      </c>
      <c r="O632">
        <v>1.43</v>
      </c>
      <c r="P632">
        <v>1.41</v>
      </c>
      <c r="Q632">
        <v>1.42</v>
      </c>
      <c r="R632">
        <v>1.42</v>
      </c>
      <c r="S632">
        <v>1.41</v>
      </c>
      <c r="T632">
        <v>0.33</v>
      </c>
      <c r="U632">
        <v>-9.69</v>
      </c>
      <c r="V632" t="s">
        <v>4821</v>
      </c>
      <c r="W632">
        <v>1.42</v>
      </c>
      <c r="X632" t="s">
        <v>4822</v>
      </c>
      <c r="Y632" t="s">
        <v>1051</v>
      </c>
      <c r="Z632">
        <v>1.58</v>
      </c>
      <c r="AA632" t="s">
        <v>1786</v>
      </c>
      <c r="AB632" t="s">
        <v>3339</v>
      </c>
      <c r="AC632">
        <v>0.69</v>
      </c>
      <c r="AD632" t="s">
        <v>4823</v>
      </c>
      <c r="AE632" t="s">
        <v>4824</v>
      </c>
      <c r="AF632" t="s">
        <v>4823</v>
      </c>
      <c r="AG632" t="s">
        <v>4824</v>
      </c>
      <c r="AH632">
        <v>-2.07</v>
      </c>
      <c r="AI632">
        <v>3.65</v>
      </c>
      <c r="AJ632">
        <v>4.48</v>
      </c>
      <c r="AK632">
        <v>15.48</v>
      </c>
      <c r="AL632">
        <v>0</v>
      </c>
      <c r="AM632">
        <v>0</v>
      </c>
      <c r="AN632">
        <v>-7.19</v>
      </c>
      <c r="AO632">
        <v>4.41</v>
      </c>
      <c r="AP632">
        <v>-11.8</v>
      </c>
    </row>
    <row r="633" spans="1:42">
      <c r="A633">
        <v>632</v>
      </c>
      <c r="B633" t="str">
        <f>"000151"</f>
        <v>000151</v>
      </c>
      <c r="C633" t="s">
        <v>4825</v>
      </c>
      <c r="D633">
        <v>12.65</v>
      </c>
      <c r="E633">
        <v>10</v>
      </c>
      <c r="F633">
        <v>1.15</v>
      </c>
      <c r="G633" t="s">
        <v>572</v>
      </c>
      <c r="H633">
        <v>703</v>
      </c>
      <c r="I633">
        <v>12.65</v>
      </c>
      <c r="J633" t="s">
        <v>76</v>
      </c>
      <c r="K633" t="s">
        <v>4812</v>
      </c>
      <c r="L633">
        <v>8.98</v>
      </c>
      <c r="M633" t="s">
        <v>46</v>
      </c>
      <c r="N633" t="s">
        <v>4826</v>
      </c>
      <c r="O633">
        <v>12.65</v>
      </c>
      <c r="P633">
        <v>11.43</v>
      </c>
      <c r="Q633">
        <v>11.55</v>
      </c>
      <c r="R633">
        <v>11.5</v>
      </c>
      <c r="S633">
        <v>10.61</v>
      </c>
      <c r="T633">
        <v>6.64</v>
      </c>
      <c r="U633">
        <v>100</v>
      </c>
      <c r="V633" t="s">
        <v>3151</v>
      </c>
      <c r="W633">
        <v>12.45</v>
      </c>
      <c r="X633" t="s">
        <v>106</v>
      </c>
      <c r="Y633" t="s">
        <v>4827</v>
      </c>
      <c r="Z633">
        <v>4.24</v>
      </c>
      <c r="AA633" t="s">
        <v>2716</v>
      </c>
      <c r="AB633">
        <v>0</v>
      </c>
      <c r="AC633">
        <v>6.3</v>
      </c>
      <c r="AD633" t="s">
        <v>4828</v>
      </c>
      <c r="AE633" t="s">
        <v>4829</v>
      </c>
      <c r="AF633" t="s">
        <v>429</v>
      </c>
      <c r="AG633" t="s">
        <v>4830</v>
      </c>
      <c r="AH633">
        <v>8.49</v>
      </c>
      <c r="AI633">
        <v>8.3</v>
      </c>
      <c r="AJ633">
        <v>11.61</v>
      </c>
      <c r="AK633">
        <v>15.75</v>
      </c>
      <c r="AL633">
        <v>1</v>
      </c>
      <c r="AM633">
        <v>10</v>
      </c>
      <c r="AN633">
        <v>-0.55</v>
      </c>
      <c r="AO633">
        <v>13.86</v>
      </c>
      <c r="AP633">
        <v>5.59</v>
      </c>
    </row>
    <row r="634" spans="1:42">
      <c r="A634">
        <v>633</v>
      </c>
      <c r="B634" t="str">
        <f>"002709"</f>
        <v>002709</v>
      </c>
      <c r="C634" t="s">
        <v>4831</v>
      </c>
      <c r="D634">
        <v>23.97</v>
      </c>
      <c r="E634">
        <v>-0.95</v>
      </c>
      <c r="F634">
        <v>-0.23</v>
      </c>
      <c r="G634" t="s">
        <v>1986</v>
      </c>
      <c r="H634">
        <v>1309</v>
      </c>
      <c r="I634">
        <v>23.97</v>
      </c>
      <c r="J634">
        <v>23.98</v>
      </c>
      <c r="K634" t="s">
        <v>4812</v>
      </c>
      <c r="L634">
        <v>0.9</v>
      </c>
      <c r="M634" t="s">
        <v>46</v>
      </c>
      <c r="N634" t="s">
        <v>4832</v>
      </c>
      <c r="O634">
        <v>24.3</v>
      </c>
      <c r="P634">
        <v>23.68</v>
      </c>
      <c r="Q634">
        <v>24.2</v>
      </c>
      <c r="R634">
        <v>24.2</v>
      </c>
      <c r="S634">
        <v>2.56</v>
      </c>
      <c r="T634">
        <v>0.92</v>
      </c>
      <c r="U634">
        <v>26.66</v>
      </c>
      <c r="V634">
        <v>453</v>
      </c>
      <c r="W634">
        <v>23.9</v>
      </c>
      <c r="X634" t="s">
        <v>4833</v>
      </c>
      <c r="Y634" t="s">
        <v>1503</v>
      </c>
      <c r="Z634">
        <v>1.19</v>
      </c>
      <c r="AA634">
        <v>195</v>
      </c>
      <c r="AB634">
        <v>152</v>
      </c>
      <c r="AC634">
        <v>3.51</v>
      </c>
      <c r="AD634" t="s">
        <v>4834</v>
      </c>
      <c r="AE634" t="s">
        <v>4835</v>
      </c>
      <c r="AF634" t="s">
        <v>4836</v>
      </c>
      <c r="AG634" t="s">
        <v>4837</v>
      </c>
      <c r="AH634">
        <v>-3.93</v>
      </c>
      <c r="AI634">
        <v>-8.41</v>
      </c>
      <c r="AJ634">
        <v>3.1</v>
      </c>
      <c r="AK634">
        <v>5.78</v>
      </c>
      <c r="AL634">
        <v>-10</v>
      </c>
      <c r="AM634">
        <v>-0.95</v>
      </c>
      <c r="AN634">
        <v>-44.59</v>
      </c>
      <c r="AO634">
        <v>-11.78</v>
      </c>
      <c r="AP634">
        <v>-44.63</v>
      </c>
    </row>
    <row r="635" spans="1:42">
      <c r="A635">
        <v>634</v>
      </c>
      <c r="B635" t="str">
        <f>"688110"</f>
        <v>688110</v>
      </c>
      <c r="C635" t="s">
        <v>4838</v>
      </c>
      <c r="D635">
        <v>40.19</v>
      </c>
      <c r="E635">
        <v>1.18</v>
      </c>
      <c r="F635">
        <v>0.47</v>
      </c>
      <c r="G635" t="s">
        <v>4221</v>
      </c>
      <c r="H635">
        <v>923</v>
      </c>
      <c r="I635">
        <v>40.13</v>
      </c>
      <c r="J635">
        <v>40.19</v>
      </c>
      <c r="K635" t="s">
        <v>4812</v>
      </c>
      <c r="L635">
        <v>2.72</v>
      </c>
      <c r="M635" t="s">
        <v>46</v>
      </c>
      <c r="N635" t="s">
        <v>3939</v>
      </c>
      <c r="O635">
        <v>40.5</v>
      </c>
      <c r="P635">
        <v>39.23</v>
      </c>
      <c r="Q635">
        <v>39.78</v>
      </c>
      <c r="R635">
        <v>39.72</v>
      </c>
      <c r="S635">
        <v>3.2</v>
      </c>
      <c r="T635">
        <v>0.96</v>
      </c>
      <c r="U635">
        <v>-80.42</v>
      </c>
      <c r="V635">
        <v>-848</v>
      </c>
      <c r="W635">
        <v>39.87</v>
      </c>
      <c r="X635" t="s">
        <v>4839</v>
      </c>
      <c r="Y635" t="s">
        <v>4724</v>
      </c>
      <c r="Z635">
        <v>0.86</v>
      </c>
      <c r="AA635">
        <v>5</v>
      </c>
      <c r="AB635">
        <v>9</v>
      </c>
      <c r="AC635">
        <v>4.8</v>
      </c>
      <c r="AD635" t="s">
        <v>4840</v>
      </c>
      <c r="AE635" t="s">
        <v>4841</v>
      </c>
      <c r="AF635" t="s">
        <v>4842</v>
      </c>
      <c r="AG635" t="s">
        <v>4843</v>
      </c>
      <c r="AH635">
        <v>1.75</v>
      </c>
      <c r="AI635">
        <v>7.72</v>
      </c>
      <c r="AJ635">
        <v>9.3</v>
      </c>
      <c r="AK635">
        <v>16.95</v>
      </c>
      <c r="AL635">
        <v>5</v>
      </c>
      <c r="AM635">
        <v>1.18</v>
      </c>
      <c r="AN635">
        <v>54.34</v>
      </c>
      <c r="AO635">
        <v>3.58</v>
      </c>
      <c r="AP635">
        <v>27.47</v>
      </c>
    </row>
    <row r="636" spans="1:42">
      <c r="A636">
        <v>635</v>
      </c>
      <c r="B636" t="str">
        <f>"603888"</f>
        <v>603888</v>
      </c>
      <c r="C636" t="s">
        <v>4844</v>
      </c>
      <c r="D636">
        <v>26.6</v>
      </c>
      <c r="E636">
        <v>3.14</v>
      </c>
      <c r="F636">
        <v>0.81</v>
      </c>
      <c r="G636" t="s">
        <v>262</v>
      </c>
      <c r="H636">
        <v>1784</v>
      </c>
      <c r="I636">
        <v>26.6</v>
      </c>
      <c r="J636">
        <v>26.61</v>
      </c>
      <c r="K636" t="s">
        <v>4845</v>
      </c>
      <c r="L636">
        <v>2.17</v>
      </c>
      <c r="M636" t="s">
        <v>46</v>
      </c>
      <c r="N636" t="s">
        <v>1190</v>
      </c>
      <c r="O636">
        <v>26.75</v>
      </c>
      <c r="P636">
        <v>25.8</v>
      </c>
      <c r="Q636">
        <v>25.85</v>
      </c>
      <c r="R636">
        <v>25.79</v>
      </c>
      <c r="S636">
        <v>3.68</v>
      </c>
      <c r="T636">
        <v>1.08</v>
      </c>
      <c r="U636">
        <v>-44.3</v>
      </c>
      <c r="V636">
        <v>-840</v>
      </c>
      <c r="W636">
        <v>26.38</v>
      </c>
      <c r="X636" t="s">
        <v>4846</v>
      </c>
      <c r="Y636" t="s">
        <v>970</v>
      </c>
      <c r="Z636">
        <v>0.52</v>
      </c>
      <c r="AA636">
        <v>359</v>
      </c>
      <c r="AB636">
        <v>536</v>
      </c>
      <c r="AC636">
        <v>4.17</v>
      </c>
      <c r="AD636" t="s">
        <v>4847</v>
      </c>
      <c r="AE636" t="s">
        <v>4848</v>
      </c>
      <c r="AF636" t="s">
        <v>4847</v>
      </c>
      <c r="AG636" t="s">
        <v>4848</v>
      </c>
      <c r="AH636">
        <v>-2.21</v>
      </c>
      <c r="AI636">
        <v>-1.12</v>
      </c>
      <c r="AJ636">
        <v>5.66</v>
      </c>
      <c r="AK636">
        <v>12.19</v>
      </c>
      <c r="AL636">
        <v>1</v>
      </c>
      <c r="AM636">
        <v>3.14</v>
      </c>
      <c r="AN636">
        <v>54.74</v>
      </c>
      <c r="AO636">
        <v>4.19</v>
      </c>
      <c r="AP636">
        <v>64.3</v>
      </c>
    </row>
    <row r="637" spans="1:42">
      <c r="A637">
        <v>636</v>
      </c>
      <c r="B637" t="str">
        <f>"002406"</f>
        <v>002406</v>
      </c>
      <c r="C637" t="s">
        <v>4849</v>
      </c>
      <c r="D637">
        <v>7.21</v>
      </c>
      <c r="E637">
        <v>0.84</v>
      </c>
      <c r="F637">
        <v>0.06</v>
      </c>
      <c r="G637" t="s">
        <v>3582</v>
      </c>
      <c r="H637">
        <v>9111</v>
      </c>
      <c r="I637">
        <v>7.2</v>
      </c>
      <c r="J637">
        <v>7.21</v>
      </c>
      <c r="K637" t="s">
        <v>4845</v>
      </c>
      <c r="L637">
        <v>6.91</v>
      </c>
      <c r="M637" t="s">
        <v>46</v>
      </c>
      <c r="N637" t="s">
        <v>1054</v>
      </c>
      <c r="O637">
        <v>7.23</v>
      </c>
      <c r="P637">
        <v>6.97</v>
      </c>
      <c r="Q637">
        <v>7.12</v>
      </c>
      <c r="R637">
        <v>7.15</v>
      </c>
      <c r="S637">
        <v>3.64</v>
      </c>
      <c r="T637">
        <v>0.45</v>
      </c>
      <c r="U637">
        <v>-20.46</v>
      </c>
      <c r="V637">
        <v>-3409</v>
      </c>
      <c r="W637">
        <v>7.14</v>
      </c>
      <c r="X637" t="s">
        <v>415</v>
      </c>
      <c r="Y637" t="s">
        <v>4301</v>
      </c>
      <c r="Z637">
        <v>1.01</v>
      </c>
      <c r="AA637">
        <v>2743</v>
      </c>
      <c r="AB637">
        <v>847</v>
      </c>
      <c r="AC637">
        <v>1.47</v>
      </c>
      <c r="AD637" t="s">
        <v>4850</v>
      </c>
      <c r="AE637" t="s">
        <v>4851</v>
      </c>
      <c r="AF637" t="s">
        <v>4852</v>
      </c>
      <c r="AG637" t="s">
        <v>4853</v>
      </c>
      <c r="AH637">
        <v>-7.45</v>
      </c>
      <c r="AI637">
        <v>-11.21</v>
      </c>
      <c r="AJ637">
        <v>30.77</v>
      </c>
      <c r="AK637">
        <v>84.08</v>
      </c>
      <c r="AL637">
        <v>1</v>
      </c>
      <c r="AM637">
        <v>0.84</v>
      </c>
      <c r="AN637">
        <v>55.72</v>
      </c>
      <c r="AO637">
        <v>11.78</v>
      </c>
      <c r="AP637">
        <v>45.07</v>
      </c>
    </row>
    <row r="638" spans="1:42">
      <c r="A638">
        <v>637</v>
      </c>
      <c r="B638" t="str">
        <f>"001234"</f>
        <v>001234</v>
      </c>
      <c r="C638" t="s">
        <v>4854</v>
      </c>
      <c r="D638">
        <v>25.08</v>
      </c>
      <c r="E638">
        <v>10</v>
      </c>
      <c r="F638">
        <v>2.28</v>
      </c>
      <c r="G638" t="s">
        <v>1790</v>
      </c>
      <c r="H638">
        <v>556</v>
      </c>
      <c r="I638">
        <v>25.08</v>
      </c>
      <c r="J638" t="s">
        <v>76</v>
      </c>
      <c r="K638" t="s">
        <v>4845</v>
      </c>
      <c r="L638">
        <v>41.49</v>
      </c>
      <c r="M638" t="s">
        <v>46</v>
      </c>
      <c r="N638" t="s">
        <v>1109</v>
      </c>
      <c r="O638">
        <v>25.08</v>
      </c>
      <c r="P638">
        <v>22.7</v>
      </c>
      <c r="Q638">
        <v>22.72</v>
      </c>
      <c r="R638">
        <v>22.8</v>
      </c>
      <c r="S638">
        <v>10.44</v>
      </c>
      <c r="T638">
        <v>3.84</v>
      </c>
      <c r="U638">
        <v>100</v>
      </c>
      <c r="V638">
        <v>8461</v>
      </c>
      <c r="W638">
        <v>24.63</v>
      </c>
      <c r="X638" t="s">
        <v>4855</v>
      </c>
      <c r="Y638" t="s">
        <v>4168</v>
      </c>
      <c r="Z638">
        <v>1.59</v>
      </c>
      <c r="AA638">
        <v>8153</v>
      </c>
      <c r="AB638">
        <v>0</v>
      </c>
      <c r="AC638">
        <v>3.03</v>
      </c>
      <c r="AD638" t="s">
        <v>4856</v>
      </c>
      <c r="AE638" t="s">
        <v>4857</v>
      </c>
      <c r="AF638" t="s">
        <v>4858</v>
      </c>
      <c r="AG638" t="s">
        <v>4859</v>
      </c>
      <c r="AH638">
        <v>8.15</v>
      </c>
      <c r="AI638">
        <v>4.76</v>
      </c>
      <c r="AJ638">
        <v>55.89</v>
      </c>
      <c r="AK638">
        <v>95.57</v>
      </c>
      <c r="AL638">
        <v>1</v>
      </c>
      <c r="AM638">
        <v>10</v>
      </c>
      <c r="AN638">
        <v>11.22</v>
      </c>
      <c r="AO638">
        <v>6.36</v>
      </c>
      <c r="AP638">
        <v>1.83</v>
      </c>
    </row>
    <row r="639" spans="1:42">
      <c r="A639">
        <v>638</v>
      </c>
      <c r="B639" t="str">
        <f>"000719"</f>
        <v>000719</v>
      </c>
      <c r="C639" t="s">
        <v>4860</v>
      </c>
      <c r="D639">
        <v>10.55</v>
      </c>
      <c r="E639">
        <v>4.04</v>
      </c>
      <c r="F639">
        <v>0.41</v>
      </c>
      <c r="G639" t="s">
        <v>2213</v>
      </c>
      <c r="H639">
        <v>2052</v>
      </c>
      <c r="I639">
        <v>10.54</v>
      </c>
      <c r="J639">
        <v>10.55</v>
      </c>
      <c r="K639" t="s">
        <v>4861</v>
      </c>
      <c r="L639">
        <v>4.26</v>
      </c>
      <c r="M639" t="s">
        <v>46</v>
      </c>
      <c r="N639" t="s">
        <v>4862</v>
      </c>
      <c r="O639">
        <v>10.6</v>
      </c>
      <c r="P639">
        <v>10.11</v>
      </c>
      <c r="Q639">
        <v>10.16</v>
      </c>
      <c r="R639">
        <v>10.14</v>
      </c>
      <c r="S639">
        <v>4.83</v>
      </c>
      <c r="T639">
        <v>1.24</v>
      </c>
      <c r="U639">
        <v>-1.97</v>
      </c>
      <c r="V639">
        <v>-273</v>
      </c>
      <c r="W639">
        <v>10.41</v>
      </c>
      <c r="X639" t="s">
        <v>262</v>
      </c>
      <c r="Y639" t="s">
        <v>2915</v>
      </c>
      <c r="Z639">
        <v>0.66</v>
      </c>
      <c r="AA639">
        <v>1054</v>
      </c>
      <c r="AB639">
        <v>114</v>
      </c>
      <c r="AC639">
        <v>1.06</v>
      </c>
      <c r="AD639" t="s">
        <v>1070</v>
      </c>
      <c r="AE639" t="s">
        <v>4863</v>
      </c>
      <c r="AF639" t="s">
        <v>4864</v>
      </c>
      <c r="AG639" t="s">
        <v>4865</v>
      </c>
      <c r="AH639">
        <v>0.19</v>
      </c>
      <c r="AI639">
        <v>-5.21</v>
      </c>
      <c r="AJ639">
        <v>10.47</v>
      </c>
      <c r="AK639">
        <v>21.51</v>
      </c>
      <c r="AL639">
        <v>1</v>
      </c>
      <c r="AM639">
        <v>4.04</v>
      </c>
      <c r="AN639">
        <v>37.91</v>
      </c>
      <c r="AO639">
        <v>4.35</v>
      </c>
      <c r="AP639">
        <v>43.15</v>
      </c>
    </row>
    <row r="640" spans="1:42">
      <c r="A640">
        <v>639</v>
      </c>
      <c r="B640" t="str">
        <f>"300713"</f>
        <v>300713</v>
      </c>
      <c r="C640" t="s">
        <v>4866</v>
      </c>
      <c r="D640">
        <v>19.77</v>
      </c>
      <c r="E640">
        <v>2.44</v>
      </c>
      <c r="F640">
        <v>0.47</v>
      </c>
      <c r="G640" t="s">
        <v>2217</v>
      </c>
      <c r="H640">
        <v>2065</v>
      </c>
      <c r="I640">
        <v>19.76</v>
      </c>
      <c r="J640">
        <v>19.77</v>
      </c>
      <c r="K640" t="s">
        <v>4861</v>
      </c>
      <c r="L640">
        <v>16.99</v>
      </c>
      <c r="M640" t="s">
        <v>46</v>
      </c>
      <c r="N640" t="s">
        <v>4867</v>
      </c>
      <c r="O640">
        <v>20.76</v>
      </c>
      <c r="P640">
        <v>19.37</v>
      </c>
      <c r="Q640">
        <v>19.4</v>
      </c>
      <c r="R640">
        <v>19.3</v>
      </c>
      <c r="S640">
        <v>7.2</v>
      </c>
      <c r="T640">
        <v>1.72</v>
      </c>
      <c r="U640">
        <v>2.86</v>
      </c>
      <c r="V640">
        <v>31</v>
      </c>
      <c r="W640">
        <v>20.12</v>
      </c>
      <c r="X640" t="s">
        <v>4868</v>
      </c>
      <c r="Y640" t="s">
        <v>700</v>
      </c>
      <c r="Z640">
        <v>0.93</v>
      </c>
      <c r="AA640">
        <v>155</v>
      </c>
      <c r="AB640">
        <v>160</v>
      </c>
      <c r="AC640">
        <v>4.68</v>
      </c>
      <c r="AD640" t="s">
        <v>4869</v>
      </c>
      <c r="AE640" t="s">
        <v>4870</v>
      </c>
      <c r="AF640" t="s">
        <v>4871</v>
      </c>
      <c r="AG640" t="s">
        <v>4872</v>
      </c>
      <c r="AH640">
        <v>0.2</v>
      </c>
      <c r="AI640">
        <v>2.81</v>
      </c>
      <c r="AJ640">
        <v>51.12</v>
      </c>
      <c r="AK640">
        <v>66.47</v>
      </c>
      <c r="AL640">
        <v>1</v>
      </c>
      <c r="AM640">
        <v>2.44</v>
      </c>
      <c r="AN640">
        <v>56.16</v>
      </c>
      <c r="AO640">
        <v>9.83</v>
      </c>
      <c r="AP640">
        <v>40.91</v>
      </c>
    </row>
    <row r="641" spans="1:42">
      <c r="A641">
        <v>640</v>
      </c>
      <c r="B641" t="str">
        <f>"600572"</f>
        <v>600572</v>
      </c>
      <c r="C641" t="s">
        <v>4873</v>
      </c>
      <c r="D641">
        <v>5.49</v>
      </c>
      <c r="E641">
        <v>0.37</v>
      </c>
      <c r="F641">
        <v>0.02</v>
      </c>
      <c r="G641" t="s">
        <v>988</v>
      </c>
      <c r="H641">
        <v>3847</v>
      </c>
      <c r="I641">
        <v>5.48</v>
      </c>
      <c r="J641">
        <v>5.49</v>
      </c>
      <c r="K641" t="s">
        <v>4861</v>
      </c>
      <c r="L641">
        <v>2.09</v>
      </c>
      <c r="M641" t="s">
        <v>46</v>
      </c>
      <c r="N641" t="s">
        <v>4874</v>
      </c>
      <c r="O641">
        <v>5.59</v>
      </c>
      <c r="P641">
        <v>5.46</v>
      </c>
      <c r="Q641">
        <v>5.47</v>
      </c>
      <c r="R641">
        <v>5.47</v>
      </c>
      <c r="S641">
        <v>2.38</v>
      </c>
      <c r="T641">
        <v>1.01</v>
      </c>
      <c r="U641">
        <v>-2.58</v>
      </c>
      <c r="V641">
        <v>-1118</v>
      </c>
      <c r="W641">
        <v>5.51</v>
      </c>
      <c r="X641" t="s">
        <v>282</v>
      </c>
      <c r="Y641" t="s">
        <v>1420</v>
      </c>
      <c r="Z641">
        <v>1.07</v>
      </c>
      <c r="AA641">
        <v>4247</v>
      </c>
      <c r="AB641">
        <v>3553</v>
      </c>
      <c r="AC641">
        <v>1.98</v>
      </c>
      <c r="AD641" t="s">
        <v>4875</v>
      </c>
      <c r="AE641" t="s">
        <v>4876</v>
      </c>
      <c r="AF641" t="s">
        <v>4877</v>
      </c>
      <c r="AG641" t="s">
        <v>4878</v>
      </c>
      <c r="AH641">
        <v>0.37</v>
      </c>
      <c r="AI641">
        <v>1.86</v>
      </c>
      <c r="AJ641">
        <v>4.8</v>
      </c>
      <c r="AK641">
        <v>12.48</v>
      </c>
      <c r="AL641">
        <v>2</v>
      </c>
      <c r="AM641">
        <v>0.37</v>
      </c>
      <c r="AN641">
        <v>19.87</v>
      </c>
      <c r="AO641">
        <v>6.6</v>
      </c>
      <c r="AP641">
        <v>19.87</v>
      </c>
    </row>
    <row r="642" spans="1:42">
      <c r="A642">
        <v>641</v>
      </c>
      <c r="B642" t="str">
        <f>"601818"</f>
        <v>601818</v>
      </c>
      <c r="C642" t="s">
        <v>4879</v>
      </c>
      <c r="D642">
        <v>2.91</v>
      </c>
      <c r="E642">
        <v>0.69</v>
      </c>
      <c r="F642">
        <v>0.02</v>
      </c>
      <c r="G642" t="s">
        <v>812</v>
      </c>
      <c r="H642" t="s">
        <v>314</v>
      </c>
      <c r="I642">
        <v>2.91</v>
      </c>
      <c r="J642">
        <v>2.92</v>
      </c>
      <c r="K642" t="s">
        <v>4861</v>
      </c>
      <c r="L642">
        <v>0.22</v>
      </c>
      <c r="M642" t="s">
        <v>46</v>
      </c>
      <c r="N642" t="s">
        <v>2645</v>
      </c>
      <c r="O642">
        <v>2.92</v>
      </c>
      <c r="P642">
        <v>2.88</v>
      </c>
      <c r="Q642">
        <v>2.89</v>
      </c>
      <c r="R642">
        <v>2.89</v>
      </c>
      <c r="S642">
        <v>1.38</v>
      </c>
      <c r="T642">
        <v>1.36</v>
      </c>
      <c r="U642">
        <v>2.4</v>
      </c>
      <c r="V642" t="s">
        <v>2284</v>
      </c>
      <c r="W642">
        <v>2.9</v>
      </c>
      <c r="X642" t="s">
        <v>478</v>
      </c>
      <c r="Y642" t="s">
        <v>4880</v>
      </c>
      <c r="Z642">
        <v>0.49</v>
      </c>
      <c r="AA642" t="s">
        <v>2716</v>
      </c>
      <c r="AB642" t="s">
        <v>4881</v>
      </c>
      <c r="AC642">
        <v>0.39</v>
      </c>
      <c r="AD642" t="s">
        <v>4882</v>
      </c>
      <c r="AE642" t="s">
        <v>4883</v>
      </c>
      <c r="AF642" t="s">
        <v>4884</v>
      </c>
      <c r="AG642" t="s">
        <v>3709</v>
      </c>
      <c r="AH642">
        <v>0.69</v>
      </c>
      <c r="AI642">
        <v>-0.34</v>
      </c>
      <c r="AJ642">
        <v>0.56</v>
      </c>
      <c r="AK642">
        <v>1.03</v>
      </c>
      <c r="AL642">
        <v>2</v>
      </c>
      <c r="AM642">
        <v>0.69</v>
      </c>
      <c r="AN642">
        <v>1.04</v>
      </c>
      <c r="AO642">
        <v>-1.69</v>
      </c>
      <c r="AP642">
        <v>8.18</v>
      </c>
    </row>
    <row r="643" spans="1:42">
      <c r="A643">
        <v>642</v>
      </c>
      <c r="B643" t="str">
        <f>"301297"</f>
        <v>301297</v>
      </c>
      <c r="C643" t="s">
        <v>4885</v>
      </c>
      <c r="D643">
        <v>30.95</v>
      </c>
      <c r="E643">
        <v>3.62</v>
      </c>
      <c r="F643">
        <v>1.08</v>
      </c>
      <c r="G643" t="s">
        <v>4886</v>
      </c>
      <c r="H643">
        <v>2412</v>
      </c>
      <c r="I643">
        <v>30.95</v>
      </c>
      <c r="J643">
        <v>30.96</v>
      </c>
      <c r="K643" t="s">
        <v>4887</v>
      </c>
      <c r="L643">
        <v>12.87</v>
      </c>
      <c r="M643" t="s">
        <v>46</v>
      </c>
      <c r="N643" t="s">
        <v>3282</v>
      </c>
      <c r="O643">
        <v>30.95</v>
      </c>
      <c r="P643">
        <v>29.45</v>
      </c>
      <c r="Q643">
        <v>29.9</v>
      </c>
      <c r="R643">
        <v>29.87</v>
      </c>
      <c r="S643">
        <v>5.02</v>
      </c>
      <c r="T643">
        <v>0.91</v>
      </c>
      <c r="U643">
        <v>-7.51</v>
      </c>
      <c r="V643">
        <v>-185</v>
      </c>
      <c r="W643">
        <v>30.44</v>
      </c>
      <c r="X643" t="s">
        <v>4053</v>
      </c>
      <c r="Y643" t="s">
        <v>4888</v>
      </c>
      <c r="Z643">
        <v>0.98</v>
      </c>
      <c r="AA643">
        <v>504</v>
      </c>
      <c r="AB643">
        <v>178</v>
      </c>
      <c r="AC643">
        <v>7.47</v>
      </c>
      <c r="AD643" t="s">
        <v>4889</v>
      </c>
      <c r="AE643" t="s">
        <v>4890</v>
      </c>
      <c r="AF643" t="s">
        <v>4891</v>
      </c>
      <c r="AG643" t="s">
        <v>2295</v>
      </c>
      <c r="AH643">
        <v>0.52</v>
      </c>
      <c r="AI643">
        <v>0.42</v>
      </c>
      <c r="AJ643">
        <v>36.15</v>
      </c>
      <c r="AK643">
        <v>83.96</v>
      </c>
      <c r="AL643">
        <v>1</v>
      </c>
      <c r="AM643">
        <v>3.62</v>
      </c>
      <c r="AN643">
        <v>107.3</v>
      </c>
      <c r="AO643">
        <v>23.31</v>
      </c>
      <c r="AP643">
        <v>268.45</v>
      </c>
    </row>
    <row r="644" spans="1:42">
      <c r="A644">
        <v>643</v>
      </c>
      <c r="B644" t="str">
        <f>"002223"</f>
        <v>002223</v>
      </c>
      <c r="C644" t="s">
        <v>4892</v>
      </c>
      <c r="D644">
        <v>33.79</v>
      </c>
      <c r="E644">
        <v>-1.05</v>
      </c>
      <c r="F644">
        <v>-0.36</v>
      </c>
      <c r="G644" t="s">
        <v>4893</v>
      </c>
      <c r="H644">
        <v>581</v>
      </c>
      <c r="I644">
        <v>33.78</v>
      </c>
      <c r="J644">
        <v>33.79</v>
      </c>
      <c r="K644" t="s">
        <v>4894</v>
      </c>
      <c r="L644">
        <v>0.93</v>
      </c>
      <c r="M644" t="s">
        <v>46</v>
      </c>
      <c r="N644" t="s">
        <v>3061</v>
      </c>
      <c r="O644">
        <v>34.39</v>
      </c>
      <c r="P644">
        <v>33.55</v>
      </c>
      <c r="Q644">
        <v>34.14</v>
      </c>
      <c r="R644">
        <v>34.15</v>
      </c>
      <c r="S644">
        <v>2.46</v>
      </c>
      <c r="T644">
        <v>0.91</v>
      </c>
      <c r="U644">
        <v>-29.8</v>
      </c>
      <c r="V644">
        <v>-211</v>
      </c>
      <c r="W644">
        <v>33.81</v>
      </c>
      <c r="X644" t="s">
        <v>4569</v>
      </c>
      <c r="Y644" t="s">
        <v>2559</v>
      </c>
      <c r="Z644">
        <v>0.95</v>
      </c>
      <c r="AA644">
        <v>69</v>
      </c>
      <c r="AB644">
        <v>49</v>
      </c>
      <c r="AC644">
        <v>2.93</v>
      </c>
      <c r="AD644" t="s">
        <v>4895</v>
      </c>
      <c r="AE644" t="s">
        <v>4896</v>
      </c>
      <c r="AF644" t="s">
        <v>4897</v>
      </c>
      <c r="AG644" t="s">
        <v>1526</v>
      </c>
      <c r="AH644">
        <v>-0.62</v>
      </c>
      <c r="AI644">
        <v>1.65</v>
      </c>
      <c r="AJ644">
        <v>2.74</v>
      </c>
      <c r="AK644">
        <v>6.03</v>
      </c>
      <c r="AL644">
        <v>-1</v>
      </c>
      <c r="AM644">
        <v>-1.05</v>
      </c>
      <c r="AN644">
        <v>8.09</v>
      </c>
      <c r="AO644">
        <v>3.46</v>
      </c>
      <c r="AP644">
        <v>-1.08</v>
      </c>
    </row>
    <row r="645" spans="1:42">
      <c r="A645">
        <v>644</v>
      </c>
      <c r="B645" t="str">
        <f>"002487"</f>
        <v>002487</v>
      </c>
      <c r="C645" t="s">
        <v>4898</v>
      </c>
      <c r="D645">
        <v>25.26</v>
      </c>
      <c r="E645">
        <v>0.56</v>
      </c>
      <c r="F645">
        <v>0.14</v>
      </c>
      <c r="G645" t="s">
        <v>1540</v>
      </c>
      <c r="H645">
        <v>1505</v>
      </c>
      <c r="I645">
        <v>25.25</v>
      </c>
      <c r="J645">
        <v>25.26</v>
      </c>
      <c r="K645" t="s">
        <v>4894</v>
      </c>
      <c r="L645">
        <v>1.86</v>
      </c>
      <c r="M645" t="s">
        <v>46</v>
      </c>
      <c r="N645" t="s">
        <v>4899</v>
      </c>
      <c r="O645">
        <v>25.54</v>
      </c>
      <c r="P645">
        <v>24.63</v>
      </c>
      <c r="Q645">
        <v>25.1</v>
      </c>
      <c r="R645">
        <v>25.12</v>
      </c>
      <c r="S645">
        <v>3.62</v>
      </c>
      <c r="T645">
        <v>1.08</v>
      </c>
      <c r="U645">
        <v>-34.32</v>
      </c>
      <c r="V645">
        <v>-930</v>
      </c>
      <c r="W645">
        <v>25.02</v>
      </c>
      <c r="X645" t="s">
        <v>4900</v>
      </c>
      <c r="Y645" t="s">
        <v>4901</v>
      </c>
      <c r="Z645">
        <v>1</v>
      </c>
      <c r="AA645">
        <v>229</v>
      </c>
      <c r="AB645">
        <v>278</v>
      </c>
      <c r="AC645">
        <v>2.34</v>
      </c>
      <c r="AD645" t="s">
        <v>3443</v>
      </c>
      <c r="AE645" t="s">
        <v>4902</v>
      </c>
      <c r="AF645" t="s">
        <v>4903</v>
      </c>
      <c r="AG645" t="s">
        <v>4904</v>
      </c>
      <c r="AH645">
        <v>-2.7</v>
      </c>
      <c r="AI645">
        <v>-0.51</v>
      </c>
      <c r="AJ645">
        <v>5.18</v>
      </c>
      <c r="AK645">
        <v>10.53</v>
      </c>
      <c r="AL645">
        <v>1</v>
      </c>
      <c r="AM645">
        <v>0.56</v>
      </c>
      <c r="AN645">
        <v>-38.9</v>
      </c>
      <c r="AO645">
        <v>-9.27</v>
      </c>
      <c r="AP645">
        <v>-42.49</v>
      </c>
    </row>
    <row r="646" spans="1:42">
      <c r="A646">
        <v>645</v>
      </c>
      <c r="B646" t="str">
        <f>"603712"</f>
        <v>603712</v>
      </c>
      <c r="C646" t="s">
        <v>4905</v>
      </c>
      <c r="D646">
        <v>31.16</v>
      </c>
      <c r="E646">
        <v>0.84</v>
      </c>
      <c r="F646">
        <v>0.26</v>
      </c>
      <c r="G646" t="s">
        <v>4303</v>
      </c>
      <c r="H646">
        <v>200</v>
      </c>
      <c r="I646">
        <v>31.16</v>
      </c>
      <c r="J646">
        <v>31.18</v>
      </c>
      <c r="K646" t="s">
        <v>4894</v>
      </c>
      <c r="L646">
        <v>1.22</v>
      </c>
      <c r="M646" t="s">
        <v>46</v>
      </c>
      <c r="N646" t="s">
        <v>2212</v>
      </c>
      <c r="O646">
        <v>31.69</v>
      </c>
      <c r="P646">
        <v>30.67</v>
      </c>
      <c r="Q646">
        <v>30.96</v>
      </c>
      <c r="R646">
        <v>30.9</v>
      </c>
      <c r="S646">
        <v>3.3</v>
      </c>
      <c r="T646">
        <v>1.14</v>
      </c>
      <c r="U646">
        <v>28.36</v>
      </c>
      <c r="V646">
        <v>57</v>
      </c>
      <c r="W646">
        <v>31.18</v>
      </c>
      <c r="X646" t="s">
        <v>4358</v>
      </c>
      <c r="Y646" t="s">
        <v>4639</v>
      </c>
      <c r="Z646">
        <v>0.89</v>
      </c>
      <c r="AA646">
        <v>67</v>
      </c>
      <c r="AB646">
        <v>7</v>
      </c>
      <c r="AC646">
        <v>5.3</v>
      </c>
      <c r="AD646" t="s">
        <v>4906</v>
      </c>
      <c r="AE646" t="s">
        <v>4907</v>
      </c>
      <c r="AF646" t="s">
        <v>4906</v>
      </c>
      <c r="AG646" t="s">
        <v>4907</v>
      </c>
      <c r="AH646">
        <v>2.94</v>
      </c>
      <c r="AI646">
        <v>2.57</v>
      </c>
      <c r="AJ646">
        <v>3.27</v>
      </c>
      <c r="AK646">
        <v>6.57</v>
      </c>
      <c r="AL646">
        <v>4</v>
      </c>
      <c r="AM646">
        <v>0.84</v>
      </c>
      <c r="AN646">
        <v>-10.49</v>
      </c>
      <c r="AO646">
        <v>16.7</v>
      </c>
      <c r="AP646">
        <v>-12.72</v>
      </c>
    </row>
    <row r="647" spans="1:42">
      <c r="A647">
        <v>646</v>
      </c>
      <c r="B647" t="str">
        <f>"603516"</f>
        <v>603516</v>
      </c>
      <c r="C647" t="s">
        <v>4908</v>
      </c>
      <c r="D647">
        <v>22.19</v>
      </c>
      <c r="E647">
        <v>3.74</v>
      </c>
      <c r="F647">
        <v>0.8</v>
      </c>
      <c r="G647" t="s">
        <v>830</v>
      </c>
      <c r="H647">
        <v>1003</v>
      </c>
      <c r="I647">
        <v>22.18</v>
      </c>
      <c r="J647">
        <v>22.19</v>
      </c>
      <c r="K647" t="s">
        <v>4894</v>
      </c>
      <c r="L647">
        <v>7.04</v>
      </c>
      <c r="M647" t="s">
        <v>46</v>
      </c>
      <c r="N647" t="s">
        <v>4277</v>
      </c>
      <c r="O647">
        <v>23.2</v>
      </c>
      <c r="P647">
        <v>21.8</v>
      </c>
      <c r="Q647">
        <v>22.19</v>
      </c>
      <c r="R647">
        <v>21.39</v>
      </c>
      <c r="S647">
        <v>6.55</v>
      </c>
      <c r="T647">
        <v>2.1</v>
      </c>
      <c r="U647">
        <v>-28.67</v>
      </c>
      <c r="V647">
        <v>-143</v>
      </c>
      <c r="W647">
        <v>22.52</v>
      </c>
      <c r="X647" t="s">
        <v>4833</v>
      </c>
      <c r="Y647" t="s">
        <v>4909</v>
      </c>
      <c r="Z647">
        <v>1.08</v>
      </c>
      <c r="AA647">
        <v>25</v>
      </c>
      <c r="AB647">
        <v>127</v>
      </c>
      <c r="AC647">
        <v>4.13</v>
      </c>
      <c r="AD647" t="s">
        <v>4910</v>
      </c>
      <c r="AE647" t="s">
        <v>4911</v>
      </c>
      <c r="AF647" t="s">
        <v>4910</v>
      </c>
      <c r="AG647" t="s">
        <v>4911</v>
      </c>
      <c r="AH647">
        <v>6.17</v>
      </c>
      <c r="AI647">
        <v>3.02</v>
      </c>
      <c r="AJ647">
        <v>13.48</v>
      </c>
      <c r="AK647">
        <v>23.83</v>
      </c>
      <c r="AL647">
        <v>4</v>
      </c>
      <c r="AM647">
        <v>3.74</v>
      </c>
      <c r="AN647">
        <v>70.69</v>
      </c>
      <c r="AO647">
        <v>15.63</v>
      </c>
      <c r="AP647">
        <v>19.43</v>
      </c>
    </row>
    <row r="648" spans="1:42">
      <c r="A648">
        <v>647</v>
      </c>
      <c r="B648" t="str">
        <f>"688180"</f>
        <v>688180</v>
      </c>
      <c r="C648" t="s">
        <v>4912</v>
      </c>
      <c r="D648">
        <v>45.66</v>
      </c>
      <c r="E648">
        <v>1.29</v>
      </c>
      <c r="F648">
        <v>0.58</v>
      </c>
      <c r="G648" t="s">
        <v>4913</v>
      </c>
      <c r="H648">
        <v>1009</v>
      </c>
      <c r="I648">
        <v>45.61</v>
      </c>
      <c r="J648">
        <v>45.66</v>
      </c>
      <c r="K648" t="s">
        <v>4894</v>
      </c>
      <c r="L648">
        <v>1.29</v>
      </c>
      <c r="M648" t="s">
        <v>46</v>
      </c>
      <c r="N648" t="s">
        <v>1135</v>
      </c>
      <c r="O648">
        <v>45.82</v>
      </c>
      <c r="P648">
        <v>44.83</v>
      </c>
      <c r="Q648">
        <v>44.96</v>
      </c>
      <c r="R648">
        <v>45.08</v>
      </c>
      <c r="S648">
        <v>2.2</v>
      </c>
      <c r="T648">
        <v>0.98</v>
      </c>
      <c r="U648">
        <v>-10.53</v>
      </c>
      <c r="V648">
        <v>-64</v>
      </c>
      <c r="W648">
        <v>45.31</v>
      </c>
      <c r="X648" t="s">
        <v>4914</v>
      </c>
      <c r="Y648" t="s">
        <v>4915</v>
      </c>
      <c r="Z648">
        <v>0.92</v>
      </c>
      <c r="AA648">
        <v>10</v>
      </c>
      <c r="AB648">
        <v>249</v>
      </c>
      <c r="AC648">
        <v>5.58</v>
      </c>
      <c r="AD648" t="s">
        <v>4916</v>
      </c>
      <c r="AE648" t="s">
        <v>4917</v>
      </c>
      <c r="AF648" t="s">
        <v>4918</v>
      </c>
      <c r="AG648" t="s">
        <v>4919</v>
      </c>
      <c r="AH648">
        <v>4.77</v>
      </c>
      <c r="AI648">
        <v>4.92</v>
      </c>
      <c r="AJ648">
        <v>4.23</v>
      </c>
      <c r="AK648">
        <v>7.86</v>
      </c>
      <c r="AL648">
        <v>2</v>
      </c>
      <c r="AM648">
        <v>1.29</v>
      </c>
      <c r="AN648">
        <v>-27.06</v>
      </c>
      <c r="AO648">
        <v>5.09</v>
      </c>
      <c r="AP648">
        <v>-33.97</v>
      </c>
    </row>
    <row r="649" spans="1:42">
      <c r="A649">
        <v>648</v>
      </c>
      <c r="B649" t="str">
        <f>"002446"</f>
        <v>002446</v>
      </c>
      <c r="C649" t="s">
        <v>4920</v>
      </c>
      <c r="D649">
        <v>9.4</v>
      </c>
      <c r="E649">
        <v>1.51</v>
      </c>
      <c r="F649">
        <v>0.14</v>
      </c>
      <c r="G649" t="s">
        <v>675</v>
      </c>
      <c r="H649">
        <v>1979</v>
      </c>
      <c r="I649">
        <v>9.39</v>
      </c>
      <c r="J649">
        <v>9.4</v>
      </c>
      <c r="K649" t="s">
        <v>4921</v>
      </c>
      <c r="L649">
        <v>3.73</v>
      </c>
      <c r="M649" t="s">
        <v>46</v>
      </c>
      <c r="N649" t="s">
        <v>4922</v>
      </c>
      <c r="O649">
        <v>9.42</v>
      </c>
      <c r="P649">
        <v>9.12</v>
      </c>
      <c r="Q649">
        <v>9.25</v>
      </c>
      <c r="R649">
        <v>9.26</v>
      </c>
      <c r="S649">
        <v>3.24</v>
      </c>
      <c r="T649">
        <v>1</v>
      </c>
      <c r="U649">
        <v>-30.48</v>
      </c>
      <c r="V649">
        <v>-3289</v>
      </c>
      <c r="W649">
        <v>9.32</v>
      </c>
      <c r="X649" t="s">
        <v>1987</v>
      </c>
      <c r="Y649" t="s">
        <v>868</v>
      </c>
      <c r="Z649">
        <v>0.71</v>
      </c>
      <c r="AA649">
        <v>448</v>
      </c>
      <c r="AB649">
        <v>1239</v>
      </c>
      <c r="AC649">
        <v>2.6</v>
      </c>
      <c r="AD649" t="s">
        <v>2839</v>
      </c>
      <c r="AE649" t="s">
        <v>4923</v>
      </c>
      <c r="AF649" t="s">
        <v>4924</v>
      </c>
      <c r="AG649" t="s">
        <v>4925</v>
      </c>
      <c r="AH649">
        <v>-0.11</v>
      </c>
      <c r="AI649">
        <v>-4.67</v>
      </c>
      <c r="AJ649">
        <v>11.61</v>
      </c>
      <c r="AK649">
        <v>22.36</v>
      </c>
      <c r="AL649">
        <v>1</v>
      </c>
      <c r="AM649">
        <v>1.51</v>
      </c>
      <c r="AN649">
        <v>-1.67</v>
      </c>
      <c r="AO649">
        <v>0.21</v>
      </c>
      <c r="AP649">
        <v>-14.31</v>
      </c>
    </row>
    <row r="650" spans="1:42">
      <c r="A650">
        <v>649</v>
      </c>
      <c r="B650" t="str">
        <f>"002843"</f>
        <v>002843</v>
      </c>
      <c r="C650" t="s">
        <v>4926</v>
      </c>
      <c r="D650">
        <v>27.9</v>
      </c>
      <c r="E650">
        <v>0.29</v>
      </c>
      <c r="F650">
        <v>0.08</v>
      </c>
      <c r="G650" t="s">
        <v>740</v>
      </c>
      <c r="H650">
        <v>1615</v>
      </c>
      <c r="I650">
        <v>27.89</v>
      </c>
      <c r="J650">
        <v>27.9</v>
      </c>
      <c r="K650" t="s">
        <v>4921</v>
      </c>
      <c r="L650">
        <v>4.92</v>
      </c>
      <c r="M650" t="s">
        <v>46</v>
      </c>
      <c r="N650" t="s">
        <v>4927</v>
      </c>
      <c r="O650">
        <v>29.07</v>
      </c>
      <c r="P650">
        <v>27.3</v>
      </c>
      <c r="Q650">
        <v>27.71</v>
      </c>
      <c r="R650">
        <v>27.82</v>
      </c>
      <c r="S650">
        <v>6.36</v>
      </c>
      <c r="T650">
        <v>1.44</v>
      </c>
      <c r="U650">
        <v>26.18</v>
      </c>
      <c r="V650">
        <v>105</v>
      </c>
      <c r="W650">
        <v>28.14</v>
      </c>
      <c r="X650" t="s">
        <v>4928</v>
      </c>
      <c r="Y650" t="s">
        <v>4929</v>
      </c>
      <c r="Z650">
        <v>0.85</v>
      </c>
      <c r="AA650">
        <v>193</v>
      </c>
      <c r="AB650">
        <v>29</v>
      </c>
      <c r="AC650">
        <v>4.99</v>
      </c>
      <c r="AD650" t="s">
        <v>4930</v>
      </c>
      <c r="AE650" t="s">
        <v>4931</v>
      </c>
      <c r="AF650" t="s">
        <v>4932</v>
      </c>
      <c r="AG650" t="s">
        <v>4933</v>
      </c>
      <c r="AH650">
        <v>17.03</v>
      </c>
      <c r="AI650">
        <v>11.69</v>
      </c>
      <c r="AJ650">
        <v>17.18</v>
      </c>
      <c r="AK650">
        <v>22.06</v>
      </c>
      <c r="AL650">
        <v>3</v>
      </c>
      <c r="AM650">
        <v>0.29</v>
      </c>
      <c r="AN650">
        <v>37.57</v>
      </c>
      <c r="AO650">
        <v>14.49</v>
      </c>
      <c r="AP650">
        <v>20.31</v>
      </c>
    </row>
    <row r="651" spans="1:42">
      <c r="A651">
        <v>650</v>
      </c>
      <c r="B651" t="str">
        <f>"601898"</f>
        <v>601898</v>
      </c>
      <c r="C651" t="s">
        <v>4934</v>
      </c>
      <c r="D651">
        <v>9.48</v>
      </c>
      <c r="E651">
        <v>1.61</v>
      </c>
      <c r="F651">
        <v>0.15</v>
      </c>
      <c r="G651" t="s">
        <v>3576</v>
      </c>
      <c r="H651">
        <v>1597</v>
      </c>
      <c r="I651">
        <v>9.48</v>
      </c>
      <c r="J651">
        <v>9.49</v>
      </c>
      <c r="K651" t="s">
        <v>897</v>
      </c>
      <c r="L651">
        <v>0.34</v>
      </c>
      <c r="M651" t="s">
        <v>46</v>
      </c>
      <c r="N651" t="s">
        <v>4935</v>
      </c>
      <c r="O651">
        <v>9.5</v>
      </c>
      <c r="P651">
        <v>9.3</v>
      </c>
      <c r="Q651">
        <v>9.3</v>
      </c>
      <c r="R651">
        <v>9.33</v>
      </c>
      <c r="S651">
        <v>2.14</v>
      </c>
      <c r="T651">
        <v>1.13</v>
      </c>
      <c r="U651">
        <v>-13.38</v>
      </c>
      <c r="V651">
        <v>-1776</v>
      </c>
      <c r="W651">
        <v>9.44</v>
      </c>
      <c r="X651" t="s">
        <v>1540</v>
      </c>
      <c r="Y651" t="s">
        <v>652</v>
      </c>
      <c r="Z651">
        <v>0.61</v>
      </c>
      <c r="AA651">
        <v>77</v>
      </c>
      <c r="AB651">
        <v>865</v>
      </c>
      <c r="AC651">
        <v>0.88</v>
      </c>
      <c r="AD651" t="s">
        <v>4936</v>
      </c>
      <c r="AE651" t="s">
        <v>4937</v>
      </c>
      <c r="AF651" t="s">
        <v>4938</v>
      </c>
      <c r="AG651" t="s">
        <v>4939</v>
      </c>
      <c r="AH651">
        <v>4.29</v>
      </c>
      <c r="AI651">
        <v>7.48</v>
      </c>
      <c r="AJ651">
        <v>0.96</v>
      </c>
      <c r="AK651">
        <v>1.83</v>
      </c>
      <c r="AL651">
        <v>7</v>
      </c>
      <c r="AM651">
        <v>1.61</v>
      </c>
      <c r="AN651">
        <v>15.47</v>
      </c>
      <c r="AO651">
        <v>11.27</v>
      </c>
      <c r="AP651">
        <v>9.85</v>
      </c>
    </row>
    <row r="652" spans="1:42">
      <c r="A652">
        <v>651</v>
      </c>
      <c r="B652" t="str">
        <f>"600600"</f>
        <v>600600</v>
      </c>
      <c r="C652" t="s">
        <v>4940</v>
      </c>
      <c r="D652">
        <v>74.09</v>
      </c>
      <c r="E652">
        <v>-0.63</v>
      </c>
      <c r="F652">
        <v>-0.47</v>
      </c>
      <c r="G652" t="s">
        <v>4941</v>
      </c>
      <c r="H652">
        <v>223</v>
      </c>
      <c r="I652">
        <v>74.08</v>
      </c>
      <c r="J652">
        <v>74.09</v>
      </c>
      <c r="K652" t="s">
        <v>897</v>
      </c>
      <c r="L652">
        <v>0.56</v>
      </c>
      <c r="M652" t="s">
        <v>46</v>
      </c>
      <c r="N652" t="s">
        <v>4942</v>
      </c>
      <c r="O652">
        <v>74.46</v>
      </c>
      <c r="P652">
        <v>73.05</v>
      </c>
      <c r="Q652">
        <v>74.45</v>
      </c>
      <c r="R652">
        <v>74.56</v>
      </c>
      <c r="S652">
        <v>1.89</v>
      </c>
      <c r="T652">
        <v>1.19</v>
      </c>
      <c r="U652">
        <v>14.42</v>
      </c>
      <c r="V652">
        <v>31</v>
      </c>
      <c r="W652">
        <v>73.67</v>
      </c>
      <c r="X652" t="s">
        <v>314</v>
      </c>
      <c r="Y652" t="s">
        <v>4943</v>
      </c>
      <c r="Z652">
        <v>1.43</v>
      </c>
      <c r="AA652">
        <v>1</v>
      </c>
      <c r="AB652">
        <v>13</v>
      </c>
      <c r="AC652">
        <v>3.6</v>
      </c>
      <c r="AD652" t="s">
        <v>4944</v>
      </c>
      <c r="AE652" t="s">
        <v>4945</v>
      </c>
      <c r="AF652" t="s">
        <v>4946</v>
      </c>
      <c r="AG652" t="s">
        <v>4947</v>
      </c>
      <c r="AH652">
        <v>-1.57</v>
      </c>
      <c r="AI652">
        <v>-3.64</v>
      </c>
      <c r="AJ652">
        <v>1.65</v>
      </c>
      <c r="AK652">
        <v>2.94</v>
      </c>
      <c r="AL652">
        <v>-8</v>
      </c>
      <c r="AM652">
        <v>-0.63</v>
      </c>
      <c r="AN652">
        <v>-29.91</v>
      </c>
      <c r="AO652">
        <v>-7.4</v>
      </c>
      <c r="AP652">
        <v>-21.46</v>
      </c>
    </row>
    <row r="653" spans="1:42">
      <c r="A653">
        <v>652</v>
      </c>
      <c r="B653" t="str">
        <f>"300213"</f>
        <v>300213</v>
      </c>
      <c r="C653" t="s">
        <v>4948</v>
      </c>
      <c r="D653">
        <v>8.01</v>
      </c>
      <c r="E653">
        <v>2.43</v>
      </c>
      <c r="F653">
        <v>0.19</v>
      </c>
      <c r="G653" t="s">
        <v>3837</v>
      </c>
      <c r="H653">
        <v>3943</v>
      </c>
      <c r="I653">
        <v>8.01</v>
      </c>
      <c r="J653">
        <v>8.02</v>
      </c>
      <c r="K653" t="s">
        <v>897</v>
      </c>
      <c r="L653">
        <v>6.71</v>
      </c>
      <c r="M653" t="s">
        <v>46</v>
      </c>
      <c r="N653" t="s">
        <v>3606</v>
      </c>
      <c r="O653">
        <v>8.04</v>
      </c>
      <c r="P653">
        <v>7.69</v>
      </c>
      <c r="Q653">
        <v>7.81</v>
      </c>
      <c r="R653">
        <v>7.82</v>
      </c>
      <c r="S653">
        <v>4.48</v>
      </c>
      <c r="T653">
        <v>0.49</v>
      </c>
      <c r="U653">
        <v>0.29</v>
      </c>
      <c r="V653">
        <v>40</v>
      </c>
      <c r="W653">
        <v>7.91</v>
      </c>
      <c r="X653" t="s">
        <v>842</v>
      </c>
      <c r="Y653" t="s">
        <v>1328</v>
      </c>
      <c r="Z653">
        <v>0.9</v>
      </c>
      <c r="AA653">
        <v>3507</v>
      </c>
      <c r="AB653">
        <v>676</v>
      </c>
      <c r="AC653">
        <v>2.14</v>
      </c>
      <c r="AD653" t="s">
        <v>4949</v>
      </c>
      <c r="AE653" t="s">
        <v>4950</v>
      </c>
      <c r="AF653" t="s">
        <v>4951</v>
      </c>
      <c r="AG653" t="s">
        <v>3163</v>
      </c>
      <c r="AH653">
        <v>-9.39</v>
      </c>
      <c r="AI653">
        <v>-5.09</v>
      </c>
      <c r="AJ653">
        <v>30.84</v>
      </c>
      <c r="AK653">
        <v>75.54</v>
      </c>
      <c r="AL653">
        <v>1</v>
      </c>
      <c r="AM653">
        <v>2.43</v>
      </c>
      <c r="AN653">
        <v>66.88</v>
      </c>
      <c r="AO653">
        <v>12.98</v>
      </c>
      <c r="AP653">
        <v>52.57</v>
      </c>
    </row>
    <row r="654" spans="1:42">
      <c r="A654">
        <v>653</v>
      </c>
      <c r="B654" t="str">
        <f>"300898"</f>
        <v>300898</v>
      </c>
      <c r="C654" t="s">
        <v>4952</v>
      </c>
      <c r="D654">
        <v>25.21</v>
      </c>
      <c r="E654">
        <v>-3.04</v>
      </c>
      <c r="F654">
        <v>-0.79</v>
      </c>
      <c r="G654" t="s">
        <v>262</v>
      </c>
      <c r="H654">
        <v>1190</v>
      </c>
      <c r="I654">
        <v>25.2</v>
      </c>
      <c r="J654">
        <v>25.21</v>
      </c>
      <c r="K654" t="s">
        <v>897</v>
      </c>
      <c r="L654">
        <v>10.25</v>
      </c>
      <c r="M654" t="s">
        <v>46</v>
      </c>
      <c r="N654" t="s">
        <v>1926</v>
      </c>
      <c r="O654">
        <v>26.78</v>
      </c>
      <c r="P654">
        <v>25.21</v>
      </c>
      <c r="Q654">
        <v>25.8</v>
      </c>
      <c r="R654">
        <v>26</v>
      </c>
      <c r="S654">
        <v>6.04</v>
      </c>
      <c r="T654">
        <v>1.89</v>
      </c>
      <c r="U654">
        <v>42.71</v>
      </c>
      <c r="V654">
        <v>425</v>
      </c>
      <c r="W654">
        <v>25.93</v>
      </c>
      <c r="X654" t="s">
        <v>4746</v>
      </c>
      <c r="Y654" t="s">
        <v>4953</v>
      </c>
      <c r="Z654">
        <v>1.23</v>
      </c>
      <c r="AA654">
        <v>441</v>
      </c>
      <c r="AB654">
        <v>3</v>
      </c>
      <c r="AC654">
        <v>3.41</v>
      </c>
      <c r="AD654" t="s">
        <v>4954</v>
      </c>
      <c r="AE654" t="s">
        <v>4955</v>
      </c>
      <c r="AF654" t="s">
        <v>4956</v>
      </c>
      <c r="AG654" t="s">
        <v>3544</v>
      </c>
      <c r="AH654">
        <v>2.02</v>
      </c>
      <c r="AI654">
        <v>1.41</v>
      </c>
      <c r="AJ654">
        <v>25.85</v>
      </c>
      <c r="AK654">
        <v>37.44</v>
      </c>
      <c r="AL654">
        <v>-1</v>
      </c>
      <c r="AM654">
        <v>-3.04</v>
      </c>
      <c r="AN654">
        <v>3.96</v>
      </c>
      <c r="AO654">
        <v>7.37</v>
      </c>
      <c r="AP654">
        <v>43.48</v>
      </c>
    </row>
    <row r="655" spans="1:42">
      <c r="A655">
        <v>654</v>
      </c>
      <c r="B655" t="str">
        <f>"000980"</f>
        <v>000980</v>
      </c>
      <c r="C655" t="s">
        <v>4957</v>
      </c>
      <c r="D655">
        <v>3.46</v>
      </c>
      <c r="E655">
        <v>1.47</v>
      </c>
      <c r="F655">
        <v>0.05</v>
      </c>
      <c r="G655" t="s">
        <v>4958</v>
      </c>
      <c r="H655" t="s">
        <v>4959</v>
      </c>
      <c r="I655">
        <v>3.45</v>
      </c>
      <c r="J655">
        <v>3.46</v>
      </c>
      <c r="K655" t="s">
        <v>4960</v>
      </c>
      <c r="L655">
        <v>1.98</v>
      </c>
      <c r="M655" t="s">
        <v>46</v>
      </c>
      <c r="N655" t="s">
        <v>2819</v>
      </c>
      <c r="O655">
        <v>3.49</v>
      </c>
      <c r="P655">
        <v>3.37</v>
      </c>
      <c r="Q655">
        <v>3.44</v>
      </c>
      <c r="R655">
        <v>3.41</v>
      </c>
      <c r="S655">
        <v>3.52</v>
      </c>
      <c r="T655">
        <v>0.81</v>
      </c>
      <c r="U655">
        <v>-27.07</v>
      </c>
      <c r="V655" t="s">
        <v>4961</v>
      </c>
      <c r="W655">
        <v>3.45</v>
      </c>
      <c r="X655" t="s">
        <v>4962</v>
      </c>
      <c r="Y655" t="s">
        <v>3285</v>
      </c>
      <c r="Z655">
        <v>0.75</v>
      </c>
      <c r="AA655" t="s">
        <v>4963</v>
      </c>
      <c r="AB655">
        <v>9553</v>
      </c>
      <c r="AC655">
        <v>8.77</v>
      </c>
      <c r="AD655" t="s">
        <v>4486</v>
      </c>
      <c r="AE655" t="s">
        <v>4964</v>
      </c>
      <c r="AF655" t="s">
        <v>4965</v>
      </c>
      <c r="AG655" t="s">
        <v>4966</v>
      </c>
      <c r="AH655">
        <v>-3.35</v>
      </c>
      <c r="AI655">
        <v>-4.42</v>
      </c>
      <c r="AJ655">
        <v>6.39</v>
      </c>
      <c r="AK655">
        <v>14.19</v>
      </c>
      <c r="AL655">
        <v>1</v>
      </c>
      <c r="AM655">
        <v>1.47</v>
      </c>
      <c r="AN655">
        <v>-18.78</v>
      </c>
      <c r="AO655">
        <v>-4.16</v>
      </c>
      <c r="AP655">
        <v>-43.46</v>
      </c>
    </row>
    <row r="656" spans="1:42">
      <c r="A656">
        <v>655</v>
      </c>
      <c r="B656" t="str">
        <f>"600085"</f>
        <v>600085</v>
      </c>
      <c r="C656" t="s">
        <v>4967</v>
      </c>
      <c r="D656">
        <v>52.76</v>
      </c>
      <c r="E656">
        <v>-0.73</v>
      </c>
      <c r="F656">
        <v>-0.39</v>
      </c>
      <c r="G656" t="s">
        <v>4968</v>
      </c>
      <c r="H656">
        <v>346</v>
      </c>
      <c r="I656">
        <v>52.76</v>
      </c>
      <c r="J656">
        <v>52.77</v>
      </c>
      <c r="K656" t="s">
        <v>4960</v>
      </c>
      <c r="L656">
        <v>0.4</v>
      </c>
      <c r="M656" t="s">
        <v>46</v>
      </c>
      <c r="N656" t="s">
        <v>4969</v>
      </c>
      <c r="O656">
        <v>53.44</v>
      </c>
      <c r="P656">
        <v>52.44</v>
      </c>
      <c r="Q656">
        <v>53</v>
      </c>
      <c r="R656">
        <v>53.15</v>
      </c>
      <c r="S656">
        <v>1.88</v>
      </c>
      <c r="T656">
        <v>0.77</v>
      </c>
      <c r="U656">
        <v>-56.48</v>
      </c>
      <c r="V656">
        <v>-257</v>
      </c>
      <c r="W656">
        <v>52.74</v>
      </c>
      <c r="X656" t="s">
        <v>4970</v>
      </c>
      <c r="Y656" t="s">
        <v>153</v>
      </c>
      <c r="Z656">
        <v>1.61</v>
      </c>
      <c r="AA656">
        <v>18</v>
      </c>
      <c r="AB656">
        <v>10</v>
      </c>
      <c r="AC656">
        <v>5.65</v>
      </c>
      <c r="AD656" t="s">
        <v>4971</v>
      </c>
      <c r="AE656" t="s">
        <v>4972</v>
      </c>
      <c r="AF656" t="s">
        <v>4971</v>
      </c>
      <c r="AG656" t="s">
        <v>4972</v>
      </c>
      <c r="AH656">
        <v>0.27</v>
      </c>
      <c r="AI656">
        <v>2.21</v>
      </c>
      <c r="AJ656">
        <v>1.44</v>
      </c>
      <c r="AK656">
        <v>3.02</v>
      </c>
      <c r="AL656">
        <v>-1</v>
      </c>
      <c r="AM656">
        <v>-0.73</v>
      </c>
      <c r="AN656">
        <v>18.94</v>
      </c>
      <c r="AO656">
        <v>3.55</v>
      </c>
      <c r="AP656">
        <v>17.4</v>
      </c>
    </row>
    <row r="657" spans="1:42">
      <c r="A657">
        <v>656</v>
      </c>
      <c r="B657" t="str">
        <f>"600763"</f>
        <v>600763</v>
      </c>
      <c r="C657" t="s">
        <v>4973</v>
      </c>
      <c r="D657">
        <v>80.94</v>
      </c>
      <c r="E657">
        <v>-1.22</v>
      </c>
      <c r="F657">
        <v>-1</v>
      </c>
      <c r="G657" t="s">
        <v>4974</v>
      </c>
      <c r="H657">
        <v>276</v>
      </c>
      <c r="I657">
        <v>80.92</v>
      </c>
      <c r="J657">
        <v>80.94</v>
      </c>
      <c r="K657" t="s">
        <v>1613</v>
      </c>
      <c r="L657">
        <v>1.12</v>
      </c>
      <c r="M657" t="s">
        <v>46</v>
      </c>
      <c r="N657" t="s">
        <v>4975</v>
      </c>
      <c r="O657">
        <v>82.44</v>
      </c>
      <c r="P657">
        <v>79.6</v>
      </c>
      <c r="Q657">
        <v>81.82</v>
      </c>
      <c r="R657">
        <v>81.94</v>
      </c>
      <c r="S657">
        <v>3.47</v>
      </c>
      <c r="T657">
        <v>1.41</v>
      </c>
      <c r="U657">
        <v>19.96</v>
      </c>
      <c r="V657">
        <v>18</v>
      </c>
      <c r="W657">
        <v>80.62</v>
      </c>
      <c r="X657" t="s">
        <v>4976</v>
      </c>
      <c r="Y657" t="s">
        <v>4977</v>
      </c>
      <c r="Z657">
        <v>1.27</v>
      </c>
      <c r="AA657">
        <v>1</v>
      </c>
      <c r="AB657">
        <v>5</v>
      </c>
      <c r="AC657">
        <v>6.8</v>
      </c>
      <c r="AD657" t="s">
        <v>4978</v>
      </c>
      <c r="AE657" t="s">
        <v>4979</v>
      </c>
      <c r="AF657" t="s">
        <v>4978</v>
      </c>
      <c r="AG657" t="s">
        <v>4979</v>
      </c>
      <c r="AH657">
        <v>-3.14</v>
      </c>
      <c r="AI657">
        <v>-6.63</v>
      </c>
      <c r="AJ657">
        <v>2.9</v>
      </c>
      <c r="AK657">
        <v>5.11</v>
      </c>
      <c r="AL657">
        <v>-1</v>
      </c>
      <c r="AM657">
        <v>-1.22</v>
      </c>
      <c r="AN657">
        <v>-47.09</v>
      </c>
      <c r="AO657">
        <v>-9.95</v>
      </c>
      <c r="AP657">
        <v>-37.66</v>
      </c>
    </row>
    <row r="658" spans="1:42">
      <c r="A658">
        <v>657</v>
      </c>
      <c r="B658" t="str">
        <f>"002422"</f>
        <v>002422</v>
      </c>
      <c r="C658" t="s">
        <v>4980</v>
      </c>
      <c r="D658">
        <v>28.42</v>
      </c>
      <c r="E658">
        <v>-0.91</v>
      </c>
      <c r="F658">
        <v>-0.26</v>
      </c>
      <c r="G658" t="s">
        <v>3402</v>
      </c>
      <c r="H658">
        <v>664</v>
      </c>
      <c r="I658">
        <v>28.42</v>
      </c>
      <c r="J658">
        <v>28.43</v>
      </c>
      <c r="K658" t="s">
        <v>1613</v>
      </c>
      <c r="L658">
        <v>0.86</v>
      </c>
      <c r="M658" t="s">
        <v>46</v>
      </c>
      <c r="N658" t="s">
        <v>2712</v>
      </c>
      <c r="O658">
        <v>28.68</v>
      </c>
      <c r="P658">
        <v>27.95</v>
      </c>
      <c r="Q658">
        <v>28.46</v>
      </c>
      <c r="R658">
        <v>28.68</v>
      </c>
      <c r="S658">
        <v>2.55</v>
      </c>
      <c r="T658">
        <v>0.99</v>
      </c>
      <c r="U658">
        <v>-29.61</v>
      </c>
      <c r="V658">
        <v>-106</v>
      </c>
      <c r="W658">
        <v>28.26</v>
      </c>
      <c r="X658" t="s">
        <v>4981</v>
      </c>
      <c r="Y658" t="s">
        <v>2560</v>
      </c>
      <c r="Z658">
        <v>1.11</v>
      </c>
      <c r="AA658">
        <v>9</v>
      </c>
      <c r="AB658">
        <v>13</v>
      </c>
      <c r="AC658">
        <v>2.26</v>
      </c>
      <c r="AD658" t="s">
        <v>4982</v>
      </c>
      <c r="AE658" t="s">
        <v>4983</v>
      </c>
      <c r="AF658" t="s">
        <v>4984</v>
      </c>
      <c r="AG658" t="s">
        <v>4985</v>
      </c>
      <c r="AH658">
        <v>-1.22</v>
      </c>
      <c r="AI658">
        <v>1.14</v>
      </c>
      <c r="AJ658">
        <v>2.41</v>
      </c>
      <c r="AK658">
        <v>5.24</v>
      </c>
      <c r="AL658">
        <v>-1</v>
      </c>
      <c r="AM658">
        <v>-0.91</v>
      </c>
      <c r="AN658">
        <v>9.35</v>
      </c>
      <c r="AO658">
        <v>5.49</v>
      </c>
      <c r="AP658">
        <v>22.39</v>
      </c>
    </row>
    <row r="659" spans="1:42">
      <c r="A659">
        <v>658</v>
      </c>
      <c r="B659" t="str">
        <f>"300812"</f>
        <v>300812</v>
      </c>
      <c r="C659" t="s">
        <v>4986</v>
      </c>
      <c r="D659">
        <v>29.96</v>
      </c>
      <c r="E659">
        <v>-1.96</v>
      </c>
      <c r="F659">
        <v>-0.6</v>
      </c>
      <c r="G659" t="s">
        <v>4987</v>
      </c>
      <c r="H659">
        <v>1418</v>
      </c>
      <c r="I659">
        <v>29.95</v>
      </c>
      <c r="J659">
        <v>29.96</v>
      </c>
      <c r="K659" t="s">
        <v>1613</v>
      </c>
      <c r="L659">
        <v>10.8</v>
      </c>
      <c r="M659" t="s">
        <v>46</v>
      </c>
      <c r="N659" t="s">
        <v>3142</v>
      </c>
      <c r="O659">
        <v>30.63</v>
      </c>
      <c r="P659">
        <v>29.38</v>
      </c>
      <c r="Q659">
        <v>30.6</v>
      </c>
      <c r="R659">
        <v>30.56</v>
      </c>
      <c r="S659">
        <v>4.09</v>
      </c>
      <c r="T659">
        <v>0.65</v>
      </c>
      <c r="U659">
        <v>-6.3</v>
      </c>
      <c r="V659">
        <v>-106</v>
      </c>
      <c r="W659">
        <v>29.84</v>
      </c>
      <c r="X659" t="s">
        <v>2560</v>
      </c>
      <c r="Y659" t="s">
        <v>4988</v>
      </c>
      <c r="Z659">
        <v>1.01</v>
      </c>
      <c r="AA659">
        <v>516</v>
      </c>
      <c r="AB659">
        <v>163</v>
      </c>
      <c r="AC659">
        <v>4.66</v>
      </c>
      <c r="AD659" t="s">
        <v>4989</v>
      </c>
      <c r="AE659" t="s">
        <v>4990</v>
      </c>
      <c r="AF659" t="s">
        <v>4991</v>
      </c>
      <c r="AG659" t="s">
        <v>4992</v>
      </c>
      <c r="AH659">
        <v>-4.92</v>
      </c>
      <c r="AI659">
        <v>-6.96</v>
      </c>
      <c r="AJ659">
        <v>43.91</v>
      </c>
      <c r="AK659">
        <v>94.26</v>
      </c>
      <c r="AL659">
        <v>-2</v>
      </c>
      <c r="AM659">
        <v>-1.96</v>
      </c>
      <c r="AN659">
        <v>56.69</v>
      </c>
      <c r="AO659">
        <v>18.05</v>
      </c>
      <c r="AP659">
        <v>74.08</v>
      </c>
    </row>
    <row r="660" spans="1:42">
      <c r="A660">
        <v>659</v>
      </c>
      <c r="B660" t="str">
        <f>"688472"</f>
        <v>688472</v>
      </c>
      <c r="C660" t="s">
        <v>4993</v>
      </c>
      <c r="D660">
        <v>11.72</v>
      </c>
      <c r="E660">
        <v>-1.26</v>
      </c>
      <c r="F660">
        <v>-0.15</v>
      </c>
      <c r="G660" t="s">
        <v>259</v>
      </c>
      <c r="H660">
        <v>2198</v>
      </c>
      <c r="I660">
        <v>11.72</v>
      </c>
      <c r="J660">
        <v>11.73</v>
      </c>
      <c r="K660" t="s">
        <v>4994</v>
      </c>
      <c r="L660">
        <v>5.81</v>
      </c>
      <c r="M660" t="s">
        <v>46</v>
      </c>
      <c r="N660" t="s">
        <v>4995</v>
      </c>
      <c r="O660">
        <v>11.94</v>
      </c>
      <c r="P660">
        <v>11.66</v>
      </c>
      <c r="Q660">
        <v>11.88</v>
      </c>
      <c r="R660">
        <v>11.87</v>
      </c>
      <c r="S660">
        <v>2.36</v>
      </c>
      <c r="T660">
        <v>1.11</v>
      </c>
      <c r="U660">
        <v>22.28</v>
      </c>
      <c r="V660">
        <v>1033</v>
      </c>
      <c r="W660">
        <v>11.79</v>
      </c>
      <c r="X660" t="s">
        <v>598</v>
      </c>
      <c r="Y660" t="s">
        <v>4987</v>
      </c>
      <c r="Z660">
        <v>1.53</v>
      </c>
      <c r="AA660">
        <v>174</v>
      </c>
      <c r="AB660">
        <v>131</v>
      </c>
      <c r="AC660">
        <v>2.05</v>
      </c>
      <c r="AD660" t="s">
        <v>4996</v>
      </c>
      <c r="AE660" t="s">
        <v>4997</v>
      </c>
      <c r="AF660" t="s">
        <v>4998</v>
      </c>
      <c r="AG660" t="s">
        <v>4999</v>
      </c>
      <c r="AH660">
        <v>-8.58</v>
      </c>
      <c r="AI660">
        <v>-12.47</v>
      </c>
      <c r="AJ660">
        <v>20.86</v>
      </c>
      <c r="AK660">
        <v>31.94</v>
      </c>
      <c r="AL660">
        <v>-6</v>
      </c>
      <c r="AM660">
        <v>-1.26</v>
      </c>
      <c r="AN660">
        <v>5.59</v>
      </c>
      <c r="AO660">
        <v>-11.61</v>
      </c>
      <c r="AP660">
        <v>5.59</v>
      </c>
    </row>
    <row r="661" spans="1:42">
      <c r="A661">
        <v>660</v>
      </c>
      <c r="B661" t="str">
        <f>"600588"</f>
        <v>600588</v>
      </c>
      <c r="C661" t="s">
        <v>5000</v>
      </c>
      <c r="D661">
        <v>17.16</v>
      </c>
      <c r="E661">
        <v>2.69</v>
      </c>
      <c r="F661">
        <v>0.45</v>
      </c>
      <c r="G661" t="s">
        <v>937</v>
      </c>
      <c r="H661">
        <v>1159</v>
      </c>
      <c r="I661">
        <v>17.16</v>
      </c>
      <c r="J661">
        <v>17.17</v>
      </c>
      <c r="K661" t="s">
        <v>4994</v>
      </c>
      <c r="L661">
        <v>0.5</v>
      </c>
      <c r="M661" t="s">
        <v>46</v>
      </c>
      <c r="N661" t="s">
        <v>5001</v>
      </c>
      <c r="O661">
        <v>17.3</v>
      </c>
      <c r="P661">
        <v>16.55</v>
      </c>
      <c r="Q661">
        <v>16.73</v>
      </c>
      <c r="R661">
        <v>16.71</v>
      </c>
      <c r="S661">
        <v>4.49</v>
      </c>
      <c r="T661">
        <v>1.51</v>
      </c>
      <c r="U661">
        <v>-58.11</v>
      </c>
      <c r="V661">
        <v>-2031</v>
      </c>
      <c r="W661">
        <v>16.92</v>
      </c>
      <c r="X661" t="s">
        <v>5002</v>
      </c>
      <c r="Y661" t="s">
        <v>788</v>
      </c>
      <c r="Z661">
        <v>1.08</v>
      </c>
      <c r="AA661">
        <v>66</v>
      </c>
      <c r="AB661">
        <v>34</v>
      </c>
      <c r="AC661">
        <v>5.81</v>
      </c>
      <c r="AD661" t="s">
        <v>5003</v>
      </c>
      <c r="AE661" t="s">
        <v>5004</v>
      </c>
      <c r="AF661" t="s">
        <v>5005</v>
      </c>
      <c r="AG661" t="s">
        <v>5006</v>
      </c>
      <c r="AH661">
        <v>0.47</v>
      </c>
      <c r="AI661">
        <v>-2.94</v>
      </c>
      <c r="AJ661">
        <v>1.23</v>
      </c>
      <c r="AK661">
        <v>2.15</v>
      </c>
      <c r="AL661">
        <v>1</v>
      </c>
      <c r="AM661">
        <v>2.69</v>
      </c>
      <c r="AN661">
        <v>-28.83</v>
      </c>
      <c r="AO661">
        <v>3.69</v>
      </c>
      <c r="AP661">
        <v>-27.2</v>
      </c>
    </row>
    <row r="662" spans="1:42">
      <c r="A662">
        <v>661</v>
      </c>
      <c r="B662" t="str">
        <f>"002885"</f>
        <v>002885</v>
      </c>
      <c r="C662" t="s">
        <v>5007</v>
      </c>
      <c r="D662">
        <v>19.71</v>
      </c>
      <c r="E662">
        <v>-0.81</v>
      </c>
      <c r="F662">
        <v>-0.16</v>
      </c>
      <c r="G662" t="s">
        <v>2217</v>
      </c>
      <c r="H662">
        <v>2226</v>
      </c>
      <c r="I662">
        <v>19.71</v>
      </c>
      <c r="J662">
        <v>19.72</v>
      </c>
      <c r="K662" t="s">
        <v>5008</v>
      </c>
      <c r="L662">
        <v>6.53</v>
      </c>
      <c r="M662" t="s">
        <v>46</v>
      </c>
      <c r="N662" t="s">
        <v>507</v>
      </c>
      <c r="O662">
        <v>19.93</v>
      </c>
      <c r="P662">
        <v>19.07</v>
      </c>
      <c r="Q662">
        <v>19.67</v>
      </c>
      <c r="R662">
        <v>19.87</v>
      </c>
      <c r="S662">
        <v>4.33</v>
      </c>
      <c r="T662">
        <v>0.49</v>
      </c>
      <c r="U662">
        <v>14.14</v>
      </c>
      <c r="V662">
        <v>316</v>
      </c>
      <c r="W662">
        <v>19.54</v>
      </c>
      <c r="X662" t="s">
        <v>5009</v>
      </c>
      <c r="Y662" t="s">
        <v>5010</v>
      </c>
      <c r="Z662">
        <v>1.29</v>
      </c>
      <c r="AA662">
        <v>436</v>
      </c>
      <c r="AB662">
        <v>554</v>
      </c>
      <c r="AC662">
        <v>3.72</v>
      </c>
      <c r="AD662" t="s">
        <v>5011</v>
      </c>
      <c r="AE662" t="s">
        <v>5012</v>
      </c>
      <c r="AF662" t="s">
        <v>5013</v>
      </c>
      <c r="AG662" t="s">
        <v>5014</v>
      </c>
      <c r="AH662">
        <v>-3.24</v>
      </c>
      <c r="AI662">
        <v>-1</v>
      </c>
      <c r="AJ662">
        <v>33.02</v>
      </c>
      <c r="AK662">
        <v>73.48</v>
      </c>
      <c r="AL662">
        <v>-2</v>
      </c>
      <c r="AM662">
        <v>-0.81</v>
      </c>
      <c r="AN662">
        <v>-7.16</v>
      </c>
      <c r="AO662">
        <v>12.12</v>
      </c>
      <c r="AP662">
        <v>-8.67</v>
      </c>
    </row>
    <row r="663" spans="1:42">
      <c r="A663">
        <v>662</v>
      </c>
      <c r="B663" t="str">
        <f>"002343"</f>
        <v>002343</v>
      </c>
      <c r="C663" t="s">
        <v>5015</v>
      </c>
      <c r="D663">
        <v>7.35</v>
      </c>
      <c r="E663">
        <v>5.91</v>
      </c>
      <c r="F663">
        <v>0.41</v>
      </c>
      <c r="G663" t="s">
        <v>5016</v>
      </c>
      <c r="H663">
        <v>3787</v>
      </c>
      <c r="I663">
        <v>7.34</v>
      </c>
      <c r="J663">
        <v>7.35</v>
      </c>
      <c r="K663" t="s">
        <v>5008</v>
      </c>
      <c r="L663">
        <v>8.31</v>
      </c>
      <c r="M663" t="s">
        <v>46</v>
      </c>
      <c r="N663" t="s">
        <v>5017</v>
      </c>
      <c r="O663">
        <v>7.43</v>
      </c>
      <c r="P663">
        <v>6.91</v>
      </c>
      <c r="Q663">
        <v>6.94</v>
      </c>
      <c r="R663">
        <v>6.94</v>
      </c>
      <c r="S663">
        <v>7.49</v>
      </c>
      <c r="T663">
        <v>2.13</v>
      </c>
      <c r="U663">
        <v>-79.81</v>
      </c>
      <c r="V663" t="s">
        <v>3836</v>
      </c>
      <c r="W663">
        <v>7.29</v>
      </c>
      <c r="X663" t="s">
        <v>842</v>
      </c>
      <c r="Y663" t="s">
        <v>2609</v>
      </c>
      <c r="Z663">
        <v>0.8</v>
      </c>
      <c r="AA663">
        <v>593</v>
      </c>
      <c r="AB663">
        <v>524</v>
      </c>
      <c r="AC663">
        <v>3.62</v>
      </c>
      <c r="AD663" t="s">
        <v>5018</v>
      </c>
      <c r="AE663" t="s">
        <v>5019</v>
      </c>
      <c r="AF663" t="s">
        <v>5018</v>
      </c>
      <c r="AG663" t="s">
        <v>5019</v>
      </c>
      <c r="AH663">
        <v>4.7</v>
      </c>
      <c r="AI663">
        <v>0.82</v>
      </c>
      <c r="AJ663">
        <v>13.18</v>
      </c>
      <c r="AK663">
        <v>27.8</v>
      </c>
      <c r="AL663">
        <v>2</v>
      </c>
      <c r="AM663">
        <v>5.91</v>
      </c>
      <c r="AN663">
        <v>12.9</v>
      </c>
      <c r="AO663">
        <v>8.25</v>
      </c>
      <c r="AP663">
        <v>32.43</v>
      </c>
    </row>
    <row r="664" spans="1:42">
      <c r="A664">
        <v>663</v>
      </c>
      <c r="B664" t="str">
        <f>"605199"</f>
        <v>605199</v>
      </c>
      <c r="C664" t="s">
        <v>5020</v>
      </c>
      <c r="D664">
        <v>17.95</v>
      </c>
      <c r="E664">
        <v>-4.98</v>
      </c>
      <c r="F664">
        <v>-0.94</v>
      </c>
      <c r="G664" t="s">
        <v>5021</v>
      </c>
      <c r="H664">
        <v>1237</v>
      </c>
      <c r="I664">
        <v>17.95</v>
      </c>
      <c r="J664">
        <v>17.96</v>
      </c>
      <c r="K664" t="s">
        <v>5008</v>
      </c>
      <c r="L664">
        <v>3.95</v>
      </c>
      <c r="M664" t="s">
        <v>46</v>
      </c>
      <c r="N664" t="s">
        <v>5022</v>
      </c>
      <c r="O664">
        <v>18.64</v>
      </c>
      <c r="P664">
        <v>17.9</v>
      </c>
      <c r="Q664">
        <v>18.28</v>
      </c>
      <c r="R664">
        <v>18.89</v>
      </c>
      <c r="S664">
        <v>3.92</v>
      </c>
      <c r="T664">
        <v>0.81</v>
      </c>
      <c r="U664">
        <v>35.75</v>
      </c>
      <c r="V664">
        <v>1498</v>
      </c>
      <c r="W664">
        <v>18.22</v>
      </c>
      <c r="X664" t="s">
        <v>3018</v>
      </c>
      <c r="Y664" t="s">
        <v>5023</v>
      </c>
      <c r="Z664">
        <v>1.55</v>
      </c>
      <c r="AA664">
        <v>1918</v>
      </c>
      <c r="AB664">
        <v>60</v>
      </c>
      <c r="AC664">
        <v>6.58</v>
      </c>
      <c r="AD664" t="s">
        <v>5024</v>
      </c>
      <c r="AE664" t="s">
        <v>5025</v>
      </c>
      <c r="AF664" t="s">
        <v>5024</v>
      </c>
      <c r="AG664" t="s">
        <v>5025</v>
      </c>
      <c r="AH664">
        <v>-1.97</v>
      </c>
      <c r="AI664">
        <v>4.66</v>
      </c>
      <c r="AJ664">
        <v>12.13</v>
      </c>
      <c r="AK664">
        <v>28.46</v>
      </c>
      <c r="AL664">
        <v>-1</v>
      </c>
      <c r="AM664">
        <v>-4.98</v>
      </c>
      <c r="AN664">
        <v>12.05</v>
      </c>
      <c r="AO664">
        <v>16.56</v>
      </c>
      <c r="AP664">
        <v>-10.25</v>
      </c>
    </row>
    <row r="665" spans="1:42">
      <c r="A665">
        <v>664</v>
      </c>
      <c r="B665" t="str">
        <f>"001319"</f>
        <v>001319</v>
      </c>
      <c r="C665" t="s">
        <v>5026</v>
      </c>
      <c r="D665">
        <v>27.88</v>
      </c>
      <c r="E665">
        <v>-4.72</v>
      </c>
      <c r="F665">
        <v>-1.38</v>
      </c>
      <c r="G665" t="s">
        <v>740</v>
      </c>
      <c r="H665">
        <v>1443</v>
      </c>
      <c r="I665">
        <v>27.88</v>
      </c>
      <c r="J665">
        <v>27.89</v>
      </c>
      <c r="K665" t="s">
        <v>5008</v>
      </c>
      <c r="L665">
        <v>17.11</v>
      </c>
      <c r="M665" t="s">
        <v>46</v>
      </c>
      <c r="N665" t="s">
        <v>1788</v>
      </c>
      <c r="O665">
        <v>29.16</v>
      </c>
      <c r="P665">
        <v>26.71</v>
      </c>
      <c r="Q665">
        <v>29.16</v>
      </c>
      <c r="R665">
        <v>29.26</v>
      </c>
      <c r="S665">
        <v>8.37</v>
      </c>
      <c r="T665">
        <v>0.96</v>
      </c>
      <c r="U665">
        <v>45.64</v>
      </c>
      <c r="V665">
        <v>539</v>
      </c>
      <c r="W665">
        <v>27.57</v>
      </c>
      <c r="X665" t="s">
        <v>5027</v>
      </c>
      <c r="Y665" t="s">
        <v>5028</v>
      </c>
      <c r="Z665">
        <v>1.13</v>
      </c>
      <c r="AA665">
        <v>729</v>
      </c>
      <c r="AB665">
        <v>56</v>
      </c>
      <c r="AC665">
        <v>3.28</v>
      </c>
      <c r="AD665" t="s">
        <v>5029</v>
      </c>
      <c r="AE665" t="s">
        <v>1218</v>
      </c>
      <c r="AF665" t="s">
        <v>5030</v>
      </c>
      <c r="AG665" t="s">
        <v>5031</v>
      </c>
      <c r="AH665">
        <v>-8.59</v>
      </c>
      <c r="AI665">
        <v>-8.38</v>
      </c>
      <c r="AJ665">
        <v>53.42</v>
      </c>
      <c r="AK665">
        <v>106.17</v>
      </c>
      <c r="AL665">
        <v>-2</v>
      </c>
      <c r="AM665">
        <v>-4.72</v>
      </c>
      <c r="AN665">
        <v>39.54</v>
      </c>
      <c r="AO665">
        <v>-5.72</v>
      </c>
      <c r="AP665">
        <v>25.13</v>
      </c>
    </row>
    <row r="666" spans="1:42">
      <c r="A666">
        <v>665</v>
      </c>
      <c r="B666" t="str">
        <f>"600326"</f>
        <v>600326</v>
      </c>
      <c r="C666" t="s">
        <v>5032</v>
      </c>
      <c r="D666">
        <v>5.45</v>
      </c>
      <c r="E666">
        <v>0.18</v>
      </c>
      <c r="F666">
        <v>0.01</v>
      </c>
      <c r="G666" t="s">
        <v>155</v>
      </c>
      <c r="H666">
        <v>3120</v>
      </c>
      <c r="I666">
        <v>5.44</v>
      </c>
      <c r="J666">
        <v>5.45</v>
      </c>
      <c r="K666" t="s">
        <v>5033</v>
      </c>
      <c r="L666">
        <v>4.43</v>
      </c>
      <c r="M666" t="s">
        <v>46</v>
      </c>
      <c r="N666" t="s">
        <v>5034</v>
      </c>
      <c r="O666">
        <v>5.51</v>
      </c>
      <c r="P666">
        <v>5.36</v>
      </c>
      <c r="Q666">
        <v>5.48</v>
      </c>
      <c r="R666">
        <v>5.44</v>
      </c>
      <c r="S666">
        <v>2.76</v>
      </c>
      <c r="T666">
        <v>1.29</v>
      </c>
      <c r="U666">
        <v>-26.23</v>
      </c>
      <c r="V666">
        <v>-3406</v>
      </c>
      <c r="W666">
        <v>5.43</v>
      </c>
      <c r="X666" t="s">
        <v>674</v>
      </c>
      <c r="Y666" t="s">
        <v>2828</v>
      </c>
      <c r="Z666">
        <v>1.35</v>
      </c>
      <c r="AA666">
        <v>1094</v>
      </c>
      <c r="AB666">
        <v>280</v>
      </c>
      <c r="AC666">
        <v>1.82</v>
      </c>
      <c r="AD666" t="s">
        <v>5035</v>
      </c>
      <c r="AE666" t="s">
        <v>5036</v>
      </c>
      <c r="AF666" t="s">
        <v>5037</v>
      </c>
      <c r="AG666" t="s">
        <v>5038</v>
      </c>
      <c r="AH666">
        <v>-2.68</v>
      </c>
      <c r="AI666">
        <v>-3.37</v>
      </c>
      <c r="AJ666">
        <v>14.75</v>
      </c>
      <c r="AK666">
        <v>21.58</v>
      </c>
      <c r="AL666">
        <v>1</v>
      </c>
      <c r="AM666">
        <v>0.18</v>
      </c>
      <c r="AN666">
        <v>57.06</v>
      </c>
      <c r="AO666">
        <v>3.02</v>
      </c>
      <c r="AP666">
        <v>49.32</v>
      </c>
    </row>
    <row r="667" spans="1:42">
      <c r="A667">
        <v>666</v>
      </c>
      <c r="B667" t="str">
        <f>"603595"</f>
        <v>603595</v>
      </c>
      <c r="C667" t="s">
        <v>5039</v>
      </c>
      <c r="D667">
        <v>41.1</v>
      </c>
      <c r="E667">
        <v>1.61</v>
      </c>
      <c r="F667">
        <v>0.65</v>
      </c>
      <c r="G667" t="s">
        <v>5040</v>
      </c>
      <c r="H667">
        <v>1070</v>
      </c>
      <c r="I667">
        <v>41.09</v>
      </c>
      <c r="J667">
        <v>41.1</v>
      </c>
      <c r="K667" t="s">
        <v>5033</v>
      </c>
      <c r="L667">
        <v>3</v>
      </c>
      <c r="M667" t="s">
        <v>46</v>
      </c>
      <c r="N667" t="s">
        <v>2113</v>
      </c>
      <c r="O667">
        <v>41.9</v>
      </c>
      <c r="P667">
        <v>40.45</v>
      </c>
      <c r="Q667">
        <v>40.67</v>
      </c>
      <c r="R667">
        <v>40.45</v>
      </c>
      <c r="S667">
        <v>3.58</v>
      </c>
      <c r="T667">
        <v>0.96</v>
      </c>
      <c r="U667">
        <v>12.64</v>
      </c>
      <c r="V667">
        <v>46</v>
      </c>
      <c r="W667">
        <v>41.16</v>
      </c>
      <c r="X667" t="s">
        <v>4148</v>
      </c>
      <c r="Y667" t="s">
        <v>4780</v>
      </c>
      <c r="Z667">
        <v>1.05</v>
      </c>
      <c r="AA667">
        <v>8</v>
      </c>
      <c r="AB667">
        <v>137</v>
      </c>
      <c r="AC667">
        <v>4.47</v>
      </c>
      <c r="AD667" t="s">
        <v>5041</v>
      </c>
      <c r="AE667" t="s">
        <v>5042</v>
      </c>
      <c r="AF667" t="s">
        <v>5041</v>
      </c>
      <c r="AG667" t="s">
        <v>5042</v>
      </c>
      <c r="AH667">
        <v>4.34</v>
      </c>
      <c r="AI667">
        <v>6.73</v>
      </c>
      <c r="AJ667">
        <v>12.77</v>
      </c>
      <c r="AK667">
        <v>18.67</v>
      </c>
      <c r="AL667">
        <v>1</v>
      </c>
      <c r="AM667">
        <v>1.61</v>
      </c>
      <c r="AN667">
        <v>-31.59</v>
      </c>
      <c r="AO667">
        <v>4.34</v>
      </c>
      <c r="AP667">
        <v>-30.15</v>
      </c>
    </row>
    <row r="668" spans="1:42">
      <c r="A668">
        <v>667</v>
      </c>
      <c r="B668" t="str">
        <f>"002528"</f>
        <v>002528</v>
      </c>
      <c r="C668" t="s">
        <v>5043</v>
      </c>
      <c r="D668">
        <v>8.63</v>
      </c>
      <c r="E668">
        <v>2.13</v>
      </c>
      <c r="F668">
        <v>0.18</v>
      </c>
      <c r="G668" t="s">
        <v>1730</v>
      </c>
      <c r="H668">
        <v>4421</v>
      </c>
      <c r="I668">
        <v>8.62</v>
      </c>
      <c r="J668">
        <v>8.63</v>
      </c>
      <c r="K668" t="s">
        <v>5033</v>
      </c>
      <c r="L668">
        <v>3.2</v>
      </c>
      <c r="M668" t="s">
        <v>46</v>
      </c>
      <c r="N668" t="s">
        <v>5044</v>
      </c>
      <c r="O668">
        <v>8.66</v>
      </c>
      <c r="P668">
        <v>8.46</v>
      </c>
      <c r="Q668">
        <v>8.46</v>
      </c>
      <c r="R668">
        <v>8.45</v>
      </c>
      <c r="S668">
        <v>2.37</v>
      </c>
      <c r="T668">
        <v>0.57</v>
      </c>
      <c r="U668">
        <v>3.93</v>
      </c>
      <c r="V668">
        <v>1069</v>
      </c>
      <c r="W668">
        <v>8.56</v>
      </c>
      <c r="X668" t="s">
        <v>2081</v>
      </c>
      <c r="Y668" t="s">
        <v>652</v>
      </c>
      <c r="Z668">
        <v>0.74</v>
      </c>
      <c r="AA668">
        <v>3991</v>
      </c>
      <c r="AB668">
        <v>2198</v>
      </c>
      <c r="AC668">
        <v>11.67</v>
      </c>
      <c r="AD668" t="s">
        <v>5045</v>
      </c>
      <c r="AE668" t="s">
        <v>2729</v>
      </c>
      <c r="AF668" t="s">
        <v>5046</v>
      </c>
      <c r="AG668" t="s">
        <v>5047</v>
      </c>
      <c r="AH668">
        <v>-3.25</v>
      </c>
      <c r="AI668">
        <v>-9.25</v>
      </c>
      <c r="AJ668">
        <v>11.1</v>
      </c>
      <c r="AK668">
        <v>31.27</v>
      </c>
      <c r="AL668">
        <v>1</v>
      </c>
      <c r="AM668">
        <v>2.13</v>
      </c>
      <c r="AN668">
        <v>-23.08</v>
      </c>
      <c r="AO668">
        <v>4.35</v>
      </c>
      <c r="AP668">
        <v>65.96</v>
      </c>
    </row>
    <row r="669" spans="1:42">
      <c r="A669">
        <v>668</v>
      </c>
      <c r="B669" t="str">
        <f>"002369"</f>
        <v>002369</v>
      </c>
      <c r="C669" t="s">
        <v>5048</v>
      </c>
      <c r="D669">
        <v>6.6</v>
      </c>
      <c r="E669">
        <v>1.38</v>
      </c>
      <c r="F669">
        <v>0.09</v>
      </c>
      <c r="G669" t="s">
        <v>483</v>
      </c>
      <c r="H669">
        <v>9885</v>
      </c>
      <c r="I669">
        <v>6.6</v>
      </c>
      <c r="J669">
        <v>6.61</v>
      </c>
      <c r="K669" t="s">
        <v>5033</v>
      </c>
      <c r="L669">
        <v>7.7</v>
      </c>
      <c r="M669" t="s">
        <v>46</v>
      </c>
      <c r="N669" t="s">
        <v>5049</v>
      </c>
      <c r="O669">
        <v>6.65</v>
      </c>
      <c r="P669">
        <v>6.48</v>
      </c>
      <c r="Q669">
        <v>6.5</v>
      </c>
      <c r="R669">
        <v>6.51</v>
      </c>
      <c r="S669">
        <v>2.61</v>
      </c>
      <c r="T669">
        <v>0.43</v>
      </c>
      <c r="U669">
        <v>-46.7</v>
      </c>
      <c r="V669" t="s">
        <v>2232</v>
      </c>
      <c r="W669">
        <v>6.58</v>
      </c>
      <c r="X669" t="s">
        <v>4553</v>
      </c>
      <c r="Y669" t="s">
        <v>1786</v>
      </c>
      <c r="Z669">
        <v>1.02</v>
      </c>
      <c r="AA669">
        <v>76</v>
      </c>
      <c r="AB669">
        <v>5652</v>
      </c>
      <c r="AC669">
        <v>4.15</v>
      </c>
      <c r="AD669" t="s">
        <v>5050</v>
      </c>
      <c r="AE669" t="s">
        <v>5051</v>
      </c>
      <c r="AF669" t="s">
        <v>5052</v>
      </c>
      <c r="AG669" t="s">
        <v>2554</v>
      </c>
      <c r="AH669">
        <v>-7.82</v>
      </c>
      <c r="AI669">
        <v>-6.38</v>
      </c>
      <c r="AJ669">
        <v>35.41</v>
      </c>
      <c r="AK669">
        <v>97.4</v>
      </c>
      <c r="AL669">
        <v>1</v>
      </c>
      <c r="AM669">
        <v>1.38</v>
      </c>
      <c r="AN669">
        <v>39.53</v>
      </c>
      <c r="AO669">
        <v>3.61</v>
      </c>
      <c r="AP669">
        <v>25.71</v>
      </c>
    </row>
    <row r="670" spans="1:42">
      <c r="A670">
        <v>669</v>
      </c>
      <c r="B670" t="str">
        <f>"603110"</f>
        <v>603110</v>
      </c>
      <c r="C670" t="s">
        <v>5053</v>
      </c>
      <c r="D670">
        <v>31.33</v>
      </c>
      <c r="E670">
        <v>2.52</v>
      </c>
      <c r="F670">
        <v>0.77</v>
      </c>
      <c r="G670" t="s">
        <v>2411</v>
      </c>
      <c r="H670">
        <v>896</v>
      </c>
      <c r="I670">
        <v>31.33</v>
      </c>
      <c r="J670">
        <v>31.34</v>
      </c>
      <c r="K670" t="s">
        <v>5054</v>
      </c>
      <c r="L670">
        <v>4.55</v>
      </c>
      <c r="M670" t="s">
        <v>46</v>
      </c>
      <c r="N670" t="s">
        <v>4894</v>
      </c>
      <c r="O670">
        <v>31.69</v>
      </c>
      <c r="P670">
        <v>30.4</v>
      </c>
      <c r="Q670">
        <v>31</v>
      </c>
      <c r="R670">
        <v>30.56</v>
      </c>
      <c r="S670">
        <v>4.22</v>
      </c>
      <c r="T670">
        <v>1.47</v>
      </c>
      <c r="U670">
        <v>0.49</v>
      </c>
      <c r="V670">
        <v>11</v>
      </c>
      <c r="W670">
        <v>31.27</v>
      </c>
      <c r="X670" t="s">
        <v>4559</v>
      </c>
      <c r="Y670" t="s">
        <v>5055</v>
      </c>
      <c r="Z670">
        <v>1.02</v>
      </c>
      <c r="AA670">
        <v>502</v>
      </c>
      <c r="AB670">
        <v>305</v>
      </c>
      <c r="AC670">
        <v>9.67</v>
      </c>
      <c r="AD670" t="s">
        <v>5056</v>
      </c>
      <c r="AE670" t="s">
        <v>5057</v>
      </c>
      <c r="AF670" t="s">
        <v>5056</v>
      </c>
      <c r="AG670" t="s">
        <v>5057</v>
      </c>
      <c r="AH670">
        <v>7.66</v>
      </c>
      <c r="AI670">
        <v>3.95</v>
      </c>
      <c r="AJ670">
        <v>12.52</v>
      </c>
      <c r="AK670">
        <v>20.01</v>
      </c>
      <c r="AL670">
        <v>1</v>
      </c>
      <c r="AM670">
        <v>2.52</v>
      </c>
      <c r="AN670">
        <v>-7.23</v>
      </c>
      <c r="AO670">
        <v>-1.51</v>
      </c>
      <c r="AP670">
        <v>-11.27</v>
      </c>
    </row>
    <row r="671" spans="1:42">
      <c r="A671">
        <v>670</v>
      </c>
      <c r="B671" t="str">
        <f>"601336"</f>
        <v>601336</v>
      </c>
      <c r="C671" t="s">
        <v>5058</v>
      </c>
      <c r="D671">
        <v>31.49</v>
      </c>
      <c r="E671">
        <v>0.77</v>
      </c>
      <c r="F671">
        <v>0.24</v>
      </c>
      <c r="G671" t="s">
        <v>82</v>
      </c>
      <c r="H671">
        <v>837</v>
      </c>
      <c r="I671">
        <v>31.47</v>
      </c>
      <c r="J671">
        <v>31.49</v>
      </c>
      <c r="K671" t="s">
        <v>5054</v>
      </c>
      <c r="L671">
        <v>0.44</v>
      </c>
      <c r="M671" t="s">
        <v>46</v>
      </c>
      <c r="N671" t="s">
        <v>5059</v>
      </c>
      <c r="O671">
        <v>31.6</v>
      </c>
      <c r="P671">
        <v>30.82</v>
      </c>
      <c r="Q671">
        <v>31.11</v>
      </c>
      <c r="R671">
        <v>31.25</v>
      </c>
      <c r="S671">
        <v>2.5</v>
      </c>
      <c r="T671">
        <v>0.8</v>
      </c>
      <c r="U671">
        <v>-15.57</v>
      </c>
      <c r="V671">
        <v>-190</v>
      </c>
      <c r="W671">
        <v>31.18</v>
      </c>
      <c r="X671" t="s">
        <v>4087</v>
      </c>
      <c r="Y671" t="s">
        <v>4264</v>
      </c>
      <c r="Z671">
        <v>0.85</v>
      </c>
      <c r="AA671">
        <v>22</v>
      </c>
      <c r="AB671">
        <v>97</v>
      </c>
      <c r="AC671">
        <v>0.91</v>
      </c>
      <c r="AD671" t="s">
        <v>4084</v>
      </c>
      <c r="AE671" t="s">
        <v>5060</v>
      </c>
      <c r="AF671" t="s">
        <v>5061</v>
      </c>
      <c r="AG671" t="s">
        <v>5062</v>
      </c>
      <c r="AH671">
        <v>0.64</v>
      </c>
      <c r="AI671">
        <v>-3.14</v>
      </c>
      <c r="AJ671">
        <v>1.42</v>
      </c>
      <c r="AK671">
        <v>3.17</v>
      </c>
      <c r="AL671">
        <v>2</v>
      </c>
      <c r="AM671">
        <v>0.77</v>
      </c>
      <c r="AN671">
        <v>8.59</v>
      </c>
      <c r="AO671">
        <v>-3.17</v>
      </c>
      <c r="AP671">
        <v>21.63</v>
      </c>
    </row>
    <row r="672" spans="1:42">
      <c r="A672">
        <v>671</v>
      </c>
      <c r="B672" t="str">
        <f>"300438"</f>
        <v>300438</v>
      </c>
      <c r="C672" t="s">
        <v>5063</v>
      </c>
      <c r="D672">
        <v>27.16</v>
      </c>
      <c r="E672">
        <v>-1.24</v>
      </c>
      <c r="F672">
        <v>-0.34</v>
      </c>
      <c r="G672" t="s">
        <v>881</v>
      </c>
      <c r="H672">
        <v>1142</v>
      </c>
      <c r="I672">
        <v>27.15</v>
      </c>
      <c r="J672">
        <v>27.16</v>
      </c>
      <c r="K672" t="s">
        <v>5054</v>
      </c>
      <c r="L672">
        <v>2.93</v>
      </c>
      <c r="M672" t="s">
        <v>46</v>
      </c>
      <c r="N672" t="s">
        <v>4475</v>
      </c>
      <c r="O672">
        <v>27.66</v>
      </c>
      <c r="P672">
        <v>26.92</v>
      </c>
      <c r="Q672">
        <v>27.65</v>
      </c>
      <c r="R672">
        <v>27.5</v>
      </c>
      <c r="S672">
        <v>2.69</v>
      </c>
      <c r="T672">
        <v>1.32</v>
      </c>
      <c r="U672">
        <v>-29.81</v>
      </c>
      <c r="V672">
        <v>-399</v>
      </c>
      <c r="W672">
        <v>27.16</v>
      </c>
      <c r="X672" t="s">
        <v>5064</v>
      </c>
      <c r="Y672" t="s">
        <v>4421</v>
      </c>
      <c r="Z672">
        <v>1.14</v>
      </c>
      <c r="AA672">
        <v>51</v>
      </c>
      <c r="AB672">
        <v>72</v>
      </c>
      <c r="AC672">
        <v>2.42</v>
      </c>
      <c r="AD672" t="s">
        <v>5065</v>
      </c>
      <c r="AE672" t="s">
        <v>5066</v>
      </c>
      <c r="AF672" t="s">
        <v>5067</v>
      </c>
      <c r="AG672" t="s">
        <v>5068</v>
      </c>
      <c r="AH672">
        <v>-5.3</v>
      </c>
      <c r="AI672">
        <v>-9.77</v>
      </c>
      <c r="AJ672">
        <v>7.43</v>
      </c>
      <c r="AK672">
        <v>14.03</v>
      </c>
      <c r="AL672">
        <v>-3</v>
      </c>
      <c r="AM672">
        <v>-1.24</v>
      </c>
      <c r="AN672">
        <v>-65.11</v>
      </c>
      <c r="AO672">
        <v>-10.01</v>
      </c>
      <c r="AP672">
        <v>-55.58</v>
      </c>
    </row>
    <row r="673" spans="1:42">
      <c r="A673">
        <v>672</v>
      </c>
      <c r="B673" t="str">
        <f>"000166"</f>
        <v>000166</v>
      </c>
      <c r="C673" t="s">
        <v>5069</v>
      </c>
      <c r="D673">
        <v>4.58</v>
      </c>
      <c r="E673">
        <v>1.55</v>
      </c>
      <c r="F673">
        <v>0.07</v>
      </c>
      <c r="G673" t="s">
        <v>5070</v>
      </c>
      <c r="H673">
        <v>9433</v>
      </c>
      <c r="I673">
        <v>4.57</v>
      </c>
      <c r="J673">
        <v>4.58</v>
      </c>
      <c r="K673" t="s">
        <v>5071</v>
      </c>
      <c r="L673">
        <v>0.28</v>
      </c>
      <c r="M673" t="s">
        <v>46</v>
      </c>
      <c r="N673" t="s">
        <v>5072</v>
      </c>
      <c r="O673">
        <v>4.59</v>
      </c>
      <c r="P673">
        <v>4.51</v>
      </c>
      <c r="Q673">
        <v>4.52</v>
      </c>
      <c r="R673">
        <v>4.51</v>
      </c>
      <c r="S673">
        <v>1.77</v>
      </c>
      <c r="T673">
        <v>1.11</v>
      </c>
      <c r="U673">
        <v>-32.24</v>
      </c>
      <c r="V673" t="s">
        <v>5073</v>
      </c>
      <c r="W673">
        <v>4.55</v>
      </c>
      <c r="X673" t="s">
        <v>2408</v>
      </c>
      <c r="Y673" t="s">
        <v>2065</v>
      </c>
      <c r="Z673">
        <v>0.64</v>
      </c>
      <c r="AA673">
        <v>9708</v>
      </c>
      <c r="AB673">
        <v>2923</v>
      </c>
      <c r="AC673">
        <v>1.15</v>
      </c>
      <c r="AD673" t="s">
        <v>5074</v>
      </c>
      <c r="AE673" t="s">
        <v>5075</v>
      </c>
      <c r="AF673" t="s">
        <v>5076</v>
      </c>
      <c r="AG673" t="s">
        <v>1284</v>
      </c>
      <c r="AH673">
        <v>0.66</v>
      </c>
      <c r="AI673">
        <v>0.88</v>
      </c>
      <c r="AJ673">
        <v>0.72</v>
      </c>
      <c r="AK673">
        <v>1.53</v>
      </c>
      <c r="AL673">
        <v>2</v>
      </c>
      <c r="AM673">
        <v>1.55</v>
      </c>
      <c r="AN673">
        <v>15.95</v>
      </c>
      <c r="AO673">
        <v>4.57</v>
      </c>
      <c r="AP673">
        <v>13.09</v>
      </c>
    </row>
    <row r="674" spans="1:42">
      <c r="A674">
        <v>673</v>
      </c>
      <c r="B674" t="str">
        <f>"300043"</f>
        <v>300043</v>
      </c>
      <c r="C674" t="s">
        <v>5077</v>
      </c>
      <c r="D674">
        <v>4.01</v>
      </c>
      <c r="E674">
        <v>6.37</v>
      </c>
      <c r="F674">
        <v>0.24</v>
      </c>
      <c r="G674" t="s">
        <v>3702</v>
      </c>
      <c r="H674" t="s">
        <v>1520</v>
      </c>
      <c r="I674">
        <v>4</v>
      </c>
      <c r="J674">
        <v>4.02</v>
      </c>
      <c r="K674" t="s">
        <v>5071</v>
      </c>
      <c r="L674">
        <v>8.63</v>
      </c>
      <c r="M674" t="s">
        <v>46</v>
      </c>
      <c r="N674" t="s">
        <v>5078</v>
      </c>
      <c r="O674">
        <v>4.07</v>
      </c>
      <c r="P674">
        <v>3.77</v>
      </c>
      <c r="Q674">
        <v>3.78</v>
      </c>
      <c r="R674">
        <v>3.77</v>
      </c>
      <c r="S674">
        <v>7.96</v>
      </c>
      <c r="T674">
        <v>2.82</v>
      </c>
      <c r="U674">
        <v>-11.73</v>
      </c>
      <c r="V674">
        <v>-4295</v>
      </c>
      <c r="W674">
        <v>3.95</v>
      </c>
      <c r="X674" t="s">
        <v>2791</v>
      </c>
      <c r="Y674" t="s">
        <v>5079</v>
      </c>
      <c r="Z674">
        <v>0.59</v>
      </c>
      <c r="AA674">
        <v>5281</v>
      </c>
      <c r="AB674">
        <v>5015</v>
      </c>
      <c r="AC674">
        <v>2.56</v>
      </c>
      <c r="AD674" t="s">
        <v>5080</v>
      </c>
      <c r="AE674" t="s">
        <v>3417</v>
      </c>
      <c r="AF674" t="s">
        <v>3094</v>
      </c>
      <c r="AG674" t="s">
        <v>5081</v>
      </c>
      <c r="AH674">
        <v>6.08</v>
      </c>
      <c r="AI674">
        <v>3.89</v>
      </c>
      <c r="AJ674">
        <v>12.88</v>
      </c>
      <c r="AK674">
        <v>23.95</v>
      </c>
      <c r="AL674">
        <v>2</v>
      </c>
      <c r="AM674">
        <v>6.37</v>
      </c>
      <c r="AN674">
        <v>35.02</v>
      </c>
      <c r="AO674">
        <v>11.08</v>
      </c>
      <c r="AP674">
        <v>17.94</v>
      </c>
    </row>
    <row r="675" spans="1:42">
      <c r="A675">
        <v>674</v>
      </c>
      <c r="B675" t="str">
        <f>"300222"</f>
        <v>300222</v>
      </c>
      <c r="C675" t="s">
        <v>5082</v>
      </c>
      <c r="D675">
        <v>7.78</v>
      </c>
      <c r="E675">
        <v>-3.11</v>
      </c>
      <c r="F675">
        <v>-0.25</v>
      </c>
      <c r="G675" t="s">
        <v>2056</v>
      </c>
      <c r="H675">
        <v>4074</v>
      </c>
      <c r="I675">
        <v>7.78</v>
      </c>
      <c r="J675">
        <v>7.79</v>
      </c>
      <c r="K675" t="s">
        <v>5071</v>
      </c>
      <c r="L675">
        <v>5.78</v>
      </c>
      <c r="M675" t="s">
        <v>46</v>
      </c>
      <c r="N675" t="s">
        <v>1375</v>
      </c>
      <c r="O675">
        <v>7.92</v>
      </c>
      <c r="P675">
        <v>7.67</v>
      </c>
      <c r="Q675">
        <v>7.89</v>
      </c>
      <c r="R675">
        <v>8.03</v>
      </c>
      <c r="S675">
        <v>3.11</v>
      </c>
      <c r="T675">
        <v>1.97</v>
      </c>
      <c r="U675">
        <v>0.13</v>
      </c>
      <c r="V675">
        <v>10</v>
      </c>
      <c r="W675">
        <v>7.75</v>
      </c>
      <c r="X675" t="s">
        <v>3217</v>
      </c>
      <c r="Y675" t="s">
        <v>5021</v>
      </c>
      <c r="Z675">
        <v>1.33</v>
      </c>
      <c r="AA675">
        <v>181</v>
      </c>
      <c r="AB675">
        <v>1253</v>
      </c>
      <c r="AC675">
        <v>3.45</v>
      </c>
      <c r="AD675" t="s">
        <v>5083</v>
      </c>
      <c r="AE675" t="s">
        <v>5084</v>
      </c>
      <c r="AF675" t="s">
        <v>5085</v>
      </c>
      <c r="AG675" t="s">
        <v>1105</v>
      </c>
      <c r="AH675">
        <v>-0.38</v>
      </c>
      <c r="AI675">
        <v>2.23</v>
      </c>
      <c r="AJ675">
        <v>15.08</v>
      </c>
      <c r="AK675">
        <v>20.42</v>
      </c>
      <c r="AL675">
        <v>-1</v>
      </c>
      <c r="AM675">
        <v>-3.11</v>
      </c>
      <c r="AN675">
        <v>22.52</v>
      </c>
      <c r="AO675">
        <v>5.85</v>
      </c>
      <c r="AP675">
        <v>11.94</v>
      </c>
    </row>
    <row r="676" spans="1:42">
      <c r="A676">
        <v>675</v>
      </c>
      <c r="B676" t="str">
        <f>"002599"</f>
        <v>002599</v>
      </c>
      <c r="C676" t="s">
        <v>5086</v>
      </c>
      <c r="D676">
        <v>7.59</v>
      </c>
      <c r="E676">
        <v>4.83</v>
      </c>
      <c r="F676">
        <v>0.35</v>
      </c>
      <c r="G676" t="s">
        <v>5087</v>
      </c>
      <c r="H676">
        <v>3984</v>
      </c>
      <c r="I676">
        <v>7.59</v>
      </c>
      <c r="J676">
        <v>7.6</v>
      </c>
      <c r="K676" t="s">
        <v>5071</v>
      </c>
      <c r="L676">
        <v>9.41</v>
      </c>
      <c r="M676" t="s">
        <v>46</v>
      </c>
      <c r="N676" t="s">
        <v>5088</v>
      </c>
      <c r="O676">
        <v>7.69</v>
      </c>
      <c r="P676">
        <v>7.24</v>
      </c>
      <c r="Q676">
        <v>7.26</v>
      </c>
      <c r="R676">
        <v>7.24</v>
      </c>
      <c r="S676">
        <v>6.22</v>
      </c>
      <c r="T676">
        <v>1.67</v>
      </c>
      <c r="U676">
        <v>-17.9</v>
      </c>
      <c r="V676">
        <v>-1770</v>
      </c>
      <c r="W676">
        <v>7.52</v>
      </c>
      <c r="X676" t="s">
        <v>2047</v>
      </c>
      <c r="Y676" t="s">
        <v>2419</v>
      </c>
      <c r="Z676">
        <v>0.77</v>
      </c>
      <c r="AA676">
        <v>756</v>
      </c>
      <c r="AB676">
        <v>2067</v>
      </c>
      <c r="AC676">
        <v>2.85</v>
      </c>
      <c r="AD676" t="s">
        <v>763</v>
      </c>
      <c r="AE676" t="s">
        <v>5089</v>
      </c>
      <c r="AF676" t="s">
        <v>5090</v>
      </c>
      <c r="AG676" t="s">
        <v>5091</v>
      </c>
      <c r="AH676">
        <v>0.13</v>
      </c>
      <c r="AI676">
        <v>-2.57</v>
      </c>
      <c r="AJ676">
        <v>21.16</v>
      </c>
      <c r="AK676">
        <v>37.66</v>
      </c>
      <c r="AL676">
        <v>1</v>
      </c>
      <c r="AM676">
        <v>4.83</v>
      </c>
      <c r="AN676">
        <v>47.09</v>
      </c>
      <c r="AO676">
        <v>6.01</v>
      </c>
      <c r="AP676">
        <v>52.41</v>
      </c>
    </row>
    <row r="677" spans="1:42">
      <c r="A677">
        <v>676</v>
      </c>
      <c r="B677" t="str">
        <f>"002682"</f>
        <v>002682</v>
      </c>
      <c r="C677" t="s">
        <v>5092</v>
      </c>
      <c r="D677">
        <v>5.84</v>
      </c>
      <c r="E677">
        <v>2.64</v>
      </c>
      <c r="F677">
        <v>0.15</v>
      </c>
      <c r="G677" t="s">
        <v>5093</v>
      </c>
      <c r="H677">
        <v>6263</v>
      </c>
      <c r="I677">
        <v>5.84</v>
      </c>
      <c r="J677">
        <v>5.85</v>
      </c>
      <c r="K677" t="s">
        <v>5094</v>
      </c>
      <c r="L677">
        <v>8.71</v>
      </c>
      <c r="M677" t="s">
        <v>46</v>
      </c>
      <c r="N677" t="s">
        <v>3138</v>
      </c>
      <c r="O677">
        <v>5.87</v>
      </c>
      <c r="P677">
        <v>5.67</v>
      </c>
      <c r="Q677">
        <v>5.71</v>
      </c>
      <c r="R677">
        <v>5.69</v>
      </c>
      <c r="S677">
        <v>3.51</v>
      </c>
      <c r="T677">
        <v>1.03</v>
      </c>
      <c r="U677">
        <v>-10.35</v>
      </c>
      <c r="V677">
        <v>-2548</v>
      </c>
      <c r="W677">
        <v>5.8</v>
      </c>
      <c r="X677" t="s">
        <v>1447</v>
      </c>
      <c r="Y677" t="s">
        <v>2791</v>
      </c>
      <c r="Z677">
        <v>0.82</v>
      </c>
      <c r="AA677">
        <v>640</v>
      </c>
      <c r="AB677">
        <v>4920</v>
      </c>
      <c r="AC677">
        <v>1.89</v>
      </c>
      <c r="AD677" t="s">
        <v>5095</v>
      </c>
      <c r="AE677" t="s">
        <v>5096</v>
      </c>
      <c r="AF677" t="s">
        <v>5095</v>
      </c>
      <c r="AG677" t="s">
        <v>5096</v>
      </c>
      <c r="AH677">
        <v>2.1</v>
      </c>
      <c r="AI677">
        <v>-3.79</v>
      </c>
      <c r="AJ677">
        <v>20.74</v>
      </c>
      <c r="AK677">
        <v>50.93</v>
      </c>
      <c r="AL677">
        <v>2</v>
      </c>
      <c r="AM677">
        <v>2.64</v>
      </c>
      <c r="AN677">
        <v>20.16</v>
      </c>
      <c r="AO677">
        <v>-2.01</v>
      </c>
      <c r="AP677">
        <v>31.83</v>
      </c>
    </row>
    <row r="678" spans="1:42">
      <c r="A678">
        <v>677</v>
      </c>
      <c r="B678" t="str">
        <f>"002374"</f>
        <v>002374</v>
      </c>
      <c r="C678" t="s">
        <v>5097</v>
      </c>
      <c r="D678">
        <v>4.09</v>
      </c>
      <c r="E678">
        <v>9.95</v>
      </c>
      <c r="F678">
        <v>0.37</v>
      </c>
      <c r="G678" t="s">
        <v>5098</v>
      </c>
      <c r="H678">
        <v>5432</v>
      </c>
      <c r="I678">
        <v>4.09</v>
      </c>
      <c r="J678" t="s">
        <v>76</v>
      </c>
      <c r="K678" t="s">
        <v>5094</v>
      </c>
      <c r="L678">
        <v>6.52</v>
      </c>
      <c r="M678" t="s">
        <v>46</v>
      </c>
      <c r="N678" t="s">
        <v>2974</v>
      </c>
      <c r="O678">
        <v>4.09</v>
      </c>
      <c r="P678">
        <v>3.7</v>
      </c>
      <c r="Q678">
        <v>3.72</v>
      </c>
      <c r="R678">
        <v>3.72</v>
      </c>
      <c r="S678">
        <v>10.48</v>
      </c>
      <c r="T678">
        <v>8.8</v>
      </c>
      <c r="U678">
        <v>100</v>
      </c>
      <c r="V678" t="s">
        <v>1892</v>
      </c>
      <c r="W678">
        <v>4</v>
      </c>
      <c r="X678" t="s">
        <v>1832</v>
      </c>
      <c r="Y678" t="s">
        <v>2056</v>
      </c>
      <c r="Z678">
        <v>0.94</v>
      </c>
      <c r="AA678" t="s">
        <v>5099</v>
      </c>
      <c r="AB678">
        <v>0</v>
      </c>
      <c r="AC678">
        <v>3.39</v>
      </c>
      <c r="AD678" t="s">
        <v>5100</v>
      </c>
      <c r="AE678" t="s">
        <v>5101</v>
      </c>
      <c r="AF678" t="s">
        <v>5100</v>
      </c>
      <c r="AG678" t="s">
        <v>5101</v>
      </c>
      <c r="AH678">
        <v>8.78</v>
      </c>
      <c r="AI678">
        <v>6.51</v>
      </c>
      <c r="AJ678">
        <v>7.89</v>
      </c>
      <c r="AK678">
        <v>10.23</v>
      </c>
      <c r="AL678">
        <v>1</v>
      </c>
      <c r="AM678">
        <v>9.95</v>
      </c>
      <c r="AN678">
        <v>-30.32</v>
      </c>
      <c r="AO678">
        <v>11.44</v>
      </c>
      <c r="AP678">
        <v>-11.28</v>
      </c>
    </row>
    <row r="679" spans="1:42">
      <c r="A679">
        <v>678</v>
      </c>
      <c r="B679" t="str">
        <f>"600658"</f>
        <v>600658</v>
      </c>
      <c r="C679" t="s">
        <v>5102</v>
      </c>
      <c r="D679">
        <v>4.98</v>
      </c>
      <c r="E679">
        <v>3.32</v>
      </c>
      <c r="F679">
        <v>0.16</v>
      </c>
      <c r="G679" t="s">
        <v>1146</v>
      </c>
      <c r="H679">
        <v>7700</v>
      </c>
      <c r="I679">
        <v>4.98</v>
      </c>
      <c r="J679">
        <v>4.99</v>
      </c>
      <c r="K679" t="s">
        <v>5094</v>
      </c>
      <c r="L679">
        <v>5.08</v>
      </c>
      <c r="M679" t="s">
        <v>46</v>
      </c>
      <c r="N679" t="s">
        <v>5103</v>
      </c>
      <c r="O679">
        <v>5.13</v>
      </c>
      <c r="P679">
        <v>4.86</v>
      </c>
      <c r="Q679">
        <v>4.94</v>
      </c>
      <c r="R679">
        <v>4.82</v>
      </c>
      <c r="S679">
        <v>5.6</v>
      </c>
      <c r="T679">
        <v>1.58</v>
      </c>
      <c r="U679">
        <v>21.58</v>
      </c>
      <c r="V679">
        <v>2842</v>
      </c>
      <c r="W679">
        <v>4.99</v>
      </c>
      <c r="X679" t="s">
        <v>1678</v>
      </c>
      <c r="Y679" t="s">
        <v>3267</v>
      </c>
      <c r="Z679">
        <v>0.93</v>
      </c>
      <c r="AA679">
        <v>920</v>
      </c>
      <c r="AB679">
        <v>695</v>
      </c>
      <c r="AC679">
        <v>0.74</v>
      </c>
      <c r="AD679" t="s">
        <v>965</v>
      </c>
      <c r="AE679" t="s">
        <v>3990</v>
      </c>
      <c r="AF679" t="s">
        <v>965</v>
      </c>
      <c r="AG679" t="s">
        <v>3990</v>
      </c>
      <c r="AH679">
        <v>2.05</v>
      </c>
      <c r="AI679">
        <v>-5.32</v>
      </c>
      <c r="AJ679">
        <v>8.7</v>
      </c>
      <c r="AK679">
        <v>21.16</v>
      </c>
      <c r="AL679">
        <v>2</v>
      </c>
      <c r="AM679">
        <v>3.32</v>
      </c>
      <c r="AN679">
        <v>29.35</v>
      </c>
      <c r="AO679">
        <v>11.91</v>
      </c>
      <c r="AP679">
        <v>26.08</v>
      </c>
    </row>
    <row r="680" spans="1:42">
      <c r="A680">
        <v>679</v>
      </c>
      <c r="B680" t="str">
        <f>"301127"</f>
        <v>301127</v>
      </c>
      <c r="C680" t="s">
        <v>5104</v>
      </c>
      <c r="D680">
        <v>11.99</v>
      </c>
      <c r="E680">
        <v>4.62</v>
      </c>
      <c r="F680">
        <v>0.53</v>
      </c>
      <c r="G680" t="s">
        <v>572</v>
      </c>
      <c r="H680">
        <v>2334</v>
      </c>
      <c r="I680">
        <v>11.98</v>
      </c>
      <c r="J680">
        <v>11.99</v>
      </c>
      <c r="K680" t="s">
        <v>5094</v>
      </c>
      <c r="L680">
        <v>9.66</v>
      </c>
      <c r="M680" t="s">
        <v>46</v>
      </c>
      <c r="N680" t="s">
        <v>5105</v>
      </c>
      <c r="O680">
        <v>12.14</v>
      </c>
      <c r="P680">
        <v>11.51</v>
      </c>
      <c r="Q680">
        <v>11.64</v>
      </c>
      <c r="R680">
        <v>11.46</v>
      </c>
      <c r="S680">
        <v>5.5</v>
      </c>
      <c r="T680">
        <v>2.04</v>
      </c>
      <c r="U680">
        <v>-53.97</v>
      </c>
      <c r="V680">
        <v>-1323</v>
      </c>
      <c r="W680">
        <v>11.88</v>
      </c>
      <c r="X680" t="s">
        <v>3402</v>
      </c>
      <c r="Y680" t="s">
        <v>4247</v>
      </c>
      <c r="Z680">
        <v>0.76</v>
      </c>
      <c r="AA680">
        <v>50</v>
      </c>
      <c r="AB680">
        <v>5</v>
      </c>
      <c r="AC680">
        <v>2.2</v>
      </c>
      <c r="AD680" t="s">
        <v>5106</v>
      </c>
      <c r="AE680" t="s">
        <v>3504</v>
      </c>
      <c r="AF680" t="s">
        <v>5107</v>
      </c>
      <c r="AG680" t="s">
        <v>3014</v>
      </c>
      <c r="AH680">
        <v>13.22</v>
      </c>
      <c r="AI680">
        <v>14.41</v>
      </c>
      <c r="AJ680">
        <v>29.91</v>
      </c>
      <c r="AK680">
        <v>33.29</v>
      </c>
      <c r="AL680">
        <v>5</v>
      </c>
      <c r="AM680">
        <v>4.62</v>
      </c>
      <c r="AN680">
        <v>26.21</v>
      </c>
      <c r="AO680">
        <v>18.6</v>
      </c>
      <c r="AP680">
        <v>9.1</v>
      </c>
    </row>
    <row r="681" spans="1:42">
      <c r="A681">
        <v>680</v>
      </c>
      <c r="B681" t="str">
        <f>"603290"</f>
        <v>603290</v>
      </c>
      <c r="C681" t="s">
        <v>5108</v>
      </c>
      <c r="D681">
        <v>185.13</v>
      </c>
      <c r="E681">
        <v>-1.67</v>
      </c>
      <c r="F681">
        <v>-3.15</v>
      </c>
      <c r="G681" t="s">
        <v>61</v>
      </c>
      <c r="H681">
        <v>155</v>
      </c>
      <c r="I681">
        <v>185.12</v>
      </c>
      <c r="J681">
        <v>185.13</v>
      </c>
      <c r="K681" t="s">
        <v>5094</v>
      </c>
      <c r="L681">
        <v>0.89</v>
      </c>
      <c r="M681" t="s">
        <v>46</v>
      </c>
      <c r="N681" t="s">
        <v>3661</v>
      </c>
      <c r="O681">
        <v>188.99</v>
      </c>
      <c r="P681">
        <v>184.81</v>
      </c>
      <c r="Q681">
        <v>188.42</v>
      </c>
      <c r="R681">
        <v>188.28</v>
      </c>
      <c r="S681">
        <v>2.22</v>
      </c>
      <c r="T681">
        <v>0.59</v>
      </c>
      <c r="U681">
        <v>-22.5</v>
      </c>
      <c r="V681">
        <v>-18</v>
      </c>
      <c r="W681">
        <v>186.28</v>
      </c>
      <c r="X681">
        <v>7875</v>
      </c>
      <c r="Y681">
        <v>7346</v>
      </c>
      <c r="Z681">
        <v>1.07</v>
      </c>
      <c r="AA681">
        <v>5</v>
      </c>
      <c r="AB681">
        <v>22</v>
      </c>
      <c r="AC681">
        <v>5.11</v>
      </c>
      <c r="AD681" t="s">
        <v>5109</v>
      </c>
      <c r="AE681" t="s">
        <v>5110</v>
      </c>
      <c r="AF681" t="s">
        <v>5109</v>
      </c>
      <c r="AG681" t="s">
        <v>5110</v>
      </c>
      <c r="AH681">
        <v>-1</v>
      </c>
      <c r="AI681">
        <v>5.64</v>
      </c>
      <c r="AJ681">
        <v>3.53</v>
      </c>
      <c r="AK681">
        <v>8.49</v>
      </c>
      <c r="AL681">
        <v>-2</v>
      </c>
      <c r="AM681">
        <v>-1.67</v>
      </c>
      <c r="AN681">
        <v>-43.53</v>
      </c>
      <c r="AO681">
        <v>-2.29</v>
      </c>
      <c r="AP681">
        <v>-46.57</v>
      </c>
    </row>
    <row r="682" spans="1:42">
      <c r="A682">
        <v>681</v>
      </c>
      <c r="B682" t="str">
        <f>"002277"</f>
        <v>002277</v>
      </c>
      <c r="C682" t="s">
        <v>5111</v>
      </c>
      <c r="D682">
        <v>4.48</v>
      </c>
      <c r="E682">
        <v>2.05</v>
      </c>
      <c r="F682">
        <v>0.09</v>
      </c>
      <c r="G682" t="s">
        <v>5112</v>
      </c>
      <c r="H682">
        <v>4503</v>
      </c>
      <c r="I682">
        <v>4.48</v>
      </c>
      <c r="J682">
        <v>4.49</v>
      </c>
      <c r="K682" t="s">
        <v>1288</v>
      </c>
      <c r="L682">
        <v>4.51</v>
      </c>
      <c r="M682" t="s">
        <v>46</v>
      </c>
      <c r="N682" t="s">
        <v>119</v>
      </c>
      <c r="O682">
        <v>4.64</v>
      </c>
      <c r="P682">
        <v>4.36</v>
      </c>
      <c r="Q682">
        <v>4.37</v>
      </c>
      <c r="R682">
        <v>4.39</v>
      </c>
      <c r="S682">
        <v>6.38</v>
      </c>
      <c r="T682">
        <v>1.38</v>
      </c>
      <c r="U682">
        <v>11.51</v>
      </c>
      <c r="V682">
        <v>2588</v>
      </c>
      <c r="W682">
        <v>4.51</v>
      </c>
      <c r="X682" t="s">
        <v>165</v>
      </c>
      <c r="Y682" t="s">
        <v>1832</v>
      </c>
      <c r="Z682">
        <v>0.83</v>
      </c>
      <c r="AA682">
        <v>1759</v>
      </c>
      <c r="AB682">
        <v>2876</v>
      </c>
      <c r="AC682">
        <v>0.93</v>
      </c>
      <c r="AD682" t="s">
        <v>5113</v>
      </c>
      <c r="AE682" t="s">
        <v>5114</v>
      </c>
      <c r="AF682" t="s">
        <v>5113</v>
      </c>
      <c r="AG682" t="s">
        <v>5114</v>
      </c>
      <c r="AH682">
        <v>3.94</v>
      </c>
      <c r="AI682">
        <v>8.47</v>
      </c>
      <c r="AJ682">
        <v>10.48</v>
      </c>
      <c r="AK682">
        <v>20.8</v>
      </c>
      <c r="AL682">
        <v>2</v>
      </c>
      <c r="AM682">
        <v>2.05</v>
      </c>
      <c r="AN682">
        <v>-1.97</v>
      </c>
      <c r="AO682">
        <v>20.75</v>
      </c>
      <c r="AP682">
        <v>25.49</v>
      </c>
    </row>
    <row r="683" spans="1:42">
      <c r="A683">
        <v>682</v>
      </c>
      <c r="B683" t="str">
        <f>"600863"</f>
        <v>600863</v>
      </c>
      <c r="C683" t="s">
        <v>5115</v>
      </c>
      <c r="D683">
        <v>3.88</v>
      </c>
      <c r="E683">
        <v>1.84</v>
      </c>
      <c r="F683">
        <v>0.07</v>
      </c>
      <c r="G683" t="s">
        <v>5116</v>
      </c>
      <c r="H683" t="s">
        <v>1646</v>
      </c>
      <c r="I683">
        <v>3.87</v>
      </c>
      <c r="J683">
        <v>3.88</v>
      </c>
      <c r="K683" t="s">
        <v>1288</v>
      </c>
      <c r="L683">
        <v>1.13</v>
      </c>
      <c r="M683" t="s">
        <v>46</v>
      </c>
      <c r="N683" t="s">
        <v>414</v>
      </c>
      <c r="O683">
        <v>3.89</v>
      </c>
      <c r="P683">
        <v>3.79</v>
      </c>
      <c r="Q683">
        <v>3.81</v>
      </c>
      <c r="R683">
        <v>3.81</v>
      </c>
      <c r="S683">
        <v>2.62</v>
      </c>
      <c r="T683">
        <v>1.1</v>
      </c>
      <c r="U683">
        <v>-15.04</v>
      </c>
      <c r="V683" t="s">
        <v>5117</v>
      </c>
      <c r="W683">
        <v>3.85</v>
      </c>
      <c r="X683" t="s">
        <v>443</v>
      </c>
      <c r="Y683" t="s">
        <v>5118</v>
      </c>
      <c r="Z683">
        <v>0.52</v>
      </c>
      <c r="AA683" t="s">
        <v>2818</v>
      </c>
      <c r="AB683">
        <v>8201</v>
      </c>
      <c r="AC683">
        <v>1.6</v>
      </c>
      <c r="AD683" t="s">
        <v>5119</v>
      </c>
      <c r="AE683" t="s">
        <v>5120</v>
      </c>
      <c r="AF683" t="s">
        <v>5119</v>
      </c>
      <c r="AG683" t="s">
        <v>5120</v>
      </c>
      <c r="AH683">
        <v>2.11</v>
      </c>
      <c r="AI683">
        <v>4.86</v>
      </c>
      <c r="AJ683">
        <v>3.03</v>
      </c>
      <c r="AK683">
        <v>6.25</v>
      </c>
      <c r="AL683">
        <v>2</v>
      </c>
      <c r="AM683">
        <v>1.84</v>
      </c>
      <c r="AN683">
        <v>16.52</v>
      </c>
      <c r="AO683">
        <v>8.99</v>
      </c>
      <c r="AP683">
        <v>9.6</v>
      </c>
    </row>
    <row r="684" spans="1:42">
      <c r="A684">
        <v>683</v>
      </c>
      <c r="B684" t="str">
        <f>"603860"</f>
        <v>603860</v>
      </c>
      <c r="C684" t="s">
        <v>5121</v>
      </c>
      <c r="D684">
        <v>35.33</v>
      </c>
      <c r="E684">
        <v>9.99</v>
      </c>
      <c r="F684">
        <v>3.21</v>
      </c>
      <c r="G684" t="s">
        <v>5122</v>
      </c>
      <c r="H684">
        <v>3665</v>
      </c>
      <c r="I684">
        <v>35.33</v>
      </c>
      <c r="J684" t="s">
        <v>76</v>
      </c>
      <c r="K684" t="s">
        <v>1288</v>
      </c>
      <c r="L684">
        <v>12.67</v>
      </c>
      <c r="M684" t="s">
        <v>46</v>
      </c>
      <c r="N684" t="s">
        <v>5123</v>
      </c>
      <c r="O684">
        <v>35.33</v>
      </c>
      <c r="P684">
        <v>30.85</v>
      </c>
      <c r="Q684">
        <v>31.8</v>
      </c>
      <c r="R684">
        <v>32.12</v>
      </c>
      <c r="S684">
        <v>13.95</v>
      </c>
      <c r="T684">
        <v>1.54</v>
      </c>
      <c r="U684">
        <v>100</v>
      </c>
      <c r="V684">
        <v>2601</v>
      </c>
      <c r="W684">
        <v>33.47</v>
      </c>
      <c r="X684" t="s">
        <v>5124</v>
      </c>
      <c r="Y684" t="s">
        <v>3151</v>
      </c>
      <c r="Z684">
        <v>2.59</v>
      </c>
      <c r="AA684">
        <v>2528</v>
      </c>
      <c r="AB684">
        <v>0</v>
      </c>
      <c r="AC684">
        <v>3.23</v>
      </c>
      <c r="AD684" t="s">
        <v>5125</v>
      </c>
      <c r="AE684" t="s">
        <v>5126</v>
      </c>
      <c r="AF684" t="s">
        <v>5125</v>
      </c>
      <c r="AG684" t="s">
        <v>5126</v>
      </c>
      <c r="AH684">
        <v>12.27</v>
      </c>
      <c r="AI684">
        <v>18.56</v>
      </c>
      <c r="AJ684">
        <v>34.4</v>
      </c>
      <c r="AK684">
        <v>53.82</v>
      </c>
      <c r="AL684">
        <v>5</v>
      </c>
      <c r="AM684">
        <v>9.99</v>
      </c>
      <c r="AN684">
        <v>52.88</v>
      </c>
      <c r="AO684">
        <v>30.42</v>
      </c>
      <c r="AP684">
        <v>53.68</v>
      </c>
    </row>
    <row r="685" spans="1:42">
      <c r="A685">
        <v>684</v>
      </c>
      <c r="B685" t="str">
        <f>"002903"</f>
        <v>002903</v>
      </c>
      <c r="C685" t="s">
        <v>5127</v>
      </c>
      <c r="D685">
        <v>23.26</v>
      </c>
      <c r="E685">
        <v>-2.68</v>
      </c>
      <c r="F685">
        <v>-0.64</v>
      </c>
      <c r="G685" t="s">
        <v>1790</v>
      </c>
      <c r="H685">
        <v>1677</v>
      </c>
      <c r="I685">
        <v>23.26</v>
      </c>
      <c r="J685">
        <v>23.27</v>
      </c>
      <c r="K685" t="s">
        <v>1288</v>
      </c>
      <c r="L685">
        <v>12.18</v>
      </c>
      <c r="M685" t="s">
        <v>46</v>
      </c>
      <c r="N685" t="s">
        <v>4795</v>
      </c>
      <c r="O685">
        <v>24.02</v>
      </c>
      <c r="P685">
        <v>23.06</v>
      </c>
      <c r="Q685">
        <v>23.53</v>
      </c>
      <c r="R685">
        <v>23.9</v>
      </c>
      <c r="S685">
        <v>4.02</v>
      </c>
      <c r="T685">
        <v>1.09</v>
      </c>
      <c r="U685">
        <v>24.13</v>
      </c>
      <c r="V685">
        <v>438</v>
      </c>
      <c r="W685">
        <v>23.35</v>
      </c>
      <c r="X685" t="s">
        <v>5128</v>
      </c>
      <c r="Y685" t="s">
        <v>1235</v>
      </c>
      <c r="Z685">
        <v>1.26</v>
      </c>
      <c r="AA685">
        <v>151</v>
      </c>
      <c r="AB685">
        <v>193</v>
      </c>
      <c r="AC685">
        <v>4.53</v>
      </c>
      <c r="AD685" t="s">
        <v>5129</v>
      </c>
      <c r="AE685" t="s">
        <v>5130</v>
      </c>
      <c r="AF685" t="s">
        <v>5131</v>
      </c>
      <c r="AG685" t="s">
        <v>5132</v>
      </c>
      <c r="AH685">
        <v>3.38</v>
      </c>
      <c r="AI685">
        <v>10.29</v>
      </c>
      <c r="AJ685">
        <v>45.24</v>
      </c>
      <c r="AK685">
        <v>68.09</v>
      </c>
      <c r="AL685">
        <v>-2</v>
      </c>
      <c r="AM685">
        <v>-2.68</v>
      </c>
      <c r="AN685">
        <v>17.24</v>
      </c>
      <c r="AO685">
        <v>9.2</v>
      </c>
      <c r="AP685">
        <v>0.17</v>
      </c>
    </row>
    <row r="686" spans="1:42">
      <c r="A686">
        <v>685</v>
      </c>
      <c r="B686" t="str">
        <f>"002284"</f>
        <v>002284</v>
      </c>
      <c r="C686" t="s">
        <v>5133</v>
      </c>
      <c r="D686">
        <v>10.36</v>
      </c>
      <c r="E686">
        <v>-1.52</v>
      </c>
      <c r="F686">
        <v>-0.16</v>
      </c>
      <c r="G686" t="s">
        <v>1678</v>
      </c>
      <c r="H686">
        <v>3067</v>
      </c>
      <c r="I686">
        <v>10.35</v>
      </c>
      <c r="J686">
        <v>10.36</v>
      </c>
      <c r="K686" t="s">
        <v>5134</v>
      </c>
      <c r="L686">
        <v>3.75</v>
      </c>
      <c r="M686" t="s">
        <v>46</v>
      </c>
      <c r="N686" t="s">
        <v>3703</v>
      </c>
      <c r="O686">
        <v>10.56</v>
      </c>
      <c r="P686">
        <v>10.19</v>
      </c>
      <c r="Q686">
        <v>10.5</v>
      </c>
      <c r="R686">
        <v>10.52</v>
      </c>
      <c r="S686">
        <v>3.52</v>
      </c>
      <c r="T686">
        <v>0.62</v>
      </c>
      <c r="U686">
        <v>-3.36</v>
      </c>
      <c r="V686">
        <v>-184</v>
      </c>
      <c r="W686">
        <v>10.32</v>
      </c>
      <c r="X686" t="s">
        <v>2222</v>
      </c>
      <c r="Y686" t="s">
        <v>1261</v>
      </c>
      <c r="Z686">
        <v>1.21</v>
      </c>
      <c r="AA686">
        <v>387</v>
      </c>
      <c r="AB686">
        <v>9</v>
      </c>
      <c r="AC686">
        <v>2.96</v>
      </c>
      <c r="AD686" t="s">
        <v>5135</v>
      </c>
      <c r="AE686" t="s">
        <v>5136</v>
      </c>
      <c r="AF686" t="s">
        <v>5137</v>
      </c>
      <c r="AG686" t="s">
        <v>5138</v>
      </c>
      <c r="AH686">
        <v>-4.52</v>
      </c>
      <c r="AI686">
        <v>-3.36</v>
      </c>
      <c r="AJ686">
        <v>18.77</v>
      </c>
      <c r="AK686">
        <v>34.17</v>
      </c>
      <c r="AL686">
        <v>-2</v>
      </c>
      <c r="AM686">
        <v>-1.52</v>
      </c>
      <c r="AN686">
        <v>46.33</v>
      </c>
      <c r="AO686">
        <v>9.4</v>
      </c>
      <c r="AP686">
        <v>29.5</v>
      </c>
    </row>
    <row r="687" spans="1:42">
      <c r="A687">
        <v>686</v>
      </c>
      <c r="B687" t="str">
        <f>"001219"</f>
        <v>001219</v>
      </c>
      <c r="C687" t="s">
        <v>5139</v>
      </c>
      <c r="D687">
        <v>21.4</v>
      </c>
      <c r="E687">
        <v>5.21</v>
      </c>
      <c r="F687">
        <v>1.06</v>
      </c>
      <c r="G687" t="s">
        <v>1987</v>
      </c>
      <c r="H687">
        <v>1642</v>
      </c>
      <c r="I687">
        <v>21.4</v>
      </c>
      <c r="J687">
        <v>21.41</v>
      </c>
      <c r="K687" t="s">
        <v>5134</v>
      </c>
      <c r="L687">
        <v>17.29</v>
      </c>
      <c r="M687" t="s">
        <v>46</v>
      </c>
      <c r="N687" t="s">
        <v>3901</v>
      </c>
      <c r="O687">
        <v>22.37</v>
      </c>
      <c r="P687">
        <v>20.3</v>
      </c>
      <c r="Q687">
        <v>20.34</v>
      </c>
      <c r="R687">
        <v>20.34</v>
      </c>
      <c r="S687">
        <v>10.18</v>
      </c>
      <c r="T687">
        <v>3.51</v>
      </c>
      <c r="U687">
        <v>24.42</v>
      </c>
      <c r="V687">
        <v>80</v>
      </c>
      <c r="W687">
        <v>21.55</v>
      </c>
      <c r="X687" t="s">
        <v>3158</v>
      </c>
      <c r="Y687" t="s">
        <v>4584</v>
      </c>
      <c r="Z687">
        <v>1.29</v>
      </c>
      <c r="AA687">
        <v>132</v>
      </c>
      <c r="AB687">
        <v>15</v>
      </c>
      <c r="AC687">
        <v>3.33</v>
      </c>
      <c r="AD687" t="s">
        <v>3403</v>
      </c>
      <c r="AE687" t="s">
        <v>5140</v>
      </c>
      <c r="AF687" t="s">
        <v>5141</v>
      </c>
      <c r="AG687" t="s">
        <v>5142</v>
      </c>
      <c r="AH687">
        <v>5.89</v>
      </c>
      <c r="AI687">
        <v>6.36</v>
      </c>
      <c r="AJ687">
        <v>23.81</v>
      </c>
      <c r="AK687">
        <v>41.96</v>
      </c>
      <c r="AL687">
        <v>1</v>
      </c>
      <c r="AM687">
        <v>5.21</v>
      </c>
      <c r="AN687">
        <v>9.18</v>
      </c>
      <c r="AO687">
        <v>7.81</v>
      </c>
      <c r="AP687">
        <v>38.24</v>
      </c>
    </row>
    <row r="688" spans="1:42">
      <c r="A688">
        <v>687</v>
      </c>
      <c r="B688" t="str">
        <f>"002806"</f>
        <v>002806</v>
      </c>
      <c r="C688" t="s">
        <v>5143</v>
      </c>
      <c r="D688">
        <v>13.14</v>
      </c>
      <c r="E688">
        <v>-4.09</v>
      </c>
      <c r="F688">
        <v>-0.56</v>
      </c>
      <c r="G688" t="s">
        <v>553</v>
      </c>
      <c r="H688">
        <v>5386</v>
      </c>
      <c r="I688">
        <v>13.14</v>
      </c>
      <c r="J688">
        <v>13.15</v>
      </c>
      <c r="K688" t="s">
        <v>5134</v>
      </c>
      <c r="L688">
        <v>14.33</v>
      </c>
      <c r="M688" t="s">
        <v>46</v>
      </c>
      <c r="N688" t="s">
        <v>2641</v>
      </c>
      <c r="O688">
        <v>13.51</v>
      </c>
      <c r="P688">
        <v>13.07</v>
      </c>
      <c r="Q688">
        <v>13.48</v>
      </c>
      <c r="R688">
        <v>13.7</v>
      </c>
      <c r="S688">
        <v>3.21</v>
      </c>
      <c r="T688">
        <v>1.07</v>
      </c>
      <c r="U688">
        <v>67.6</v>
      </c>
      <c r="V688">
        <v>3197</v>
      </c>
      <c r="W688">
        <v>13.21</v>
      </c>
      <c r="X688" t="s">
        <v>2025</v>
      </c>
      <c r="Y688" t="s">
        <v>5144</v>
      </c>
      <c r="Z688">
        <v>1.43</v>
      </c>
      <c r="AA688">
        <v>484</v>
      </c>
      <c r="AB688">
        <v>287</v>
      </c>
      <c r="AC688">
        <v>2.26</v>
      </c>
      <c r="AD688" t="s">
        <v>5145</v>
      </c>
      <c r="AE688" t="s">
        <v>5146</v>
      </c>
      <c r="AF688" t="s">
        <v>5147</v>
      </c>
      <c r="AG688" t="s">
        <v>5148</v>
      </c>
      <c r="AH688">
        <v>-5.4</v>
      </c>
      <c r="AI688">
        <v>5.12</v>
      </c>
      <c r="AJ688">
        <v>67.38</v>
      </c>
      <c r="AK688">
        <v>81.35</v>
      </c>
      <c r="AL688">
        <v>-1</v>
      </c>
      <c r="AM688">
        <v>-4.09</v>
      </c>
      <c r="AN688">
        <v>29.2</v>
      </c>
      <c r="AO688">
        <v>10.05</v>
      </c>
      <c r="AP688">
        <v>15.36</v>
      </c>
    </row>
    <row r="689" spans="1:42">
      <c r="A689">
        <v>688</v>
      </c>
      <c r="B689" t="str">
        <f>"605133"</f>
        <v>605133</v>
      </c>
      <c r="C689" t="s">
        <v>5149</v>
      </c>
      <c r="D689">
        <v>30.88</v>
      </c>
      <c r="E689">
        <v>-7.32</v>
      </c>
      <c r="F689">
        <v>-2.44</v>
      </c>
      <c r="G689" t="s">
        <v>5150</v>
      </c>
      <c r="H689">
        <v>1949</v>
      </c>
      <c r="I689">
        <v>30.88</v>
      </c>
      <c r="J689">
        <v>30.89</v>
      </c>
      <c r="K689" t="s">
        <v>5134</v>
      </c>
      <c r="L689">
        <v>14.35</v>
      </c>
      <c r="M689" t="s">
        <v>46</v>
      </c>
      <c r="N689" t="s">
        <v>2533</v>
      </c>
      <c r="O689">
        <v>32.66</v>
      </c>
      <c r="P689">
        <v>30.06</v>
      </c>
      <c r="Q689">
        <v>32.62</v>
      </c>
      <c r="R689">
        <v>33.32</v>
      </c>
      <c r="S689">
        <v>7.8</v>
      </c>
      <c r="T689">
        <v>1.34</v>
      </c>
      <c r="U689">
        <v>19.49</v>
      </c>
      <c r="V689">
        <v>107</v>
      </c>
      <c r="W689">
        <v>30.95</v>
      </c>
      <c r="X689" t="s">
        <v>4168</v>
      </c>
      <c r="Y689" t="s">
        <v>1165</v>
      </c>
      <c r="Z689">
        <v>1.05</v>
      </c>
      <c r="AA689">
        <v>200</v>
      </c>
      <c r="AB689">
        <v>7</v>
      </c>
      <c r="AC689">
        <v>2.2</v>
      </c>
      <c r="AD689" t="s">
        <v>5151</v>
      </c>
      <c r="AE689" t="s">
        <v>5152</v>
      </c>
      <c r="AF689" t="s">
        <v>5153</v>
      </c>
      <c r="AG689" t="s">
        <v>5148</v>
      </c>
      <c r="AH689">
        <v>-8.37</v>
      </c>
      <c r="AI689">
        <v>-12.5</v>
      </c>
      <c r="AJ689">
        <v>35.77</v>
      </c>
      <c r="AK689">
        <v>67.99</v>
      </c>
      <c r="AL689">
        <v>-2</v>
      </c>
      <c r="AM689">
        <v>-7.32</v>
      </c>
      <c r="AN689">
        <v>18.59</v>
      </c>
      <c r="AO689">
        <v>8.54</v>
      </c>
      <c r="AP689">
        <v>15.66</v>
      </c>
    </row>
    <row r="690" spans="1:42">
      <c r="A690">
        <v>689</v>
      </c>
      <c r="B690" t="str">
        <f>"002115"</f>
        <v>002115</v>
      </c>
      <c r="C690" t="s">
        <v>5154</v>
      </c>
      <c r="D690">
        <v>7.81</v>
      </c>
      <c r="E690">
        <v>2.9</v>
      </c>
      <c r="F690">
        <v>0.22</v>
      </c>
      <c r="G690" t="s">
        <v>3938</v>
      </c>
      <c r="H690">
        <v>5740</v>
      </c>
      <c r="I690">
        <v>7.8</v>
      </c>
      <c r="J690">
        <v>7.81</v>
      </c>
      <c r="K690" t="s">
        <v>5134</v>
      </c>
      <c r="L690">
        <v>4.83</v>
      </c>
      <c r="M690" t="s">
        <v>46</v>
      </c>
      <c r="N690" t="s">
        <v>5155</v>
      </c>
      <c r="O690">
        <v>7.84</v>
      </c>
      <c r="P690">
        <v>7.57</v>
      </c>
      <c r="Q690">
        <v>7.63</v>
      </c>
      <c r="R690">
        <v>7.59</v>
      </c>
      <c r="S690">
        <v>3.56</v>
      </c>
      <c r="T690">
        <v>0.8</v>
      </c>
      <c r="U690">
        <v>-40.88</v>
      </c>
      <c r="V690">
        <v>-7911</v>
      </c>
      <c r="W690">
        <v>7.74</v>
      </c>
      <c r="X690" t="s">
        <v>1439</v>
      </c>
      <c r="Y690" t="s">
        <v>1462</v>
      </c>
      <c r="Z690">
        <v>0.85</v>
      </c>
      <c r="AA690">
        <v>1945</v>
      </c>
      <c r="AB690">
        <v>595</v>
      </c>
      <c r="AC690">
        <v>2.58</v>
      </c>
      <c r="AD690" t="s">
        <v>5156</v>
      </c>
      <c r="AE690" t="s">
        <v>5157</v>
      </c>
      <c r="AF690" t="s">
        <v>5158</v>
      </c>
      <c r="AG690" t="s">
        <v>5159</v>
      </c>
      <c r="AH690">
        <v>0</v>
      </c>
      <c r="AI690">
        <v>-5.33</v>
      </c>
      <c r="AJ690">
        <v>13.41</v>
      </c>
      <c r="AK690">
        <v>34.91</v>
      </c>
      <c r="AL690">
        <v>1</v>
      </c>
      <c r="AM690">
        <v>2.9</v>
      </c>
      <c r="AN690">
        <v>72.41</v>
      </c>
      <c r="AO690">
        <v>3.17</v>
      </c>
      <c r="AP690">
        <v>53.44</v>
      </c>
    </row>
    <row r="691" spans="1:42">
      <c r="A691">
        <v>690</v>
      </c>
      <c r="B691" t="str">
        <f>"603336"</f>
        <v>603336</v>
      </c>
      <c r="C691" t="s">
        <v>5160</v>
      </c>
      <c r="D691">
        <v>5.43</v>
      </c>
      <c r="E691">
        <v>2.07</v>
      </c>
      <c r="F691">
        <v>0.11</v>
      </c>
      <c r="G691" t="s">
        <v>2899</v>
      </c>
      <c r="H691">
        <v>4745</v>
      </c>
      <c r="I691">
        <v>5.43</v>
      </c>
      <c r="J691">
        <v>5.44</v>
      </c>
      <c r="K691" t="s">
        <v>5161</v>
      </c>
      <c r="L691">
        <v>8.98</v>
      </c>
      <c r="M691" t="s">
        <v>46</v>
      </c>
      <c r="N691" t="s">
        <v>5162</v>
      </c>
      <c r="O691">
        <v>5.74</v>
      </c>
      <c r="P691">
        <v>5.29</v>
      </c>
      <c r="Q691">
        <v>5.3</v>
      </c>
      <c r="R691">
        <v>5.32</v>
      </c>
      <c r="S691">
        <v>8.46</v>
      </c>
      <c r="T691">
        <v>1.02</v>
      </c>
      <c r="U691">
        <v>-9.33</v>
      </c>
      <c r="V691">
        <v>-1101</v>
      </c>
      <c r="W691">
        <v>5.49</v>
      </c>
      <c r="X691" t="s">
        <v>3527</v>
      </c>
      <c r="Y691" t="s">
        <v>5163</v>
      </c>
      <c r="Z691">
        <v>0.93</v>
      </c>
      <c r="AA691">
        <v>444</v>
      </c>
      <c r="AB691">
        <v>2644</v>
      </c>
      <c r="AC691">
        <v>2.77</v>
      </c>
      <c r="AD691" t="s">
        <v>5164</v>
      </c>
      <c r="AE691" t="s">
        <v>5165</v>
      </c>
      <c r="AF691" t="s">
        <v>5164</v>
      </c>
      <c r="AG691" t="s">
        <v>5165</v>
      </c>
      <c r="AH691">
        <v>-1.09</v>
      </c>
      <c r="AI691">
        <v>5.64</v>
      </c>
      <c r="AJ691">
        <v>24.16</v>
      </c>
      <c r="AK691">
        <v>53.15</v>
      </c>
      <c r="AL691">
        <v>1</v>
      </c>
      <c r="AM691">
        <v>2.07</v>
      </c>
      <c r="AN691">
        <v>1.88</v>
      </c>
      <c r="AO691">
        <v>8.38</v>
      </c>
      <c r="AP691">
        <v>10.59</v>
      </c>
    </row>
    <row r="692" spans="1:42">
      <c r="A692">
        <v>691</v>
      </c>
      <c r="B692" t="str">
        <f>"000831"</f>
        <v>000831</v>
      </c>
      <c r="C692" t="s">
        <v>5166</v>
      </c>
      <c r="D692">
        <v>27.75</v>
      </c>
      <c r="E692">
        <v>-0.79</v>
      </c>
      <c r="F692">
        <v>-0.22</v>
      </c>
      <c r="G692" t="s">
        <v>110</v>
      </c>
      <c r="H692">
        <v>577</v>
      </c>
      <c r="I692">
        <v>27.74</v>
      </c>
      <c r="J692">
        <v>27.75</v>
      </c>
      <c r="K692" t="s">
        <v>5161</v>
      </c>
      <c r="L692">
        <v>1.03</v>
      </c>
      <c r="M692" t="s">
        <v>46</v>
      </c>
      <c r="N692" t="s">
        <v>5167</v>
      </c>
      <c r="O692">
        <v>28.13</v>
      </c>
      <c r="P692">
        <v>27.62</v>
      </c>
      <c r="Q692">
        <v>28</v>
      </c>
      <c r="R692">
        <v>27.97</v>
      </c>
      <c r="S692">
        <v>1.82</v>
      </c>
      <c r="T692">
        <v>1.67</v>
      </c>
      <c r="U692">
        <v>93.85</v>
      </c>
      <c r="V692">
        <v>4363</v>
      </c>
      <c r="W692">
        <v>27.85</v>
      </c>
      <c r="X692" t="s">
        <v>3175</v>
      </c>
      <c r="Y692" t="s">
        <v>1044</v>
      </c>
      <c r="Z692">
        <v>1.67</v>
      </c>
      <c r="AA692">
        <v>466</v>
      </c>
      <c r="AB692">
        <v>81</v>
      </c>
      <c r="AC692">
        <v>8.76</v>
      </c>
      <c r="AD692" t="s">
        <v>5168</v>
      </c>
      <c r="AE692" t="s">
        <v>5169</v>
      </c>
      <c r="AF692" t="s">
        <v>5168</v>
      </c>
      <c r="AG692" t="s">
        <v>5169</v>
      </c>
      <c r="AH692">
        <v>-0.54</v>
      </c>
      <c r="AI692">
        <v>-1.98</v>
      </c>
      <c r="AJ692">
        <v>2.48</v>
      </c>
      <c r="AK692">
        <v>4.12</v>
      </c>
      <c r="AL692">
        <v>-2</v>
      </c>
      <c r="AM692">
        <v>-0.79</v>
      </c>
      <c r="AN692">
        <v>-15.5</v>
      </c>
      <c r="AO692">
        <v>-6.88</v>
      </c>
      <c r="AP692">
        <v>-21.12</v>
      </c>
    </row>
    <row r="693" spans="1:42">
      <c r="A693">
        <v>692</v>
      </c>
      <c r="B693" t="str">
        <f>"601377"</f>
        <v>601377</v>
      </c>
      <c r="C693" t="s">
        <v>5170</v>
      </c>
      <c r="D693">
        <v>6.1</v>
      </c>
      <c r="E693">
        <v>0.33</v>
      </c>
      <c r="F693">
        <v>0.02</v>
      </c>
      <c r="G693" t="s">
        <v>198</v>
      </c>
      <c r="H693">
        <v>3138</v>
      </c>
      <c r="I693">
        <v>6.09</v>
      </c>
      <c r="J693">
        <v>6.1</v>
      </c>
      <c r="K693" t="s">
        <v>5161</v>
      </c>
      <c r="L693">
        <v>0.54</v>
      </c>
      <c r="M693" t="s">
        <v>46</v>
      </c>
      <c r="N693" t="s">
        <v>5171</v>
      </c>
      <c r="O693">
        <v>6.11</v>
      </c>
      <c r="P693">
        <v>6.02</v>
      </c>
      <c r="Q693">
        <v>6.09</v>
      </c>
      <c r="R693">
        <v>6.08</v>
      </c>
      <c r="S693">
        <v>1.48</v>
      </c>
      <c r="T693">
        <v>1.1</v>
      </c>
      <c r="U693">
        <v>22.87</v>
      </c>
      <c r="V693" t="s">
        <v>1646</v>
      </c>
      <c r="W693">
        <v>6.07</v>
      </c>
      <c r="X693" t="s">
        <v>3410</v>
      </c>
      <c r="Y693" t="s">
        <v>3809</v>
      </c>
      <c r="Z693">
        <v>1.25</v>
      </c>
      <c r="AA693">
        <v>9640</v>
      </c>
      <c r="AB693">
        <v>1225</v>
      </c>
      <c r="AC693">
        <v>1</v>
      </c>
      <c r="AD693" t="s">
        <v>5172</v>
      </c>
      <c r="AE693" t="s">
        <v>5173</v>
      </c>
      <c r="AF693" t="s">
        <v>5172</v>
      </c>
      <c r="AG693" t="s">
        <v>5173</v>
      </c>
      <c r="AH693">
        <v>-1.45</v>
      </c>
      <c r="AI693">
        <v>-3.48</v>
      </c>
      <c r="AJ693">
        <v>1.59</v>
      </c>
      <c r="AK693">
        <v>2.96</v>
      </c>
      <c r="AL693">
        <v>1</v>
      </c>
      <c r="AM693">
        <v>0.33</v>
      </c>
      <c r="AN693">
        <v>8.73</v>
      </c>
      <c r="AO693">
        <v>-2.09</v>
      </c>
      <c r="AP693">
        <v>8.73</v>
      </c>
    </row>
    <row r="694" spans="1:42">
      <c r="A694">
        <v>693</v>
      </c>
      <c r="B694" t="str">
        <f>"601065"</f>
        <v>601065</v>
      </c>
      <c r="C694" t="s">
        <v>5174</v>
      </c>
      <c r="D694">
        <v>12.14</v>
      </c>
      <c r="E694">
        <v>0.58</v>
      </c>
      <c r="F694">
        <v>0.07</v>
      </c>
      <c r="G694" t="s">
        <v>2247</v>
      </c>
      <c r="H694">
        <v>2237</v>
      </c>
      <c r="I694">
        <v>12.14</v>
      </c>
      <c r="J694">
        <v>12.15</v>
      </c>
      <c r="K694" t="s">
        <v>5161</v>
      </c>
      <c r="L694">
        <v>14.35</v>
      </c>
      <c r="M694" t="s">
        <v>46</v>
      </c>
      <c r="N694" t="s">
        <v>5175</v>
      </c>
      <c r="O694">
        <v>12.37</v>
      </c>
      <c r="P694">
        <v>12.03</v>
      </c>
      <c r="Q694">
        <v>12.08</v>
      </c>
      <c r="R694">
        <v>12.07</v>
      </c>
      <c r="S694">
        <v>2.82</v>
      </c>
      <c r="T694">
        <v>1.03</v>
      </c>
      <c r="U694">
        <v>-1.71</v>
      </c>
      <c r="V694">
        <v>-121</v>
      </c>
      <c r="W694">
        <v>12.23</v>
      </c>
      <c r="X694" t="s">
        <v>2025</v>
      </c>
      <c r="Y694" t="s">
        <v>740</v>
      </c>
      <c r="Z694">
        <v>1.21</v>
      </c>
      <c r="AA694">
        <v>1139</v>
      </c>
      <c r="AB694">
        <v>2130</v>
      </c>
      <c r="AC694">
        <v>1.96</v>
      </c>
      <c r="AD694" t="s">
        <v>5176</v>
      </c>
      <c r="AE694" t="s">
        <v>5177</v>
      </c>
      <c r="AF694" t="s">
        <v>2521</v>
      </c>
      <c r="AG694" t="s">
        <v>5178</v>
      </c>
      <c r="AH694">
        <v>-0.57</v>
      </c>
      <c r="AI694">
        <v>6.3</v>
      </c>
      <c r="AJ694">
        <v>39.49</v>
      </c>
      <c r="AK694">
        <v>83.79</v>
      </c>
      <c r="AL694">
        <v>2</v>
      </c>
      <c r="AM694">
        <v>0.58</v>
      </c>
      <c r="AN694">
        <v>18.09</v>
      </c>
      <c r="AO694">
        <v>7.24</v>
      </c>
      <c r="AP694">
        <v>18.09</v>
      </c>
    </row>
    <row r="695" spans="1:42">
      <c r="A695">
        <v>694</v>
      </c>
      <c r="B695" t="str">
        <f>"600399"</f>
        <v>600399</v>
      </c>
      <c r="C695" t="s">
        <v>5179</v>
      </c>
      <c r="D695">
        <v>10.09</v>
      </c>
      <c r="E695">
        <v>1.2</v>
      </c>
      <c r="F695">
        <v>0.12</v>
      </c>
      <c r="G695" t="s">
        <v>282</v>
      </c>
      <c r="H695">
        <v>1888</v>
      </c>
      <c r="I695">
        <v>10.09</v>
      </c>
      <c r="J695">
        <v>10.1</v>
      </c>
      <c r="K695" t="s">
        <v>5161</v>
      </c>
      <c r="L695">
        <v>1.41</v>
      </c>
      <c r="M695" t="s">
        <v>46</v>
      </c>
      <c r="N695" t="s">
        <v>5180</v>
      </c>
      <c r="O695">
        <v>10.33</v>
      </c>
      <c r="P695">
        <v>9.82</v>
      </c>
      <c r="Q695">
        <v>9.98</v>
      </c>
      <c r="R695">
        <v>9.97</v>
      </c>
      <c r="S695">
        <v>5.12</v>
      </c>
      <c r="T695">
        <v>1.29</v>
      </c>
      <c r="U695">
        <v>14.71</v>
      </c>
      <c r="V695">
        <v>179</v>
      </c>
      <c r="W695">
        <v>10.12</v>
      </c>
      <c r="X695" t="s">
        <v>2753</v>
      </c>
      <c r="Y695" t="s">
        <v>1296</v>
      </c>
      <c r="Z695">
        <v>0.97</v>
      </c>
      <c r="AA695">
        <v>30</v>
      </c>
      <c r="AB695">
        <v>345</v>
      </c>
      <c r="AC695">
        <v>3.14</v>
      </c>
      <c r="AD695" t="s">
        <v>502</v>
      </c>
      <c r="AE695" t="s">
        <v>5181</v>
      </c>
      <c r="AF695" t="s">
        <v>502</v>
      </c>
      <c r="AG695" t="s">
        <v>5181</v>
      </c>
      <c r="AH695">
        <v>-1.85</v>
      </c>
      <c r="AI695">
        <v>1.61</v>
      </c>
      <c r="AJ695">
        <v>3.43</v>
      </c>
      <c r="AK695">
        <v>6.84</v>
      </c>
      <c r="AL695">
        <v>1</v>
      </c>
      <c r="AM695">
        <v>1.2</v>
      </c>
      <c r="AN695">
        <v>-29.49</v>
      </c>
      <c r="AO695">
        <v>11</v>
      </c>
      <c r="AP695">
        <v>-37.48</v>
      </c>
    </row>
    <row r="696" spans="1:42">
      <c r="A696">
        <v>695</v>
      </c>
      <c r="B696" t="str">
        <f>"688016"</f>
        <v>688016</v>
      </c>
      <c r="C696" t="s">
        <v>5182</v>
      </c>
      <c r="D696">
        <v>206.98</v>
      </c>
      <c r="E696">
        <v>2.14</v>
      </c>
      <c r="F696">
        <v>4.33</v>
      </c>
      <c r="G696" t="s">
        <v>5183</v>
      </c>
      <c r="H696">
        <v>54</v>
      </c>
      <c r="I696">
        <v>206.95</v>
      </c>
      <c r="J696">
        <v>206.98</v>
      </c>
      <c r="K696" t="s">
        <v>5184</v>
      </c>
      <c r="L696">
        <v>1.89</v>
      </c>
      <c r="M696" t="s">
        <v>46</v>
      </c>
      <c r="N696" t="s">
        <v>5185</v>
      </c>
      <c r="O696">
        <v>210.3</v>
      </c>
      <c r="P696">
        <v>202.08</v>
      </c>
      <c r="Q696">
        <v>202.65</v>
      </c>
      <c r="R696">
        <v>202.65</v>
      </c>
      <c r="S696">
        <v>4.06</v>
      </c>
      <c r="T696">
        <v>1.95</v>
      </c>
      <c r="U696">
        <v>-49.29</v>
      </c>
      <c r="V696">
        <v>-19</v>
      </c>
      <c r="W696">
        <v>206.22</v>
      </c>
      <c r="X696">
        <v>7116</v>
      </c>
      <c r="Y696">
        <v>6479</v>
      </c>
      <c r="Z696">
        <v>1.1</v>
      </c>
      <c r="AA696">
        <v>2</v>
      </c>
      <c r="AB696">
        <v>5</v>
      </c>
      <c r="AC696">
        <v>7.62</v>
      </c>
      <c r="AD696" t="s">
        <v>5186</v>
      </c>
      <c r="AE696" t="s">
        <v>5187</v>
      </c>
      <c r="AF696" t="s">
        <v>5186</v>
      </c>
      <c r="AG696" t="s">
        <v>5187</v>
      </c>
      <c r="AH696">
        <v>2.89</v>
      </c>
      <c r="AI696">
        <v>6.49</v>
      </c>
      <c r="AJ696">
        <v>3.6</v>
      </c>
      <c r="AK696">
        <v>6.73</v>
      </c>
      <c r="AL696">
        <v>2</v>
      </c>
      <c r="AM696">
        <v>2.14</v>
      </c>
      <c r="AN696">
        <v>10.84</v>
      </c>
      <c r="AO696">
        <v>7.7</v>
      </c>
      <c r="AP696">
        <v>9.28</v>
      </c>
    </row>
    <row r="697" spans="1:42">
      <c r="A697">
        <v>696</v>
      </c>
      <c r="B697" t="str">
        <f>"601066"</f>
        <v>601066</v>
      </c>
      <c r="C697" t="s">
        <v>5188</v>
      </c>
      <c r="D697">
        <v>25.71</v>
      </c>
      <c r="E697">
        <v>-0.27</v>
      </c>
      <c r="F697">
        <v>-0.07</v>
      </c>
      <c r="G697" t="s">
        <v>1949</v>
      </c>
      <c r="H697">
        <v>1668</v>
      </c>
      <c r="I697">
        <v>25.71</v>
      </c>
      <c r="J697">
        <v>25.72</v>
      </c>
      <c r="K697" t="s">
        <v>5189</v>
      </c>
      <c r="L697">
        <v>0.29</v>
      </c>
      <c r="M697" t="s">
        <v>46</v>
      </c>
      <c r="N697" t="s">
        <v>5190</v>
      </c>
      <c r="O697">
        <v>25.85</v>
      </c>
      <c r="P697">
        <v>25.46</v>
      </c>
      <c r="Q697">
        <v>25.69</v>
      </c>
      <c r="R697">
        <v>25.78</v>
      </c>
      <c r="S697">
        <v>1.51</v>
      </c>
      <c r="T697">
        <v>0.89</v>
      </c>
      <c r="U697">
        <v>-74.83</v>
      </c>
      <c r="V697">
        <v>-434</v>
      </c>
      <c r="W697">
        <v>25.65</v>
      </c>
      <c r="X697" t="s">
        <v>5191</v>
      </c>
      <c r="Y697" t="s">
        <v>5192</v>
      </c>
      <c r="Z697">
        <v>0.91</v>
      </c>
      <c r="AA697">
        <v>64</v>
      </c>
      <c r="AB697">
        <v>31</v>
      </c>
      <c r="AC697">
        <v>2.79</v>
      </c>
      <c r="AD697" t="s">
        <v>5193</v>
      </c>
      <c r="AE697" t="s">
        <v>5194</v>
      </c>
      <c r="AF697" t="s">
        <v>5195</v>
      </c>
      <c r="AG697" t="s">
        <v>5196</v>
      </c>
      <c r="AH697">
        <v>-0.39</v>
      </c>
      <c r="AI697">
        <v>-3.49</v>
      </c>
      <c r="AJ697">
        <v>0.94</v>
      </c>
      <c r="AK697">
        <v>1.89</v>
      </c>
      <c r="AL697">
        <v>-1</v>
      </c>
      <c r="AM697">
        <v>-0.27</v>
      </c>
      <c r="AN697">
        <v>9.5</v>
      </c>
      <c r="AO697">
        <v>6.15</v>
      </c>
      <c r="AP697">
        <v>5.28</v>
      </c>
    </row>
    <row r="698" spans="1:42">
      <c r="A698">
        <v>697</v>
      </c>
      <c r="B698" t="str">
        <f>"600109"</f>
        <v>600109</v>
      </c>
      <c r="C698" t="s">
        <v>5197</v>
      </c>
      <c r="D698">
        <v>9.55</v>
      </c>
      <c r="E698">
        <v>-0.1</v>
      </c>
      <c r="F698">
        <v>-0.01</v>
      </c>
      <c r="G698" t="s">
        <v>2811</v>
      </c>
      <c r="H698">
        <v>4301</v>
      </c>
      <c r="I698">
        <v>9.55</v>
      </c>
      <c r="J698">
        <v>9.56</v>
      </c>
      <c r="K698" t="s">
        <v>4345</v>
      </c>
      <c r="L698">
        <v>0.91</v>
      </c>
      <c r="M698" t="s">
        <v>46</v>
      </c>
      <c r="N698" t="s">
        <v>3131</v>
      </c>
      <c r="O698">
        <v>9.58</v>
      </c>
      <c r="P698">
        <v>9.47</v>
      </c>
      <c r="Q698">
        <v>9.51</v>
      </c>
      <c r="R698">
        <v>9.56</v>
      </c>
      <c r="S698">
        <v>1.15</v>
      </c>
      <c r="T698">
        <v>0.89</v>
      </c>
      <c r="U698">
        <v>-35.41</v>
      </c>
      <c r="V698">
        <v>-8183</v>
      </c>
      <c r="W698">
        <v>9.53</v>
      </c>
      <c r="X698" t="s">
        <v>665</v>
      </c>
      <c r="Y698" t="s">
        <v>830</v>
      </c>
      <c r="Z698">
        <v>1.25</v>
      </c>
      <c r="AA698">
        <v>1580</v>
      </c>
      <c r="AB698">
        <v>3280</v>
      </c>
      <c r="AC698">
        <v>1.11</v>
      </c>
      <c r="AD698" t="s">
        <v>5198</v>
      </c>
      <c r="AE698" t="s">
        <v>5199</v>
      </c>
      <c r="AF698" t="s">
        <v>5200</v>
      </c>
      <c r="AG698" t="s">
        <v>5201</v>
      </c>
      <c r="AH698">
        <v>0.95</v>
      </c>
      <c r="AI698">
        <v>-2.15</v>
      </c>
      <c r="AJ698">
        <v>2.78</v>
      </c>
      <c r="AK698">
        <v>6</v>
      </c>
      <c r="AL698">
        <v>-1</v>
      </c>
      <c r="AM698">
        <v>-0.1</v>
      </c>
      <c r="AN698">
        <v>10.28</v>
      </c>
      <c r="AO698">
        <v>4.37</v>
      </c>
      <c r="AP698">
        <v>10.66</v>
      </c>
    </row>
    <row r="699" spans="1:42">
      <c r="A699">
        <v>698</v>
      </c>
      <c r="B699" t="str">
        <f>"600872"</f>
        <v>600872</v>
      </c>
      <c r="C699" t="s">
        <v>5202</v>
      </c>
      <c r="D699">
        <v>32.37</v>
      </c>
      <c r="E699">
        <v>-0.98</v>
      </c>
      <c r="F699">
        <v>-0.32</v>
      </c>
      <c r="G699" t="s">
        <v>5203</v>
      </c>
      <c r="H699">
        <v>866</v>
      </c>
      <c r="I699">
        <v>32.32</v>
      </c>
      <c r="J699">
        <v>32.37</v>
      </c>
      <c r="K699" t="s">
        <v>4345</v>
      </c>
      <c r="L699">
        <v>1.1</v>
      </c>
      <c r="M699" t="s">
        <v>46</v>
      </c>
      <c r="N699" t="s">
        <v>5204</v>
      </c>
      <c r="O699">
        <v>32.69</v>
      </c>
      <c r="P699">
        <v>31.78</v>
      </c>
      <c r="Q699">
        <v>32.51</v>
      </c>
      <c r="R699">
        <v>32.69</v>
      </c>
      <c r="S699">
        <v>2.78</v>
      </c>
      <c r="T699">
        <v>1.97</v>
      </c>
      <c r="U699">
        <v>-92.7</v>
      </c>
      <c r="V699">
        <v>-1397</v>
      </c>
      <c r="W699">
        <v>32.18</v>
      </c>
      <c r="X699" t="s">
        <v>5205</v>
      </c>
      <c r="Y699" t="s">
        <v>4358</v>
      </c>
      <c r="Z699">
        <v>0.95</v>
      </c>
      <c r="AA699">
        <v>6</v>
      </c>
      <c r="AB699">
        <v>258</v>
      </c>
      <c r="AC699">
        <v>14.64</v>
      </c>
      <c r="AD699" t="s">
        <v>5206</v>
      </c>
      <c r="AE699" t="s">
        <v>5207</v>
      </c>
      <c r="AF699" t="s">
        <v>5206</v>
      </c>
      <c r="AG699" t="s">
        <v>5207</v>
      </c>
      <c r="AH699">
        <v>-1.43</v>
      </c>
      <c r="AI699">
        <v>-2.73</v>
      </c>
      <c r="AJ699">
        <v>2.24</v>
      </c>
      <c r="AK699">
        <v>3.89</v>
      </c>
      <c r="AL699">
        <v>-1</v>
      </c>
      <c r="AM699">
        <v>-0.98</v>
      </c>
      <c r="AN699">
        <v>-12.21</v>
      </c>
      <c r="AO699">
        <v>-5.46</v>
      </c>
      <c r="AP699">
        <v>-5.18</v>
      </c>
    </row>
    <row r="700" spans="1:42">
      <c r="A700">
        <v>699</v>
      </c>
      <c r="B700" t="str">
        <f>"300939"</f>
        <v>300939</v>
      </c>
      <c r="C700" t="s">
        <v>5208</v>
      </c>
      <c r="D700">
        <v>38.08</v>
      </c>
      <c r="E700">
        <v>-1.55</v>
      </c>
      <c r="F700">
        <v>-0.6</v>
      </c>
      <c r="G700" t="s">
        <v>183</v>
      </c>
      <c r="H700">
        <v>1187</v>
      </c>
      <c r="I700">
        <v>38.08</v>
      </c>
      <c r="J700">
        <v>38.09</v>
      </c>
      <c r="K700" t="s">
        <v>4345</v>
      </c>
      <c r="L700">
        <v>11.08</v>
      </c>
      <c r="M700" t="s">
        <v>46</v>
      </c>
      <c r="N700" t="s">
        <v>5209</v>
      </c>
      <c r="O700">
        <v>39</v>
      </c>
      <c r="P700">
        <v>37.3</v>
      </c>
      <c r="Q700">
        <v>39</v>
      </c>
      <c r="R700">
        <v>38.68</v>
      </c>
      <c r="S700">
        <v>4.4</v>
      </c>
      <c r="T700">
        <v>0.51</v>
      </c>
      <c r="U700">
        <v>3.7</v>
      </c>
      <c r="V700">
        <v>18</v>
      </c>
      <c r="W700">
        <v>38.09</v>
      </c>
      <c r="X700" t="s">
        <v>3373</v>
      </c>
      <c r="Y700" t="s">
        <v>4761</v>
      </c>
      <c r="Z700">
        <v>1.24</v>
      </c>
      <c r="AA700">
        <v>172</v>
      </c>
      <c r="AB700">
        <v>27</v>
      </c>
      <c r="AC700">
        <v>3.42</v>
      </c>
      <c r="AD700" t="s">
        <v>5210</v>
      </c>
      <c r="AE700" t="s">
        <v>5211</v>
      </c>
      <c r="AF700" t="s">
        <v>5212</v>
      </c>
      <c r="AG700" t="s">
        <v>5213</v>
      </c>
      <c r="AH700">
        <v>-10.29</v>
      </c>
      <c r="AI700">
        <v>-1.35</v>
      </c>
      <c r="AJ700">
        <v>54.63</v>
      </c>
      <c r="AK700">
        <v>120.03</v>
      </c>
      <c r="AL700">
        <v>-3</v>
      </c>
      <c r="AM700">
        <v>-1.55</v>
      </c>
      <c r="AN700">
        <v>42.94</v>
      </c>
      <c r="AO700">
        <v>8.24</v>
      </c>
      <c r="AP700">
        <v>21.66</v>
      </c>
    </row>
    <row r="701" spans="1:42">
      <c r="A701">
        <v>700</v>
      </c>
      <c r="B701" t="str">
        <f>"002962"</f>
        <v>002962</v>
      </c>
      <c r="C701" t="s">
        <v>5214</v>
      </c>
      <c r="D701">
        <v>14.65</v>
      </c>
      <c r="E701">
        <v>0.27</v>
      </c>
      <c r="F701">
        <v>0.04</v>
      </c>
      <c r="G701" t="s">
        <v>869</v>
      </c>
      <c r="H701">
        <v>7054</v>
      </c>
      <c r="I701">
        <v>14.65</v>
      </c>
      <c r="J701">
        <v>14.66</v>
      </c>
      <c r="K701" t="s">
        <v>4345</v>
      </c>
      <c r="L701">
        <v>9.21</v>
      </c>
      <c r="M701" t="s">
        <v>46</v>
      </c>
      <c r="N701" t="s">
        <v>2179</v>
      </c>
      <c r="O701">
        <v>14.65</v>
      </c>
      <c r="P701">
        <v>14.02</v>
      </c>
      <c r="Q701">
        <v>14.52</v>
      </c>
      <c r="R701">
        <v>14.61</v>
      </c>
      <c r="S701">
        <v>4.31</v>
      </c>
      <c r="T701">
        <v>0.6</v>
      </c>
      <c r="U701">
        <v>54.96</v>
      </c>
      <c r="V701">
        <v>2321</v>
      </c>
      <c r="W701">
        <v>14.41</v>
      </c>
      <c r="X701" t="s">
        <v>881</v>
      </c>
      <c r="Y701" t="s">
        <v>5215</v>
      </c>
      <c r="Z701">
        <v>1.19</v>
      </c>
      <c r="AA701">
        <v>992</v>
      </c>
      <c r="AB701">
        <v>339</v>
      </c>
      <c r="AC701">
        <v>2.37</v>
      </c>
      <c r="AD701" t="s">
        <v>5216</v>
      </c>
      <c r="AE701" t="s">
        <v>5217</v>
      </c>
      <c r="AF701" t="s">
        <v>5218</v>
      </c>
      <c r="AG701" t="s">
        <v>5219</v>
      </c>
      <c r="AH701">
        <v>-4.99</v>
      </c>
      <c r="AI701">
        <v>1.31</v>
      </c>
      <c r="AJ701">
        <v>42.2</v>
      </c>
      <c r="AK701">
        <v>85.89</v>
      </c>
      <c r="AL701">
        <v>1</v>
      </c>
      <c r="AM701">
        <v>0.27</v>
      </c>
      <c r="AN701">
        <v>46.21</v>
      </c>
      <c r="AO701">
        <v>6.24</v>
      </c>
      <c r="AP701">
        <v>26.73</v>
      </c>
    </row>
    <row r="702" spans="1:42">
      <c r="A702">
        <v>701</v>
      </c>
      <c r="B702" t="str">
        <f>"600089"</f>
        <v>600089</v>
      </c>
      <c r="C702" t="s">
        <v>5220</v>
      </c>
      <c r="D702">
        <v>13.99</v>
      </c>
      <c r="E702">
        <v>0.43</v>
      </c>
      <c r="F702">
        <v>0.06</v>
      </c>
      <c r="G702" t="s">
        <v>416</v>
      </c>
      <c r="H702">
        <v>1594</v>
      </c>
      <c r="I702">
        <v>13.98</v>
      </c>
      <c r="J702">
        <v>13.99</v>
      </c>
      <c r="K702" t="s">
        <v>4345</v>
      </c>
      <c r="L702">
        <v>0.39</v>
      </c>
      <c r="M702" t="s">
        <v>46</v>
      </c>
      <c r="N702" t="s">
        <v>5221</v>
      </c>
      <c r="O702">
        <v>14.02</v>
      </c>
      <c r="P702">
        <v>13.84</v>
      </c>
      <c r="Q702">
        <v>13.94</v>
      </c>
      <c r="R702">
        <v>13.93</v>
      </c>
      <c r="S702">
        <v>1.29</v>
      </c>
      <c r="T702">
        <v>0.65</v>
      </c>
      <c r="U702">
        <v>-28.71</v>
      </c>
      <c r="V702">
        <v>-4175</v>
      </c>
      <c r="W702">
        <v>13.93</v>
      </c>
      <c r="X702" t="s">
        <v>1928</v>
      </c>
      <c r="Y702" t="s">
        <v>2402</v>
      </c>
      <c r="Z702">
        <v>0.85</v>
      </c>
      <c r="AA702">
        <v>1304</v>
      </c>
      <c r="AB702">
        <v>192</v>
      </c>
      <c r="AC702">
        <v>1.19</v>
      </c>
      <c r="AD702" t="s">
        <v>5222</v>
      </c>
      <c r="AE702" t="s">
        <v>5223</v>
      </c>
      <c r="AF702" t="s">
        <v>5222</v>
      </c>
      <c r="AG702" t="s">
        <v>5223</v>
      </c>
      <c r="AH702">
        <v>-0.64</v>
      </c>
      <c r="AI702">
        <v>0.5</v>
      </c>
      <c r="AJ702">
        <v>1.5</v>
      </c>
      <c r="AK702">
        <v>3.42</v>
      </c>
      <c r="AL702">
        <v>1</v>
      </c>
      <c r="AM702">
        <v>0.43</v>
      </c>
      <c r="AN702">
        <v>-4.05</v>
      </c>
      <c r="AO702">
        <v>0.36</v>
      </c>
      <c r="AP702">
        <v>-10.15</v>
      </c>
    </row>
    <row r="703" spans="1:42">
      <c r="A703">
        <v>702</v>
      </c>
      <c r="B703" t="str">
        <f>"600360"</f>
        <v>600360</v>
      </c>
      <c r="C703" t="s">
        <v>5224</v>
      </c>
      <c r="D703">
        <v>7.94</v>
      </c>
      <c r="E703">
        <v>1.28</v>
      </c>
      <c r="F703">
        <v>0.1</v>
      </c>
      <c r="G703" t="s">
        <v>1770</v>
      </c>
      <c r="H703">
        <v>7163</v>
      </c>
      <c r="I703">
        <v>7.93</v>
      </c>
      <c r="J703">
        <v>7.94</v>
      </c>
      <c r="K703" t="s">
        <v>5225</v>
      </c>
      <c r="L703">
        <v>3.68</v>
      </c>
      <c r="M703" t="s">
        <v>46</v>
      </c>
      <c r="N703" t="s">
        <v>4796</v>
      </c>
      <c r="O703">
        <v>7.95</v>
      </c>
      <c r="P703">
        <v>7.7</v>
      </c>
      <c r="Q703">
        <v>7.85</v>
      </c>
      <c r="R703">
        <v>7.84</v>
      </c>
      <c r="S703">
        <v>3.19</v>
      </c>
      <c r="T703">
        <v>0.41</v>
      </c>
      <c r="U703">
        <v>-13.85</v>
      </c>
      <c r="V703">
        <v>-2823</v>
      </c>
      <c r="W703">
        <v>7.84</v>
      </c>
      <c r="X703" t="s">
        <v>1245</v>
      </c>
      <c r="Y703" t="s">
        <v>99</v>
      </c>
      <c r="Z703">
        <v>0.91</v>
      </c>
      <c r="AA703">
        <v>1841</v>
      </c>
      <c r="AB703">
        <v>3661</v>
      </c>
      <c r="AC703">
        <v>2.35</v>
      </c>
      <c r="AD703" t="s">
        <v>5226</v>
      </c>
      <c r="AE703" t="s">
        <v>5227</v>
      </c>
      <c r="AF703" t="s">
        <v>5226</v>
      </c>
      <c r="AG703" t="s">
        <v>5227</v>
      </c>
      <c r="AH703">
        <v>-6.48</v>
      </c>
      <c r="AI703">
        <v>-3.29</v>
      </c>
      <c r="AJ703">
        <v>16.64</v>
      </c>
      <c r="AK703">
        <v>48.56</v>
      </c>
      <c r="AL703">
        <v>1</v>
      </c>
      <c r="AM703">
        <v>1.28</v>
      </c>
      <c r="AN703">
        <v>20.85</v>
      </c>
      <c r="AO703">
        <v>11.52</v>
      </c>
      <c r="AP703">
        <v>11.83</v>
      </c>
    </row>
    <row r="704" spans="1:42">
      <c r="A704">
        <v>703</v>
      </c>
      <c r="B704" t="str">
        <f>"601878"</f>
        <v>601878</v>
      </c>
      <c r="C704" t="s">
        <v>5228</v>
      </c>
      <c r="D704">
        <v>10.57</v>
      </c>
      <c r="E704">
        <v>0.67</v>
      </c>
      <c r="F704">
        <v>0.07</v>
      </c>
      <c r="G704" t="s">
        <v>1032</v>
      </c>
      <c r="H704">
        <v>2514</v>
      </c>
      <c r="I704">
        <v>10.57</v>
      </c>
      <c r="J704">
        <v>10.58</v>
      </c>
      <c r="K704" t="s">
        <v>5225</v>
      </c>
      <c r="L704">
        <v>0.68</v>
      </c>
      <c r="M704" t="s">
        <v>46</v>
      </c>
      <c r="N704" t="s">
        <v>164</v>
      </c>
      <c r="O704">
        <v>10.59</v>
      </c>
      <c r="P704">
        <v>10.48</v>
      </c>
      <c r="Q704">
        <v>10.55</v>
      </c>
      <c r="R704">
        <v>10.5</v>
      </c>
      <c r="S704">
        <v>1.05</v>
      </c>
      <c r="T704">
        <v>0.78</v>
      </c>
      <c r="U704">
        <v>-51.77</v>
      </c>
      <c r="V704">
        <v>-8142</v>
      </c>
      <c r="W704">
        <v>10.54</v>
      </c>
      <c r="X704" t="s">
        <v>1987</v>
      </c>
      <c r="Y704" t="s">
        <v>263</v>
      </c>
      <c r="Z704">
        <v>0.99</v>
      </c>
      <c r="AA704">
        <v>1164</v>
      </c>
      <c r="AB704">
        <v>3853</v>
      </c>
      <c r="AC704">
        <v>1.58</v>
      </c>
      <c r="AD704" t="s">
        <v>5229</v>
      </c>
      <c r="AE704" t="s">
        <v>5230</v>
      </c>
      <c r="AF704" t="s">
        <v>5229</v>
      </c>
      <c r="AG704" t="s">
        <v>5230</v>
      </c>
      <c r="AH704">
        <v>0.38</v>
      </c>
      <c r="AI704">
        <v>-2.13</v>
      </c>
      <c r="AJ704">
        <v>1.99</v>
      </c>
      <c r="AK704">
        <v>4.99</v>
      </c>
      <c r="AL704">
        <v>2</v>
      </c>
      <c r="AM704">
        <v>0.67</v>
      </c>
      <c r="AN704">
        <v>7.86</v>
      </c>
      <c r="AO704">
        <v>5.07</v>
      </c>
      <c r="AP704">
        <v>2.42</v>
      </c>
    </row>
    <row r="705" spans="1:42">
      <c r="A705">
        <v>704</v>
      </c>
      <c r="B705" t="str">
        <f>"600373"</f>
        <v>600373</v>
      </c>
      <c r="C705" t="s">
        <v>5231</v>
      </c>
      <c r="D705">
        <v>13.63</v>
      </c>
      <c r="E705">
        <v>3.34</v>
      </c>
      <c r="F705">
        <v>0.44</v>
      </c>
      <c r="G705" t="s">
        <v>509</v>
      </c>
      <c r="H705">
        <v>2542</v>
      </c>
      <c r="I705">
        <v>13.62</v>
      </c>
      <c r="J705">
        <v>13.63</v>
      </c>
      <c r="K705" t="s">
        <v>5225</v>
      </c>
      <c r="L705">
        <v>1.52</v>
      </c>
      <c r="M705" t="s">
        <v>46</v>
      </c>
      <c r="N705" t="s">
        <v>5232</v>
      </c>
      <c r="O705">
        <v>13.8</v>
      </c>
      <c r="P705">
        <v>13.21</v>
      </c>
      <c r="Q705">
        <v>13.24</v>
      </c>
      <c r="R705">
        <v>13.19</v>
      </c>
      <c r="S705">
        <v>4.47</v>
      </c>
      <c r="T705">
        <v>0.91</v>
      </c>
      <c r="U705">
        <v>-53.8</v>
      </c>
      <c r="V705">
        <v>-4898</v>
      </c>
      <c r="W705">
        <v>13.48</v>
      </c>
      <c r="X705" t="s">
        <v>5122</v>
      </c>
      <c r="Y705" t="s">
        <v>1790</v>
      </c>
      <c r="Z705">
        <v>0.7</v>
      </c>
      <c r="AA705">
        <v>119</v>
      </c>
      <c r="AB705">
        <v>39</v>
      </c>
      <c r="AC705">
        <v>1.04</v>
      </c>
      <c r="AD705" t="s">
        <v>683</v>
      </c>
      <c r="AE705" t="s">
        <v>5233</v>
      </c>
      <c r="AF705" t="s">
        <v>683</v>
      </c>
      <c r="AG705" t="s">
        <v>5233</v>
      </c>
      <c r="AH705">
        <v>1.26</v>
      </c>
      <c r="AI705">
        <v>0.89</v>
      </c>
      <c r="AJ705">
        <v>3.63</v>
      </c>
      <c r="AK705">
        <v>9.89</v>
      </c>
      <c r="AL705">
        <v>2</v>
      </c>
      <c r="AM705">
        <v>3.34</v>
      </c>
      <c r="AN705">
        <v>54.54</v>
      </c>
      <c r="AO705">
        <v>13.3</v>
      </c>
      <c r="AP705">
        <v>58.49</v>
      </c>
    </row>
    <row r="706" spans="1:42">
      <c r="A706">
        <v>705</v>
      </c>
      <c r="B706" t="str">
        <f>"301085"</f>
        <v>301085</v>
      </c>
      <c r="C706" t="s">
        <v>5234</v>
      </c>
      <c r="D706">
        <v>65.31</v>
      </c>
      <c r="E706">
        <v>3.37</v>
      </c>
      <c r="F706">
        <v>2.13</v>
      </c>
      <c r="G706" t="s">
        <v>5235</v>
      </c>
      <c r="H706">
        <v>875</v>
      </c>
      <c r="I706">
        <v>65.31</v>
      </c>
      <c r="J706">
        <v>65.32</v>
      </c>
      <c r="K706" t="s">
        <v>5225</v>
      </c>
      <c r="L706">
        <v>10.94</v>
      </c>
      <c r="M706" t="s">
        <v>46</v>
      </c>
      <c r="N706" t="s">
        <v>5236</v>
      </c>
      <c r="O706">
        <v>65.31</v>
      </c>
      <c r="P706">
        <v>62.3</v>
      </c>
      <c r="Q706">
        <v>62.88</v>
      </c>
      <c r="R706">
        <v>63.18</v>
      </c>
      <c r="S706">
        <v>4.76</v>
      </c>
      <c r="T706">
        <v>1.57</v>
      </c>
      <c r="U706">
        <v>67.58</v>
      </c>
      <c r="V706">
        <v>467</v>
      </c>
      <c r="W706">
        <v>64.16</v>
      </c>
      <c r="X706" t="s">
        <v>5237</v>
      </c>
      <c r="Y706" t="s">
        <v>1335</v>
      </c>
      <c r="Z706">
        <v>0.9</v>
      </c>
      <c r="AA706">
        <v>75</v>
      </c>
      <c r="AB706">
        <v>23</v>
      </c>
      <c r="AC706">
        <v>6.61</v>
      </c>
      <c r="AD706" t="s">
        <v>5238</v>
      </c>
      <c r="AE706" t="s">
        <v>5239</v>
      </c>
      <c r="AF706" t="s">
        <v>5240</v>
      </c>
      <c r="AG706" t="s">
        <v>5241</v>
      </c>
      <c r="AH706">
        <v>2.11</v>
      </c>
      <c r="AI706">
        <v>-1.08</v>
      </c>
      <c r="AJ706">
        <v>24.21</v>
      </c>
      <c r="AK706">
        <v>45.72</v>
      </c>
      <c r="AL706">
        <v>2</v>
      </c>
      <c r="AM706">
        <v>3.37</v>
      </c>
      <c r="AN706">
        <v>135.44</v>
      </c>
      <c r="AO706">
        <v>8.43</v>
      </c>
      <c r="AP706">
        <v>111.77</v>
      </c>
    </row>
    <row r="707" spans="1:42">
      <c r="A707">
        <v>706</v>
      </c>
      <c r="B707" t="str">
        <f>"600498"</f>
        <v>600498</v>
      </c>
      <c r="C707" t="s">
        <v>5242</v>
      </c>
      <c r="D707">
        <v>18.27</v>
      </c>
      <c r="E707">
        <v>2.53</v>
      </c>
      <c r="F707">
        <v>0.45</v>
      </c>
      <c r="G707" t="s">
        <v>978</v>
      </c>
      <c r="H707">
        <v>1628</v>
      </c>
      <c r="I707">
        <v>18.27</v>
      </c>
      <c r="J707">
        <v>18.28</v>
      </c>
      <c r="K707" t="s">
        <v>5243</v>
      </c>
      <c r="L707">
        <v>1.33</v>
      </c>
      <c r="M707" t="s">
        <v>46</v>
      </c>
      <c r="N707" t="s">
        <v>2885</v>
      </c>
      <c r="O707">
        <v>18.31</v>
      </c>
      <c r="P707">
        <v>17.71</v>
      </c>
      <c r="Q707">
        <v>17.79</v>
      </c>
      <c r="R707">
        <v>17.82</v>
      </c>
      <c r="S707">
        <v>3.37</v>
      </c>
      <c r="T707">
        <v>1.04</v>
      </c>
      <c r="U707">
        <v>11.72</v>
      </c>
      <c r="V707">
        <v>793</v>
      </c>
      <c r="W707">
        <v>18.06</v>
      </c>
      <c r="X707" t="s">
        <v>183</v>
      </c>
      <c r="Y707" t="s">
        <v>4243</v>
      </c>
      <c r="Z707">
        <v>0.91</v>
      </c>
      <c r="AA707">
        <v>530</v>
      </c>
      <c r="AB707">
        <v>1305</v>
      </c>
      <c r="AC707">
        <v>1.86</v>
      </c>
      <c r="AD707" t="s">
        <v>5244</v>
      </c>
      <c r="AE707" t="s">
        <v>5245</v>
      </c>
      <c r="AF707" t="s">
        <v>5246</v>
      </c>
      <c r="AG707" t="s">
        <v>5247</v>
      </c>
      <c r="AH707">
        <v>-0.27</v>
      </c>
      <c r="AI707">
        <v>-4.04</v>
      </c>
      <c r="AJ707">
        <v>3.99</v>
      </c>
      <c r="AK707">
        <v>7.72</v>
      </c>
      <c r="AL707">
        <v>1</v>
      </c>
      <c r="AM707">
        <v>2.53</v>
      </c>
      <c r="AN707">
        <v>40.21</v>
      </c>
      <c r="AO707">
        <v>-3.03</v>
      </c>
      <c r="AP707">
        <v>29.57</v>
      </c>
    </row>
    <row r="708" spans="1:42">
      <c r="A708">
        <v>707</v>
      </c>
      <c r="B708" t="str">
        <f>"002058"</f>
        <v>002058</v>
      </c>
      <c r="C708" t="s">
        <v>5248</v>
      </c>
      <c r="D708">
        <v>12.56</v>
      </c>
      <c r="E708">
        <v>-6.06</v>
      </c>
      <c r="F708">
        <v>-0.81</v>
      </c>
      <c r="G708" t="s">
        <v>4553</v>
      </c>
      <c r="H708">
        <v>3948</v>
      </c>
      <c r="I708">
        <v>12.56</v>
      </c>
      <c r="J708">
        <v>12.57</v>
      </c>
      <c r="K708" t="s">
        <v>5243</v>
      </c>
      <c r="L708">
        <v>15.37</v>
      </c>
      <c r="M708" t="s">
        <v>46</v>
      </c>
      <c r="N708" t="s">
        <v>5249</v>
      </c>
      <c r="O708">
        <v>13</v>
      </c>
      <c r="P708">
        <v>12.36</v>
      </c>
      <c r="Q708">
        <v>12.93</v>
      </c>
      <c r="R708">
        <v>13.37</v>
      </c>
      <c r="S708">
        <v>4.79</v>
      </c>
      <c r="T708">
        <v>1.44</v>
      </c>
      <c r="U708">
        <v>51.9</v>
      </c>
      <c r="V708">
        <v>1696</v>
      </c>
      <c r="W708">
        <v>12.56</v>
      </c>
      <c r="X708" t="s">
        <v>368</v>
      </c>
      <c r="Y708" t="s">
        <v>5250</v>
      </c>
      <c r="Z708">
        <v>1.57</v>
      </c>
      <c r="AA708">
        <v>1598</v>
      </c>
      <c r="AB708">
        <v>406</v>
      </c>
      <c r="AC708">
        <v>12</v>
      </c>
      <c r="AD708" t="s">
        <v>5251</v>
      </c>
      <c r="AE708" t="s">
        <v>5252</v>
      </c>
      <c r="AF708" t="s">
        <v>5253</v>
      </c>
      <c r="AG708" t="s">
        <v>5254</v>
      </c>
      <c r="AH708">
        <v>-13.74</v>
      </c>
      <c r="AI708">
        <v>3.8</v>
      </c>
      <c r="AJ708">
        <v>61.82</v>
      </c>
      <c r="AK708">
        <v>68.59</v>
      </c>
      <c r="AL708">
        <v>-3</v>
      </c>
      <c r="AM708">
        <v>-6.06</v>
      </c>
      <c r="AN708">
        <v>12.44</v>
      </c>
      <c r="AO708">
        <v>6.53</v>
      </c>
      <c r="AP708">
        <v>1.95</v>
      </c>
    </row>
    <row r="709" spans="1:42">
      <c r="A709">
        <v>708</v>
      </c>
      <c r="B709" t="str">
        <f>"300426"</f>
        <v>300426</v>
      </c>
      <c r="C709" t="s">
        <v>5255</v>
      </c>
      <c r="D709">
        <v>12.45</v>
      </c>
      <c r="E709">
        <v>6.41</v>
      </c>
      <c r="F709">
        <v>0.75</v>
      </c>
      <c r="G709" t="s">
        <v>2351</v>
      </c>
      <c r="H709">
        <v>1901</v>
      </c>
      <c r="I709">
        <v>12.44</v>
      </c>
      <c r="J709">
        <v>12.45</v>
      </c>
      <c r="K709" t="s">
        <v>5243</v>
      </c>
      <c r="L709">
        <v>5.72</v>
      </c>
      <c r="M709" t="s">
        <v>46</v>
      </c>
      <c r="N709" t="s">
        <v>5256</v>
      </c>
      <c r="O709">
        <v>12.59</v>
      </c>
      <c r="P709">
        <v>11.7</v>
      </c>
      <c r="Q709">
        <v>11.73</v>
      </c>
      <c r="R709">
        <v>11.7</v>
      </c>
      <c r="S709">
        <v>7.61</v>
      </c>
      <c r="T709">
        <v>1.28</v>
      </c>
      <c r="U709">
        <v>0.53</v>
      </c>
      <c r="V709">
        <v>18</v>
      </c>
      <c r="W709">
        <v>12.2</v>
      </c>
      <c r="X709" t="s">
        <v>3159</v>
      </c>
      <c r="Y709" t="s">
        <v>1376</v>
      </c>
      <c r="Z709">
        <v>0.67</v>
      </c>
      <c r="AA709">
        <v>149</v>
      </c>
      <c r="AB709">
        <v>253</v>
      </c>
      <c r="AC709">
        <v>40.53</v>
      </c>
      <c r="AD709" t="s">
        <v>5257</v>
      </c>
      <c r="AE709" t="s">
        <v>5258</v>
      </c>
      <c r="AF709" t="s">
        <v>3493</v>
      </c>
      <c r="AG709" t="s">
        <v>5259</v>
      </c>
      <c r="AH709">
        <v>4.53</v>
      </c>
      <c r="AI709">
        <v>0.24</v>
      </c>
      <c r="AJ709">
        <v>11.88</v>
      </c>
      <c r="AK709">
        <v>28.11</v>
      </c>
      <c r="AL709">
        <v>1</v>
      </c>
      <c r="AM709">
        <v>6.41</v>
      </c>
      <c r="AN709">
        <v>80.17</v>
      </c>
      <c r="AO709">
        <v>9.69</v>
      </c>
      <c r="AP709">
        <v>102.44</v>
      </c>
    </row>
    <row r="710" spans="1:42">
      <c r="A710">
        <v>709</v>
      </c>
      <c r="B710" t="str">
        <f>"600009"</f>
        <v>600009</v>
      </c>
      <c r="C710" t="s">
        <v>5260</v>
      </c>
      <c r="D710">
        <v>35.96</v>
      </c>
      <c r="E710">
        <v>0.22</v>
      </c>
      <c r="F710">
        <v>0.08</v>
      </c>
      <c r="G710" t="s">
        <v>771</v>
      </c>
      <c r="H710">
        <v>638</v>
      </c>
      <c r="I710">
        <v>35.96</v>
      </c>
      <c r="J710">
        <v>35.97</v>
      </c>
      <c r="K710" t="s">
        <v>5243</v>
      </c>
      <c r="L710">
        <v>0.4</v>
      </c>
      <c r="M710" t="s">
        <v>46</v>
      </c>
      <c r="N710" t="s">
        <v>5261</v>
      </c>
      <c r="O710">
        <v>36.13</v>
      </c>
      <c r="P710">
        <v>35.29</v>
      </c>
      <c r="Q710">
        <v>35.79</v>
      </c>
      <c r="R710">
        <v>35.88</v>
      </c>
      <c r="S710">
        <v>2.34</v>
      </c>
      <c r="T710">
        <v>1.3</v>
      </c>
      <c r="U710">
        <v>-47.28</v>
      </c>
      <c r="V710">
        <v>-348</v>
      </c>
      <c r="W710">
        <v>35.7</v>
      </c>
      <c r="X710" t="s">
        <v>4724</v>
      </c>
      <c r="Y710" t="s">
        <v>1559</v>
      </c>
      <c r="Z710">
        <v>1.09</v>
      </c>
      <c r="AA710">
        <v>60</v>
      </c>
      <c r="AB710">
        <v>343</v>
      </c>
      <c r="AC710">
        <v>2.23</v>
      </c>
      <c r="AD710" t="s">
        <v>407</v>
      </c>
      <c r="AE710" t="s">
        <v>5262</v>
      </c>
      <c r="AF710" t="s">
        <v>5263</v>
      </c>
      <c r="AG710" t="s">
        <v>5264</v>
      </c>
      <c r="AH710">
        <v>-1.83</v>
      </c>
      <c r="AI710">
        <v>-3.15</v>
      </c>
      <c r="AJ710">
        <v>1.05</v>
      </c>
      <c r="AK710">
        <v>1.94</v>
      </c>
      <c r="AL710">
        <v>1</v>
      </c>
      <c r="AM710">
        <v>0.22</v>
      </c>
      <c r="AN710">
        <v>-37.69</v>
      </c>
      <c r="AO710">
        <v>-3.51</v>
      </c>
      <c r="AP710">
        <v>-31.33</v>
      </c>
    </row>
    <row r="711" spans="1:42">
      <c r="A711">
        <v>710</v>
      </c>
      <c r="B711" t="str">
        <f>"600010"</f>
        <v>600010</v>
      </c>
      <c r="C711" t="s">
        <v>5265</v>
      </c>
      <c r="D711">
        <v>1.55</v>
      </c>
      <c r="E711">
        <v>1.31</v>
      </c>
      <c r="F711">
        <v>0.02</v>
      </c>
      <c r="G711" t="s">
        <v>540</v>
      </c>
      <c r="H711" t="s">
        <v>5266</v>
      </c>
      <c r="I711">
        <v>1.54</v>
      </c>
      <c r="J711">
        <v>1.55</v>
      </c>
      <c r="K711" t="s">
        <v>5243</v>
      </c>
      <c r="L711">
        <v>0.57</v>
      </c>
      <c r="M711" t="s">
        <v>46</v>
      </c>
      <c r="N711" t="s">
        <v>5267</v>
      </c>
      <c r="O711">
        <v>1.55</v>
      </c>
      <c r="P711">
        <v>1.52</v>
      </c>
      <c r="Q711">
        <v>1.53</v>
      </c>
      <c r="R711">
        <v>1.53</v>
      </c>
      <c r="S711">
        <v>1.96</v>
      </c>
      <c r="T711">
        <v>1.16</v>
      </c>
      <c r="U711">
        <v>21.76</v>
      </c>
      <c r="V711" t="s">
        <v>3796</v>
      </c>
      <c r="W711">
        <v>1.54</v>
      </c>
      <c r="X711" t="s">
        <v>5268</v>
      </c>
      <c r="Y711" t="s">
        <v>5269</v>
      </c>
      <c r="Z711">
        <v>0.34</v>
      </c>
      <c r="AA711" t="s">
        <v>1439</v>
      </c>
      <c r="AB711" t="s">
        <v>5270</v>
      </c>
      <c r="AC711">
        <v>1.33</v>
      </c>
      <c r="AD711" t="s">
        <v>5271</v>
      </c>
      <c r="AE711" t="s">
        <v>5272</v>
      </c>
      <c r="AF711" t="s">
        <v>5273</v>
      </c>
      <c r="AG711" t="s">
        <v>5274</v>
      </c>
      <c r="AH711">
        <v>-0.64</v>
      </c>
      <c r="AI711">
        <v>-1.9</v>
      </c>
      <c r="AJ711">
        <v>1.54</v>
      </c>
      <c r="AK711">
        <v>3.02</v>
      </c>
      <c r="AL711">
        <v>1</v>
      </c>
      <c r="AM711">
        <v>1.31</v>
      </c>
      <c r="AN711">
        <v>-19.27</v>
      </c>
      <c r="AO711">
        <v>-3.73</v>
      </c>
      <c r="AP711">
        <v>-20.92</v>
      </c>
    </row>
    <row r="712" spans="1:42">
      <c r="A712">
        <v>711</v>
      </c>
      <c r="B712" t="str">
        <f>"300444"</f>
        <v>300444</v>
      </c>
      <c r="C712" t="s">
        <v>5275</v>
      </c>
      <c r="D712">
        <v>7.18</v>
      </c>
      <c r="E712">
        <v>0.42</v>
      </c>
      <c r="F712">
        <v>0.03</v>
      </c>
      <c r="G712" t="s">
        <v>1326</v>
      </c>
      <c r="H712">
        <v>6959</v>
      </c>
      <c r="I712">
        <v>7.18</v>
      </c>
      <c r="J712">
        <v>7.19</v>
      </c>
      <c r="K712" t="s">
        <v>3818</v>
      </c>
      <c r="L712">
        <v>6.44</v>
      </c>
      <c r="M712" t="s">
        <v>46</v>
      </c>
      <c r="N712" t="s">
        <v>5276</v>
      </c>
      <c r="O712">
        <v>7.36</v>
      </c>
      <c r="P712">
        <v>7.12</v>
      </c>
      <c r="Q712">
        <v>7.16</v>
      </c>
      <c r="R712">
        <v>7.15</v>
      </c>
      <c r="S712">
        <v>3.36</v>
      </c>
      <c r="T712">
        <v>0.82</v>
      </c>
      <c r="U712">
        <v>21.29</v>
      </c>
      <c r="V712">
        <v>3660</v>
      </c>
      <c r="W712">
        <v>7.2</v>
      </c>
      <c r="X712" t="s">
        <v>1007</v>
      </c>
      <c r="Y712" t="s">
        <v>2859</v>
      </c>
      <c r="Z712">
        <v>1.25</v>
      </c>
      <c r="AA712">
        <v>2203</v>
      </c>
      <c r="AB712">
        <v>2831</v>
      </c>
      <c r="AC712">
        <v>3.73</v>
      </c>
      <c r="AD712" t="s">
        <v>5277</v>
      </c>
      <c r="AE712" t="s">
        <v>5278</v>
      </c>
      <c r="AF712" t="s">
        <v>5279</v>
      </c>
      <c r="AG712" t="s">
        <v>5280</v>
      </c>
      <c r="AH712">
        <v>-0.69</v>
      </c>
      <c r="AI712">
        <v>-0.55</v>
      </c>
      <c r="AJ712">
        <v>35.57</v>
      </c>
      <c r="AK712">
        <v>45.58</v>
      </c>
      <c r="AL712">
        <v>1</v>
      </c>
      <c r="AM712">
        <v>0.42</v>
      </c>
      <c r="AN712">
        <v>66.2</v>
      </c>
      <c r="AO712">
        <v>0.98</v>
      </c>
      <c r="AP712">
        <v>48.96</v>
      </c>
    </row>
    <row r="713" spans="1:42">
      <c r="A713">
        <v>712</v>
      </c>
      <c r="B713" t="str">
        <f>"600613"</f>
        <v>600613</v>
      </c>
      <c r="C713" t="s">
        <v>5281</v>
      </c>
      <c r="D713">
        <v>8.71</v>
      </c>
      <c r="E713">
        <v>-1.14</v>
      </c>
      <c r="F713">
        <v>-0.1</v>
      </c>
      <c r="G713" t="s">
        <v>3876</v>
      </c>
      <c r="H713">
        <v>1685</v>
      </c>
      <c r="I713">
        <v>8.71</v>
      </c>
      <c r="J713">
        <v>8.72</v>
      </c>
      <c r="K713" t="s">
        <v>3818</v>
      </c>
      <c r="L713">
        <v>6.52</v>
      </c>
      <c r="M713" t="s">
        <v>46</v>
      </c>
      <c r="N713" t="s">
        <v>5282</v>
      </c>
      <c r="O713">
        <v>9.09</v>
      </c>
      <c r="P713">
        <v>8.66</v>
      </c>
      <c r="Q713">
        <v>8.81</v>
      </c>
      <c r="R713">
        <v>8.81</v>
      </c>
      <c r="S713">
        <v>4.88</v>
      </c>
      <c r="T713">
        <v>0.89</v>
      </c>
      <c r="U713">
        <v>-13.25</v>
      </c>
      <c r="V713">
        <v>-651</v>
      </c>
      <c r="W713">
        <v>8.79</v>
      </c>
      <c r="X713" t="s">
        <v>3143</v>
      </c>
      <c r="Y713" t="s">
        <v>2222</v>
      </c>
      <c r="Z713">
        <v>1.08</v>
      </c>
      <c r="AA713">
        <v>95</v>
      </c>
      <c r="AB713">
        <v>725</v>
      </c>
      <c r="AC713">
        <v>1.98</v>
      </c>
      <c r="AD713" t="s">
        <v>5283</v>
      </c>
      <c r="AE713" t="s">
        <v>5284</v>
      </c>
      <c r="AF713" t="s">
        <v>5285</v>
      </c>
      <c r="AG713" t="s">
        <v>5286</v>
      </c>
      <c r="AH713">
        <v>2.47</v>
      </c>
      <c r="AI713">
        <v>2.83</v>
      </c>
      <c r="AJ713">
        <v>18.64</v>
      </c>
      <c r="AK713">
        <v>43.36</v>
      </c>
      <c r="AL713">
        <v>-1</v>
      </c>
      <c r="AM713">
        <v>-1.14</v>
      </c>
      <c r="AN713">
        <v>7.13</v>
      </c>
      <c r="AO713">
        <v>9.97</v>
      </c>
      <c r="AP713">
        <v>-24.13</v>
      </c>
    </row>
    <row r="714" spans="1:42">
      <c r="A714">
        <v>713</v>
      </c>
      <c r="B714" t="str">
        <f>"300656"</f>
        <v>300656</v>
      </c>
      <c r="C714" t="s">
        <v>5287</v>
      </c>
      <c r="D714">
        <v>27.71</v>
      </c>
      <c r="E714">
        <v>-1.07</v>
      </c>
      <c r="F714">
        <v>-0.3</v>
      </c>
      <c r="G714" t="s">
        <v>5288</v>
      </c>
      <c r="H714">
        <v>2041</v>
      </c>
      <c r="I714">
        <v>27.71</v>
      </c>
      <c r="J714">
        <v>27.72</v>
      </c>
      <c r="K714" t="s">
        <v>3818</v>
      </c>
      <c r="L714">
        <v>7.8</v>
      </c>
      <c r="M714" t="s">
        <v>46</v>
      </c>
      <c r="N714" t="s">
        <v>1288</v>
      </c>
      <c r="O714">
        <v>28.74</v>
      </c>
      <c r="P714">
        <v>27.12</v>
      </c>
      <c r="Q714">
        <v>27.87</v>
      </c>
      <c r="R714">
        <v>28.01</v>
      </c>
      <c r="S714">
        <v>5.78</v>
      </c>
      <c r="T714">
        <v>2.23</v>
      </c>
      <c r="U714">
        <v>84.2</v>
      </c>
      <c r="V714">
        <v>1066</v>
      </c>
      <c r="W714">
        <v>27.79</v>
      </c>
      <c r="X714" t="s">
        <v>5289</v>
      </c>
      <c r="Y714" t="s">
        <v>4087</v>
      </c>
      <c r="Z714">
        <v>1.33</v>
      </c>
      <c r="AA714">
        <v>224</v>
      </c>
      <c r="AB714">
        <v>56</v>
      </c>
      <c r="AC714">
        <v>4.09</v>
      </c>
      <c r="AD714" t="s">
        <v>5290</v>
      </c>
      <c r="AE714" t="s">
        <v>5291</v>
      </c>
      <c r="AF714" t="s">
        <v>5292</v>
      </c>
      <c r="AG714" t="s">
        <v>5293</v>
      </c>
      <c r="AH714">
        <v>8.37</v>
      </c>
      <c r="AI714">
        <v>8.62</v>
      </c>
      <c r="AJ714">
        <v>23.08</v>
      </c>
      <c r="AK714">
        <v>25.25</v>
      </c>
      <c r="AL714">
        <v>-2</v>
      </c>
      <c r="AM714">
        <v>-1.07</v>
      </c>
      <c r="AN714">
        <v>-1.11</v>
      </c>
      <c r="AO714">
        <v>6.99</v>
      </c>
      <c r="AP714">
        <v>-10.12</v>
      </c>
    </row>
    <row r="715" spans="1:42">
      <c r="A715">
        <v>714</v>
      </c>
      <c r="B715" t="str">
        <f>"300378"</f>
        <v>300378</v>
      </c>
      <c r="C715" t="s">
        <v>5294</v>
      </c>
      <c r="D715">
        <v>22.52</v>
      </c>
      <c r="E715">
        <v>5.18</v>
      </c>
      <c r="F715">
        <v>1.11</v>
      </c>
      <c r="G715" t="s">
        <v>1261</v>
      </c>
      <c r="H715">
        <v>2636</v>
      </c>
      <c r="I715">
        <v>22.52</v>
      </c>
      <c r="J715">
        <v>22.53</v>
      </c>
      <c r="K715" t="s">
        <v>4198</v>
      </c>
      <c r="L715">
        <v>4.63</v>
      </c>
      <c r="M715" t="s">
        <v>46</v>
      </c>
      <c r="N715" t="s">
        <v>4927</v>
      </c>
      <c r="O715">
        <v>22.83</v>
      </c>
      <c r="P715">
        <v>21.3</v>
      </c>
      <c r="Q715">
        <v>21.43</v>
      </c>
      <c r="R715">
        <v>21.41</v>
      </c>
      <c r="S715">
        <v>7.15</v>
      </c>
      <c r="T715">
        <v>1.67</v>
      </c>
      <c r="U715">
        <v>25.91</v>
      </c>
      <c r="V715">
        <v>465</v>
      </c>
      <c r="W715">
        <v>22.14</v>
      </c>
      <c r="X715" t="s">
        <v>744</v>
      </c>
      <c r="Y715" t="s">
        <v>5040</v>
      </c>
      <c r="Z715">
        <v>0.78</v>
      </c>
      <c r="AA715">
        <v>79</v>
      </c>
      <c r="AB715">
        <v>455</v>
      </c>
      <c r="AC715">
        <v>3.12</v>
      </c>
      <c r="AD715" t="s">
        <v>5295</v>
      </c>
      <c r="AE715" t="s">
        <v>5296</v>
      </c>
      <c r="AF715" t="s">
        <v>5297</v>
      </c>
      <c r="AG715" t="s">
        <v>5298</v>
      </c>
      <c r="AH715">
        <v>2.22</v>
      </c>
      <c r="AI715">
        <v>-1.23</v>
      </c>
      <c r="AJ715">
        <v>9.74</v>
      </c>
      <c r="AK715">
        <v>18.52</v>
      </c>
      <c r="AL715">
        <v>1</v>
      </c>
      <c r="AM715">
        <v>5.18</v>
      </c>
      <c r="AN715">
        <v>47.87</v>
      </c>
      <c r="AO715">
        <v>-1.66</v>
      </c>
      <c r="AP715">
        <v>28.98</v>
      </c>
    </row>
    <row r="716" spans="1:42">
      <c r="A716">
        <v>715</v>
      </c>
      <c r="B716" t="str">
        <f>"688088"</f>
        <v>688088</v>
      </c>
      <c r="C716" t="s">
        <v>5299</v>
      </c>
      <c r="D716">
        <v>40.55</v>
      </c>
      <c r="E716">
        <v>6.71</v>
      </c>
      <c r="F716">
        <v>2.55</v>
      </c>
      <c r="G716" t="s">
        <v>5300</v>
      </c>
      <c r="H716">
        <v>1561</v>
      </c>
      <c r="I716">
        <v>40.55</v>
      </c>
      <c r="J716">
        <v>40.56</v>
      </c>
      <c r="K716" t="s">
        <v>4198</v>
      </c>
      <c r="L716">
        <v>1.71</v>
      </c>
      <c r="M716" t="s">
        <v>46</v>
      </c>
      <c r="N716" t="s">
        <v>5301</v>
      </c>
      <c r="O716">
        <v>40.66</v>
      </c>
      <c r="P716">
        <v>37.68</v>
      </c>
      <c r="Q716">
        <v>38.09</v>
      </c>
      <c r="R716">
        <v>38</v>
      </c>
      <c r="S716">
        <v>7.84</v>
      </c>
      <c r="T716">
        <v>2.18</v>
      </c>
      <c r="U716">
        <v>6.58</v>
      </c>
      <c r="V716">
        <v>71</v>
      </c>
      <c r="W716">
        <v>39.48</v>
      </c>
      <c r="X716" t="s">
        <v>5302</v>
      </c>
      <c r="Y716" t="s">
        <v>3291</v>
      </c>
      <c r="Z716">
        <v>0.78</v>
      </c>
      <c r="AA716">
        <v>133</v>
      </c>
      <c r="AB716">
        <v>339</v>
      </c>
      <c r="AC716">
        <v>6.18</v>
      </c>
      <c r="AD716" t="s">
        <v>5303</v>
      </c>
      <c r="AE716" t="s">
        <v>4599</v>
      </c>
      <c r="AF716" t="s">
        <v>5303</v>
      </c>
      <c r="AG716" t="s">
        <v>4599</v>
      </c>
      <c r="AH716">
        <v>5.05</v>
      </c>
      <c r="AI716">
        <v>4.54</v>
      </c>
      <c r="AJ716">
        <v>3.16</v>
      </c>
      <c r="AK716">
        <v>5.63</v>
      </c>
      <c r="AL716">
        <v>1</v>
      </c>
      <c r="AM716">
        <v>6.71</v>
      </c>
      <c r="AN716">
        <v>81.11</v>
      </c>
      <c r="AO716">
        <v>12.8</v>
      </c>
      <c r="AP716">
        <v>60.21</v>
      </c>
    </row>
    <row r="717" spans="1:42">
      <c r="A717">
        <v>716</v>
      </c>
      <c r="B717" t="str">
        <f>"300462"</f>
        <v>300462</v>
      </c>
      <c r="C717" t="s">
        <v>5304</v>
      </c>
      <c r="D717">
        <v>12.82</v>
      </c>
      <c r="E717">
        <v>2.81</v>
      </c>
      <c r="F717">
        <v>0.35</v>
      </c>
      <c r="G717" t="s">
        <v>2893</v>
      </c>
      <c r="H717">
        <v>3564</v>
      </c>
      <c r="I717">
        <v>12.81</v>
      </c>
      <c r="J717">
        <v>12.82</v>
      </c>
      <c r="K717" t="s">
        <v>2001</v>
      </c>
      <c r="L717">
        <v>15.76</v>
      </c>
      <c r="M717" t="s">
        <v>46</v>
      </c>
      <c r="N717" t="s">
        <v>5305</v>
      </c>
      <c r="O717">
        <v>13.05</v>
      </c>
      <c r="P717">
        <v>12.3</v>
      </c>
      <c r="Q717">
        <v>12.53</v>
      </c>
      <c r="R717">
        <v>12.47</v>
      </c>
      <c r="S717">
        <v>6.01</v>
      </c>
      <c r="T717">
        <v>0.71</v>
      </c>
      <c r="U717">
        <v>-26.94</v>
      </c>
      <c r="V717">
        <v>-379</v>
      </c>
      <c r="W717">
        <v>12.71</v>
      </c>
      <c r="X717" t="s">
        <v>5306</v>
      </c>
      <c r="Y717" t="s">
        <v>2960</v>
      </c>
      <c r="Z717">
        <v>0.85</v>
      </c>
      <c r="AA717">
        <v>299</v>
      </c>
      <c r="AB717">
        <v>161</v>
      </c>
      <c r="AC717">
        <v>1.63</v>
      </c>
      <c r="AD717" t="s">
        <v>5307</v>
      </c>
      <c r="AE717" t="s">
        <v>5308</v>
      </c>
      <c r="AF717" t="s">
        <v>5309</v>
      </c>
      <c r="AG717" t="s">
        <v>5310</v>
      </c>
      <c r="AH717">
        <v>0.16</v>
      </c>
      <c r="AI717">
        <v>-8.3</v>
      </c>
      <c r="AJ717">
        <v>56.89</v>
      </c>
      <c r="AK717">
        <v>126.72</v>
      </c>
      <c r="AL717">
        <v>1</v>
      </c>
      <c r="AM717">
        <v>2.81</v>
      </c>
      <c r="AN717">
        <v>54.83</v>
      </c>
      <c r="AO717">
        <v>12.55</v>
      </c>
      <c r="AP717">
        <v>34.81</v>
      </c>
    </row>
    <row r="718" spans="1:42">
      <c r="A718">
        <v>717</v>
      </c>
      <c r="B718" t="str">
        <f>"002224"</f>
        <v>002224</v>
      </c>
      <c r="C718" t="s">
        <v>5311</v>
      </c>
      <c r="D718">
        <v>5.85</v>
      </c>
      <c r="E718">
        <v>9.96</v>
      </c>
      <c r="F718">
        <v>0.53</v>
      </c>
      <c r="G718" t="s">
        <v>2253</v>
      </c>
      <c r="H718">
        <v>2410</v>
      </c>
      <c r="I718">
        <v>5.85</v>
      </c>
      <c r="J718" t="s">
        <v>76</v>
      </c>
      <c r="K718" t="s">
        <v>2001</v>
      </c>
      <c r="L718">
        <v>7.52</v>
      </c>
      <c r="M718" t="s">
        <v>46</v>
      </c>
      <c r="N718" t="s">
        <v>2403</v>
      </c>
      <c r="O718">
        <v>5.85</v>
      </c>
      <c r="P718">
        <v>5.3</v>
      </c>
      <c r="Q718">
        <v>5.32</v>
      </c>
      <c r="R718">
        <v>5.32</v>
      </c>
      <c r="S718">
        <v>10.34</v>
      </c>
      <c r="T718">
        <v>0.84</v>
      </c>
      <c r="U718">
        <v>100</v>
      </c>
      <c r="V718" t="s">
        <v>263</v>
      </c>
      <c r="W718">
        <v>5.73</v>
      </c>
      <c r="X718" t="s">
        <v>290</v>
      </c>
      <c r="Y718" t="s">
        <v>1366</v>
      </c>
      <c r="Z718">
        <v>1.02</v>
      </c>
      <c r="AA718" t="s">
        <v>1987</v>
      </c>
      <c r="AB718">
        <v>0</v>
      </c>
      <c r="AC718">
        <v>1.71</v>
      </c>
      <c r="AD718" t="s">
        <v>5312</v>
      </c>
      <c r="AE718" t="s">
        <v>4829</v>
      </c>
      <c r="AF718" t="s">
        <v>5313</v>
      </c>
      <c r="AG718" t="s">
        <v>5314</v>
      </c>
      <c r="AH718">
        <v>0.69</v>
      </c>
      <c r="AI718">
        <v>3.72</v>
      </c>
      <c r="AJ718">
        <v>21.32</v>
      </c>
      <c r="AK718">
        <v>52.19</v>
      </c>
      <c r="AL718">
        <v>1</v>
      </c>
      <c r="AM718">
        <v>9.96</v>
      </c>
      <c r="AN718">
        <v>36.68</v>
      </c>
      <c r="AO718">
        <v>13.15</v>
      </c>
      <c r="AP718">
        <v>26.9</v>
      </c>
    </row>
    <row r="719" spans="1:42">
      <c r="A719">
        <v>718</v>
      </c>
      <c r="B719" t="str">
        <f>"000538"</f>
        <v>000538</v>
      </c>
      <c r="C719" t="s">
        <v>5315</v>
      </c>
      <c r="D719">
        <v>50.35</v>
      </c>
      <c r="E719">
        <v>0.04</v>
      </c>
      <c r="F719">
        <v>0.02</v>
      </c>
      <c r="G719" t="s">
        <v>5316</v>
      </c>
      <c r="H719">
        <v>798</v>
      </c>
      <c r="I719">
        <v>50.34</v>
      </c>
      <c r="J719">
        <v>50.35</v>
      </c>
      <c r="K719" t="s">
        <v>2001</v>
      </c>
      <c r="L719">
        <v>0.3</v>
      </c>
      <c r="M719" t="s">
        <v>46</v>
      </c>
      <c r="N719" t="s">
        <v>5317</v>
      </c>
      <c r="O719">
        <v>50.36</v>
      </c>
      <c r="P719">
        <v>50.01</v>
      </c>
      <c r="Q719">
        <v>50.3</v>
      </c>
      <c r="R719">
        <v>50.33</v>
      </c>
      <c r="S719">
        <v>0.7</v>
      </c>
      <c r="T719">
        <v>0.72</v>
      </c>
      <c r="U719">
        <v>5.84</v>
      </c>
      <c r="V719">
        <v>66</v>
      </c>
      <c r="W719">
        <v>50.19</v>
      </c>
      <c r="X719" t="s">
        <v>2125</v>
      </c>
      <c r="Y719" t="s">
        <v>2389</v>
      </c>
      <c r="Z719">
        <v>1.2</v>
      </c>
      <c r="AA719">
        <v>39</v>
      </c>
      <c r="AB719">
        <v>188</v>
      </c>
      <c r="AC719">
        <v>2.27</v>
      </c>
      <c r="AD719" t="s">
        <v>5318</v>
      </c>
      <c r="AE719" t="s">
        <v>5319</v>
      </c>
      <c r="AF719" t="s">
        <v>5320</v>
      </c>
      <c r="AG719" t="s">
        <v>5321</v>
      </c>
      <c r="AH719">
        <v>-0.4</v>
      </c>
      <c r="AI719">
        <v>-0.2</v>
      </c>
      <c r="AJ719">
        <v>0.88</v>
      </c>
      <c r="AK719">
        <v>2.43</v>
      </c>
      <c r="AL719">
        <v>2</v>
      </c>
      <c r="AM719">
        <v>0.04</v>
      </c>
      <c r="AN719">
        <v>-4.71</v>
      </c>
      <c r="AO719">
        <v>-1.29</v>
      </c>
      <c r="AP719">
        <v>-8.34</v>
      </c>
    </row>
    <row r="720" spans="1:42">
      <c r="A720">
        <v>719</v>
      </c>
      <c r="B720" t="str">
        <f>"688787"</f>
        <v>688787</v>
      </c>
      <c r="C720" t="s">
        <v>5322</v>
      </c>
      <c r="D720">
        <v>77.7</v>
      </c>
      <c r="E720">
        <v>9.44</v>
      </c>
      <c r="F720">
        <v>6.7</v>
      </c>
      <c r="G720" t="s">
        <v>5323</v>
      </c>
      <c r="H720">
        <v>544</v>
      </c>
      <c r="I720">
        <v>77.68</v>
      </c>
      <c r="J720">
        <v>77.7</v>
      </c>
      <c r="K720" t="s">
        <v>2001</v>
      </c>
      <c r="L720">
        <v>8.76</v>
      </c>
      <c r="M720" t="s">
        <v>46</v>
      </c>
      <c r="N720" t="s">
        <v>3947</v>
      </c>
      <c r="O720">
        <v>79.39</v>
      </c>
      <c r="P720">
        <v>70.64</v>
      </c>
      <c r="Q720">
        <v>71.06</v>
      </c>
      <c r="R720">
        <v>71</v>
      </c>
      <c r="S720">
        <v>12.32</v>
      </c>
      <c r="T720">
        <v>1.8</v>
      </c>
      <c r="U720">
        <v>-2.16</v>
      </c>
      <c r="V720">
        <v>-5</v>
      </c>
      <c r="W720">
        <v>75.4</v>
      </c>
      <c r="X720" t="s">
        <v>383</v>
      </c>
      <c r="Y720" t="s">
        <v>3611</v>
      </c>
      <c r="Z720">
        <v>0.58</v>
      </c>
      <c r="AA720">
        <v>54</v>
      </c>
      <c r="AB720">
        <v>13</v>
      </c>
      <c r="AC720">
        <v>5.98</v>
      </c>
      <c r="AD720" t="s">
        <v>5324</v>
      </c>
      <c r="AE720" t="s">
        <v>5325</v>
      </c>
      <c r="AF720" t="s">
        <v>5326</v>
      </c>
      <c r="AG720" t="s">
        <v>5327</v>
      </c>
      <c r="AH720">
        <v>4.37</v>
      </c>
      <c r="AI720">
        <v>0.4</v>
      </c>
      <c r="AJ720">
        <v>16.95</v>
      </c>
      <c r="AK720">
        <v>33.11</v>
      </c>
      <c r="AL720">
        <v>1</v>
      </c>
      <c r="AM720">
        <v>9.44</v>
      </c>
      <c r="AN720">
        <v>84.08</v>
      </c>
      <c r="AO720">
        <v>14.33</v>
      </c>
      <c r="AP720">
        <v>73.71</v>
      </c>
    </row>
    <row r="721" spans="1:42">
      <c r="A721">
        <v>720</v>
      </c>
      <c r="B721" t="str">
        <f>"002497"</f>
        <v>002497</v>
      </c>
      <c r="C721" t="s">
        <v>5328</v>
      </c>
      <c r="D721">
        <v>12.49</v>
      </c>
      <c r="E721">
        <v>-1.65</v>
      </c>
      <c r="F721">
        <v>-0.21</v>
      </c>
      <c r="G721" t="s">
        <v>1225</v>
      </c>
      <c r="H721">
        <v>2018</v>
      </c>
      <c r="I721">
        <v>12.48</v>
      </c>
      <c r="J721">
        <v>12.49</v>
      </c>
      <c r="K721" t="s">
        <v>1917</v>
      </c>
      <c r="L721">
        <v>2.08</v>
      </c>
      <c r="M721" t="s">
        <v>46</v>
      </c>
      <c r="N721" t="s">
        <v>5329</v>
      </c>
      <c r="O721">
        <v>12.78</v>
      </c>
      <c r="P721">
        <v>12.29</v>
      </c>
      <c r="Q721">
        <v>12.74</v>
      </c>
      <c r="R721">
        <v>12.7</v>
      </c>
      <c r="S721">
        <v>3.86</v>
      </c>
      <c r="T721">
        <v>1.65</v>
      </c>
      <c r="U721">
        <v>6.18</v>
      </c>
      <c r="V721">
        <v>256</v>
      </c>
      <c r="W721">
        <v>12.46</v>
      </c>
      <c r="X721" t="s">
        <v>447</v>
      </c>
      <c r="Y721" t="s">
        <v>4775</v>
      </c>
      <c r="Z721">
        <v>1.26</v>
      </c>
      <c r="AA721">
        <v>962</v>
      </c>
      <c r="AB721">
        <v>128</v>
      </c>
      <c r="AC721">
        <v>1.29</v>
      </c>
      <c r="AD721" t="s">
        <v>5330</v>
      </c>
      <c r="AE721" t="s">
        <v>5331</v>
      </c>
      <c r="AF721" t="s">
        <v>5332</v>
      </c>
      <c r="AG721" t="s">
        <v>5333</v>
      </c>
      <c r="AH721">
        <v>-7.07</v>
      </c>
      <c r="AI721">
        <v>-10.98</v>
      </c>
      <c r="AJ721">
        <v>5.3</v>
      </c>
      <c r="AK721">
        <v>8.36</v>
      </c>
      <c r="AL721">
        <v>-3</v>
      </c>
      <c r="AM721">
        <v>-1.65</v>
      </c>
      <c r="AN721">
        <v>-45.17</v>
      </c>
      <c r="AO721">
        <v>-9.03</v>
      </c>
      <c r="AP721">
        <v>-52.6</v>
      </c>
    </row>
    <row r="722" spans="1:42">
      <c r="A722">
        <v>721</v>
      </c>
      <c r="B722" t="str">
        <f>"002178"</f>
        <v>002178</v>
      </c>
      <c r="C722" t="s">
        <v>5334</v>
      </c>
      <c r="D722">
        <v>5.69</v>
      </c>
      <c r="E722">
        <v>2.52</v>
      </c>
      <c r="F722">
        <v>0.14</v>
      </c>
      <c r="G722" t="s">
        <v>2657</v>
      </c>
      <c r="H722" t="s">
        <v>144</v>
      </c>
      <c r="I722">
        <v>5.68</v>
      </c>
      <c r="J722">
        <v>5.69</v>
      </c>
      <c r="K722" t="s">
        <v>1917</v>
      </c>
      <c r="L722">
        <v>6.78</v>
      </c>
      <c r="M722" t="s">
        <v>46</v>
      </c>
      <c r="N722" t="s">
        <v>1295</v>
      </c>
      <c r="O722">
        <v>5.7</v>
      </c>
      <c r="P722">
        <v>5.55</v>
      </c>
      <c r="Q722">
        <v>5.55</v>
      </c>
      <c r="R722">
        <v>5.55</v>
      </c>
      <c r="S722">
        <v>2.7</v>
      </c>
      <c r="T722">
        <v>0.97</v>
      </c>
      <c r="U722">
        <v>-13.64</v>
      </c>
      <c r="V722">
        <v>-4146</v>
      </c>
      <c r="W722">
        <v>5.64</v>
      </c>
      <c r="X722" t="s">
        <v>2609</v>
      </c>
      <c r="Y722" t="s">
        <v>1032</v>
      </c>
      <c r="Z722">
        <v>0.83</v>
      </c>
      <c r="AA722">
        <v>2781</v>
      </c>
      <c r="AB722">
        <v>7307</v>
      </c>
      <c r="AC722">
        <v>9.29</v>
      </c>
      <c r="AD722" t="s">
        <v>5335</v>
      </c>
      <c r="AE722" t="s">
        <v>5336</v>
      </c>
      <c r="AF722" t="s">
        <v>5337</v>
      </c>
      <c r="AG722" t="s">
        <v>5338</v>
      </c>
      <c r="AH722">
        <v>0.53</v>
      </c>
      <c r="AI722">
        <v>-4.37</v>
      </c>
      <c r="AJ722">
        <v>16.39</v>
      </c>
      <c r="AK722">
        <v>41.72</v>
      </c>
      <c r="AL722">
        <v>1</v>
      </c>
      <c r="AM722">
        <v>2.52</v>
      </c>
      <c r="AN722">
        <v>32.63</v>
      </c>
      <c r="AO722">
        <v>21.58</v>
      </c>
      <c r="AP722">
        <v>21.58</v>
      </c>
    </row>
    <row r="723" spans="1:42">
      <c r="A723">
        <v>722</v>
      </c>
      <c r="B723" t="str">
        <f>"300310"</f>
        <v>300310</v>
      </c>
      <c r="C723" t="s">
        <v>5339</v>
      </c>
      <c r="D723">
        <v>4.9</v>
      </c>
      <c r="E723">
        <v>3.81</v>
      </c>
      <c r="F723">
        <v>0.18</v>
      </c>
      <c r="G723" t="s">
        <v>1222</v>
      </c>
      <c r="H723" t="s">
        <v>209</v>
      </c>
      <c r="I723">
        <v>4.9</v>
      </c>
      <c r="J723">
        <v>4.91</v>
      </c>
      <c r="K723" t="s">
        <v>1917</v>
      </c>
      <c r="L723">
        <v>8.16</v>
      </c>
      <c r="M723" t="s">
        <v>46</v>
      </c>
      <c r="N723" t="s">
        <v>5340</v>
      </c>
      <c r="O723">
        <v>4.92</v>
      </c>
      <c r="P723">
        <v>4.69</v>
      </c>
      <c r="Q723">
        <v>4.72</v>
      </c>
      <c r="R723">
        <v>4.72</v>
      </c>
      <c r="S723">
        <v>4.87</v>
      </c>
      <c r="T723">
        <v>0.48</v>
      </c>
      <c r="U723">
        <v>-40.67</v>
      </c>
      <c r="V723" t="s">
        <v>5341</v>
      </c>
      <c r="W723">
        <v>4.82</v>
      </c>
      <c r="X723" t="s">
        <v>443</v>
      </c>
      <c r="Y723" t="s">
        <v>2066</v>
      </c>
      <c r="Z723">
        <v>0.8</v>
      </c>
      <c r="AA723">
        <v>2493</v>
      </c>
      <c r="AB723">
        <v>3937</v>
      </c>
      <c r="AC723">
        <v>2.33</v>
      </c>
      <c r="AD723" t="s">
        <v>5342</v>
      </c>
      <c r="AE723" t="s">
        <v>5343</v>
      </c>
      <c r="AF723" t="s">
        <v>5344</v>
      </c>
      <c r="AG723" t="s">
        <v>5345</v>
      </c>
      <c r="AH723">
        <v>-8.24</v>
      </c>
      <c r="AI723">
        <v>-8.75</v>
      </c>
      <c r="AJ723">
        <v>31.24</v>
      </c>
      <c r="AK723">
        <v>93.35</v>
      </c>
      <c r="AL723">
        <v>1</v>
      </c>
      <c r="AM723">
        <v>3.81</v>
      </c>
      <c r="AN723">
        <v>40.4</v>
      </c>
      <c r="AO723">
        <v>8.17</v>
      </c>
      <c r="AP723">
        <v>24.68</v>
      </c>
    </row>
    <row r="724" spans="1:42">
      <c r="A724">
        <v>723</v>
      </c>
      <c r="B724" t="str">
        <f>"003816"</f>
        <v>003816</v>
      </c>
      <c r="C724" t="s">
        <v>5346</v>
      </c>
      <c r="D724">
        <v>3.02</v>
      </c>
      <c r="E724">
        <v>-0.33</v>
      </c>
      <c r="F724">
        <v>-0.01</v>
      </c>
      <c r="G724" t="s">
        <v>238</v>
      </c>
      <c r="H724">
        <v>8753</v>
      </c>
      <c r="I724">
        <v>3.01</v>
      </c>
      <c r="J724">
        <v>3.02</v>
      </c>
      <c r="K724" t="s">
        <v>1917</v>
      </c>
      <c r="L724">
        <v>0.23</v>
      </c>
      <c r="M724" t="s">
        <v>46</v>
      </c>
      <c r="N724" t="s">
        <v>5347</v>
      </c>
      <c r="O724">
        <v>3.04</v>
      </c>
      <c r="P724">
        <v>3</v>
      </c>
      <c r="Q724">
        <v>3.02</v>
      </c>
      <c r="R724">
        <v>3.03</v>
      </c>
      <c r="S724">
        <v>1.32</v>
      </c>
      <c r="T724">
        <v>0.86</v>
      </c>
      <c r="U724">
        <v>-4.28</v>
      </c>
      <c r="V724" t="s">
        <v>5348</v>
      </c>
      <c r="W724">
        <v>3.02</v>
      </c>
      <c r="X724" t="s">
        <v>1028</v>
      </c>
      <c r="Y724" t="s">
        <v>479</v>
      </c>
      <c r="Z724">
        <v>1.22</v>
      </c>
      <c r="AA724">
        <v>2990</v>
      </c>
      <c r="AB724">
        <v>8977</v>
      </c>
      <c r="AC724">
        <v>1.36</v>
      </c>
      <c r="AD724" t="s">
        <v>5349</v>
      </c>
      <c r="AE724" t="s">
        <v>5350</v>
      </c>
      <c r="AF724" t="s">
        <v>5351</v>
      </c>
      <c r="AG724" t="s">
        <v>5352</v>
      </c>
      <c r="AH724">
        <v>2.72</v>
      </c>
      <c r="AI724">
        <v>2.72</v>
      </c>
      <c r="AJ724">
        <v>1.06</v>
      </c>
      <c r="AK724">
        <v>1.56</v>
      </c>
      <c r="AL724">
        <v>-1</v>
      </c>
      <c r="AM724">
        <v>-0.33</v>
      </c>
      <c r="AN724">
        <v>16.15</v>
      </c>
      <c r="AO724">
        <v>1</v>
      </c>
      <c r="AP724">
        <v>15.27</v>
      </c>
    </row>
    <row r="725" spans="1:42">
      <c r="A725">
        <v>724</v>
      </c>
      <c r="B725" t="str">
        <f>"688166"</f>
        <v>688166</v>
      </c>
      <c r="C725" t="s">
        <v>5353</v>
      </c>
      <c r="D725">
        <v>35.63</v>
      </c>
      <c r="E725">
        <v>0.91</v>
      </c>
      <c r="F725">
        <v>0.32</v>
      </c>
      <c r="G725" t="s">
        <v>3201</v>
      </c>
      <c r="H725">
        <v>512</v>
      </c>
      <c r="I725">
        <v>35.62</v>
      </c>
      <c r="J725">
        <v>35.63</v>
      </c>
      <c r="K725" t="s">
        <v>1917</v>
      </c>
      <c r="L725">
        <v>1.8</v>
      </c>
      <c r="M725" t="s">
        <v>46</v>
      </c>
      <c r="N725" t="s">
        <v>5354</v>
      </c>
      <c r="O725">
        <v>36.5</v>
      </c>
      <c r="P725">
        <v>35.1</v>
      </c>
      <c r="Q725">
        <v>35.55</v>
      </c>
      <c r="R725">
        <v>35.31</v>
      </c>
      <c r="S725">
        <v>3.96</v>
      </c>
      <c r="T725">
        <v>0.63</v>
      </c>
      <c r="U725">
        <v>-80.35</v>
      </c>
      <c r="V725">
        <v>-188</v>
      </c>
      <c r="W725">
        <v>35.68</v>
      </c>
      <c r="X725" t="s">
        <v>5355</v>
      </c>
      <c r="Y725" t="s">
        <v>2327</v>
      </c>
      <c r="Z725">
        <v>1.14</v>
      </c>
      <c r="AA725">
        <v>2</v>
      </c>
      <c r="AB725">
        <v>60</v>
      </c>
      <c r="AC725">
        <v>6.54</v>
      </c>
      <c r="AD725" t="s">
        <v>5356</v>
      </c>
      <c r="AE725" t="s">
        <v>5357</v>
      </c>
      <c r="AF725" t="s">
        <v>5356</v>
      </c>
      <c r="AG725" t="s">
        <v>5357</v>
      </c>
      <c r="AH725">
        <v>1.22</v>
      </c>
      <c r="AI725">
        <v>-6.95</v>
      </c>
      <c r="AJ725">
        <v>5.37</v>
      </c>
      <c r="AK725">
        <v>16.07</v>
      </c>
      <c r="AL725">
        <v>1</v>
      </c>
      <c r="AM725">
        <v>0.91</v>
      </c>
      <c r="AN725">
        <v>58.64</v>
      </c>
      <c r="AO725">
        <v>0.68</v>
      </c>
      <c r="AP725">
        <v>60.79</v>
      </c>
    </row>
    <row r="726" spans="1:42">
      <c r="A726">
        <v>725</v>
      </c>
      <c r="B726" t="str">
        <f>"002340"</f>
        <v>002340</v>
      </c>
      <c r="C726" t="s">
        <v>5358</v>
      </c>
      <c r="D726">
        <v>5.58</v>
      </c>
      <c r="E726">
        <v>-1.06</v>
      </c>
      <c r="F726">
        <v>-0.06</v>
      </c>
      <c r="G726" t="s">
        <v>348</v>
      </c>
      <c r="H726">
        <v>7702</v>
      </c>
      <c r="I726">
        <v>5.58</v>
      </c>
      <c r="J726">
        <v>5.59</v>
      </c>
      <c r="K726" t="s">
        <v>5359</v>
      </c>
      <c r="L726">
        <v>0.96</v>
      </c>
      <c r="M726" t="s">
        <v>46</v>
      </c>
      <c r="N726" t="s">
        <v>5360</v>
      </c>
      <c r="O726">
        <v>5.64</v>
      </c>
      <c r="P726">
        <v>5.53</v>
      </c>
      <c r="Q726">
        <v>5.64</v>
      </c>
      <c r="R726">
        <v>5.64</v>
      </c>
      <c r="S726">
        <v>1.95</v>
      </c>
      <c r="T726">
        <v>1.72</v>
      </c>
      <c r="U726">
        <v>-13.97</v>
      </c>
      <c r="V726">
        <v>-4778</v>
      </c>
      <c r="W726">
        <v>5.57</v>
      </c>
      <c r="X726" t="s">
        <v>5361</v>
      </c>
      <c r="Y726" t="s">
        <v>842</v>
      </c>
      <c r="Z726">
        <v>1.78</v>
      </c>
      <c r="AA726">
        <v>5498</v>
      </c>
      <c r="AB726">
        <v>3910</v>
      </c>
      <c r="AC726">
        <v>1.53</v>
      </c>
      <c r="AD726" t="s">
        <v>5362</v>
      </c>
      <c r="AE726" t="s">
        <v>5363</v>
      </c>
      <c r="AF726" t="s">
        <v>5364</v>
      </c>
      <c r="AG726" t="s">
        <v>5365</v>
      </c>
      <c r="AH726">
        <v>-3.13</v>
      </c>
      <c r="AI726">
        <v>-4.78</v>
      </c>
      <c r="AJ726">
        <v>2.04</v>
      </c>
      <c r="AK726">
        <v>3.75</v>
      </c>
      <c r="AL726">
        <v>-3</v>
      </c>
      <c r="AM726">
        <v>-1.06</v>
      </c>
      <c r="AN726">
        <v>-24.39</v>
      </c>
      <c r="AO726">
        <v>-5.74</v>
      </c>
      <c r="AP726">
        <v>-30.16</v>
      </c>
    </row>
    <row r="727" spans="1:42">
      <c r="A727">
        <v>726</v>
      </c>
      <c r="B727" t="str">
        <f>"300359"</f>
        <v>300359</v>
      </c>
      <c r="C727" t="s">
        <v>5366</v>
      </c>
      <c r="D727">
        <v>6.47</v>
      </c>
      <c r="E727">
        <v>6.41</v>
      </c>
      <c r="F727">
        <v>0.39</v>
      </c>
      <c r="G727" t="s">
        <v>1158</v>
      </c>
      <c r="H727">
        <v>4253</v>
      </c>
      <c r="I727">
        <v>6.47</v>
      </c>
      <c r="J727">
        <v>6.48</v>
      </c>
      <c r="K727" t="s">
        <v>5359</v>
      </c>
      <c r="L727">
        <v>6.72</v>
      </c>
      <c r="M727" t="s">
        <v>46</v>
      </c>
      <c r="N727" t="s">
        <v>3484</v>
      </c>
      <c r="O727">
        <v>6.53</v>
      </c>
      <c r="P727">
        <v>6.1</v>
      </c>
      <c r="Q727">
        <v>6.14</v>
      </c>
      <c r="R727">
        <v>6.08</v>
      </c>
      <c r="S727">
        <v>7.07</v>
      </c>
      <c r="T727">
        <v>5.57</v>
      </c>
      <c r="U727">
        <v>-43.35</v>
      </c>
      <c r="V727">
        <v>-5983</v>
      </c>
      <c r="W727">
        <v>6.37</v>
      </c>
      <c r="X727" t="s">
        <v>3143</v>
      </c>
      <c r="Y727" t="s">
        <v>1032</v>
      </c>
      <c r="Z727">
        <v>0.62</v>
      </c>
      <c r="AA727">
        <v>291</v>
      </c>
      <c r="AB727">
        <v>2246</v>
      </c>
      <c r="AC727">
        <v>5.81</v>
      </c>
      <c r="AD727" t="s">
        <v>5367</v>
      </c>
      <c r="AE727" t="s">
        <v>5368</v>
      </c>
      <c r="AF727" t="s">
        <v>5367</v>
      </c>
      <c r="AG727" t="s">
        <v>5369</v>
      </c>
      <c r="AH727">
        <v>6.07</v>
      </c>
      <c r="AI727">
        <v>4.69</v>
      </c>
      <c r="AJ727">
        <v>9.41</v>
      </c>
      <c r="AK727">
        <v>12.75</v>
      </c>
      <c r="AL727">
        <v>1</v>
      </c>
      <c r="AM727">
        <v>6.41</v>
      </c>
      <c r="AN727">
        <v>-16.08</v>
      </c>
      <c r="AO727">
        <v>9.85</v>
      </c>
      <c r="AP727">
        <v>12.52</v>
      </c>
    </row>
    <row r="728" spans="1:42">
      <c r="A728">
        <v>727</v>
      </c>
      <c r="B728" t="str">
        <f>"002332"</f>
        <v>002332</v>
      </c>
      <c r="C728" t="s">
        <v>5370</v>
      </c>
      <c r="D728">
        <v>12.47</v>
      </c>
      <c r="E728">
        <v>1.05</v>
      </c>
      <c r="F728">
        <v>0.13</v>
      </c>
      <c r="G728" t="s">
        <v>518</v>
      </c>
      <c r="H728">
        <v>1799</v>
      </c>
      <c r="I728">
        <v>12.46</v>
      </c>
      <c r="J728">
        <v>12.47</v>
      </c>
      <c r="K728" t="s">
        <v>5371</v>
      </c>
      <c r="L728">
        <v>2.21</v>
      </c>
      <c r="M728" t="s">
        <v>46</v>
      </c>
      <c r="N728" t="s">
        <v>3390</v>
      </c>
      <c r="O728">
        <v>12.56</v>
      </c>
      <c r="P728">
        <v>12.18</v>
      </c>
      <c r="Q728">
        <v>12.35</v>
      </c>
      <c r="R728">
        <v>12.34</v>
      </c>
      <c r="S728">
        <v>3.08</v>
      </c>
      <c r="T728">
        <v>1.62</v>
      </c>
      <c r="U728">
        <v>20.23</v>
      </c>
      <c r="V728">
        <v>1019</v>
      </c>
      <c r="W728">
        <v>12.44</v>
      </c>
      <c r="X728" t="s">
        <v>1909</v>
      </c>
      <c r="Y728" t="s">
        <v>829</v>
      </c>
      <c r="Z728">
        <v>0.96</v>
      </c>
      <c r="AA728">
        <v>868</v>
      </c>
      <c r="AB728">
        <v>619</v>
      </c>
      <c r="AC728">
        <v>2.18</v>
      </c>
      <c r="AD728" t="s">
        <v>5372</v>
      </c>
      <c r="AE728" t="s">
        <v>5373</v>
      </c>
      <c r="AF728" t="s">
        <v>5374</v>
      </c>
      <c r="AG728" t="s">
        <v>5375</v>
      </c>
      <c r="AH728">
        <v>2.72</v>
      </c>
      <c r="AI728">
        <v>2.63</v>
      </c>
      <c r="AJ728">
        <v>5.46</v>
      </c>
      <c r="AK728">
        <v>9.02</v>
      </c>
      <c r="AL728">
        <v>2</v>
      </c>
      <c r="AM728">
        <v>1.05</v>
      </c>
      <c r="AN728">
        <v>13.36</v>
      </c>
      <c r="AO728">
        <v>4.35</v>
      </c>
      <c r="AP728">
        <v>19.67</v>
      </c>
    </row>
    <row r="729" spans="1:42">
      <c r="A729">
        <v>728</v>
      </c>
      <c r="B729" t="str">
        <f>"300170"</f>
        <v>300170</v>
      </c>
      <c r="C729" t="s">
        <v>5376</v>
      </c>
      <c r="D729">
        <v>9.03</v>
      </c>
      <c r="E729">
        <v>4.39</v>
      </c>
      <c r="F729">
        <v>0.38</v>
      </c>
      <c r="G729" t="s">
        <v>674</v>
      </c>
      <c r="H729">
        <v>6054</v>
      </c>
      <c r="I729">
        <v>9.02</v>
      </c>
      <c r="J729">
        <v>9.03</v>
      </c>
      <c r="K729" t="s">
        <v>5371</v>
      </c>
      <c r="L729">
        <v>3.23</v>
      </c>
      <c r="M729" t="s">
        <v>46</v>
      </c>
      <c r="N729" t="s">
        <v>4826</v>
      </c>
      <c r="O729">
        <v>9.04</v>
      </c>
      <c r="P729">
        <v>8.59</v>
      </c>
      <c r="Q729">
        <v>8.66</v>
      </c>
      <c r="R729">
        <v>8.65</v>
      </c>
      <c r="S729">
        <v>5.2</v>
      </c>
      <c r="T729">
        <v>1.09</v>
      </c>
      <c r="U729">
        <v>-26.14</v>
      </c>
      <c r="V729">
        <v>-3591</v>
      </c>
      <c r="W729">
        <v>8.87</v>
      </c>
      <c r="X729" t="s">
        <v>2025</v>
      </c>
      <c r="Y729" t="s">
        <v>3347</v>
      </c>
      <c r="Z729">
        <v>0.71</v>
      </c>
      <c r="AA729">
        <v>546</v>
      </c>
      <c r="AB729">
        <v>308</v>
      </c>
      <c r="AC729">
        <v>1.8</v>
      </c>
      <c r="AD729" t="s">
        <v>5377</v>
      </c>
      <c r="AE729" t="s">
        <v>5378</v>
      </c>
      <c r="AF729" t="s">
        <v>5379</v>
      </c>
      <c r="AG729" t="s">
        <v>5380</v>
      </c>
      <c r="AH729">
        <v>-0.55</v>
      </c>
      <c r="AI729">
        <v>-4.75</v>
      </c>
      <c r="AJ729">
        <v>9.02</v>
      </c>
      <c r="AK729">
        <v>17.98</v>
      </c>
      <c r="AL729">
        <v>1</v>
      </c>
      <c r="AM729">
        <v>4.39</v>
      </c>
      <c r="AN729">
        <v>11.76</v>
      </c>
      <c r="AO729">
        <v>6.24</v>
      </c>
      <c r="AP729">
        <v>1.46</v>
      </c>
    </row>
    <row r="730" spans="1:42">
      <c r="A730">
        <v>729</v>
      </c>
      <c r="B730" t="str">
        <f>"301133"</f>
        <v>301133</v>
      </c>
      <c r="C730" t="s">
        <v>5381</v>
      </c>
      <c r="D730">
        <v>31.96</v>
      </c>
      <c r="E730">
        <v>0.98</v>
      </c>
      <c r="F730">
        <v>0.31</v>
      </c>
      <c r="G730" t="s">
        <v>2502</v>
      </c>
      <c r="H730">
        <v>1100</v>
      </c>
      <c r="I730">
        <v>31.96</v>
      </c>
      <c r="J730">
        <v>31.97</v>
      </c>
      <c r="K730" t="s">
        <v>5382</v>
      </c>
      <c r="L730">
        <v>27.5</v>
      </c>
      <c r="M730" t="s">
        <v>46</v>
      </c>
      <c r="N730" t="s">
        <v>2122</v>
      </c>
      <c r="O730">
        <v>32.85</v>
      </c>
      <c r="P730">
        <v>30.01</v>
      </c>
      <c r="Q730">
        <v>31.75</v>
      </c>
      <c r="R730">
        <v>31.65</v>
      </c>
      <c r="S730">
        <v>8.97</v>
      </c>
      <c r="T730">
        <v>0.94</v>
      </c>
      <c r="U730">
        <v>29.53</v>
      </c>
      <c r="V730">
        <v>212</v>
      </c>
      <c r="W730">
        <v>31.5</v>
      </c>
      <c r="X730" t="s">
        <v>5055</v>
      </c>
      <c r="Y730" t="s">
        <v>5383</v>
      </c>
      <c r="Z730">
        <v>1.13</v>
      </c>
      <c r="AA730">
        <v>51</v>
      </c>
      <c r="AB730">
        <v>40</v>
      </c>
      <c r="AC730">
        <v>3.81</v>
      </c>
      <c r="AD730" t="s">
        <v>5384</v>
      </c>
      <c r="AE730" t="s">
        <v>5385</v>
      </c>
      <c r="AF730" t="s">
        <v>5386</v>
      </c>
      <c r="AG730" t="s">
        <v>5387</v>
      </c>
      <c r="AH730">
        <v>-9.2</v>
      </c>
      <c r="AI730">
        <v>2.96</v>
      </c>
      <c r="AJ730">
        <v>81.83</v>
      </c>
      <c r="AK730">
        <v>173.12</v>
      </c>
      <c r="AL730">
        <v>1</v>
      </c>
      <c r="AM730">
        <v>0.98</v>
      </c>
      <c r="AN730">
        <v>53.51</v>
      </c>
      <c r="AO730">
        <v>12.46</v>
      </c>
      <c r="AP730">
        <v>36</v>
      </c>
    </row>
    <row r="731" spans="1:42">
      <c r="A731">
        <v>730</v>
      </c>
      <c r="B731" t="str">
        <f>"601669"</f>
        <v>601669</v>
      </c>
      <c r="C731" t="s">
        <v>5388</v>
      </c>
      <c r="D731">
        <v>4.99</v>
      </c>
      <c r="E731">
        <v>0</v>
      </c>
      <c r="F731">
        <v>0</v>
      </c>
      <c r="G731" t="s">
        <v>5389</v>
      </c>
      <c r="H731">
        <v>8753</v>
      </c>
      <c r="I731">
        <v>4.99</v>
      </c>
      <c r="J731">
        <v>5</v>
      </c>
      <c r="K731" t="s">
        <v>5382</v>
      </c>
      <c r="L731">
        <v>0.41</v>
      </c>
      <c r="M731" t="s">
        <v>46</v>
      </c>
      <c r="N731" t="s">
        <v>5390</v>
      </c>
      <c r="O731">
        <v>5</v>
      </c>
      <c r="P731">
        <v>4.94</v>
      </c>
      <c r="Q731">
        <v>4.98</v>
      </c>
      <c r="R731">
        <v>4.99</v>
      </c>
      <c r="S731">
        <v>1.2</v>
      </c>
      <c r="T731">
        <v>1.08</v>
      </c>
      <c r="U731">
        <v>-25.08</v>
      </c>
      <c r="V731" t="s">
        <v>5391</v>
      </c>
      <c r="W731">
        <v>4.98</v>
      </c>
      <c r="X731" t="s">
        <v>91</v>
      </c>
      <c r="Y731" t="s">
        <v>2791</v>
      </c>
      <c r="Z731">
        <v>1.01</v>
      </c>
      <c r="AA731">
        <v>1047</v>
      </c>
      <c r="AB731" t="s">
        <v>4269</v>
      </c>
      <c r="AC731">
        <v>0.68</v>
      </c>
      <c r="AD731" t="s">
        <v>5392</v>
      </c>
      <c r="AE731" t="s">
        <v>5393</v>
      </c>
      <c r="AF731" t="s">
        <v>5394</v>
      </c>
      <c r="AG731" t="s">
        <v>5395</v>
      </c>
      <c r="AH731">
        <v>-0.8</v>
      </c>
      <c r="AI731">
        <v>-1.77</v>
      </c>
      <c r="AJ731">
        <v>1.33</v>
      </c>
      <c r="AK731">
        <v>2.33</v>
      </c>
      <c r="AL731">
        <v>0</v>
      </c>
      <c r="AM731">
        <v>0</v>
      </c>
      <c r="AN731">
        <v>-28.3</v>
      </c>
      <c r="AO731">
        <v>-3.67</v>
      </c>
      <c r="AP731">
        <v>-31.83</v>
      </c>
    </row>
    <row r="732" spans="1:42">
      <c r="A732">
        <v>731</v>
      </c>
      <c r="B732" t="str">
        <f>"603326"</f>
        <v>603326</v>
      </c>
      <c r="C732" t="s">
        <v>5396</v>
      </c>
      <c r="D732">
        <v>10.4</v>
      </c>
      <c r="E732">
        <v>3.28</v>
      </c>
      <c r="F732">
        <v>0.33</v>
      </c>
      <c r="G732" t="s">
        <v>1411</v>
      </c>
      <c r="H732">
        <v>4704</v>
      </c>
      <c r="I732">
        <v>10.4</v>
      </c>
      <c r="J732">
        <v>10.41</v>
      </c>
      <c r="K732" t="s">
        <v>5382</v>
      </c>
      <c r="L732">
        <v>8.09</v>
      </c>
      <c r="M732" t="s">
        <v>46</v>
      </c>
      <c r="N732" t="s">
        <v>5397</v>
      </c>
      <c r="O732">
        <v>10.93</v>
      </c>
      <c r="P732">
        <v>10.05</v>
      </c>
      <c r="Q732">
        <v>10.13</v>
      </c>
      <c r="R732">
        <v>10.07</v>
      </c>
      <c r="S732">
        <v>8.74</v>
      </c>
      <c r="T732">
        <v>3.11</v>
      </c>
      <c r="U732">
        <v>-22.15</v>
      </c>
      <c r="V732">
        <v>-773</v>
      </c>
      <c r="W732">
        <v>10.54</v>
      </c>
      <c r="X732" t="s">
        <v>1540</v>
      </c>
      <c r="Y732" t="s">
        <v>784</v>
      </c>
      <c r="Z732">
        <v>0.85</v>
      </c>
      <c r="AA732">
        <v>282</v>
      </c>
      <c r="AB732">
        <v>183</v>
      </c>
      <c r="AC732">
        <v>2.89</v>
      </c>
      <c r="AD732" t="s">
        <v>5398</v>
      </c>
      <c r="AE732" t="s">
        <v>5399</v>
      </c>
      <c r="AF732" t="s">
        <v>5400</v>
      </c>
      <c r="AG732" t="s">
        <v>5401</v>
      </c>
      <c r="AH732">
        <v>0.48</v>
      </c>
      <c r="AI732">
        <v>-0.38</v>
      </c>
      <c r="AJ732">
        <v>12.05</v>
      </c>
      <c r="AK732">
        <v>21.11</v>
      </c>
      <c r="AL732">
        <v>1</v>
      </c>
      <c r="AM732">
        <v>3.28</v>
      </c>
      <c r="AN732">
        <v>32.82</v>
      </c>
      <c r="AO732">
        <v>3.69</v>
      </c>
      <c r="AP732">
        <v>33.68</v>
      </c>
    </row>
    <row r="733" spans="1:42">
      <c r="A733">
        <v>732</v>
      </c>
      <c r="B733" t="str">
        <f>"002617"</f>
        <v>002617</v>
      </c>
      <c r="C733" t="s">
        <v>5402</v>
      </c>
      <c r="D733">
        <v>6.67</v>
      </c>
      <c r="E733">
        <v>-1.62</v>
      </c>
      <c r="F733">
        <v>-0.11</v>
      </c>
      <c r="G733" t="s">
        <v>582</v>
      </c>
      <c r="H733">
        <v>4866</v>
      </c>
      <c r="I733">
        <v>6.66</v>
      </c>
      <c r="J733">
        <v>6.67</v>
      </c>
      <c r="K733" t="s">
        <v>5382</v>
      </c>
      <c r="L733">
        <v>2.14</v>
      </c>
      <c r="M733" t="s">
        <v>46</v>
      </c>
      <c r="N733" t="s">
        <v>5403</v>
      </c>
      <c r="O733">
        <v>6.71</v>
      </c>
      <c r="P733">
        <v>6.5</v>
      </c>
      <c r="Q733">
        <v>6.64</v>
      </c>
      <c r="R733">
        <v>6.78</v>
      </c>
      <c r="S733">
        <v>3.1</v>
      </c>
      <c r="T733">
        <v>0.92</v>
      </c>
      <c r="U733">
        <v>31.19</v>
      </c>
      <c r="V733">
        <v>6379</v>
      </c>
      <c r="W733">
        <v>6.65</v>
      </c>
      <c r="X733" t="s">
        <v>1934</v>
      </c>
      <c r="Y733" t="s">
        <v>1367</v>
      </c>
      <c r="Z733">
        <v>1.33</v>
      </c>
      <c r="AA733">
        <v>4657</v>
      </c>
      <c r="AB733">
        <v>616</v>
      </c>
      <c r="AC733">
        <v>2.15</v>
      </c>
      <c r="AD733" t="s">
        <v>5404</v>
      </c>
      <c r="AE733" t="s">
        <v>4704</v>
      </c>
      <c r="AF733" t="s">
        <v>5405</v>
      </c>
      <c r="AG733" t="s">
        <v>5406</v>
      </c>
      <c r="AH733">
        <v>-0.45</v>
      </c>
      <c r="AI733">
        <v>-1.48</v>
      </c>
      <c r="AJ733">
        <v>11.15</v>
      </c>
      <c r="AK733">
        <v>13.81</v>
      </c>
      <c r="AL733">
        <v>-2</v>
      </c>
      <c r="AM733">
        <v>-1.62</v>
      </c>
      <c r="AN733">
        <v>-27.74</v>
      </c>
      <c r="AO733">
        <v>-1.04</v>
      </c>
      <c r="AP733">
        <v>-34.22</v>
      </c>
    </row>
    <row r="734" spans="1:42">
      <c r="A734">
        <v>733</v>
      </c>
      <c r="B734" t="str">
        <f>"600971"</f>
        <v>600971</v>
      </c>
      <c r="C734" t="s">
        <v>5407</v>
      </c>
      <c r="D734">
        <v>11.12</v>
      </c>
      <c r="E734">
        <v>3.15</v>
      </c>
      <c r="F734">
        <v>0.34</v>
      </c>
      <c r="G734" t="s">
        <v>5408</v>
      </c>
      <c r="H734">
        <v>2373</v>
      </c>
      <c r="I734">
        <v>11.12</v>
      </c>
      <c r="J734">
        <v>11.13</v>
      </c>
      <c r="K734" t="s">
        <v>5382</v>
      </c>
      <c r="L734">
        <v>2.02</v>
      </c>
      <c r="M734" t="s">
        <v>46</v>
      </c>
      <c r="N734" t="s">
        <v>5409</v>
      </c>
      <c r="O734">
        <v>11.2</v>
      </c>
      <c r="P734">
        <v>10.82</v>
      </c>
      <c r="Q734">
        <v>10.82</v>
      </c>
      <c r="R734">
        <v>10.78</v>
      </c>
      <c r="S734">
        <v>3.53</v>
      </c>
      <c r="T734">
        <v>1.1</v>
      </c>
      <c r="U734">
        <v>-16.99</v>
      </c>
      <c r="V734">
        <v>-1125</v>
      </c>
      <c r="W734">
        <v>11.07</v>
      </c>
      <c r="X734" t="s">
        <v>829</v>
      </c>
      <c r="Y734" t="s">
        <v>263</v>
      </c>
      <c r="Z734">
        <v>0.84</v>
      </c>
      <c r="AA734">
        <v>1153</v>
      </c>
      <c r="AB734">
        <v>156</v>
      </c>
      <c r="AC734">
        <v>1.09</v>
      </c>
      <c r="AD734" t="s">
        <v>5410</v>
      </c>
      <c r="AE734" t="s">
        <v>5411</v>
      </c>
      <c r="AF734" t="s">
        <v>5410</v>
      </c>
      <c r="AG734" t="s">
        <v>5411</v>
      </c>
      <c r="AH734">
        <v>4.91</v>
      </c>
      <c r="AI734">
        <v>10.76</v>
      </c>
      <c r="AJ734">
        <v>5.94</v>
      </c>
      <c r="AK734">
        <v>11.18</v>
      </c>
      <c r="AL734">
        <v>1</v>
      </c>
      <c r="AM734">
        <v>3.15</v>
      </c>
      <c r="AN734">
        <v>80.52</v>
      </c>
      <c r="AO734">
        <v>20.09</v>
      </c>
      <c r="AP734">
        <v>55.09</v>
      </c>
    </row>
    <row r="735" spans="1:42">
      <c r="A735">
        <v>734</v>
      </c>
      <c r="B735" t="str">
        <f>"600509"</f>
        <v>600509</v>
      </c>
      <c r="C735" t="s">
        <v>5412</v>
      </c>
      <c r="D735">
        <v>6.63</v>
      </c>
      <c r="E735">
        <v>0.61</v>
      </c>
      <c r="F735">
        <v>0.04</v>
      </c>
      <c r="G735" t="s">
        <v>1055</v>
      </c>
      <c r="H735">
        <v>7025</v>
      </c>
      <c r="I735">
        <v>6.63</v>
      </c>
      <c r="J735">
        <v>6.64</v>
      </c>
      <c r="K735" t="s">
        <v>5382</v>
      </c>
      <c r="L735">
        <v>3.53</v>
      </c>
      <c r="M735" t="s">
        <v>46</v>
      </c>
      <c r="N735" t="s">
        <v>5413</v>
      </c>
      <c r="O735">
        <v>6.71</v>
      </c>
      <c r="P735">
        <v>6.5</v>
      </c>
      <c r="Q735">
        <v>6.56</v>
      </c>
      <c r="R735">
        <v>6.59</v>
      </c>
      <c r="S735">
        <v>3.19</v>
      </c>
      <c r="T735">
        <v>1.21</v>
      </c>
      <c r="U735">
        <v>-8.94</v>
      </c>
      <c r="V735">
        <v>-2192</v>
      </c>
      <c r="W735">
        <v>6.61</v>
      </c>
      <c r="X735" t="s">
        <v>1328</v>
      </c>
      <c r="Y735" t="s">
        <v>1125</v>
      </c>
      <c r="Z735">
        <v>0.92</v>
      </c>
      <c r="AA735">
        <v>2943</v>
      </c>
      <c r="AB735">
        <v>1667</v>
      </c>
      <c r="AC735">
        <v>1.24</v>
      </c>
      <c r="AD735" t="s">
        <v>5414</v>
      </c>
      <c r="AE735" t="s">
        <v>5415</v>
      </c>
      <c r="AF735" t="s">
        <v>906</v>
      </c>
      <c r="AG735" t="s">
        <v>5416</v>
      </c>
      <c r="AH735">
        <v>10.5</v>
      </c>
      <c r="AI735">
        <v>7.63</v>
      </c>
      <c r="AJ735">
        <v>16.5</v>
      </c>
      <c r="AK735">
        <v>18.16</v>
      </c>
      <c r="AL735">
        <v>1</v>
      </c>
      <c r="AM735">
        <v>0.61</v>
      </c>
      <c r="AN735">
        <v>27.99</v>
      </c>
      <c r="AO735">
        <v>4.57</v>
      </c>
      <c r="AP735">
        <v>15.51</v>
      </c>
    </row>
    <row r="736" spans="1:42">
      <c r="A736">
        <v>735</v>
      </c>
      <c r="B736" t="str">
        <f>"300953"</f>
        <v>300953</v>
      </c>
      <c r="C736" t="s">
        <v>5417</v>
      </c>
      <c r="D736">
        <v>62.28</v>
      </c>
      <c r="E736">
        <v>10.09</v>
      </c>
      <c r="F736">
        <v>5.71</v>
      </c>
      <c r="G736" t="s">
        <v>3103</v>
      </c>
      <c r="H736">
        <v>327</v>
      </c>
      <c r="I736">
        <v>62.27</v>
      </c>
      <c r="J736">
        <v>62.4</v>
      </c>
      <c r="K736" t="s">
        <v>5418</v>
      </c>
      <c r="L736">
        <v>9.63</v>
      </c>
      <c r="M736" t="s">
        <v>46</v>
      </c>
      <c r="N736" t="s">
        <v>5419</v>
      </c>
      <c r="O736">
        <v>64.32</v>
      </c>
      <c r="P736">
        <v>55.21</v>
      </c>
      <c r="Q736">
        <v>56.47</v>
      </c>
      <c r="R736">
        <v>56.57</v>
      </c>
      <c r="S736">
        <v>16.1</v>
      </c>
      <c r="T736">
        <v>3.32</v>
      </c>
      <c r="U736">
        <v>-2.07</v>
      </c>
      <c r="V736">
        <v>-3</v>
      </c>
      <c r="W736">
        <v>61.17</v>
      </c>
      <c r="X736" t="s">
        <v>390</v>
      </c>
      <c r="Y736" t="s">
        <v>5420</v>
      </c>
      <c r="Z736">
        <v>0.61</v>
      </c>
      <c r="AA736">
        <v>2</v>
      </c>
      <c r="AB736">
        <v>16</v>
      </c>
      <c r="AC736">
        <v>2.61</v>
      </c>
      <c r="AD736" t="s">
        <v>4098</v>
      </c>
      <c r="AE736" t="s">
        <v>5421</v>
      </c>
      <c r="AF736" t="s">
        <v>5422</v>
      </c>
      <c r="AG736" t="s">
        <v>4652</v>
      </c>
      <c r="AH736">
        <v>11.75</v>
      </c>
      <c r="AI736">
        <v>11.95</v>
      </c>
      <c r="AJ736">
        <v>21.02</v>
      </c>
      <c r="AK736">
        <v>24.12</v>
      </c>
      <c r="AL736">
        <v>1</v>
      </c>
      <c r="AM736">
        <v>10.09</v>
      </c>
      <c r="AN736">
        <v>-24.55</v>
      </c>
      <c r="AO736">
        <v>7.29</v>
      </c>
      <c r="AP736">
        <v>-25.87</v>
      </c>
    </row>
    <row r="737" spans="1:42">
      <c r="A737">
        <v>736</v>
      </c>
      <c r="B737" t="str">
        <f>"002510"</f>
        <v>002510</v>
      </c>
      <c r="C737" t="s">
        <v>5423</v>
      </c>
      <c r="D737">
        <v>4.86</v>
      </c>
      <c r="E737">
        <v>0.83</v>
      </c>
      <c r="F737">
        <v>0.04</v>
      </c>
      <c r="G737" t="s">
        <v>2867</v>
      </c>
      <c r="H737">
        <v>8564</v>
      </c>
      <c r="I737">
        <v>4.86</v>
      </c>
      <c r="J737">
        <v>4.87</v>
      </c>
      <c r="K737" t="s">
        <v>5418</v>
      </c>
      <c r="L737">
        <v>5.98</v>
      </c>
      <c r="M737" t="s">
        <v>46</v>
      </c>
      <c r="N737" t="s">
        <v>4071</v>
      </c>
      <c r="O737">
        <v>4.93</v>
      </c>
      <c r="P737">
        <v>4.68</v>
      </c>
      <c r="Q737">
        <v>4.79</v>
      </c>
      <c r="R737">
        <v>4.82</v>
      </c>
      <c r="S737">
        <v>5.19</v>
      </c>
      <c r="T737">
        <v>0.73</v>
      </c>
      <c r="U737">
        <v>21.42</v>
      </c>
      <c r="V737">
        <v>4657</v>
      </c>
      <c r="W737">
        <v>4.82</v>
      </c>
      <c r="X737" t="s">
        <v>2213</v>
      </c>
      <c r="Y737" t="s">
        <v>91</v>
      </c>
      <c r="Z737">
        <v>1.04</v>
      </c>
      <c r="AA737">
        <v>2207</v>
      </c>
      <c r="AB737">
        <v>2009</v>
      </c>
      <c r="AC737">
        <v>2.24</v>
      </c>
      <c r="AD737" t="s">
        <v>5424</v>
      </c>
      <c r="AE737" t="s">
        <v>5425</v>
      </c>
      <c r="AF737" t="s">
        <v>5426</v>
      </c>
      <c r="AG737" t="s">
        <v>5427</v>
      </c>
      <c r="AH737">
        <v>-2.02</v>
      </c>
      <c r="AI737">
        <v>2.53</v>
      </c>
      <c r="AJ737">
        <v>20.49</v>
      </c>
      <c r="AK737">
        <v>47.06</v>
      </c>
      <c r="AL737">
        <v>1</v>
      </c>
      <c r="AM737">
        <v>0.83</v>
      </c>
      <c r="AN737">
        <v>24.94</v>
      </c>
      <c r="AO737">
        <v>10.71</v>
      </c>
      <c r="AP737">
        <v>9.46</v>
      </c>
    </row>
    <row r="738" spans="1:42">
      <c r="A738">
        <v>737</v>
      </c>
      <c r="B738" t="str">
        <f>"002642"</f>
        <v>002642</v>
      </c>
      <c r="C738" t="s">
        <v>5428</v>
      </c>
      <c r="D738">
        <v>8.95</v>
      </c>
      <c r="E738">
        <v>2.52</v>
      </c>
      <c r="F738">
        <v>0.22</v>
      </c>
      <c r="G738" t="s">
        <v>1348</v>
      </c>
      <c r="H738">
        <v>6756</v>
      </c>
      <c r="I738">
        <v>8.94</v>
      </c>
      <c r="J738">
        <v>8.95</v>
      </c>
      <c r="K738" t="s">
        <v>5418</v>
      </c>
      <c r="L738">
        <v>4.99</v>
      </c>
      <c r="M738" t="s">
        <v>46</v>
      </c>
      <c r="N738" t="s">
        <v>1557</v>
      </c>
      <c r="O738">
        <v>8.98</v>
      </c>
      <c r="P738">
        <v>8.72</v>
      </c>
      <c r="Q738">
        <v>8.79</v>
      </c>
      <c r="R738">
        <v>8.73</v>
      </c>
      <c r="S738">
        <v>2.98</v>
      </c>
      <c r="T738">
        <v>0.89</v>
      </c>
      <c r="U738">
        <v>-12.74</v>
      </c>
      <c r="V738">
        <v>-2987</v>
      </c>
      <c r="W738">
        <v>8.88</v>
      </c>
      <c r="X738" t="s">
        <v>4247</v>
      </c>
      <c r="Y738" t="s">
        <v>1439</v>
      </c>
      <c r="Z738">
        <v>0.81</v>
      </c>
      <c r="AA738">
        <v>2356</v>
      </c>
      <c r="AB738">
        <v>1403</v>
      </c>
      <c r="AC738">
        <v>4.02</v>
      </c>
      <c r="AD738" t="s">
        <v>5429</v>
      </c>
      <c r="AE738" t="s">
        <v>5430</v>
      </c>
      <c r="AF738" t="s">
        <v>3585</v>
      </c>
      <c r="AG738" t="s">
        <v>5431</v>
      </c>
      <c r="AH738">
        <v>-0.78</v>
      </c>
      <c r="AI738">
        <v>-7.45</v>
      </c>
      <c r="AJ738">
        <v>14.98</v>
      </c>
      <c r="AK738">
        <v>33.18</v>
      </c>
      <c r="AL738">
        <v>1</v>
      </c>
      <c r="AM738">
        <v>2.52</v>
      </c>
      <c r="AN738">
        <v>19.81</v>
      </c>
      <c r="AO738">
        <v>4.56</v>
      </c>
      <c r="AP738">
        <v>5.67</v>
      </c>
    </row>
    <row r="739" spans="1:42">
      <c r="A739">
        <v>738</v>
      </c>
      <c r="B739" t="str">
        <f>"605589"</f>
        <v>605589</v>
      </c>
      <c r="C739" t="s">
        <v>5432</v>
      </c>
      <c r="D739">
        <v>23.07</v>
      </c>
      <c r="E739">
        <v>2.53</v>
      </c>
      <c r="F739">
        <v>0.57</v>
      </c>
      <c r="G739" t="s">
        <v>2960</v>
      </c>
      <c r="H739">
        <v>688</v>
      </c>
      <c r="I739">
        <v>23.06</v>
      </c>
      <c r="J739">
        <v>23.07</v>
      </c>
      <c r="K739" t="s">
        <v>5433</v>
      </c>
      <c r="L739">
        <v>1.89</v>
      </c>
      <c r="M739" t="s">
        <v>46</v>
      </c>
      <c r="N739" t="s">
        <v>5434</v>
      </c>
      <c r="O739">
        <v>23.33</v>
      </c>
      <c r="P739">
        <v>22.52</v>
      </c>
      <c r="Q739">
        <v>22.58</v>
      </c>
      <c r="R739">
        <v>22.5</v>
      </c>
      <c r="S739">
        <v>3.6</v>
      </c>
      <c r="T739">
        <v>1.72</v>
      </c>
      <c r="U739">
        <v>-39.14</v>
      </c>
      <c r="V739">
        <v>-868</v>
      </c>
      <c r="W739">
        <v>23.02</v>
      </c>
      <c r="X739" t="s">
        <v>5435</v>
      </c>
      <c r="Y739" t="s">
        <v>5300</v>
      </c>
      <c r="Z739">
        <v>0.68</v>
      </c>
      <c r="AA739">
        <v>351</v>
      </c>
      <c r="AB739">
        <v>381</v>
      </c>
      <c r="AC739">
        <v>2.05</v>
      </c>
      <c r="AD739" t="s">
        <v>5436</v>
      </c>
      <c r="AE739" t="s">
        <v>5437</v>
      </c>
      <c r="AF739" t="s">
        <v>5438</v>
      </c>
      <c r="AG739" t="s">
        <v>5439</v>
      </c>
      <c r="AH739">
        <v>0.04</v>
      </c>
      <c r="AI739">
        <v>3.31</v>
      </c>
      <c r="AJ739">
        <v>3.72</v>
      </c>
      <c r="AK739">
        <v>7.38</v>
      </c>
      <c r="AL739">
        <v>1</v>
      </c>
      <c r="AM739">
        <v>2.53</v>
      </c>
      <c r="AN739">
        <v>8.87</v>
      </c>
      <c r="AO739">
        <v>5.92</v>
      </c>
      <c r="AP739">
        <v>13.42</v>
      </c>
    </row>
    <row r="740" spans="1:42">
      <c r="A740">
        <v>739</v>
      </c>
      <c r="B740" t="str">
        <f>"603767"</f>
        <v>603767</v>
      </c>
      <c r="C740" t="s">
        <v>5440</v>
      </c>
      <c r="D740">
        <v>15.8</v>
      </c>
      <c r="E740">
        <v>-4.42</v>
      </c>
      <c r="F740">
        <v>-0.73</v>
      </c>
      <c r="G740" t="s">
        <v>172</v>
      </c>
      <c r="H740">
        <v>2137</v>
      </c>
      <c r="I740">
        <v>15.8</v>
      </c>
      <c r="J740">
        <v>15.81</v>
      </c>
      <c r="K740" t="s">
        <v>5433</v>
      </c>
      <c r="L740">
        <v>5.52</v>
      </c>
      <c r="M740" t="s">
        <v>46</v>
      </c>
      <c r="N740" t="s">
        <v>1136</v>
      </c>
      <c r="O740">
        <v>16.05</v>
      </c>
      <c r="P740">
        <v>15.4</v>
      </c>
      <c r="Q740">
        <v>16</v>
      </c>
      <c r="R740">
        <v>16.53</v>
      </c>
      <c r="S740">
        <v>3.93</v>
      </c>
      <c r="T740">
        <v>1.46</v>
      </c>
      <c r="U740">
        <v>74.46</v>
      </c>
      <c r="V740">
        <v>1236</v>
      </c>
      <c r="W740">
        <v>15.64</v>
      </c>
      <c r="X740" t="s">
        <v>1499</v>
      </c>
      <c r="Y740" t="s">
        <v>2568</v>
      </c>
      <c r="Z740">
        <v>1.5</v>
      </c>
      <c r="AA740">
        <v>463</v>
      </c>
      <c r="AB740">
        <v>39</v>
      </c>
      <c r="AC740">
        <v>3.34</v>
      </c>
      <c r="AD740" t="s">
        <v>5441</v>
      </c>
      <c r="AE740" t="s">
        <v>5442</v>
      </c>
      <c r="AF740" t="s">
        <v>5441</v>
      </c>
      <c r="AG740" t="s">
        <v>5442</v>
      </c>
      <c r="AH740">
        <v>-1.25</v>
      </c>
      <c r="AI740">
        <v>-3.25</v>
      </c>
      <c r="AJ740">
        <v>16.4</v>
      </c>
      <c r="AK740">
        <v>24.42</v>
      </c>
      <c r="AL740">
        <v>-1</v>
      </c>
      <c r="AM740">
        <v>-4.42</v>
      </c>
      <c r="AN740">
        <v>130.32</v>
      </c>
      <c r="AO740">
        <v>-3.95</v>
      </c>
      <c r="AP740">
        <v>105.73</v>
      </c>
    </row>
    <row r="741" spans="1:42">
      <c r="A741">
        <v>740</v>
      </c>
      <c r="B741" t="str">
        <f>"688261"</f>
        <v>688261</v>
      </c>
      <c r="C741" t="s">
        <v>5443</v>
      </c>
      <c r="D741">
        <v>98.65</v>
      </c>
      <c r="E741">
        <v>1.6</v>
      </c>
      <c r="F741">
        <v>1.55</v>
      </c>
      <c r="G741" t="s">
        <v>5444</v>
      </c>
      <c r="H741">
        <v>511</v>
      </c>
      <c r="I741">
        <v>98.62</v>
      </c>
      <c r="J741">
        <v>98.65</v>
      </c>
      <c r="K741" t="s">
        <v>5445</v>
      </c>
      <c r="L741">
        <v>4.55</v>
      </c>
      <c r="M741" t="s">
        <v>46</v>
      </c>
      <c r="N741" t="s">
        <v>1796</v>
      </c>
      <c r="O741">
        <v>101.28</v>
      </c>
      <c r="P741">
        <v>96.42</v>
      </c>
      <c r="Q741">
        <v>97.15</v>
      </c>
      <c r="R741">
        <v>97.1</v>
      </c>
      <c r="S741">
        <v>5.01</v>
      </c>
      <c r="T741">
        <v>1.19</v>
      </c>
      <c r="U741">
        <v>-35.45</v>
      </c>
      <c r="V741">
        <v>-62</v>
      </c>
      <c r="W741">
        <v>99.17</v>
      </c>
      <c r="X741" t="s">
        <v>5446</v>
      </c>
      <c r="Y741" t="s">
        <v>1427</v>
      </c>
      <c r="Z741">
        <v>1.09</v>
      </c>
      <c r="AA741">
        <v>26</v>
      </c>
      <c r="AB741">
        <v>26</v>
      </c>
      <c r="AC741">
        <v>3.25</v>
      </c>
      <c r="AD741" t="s">
        <v>5447</v>
      </c>
      <c r="AE741" t="s">
        <v>5448</v>
      </c>
      <c r="AF741" t="s">
        <v>5449</v>
      </c>
      <c r="AG741" t="s">
        <v>5450</v>
      </c>
      <c r="AH741">
        <v>8.12</v>
      </c>
      <c r="AI741">
        <v>11.26</v>
      </c>
      <c r="AJ741">
        <v>18.46</v>
      </c>
      <c r="AK741">
        <v>23.68</v>
      </c>
      <c r="AL741">
        <v>1</v>
      </c>
      <c r="AM741">
        <v>1.6</v>
      </c>
      <c r="AN741">
        <v>-41.36</v>
      </c>
      <c r="AO741">
        <v>13.33</v>
      </c>
      <c r="AP741">
        <v>-46.44</v>
      </c>
    </row>
    <row r="742" spans="1:42">
      <c r="A742">
        <v>741</v>
      </c>
      <c r="B742" t="str">
        <f>"301139"</f>
        <v>301139</v>
      </c>
      <c r="C742" t="s">
        <v>5451</v>
      </c>
      <c r="D742">
        <v>39.73</v>
      </c>
      <c r="E742">
        <v>2.93</v>
      </c>
      <c r="F742">
        <v>1.13</v>
      </c>
      <c r="G742" t="s">
        <v>5452</v>
      </c>
      <c r="H742">
        <v>696</v>
      </c>
      <c r="I742">
        <v>39.73</v>
      </c>
      <c r="J742">
        <v>39.74</v>
      </c>
      <c r="K742" t="s">
        <v>5445</v>
      </c>
      <c r="L742">
        <v>10</v>
      </c>
      <c r="M742" t="s">
        <v>46</v>
      </c>
      <c r="N742" t="s">
        <v>5453</v>
      </c>
      <c r="O742">
        <v>39.76</v>
      </c>
      <c r="P742">
        <v>38</v>
      </c>
      <c r="Q742">
        <v>38</v>
      </c>
      <c r="R742">
        <v>38.6</v>
      </c>
      <c r="S742">
        <v>4.56</v>
      </c>
      <c r="T742">
        <v>1.56</v>
      </c>
      <c r="U742">
        <v>31.22</v>
      </c>
      <c r="V742">
        <v>223</v>
      </c>
      <c r="W742">
        <v>39.18</v>
      </c>
      <c r="X742" t="s">
        <v>5454</v>
      </c>
      <c r="Y742" t="s">
        <v>1806</v>
      </c>
      <c r="Z742">
        <v>0.98</v>
      </c>
      <c r="AA742">
        <v>50</v>
      </c>
      <c r="AB742">
        <v>23</v>
      </c>
      <c r="AC742">
        <v>2.55</v>
      </c>
      <c r="AD742" t="s">
        <v>5455</v>
      </c>
      <c r="AE742" t="s">
        <v>5456</v>
      </c>
      <c r="AF742" t="s">
        <v>5457</v>
      </c>
      <c r="AG742" t="s">
        <v>5458</v>
      </c>
      <c r="AH742">
        <v>5.81</v>
      </c>
      <c r="AI742">
        <v>-0.25</v>
      </c>
      <c r="AJ742">
        <v>23.8</v>
      </c>
      <c r="AK742">
        <v>41.97</v>
      </c>
      <c r="AL742">
        <v>3</v>
      </c>
      <c r="AM742">
        <v>2.93</v>
      </c>
      <c r="AN742">
        <v>56.6</v>
      </c>
      <c r="AO742">
        <v>28.74</v>
      </c>
      <c r="AP742">
        <v>39.89</v>
      </c>
    </row>
    <row r="743" spans="1:42">
      <c r="A743">
        <v>742</v>
      </c>
      <c r="B743" t="str">
        <f>"000937"</f>
        <v>000937</v>
      </c>
      <c r="C743" t="s">
        <v>5459</v>
      </c>
      <c r="D743">
        <v>7.05</v>
      </c>
      <c r="E743">
        <v>0.86</v>
      </c>
      <c r="F743">
        <v>0.06</v>
      </c>
      <c r="G743" t="s">
        <v>1242</v>
      </c>
      <c r="H743">
        <v>2114</v>
      </c>
      <c r="I743">
        <v>7.05</v>
      </c>
      <c r="J743">
        <v>7.06</v>
      </c>
      <c r="K743" t="s">
        <v>5445</v>
      </c>
      <c r="L743">
        <v>1.3</v>
      </c>
      <c r="M743" t="s">
        <v>46</v>
      </c>
      <c r="N743" t="s">
        <v>4047</v>
      </c>
      <c r="O743">
        <v>7.11</v>
      </c>
      <c r="P743">
        <v>6.98</v>
      </c>
      <c r="Q743">
        <v>7</v>
      </c>
      <c r="R743">
        <v>6.99</v>
      </c>
      <c r="S743">
        <v>1.86</v>
      </c>
      <c r="T743">
        <v>0.83</v>
      </c>
      <c r="U743">
        <v>-27.57</v>
      </c>
      <c r="V743">
        <v>-8109</v>
      </c>
      <c r="W743">
        <v>7.05</v>
      </c>
      <c r="X743" t="s">
        <v>172</v>
      </c>
      <c r="Y743" t="s">
        <v>3809</v>
      </c>
      <c r="Z743">
        <v>0.82</v>
      </c>
      <c r="AA743">
        <v>1395</v>
      </c>
      <c r="AB743">
        <v>2168</v>
      </c>
      <c r="AC743">
        <v>1.15</v>
      </c>
      <c r="AD743" t="s">
        <v>5460</v>
      </c>
      <c r="AE743" t="s">
        <v>5461</v>
      </c>
      <c r="AF743" t="s">
        <v>5462</v>
      </c>
      <c r="AG743" t="s">
        <v>5463</v>
      </c>
      <c r="AH743">
        <v>3.07</v>
      </c>
      <c r="AI743">
        <v>7.14</v>
      </c>
      <c r="AJ743">
        <v>4.47</v>
      </c>
      <c r="AK743">
        <v>9.09</v>
      </c>
      <c r="AL743">
        <v>7</v>
      </c>
      <c r="AM743">
        <v>0.86</v>
      </c>
      <c r="AN743">
        <v>31.53</v>
      </c>
      <c r="AO743">
        <v>11.02</v>
      </c>
      <c r="AP743">
        <v>31.78</v>
      </c>
    </row>
    <row r="744" spans="1:42">
      <c r="A744">
        <v>743</v>
      </c>
      <c r="B744" t="str">
        <f>"301073"</f>
        <v>301073</v>
      </c>
      <c r="C744" t="s">
        <v>5464</v>
      </c>
      <c r="D744">
        <v>25.68</v>
      </c>
      <c r="E744">
        <v>-1.98</v>
      </c>
      <c r="F744">
        <v>-0.52</v>
      </c>
      <c r="G744" t="s">
        <v>1499</v>
      </c>
      <c r="H744">
        <v>656</v>
      </c>
      <c r="I744">
        <v>25.68</v>
      </c>
      <c r="J744">
        <v>25.69</v>
      </c>
      <c r="K744" t="s">
        <v>5465</v>
      </c>
      <c r="L744">
        <v>11.99</v>
      </c>
      <c r="M744" t="s">
        <v>46</v>
      </c>
      <c r="N744" t="s">
        <v>3789</v>
      </c>
      <c r="O744">
        <v>26.93</v>
      </c>
      <c r="P744">
        <v>25.53</v>
      </c>
      <c r="Q744">
        <v>26.1</v>
      </c>
      <c r="R744">
        <v>26.2</v>
      </c>
      <c r="S744">
        <v>5.34</v>
      </c>
      <c r="T744">
        <v>1.66</v>
      </c>
      <c r="U744">
        <v>58.95</v>
      </c>
      <c r="V744">
        <v>500</v>
      </c>
      <c r="W744">
        <v>25.99</v>
      </c>
      <c r="X744" t="s">
        <v>5466</v>
      </c>
      <c r="Y744" t="s">
        <v>778</v>
      </c>
      <c r="Z744">
        <v>1.16</v>
      </c>
      <c r="AA744">
        <v>352</v>
      </c>
      <c r="AB744">
        <v>20</v>
      </c>
      <c r="AC744">
        <v>5.14</v>
      </c>
      <c r="AD744" t="s">
        <v>5467</v>
      </c>
      <c r="AE744" t="s">
        <v>5468</v>
      </c>
      <c r="AF744" t="s">
        <v>5469</v>
      </c>
      <c r="AG744" t="s">
        <v>5470</v>
      </c>
      <c r="AH744">
        <v>1.46</v>
      </c>
      <c r="AI744">
        <v>3.17</v>
      </c>
      <c r="AJ744">
        <v>31.71</v>
      </c>
      <c r="AK744">
        <v>48.2</v>
      </c>
      <c r="AL744">
        <v>-1</v>
      </c>
      <c r="AM744">
        <v>-1.98</v>
      </c>
      <c r="AN744">
        <v>-44.89</v>
      </c>
      <c r="AO744">
        <v>6.69</v>
      </c>
      <c r="AP744">
        <v>-42.16</v>
      </c>
    </row>
    <row r="745" spans="1:42">
      <c r="A745">
        <v>744</v>
      </c>
      <c r="B745" t="str">
        <f>"300037"</f>
        <v>300037</v>
      </c>
      <c r="C745" t="s">
        <v>5471</v>
      </c>
      <c r="D745">
        <v>44.96</v>
      </c>
      <c r="E745">
        <v>0.72</v>
      </c>
      <c r="F745">
        <v>0.32</v>
      </c>
      <c r="G745" t="s">
        <v>5472</v>
      </c>
      <c r="H745">
        <v>607</v>
      </c>
      <c r="I745">
        <v>44.96</v>
      </c>
      <c r="J745">
        <v>44.98</v>
      </c>
      <c r="K745" t="s">
        <v>5465</v>
      </c>
      <c r="L745">
        <v>1.09</v>
      </c>
      <c r="M745" t="s">
        <v>46</v>
      </c>
      <c r="N745" t="s">
        <v>5473</v>
      </c>
      <c r="O745">
        <v>45.24</v>
      </c>
      <c r="P745">
        <v>44.05</v>
      </c>
      <c r="Q745">
        <v>44.5</v>
      </c>
      <c r="R745">
        <v>44.64</v>
      </c>
      <c r="S745">
        <v>2.67</v>
      </c>
      <c r="T745">
        <v>0.99</v>
      </c>
      <c r="U745">
        <v>-25.94</v>
      </c>
      <c r="V745">
        <v>-117</v>
      </c>
      <c r="W745">
        <v>44.76</v>
      </c>
      <c r="X745" t="s">
        <v>925</v>
      </c>
      <c r="Y745" t="s">
        <v>4610</v>
      </c>
      <c r="Z745">
        <v>1.08</v>
      </c>
      <c r="AA745">
        <v>13</v>
      </c>
      <c r="AB745">
        <v>63</v>
      </c>
      <c r="AC745">
        <v>3.91</v>
      </c>
      <c r="AD745" t="s">
        <v>5474</v>
      </c>
      <c r="AE745" t="s">
        <v>5475</v>
      </c>
      <c r="AF745" t="s">
        <v>5476</v>
      </c>
      <c r="AG745" t="s">
        <v>5477</v>
      </c>
      <c r="AH745">
        <v>6.19</v>
      </c>
      <c r="AI745">
        <v>2.91</v>
      </c>
      <c r="AJ745">
        <v>4.38</v>
      </c>
      <c r="AK745">
        <v>6.59</v>
      </c>
      <c r="AL745">
        <v>3</v>
      </c>
      <c r="AM745">
        <v>0.72</v>
      </c>
      <c r="AN745">
        <v>4.63</v>
      </c>
      <c r="AO745">
        <v>5.79</v>
      </c>
      <c r="AP745">
        <v>14.11</v>
      </c>
    </row>
    <row r="746" spans="1:42">
      <c r="A746">
        <v>745</v>
      </c>
      <c r="B746" t="str">
        <f>"688318"</f>
        <v>688318</v>
      </c>
      <c r="C746" t="s">
        <v>5478</v>
      </c>
      <c r="D746">
        <v>140.04</v>
      </c>
      <c r="E746">
        <v>0.46</v>
      </c>
      <c r="F746">
        <v>0.64</v>
      </c>
      <c r="G746" t="s">
        <v>1525</v>
      </c>
      <c r="H746">
        <v>269</v>
      </c>
      <c r="I746">
        <v>140.04</v>
      </c>
      <c r="J746">
        <v>140.05</v>
      </c>
      <c r="K746" t="s">
        <v>5465</v>
      </c>
      <c r="L746">
        <v>1.45</v>
      </c>
      <c r="M746" t="s">
        <v>46</v>
      </c>
      <c r="N746" t="s">
        <v>5479</v>
      </c>
      <c r="O746">
        <v>142</v>
      </c>
      <c r="P746">
        <v>137.51</v>
      </c>
      <c r="Q746">
        <v>138.66</v>
      </c>
      <c r="R746">
        <v>139.4</v>
      </c>
      <c r="S746">
        <v>3.22</v>
      </c>
      <c r="T746">
        <v>1.34</v>
      </c>
      <c r="U746">
        <v>34.79</v>
      </c>
      <c r="V746">
        <v>28</v>
      </c>
      <c r="W746">
        <v>139.81</v>
      </c>
      <c r="X746">
        <v>8369</v>
      </c>
      <c r="Y746" t="s">
        <v>218</v>
      </c>
      <c r="Z746">
        <v>0.79</v>
      </c>
      <c r="AA746">
        <v>11</v>
      </c>
      <c r="AB746">
        <v>3</v>
      </c>
      <c r="AC746">
        <v>5.51</v>
      </c>
      <c r="AD746" t="s">
        <v>5480</v>
      </c>
      <c r="AE746" t="s">
        <v>5481</v>
      </c>
      <c r="AF746" t="s">
        <v>5480</v>
      </c>
      <c r="AG746" t="s">
        <v>5481</v>
      </c>
      <c r="AH746">
        <v>3.15</v>
      </c>
      <c r="AI746">
        <v>1.92</v>
      </c>
      <c r="AJ746">
        <v>4.18</v>
      </c>
      <c r="AK746">
        <v>6.87</v>
      </c>
      <c r="AL746">
        <v>4</v>
      </c>
      <c r="AM746">
        <v>0.46</v>
      </c>
      <c r="AN746">
        <v>121.16</v>
      </c>
      <c r="AO746">
        <v>-5.4</v>
      </c>
      <c r="AP746">
        <v>122.04</v>
      </c>
    </row>
    <row r="747" spans="1:42">
      <c r="A747">
        <v>746</v>
      </c>
      <c r="B747" t="str">
        <f>"000821"</f>
        <v>000821</v>
      </c>
      <c r="C747" t="s">
        <v>5482</v>
      </c>
      <c r="D747">
        <v>15.17</v>
      </c>
      <c r="E747">
        <v>-0.33</v>
      </c>
      <c r="F747">
        <v>-0.05</v>
      </c>
      <c r="G747" t="s">
        <v>1403</v>
      </c>
      <c r="H747">
        <v>1715</v>
      </c>
      <c r="I747">
        <v>15.16</v>
      </c>
      <c r="J747">
        <v>15.17</v>
      </c>
      <c r="K747" t="s">
        <v>5465</v>
      </c>
      <c r="L747">
        <v>3.03</v>
      </c>
      <c r="M747" t="s">
        <v>46</v>
      </c>
      <c r="N747" t="s">
        <v>5483</v>
      </c>
      <c r="O747">
        <v>15.25</v>
      </c>
      <c r="P747">
        <v>14.9</v>
      </c>
      <c r="Q747">
        <v>15.05</v>
      </c>
      <c r="R747">
        <v>15.22</v>
      </c>
      <c r="S747">
        <v>2.3</v>
      </c>
      <c r="T747">
        <v>0.64</v>
      </c>
      <c r="U747">
        <v>35.4</v>
      </c>
      <c r="V747">
        <v>1976</v>
      </c>
      <c r="W747">
        <v>15.05</v>
      </c>
      <c r="X747" t="s">
        <v>5150</v>
      </c>
      <c r="Y747" t="s">
        <v>2967</v>
      </c>
      <c r="Z747">
        <v>1.07</v>
      </c>
      <c r="AA747">
        <v>1055</v>
      </c>
      <c r="AB747">
        <v>460</v>
      </c>
      <c r="AC747">
        <v>2.62</v>
      </c>
      <c r="AD747" t="s">
        <v>5484</v>
      </c>
      <c r="AE747" t="s">
        <v>5485</v>
      </c>
      <c r="AF747" t="s">
        <v>5486</v>
      </c>
      <c r="AG747" t="s">
        <v>5487</v>
      </c>
      <c r="AH747">
        <v>-3.13</v>
      </c>
      <c r="AI747">
        <v>-1.49</v>
      </c>
      <c r="AJ747">
        <v>9.96</v>
      </c>
      <c r="AK747">
        <v>26.82</v>
      </c>
      <c r="AL747">
        <v>-4</v>
      </c>
      <c r="AM747">
        <v>-0.33</v>
      </c>
      <c r="AN747">
        <v>-7.5</v>
      </c>
      <c r="AO747">
        <v>4.62</v>
      </c>
      <c r="AP747">
        <v>-21.88</v>
      </c>
    </row>
    <row r="748" spans="1:42">
      <c r="A748">
        <v>747</v>
      </c>
      <c r="B748" t="str">
        <f>"300098"</f>
        <v>300098</v>
      </c>
      <c r="C748" t="s">
        <v>5488</v>
      </c>
      <c r="D748">
        <v>4.55</v>
      </c>
      <c r="E748">
        <v>1.56</v>
      </c>
      <c r="F748">
        <v>0.07</v>
      </c>
      <c r="G748" t="s">
        <v>5489</v>
      </c>
      <c r="H748">
        <v>9139</v>
      </c>
      <c r="I748">
        <v>4.54</v>
      </c>
      <c r="J748">
        <v>4.55</v>
      </c>
      <c r="K748" t="s">
        <v>5490</v>
      </c>
      <c r="L748">
        <v>3.82</v>
      </c>
      <c r="M748" t="s">
        <v>46</v>
      </c>
      <c r="N748" t="s">
        <v>517</v>
      </c>
      <c r="O748">
        <v>4.56</v>
      </c>
      <c r="P748">
        <v>4.41</v>
      </c>
      <c r="Q748">
        <v>4.44</v>
      </c>
      <c r="R748">
        <v>4.48</v>
      </c>
      <c r="S748">
        <v>3.35</v>
      </c>
      <c r="T748">
        <v>0.77</v>
      </c>
      <c r="U748">
        <v>-4.38</v>
      </c>
      <c r="V748">
        <v>-1676</v>
      </c>
      <c r="W748">
        <v>4.49</v>
      </c>
      <c r="X748" t="s">
        <v>1348</v>
      </c>
      <c r="Y748" t="s">
        <v>1373</v>
      </c>
      <c r="Z748">
        <v>1.05</v>
      </c>
      <c r="AA748">
        <v>4288</v>
      </c>
      <c r="AB748">
        <v>1801</v>
      </c>
      <c r="AC748">
        <v>2.59</v>
      </c>
      <c r="AD748" t="s">
        <v>5491</v>
      </c>
      <c r="AE748" t="s">
        <v>5492</v>
      </c>
      <c r="AF748" t="s">
        <v>5493</v>
      </c>
      <c r="AG748" t="s">
        <v>5494</v>
      </c>
      <c r="AH748">
        <v>1.34</v>
      </c>
      <c r="AI748">
        <v>-6.76</v>
      </c>
      <c r="AJ748">
        <v>13.57</v>
      </c>
      <c r="AK748">
        <v>28.65</v>
      </c>
      <c r="AL748">
        <v>1</v>
      </c>
      <c r="AM748">
        <v>1.56</v>
      </c>
      <c r="AN748">
        <v>48.21</v>
      </c>
      <c r="AO748">
        <v>4.84</v>
      </c>
      <c r="AP748">
        <v>34.62</v>
      </c>
    </row>
    <row r="749" spans="1:42">
      <c r="A749">
        <v>748</v>
      </c>
      <c r="B749" t="str">
        <f>"688031"</f>
        <v>688031</v>
      </c>
      <c r="C749" t="s">
        <v>5495</v>
      </c>
      <c r="D749">
        <v>66.55</v>
      </c>
      <c r="E749">
        <v>6.31</v>
      </c>
      <c r="F749">
        <v>3.95</v>
      </c>
      <c r="G749" t="s">
        <v>1320</v>
      </c>
      <c r="H749">
        <v>431</v>
      </c>
      <c r="I749">
        <v>66.55</v>
      </c>
      <c r="J749">
        <v>66.56</v>
      </c>
      <c r="K749" t="s">
        <v>5490</v>
      </c>
      <c r="L749">
        <v>4.7</v>
      </c>
      <c r="M749" t="s">
        <v>46</v>
      </c>
      <c r="N749" t="s">
        <v>5496</v>
      </c>
      <c r="O749">
        <v>67.48</v>
      </c>
      <c r="P749">
        <v>61.8</v>
      </c>
      <c r="Q749">
        <v>62.59</v>
      </c>
      <c r="R749">
        <v>62.6</v>
      </c>
      <c r="S749">
        <v>9.07</v>
      </c>
      <c r="T749">
        <v>1.55</v>
      </c>
      <c r="U749">
        <v>-33.97</v>
      </c>
      <c r="V749">
        <v>-44</v>
      </c>
      <c r="W749">
        <v>64.93</v>
      </c>
      <c r="X749" t="s">
        <v>3165</v>
      </c>
      <c r="Y749" t="s">
        <v>1710</v>
      </c>
      <c r="Z749">
        <v>0.77</v>
      </c>
      <c r="AA749">
        <v>1</v>
      </c>
      <c r="AB749">
        <v>2</v>
      </c>
      <c r="AC749">
        <v>5.48</v>
      </c>
      <c r="AD749" t="s">
        <v>5497</v>
      </c>
      <c r="AE749" t="s">
        <v>5498</v>
      </c>
      <c r="AF749" t="s">
        <v>5499</v>
      </c>
      <c r="AG749" t="s">
        <v>5500</v>
      </c>
      <c r="AH749">
        <v>0.76</v>
      </c>
      <c r="AI749">
        <v>-4.19</v>
      </c>
      <c r="AJ749">
        <v>9.66</v>
      </c>
      <c r="AK749">
        <v>19.83</v>
      </c>
      <c r="AL749">
        <v>1</v>
      </c>
      <c r="AM749">
        <v>6.31</v>
      </c>
      <c r="AN749">
        <v>-26.87</v>
      </c>
      <c r="AO749">
        <v>20.78</v>
      </c>
      <c r="AP749">
        <v>-25.81</v>
      </c>
    </row>
    <row r="750" spans="1:42">
      <c r="A750">
        <v>749</v>
      </c>
      <c r="B750" t="str">
        <f>"000617"</f>
        <v>000617</v>
      </c>
      <c r="C750" t="s">
        <v>5501</v>
      </c>
      <c r="D750">
        <v>5.69</v>
      </c>
      <c r="E750">
        <v>-1.04</v>
      </c>
      <c r="F750">
        <v>-0.06</v>
      </c>
      <c r="G750" t="s">
        <v>1855</v>
      </c>
      <c r="H750">
        <v>4483</v>
      </c>
      <c r="I750">
        <v>5.69</v>
      </c>
      <c r="J750">
        <v>5.7</v>
      </c>
      <c r="K750" t="s">
        <v>5490</v>
      </c>
      <c r="L750">
        <v>0.37</v>
      </c>
      <c r="M750" t="s">
        <v>46</v>
      </c>
      <c r="N750" t="s">
        <v>5502</v>
      </c>
      <c r="O750">
        <v>5.71</v>
      </c>
      <c r="P750">
        <v>5.63</v>
      </c>
      <c r="Q750">
        <v>5.7</v>
      </c>
      <c r="R750">
        <v>5.75</v>
      </c>
      <c r="S750">
        <v>1.39</v>
      </c>
      <c r="T750">
        <v>1.07</v>
      </c>
      <c r="U750">
        <v>-0.09</v>
      </c>
      <c r="V750">
        <v>-42</v>
      </c>
      <c r="W750">
        <v>5.67</v>
      </c>
      <c r="X750" t="s">
        <v>1293</v>
      </c>
      <c r="Y750" t="s">
        <v>1328</v>
      </c>
      <c r="Z750">
        <v>1.39</v>
      </c>
      <c r="AA750">
        <v>821</v>
      </c>
      <c r="AB750">
        <v>7780</v>
      </c>
      <c r="AC750">
        <v>0.72</v>
      </c>
      <c r="AD750" t="s">
        <v>5503</v>
      </c>
      <c r="AE750" t="s">
        <v>5504</v>
      </c>
      <c r="AF750" t="s">
        <v>5503</v>
      </c>
      <c r="AG750" t="s">
        <v>5504</v>
      </c>
      <c r="AH750">
        <v>-1.04</v>
      </c>
      <c r="AI750">
        <v>-4.37</v>
      </c>
      <c r="AJ750">
        <v>1.1</v>
      </c>
      <c r="AK750">
        <v>2.1</v>
      </c>
      <c r="AL750">
        <v>-1</v>
      </c>
      <c r="AM750">
        <v>-1.04</v>
      </c>
      <c r="AN750">
        <v>4.4</v>
      </c>
      <c r="AO750">
        <v>-4.37</v>
      </c>
      <c r="AP750">
        <v>12.9</v>
      </c>
    </row>
    <row r="751" spans="1:42">
      <c r="A751">
        <v>750</v>
      </c>
      <c r="B751" t="str">
        <f>"002279"</f>
        <v>002279</v>
      </c>
      <c r="C751" t="s">
        <v>5505</v>
      </c>
      <c r="D751">
        <v>7.19</v>
      </c>
      <c r="E751">
        <v>2.57</v>
      </c>
      <c r="F751">
        <v>0.18</v>
      </c>
      <c r="G751" t="s">
        <v>221</v>
      </c>
      <c r="H751">
        <v>6999</v>
      </c>
      <c r="I751">
        <v>7.18</v>
      </c>
      <c r="J751">
        <v>7.19</v>
      </c>
      <c r="K751" t="s">
        <v>5490</v>
      </c>
      <c r="L751">
        <v>4.65</v>
      </c>
      <c r="M751" t="s">
        <v>46</v>
      </c>
      <c r="N751" t="s">
        <v>5506</v>
      </c>
      <c r="O751">
        <v>7.22</v>
      </c>
      <c r="P751">
        <v>7.01</v>
      </c>
      <c r="Q751">
        <v>7.01</v>
      </c>
      <c r="R751">
        <v>7.01</v>
      </c>
      <c r="S751">
        <v>3</v>
      </c>
      <c r="T751">
        <v>1.03</v>
      </c>
      <c r="U751">
        <v>-50.57</v>
      </c>
      <c r="V751" t="s">
        <v>5507</v>
      </c>
      <c r="W751">
        <v>7.15</v>
      </c>
      <c r="X751" t="s">
        <v>1376</v>
      </c>
      <c r="Y751" t="s">
        <v>351</v>
      </c>
      <c r="Z751">
        <v>0.58</v>
      </c>
      <c r="AA751">
        <v>2929</v>
      </c>
      <c r="AB751">
        <v>1394</v>
      </c>
      <c r="AC751">
        <v>3.69</v>
      </c>
      <c r="AD751" t="s">
        <v>5508</v>
      </c>
      <c r="AE751" t="s">
        <v>5509</v>
      </c>
      <c r="AF751" t="s">
        <v>5510</v>
      </c>
      <c r="AG751" t="s">
        <v>5511</v>
      </c>
      <c r="AH751">
        <v>0.98</v>
      </c>
      <c r="AI751">
        <v>-1.37</v>
      </c>
      <c r="AJ751">
        <v>15.09</v>
      </c>
      <c r="AK751">
        <v>27.12</v>
      </c>
      <c r="AL751">
        <v>1</v>
      </c>
      <c r="AM751">
        <v>2.57</v>
      </c>
      <c r="AN751">
        <v>1.84</v>
      </c>
      <c r="AO751">
        <v>7.63</v>
      </c>
      <c r="AP751">
        <v>16.16</v>
      </c>
    </row>
    <row r="752" spans="1:42">
      <c r="A752">
        <v>751</v>
      </c>
      <c r="B752" t="str">
        <f>"002123"</f>
        <v>002123</v>
      </c>
      <c r="C752" t="s">
        <v>5512</v>
      </c>
      <c r="D752">
        <v>15.7</v>
      </c>
      <c r="E752">
        <v>2.88</v>
      </c>
      <c r="F752">
        <v>0.44</v>
      </c>
      <c r="G752" t="s">
        <v>2859</v>
      </c>
      <c r="H752">
        <v>1776</v>
      </c>
      <c r="I752">
        <v>15.69</v>
      </c>
      <c r="J752">
        <v>15.7</v>
      </c>
      <c r="K752" t="s">
        <v>5490</v>
      </c>
      <c r="L752">
        <v>2.47</v>
      </c>
      <c r="M752" t="s">
        <v>46</v>
      </c>
      <c r="N752" t="s">
        <v>4899</v>
      </c>
      <c r="O752">
        <v>15.99</v>
      </c>
      <c r="P752">
        <v>15.23</v>
      </c>
      <c r="Q752">
        <v>15.3</v>
      </c>
      <c r="R752">
        <v>15.26</v>
      </c>
      <c r="S752">
        <v>4.98</v>
      </c>
      <c r="T752">
        <v>1.15</v>
      </c>
      <c r="U752">
        <v>-30.91</v>
      </c>
      <c r="V752">
        <v>-1045</v>
      </c>
      <c r="W752">
        <v>15.59</v>
      </c>
      <c r="X752" t="s">
        <v>5513</v>
      </c>
      <c r="Y752" t="s">
        <v>3402</v>
      </c>
      <c r="Z752">
        <v>0.64</v>
      </c>
      <c r="AA752">
        <v>394</v>
      </c>
      <c r="AB752">
        <v>706</v>
      </c>
      <c r="AC752">
        <v>3.68</v>
      </c>
      <c r="AD752" t="s">
        <v>5514</v>
      </c>
      <c r="AE752" t="s">
        <v>5515</v>
      </c>
      <c r="AF752" t="s">
        <v>5516</v>
      </c>
      <c r="AG752" t="s">
        <v>4187</v>
      </c>
      <c r="AH752">
        <v>-0.25</v>
      </c>
      <c r="AI752">
        <v>-4.38</v>
      </c>
      <c r="AJ752">
        <v>5.92</v>
      </c>
      <c r="AK752">
        <v>13.18</v>
      </c>
      <c r="AL752">
        <v>1</v>
      </c>
      <c r="AM752">
        <v>2.88</v>
      </c>
      <c r="AN752">
        <v>39.8</v>
      </c>
      <c r="AO752">
        <v>0.64</v>
      </c>
      <c r="AP752">
        <v>32.6</v>
      </c>
    </row>
    <row r="753" spans="1:42">
      <c r="A753">
        <v>752</v>
      </c>
      <c r="B753" t="str">
        <f>"600222"</f>
        <v>600222</v>
      </c>
      <c r="C753" t="s">
        <v>5517</v>
      </c>
      <c r="D753">
        <v>6.64</v>
      </c>
      <c r="E753">
        <v>-1.19</v>
      </c>
      <c r="F753">
        <v>-0.08</v>
      </c>
      <c r="G753" t="s">
        <v>1684</v>
      </c>
      <c r="H753">
        <v>5437</v>
      </c>
      <c r="I753">
        <v>6.64</v>
      </c>
      <c r="J753">
        <v>6.65</v>
      </c>
      <c r="K753" t="s">
        <v>5518</v>
      </c>
      <c r="L753">
        <v>6.89</v>
      </c>
      <c r="M753" t="s">
        <v>46</v>
      </c>
      <c r="N753" t="s">
        <v>2533</v>
      </c>
      <c r="O753">
        <v>6.8</v>
      </c>
      <c r="P753">
        <v>6.59</v>
      </c>
      <c r="Q753">
        <v>6.68</v>
      </c>
      <c r="R753">
        <v>6.72</v>
      </c>
      <c r="S753">
        <v>3.13</v>
      </c>
      <c r="T753">
        <v>0.53</v>
      </c>
      <c r="U753">
        <v>47.19</v>
      </c>
      <c r="V753">
        <v>7012</v>
      </c>
      <c r="W753">
        <v>6.66</v>
      </c>
      <c r="X753" t="s">
        <v>5519</v>
      </c>
      <c r="Y753" t="s">
        <v>1439</v>
      </c>
      <c r="Z753">
        <v>1.37</v>
      </c>
      <c r="AA753">
        <v>365</v>
      </c>
      <c r="AB753">
        <v>1033</v>
      </c>
      <c r="AC753">
        <v>2.63</v>
      </c>
      <c r="AD753" t="s">
        <v>1834</v>
      </c>
      <c r="AE753" t="s">
        <v>5195</v>
      </c>
      <c r="AF753" t="s">
        <v>1834</v>
      </c>
      <c r="AG753" t="s">
        <v>5195</v>
      </c>
      <c r="AH753">
        <v>-3.21</v>
      </c>
      <c r="AI753">
        <v>-9.66</v>
      </c>
      <c r="AJ753">
        <v>20.92</v>
      </c>
      <c r="AK753">
        <v>71.72</v>
      </c>
      <c r="AL753">
        <v>-1</v>
      </c>
      <c r="AM753">
        <v>-1.19</v>
      </c>
      <c r="AN753">
        <v>4.24</v>
      </c>
      <c r="AO753">
        <v>6.92</v>
      </c>
      <c r="AP753">
        <v>-31.05</v>
      </c>
    </row>
    <row r="754" spans="1:42">
      <c r="A754">
        <v>753</v>
      </c>
      <c r="B754" t="str">
        <f>"300568"</f>
        <v>300568</v>
      </c>
      <c r="C754" t="s">
        <v>5520</v>
      </c>
      <c r="D754">
        <v>14.8</v>
      </c>
      <c r="E754">
        <v>-1.07</v>
      </c>
      <c r="F754">
        <v>-0.16</v>
      </c>
      <c r="G754" t="s">
        <v>625</v>
      </c>
      <c r="H754">
        <v>2289</v>
      </c>
      <c r="I754">
        <v>14.8</v>
      </c>
      <c r="J754">
        <v>14.81</v>
      </c>
      <c r="K754" t="s">
        <v>5518</v>
      </c>
      <c r="L754">
        <v>1.54</v>
      </c>
      <c r="M754" t="s">
        <v>46</v>
      </c>
      <c r="N754" t="s">
        <v>5175</v>
      </c>
      <c r="O754">
        <v>15.04</v>
      </c>
      <c r="P754">
        <v>14.67</v>
      </c>
      <c r="Q754">
        <v>14.91</v>
      </c>
      <c r="R754">
        <v>14.96</v>
      </c>
      <c r="S754">
        <v>2.47</v>
      </c>
      <c r="T754">
        <v>0.44</v>
      </c>
      <c r="U754">
        <v>57.21</v>
      </c>
      <c r="V754">
        <v>2179</v>
      </c>
      <c r="W754">
        <v>14.84</v>
      </c>
      <c r="X754" t="s">
        <v>1232</v>
      </c>
      <c r="Y754" t="s">
        <v>2835</v>
      </c>
      <c r="Z754">
        <v>1.3</v>
      </c>
      <c r="AA754">
        <v>973</v>
      </c>
      <c r="AB754">
        <v>97</v>
      </c>
      <c r="AC754">
        <v>2.1</v>
      </c>
      <c r="AD754" t="s">
        <v>5521</v>
      </c>
      <c r="AE754" t="s">
        <v>5522</v>
      </c>
      <c r="AF754" t="s">
        <v>915</v>
      </c>
      <c r="AG754" t="s">
        <v>5523</v>
      </c>
      <c r="AH754">
        <v>-7.33</v>
      </c>
      <c r="AI754">
        <v>1.86</v>
      </c>
      <c r="AJ754">
        <v>9.06</v>
      </c>
      <c r="AK754">
        <v>19.08</v>
      </c>
      <c r="AL754">
        <v>-1</v>
      </c>
      <c r="AM754">
        <v>-1.07</v>
      </c>
      <c r="AN754">
        <v>-30.06</v>
      </c>
      <c r="AO754">
        <v>-1.2</v>
      </c>
      <c r="AP754">
        <v>-32.11</v>
      </c>
    </row>
    <row r="755" spans="1:42">
      <c r="A755">
        <v>754</v>
      </c>
      <c r="B755" t="str">
        <f>"603633"</f>
        <v>603633</v>
      </c>
      <c r="C755" t="s">
        <v>5524</v>
      </c>
      <c r="D755">
        <v>10.48</v>
      </c>
      <c r="E755">
        <v>-0.66</v>
      </c>
      <c r="F755">
        <v>-0.07</v>
      </c>
      <c r="G755" t="s">
        <v>273</v>
      </c>
      <c r="H755">
        <v>3110</v>
      </c>
      <c r="I755">
        <v>10.48</v>
      </c>
      <c r="J755">
        <v>10.49</v>
      </c>
      <c r="K755" t="s">
        <v>5518</v>
      </c>
      <c r="L755">
        <v>5.92</v>
      </c>
      <c r="M755" t="s">
        <v>46</v>
      </c>
      <c r="N755" t="s">
        <v>5525</v>
      </c>
      <c r="O755">
        <v>10.61</v>
      </c>
      <c r="P755">
        <v>10.21</v>
      </c>
      <c r="Q755">
        <v>10.42</v>
      </c>
      <c r="R755">
        <v>10.55</v>
      </c>
      <c r="S755">
        <v>3.79</v>
      </c>
      <c r="T755">
        <v>1.67</v>
      </c>
      <c r="U755">
        <v>17.18</v>
      </c>
      <c r="V755">
        <v>462</v>
      </c>
      <c r="W755">
        <v>10.41</v>
      </c>
      <c r="X755" t="s">
        <v>2753</v>
      </c>
      <c r="Y755" t="s">
        <v>2960</v>
      </c>
      <c r="Z755">
        <v>1.18</v>
      </c>
      <c r="AA755">
        <v>155</v>
      </c>
      <c r="AB755">
        <v>115</v>
      </c>
      <c r="AC755">
        <v>2.34</v>
      </c>
      <c r="AD755" t="s">
        <v>5526</v>
      </c>
      <c r="AE755" t="s">
        <v>4321</v>
      </c>
      <c r="AF755" t="s">
        <v>5526</v>
      </c>
      <c r="AG755" t="s">
        <v>4321</v>
      </c>
      <c r="AH755">
        <v>5.22</v>
      </c>
      <c r="AI755">
        <v>6.07</v>
      </c>
      <c r="AJ755">
        <v>18.32</v>
      </c>
      <c r="AK755">
        <v>23.69</v>
      </c>
      <c r="AL755">
        <v>-1</v>
      </c>
      <c r="AM755">
        <v>-0.66</v>
      </c>
      <c r="AN755">
        <v>-6.09</v>
      </c>
      <c r="AO755">
        <v>6.5</v>
      </c>
      <c r="AP755">
        <v>-15.28</v>
      </c>
    </row>
    <row r="756" spans="1:42">
      <c r="A756">
        <v>755</v>
      </c>
      <c r="B756" t="str">
        <f>"601766"</f>
        <v>601766</v>
      </c>
      <c r="C756" t="s">
        <v>5527</v>
      </c>
      <c r="D756">
        <v>5.26</v>
      </c>
      <c r="E756">
        <v>1.15</v>
      </c>
      <c r="F756">
        <v>0.06</v>
      </c>
      <c r="G756" t="s">
        <v>5528</v>
      </c>
      <c r="H756">
        <v>4068</v>
      </c>
      <c r="I756">
        <v>5.26</v>
      </c>
      <c r="J756">
        <v>5.27</v>
      </c>
      <c r="K756" t="s">
        <v>5518</v>
      </c>
      <c r="L756">
        <v>0.21</v>
      </c>
      <c r="M756" t="s">
        <v>46</v>
      </c>
      <c r="N756" t="s">
        <v>5529</v>
      </c>
      <c r="O756">
        <v>5.27</v>
      </c>
      <c r="P756">
        <v>5.17</v>
      </c>
      <c r="Q756">
        <v>5.21</v>
      </c>
      <c r="R756">
        <v>5.2</v>
      </c>
      <c r="S756">
        <v>1.92</v>
      </c>
      <c r="T756">
        <v>1.13</v>
      </c>
      <c r="U756">
        <v>-34.18</v>
      </c>
      <c r="V756" t="s">
        <v>5530</v>
      </c>
      <c r="W756">
        <v>5.24</v>
      </c>
      <c r="X756" t="s">
        <v>2419</v>
      </c>
      <c r="Y756" t="s">
        <v>2436</v>
      </c>
      <c r="Z756">
        <v>0.74</v>
      </c>
      <c r="AA756">
        <v>4409</v>
      </c>
      <c r="AB756">
        <v>6657</v>
      </c>
      <c r="AC756">
        <v>0.97</v>
      </c>
      <c r="AD756" t="s">
        <v>5531</v>
      </c>
      <c r="AE756" t="s">
        <v>5532</v>
      </c>
      <c r="AF756" t="s">
        <v>2363</v>
      </c>
      <c r="AG756" t="s">
        <v>5533</v>
      </c>
      <c r="AH756">
        <v>0.96</v>
      </c>
      <c r="AI756">
        <v>-0.94</v>
      </c>
      <c r="AJ756">
        <v>0.55</v>
      </c>
      <c r="AK756">
        <v>1.12</v>
      </c>
      <c r="AL756">
        <v>2</v>
      </c>
      <c r="AM756">
        <v>1.15</v>
      </c>
      <c r="AN756">
        <v>7.13</v>
      </c>
      <c r="AO756">
        <v>-1.68</v>
      </c>
      <c r="AP756">
        <v>1.54</v>
      </c>
    </row>
    <row r="757" spans="1:42">
      <c r="A757">
        <v>756</v>
      </c>
      <c r="B757" t="str">
        <f>"001278"</f>
        <v>001278</v>
      </c>
      <c r="C757" t="s">
        <v>5534</v>
      </c>
      <c r="D757">
        <v>27.48</v>
      </c>
      <c r="E757">
        <v>-5.31</v>
      </c>
      <c r="F757">
        <v>-1.54</v>
      </c>
      <c r="G757" t="s">
        <v>3463</v>
      </c>
      <c r="H757">
        <v>2025</v>
      </c>
      <c r="I757">
        <v>27.48</v>
      </c>
      <c r="J757">
        <v>27.49</v>
      </c>
      <c r="K757" t="s">
        <v>5518</v>
      </c>
      <c r="L757">
        <v>30.78</v>
      </c>
      <c r="M757" t="s">
        <v>46</v>
      </c>
      <c r="N757" t="s">
        <v>5535</v>
      </c>
      <c r="O757">
        <v>28.2</v>
      </c>
      <c r="P757">
        <v>27.09</v>
      </c>
      <c r="Q757">
        <v>28.08</v>
      </c>
      <c r="R757">
        <v>29.02</v>
      </c>
      <c r="S757">
        <v>3.82</v>
      </c>
      <c r="T757">
        <v>0.7</v>
      </c>
      <c r="U757">
        <v>74.5</v>
      </c>
      <c r="V757">
        <v>1478</v>
      </c>
      <c r="W757">
        <v>27.59</v>
      </c>
      <c r="X757" t="s">
        <v>4381</v>
      </c>
      <c r="Y757" t="s">
        <v>1312</v>
      </c>
      <c r="Z757">
        <v>1.56</v>
      </c>
      <c r="AA757">
        <v>628</v>
      </c>
      <c r="AB757">
        <v>33</v>
      </c>
      <c r="AC757">
        <v>2.71</v>
      </c>
      <c r="AD757" t="s">
        <v>5536</v>
      </c>
      <c r="AE757" t="s">
        <v>5537</v>
      </c>
      <c r="AF757" t="s">
        <v>5538</v>
      </c>
      <c r="AG757" t="s">
        <v>5539</v>
      </c>
      <c r="AH757">
        <v>0.96</v>
      </c>
      <c r="AI757">
        <v>-12.62</v>
      </c>
      <c r="AJ757">
        <v>114.73</v>
      </c>
      <c r="AK757">
        <v>250.32</v>
      </c>
      <c r="AL757">
        <v>-1</v>
      </c>
      <c r="AM757">
        <v>-5.31</v>
      </c>
      <c r="AN757">
        <v>62.51</v>
      </c>
      <c r="AO757">
        <v>19.53</v>
      </c>
      <c r="AP757">
        <v>62.51</v>
      </c>
    </row>
    <row r="758" spans="1:42">
      <c r="A758">
        <v>757</v>
      </c>
      <c r="B758" t="str">
        <f>"000421"</f>
        <v>000421</v>
      </c>
      <c r="C758" t="s">
        <v>5540</v>
      </c>
      <c r="D758">
        <v>5.72</v>
      </c>
      <c r="E758">
        <v>1.78</v>
      </c>
      <c r="F758">
        <v>0.1</v>
      </c>
      <c r="G758" t="s">
        <v>3533</v>
      </c>
      <c r="H758">
        <v>2621</v>
      </c>
      <c r="I758">
        <v>5.72</v>
      </c>
      <c r="J758">
        <v>5.73</v>
      </c>
      <c r="K758" t="s">
        <v>5518</v>
      </c>
      <c r="L758">
        <v>7.88</v>
      </c>
      <c r="M758" t="s">
        <v>46</v>
      </c>
      <c r="N758" t="s">
        <v>4899</v>
      </c>
      <c r="O758">
        <v>6.15</v>
      </c>
      <c r="P758">
        <v>5.63</v>
      </c>
      <c r="Q758">
        <v>5.78</v>
      </c>
      <c r="R758">
        <v>5.62</v>
      </c>
      <c r="S758">
        <v>9.25</v>
      </c>
      <c r="T758">
        <v>4.4</v>
      </c>
      <c r="U758">
        <v>3.4</v>
      </c>
      <c r="V758">
        <v>106</v>
      </c>
      <c r="W758">
        <v>5.82</v>
      </c>
      <c r="X758" t="s">
        <v>1007</v>
      </c>
      <c r="Y758" t="s">
        <v>290</v>
      </c>
      <c r="Z758">
        <v>0.88</v>
      </c>
      <c r="AA758">
        <v>390</v>
      </c>
      <c r="AB758">
        <v>399</v>
      </c>
      <c r="AC758">
        <v>1.16</v>
      </c>
      <c r="AD758" t="s">
        <v>5541</v>
      </c>
      <c r="AE758" t="s">
        <v>2955</v>
      </c>
      <c r="AF758" t="s">
        <v>5542</v>
      </c>
      <c r="AG758" t="s">
        <v>5543</v>
      </c>
      <c r="AH758">
        <v>4.95</v>
      </c>
      <c r="AI758">
        <v>5.15</v>
      </c>
      <c r="AJ758">
        <v>14.21</v>
      </c>
      <c r="AK758">
        <v>16.84</v>
      </c>
      <c r="AL758">
        <v>2</v>
      </c>
      <c r="AM758">
        <v>1.78</v>
      </c>
      <c r="AN758">
        <v>19.42</v>
      </c>
      <c r="AO758">
        <v>9.16</v>
      </c>
      <c r="AP758">
        <v>16.97</v>
      </c>
    </row>
    <row r="759" spans="1:42">
      <c r="A759">
        <v>758</v>
      </c>
      <c r="B759" t="str">
        <f>"300027"</f>
        <v>300027</v>
      </c>
      <c r="C759" t="s">
        <v>5544</v>
      </c>
      <c r="D759">
        <v>2.79</v>
      </c>
      <c r="E759">
        <v>5.28</v>
      </c>
      <c r="F759">
        <v>0.14</v>
      </c>
      <c r="G759" t="s">
        <v>5545</v>
      </c>
      <c r="H759" t="s">
        <v>141</v>
      </c>
      <c r="I759">
        <v>2.78</v>
      </c>
      <c r="J759">
        <v>2.79</v>
      </c>
      <c r="K759" t="s">
        <v>3982</v>
      </c>
      <c r="L759">
        <v>3.96</v>
      </c>
      <c r="M759" t="s">
        <v>46</v>
      </c>
      <c r="N759" t="s">
        <v>2996</v>
      </c>
      <c r="O759">
        <v>2.8</v>
      </c>
      <c r="P759">
        <v>2.64</v>
      </c>
      <c r="Q759">
        <v>2.64</v>
      </c>
      <c r="R759">
        <v>2.65</v>
      </c>
      <c r="S759">
        <v>6.04</v>
      </c>
      <c r="T759">
        <v>1.99</v>
      </c>
      <c r="U759">
        <v>-49.01</v>
      </c>
      <c r="V759" t="s">
        <v>5546</v>
      </c>
      <c r="W759">
        <v>2.74</v>
      </c>
      <c r="X759" t="s">
        <v>3849</v>
      </c>
      <c r="Y759" t="s">
        <v>5547</v>
      </c>
      <c r="Z759">
        <v>0.51</v>
      </c>
      <c r="AA759">
        <v>6541</v>
      </c>
      <c r="AB759">
        <v>9007</v>
      </c>
      <c r="AC759">
        <v>7.6</v>
      </c>
      <c r="AD759" t="s">
        <v>5548</v>
      </c>
      <c r="AE759" t="s">
        <v>5549</v>
      </c>
      <c r="AF759" t="s">
        <v>5550</v>
      </c>
      <c r="AG759" t="s">
        <v>5551</v>
      </c>
      <c r="AH759">
        <v>3.72</v>
      </c>
      <c r="AI759">
        <v>1.09</v>
      </c>
      <c r="AJ759">
        <v>6.76</v>
      </c>
      <c r="AK759">
        <v>13.92</v>
      </c>
      <c r="AL759">
        <v>2</v>
      </c>
      <c r="AM759">
        <v>5.28</v>
      </c>
      <c r="AN759">
        <v>0.36</v>
      </c>
      <c r="AO759">
        <v>5.68</v>
      </c>
      <c r="AP759">
        <v>23.45</v>
      </c>
    </row>
    <row r="760" spans="1:42">
      <c r="A760">
        <v>759</v>
      </c>
      <c r="B760" t="str">
        <f>"002519"</f>
        <v>002519</v>
      </c>
      <c r="C760" t="s">
        <v>5552</v>
      </c>
      <c r="D760">
        <v>6.36</v>
      </c>
      <c r="E760">
        <v>0.32</v>
      </c>
      <c r="F760">
        <v>0.02</v>
      </c>
      <c r="G760" t="s">
        <v>2057</v>
      </c>
      <c r="H760">
        <v>8235</v>
      </c>
      <c r="I760">
        <v>6.36</v>
      </c>
      <c r="J760">
        <v>6.37</v>
      </c>
      <c r="K760" t="s">
        <v>3982</v>
      </c>
      <c r="L760">
        <v>3.75</v>
      </c>
      <c r="M760" t="s">
        <v>46</v>
      </c>
      <c r="N760" t="s">
        <v>1591</v>
      </c>
      <c r="O760">
        <v>6.36</v>
      </c>
      <c r="P760">
        <v>6.18</v>
      </c>
      <c r="Q760">
        <v>6.25</v>
      </c>
      <c r="R760">
        <v>6.34</v>
      </c>
      <c r="S760">
        <v>2.84</v>
      </c>
      <c r="T760">
        <v>1.26</v>
      </c>
      <c r="U760">
        <v>44.55</v>
      </c>
      <c r="V760" t="s">
        <v>5553</v>
      </c>
      <c r="W760">
        <v>6.26</v>
      </c>
      <c r="X760" t="s">
        <v>3809</v>
      </c>
      <c r="Y760" t="s">
        <v>553</v>
      </c>
      <c r="Z760">
        <v>0.97</v>
      </c>
      <c r="AA760" t="s">
        <v>4443</v>
      </c>
      <c r="AB760">
        <v>7290</v>
      </c>
      <c r="AC760">
        <v>2.31</v>
      </c>
      <c r="AD760" t="s">
        <v>1581</v>
      </c>
      <c r="AE760" t="s">
        <v>5554</v>
      </c>
      <c r="AF760" t="s">
        <v>5555</v>
      </c>
      <c r="AG760" t="s">
        <v>5556</v>
      </c>
      <c r="AH760">
        <v>1.6</v>
      </c>
      <c r="AI760">
        <v>2.58</v>
      </c>
      <c r="AJ760">
        <v>11.94</v>
      </c>
      <c r="AK760">
        <v>18.66</v>
      </c>
      <c r="AL760">
        <v>5</v>
      </c>
      <c r="AM760">
        <v>0.32</v>
      </c>
      <c r="AN760">
        <v>42.92</v>
      </c>
      <c r="AO760">
        <v>7.43</v>
      </c>
      <c r="AP760">
        <v>29.27</v>
      </c>
    </row>
    <row r="761" spans="1:42">
      <c r="A761">
        <v>760</v>
      </c>
      <c r="B761" t="str">
        <f>"688234"</f>
        <v>688234</v>
      </c>
      <c r="C761" t="s">
        <v>5557</v>
      </c>
      <c r="D761">
        <v>73.24</v>
      </c>
      <c r="E761">
        <v>0.47</v>
      </c>
      <c r="F761">
        <v>0.34</v>
      </c>
      <c r="G761" t="s">
        <v>4148</v>
      </c>
      <c r="H761">
        <v>220</v>
      </c>
      <c r="I761">
        <v>73.22</v>
      </c>
      <c r="J761">
        <v>73.24</v>
      </c>
      <c r="K761" t="s">
        <v>3982</v>
      </c>
      <c r="L761">
        <v>1.36</v>
      </c>
      <c r="M761" t="s">
        <v>46</v>
      </c>
      <c r="N761" t="s">
        <v>5558</v>
      </c>
      <c r="O761">
        <v>75.16</v>
      </c>
      <c r="P761">
        <v>72.3</v>
      </c>
      <c r="Q761">
        <v>73.05</v>
      </c>
      <c r="R761">
        <v>72.9</v>
      </c>
      <c r="S761">
        <v>3.92</v>
      </c>
      <c r="T761">
        <v>0.65</v>
      </c>
      <c r="U761">
        <v>-78.4</v>
      </c>
      <c r="V761">
        <v>-165</v>
      </c>
      <c r="W761">
        <v>73.47</v>
      </c>
      <c r="X761" t="s">
        <v>2575</v>
      </c>
      <c r="Y761" t="s">
        <v>3069</v>
      </c>
      <c r="Z761">
        <v>0.97</v>
      </c>
      <c r="AA761">
        <v>6</v>
      </c>
      <c r="AB761">
        <v>77</v>
      </c>
      <c r="AC761">
        <v>6.08</v>
      </c>
      <c r="AD761" t="s">
        <v>5559</v>
      </c>
      <c r="AE761" t="s">
        <v>5560</v>
      </c>
      <c r="AF761" t="s">
        <v>5561</v>
      </c>
      <c r="AG761" t="s">
        <v>5562</v>
      </c>
      <c r="AH761">
        <v>3.45</v>
      </c>
      <c r="AI761">
        <v>5.56</v>
      </c>
      <c r="AJ761">
        <v>6.24</v>
      </c>
      <c r="AK761">
        <v>11.78</v>
      </c>
      <c r="AL761">
        <v>1</v>
      </c>
      <c r="AM761">
        <v>0.47</v>
      </c>
      <c r="AN761">
        <v>-6.1</v>
      </c>
      <c r="AO761">
        <v>17.32</v>
      </c>
      <c r="AP761">
        <v>-27.28</v>
      </c>
    </row>
    <row r="762" spans="1:42">
      <c r="A762">
        <v>761</v>
      </c>
      <c r="B762" t="str">
        <f>"300541"</f>
        <v>300541</v>
      </c>
      <c r="C762" t="s">
        <v>5563</v>
      </c>
      <c r="D762">
        <v>16.74</v>
      </c>
      <c r="E762">
        <v>2.57</v>
      </c>
      <c r="F762">
        <v>0.42</v>
      </c>
      <c r="G762" t="s">
        <v>5021</v>
      </c>
      <c r="H762">
        <v>2979</v>
      </c>
      <c r="I762">
        <v>16.73</v>
      </c>
      <c r="J762">
        <v>16.74</v>
      </c>
      <c r="K762" t="s">
        <v>3982</v>
      </c>
      <c r="L762">
        <v>6.15</v>
      </c>
      <c r="M762" t="s">
        <v>46</v>
      </c>
      <c r="N762" t="s">
        <v>4531</v>
      </c>
      <c r="O762">
        <v>16.83</v>
      </c>
      <c r="P762">
        <v>16.2</v>
      </c>
      <c r="Q762">
        <v>16.32</v>
      </c>
      <c r="R762">
        <v>16.32</v>
      </c>
      <c r="S762">
        <v>3.86</v>
      </c>
      <c r="T762">
        <v>1.16</v>
      </c>
      <c r="U762">
        <v>-27.07</v>
      </c>
      <c r="V762">
        <v>-688</v>
      </c>
      <c r="W762">
        <v>16.55</v>
      </c>
      <c r="X762" t="s">
        <v>5564</v>
      </c>
      <c r="Y762" t="s">
        <v>3274</v>
      </c>
      <c r="Z762">
        <v>1.01</v>
      </c>
      <c r="AA762">
        <v>339</v>
      </c>
      <c r="AB762">
        <v>31</v>
      </c>
      <c r="AC762">
        <v>3.49</v>
      </c>
      <c r="AD762" t="s">
        <v>5565</v>
      </c>
      <c r="AE762" t="s">
        <v>5566</v>
      </c>
      <c r="AF762" t="s">
        <v>5567</v>
      </c>
      <c r="AG762" t="s">
        <v>5568</v>
      </c>
      <c r="AH762">
        <v>0.54</v>
      </c>
      <c r="AI762">
        <v>-4.67</v>
      </c>
      <c r="AJ762">
        <v>15.54</v>
      </c>
      <c r="AK762">
        <v>32.61</v>
      </c>
      <c r="AL762">
        <v>2</v>
      </c>
      <c r="AM762">
        <v>2.57</v>
      </c>
      <c r="AN762">
        <v>48.8</v>
      </c>
      <c r="AO762">
        <v>3.91</v>
      </c>
      <c r="AP762">
        <v>32.02</v>
      </c>
    </row>
    <row r="763" spans="1:42">
      <c r="A763">
        <v>762</v>
      </c>
      <c r="B763" t="str">
        <f>"300534"</f>
        <v>300534</v>
      </c>
      <c r="C763" t="s">
        <v>5569</v>
      </c>
      <c r="D763">
        <v>10.78</v>
      </c>
      <c r="E763">
        <v>-1.28</v>
      </c>
      <c r="F763">
        <v>-0.14</v>
      </c>
      <c r="G763" t="s">
        <v>1537</v>
      </c>
      <c r="H763">
        <v>4203</v>
      </c>
      <c r="I763">
        <v>10.78</v>
      </c>
      <c r="J763">
        <v>10.79</v>
      </c>
      <c r="K763" t="s">
        <v>5570</v>
      </c>
      <c r="L763">
        <v>7.99</v>
      </c>
      <c r="M763" t="s">
        <v>46</v>
      </c>
      <c r="N763" t="s">
        <v>5571</v>
      </c>
      <c r="O763">
        <v>11.15</v>
      </c>
      <c r="P763">
        <v>10.68</v>
      </c>
      <c r="Q763">
        <v>10.85</v>
      </c>
      <c r="R763">
        <v>10.92</v>
      </c>
      <c r="S763">
        <v>4.3</v>
      </c>
      <c r="T763">
        <v>0.6</v>
      </c>
      <c r="U763">
        <v>30.5</v>
      </c>
      <c r="V763">
        <v>790</v>
      </c>
      <c r="W763">
        <v>10.86</v>
      </c>
      <c r="X763" t="s">
        <v>1986</v>
      </c>
      <c r="Y763" t="s">
        <v>4356</v>
      </c>
      <c r="Z763">
        <v>1.09</v>
      </c>
      <c r="AA763">
        <v>104</v>
      </c>
      <c r="AB763">
        <v>388</v>
      </c>
      <c r="AC763">
        <v>5.3</v>
      </c>
      <c r="AD763" t="s">
        <v>5572</v>
      </c>
      <c r="AE763" t="s">
        <v>5573</v>
      </c>
      <c r="AF763" t="s">
        <v>5574</v>
      </c>
      <c r="AG763" t="s">
        <v>5575</v>
      </c>
      <c r="AH763">
        <v>-2.71</v>
      </c>
      <c r="AI763">
        <v>-0.74</v>
      </c>
      <c r="AJ763">
        <v>24.19</v>
      </c>
      <c r="AK763">
        <v>74.63</v>
      </c>
      <c r="AL763">
        <v>-1</v>
      </c>
      <c r="AM763">
        <v>-1.28</v>
      </c>
      <c r="AN763">
        <v>21.53</v>
      </c>
      <c r="AO763">
        <v>10.22</v>
      </c>
      <c r="AP763">
        <v>-4.43</v>
      </c>
    </row>
    <row r="764" spans="1:42">
      <c r="A764">
        <v>763</v>
      </c>
      <c r="B764" t="str">
        <f>"000799"</f>
        <v>000799</v>
      </c>
      <c r="C764" t="s">
        <v>5576</v>
      </c>
      <c r="D764">
        <v>71.93</v>
      </c>
      <c r="E764">
        <v>0.74</v>
      </c>
      <c r="F764">
        <v>0.53</v>
      </c>
      <c r="G764" t="s">
        <v>1313</v>
      </c>
      <c r="H764">
        <v>333</v>
      </c>
      <c r="I764">
        <v>71.93</v>
      </c>
      <c r="J764">
        <v>71.94</v>
      </c>
      <c r="K764" t="s">
        <v>5570</v>
      </c>
      <c r="L764">
        <v>1.13</v>
      </c>
      <c r="M764" t="s">
        <v>46</v>
      </c>
      <c r="N764" t="s">
        <v>5577</v>
      </c>
      <c r="O764">
        <v>72.08</v>
      </c>
      <c r="P764">
        <v>70.35</v>
      </c>
      <c r="Q764">
        <v>71.26</v>
      </c>
      <c r="R764">
        <v>71.4</v>
      </c>
      <c r="S764">
        <v>2.42</v>
      </c>
      <c r="T764">
        <v>1.17</v>
      </c>
      <c r="U764">
        <v>-15.38</v>
      </c>
      <c r="V764">
        <v>-60</v>
      </c>
      <c r="W764">
        <v>71.13</v>
      </c>
      <c r="X764" t="s">
        <v>60</v>
      </c>
      <c r="Y764" t="s">
        <v>5578</v>
      </c>
      <c r="Z764">
        <v>0.95</v>
      </c>
      <c r="AA764">
        <v>80</v>
      </c>
      <c r="AB764">
        <v>30</v>
      </c>
      <c r="AC764">
        <v>5.55</v>
      </c>
      <c r="AD764" t="s">
        <v>5579</v>
      </c>
      <c r="AE764" t="s">
        <v>5580</v>
      </c>
      <c r="AF764" t="s">
        <v>5579</v>
      </c>
      <c r="AG764" t="s">
        <v>5580</v>
      </c>
      <c r="AH764">
        <v>-0.65</v>
      </c>
      <c r="AI764">
        <v>-4.48</v>
      </c>
      <c r="AJ764">
        <v>3.07</v>
      </c>
      <c r="AK764">
        <v>5.94</v>
      </c>
      <c r="AL764">
        <v>1</v>
      </c>
      <c r="AM764">
        <v>0.74</v>
      </c>
      <c r="AN764">
        <v>-47.36</v>
      </c>
      <c r="AO764">
        <v>-5.31</v>
      </c>
      <c r="AP764">
        <v>-38.23</v>
      </c>
    </row>
    <row r="765" spans="1:42">
      <c r="A765">
        <v>764</v>
      </c>
      <c r="B765" t="str">
        <f>"300811"</f>
        <v>300811</v>
      </c>
      <c r="C765" t="s">
        <v>5581</v>
      </c>
      <c r="D765">
        <v>55.09</v>
      </c>
      <c r="E765">
        <v>1.08</v>
      </c>
      <c r="F765">
        <v>0.59</v>
      </c>
      <c r="G765" t="s">
        <v>5582</v>
      </c>
      <c r="H765">
        <v>936</v>
      </c>
      <c r="I765">
        <v>55.08</v>
      </c>
      <c r="J765">
        <v>55.09</v>
      </c>
      <c r="K765" t="s">
        <v>5583</v>
      </c>
      <c r="L765">
        <v>3.03</v>
      </c>
      <c r="M765" t="s">
        <v>46</v>
      </c>
      <c r="N765" t="s">
        <v>5584</v>
      </c>
      <c r="O765">
        <v>55.6</v>
      </c>
      <c r="P765">
        <v>54.25</v>
      </c>
      <c r="Q765">
        <v>55.18</v>
      </c>
      <c r="R765">
        <v>54.5</v>
      </c>
      <c r="S765">
        <v>2.48</v>
      </c>
      <c r="T765">
        <v>0.91</v>
      </c>
      <c r="U765">
        <v>-71.71</v>
      </c>
      <c r="V765">
        <v>-218</v>
      </c>
      <c r="W765">
        <v>54.97</v>
      </c>
      <c r="X765" t="s">
        <v>3032</v>
      </c>
      <c r="Y765" t="s">
        <v>5585</v>
      </c>
      <c r="Z765">
        <v>1.43</v>
      </c>
      <c r="AA765">
        <v>7</v>
      </c>
      <c r="AB765">
        <v>47</v>
      </c>
      <c r="AC765">
        <v>6.01</v>
      </c>
      <c r="AD765" t="s">
        <v>5586</v>
      </c>
      <c r="AE765" t="s">
        <v>5587</v>
      </c>
      <c r="AF765" t="s">
        <v>5588</v>
      </c>
      <c r="AG765" t="s">
        <v>5589</v>
      </c>
      <c r="AH765">
        <v>0.35</v>
      </c>
      <c r="AI765">
        <v>-5.52</v>
      </c>
      <c r="AJ765">
        <v>7.82</v>
      </c>
      <c r="AK765">
        <v>19.73</v>
      </c>
      <c r="AL765">
        <v>1</v>
      </c>
      <c r="AM765">
        <v>1.08</v>
      </c>
      <c r="AN765">
        <v>14.94</v>
      </c>
      <c r="AO765">
        <v>25.26</v>
      </c>
      <c r="AP765">
        <v>8.68</v>
      </c>
    </row>
    <row r="766" spans="1:42">
      <c r="A766">
        <v>765</v>
      </c>
      <c r="B766" t="str">
        <f>"000733"</f>
        <v>000733</v>
      </c>
      <c r="C766" t="s">
        <v>5590</v>
      </c>
      <c r="D766">
        <v>64.43</v>
      </c>
      <c r="E766">
        <v>-0.29</v>
      </c>
      <c r="F766">
        <v>-0.19</v>
      </c>
      <c r="G766" t="s">
        <v>3373</v>
      </c>
      <c r="H766">
        <v>313</v>
      </c>
      <c r="I766">
        <v>64.43</v>
      </c>
      <c r="J766">
        <v>64.5</v>
      </c>
      <c r="K766" t="s">
        <v>5583</v>
      </c>
      <c r="L766">
        <v>0.78</v>
      </c>
      <c r="M766" t="s">
        <v>46</v>
      </c>
      <c r="N766" t="s">
        <v>5591</v>
      </c>
      <c r="O766">
        <v>64.78</v>
      </c>
      <c r="P766">
        <v>63.53</v>
      </c>
      <c r="Q766">
        <v>64.62</v>
      </c>
      <c r="R766">
        <v>64.62</v>
      </c>
      <c r="S766">
        <v>1.93</v>
      </c>
      <c r="T766">
        <v>0.95</v>
      </c>
      <c r="U766">
        <v>63.21</v>
      </c>
      <c r="V766">
        <v>268</v>
      </c>
      <c r="W766">
        <v>64.2</v>
      </c>
      <c r="X766" t="s">
        <v>5592</v>
      </c>
      <c r="Y766" t="s">
        <v>5585</v>
      </c>
      <c r="Z766">
        <v>1.07</v>
      </c>
      <c r="AA766">
        <v>1</v>
      </c>
      <c r="AB766">
        <v>5</v>
      </c>
      <c r="AC766">
        <v>2.59</v>
      </c>
      <c r="AD766" t="s">
        <v>5593</v>
      </c>
      <c r="AE766" t="s">
        <v>5594</v>
      </c>
      <c r="AF766" t="s">
        <v>5595</v>
      </c>
      <c r="AG766" t="s">
        <v>5596</v>
      </c>
      <c r="AH766">
        <v>-1.93</v>
      </c>
      <c r="AI766">
        <v>-5.32</v>
      </c>
      <c r="AJ766">
        <v>2.45</v>
      </c>
      <c r="AK766">
        <v>4.87</v>
      </c>
      <c r="AL766">
        <v>-2</v>
      </c>
      <c r="AM766">
        <v>-0.29</v>
      </c>
      <c r="AN766">
        <v>-43.03</v>
      </c>
      <c r="AO766">
        <v>-2.45</v>
      </c>
      <c r="AP766">
        <v>-46.02</v>
      </c>
    </row>
    <row r="767" spans="1:42">
      <c r="A767">
        <v>766</v>
      </c>
      <c r="B767" t="str">
        <f>"601116"</f>
        <v>601116</v>
      </c>
      <c r="C767" t="s">
        <v>5597</v>
      </c>
      <c r="D767">
        <v>12.36</v>
      </c>
      <c r="E767">
        <v>-2.22</v>
      </c>
      <c r="F767">
        <v>-0.28</v>
      </c>
      <c r="G767" t="s">
        <v>2930</v>
      </c>
      <c r="H767">
        <v>1511</v>
      </c>
      <c r="I767">
        <v>12.36</v>
      </c>
      <c r="J767">
        <v>12.38</v>
      </c>
      <c r="K767" t="s">
        <v>5583</v>
      </c>
      <c r="L767">
        <v>3.79</v>
      </c>
      <c r="M767" t="s">
        <v>46</v>
      </c>
      <c r="N767" t="s">
        <v>4508</v>
      </c>
      <c r="O767">
        <v>12.72</v>
      </c>
      <c r="P767">
        <v>12.34</v>
      </c>
      <c r="Q767">
        <v>12.52</v>
      </c>
      <c r="R767">
        <v>12.64</v>
      </c>
      <c r="S767">
        <v>3.01</v>
      </c>
      <c r="T767">
        <v>0.9</v>
      </c>
      <c r="U767">
        <v>46.41</v>
      </c>
      <c r="V767">
        <v>1278</v>
      </c>
      <c r="W767">
        <v>12.49</v>
      </c>
      <c r="X767" t="s">
        <v>1908</v>
      </c>
      <c r="Y767" t="s">
        <v>5002</v>
      </c>
      <c r="Z767">
        <v>1.35</v>
      </c>
      <c r="AA767">
        <v>39</v>
      </c>
      <c r="AB767">
        <v>47</v>
      </c>
      <c r="AC767">
        <v>2.16</v>
      </c>
      <c r="AD767" t="s">
        <v>5598</v>
      </c>
      <c r="AE767" t="s">
        <v>5599</v>
      </c>
      <c r="AF767" t="s">
        <v>5598</v>
      </c>
      <c r="AG767" t="s">
        <v>5599</v>
      </c>
      <c r="AH767">
        <v>1.48</v>
      </c>
      <c r="AI767">
        <v>1.48</v>
      </c>
      <c r="AJ767">
        <v>10.93</v>
      </c>
      <c r="AK767">
        <v>24.92</v>
      </c>
      <c r="AL767">
        <v>-1</v>
      </c>
      <c r="AM767">
        <v>-2.22</v>
      </c>
      <c r="AN767">
        <v>10.85</v>
      </c>
      <c r="AO767">
        <v>11.25</v>
      </c>
      <c r="AP767">
        <v>44.22</v>
      </c>
    </row>
    <row r="768" spans="1:42">
      <c r="A768">
        <v>767</v>
      </c>
      <c r="B768" t="str">
        <f>"002536"</f>
        <v>002536</v>
      </c>
      <c r="C768" t="s">
        <v>5600</v>
      </c>
      <c r="D768">
        <v>14.23</v>
      </c>
      <c r="E768">
        <v>1.57</v>
      </c>
      <c r="F768">
        <v>0.22</v>
      </c>
      <c r="G768" t="s">
        <v>868</v>
      </c>
      <c r="H768">
        <v>3060</v>
      </c>
      <c r="I768">
        <v>14.22</v>
      </c>
      <c r="J768">
        <v>14.23</v>
      </c>
      <c r="K768" t="s">
        <v>4375</v>
      </c>
      <c r="L768">
        <v>3.92</v>
      </c>
      <c r="M768" t="s">
        <v>46</v>
      </c>
      <c r="N768" t="s">
        <v>2693</v>
      </c>
      <c r="O768">
        <v>14.31</v>
      </c>
      <c r="P768">
        <v>13.8</v>
      </c>
      <c r="Q768">
        <v>14.05</v>
      </c>
      <c r="R768">
        <v>14.01</v>
      </c>
      <c r="S768">
        <v>3.64</v>
      </c>
      <c r="T768">
        <v>0.84</v>
      </c>
      <c r="U768">
        <v>-34.48</v>
      </c>
      <c r="V768">
        <v>-982</v>
      </c>
      <c r="W768">
        <v>14.11</v>
      </c>
      <c r="X768" t="s">
        <v>1928</v>
      </c>
      <c r="Y768" t="s">
        <v>1848</v>
      </c>
      <c r="Z768">
        <v>0.99</v>
      </c>
      <c r="AA768">
        <v>206</v>
      </c>
      <c r="AB768">
        <v>214</v>
      </c>
      <c r="AC768">
        <v>2.56</v>
      </c>
      <c r="AD768" t="s">
        <v>5601</v>
      </c>
      <c r="AE768" t="s">
        <v>5602</v>
      </c>
      <c r="AF768" t="s">
        <v>3027</v>
      </c>
      <c r="AG768" t="s">
        <v>5603</v>
      </c>
      <c r="AH768">
        <v>-1.66</v>
      </c>
      <c r="AI768">
        <v>-4.5</v>
      </c>
      <c r="AJ768">
        <v>12.04</v>
      </c>
      <c r="AK768">
        <v>27.14</v>
      </c>
      <c r="AL768">
        <v>1</v>
      </c>
      <c r="AM768">
        <v>1.57</v>
      </c>
      <c r="AN768">
        <v>95.2</v>
      </c>
      <c r="AO768">
        <v>-11.72</v>
      </c>
      <c r="AP768">
        <v>77.88</v>
      </c>
    </row>
    <row r="769" spans="1:42">
      <c r="A769">
        <v>768</v>
      </c>
      <c r="B769" t="str">
        <f>"003029"</f>
        <v>003029</v>
      </c>
      <c r="C769" t="s">
        <v>5604</v>
      </c>
      <c r="D769">
        <v>23.16</v>
      </c>
      <c r="E769">
        <v>-3.66</v>
      </c>
      <c r="F769">
        <v>-0.88</v>
      </c>
      <c r="G769" t="s">
        <v>829</v>
      </c>
      <c r="H769">
        <v>1111</v>
      </c>
      <c r="I769">
        <v>23.16</v>
      </c>
      <c r="J769">
        <v>23.17</v>
      </c>
      <c r="K769" t="s">
        <v>4375</v>
      </c>
      <c r="L769">
        <v>9.8</v>
      </c>
      <c r="M769" t="s">
        <v>46</v>
      </c>
      <c r="N769" t="s">
        <v>4450</v>
      </c>
      <c r="O769">
        <v>23.89</v>
      </c>
      <c r="P769">
        <v>22.81</v>
      </c>
      <c r="Q769">
        <v>23.69</v>
      </c>
      <c r="R769">
        <v>24.04</v>
      </c>
      <c r="S769">
        <v>4.49</v>
      </c>
      <c r="T769">
        <v>1.24</v>
      </c>
      <c r="U769">
        <v>44.47</v>
      </c>
      <c r="V769">
        <v>1147</v>
      </c>
      <c r="W769">
        <v>23.29</v>
      </c>
      <c r="X769" t="s">
        <v>2168</v>
      </c>
      <c r="Y769" t="s">
        <v>1578</v>
      </c>
      <c r="Z769">
        <v>1.53</v>
      </c>
      <c r="AA769">
        <v>168</v>
      </c>
      <c r="AB769">
        <v>73</v>
      </c>
      <c r="AC769">
        <v>3.39</v>
      </c>
      <c r="AD769" t="s">
        <v>5605</v>
      </c>
      <c r="AE769" t="s">
        <v>5606</v>
      </c>
      <c r="AF769" t="s">
        <v>5607</v>
      </c>
      <c r="AG769" t="s">
        <v>5608</v>
      </c>
      <c r="AH769">
        <v>0.65</v>
      </c>
      <c r="AI769">
        <v>1.58</v>
      </c>
      <c r="AJ769">
        <v>30.74</v>
      </c>
      <c r="AK769">
        <v>49.43</v>
      </c>
      <c r="AL769">
        <v>-1</v>
      </c>
      <c r="AM769">
        <v>-3.66</v>
      </c>
      <c r="AN769">
        <v>-34.32</v>
      </c>
      <c r="AO769">
        <v>16.09</v>
      </c>
      <c r="AP769">
        <v>-43.18</v>
      </c>
    </row>
    <row r="770" spans="1:42">
      <c r="A770">
        <v>769</v>
      </c>
      <c r="B770" t="str">
        <f>"000860"</f>
        <v>000860</v>
      </c>
      <c r="C770" t="s">
        <v>5609</v>
      </c>
      <c r="D770">
        <v>24.2</v>
      </c>
      <c r="E770">
        <v>-1.47</v>
      </c>
      <c r="F770">
        <v>-0.36</v>
      </c>
      <c r="G770" t="s">
        <v>1909</v>
      </c>
      <c r="H770">
        <v>1122</v>
      </c>
      <c r="I770">
        <v>24.18</v>
      </c>
      <c r="J770">
        <v>24.2</v>
      </c>
      <c r="K770" t="s">
        <v>4375</v>
      </c>
      <c r="L770">
        <v>1.45</v>
      </c>
      <c r="M770" t="s">
        <v>46</v>
      </c>
      <c r="N770" t="s">
        <v>5610</v>
      </c>
      <c r="O770">
        <v>24.57</v>
      </c>
      <c r="P770">
        <v>23.81</v>
      </c>
      <c r="Q770">
        <v>24.45</v>
      </c>
      <c r="R770">
        <v>24.56</v>
      </c>
      <c r="S770">
        <v>3.09</v>
      </c>
      <c r="T770">
        <v>1.01</v>
      </c>
      <c r="U770">
        <v>-91.6</v>
      </c>
      <c r="V770">
        <v>-3513</v>
      </c>
      <c r="W770">
        <v>24.16</v>
      </c>
      <c r="X770" t="s">
        <v>5611</v>
      </c>
      <c r="Y770" t="s">
        <v>5612</v>
      </c>
      <c r="Z770">
        <v>1.21</v>
      </c>
      <c r="AA770">
        <v>53</v>
      </c>
      <c r="AB770">
        <v>3520</v>
      </c>
      <c r="AC770">
        <v>2.65</v>
      </c>
      <c r="AD770" t="s">
        <v>5613</v>
      </c>
      <c r="AE770" t="s">
        <v>5614</v>
      </c>
      <c r="AF770" t="s">
        <v>5613</v>
      </c>
      <c r="AG770" t="s">
        <v>5614</v>
      </c>
      <c r="AH770">
        <v>-0.49</v>
      </c>
      <c r="AI770">
        <v>-4.16</v>
      </c>
      <c r="AJ770">
        <v>3.92</v>
      </c>
      <c r="AK770">
        <v>8.61</v>
      </c>
      <c r="AL770">
        <v>-1</v>
      </c>
      <c r="AM770">
        <v>-1.47</v>
      </c>
      <c r="AN770">
        <v>-18.85</v>
      </c>
      <c r="AO770">
        <v>3.73</v>
      </c>
      <c r="AP770">
        <v>-18.57</v>
      </c>
    </row>
    <row r="771" spans="1:42">
      <c r="A771">
        <v>770</v>
      </c>
      <c r="B771" t="str">
        <f>"601636"</f>
        <v>601636</v>
      </c>
      <c r="C771" t="s">
        <v>5615</v>
      </c>
      <c r="D771">
        <v>7.77</v>
      </c>
      <c r="E771">
        <v>-1.02</v>
      </c>
      <c r="F771">
        <v>-0.08</v>
      </c>
      <c r="G771" t="s">
        <v>1730</v>
      </c>
      <c r="H771">
        <v>4196</v>
      </c>
      <c r="I771">
        <v>7.77</v>
      </c>
      <c r="J771">
        <v>7.78</v>
      </c>
      <c r="K771" t="s">
        <v>4375</v>
      </c>
      <c r="L771">
        <v>1.25</v>
      </c>
      <c r="M771" t="s">
        <v>46</v>
      </c>
      <c r="N771" t="s">
        <v>5616</v>
      </c>
      <c r="O771">
        <v>7.85</v>
      </c>
      <c r="P771">
        <v>7.61</v>
      </c>
      <c r="Q771">
        <v>7.84</v>
      </c>
      <c r="R771">
        <v>7.85</v>
      </c>
      <c r="S771">
        <v>3.06</v>
      </c>
      <c r="T771">
        <v>1.78</v>
      </c>
      <c r="U771">
        <v>-24.25</v>
      </c>
      <c r="V771">
        <v>-3658</v>
      </c>
      <c r="W771">
        <v>7.72</v>
      </c>
      <c r="X771" t="s">
        <v>518</v>
      </c>
      <c r="Y771" t="s">
        <v>1540</v>
      </c>
      <c r="Z771">
        <v>1.84</v>
      </c>
      <c r="AA771">
        <v>1150</v>
      </c>
      <c r="AB771">
        <v>4745</v>
      </c>
      <c r="AC771">
        <v>1.64</v>
      </c>
      <c r="AD771" t="s">
        <v>5617</v>
      </c>
      <c r="AE771" t="s">
        <v>5618</v>
      </c>
      <c r="AF771" t="s">
        <v>5617</v>
      </c>
      <c r="AG771" t="s">
        <v>5618</v>
      </c>
      <c r="AH771">
        <v>-2.39</v>
      </c>
      <c r="AI771">
        <v>-4.55</v>
      </c>
      <c r="AJ771">
        <v>2.75</v>
      </c>
      <c r="AK771">
        <v>4.75</v>
      </c>
      <c r="AL771">
        <v>-6</v>
      </c>
      <c r="AM771">
        <v>-1.02</v>
      </c>
      <c r="AN771">
        <v>-30.25</v>
      </c>
      <c r="AO771">
        <v>-2.39</v>
      </c>
      <c r="AP771">
        <v>-14.24</v>
      </c>
    </row>
    <row r="772" spans="1:42">
      <c r="A772">
        <v>771</v>
      </c>
      <c r="B772" t="str">
        <f>"300598"</f>
        <v>300598</v>
      </c>
      <c r="C772" t="s">
        <v>5619</v>
      </c>
      <c r="D772">
        <v>47.48</v>
      </c>
      <c r="E772">
        <v>2.95</v>
      </c>
      <c r="F772">
        <v>1.36</v>
      </c>
      <c r="G772" t="s">
        <v>5466</v>
      </c>
      <c r="H772">
        <v>357</v>
      </c>
      <c r="I772">
        <v>47.48</v>
      </c>
      <c r="J772">
        <v>47.49</v>
      </c>
      <c r="K772" t="s">
        <v>4375</v>
      </c>
      <c r="L772">
        <v>3.29</v>
      </c>
      <c r="M772" t="s">
        <v>46</v>
      </c>
      <c r="N772" t="s">
        <v>2113</v>
      </c>
      <c r="O772">
        <v>47.83</v>
      </c>
      <c r="P772">
        <v>46.13</v>
      </c>
      <c r="Q772">
        <v>46.35</v>
      </c>
      <c r="R772">
        <v>46.12</v>
      </c>
      <c r="S772">
        <v>3.69</v>
      </c>
      <c r="T772">
        <v>1.37</v>
      </c>
      <c r="U772">
        <v>1.84</v>
      </c>
      <c r="V772">
        <v>15</v>
      </c>
      <c r="W772">
        <v>47.13</v>
      </c>
      <c r="X772" t="s">
        <v>5620</v>
      </c>
      <c r="Y772" t="s">
        <v>3226</v>
      </c>
      <c r="Z772">
        <v>0.73</v>
      </c>
      <c r="AA772">
        <v>166</v>
      </c>
      <c r="AB772">
        <v>92</v>
      </c>
      <c r="AC772">
        <v>6.45</v>
      </c>
      <c r="AD772" t="s">
        <v>5621</v>
      </c>
      <c r="AE772" t="s">
        <v>5622</v>
      </c>
      <c r="AF772" t="s">
        <v>5621</v>
      </c>
      <c r="AG772" t="s">
        <v>5623</v>
      </c>
      <c r="AH772">
        <v>1.56</v>
      </c>
      <c r="AI772">
        <v>-1.8</v>
      </c>
      <c r="AJ772">
        <v>7.36</v>
      </c>
      <c r="AK772">
        <v>15.33</v>
      </c>
      <c r="AL772">
        <v>1</v>
      </c>
      <c r="AM772">
        <v>2.95</v>
      </c>
      <c r="AN772">
        <v>1.54</v>
      </c>
      <c r="AO772">
        <v>3.06</v>
      </c>
      <c r="AP772">
        <v>-13.48</v>
      </c>
    </row>
    <row r="773" spans="1:42">
      <c r="A773">
        <v>772</v>
      </c>
      <c r="B773" t="str">
        <f>"002739"</f>
        <v>002739</v>
      </c>
      <c r="C773" t="s">
        <v>5624</v>
      </c>
      <c r="D773">
        <v>12.66</v>
      </c>
      <c r="E773">
        <v>1.2</v>
      </c>
      <c r="F773">
        <v>0.15</v>
      </c>
      <c r="G773" t="s">
        <v>509</v>
      </c>
      <c r="H773">
        <v>3635</v>
      </c>
      <c r="I773">
        <v>12.66</v>
      </c>
      <c r="J773">
        <v>12.67</v>
      </c>
      <c r="K773" t="s">
        <v>936</v>
      </c>
      <c r="L773">
        <v>0.97</v>
      </c>
      <c r="M773" t="s">
        <v>46</v>
      </c>
      <c r="N773" t="s">
        <v>4440</v>
      </c>
      <c r="O773">
        <v>12.67</v>
      </c>
      <c r="P773">
        <v>12.41</v>
      </c>
      <c r="Q773">
        <v>12.48</v>
      </c>
      <c r="R773">
        <v>12.51</v>
      </c>
      <c r="S773">
        <v>2.08</v>
      </c>
      <c r="T773">
        <v>1.7</v>
      </c>
      <c r="U773">
        <v>5.82</v>
      </c>
      <c r="V773">
        <v>541</v>
      </c>
      <c r="W773">
        <v>12.57</v>
      </c>
      <c r="X773" t="s">
        <v>1753</v>
      </c>
      <c r="Y773" t="s">
        <v>1909</v>
      </c>
      <c r="Z773">
        <v>0.92</v>
      </c>
      <c r="AA773">
        <v>132</v>
      </c>
      <c r="AB773">
        <v>1947</v>
      </c>
      <c r="AC773">
        <v>3.41</v>
      </c>
      <c r="AD773" t="s">
        <v>3426</v>
      </c>
      <c r="AE773" t="s">
        <v>5625</v>
      </c>
      <c r="AF773" t="s">
        <v>669</v>
      </c>
      <c r="AG773" t="s">
        <v>5626</v>
      </c>
      <c r="AH773">
        <v>0.56</v>
      </c>
      <c r="AI773">
        <v>-0.71</v>
      </c>
      <c r="AJ773">
        <v>1.98</v>
      </c>
      <c r="AK773">
        <v>3.84</v>
      </c>
      <c r="AL773">
        <v>2</v>
      </c>
      <c r="AM773">
        <v>1.2</v>
      </c>
      <c r="AN773">
        <v>-9.57</v>
      </c>
      <c r="AO773">
        <v>0.4</v>
      </c>
      <c r="AP773">
        <v>7.56</v>
      </c>
    </row>
    <row r="774" spans="1:42">
      <c r="A774">
        <v>773</v>
      </c>
      <c r="B774" t="str">
        <f>"000700"</f>
        <v>000700</v>
      </c>
      <c r="C774" t="s">
        <v>5627</v>
      </c>
      <c r="D774">
        <v>7.79</v>
      </c>
      <c r="E774">
        <v>-1.77</v>
      </c>
      <c r="F774">
        <v>-0.14</v>
      </c>
      <c r="G774" t="s">
        <v>3896</v>
      </c>
      <c r="H774">
        <v>2911</v>
      </c>
      <c r="I774">
        <v>7.78</v>
      </c>
      <c r="J774">
        <v>7.79</v>
      </c>
      <c r="K774" t="s">
        <v>936</v>
      </c>
      <c r="L774">
        <v>3.58</v>
      </c>
      <c r="M774" t="s">
        <v>46</v>
      </c>
      <c r="N774" t="s">
        <v>5628</v>
      </c>
      <c r="O774">
        <v>7.99</v>
      </c>
      <c r="P774">
        <v>7.74</v>
      </c>
      <c r="Q774">
        <v>7.95</v>
      </c>
      <c r="R774">
        <v>7.93</v>
      </c>
      <c r="S774">
        <v>3.15</v>
      </c>
      <c r="T774">
        <v>1.02</v>
      </c>
      <c r="U774">
        <v>51.2</v>
      </c>
      <c r="V774">
        <v>8884</v>
      </c>
      <c r="W774">
        <v>7.84</v>
      </c>
      <c r="X774" t="s">
        <v>3785</v>
      </c>
      <c r="Y774" t="s">
        <v>960</v>
      </c>
      <c r="Z774">
        <v>1.34</v>
      </c>
      <c r="AA774">
        <v>2486</v>
      </c>
      <c r="AB774">
        <v>1486</v>
      </c>
      <c r="AC774">
        <v>2</v>
      </c>
      <c r="AD774" t="s">
        <v>5629</v>
      </c>
      <c r="AE774" t="s">
        <v>5630</v>
      </c>
      <c r="AF774" t="s">
        <v>5629</v>
      </c>
      <c r="AG774" t="s">
        <v>5630</v>
      </c>
      <c r="AH774">
        <v>-11.17</v>
      </c>
      <c r="AI774">
        <v>-13.64</v>
      </c>
      <c r="AJ774">
        <v>12.36</v>
      </c>
      <c r="AK774">
        <v>21.1</v>
      </c>
      <c r="AL774">
        <v>-3</v>
      </c>
      <c r="AM774">
        <v>-1.77</v>
      </c>
      <c r="AN774">
        <v>67.89</v>
      </c>
      <c r="AO774">
        <v>-3.23</v>
      </c>
      <c r="AP774">
        <v>44.53</v>
      </c>
    </row>
    <row r="775" spans="1:42">
      <c r="A775">
        <v>774</v>
      </c>
      <c r="B775" t="str">
        <f>"688313"</f>
        <v>688313</v>
      </c>
      <c r="C775" t="s">
        <v>5631</v>
      </c>
      <c r="D775">
        <v>13.66</v>
      </c>
      <c r="E775">
        <v>1.94</v>
      </c>
      <c r="F775">
        <v>0.26</v>
      </c>
      <c r="G775" t="s">
        <v>1960</v>
      </c>
      <c r="H775">
        <v>1178</v>
      </c>
      <c r="I775">
        <v>13.65</v>
      </c>
      <c r="J775">
        <v>13.66</v>
      </c>
      <c r="K775" t="s">
        <v>5632</v>
      </c>
      <c r="L775">
        <v>4.16</v>
      </c>
      <c r="M775" t="s">
        <v>46</v>
      </c>
      <c r="N775" t="s">
        <v>485</v>
      </c>
      <c r="O775">
        <v>13.84</v>
      </c>
      <c r="P775">
        <v>13.02</v>
      </c>
      <c r="Q775">
        <v>13.18</v>
      </c>
      <c r="R775">
        <v>13.4</v>
      </c>
      <c r="S775">
        <v>6.12</v>
      </c>
      <c r="T775">
        <v>2.19</v>
      </c>
      <c r="U775">
        <v>-7.51</v>
      </c>
      <c r="V775">
        <v>-183</v>
      </c>
      <c r="W775">
        <v>13.49</v>
      </c>
      <c r="X775" t="s">
        <v>5633</v>
      </c>
      <c r="Y775" t="s">
        <v>2587</v>
      </c>
      <c r="Z775">
        <v>1.04</v>
      </c>
      <c r="AA775">
        <v>86</v>
      </c>
      <c r="AB775">
        <v>80</v>
      </c>
      <c r="AC775">
        <v>5.39</v>
      </c>
      <c r="AD775" t="s">
        <v>5634</v>
      </c>
      <c r="AE775" t="s">
        <v>5635</v>
      </c>
      <c r="AF775" t="s">
        <v>5634</v>
      </c>
      <c r="AG775" t="s">
        <v>5635</v>
      </c>
      <c r="AH775">
        <v>2.17</v>
      </c>
      <c r="AI775">
        <v>0.15</v>
      </c>
      <c r="AJ775">
        <v>7.19</v>
      </c>
      <c r="AK775">
        <v>13.66</v>
      </c>
      <c r="AL775">
        <v>2</v>
      </c>
      <c r="AM775">
        <v>1.94</v>
      </c>
      <c r="AN775">
        <v>51.78</v>
      </c>
      <c r="AO775">
        <v>1.71</v>
      </c>
      <c r="AP775">
        <v>22.84</v>
      </c>
    </row>
    <row r="776" spans="1:42">
      <c r="A776">
        <v>775</v>
      </c>
      <c r="B776" t="str">
        <f>"603006"</f>
        <v>603006</v>
      </c>
      <c r="C776" t="s">
        <v>5636</v>
      </c>
      <c r="D776">
        <v>12.99</v>
      </c>
      <c r="E776">
        <v>-3.99</v>
      </c>
      <c r="F776">
        <v>-0.54</v>
      </c>
      <c r="G776" t="s">
        <v>416</v>
      </c>
      <c r="H776">
        <v>3077</v>
      </c>
      <c r="I776">
        <v>12.98</v>
      </c>
      <c r="J776">
        <v>12.99</v>
      </c>
      <c r="K776" t="s">
        <v>5632</v>
      </c>
      <c r="L776">
        <v>10.39</v>
      </c>
      <c r="M776" t="s">
        <v>46</v>
      </c>
      <c r="N776" t="s">
        <v>5637</v>
      </c>
      <c r="O776">
        <v>13.45</v>
      </c>
      <c r="P776">
        <v>12.52</v>
      </c>
      <c r="Q776">
        <v>13.35</v>
      </c>
      <c r="R776">
        <v>13.53</v>
      </c>
      <c r="S776">
        <v>6.87</v>
      </c>
      <c r="T776">
        <v>2.37</v>
      </c>
      <c r="U776">
        <v>15.63</v>
      </c>
      <c r="V776">
        <v>282</v>
      </c>
      <c r="W776">
        <v>12.95</v>
      </c>
      <c r="X776" t="s">
        <v>5638</v>
      </c>
      <c r="Y776" t="s">
        <v>5306</v>
      </c>
      <c r="Z776">
        <v>1.01</v>
      </c>
      <c r="AA776">
        <v>159</v>
      </c>
      <c r="AB776">
        <v>232</v>
      </c>
      <c r="AC776">
        <v>2.29</v>
      </c>
      <c r="AD776" t="s">
        <v>5639</v>
      </c>
      <c r="AE776" t="s">
        <v>5640</v>
      </c>
      <c r="AF776" t="s">
        <v>5641</v>
      </c>
      <c r="AG776" t="s">
        <v>2931</v>
      </c>
      <c r="AH776">
        <v>-2.55</v>
      </c>
      <c r="AI776">
        <v>6.83</v>
      </c>
      <c r="AJ776">
        <v>26.48</v>
      </c>
      <c r="AK776">
        <v>32.34</v>
      </c>
      <c r="AL776">
        <v>-2</v>
      </c>
      <c r="AM776">
        <v>-3.99</v>
      </c>
      <c r="AN776">
        <v>54.28</v>
      </c>
      <c r="AO776">
        <v>10.65</v>
      </c>
      <c r="AP776">
        <v>40.89</v>
      </c>
    </row>
    <row r="777" spans="1:42">
      <c r="A777">
        <v>776</v>
      </c>
      <c r="B777" t="str">
        <f>"600196"</f>
        <v>600196</v>
      </c>
      <c r="C777" t="s">
        <v>5642</v>
      </c>
      <c r="D777">
        <v>27.98</v>
      </c>
      <c r="E777">
        <v>0.29</v>
      </c>
      <c r="F777">
        <v>0.08</v>
      </c>
      <c r="G777" t="s">
        <v>4819</v>
      </c>
      <c r="H777">
        <v>486</v>
      </c>
      <c r="I777">
        <v>27.97</v>
      </c>
      <c r="J777">
        <v>27.98</v>
      </c>
      <c r="K777" t="s">
        <v>5632</v>
      </c>
      <c r="L777">
        <v>0.44</v>
      </c>
      <c r="M777" t="s">
        <v>46</v>
      </c>
      <c r="N777" t="s">
        <v>5643</v>
      </c>
      <c r="O777">
        <v>28.08</v>
      </c>
      <c r="P777">
        <v>27.64</v>
      </c>
      <c r="Q777">
        <v>27.9</v>
      </c>
      <c r="R777">
        <v>27.9</v>
      </c>
      <c r="S777">
        <v>1.58</v>
      </c>
      <c r="T777">
        <v>0.78</v>
      </c>
      <c r="U777">
        <v>-82.88</v>
      </c>
      <c r="V777">
        <v>-1811</v>
      </c>
      <c r="W777">
        <v>27.83</v>
      </c>
      <c r="X777" t="s">
        <v>5644</v>
      </c>
      <c r="Y777" t="s">
        <v>5645</v>
      </c>
      <c r="Z777">
        <v>1.02</v>
      </c>
      <c r="AA777">
        <v>113</v>
      </c>
      <c r="AB777">
        <v>288</v>
      </c>
      <c r="AC777">
        <v>1.63</v>
      </c>
      <c r="AD777" t="s">
        <v>5646</v>
      </c>
      <c r="AE777" t="s">
        <v>5647</v>
      </c>
      <c r="AF777" t="s">
        <v>5648</v>
      </c>
      <c r="AG777" t="s">
        <v>5649</v>
      </c>
      <c r="AH777">
        <v>-0.74</v>
      </c>
      <c r="AI777">
        <v>-2.13</v>
      </c>
      <c r="AJ777">
        <v>1.21</v>
      </c>
      <c r="AK777">
        <v>3.23</v>
      </c>
      <c r="AL777">
        <v>2</v>
      </c>
      <c r="AM777">
        <v>0.29</v>
      </c>
      <c r="AN777">
        <v>-19.64</v>
      </c>
      <c r="AO777">
        <v>-1.44</v>
      </c>
      <c r="AP777">
        <v>-22.71</v>
      </c>
    </row>
    <row r="778" spans="1:42">
      <c r="A778">
        <v>777</v>
      </c>
      <c r="B778" t="str">
        <f>"300456"</f>
        <v>300456</v>
      </c>
      <c r="C778" t="s">
        <v>5650</v>
      </c>
      <c r="D778">
        <v>22.2</v>
      </c>
      <c r="E778">
        <v>1.32</v>
      </c>
      <c r="F778">
        <v>0.29</v>
      </c>
      <c r="G778" t="s">
        <v>1807</v>
      </c>
      <c r="H778">
        <v>1864</v>
      </c>
      <c r="I778">
        <v>22.19</v>
      </c>
      <c r="J778">
        <v>22.2</v>
      </c>
      <c r="K778" t="s">
        <v>5632</v>
      </c>
      <c r="L778">
        <v>2</v>
      </c>
      <c r="M778" t="s">
        <v>46</v>
      </c>
      <c r="N778" t="s">
        <v>5651</v>
      </c>
      <c r="O778">
        <v>22.21</v>
      </c>
      <c r="P778">
        <v>21.71</v>
      </c>
      <c r="Q778">
        <v>22.04</v>
      </c>
      <c r="R778">
        <v>21.91</v>
      </c>
      <c r="S778">
        <v>2.28</v>
      </c>
      <c r="T778">
        <v>0.64</v>
      </c>
      <c r="U778">
        <v>7.85</v>
      </c>
      <c r="V778">
        <v>160</v>
      </c>
      <c r="W778">
        <v>21.96</v>
      </c>
      <c r="X778" t="s">
        <v>4968</v>
      </c>
      <c r="Y778" t="s">
        <v>3641</v>
      </c>
      <c r="Z778">
        <v>0.89</v>
      </c>
      <c r="AA778">
        <v>317</v>
      </c>
      <c r="AB778">
        <v>294</v>
      </c>
      <c r="AC778">
        <v>3.26</v>
      </c>
      <c r="AD778" t="s">
        <v>5652</v>
      </c>
      <c r="AE778" t="s">
        <v>5653</v>
      </c>
      <c r="AF778" t="s">
        <v>4146</v>
      </c>
      <c r="AG778" t="s">
        <v>5654</v>
      </c>
      <c r="AH778">
        <v>-0.89</v>
      </c>
      <c r="AI778">
        <v>0.36</v>
      </c>
      <c r="AJ778">
        <v>8.7</v>
      </c>
      <c r="AK778">
        <v>17.77</v>
      </c>
      <c r="AL778">
        <v>1</v>
      </c>
      <c r="AM778">
        <v>1.32</v>
      </c>
      <c r="AN778">
        <v>50.2</v>
      </c>
      <c r="AO778">
        <v>-5.17</v>
      </c>
      <c r="AP778">
        <v>41.22</v>
      </c>
    </row>
    <row r="779" spans="1:42">
      <c r="A779">
        <v>778</v>
      </c>
      <c r="B779" t="str">
        <f>"600029"</f>
        <v>600029</v>
      </c>
      <c r="C779" t="s">
        <v>5655</v>
      </c>
      <c r="D779">
        <v>6.04</v>
      </c>
      <c r="E779">
        <v>-1.79</v>
      </c>
      <c r="F779">
        <v>-0.11</v>
      </c>
      <c r="G779" t="s">
        <v>3339</v>
      </c>
      <c r="H779">
        <v>2396</v>
      </c>
      <c r="I779">
        <v>6.04</v>
      </c>
      <c r="J779">
        <v>6.05</v>
      </c>
      <c r="K779" t="s">
        <v>5632</v>
      </c>
      <c r="L779">
        <v>0.33</v>
      </c>
      <c r="M779" t="s">
        <v>46</v>
      </c>
      <c r="N779" t="s">
        <v>3749</v>
      </c>
      <c r="O779">
        <v>6.19</v>
      </c>
      <c r="P779">
        <v>6</v>
      </c>
      <c r="Q779">
        <v>6.15</v>
      </c>
      <c r="R779">
        <v>6.15</v>
      </c>
      <c r="S779">
        <v>3.09</v>
      </c>
      <c r="T779">
        <v>1.29</v>
      </c>
      <c r="U779">
        <v>30.3</v>
      </c>
      <c r="V779" t="s">
        <v>144</v>
      </c>
      <c r="W779">
        <v>6.05</v>
      </c>
      <c r="X779" t="s">
        <v>165</v>
      </c>
      <c r="Y779" t="s">
        <v>1207</v>
      </c>
      <c r="Z779">
        <v>2.04</v>
      </c>
      <c r="AA779">
        <v>1185</v>
      </c>
      <c r="AB779">
        <v>9896</v>
      </c>
      <c r="AC779">
        <v>2.59</v>
      </c>
      <c r="AD779" t="s">
        <v>5656</v>
      </c>
      <c r="AE779" t="s">
        <v>5657</v>
      </c>
      <c r="AF779" t="s">
        <v>5658</v>
      </c>
      <c r="AG779" t="s">
        <v>2605</v>
      </c>
      <c r="AH779">
        <v>-2.27</v>
      </c>
      <c r="AI779">
        <v>-4.13</v>
      </c>
      <c r="AJ779">
        <v>0.81</v>
      </c>
      <c r="AK779">
        <v>1.64</v>
      </c>
      <c r="AL779">
        <v>-1</v>
      </c>
      <c r="AM779">
        <v>-1.79</v>
      </c>
      <c r="AN779">
        <v>-20.53</v>
      </c>
      <c r="AO779">
        <v>-0.17</v>
      </c>
      <c r="AP779">
        <v>-12.21</v>
      </c>
    </row>
    <row r="780" spans="1:42">
      <c r="A780">
        <v>779</v>
      </c>
      <c r="B780" t="str">
        <f>"300913"</f>
        <v>300913</v>
      </c>
      <c r="C780" t="s">
        <v>5659</v>
      </c>
      <c r="D780">
        <v>31.04</v>
      </c>
      <c r="E780">
        <v>3.02</v>
      </c>
      <c r="F780">
        <v>0.91</v>
      </c>
      <c r="G780" t="s">
        <v>701</v>
      </c>
      <c r="H780">
        <v>1279</v>
      </c>
      <c r="I780">
        <v>31.04</v>
      </c>
      <c r="J780">
        <v>31.05</v>
      </c>
      <c r="K780" t="s">
        <v>5632</v>
      </c>
      <c r="L780">
        <v>12.86</v>
      </c>
      <c r="M780" t="s">
        <v>46</v>
      </c>
      <c r="N780" t="s">
        <v>1729</v>
      </c>
      <c r="O780">
        <v>31.48</v>
      </c>
      <c r="P780">
        <v>29.32</v>
      </c>
      <c r="Q780">
        <v>29.35</v>
      </c>
      <c r="R780">
        <v>30.13</v>
      </c>
      <c r="S780">
        <v>7.17</v>
      </c>
      <c r="T780">
        <v>1.23</v>
      </c>
      <c r="U780">
        <v>-12.2</v>
      </c>
      <c r="V780">
        <v>-188</v>
      </c>
      <c r="W780">
        <v>30.58</v>
      </c>
      <c r="X780" t="s">
        <v>4915</v>
      </c>
      <c r="Y780" t="s">
        <v>5660</v>
      </c>
      <c r="Z780">
        <v>0.67</v>
      </c>
      <c r="AA780">
        <v>11</v>
      </c>
      <c r="AB780">
        <v>240</v>
      </c>
      <c r="AC780">
        <v>7.71</v>
      </c>
      <c r="AD780" t="s">
        <v>5661</v>
      </c>
      <c r="AE780" t="s">
        <v>5662</v>
      </c>
      <c r="AF780" t="s">
        <v>5663</v>
      </c>
      <c r="AG780" t="s">
        <v>5664</v>
      </c>
      <c r="AH780">
        <v>3.47</v>
      </c>
      <c r="AI780">
        <v>-0.77</v>
      </c>
      <c r="AJ780">
        <v>31.65</v>
      </c>
      <c r="AK780">
        <v>65.13</v>
      </c>
      <c r="AL780">
        <v>2</v>
      </c>
      <c r="AM780">
        <v>3.02</v>
      </c>
      <c r="AN780">
        <v>169.21</v>
      </c>
      <c r="AO780">
        <v>3.02</v>
      </c>
      <c r="AP780">
        <v>133.21</v>
      </c>
    </row>
    <row r="781" spans="1:42">
      <c r="A781">
        <v>780</v>
      </c>
      <c r="B781" t="str">
        <f>"605117"</f>
        <v>605117</v>
      </c>
      <c r="C781" t="s">
        <v>5665</v>
      </c>
      <c r="D781">
        <v>61.91</v>
      </c>
      <c r="E781">
        <v>-1.81</v>
      </c>
      <c r="F781">
        <v>-1.14</v>
      </c>
      <c r="G781" t="s">
        <v>5666</v>
      </c>
      <c r="H781">
        <v>544</v>
      </c>
      <c r="I781">
        <v>61.91</v>
      </c>
      <c r="J781">
        <v>61.92</v>
      </c>
      <c r="K781" t="s">
        <v>5667</v>
      </c>
      <c r="L781">
        <v>2.83</v>
      </c>
      <c r="M781" t="s">
        <v>46</v>
      </c>
      <c r="N781" t="s">
        <v>5668</v>
      </c>
      <c r="O781">
        <v>63</v>
      </c>
      <c r="P781">
        <v>61.21</v>
      </c>
      <c r="Q781">
        <v>63</v>
      </c>
      <c r="R781">
        <v>63.05</v>
      </c>
      <c r="S781">
        <v>2.84</v>
      </c>
      <c r="T781">
        <v>0.98</v>
      </c>
      <c r="U781">
        <v>-30.07</v>
      </c>
      <c r="V781">
        <v>-233</v>
      </c>
      <c r="W781">
        <v>61.9</v>
      </c>
      <c r="X781" t="s">
        <v>2716</v>
      </c>
      <c r="Y781" t="s">
        <v>1280</v>
      </c>
      <c r="Z781">
        <v>1.07</v>
      </c>
      <c r="AA781">
        <v>22</v>
      </c>
      <c r="AB781">
        <v>154</v>
      </c>
      <c r="AC781">
        <v>5.16</v>
      </c>
      <c r="AD781" t="s">
        <v>5669</v>
      </c>
      <c r="AE781" t="s">
        <v>5670</v>
      </c>
      <c r="AF781" t="s">
        <v>3460</v>
      </c>
      <c r="AG781" t="s">
        <v>5671</v>
      </c>
      <c r="AH781">
        <v>-4.71</v>
      </c>
      <c r="AI781">
        <v>-9.33</v>
      </c>
      <c r="AJ781">
        <v>7.83</v>
      </c>
      <c r="AK781">
        <v>17.29</v>
      </c>
      <c r="AL781">
        <v>-3</v>
      </c>
      <c r="AM781">
        <v>-1.81</v>
      </c>
      <c r="AN781">
        <v>-66.12</v>
      </c>
      <c r="AO781">
        <v>-12.32</v>
      </c>
      <c r="AP781">
        <v>-68.23</v>
      </c>
    </row>
    <row r="782" spans="1:42">
      <c r="A782">
        <v>781</v>
      </c>
      <c r="B782" t="str">
        <f>"300545"</f>
        <v>300545</v>
      </c>
      <c r="C782" t="s">
        <v>5672</v>
      </c>
      <c r="D782">
        <v>32.05</v>
      </c>
      <c r="E782">
        <v>-3.64</v>
      </c>
      <c r="F782">
        <v>-1.21</v>
      </c>
      <c r="G782" t="s">
        <v>3765</v>
      </c>
      <c r="H782">
        <v>1857</v>
      </c>
      <c r="I782">
        <v>32.05</v>
      </c>
      <c r="J782">
        <v>32.06</v>
      </c>
      <c r="K782" t="s">
        <v>5667</v>
      </c>
      <c r="L782">
        <v>7.09</v>
      </c>
      <c r="M782" t="s">
        <v>46</v>
      </c>
      <c r="N782" t="s">
        <v>5673</v>
      </c>
      <c r="O782">
        <v>33.08</v>
      </c>
      <c r="P782">
        <v>31.94</v>
      </c>
      <c r="Q782">
        <v>32.89</v>
      </c>
      <c r="R782">
        <v>33.26</v>
      </c>
      <c r="S782">
        <v>3.43</v>
      </c>
      <c r="T782">
        <v>0.66</v>
      </c>
      <c r="U782">
        <v>34.32</v>
      </c>
      <c r="V782">
        <v>256</v>
      </c>
      <c r="W782">
        <v>32.29</v>
      </c>
      <c r="X782" t="s">
        <v>5674</v>
      </c>
      <c r="Y782" t="s">
        <v>5675</v>
      </c>
      <c r="Z782">
        <v>1.48</v>
      </c>
      <c r="AA782">
        <v>294</v>
      </c>
      <c r="AB782">
        <v>74</v>
      </c>
      <c r="AC782">
        <v>3.62</v>
      </c>
      <c r="AD782" t="s">
        <v>5676</v>
      </c>
      <c r="AE782" t="s">
        <v>5677</v>
      </c>
      <c r="AF782" t="s">
        <v>5678</v>
      </c>
      <c r="AG782" t="s">
        <v>5679</v>
      </c>
      <c r="AH782">
        <v>-3.67</v>
      </c>
      <c r="AI782">
        <v>-0.84</v>
      </c>
      <c r="AJ782">
        <v>34.87</v>
      </c>
      <c r="AK782">
        <v>60.54</v>
      </c>
      <c r="AL782">
        <v>-2</v>
      </c>
      <c r="AM782">
        <v>-3.64</v>
      </c>
      <c r="AN782">
        <v>103.75</v>
      </c>
      <c r="AO782">
        <v>4.43</v>
      </c>
      <c r="AP782">
        <v>75.81</v>
      </c>
    </row>
    <row r="783" spans="1:42">
      <c r="A783">
        <v>782</v>
      </c>
      <c r="B783" t="str">
        <f>"600637"</f>
        <v>600637</v>
      </c>
      <c r="C783" t="s">
        <v>5680</v>
      </c>
      <c r="D783">
        <v>8.24</v>
      </c>
      <c r="E783">
        <v>2.11</v>
      </c>
      <c r="F783">
        <v>0.17</v>
      </c>
      <c r="G783" t="s">
        <v>5361</v>
      </c>
      <c r="H783">
        <v>7210</v>
      </c>
      <c r="I783">
        <v>8.23</v>
      </c>
      <c r="J783">
        <v>8.24</v>
      </c>
      <c r="K783" t="s">
        <v>5681</v>
      </c>
      <c r="L783">
        <v>0.91</v>
      </c>
      <c r="M783" t="s">
        <v>46</v>
      </c>
      <c r="N783" t="s">
        <v>5682</v>
      </c>
      <c r="O783">
        <v>8.24</v>
      </c>
      <c r="P783">
        <v>8.04</v>
      </c>
      <c r="Q783">
        <v>8.06</v>
      </c>
      <c r="R783">
        <v>8.07</v>
      </c>
      <c r="S783">
        <v>2.48</v>
      </c>
      <c r="T783">
        <v>1.7</v>
      </c>
      <c r="U783">
        <v>-33.17</v>
      </c>
      <c r="V783">
        <v>-7896</v>
      </c>
      <c r="W783">
        <v>8.18</v>
      </c>
      <c r="X783" t="s">
        <v>1915</v>
      </c>
      <c r="Y783" t="s">
        <v>859</v>
      </c>
      <c r="Z783">
        <v>0.71</v>
      </c>
      <c r="AA783">
        <v>1225</v>
      </c>
      <c r="AB783">
        <v>589</v>
      </c>
      <c r="AC783">
        <v>0.95</v>
      </c>
      <c r="AD783" t="s">
        <v>5683</v>
      </c>
      <c r="AE783" t="s">
        <v>5684</v>
      </c>
      <c r="AF783" t="s">
        <v>5683</v>
      </c>
      <c r="AG783" t="s">
        <v>5684</v>
      </c>
      <c r="AH783">
        <v>2.74</v>
      </c>
      <c r="AI783">
        <v>2.62</v>
      </c>
      <c r="AJ783">
        <v>1.92</v>
      </c>
      <c r="AK783">
        <v>3.6</v>
      </c>
      <c r="AL783">
        <v>2</v>
      </c>
      <c r="AM783">
        <v>2.11</v>
      </c>
      <c r="AN783">
        <v>26.57</v>
      </c>
      <c r="AO783">
        <v>9.72</v>
      </c>
      <c r="AP783">
        <v>28.55</v>
      </c>
    </row>
    <row r="784" spans="1:42">
      <c r="A784">
        <v>783</v>
      </c>
      <c r="B784" t="str">
        <f>"600602"</f>
        <v>600602</v>
      </c>
      <c r="C784" t="s">
        <v>5685</v>
      </c>
      <c r="D784">
        <v>12.73</v>
      </c>
      <c r="E784">
        <v>1.84</v>
      </c>
      <c r="F784">
        <v>0.23</v>
      </c>
      <c r="G784" t="s">
        <v>486</v>
      </c>
      <c r="H784">
        <v>2684</v>
      </c>
      <c r="I784">
        <v>12.72</v>
      </c>
      <c r="J784">
        <v>12.73</v>
      </c>
      <c r="K784" t="s">
        <v>5681</v>
      </c>
      <c r="L784">
        <v>1.88</v>
      </c>
      <c r="M784" t="s">
        <v>46</v>
      </c>
      <c r="N784" t="s">
        <v>5686</v>
      </c>
      <c r="O784">
        <v>12.83</v>
      </c>
      <c r="P784">
        <v>12.4</v>
      </c>
      <c r="Q784">
        <v>12.48</v>
      </c>
      <c r="R784">
        <v>12.5</v>
      </c>
      <c r="S784">
        <v>3.44</v>
      </c>
      <c r="T784">
        <v>0.66</v>
      </c>
      <c r="U784">
        <v>-5.41</v>
      </c>
      <c r="V784">
        <v>-466</v>
      </c>
      <c r="W784">
        <v>12.62</v>
      </c>
      <c r="X784" t="s">
        <v>1063</v>
      </c>
      <c r="Y784" t="s">
        <v>262</v>
      </c>
      <c r="Z784">
        <v>0.78</v>
      </c>
      <c r="AA784">
        <v>1791</v>
      </c>
      <c r="AB784">
        <v>136</v>
      </c>
      <c r="AC784">
        <v>3.74</v>
      </c>
      <c r="AD784" t="s">
        <v>3086</v>
      </c>
      <c r="AE784" t="s">
        <v>5687</v>
      </c>
      <c r="AF784" t="s">
        <v>5688</v>
      </c>
      <c r="AG784" t="s">
        <v>5689</v>
      </c>
      <c r="AH784">
        <v>-0.39</v>
      </c>
      <c r="AI784">
        <v>-3.27</v>
      </c>
      <c r="AJ784">
        <v>5.83</v>
      </c>
      <c r="AK784">
        <v>16.08</v>
      </c>
      <c r="AL784">
        <v>1</v>
      </c>
      <c r="AM784">
        <v>1.84</v>
      </c>
      <c r="AN784">
        <v>46.83</v>
      </c>
      <c r="AO784">
        <v>4.17</v>
      </c>
      <c r="AP784">
        <v>88.31</v>
      </c>
    </row>
    <row r="785" spans="1:42">
      <c r="A785">
        <v>784</v>
      </c>
      <c r="B785" t="str">
        <f>"603662"</f>
        <v>603662</v>
      </c>
      <c r="C785" t="s">
        <v>5690</v>
      </c>
      <c r="D785">
        <v>34.05</v>
      </c>
      <c r="E785">
        <v>-1.3</v>
      </c>
      <c r="F785">
        <v>-0.45</v>
      </c>
      <c r="G785" t="s">
        <v>4072</v>
      </c>
      <c r="H785">
        <v>635</v>
      </c>
      <c r="I785">
        <v>34.04</v>
      </c>
      <c r="J785">
        <v>34.05</v>
      </c>
      <c r="K785" t="s">
        <v>5681</v>
      </c>
      <c r="L785">
        <v>2.69</v>
      </c>
      <c r="M785" t="s">
        <v>46</v>
      </c>
      <c r="N785" t="s">
        <v>5691</v>
      </c>
      <c r="O785">
        <v>34.48</v>
      </c>
      <c r="P785">
        <v>33.36</v>
      </c>
      <c r="Q785">
        <v>33.87</v>
      </c>
      <c r="R785">
        <v>34.5</v>
      </c>
      <c r="S785">
        <v>3.25</v>
      </c>
      <c r="T785">
        <v>0.82</v>
      </c>
      <c r="U785">
        <v>-26.62</v>
      </c>
      <c r="V785">
        <v>-128</v>
      </c>
      <c r="W785">
        <v>33.74</v>
      </c>
      <c r="X785" t="s">
        <v>5692</v>
      </c>
      <c r="Y785" t="s">
        <v>5693</v>
      </c>
      <c r="Z785">
        <v>1.12</v>
      </c>
      <c r="AA785">
        <v>48</v>
      </c>
      <c r="AB785">
        <v>129</v>
      </c>
      <c r="AC785">
        <v>3.95</v>
      </c>
      <c r="AD785" t="s">
        <v>5694</v>
      </c>
      <c r="AE785" t="s">
        <v>5695</v>
      </c>
      <c r="AF785" t="s">
        <v>5696</v>
      </c>
      <c r="AG785" t="s">
        <v>5697</v>
      </c>
      <c r="AH785">
        <v>-2.04</v>
      </c>
      <c r="AI785">
        <v>-0.26</v>
      </c>
      <c r="AJ785">
        <v>10.53</v>
      </c>
      <c r="AK785">
        <v>19.02</v>
      </c>
      <c r="AL785">
        <v>-2</v>
      </c>
      <c r="AM785">
        <v>-1.3</v>
      </c>
      <c r="AN785">
        <v>110.84</v>
      </c>
      <c r="AO785">
        <v>13.31</v>
      </c>
      <c r="AP785">
        <v>112.68</v>
      </c>
    </row>
    <row r="786" spans="1:42">
      <c r="A786">
        <v>785</v>
      </c>
      <c r="B786" t="str">
        <f>"600566"</f>
        <v>600566</v>
      </c>
      <c r="C786" t="s">
        <v>5698</v>
      </c>
      <c r="D786">
        <v>31.66</v>
      </c>
      <c r="E786">
        <v>-0.85</v>
      </c>
      <c r="F786">
        <v>-0.27</v>
      </c>
      <c r="G786" t="s">
        <v>3690</v>
      </c>
      <c r="H786">
        <v>444</v>
      </c>
      <c r="I786">
        <v>31.65</v>
      </c>
      <c r="J786">
        <v>31.66</v>
      </c>
      <c r="K786" t="s">
        <v>5681</v>
      </c>
      <c r="L786">
        <v>0.88</v>
      </c>
      <c r="M786" t="s">
        <v>46</v>
      </c>
      <c r="N786" t="s">
        <v>5699</v>
      </c>
      <c r="O786">
        <v>32.05</v>
      </c>
      <c r="P786">
        <v>31.5</v>
      </c>
      <c r="Q786">
        <v>31.89</v>
      </c>
      <c r="R786">
        <v>31.93</v>
      </c>
      <c r="S786">
        <v>1.72</v>
      </c>
      <c r="T786">
        <v>0.52</v>
      </c>
      <c r="U786">
        <v>-0.05</v>
      </c>
      <c r="V786">
        <v>0</v>
      </c>
      <c r="W786">
        <v>31.67</v>
      </c>
      <c r="X786" t="s">
        <v>5700</v>
      </c>
      <c r="Y786" t="s">
        <v>2621</v>
      </c>
      <c r="Z786">
        <v>0.92</v>
      </c>
      <c r="AA786">
        <v>33</v>
      </c>
      <c r="AB786">
        <v>47</v>
      </c>
      <c r="AC786">
        <v>2.34</v>
      </c>
      <c r="AD786" t="s">
        <v>5701</v>
      </c>
      <c r="AE786" t="s">
        <v>5702</v>
      </c>
      <c r="AF786" t="s">
        <v>5703</v>
      </c>
      <c r="AG786" t="s">
        <v>5704</v>
      </c>
      <c r="AH786">
        <v>-1.46</v>
      </c>
      <c r="AI786">
        <v>3.63</v>
      </c>
      <c r="AJ786">
        <v>3.18</v>
      </c>
      <c r="AK786">
        <v>9.3</v>
      </c>
      <c r="AL786">
        <v>-1</v>
      </c>
      <c r="AM786">
        <v>-0.85</v>
      </c>
      <c r="AN786">
        <v>20.2</v>
      </c>
      <c r="AO786">
        <v>18.53</v>
      </c>
      <c r="AP786">
        <v>-0.6</v>
      </c>
    </row>
    <row r="787" spans="1:42">
      <c r="A787">
        <v>786</v>
      </c>
      <c r="B787" t="str">
        <f>"000046"</f>
        <v>000046</v>
      </c>
      <c r="C787" t="s">
        <v>5705</v>
      </c>
      <c r="D787">
        <v>0.93</v>
      </c>
      <c r="E787">
        <v>-4.12</v>
      </c>
      <c r="F787">
        <v>-0.04</v>
      </c>
      <c r="G787" t="s">
        <v>1717</v>
      </c>
      <c r="H787" t="s">
        <v>5706</v>
      </c>
      <c r="I787">
        <v>0.93</v>
      </c>
      <c r="J787">
        <v>0.94</v>
      </c>
      <c r="K787" t="s">
        <v>5707</v>
      </c>
      <c r="L787">
        <v>5.18</v>
      </c>
      <c r="M787" t="s">
        <v>46</v>
      </c>
      <c r="N787" t="s">
        <v>5708</v>
      </c>
      <c r="O787">
        <v>1</v>
      </c>
      <c r="P787">
        <v>0.92</v>
      </c>
      <c r="Q787">
        <v>0.92</v>
      </c>
      <c r="R787">
        <v>0.97</v>
      </c>
      <c r="S787">
        <v>8.25</v>
      </c>
      <c r="T787">
        <v>0.94</v>
      </c>
      <c r="U787">
        <v>17.25</v>
      </c>
      <c r="V787" t="s">
        <v>4035</v>
      </c>
      <c r="W787">
        <v>0.95</v>
      </c>
      <c r="X787" t="s">
        <v>2110</v>
      </c>
      <c r="Y787" t="s">
        <v>5709</v>
      </c>
      <c r="Z787">
        <v>0.75</v>
      </c>
      <c r="AA787" t="s">
        <v>5710</v>
      </c>
      <c r="AB787" t="s">
        <v>5620</v>
      </c>
      <c r="AC787">
        <v>-0.4</v>
      </c>
      <c r="AD787" t="s">
        <v>5711</v>
      </c>
      <c r="AE787" t="s">
        <v>5712</v>
      </c>
      <c r="AF787" t="s">
        <v>5713</v>
      </c>
      <c r="AG787" t="s">
        <v>5714</v>
      </c>
      <c r="AH787">
        <v>-13.08</v>
      </c>
      <c r="AI787">
        <v>0</v>
      </c>
      <c r="AJ787">
        <v>12.34</v>
      </c>
      <c r="AK787">
        <v>32.69</v>
      </c>
      <c r="AL787">
        <v>-3</v>
      </c>
      <c r="AM787">
        <v>-4.12</v>
      </c>
      <c r="AN787">
        <v>-25.6</v>
      </c>
      <c r="AO787">
        <v>-35.42</v>
      </c>
      <c r="AP787">
        <v>-27.34</v>
      </c>
    </row>
    <row r="788" spans="1:42">
      <c r="A788">
        <v>787</v>
      </c>
      <c r="B788" t="str">
        <f>"000863"</f>
        <v>000863</v>
      </c>
      <c r="C788" t="s">
        <v>5715</v>
      </c>
      <c r="D788">
        <v>4.14</v>
      </c>
      <c r="E788">
        <v>0.49</v>
      </c>
      <c r="F788">
        <v>0.02</v>
      </c>
      <c r="G788" t="s">
        <v>5716</v>
      </c>
      <c r="H788">
        <v>6546</v>
      </c>
      <c r="I788">
        <v>4.14</v>
      </c>
      <c r="J788">
        <v>4.15</v>
      </c>
      <c r="K788" t="s">
        <v>5717</v>
      </c>
      <c r="L788">
        <v>5.26</v>
      </c>
      <c r="M788" t="s">
        <v>46</v>
      </c>
      <c r="N788" t="s">
        <v>5718</v>
      </c>
      <c r="O788">
        <v>4.24</v>
      </c>
      <c r="P788">
        <v>4.08</v>
      </c>
      <c r="Q788">
        <v>4.16</v>
      </c>
      <c r="R788">
        <v>4.12</v>
      </c>
      <c r="S788">
        <v>3.88</v>
      </c>
      <c r="T788">
        <v>0.7</v>
      </c>
      <c r="U788">
        <v>1</v>
      </c>
      <c r="V788">
        <v>243</v>
      </c>
      <c r="W788">
        <v>4.14</v>
      </c>
      <c r="X788" t="s">
        <v>5719</v>
      </c>
      <c r="Y788" t="s">
        <v>2811</v>
      </c>
      <c r="Z788">
        <v>1.09</v>
      </c>
      <c r="AA788">
        <v>416</v>
      </c>
      <c r="AB788">
        <v>5071</v>
      </c>
      <c r="AC788">
        <v>1.09</v>
      </c>
      <c r="AD788" t="s">
        <v>5720</v>
      </c>
      <c r="AE788" t="s">
        <v>5721</v>
      </c>
      <c r="AF788" t="s">
        <v>5722</v>
      </c>
      <c r="AG788" t="s">
        <v>5723</v>
      </c>
      <c r="AH788">
        <v>1.22</v>
      </c>
      <c r="AI788">
        <v>-9.8</v>
      </c>
      <c r="AJ788">
        <v>15.54</v>
      </c>
      <c r="AK788">
        <v>43.06</v>
      </c>
      <c r="AL788">
        <v>2</v>
      </c>
      <c r="AM788">
        <v>0.49</v>
      </c>
      <c r="AN788">
        <v>-2.82</v>
      </c>
      <c r="AO788">
        <v>16.95</v>
      </c>
      <c r="AP788">
        <v>-23.19</v>
      </c>
    </row>
    <row r="789" spans="1:42">
      <c r="A789">
        <v>788</v>
      </c>
      <c r="B789" t="str">
        <f>"300113"</f>
        <v>300113</v>
      </c>
      <c r="C789" t="s">
        <v>5724</v>
      </c>
      <c r="D789">
        <v>15.53</v>
      </c>
      <c r="E789">
        <v>4.65</v>
      </c>
      <c r="F789">
        <v>0.69</v>
      </c>
      <c r="G789" t="s">
        <v>2047</v>
      </c>
      <c r="H789">
        <v>2635</v>
      </c>
      <c r="I789">
        <v>15.53</v>
      </c>
      <c r="J789">
        <v>15.54</v>
      </c>
      <c r="K789" t="s">
        <v>5717</v>
      </c>
      <c r="L789">
        <v>3.12</v>
      </c>
      <c r="M789" t="s">
        <v>46</v>
      </c>
      <c r="N789" t="s">
        <v>3553</v>
      </c>
      <c r="O789">
        <v>15.69</v>
      </c>
      <c r="P789">
        <v>14.81</v>
      </c>
      <c r="Q789">
        <v>14.84</v>
      </c>
      <c r="R789">
        <v>14.84</v>
      </c>
      <c r="S789">
        <v>5.93</v>
      </c>
      <c r="T789">
        <v>1.96</v>
      </c>
      <c r="U789">
        <v>19.2</v>
      </c>
      <c r="V789">
        <v>731</v>
      </c>
      <c r="W789">
        <v>15.35</v>
      </c>
      <c r="X789" t="s">
        <v>5725</v>
      </c>
      <c r="Y789" t="s">
        <v>5726</v>
      </c>
      <c r="Z789">
        <v>0.72</v>
      </c>
      <c r="AA789">
        <v>111</v>
      </c>
      <c r="AB789">
        <v>160</v>
      </c>
      <c r="AC789">
        <v>5.45</v>
      </c>
      <c r="AD789" t="s">
        <v>5727</v>
      </c>
      <c r="AE789" t="s">
        <v>4187</v>
      </c>
      <c r="AF789" t="s">
        <v>5728</v>
      </c>
      <c r="AG789" t="s">
        <v>5729</v>
      </c>
      <c r="AH789">
        <v>2.85</v>
      </c>
      <c r="AI789">
        <v>-0.45</v>
      </c>
      <c r="AJ789">
        <v>5.92</v>
      </c>
      <c r="AK789">
        <v>11.07</v>
      </c>
      <c r="AL789">
        <v>1</v>
      </c>
      <c r="AM789">
        <v>4.65</v>
      </c>
      <c r="AN789">
        <v>50.19</v>
      </c>
      <c r="AO789">
        <v>6.3</v>
      </c>
      <c r="AP789">
        <v>38.17</v>
      </c>
    </row>
    <row r="790" spans="1:42">
      <c r="A790">
        <v>789</v>
      </c>
      <c r="B790" t="str">
        <f>"688037"</f>
        <v>688037</v>
      </c>
      <c r="C790" t="s">
        <v>5730</v>
      </c>
      <c r="D790">
        <v>152.73</v>
      </c>
      <c r="E790">
        <v>-1.99</v>
      </c>
      <c r="F790">
        <v>-3.1</v>
      </c>
      <c r="G790" t="s">
        <v>390</v>
      </c>
      <c r="H790">
        <v>113</v>
      </c>
      <c r="I790">
        <v>152.71</v>
      </c>
      <c r="J790">
        <v>152.73</v>
      </c>
      <c r="K790" t="s">
        <v>5717</v>
      </c>
      <c r="L790">
        <v>1.21</v>
      </c>
      <c r="M790" t="s">
        <v>46</v>
      </c>
      <c r="N790" t="s">
        <v>654</v>
      </c>
      <c r="O790">
        <v>155.56</v>
      </c>
      <c r="P790">
        <v>149.26</v>
      </c>
      <c r="Q790">
        <v>154.01</v>
      </c>
      <c r="R790">
        <v>155.83</v>
      </c>
      <c r="S790">
        <v>4.04</v>
      </c>
      <c r="T790">
        <v>0.95</v>
      </c>
      <c r="U790">
        <v>61.9</v>
      </c>
      <c r="V790">
        <v>43</v>
      </c>
      <c r="W790">
        <v>151.93</v>
      </c>
      <c r="X790">
        <v>9650</v>
      </c>
      <c r="Y790">
        <v>6996</v>
      </c>
      <c r="Z790">
        <v>1.38</v>
      </c>
      <c r="AA790">
        <v>8</v>
      </c>
      <c r="AB790">
        <v>1</v>
      </c>
      <c r="AC790">
        <v>9.08</v>
      </c>
      <c r="AD790" t="s">
        <v>5731</v>
      </c>
      <c r="AE790" t="s">
        <v>5732</v>
      </c>
      <c r="AF790" t="s">
        <v>5731</v>
      </c>
      <c r="AG790" t="s">
        <v>5732</v>
      </c>
      <c r="AH790">
        <v>0.73</v>
      </c>
      <c r="AI790">
        <v>2.24</v>
      </c>
      <c r="AJ790">
        <v>4.05</v>
      </c>
      <c r="AK790">
        <v>7.54</v>
      </c>
      <c r="AL790">
        <v>-1</v>
      </c>
      <c r="AM790">
        <v>-1.99</v>
      </c>
      <c r="AN790">
        <v>44.81</v>
      </c>
      <c r="AO790">
        <v>2.29</v>
      </c>
      <c r="AP790">
        <v>10.21</v>
      </c>
    </row>
    <row r="791" spans="1:42">
      <c r="A791">
        <v>790</v>
      </c>
      <c r="B791" t="str">
        <f>"301487"</f>
        <v>301487</v>
      </c>
      <c r="C791" t="s">
        <v>5733</v>
      </c>
      <c r="D791">
        <v>46.87</v>
      </c>
      <c r="E791">
        <v>0.47</v>
      </c>
      <c r="F791">
        <v>0.22</v>
      </c>
      <c r="G791" t="s">
        <v>5734</v>
      </c>
      <c r="H791">
        <v>1294</v>
      </c>
      <c r="I791">
        <v>46.87</v>
      </c>
      <c r="J791">
        <v>46.88</v>
      </c>
      <c r="K791" t="s">
        <v>5735</v>
      </c>
      <c r="L791">
        <v>10.04</v>
      </c>
      <c r="M791" t="s">
        <v>46</v>
      </c>
      <c r="N791" t="s">
        <v>4602</v>
      </c>
      <c r="O791">
        <v>46.98</v>
      </c>
      <c r="P791">
        <v>45.55</v>
      </c>
      <c r="Q791">
        <v>46.22</v>
      </c>
      <c r="R791">
        <v>46.65</v>
      </c>
      <c r="S791">
        <v>3.07</v>
      </c>
      <c r="T791">
        <v>0.86</v>
      </c>
      <c r="U791">
        <v>15.8</v>
      </c>
      <c r="V791">
        <v>140</v>
      </c>
      <c r="W791">
        <v>46.12</v>
      </c>
      <c r="X791" t="s">
        <v>2727</v>
      </c>
      <c r="Y791" t="s">
        <v>4036</v>
      </c>
      <c r="Z791">
        <v>1.11</v>
      </c>
      <c r="AA791">
        <v>327</v>
      </c>
      <c r="AB791">
        <v>120</v>
      </c>
      <c r="AC791">
        <v>10.86</v>
      </c>
      <c r="AD791" t="s">
        <v>5736</v>
      </c>
      <c r="AE791" t="s">
        <v>5737</v>
      </c>
      <c r="AF791" t="s">
        <v>5738</v>
      </c>
      <c r="AG791" t="s">
        <v>5739</v>
      </c>
      <c r="AH791">
        <v>-2.25</v>
      </c>
      <c r="AI791">
        <v>-1.31</v>
      </c>
      <c r="AJ791">
        <v>32.71</v>
      </c>
      <c r="AK791">
        <v>68.76</v>
      </c>
      <c r="AL791">
        <v>2</v>
      </c>
      <c r="AM791">
        <v>0.47</v>
      </c>
      <c r="AN791">
        <v>781.02</v>
      </c>
      <c r="AO791">
        <v>3.37</v>
      </c>
      <c r="AP791">
        <v>781.02</v>
      </c>
    </row>
    <row r="792" spans="1:42">
      <c r="A792">
        <v>791</v>
      </c>
      <c r="B792" t="str">
        <f>"603636"</f>
        <v>603636</v>
      </c>
      <c r="C792" t="s">
        <v>5740</v>
      </c>
      <c r="D792">
        <v>14.05</v>
      </c>
      <c r="E792">
        <v>1.74</v>
      </c>
      <c r="F792">
        <v>0.24</v>
      </c>
      <c r="G792" t="s">
        <v>797</v>
      </c>
      <c r="H792">
        <v>1498</v>
      </c>
      <c r="I792">
        <v>14.05</v>
      </c>
      <c r="J792">
        <v>14.06</v>
      </c>
      <c r="K792" t="s">
        <v>5735</v>
      </c>
      <c r="L792">
        <v>3.05</v>
      </c>
      <c r="M792" t="s">
        <v>46</v>
      </c>
      <c r="N792" t="s">
        <v>1957</v>
      </c>
      <c r="O792">
        <v>14.25</v>
      </c>
      <c r="P792">
        <v>13.75</v>
      </c>
      <c r="Q792">
        <v>13.75</v>
      </c>
      <c r="R792">
        <v>13.81</v>
      </c>
      <c r="S792">
        <v>3.62</v>
      </c>
      <c r="T792">
        <v>0.92</v>
      </c>
      <c r="U792">
        <v>23.04</v>
      </c>
      <c r="V792">
        <v>709</v>
      </c>
      <c r="W792">
        <v>14</v>
      </c>
      <c r="X792" t="s">
        <v>5741</v>
      </c>
      <c r="Y792" t="s">
        <v>5742</v>
      </c>
      <c r="Z792">
        <v>0.85</v>
      </c>
      <c r="AA792">
        <v>512</v>
      </c>
      <c r="AB792">
        <v>172</v>
      </c>
      <c r="AC792">
        <v>3.23</v>
      </c>
      <c r="AD792" t="s">
        <v>4762</v>
      </c>
      <c r="AE792" t="s">
        <v>5743</v>
      </c>
      <c r="AF792" t="s">
        <v>4762</v>
      </c>
      <c r="AG792" t="s">
        <v>5743</v>
      </c>
      <c r="AH792">
        <v>1.08</v>
      </c>
      <c r="AI792">
        <v>-5.13</v>
      </c>
      <c r="AJ792">
        <v>7.9</v>
      </c>
      <c r="AK792">
        <v>19.55</v>
      </c>
      <c r="AL792">
        <v>1</v>
      </c>
      <c r="AM792">
        <v>1.74</v>
      </c>
      <c r="AN792">
        <v>2.93</v>
      </c>
      <c r="AO792">
        <v>14.88</v>
      </c>
      <c r="AP792">
        <v>-5.7</v>
      </c>
    </row>
    <row r="793" spans="1:42">
      <c r="A793">
        <v>792</v>
      </c>
      <c r="B793" t="str">
        <f>"301255"</f>
        <v>301255</v>
      </c>
      <c r="C793" t="s">
        <v>5744</v>
      </c>
      <c r="D793">
        <v>44.71</v>
      </c>
      <c r="E793">
        <v>-3.75</v>
      </c>
      <c r="F793">
        <v>-1.74</v>
      </c>
      <c r="G793" t="s">
        <v>1503</v>
      </c>
      <c r="H793">
        <v>678</v>
      </c>
      <c r="I793">
        <v>44.71</v>
      </c>
      <c r="J793">
        <v>44.72</v>
      </c>
      <c r="K793" t="s">
        <v>5735</v>
      </c>
      <c r="L793">
        <v>20.92</v>
      </c>
      <c r="M793" t="s">
        <v>46</v>
      </c>
      <c r="N793" t="s">
        <v>5745</v>
      </c>
      <c r="O793">
        <v>46</v>
      </c>
      <c r="P793">
        <v>43.25</v>
      </c>
      <c r="Q793">
        <v>45.52</v>
      </c>
      <c r="R793">
        <v>46.45</v>
      </c>
      <c r="S793">
        <v>5.92</v>
      </c>
      <c r="T793">
        <v>1.09</v>
      </c>
      <c r="U793">
        <v>-27.79</v>
      </c>
      <c r="V793">
        <v>-99</v>
      </c>
      <c r="W793">
        <v>44.29</v>
      </c>
      <c r="X793" t="s">
        <v>3033</v>
      </c>
      <c r="Y793" t="s">
        <v>5746</v>
      </c>
      <c r="Z793">
        <v>1.15</v>
      </c>
      <c r="AA793">
        <v>4</v>
      </c>
      <c r="AB793">
        <v>86</v>
      </c>
      <c r="AC793">
        <v>4.75</v>
      </c>
      <c r="AD793" t="s">
        <v>5747</v>
      </c>
      <c r="AE793" t="s">
        <v>5748</v>
      </c>
      <c r="AF793" t="s">
        <v>5749</v>
      </c>
      <c r="AG793" t="s">
        <v>1322</v>
      </c>
      <c r="AH793">
        <v>-1.52</v>
      </c>
      <c r="AI793">
        <v>-4.85</v>
      </c>
      <c r="AJ793">
        <v>75.54</v>
      </c>
      <c r="AK793">
        <v>117.26</v>
      </c>
      <c r="AL793">
        <v>-2</v>
      </c>
      <c r="AM793">
        <v>-3.75</v>
      </c>
      <c r="AN793">
        <v>115.16</v>
      </c>
      <c r="AO793">
        <v>0.93</v>
      </c>
      <c r="AP793">
        <v>98.62</v>
      </c>
    </row>
    <row r="794" spans="1:42">
      <c r="A794">
        <v>793</v>
      </c>
      <c r="B794" t="str">
        <f>"000009"</f>
        <v>000009</v>
      </c>
      <c r="C794" t="s">
        <v>5750</v>
      </c>
      <c r="D794">
        <v>11.5</v>
      </c>
      <c r="E794">
        <v>-1.63</v>
      </c>
      <c r="F794">
        <v>-0.19</v>
      </c>
      <c r="G794" t="s">
        <v>1225</v>
      </c>
      <c r="H794">
        <v>2427</v>
      </c>
      <c r="I794">
        <v>11.5</v>
      </c>
      <c r="J794">
        <v>11.51</v>
      </c>
      <c r="K794" t="s">
        <v>5751</v>
      </c>
      <c r="L794">
        <v>0.85</v>
      </c>
      <c r="M794" t="s">
        <v>46</v>
      </c>
      <c r="N794" t="s">
        <v>5752</v>
      </c>
      <c r="O794">
        <v>11.79</v>
      </c>
      <c r="P794">
        <v>11.49</v>
      </c>
      <c r="Q794">
        <v>11.79</v>
      </c>
      <c r="R794">
        <v>11.69</v>
      </c>
      <c r="S794">
        <v>2.57</v>
      </c>
      <c r="T794">
        <v>1.52</v>
      </c>
      <c r="U794">
        <v>39.68</v>
      </c>
      <c r="V794">
        <v>4068</v>
      </c>
      <c r="W794">
        <v>11.55</v>
      </c>
      <c r="X794" t="s">
        <v>1986</v>
      </c>
      <c r="Y794" t="s">
        <v>3295</v>
      </c>
      <c r="Z794">
        <v>1.36</v>
      </c>
      <c r="AA794">
        <v>3576</v>
      </c>
      <c r="AB794">
        <v>1192</v>
      </c>
      <c r="AC794">
        <v>3.01</v>
      </c>
      <c r="AD794" t="s">
        <v>5753</v>
      </c>
      <c r="AE794" t="s">
        <v>2954</v>
      </c>
      <c r="AF794" t="s">
        <v>5754</v>
      </c>
      <c r="AG794" t="s">
        <v>5755</v>
      </c>
      <c r="AH794">
        <v>-2.13</v>
      </c>
      <c r="AI794">
        <v>-1.03</v>
      </c>
      <c r="AJ794">
        <v>1.95</v>
      </c>
      <c r="AK794">
        <v>3.66</v>
      </c>
      <c r="AL794">
        <v>-3</v>
      </c>
      <c r="AM794">
        <v>-1.63</v>
      </c>
      <c r="AN794">
        <v>-4.64</v>
      </c>
      <c r="AO794">
        <v>11.33</v>
      </c>
      <c r="AP794">
        <v>-14.12</v>
      </c>
    </row>
    <row r="795" spans="1:42">
      <c r="A795">
        <v>794</v>
      </c>
      <c r="B795" t="str">
        <f>"300724"</f>
        <v>300724</v>
      </c>
      <c r="C795" t="s">
        <v>5756</v>
      </c>
      <c r="D795">
        <v>69.36</v>
      </c>
      <c r="E795">
        <v>-1.35</v>
      </c>
      <c r="F795">
        <v>-0.95</v>
      </c>
      <c r="G795" t="s">
        <v>5323</v>
      </c>
      <c r="H795">
        <v>738</v>
      </c>
      <c r="I795">
        <v>69.36</v>
      </c>
      <c r="J795">
        <v>69.37</v>
      </c>
      <c r="K795" t="s">
        <v>5751</v>
      </c>
      <c r="L795">
        <v>1.32</v>
      </c>
      <c r="M795" t="s">
        <v>46</v>
      </c>
      <c r="N795" t="s">
        <v>5757</v>
      </c>
      <c r="O795">
        <v>70.42</v>
      </c>
      <c r="P795">
        <v>68.78</v>
      </c>
      <c r="Q795">
        <v>70.3</v>
      </c>
      <c r="R795">
        <v>70.31</v>
      </c>
      <c r="S795">
        <v>2.33</v>
      </c>
      <c r="T795">
        <v>1.02</v>
      </c>
      <c r="U795">
        <v>16.07</v>
      </c>
      <c r="V795">
        <v>36</v>
      </c>
      <c r="W795">
        <v>69.49</v>
      </c>
      <c r="X795" t="s">
        <v>325</v>
      </c>
      <c r="Y795" t="s">
        <v>60</v>
      </c>
      <c r="Z795">
        <v>1.03</v>
      </c>
      <c r="AA795">
        <v>73</v>
      </c>
      <c r="AB795">
        <v>1</v>
      </c>
      <c r="AC795">
        <v>2.9</v>
      </c>
      <c r="AD795" t="s">
        <v>5758</v>
      </c>
      <c r="AE795" t="s">
        <v>5759</v>
      </c>
      <c r="AF795" t="s">
        <v>5760</v>
      </c>
      <c r="AG795" t="s">
        <v>5522</v>
      </c>
      <c r="AH795">
        <v>-2.95</v>
      </c>
      <c r="AI795">
        <v>-4.59</v>
      </c>
      <c r="AJ795">
        <v>3.83</v>
      </c>
      <c r="AK795">
        <v>7.79</v>
      </c>
      <c r="AL795">
        <v>-6</v>
      </c>
      <c r="AM795">
        <v>-1.35</v>
      </c>
      <c r="AN795">
        <v>-39.06</v>
      </c>
      <c r="AO795">
        <v>-3.63</v>
      </c>
      <c r="AP795">
        <v>-45.97</v>
      </c>
    </row>
    <row r="796" spans="1:42">
      <c r="A796">
        <v>795</v>
      </c>
      <c r="B796" t="str">
        <f>"600977"</f>
        <v>600977</v>
      </c>
      <c r="C796" t="s">
        <v>5761</v>
      </c>
      <c r="D796">
        <v>12.69</v>
      </c>
      <c r="E796">
        <v>3.17</v>
      </c>
      <c r="F796">
        <v>0.39</v>
      </c>
      <c r="G796" t="s">
        <v>416</v>
      </c>
      <c r="H796">
        <v>3254</v>
      </c>
      <c r="I796">
        <v>12.69</v>
      </c>
      <c r="J796">
        <v>12.7</v>
      </c>
      <c r="K796" t="s">
        <v>5762</v>
      </c>
      <c r="L796">
        <v>1.07</v>
      </c>
      <c r="M796" t="s">
        <v>46</v>
      </c>
      <c r="N796" t="s">
        <v>5763</v>
      </c>
      <c r="O796">
        <v>12.72</v>
      </c>
      <c r="P796">
        <v>12.28</v>
      </c>
      <c r="Q796">
        <v>12.3</v>
      </c>
      <c r="R796">
        <v>12.3</v>
      </c>
      <c r="S796">
        <v>3.58</v>
      </c>
      <c r="T796">
        <v>1.96</v>
      </c>
      <c r="U796">
        <v>-9.34</v>
      </c>
      <c r="V796">
        <v>-765</v>
      </c>
      <c r="W796">
        <v>12.55</v>
      </c>
      <c r="X796" t="s">
        <v>4382</v>
      </c>
      <c r="Y796" t="s">
        <v>1540</v>
      </c>
      <c r="Z796">
        <v>0.69</v>
      </c>
      <c r="AA796">
        <v>105</v>
      </c>
      <c r="AB796">
        <v>1549</v>
      </c>
      <c r="AC796">
        <v>2.1</v>
      </c>
      <c r="AD796" t="s">
        <v>5764</v>
      </c>
      <c r="AE796" t="s">
        <v>5765</v>
      </c>
      <c r="AF796" t="s">
        <v>5764</v>
      </c>
      <c r="AG796" t="s">
        <v>5765</v>
      </c>
      <c r="AH796">
        <v>2.75</v>
      </c>
      <c r="AI796">
        <v>1.36</v>
      </c>
      <c r="AJ796">
        <v>1.95</v>
      </c>
      <c r="AK796">
        <v>3.79</v>
      </c>
      <c r="AL796">
        <v>2</v>
      </c>
      <c r="AM796">
        <v>3.17</v>
      </c>
      <c r="AN796">
        <v>-6.69</v>
      </c>
      <c r="AO796">
        <v>3.34</v>
      </c>
      <c r="AP796">
        <v>11.22</v>
      </c>
    </row>
    <row r="797" spans="1:42">
      <c r="A797">
        <v>796</v>
      </c>
      <c r="B797" t="str">
        <f>"301050"</f>
        <v>301050</v>
      </c>
      <c r="C797" t="s">
        <v>5766</v>
      </c>
      <c r="D797">
        <v>60.56</v>
      </c>
      <c r="E797">
        <v>-1.05</v>
      </c>
      <c r="F797">
        <v>-0.64</v>
      </c>
      <c r="G797" t="s">
        <v>5767</v>
      </c>
      <c r="H797">
        <v>604</v>
      </c>
      <c r="I797">
        <v>60.54</v>
      </c>
      <c r="J797">
        <v>60.56</v>
      </c>
      <c r="K797" t="s">
        <v>5762</v>
      </c>
      <c r="L797">
        <v>3.08</v>
      </c>
      <c r="M797" t="s">
        <v>46</v>
      </c>
      <c r="N797" t="s">
        <v>5768</v>
      </c>
      <c r="O797">
        <v>61.39</v>
      </c>
      <c r="P797">
        <v>59.67</v>
      </c>
      <c r="Q797">
        <v>61.2</v>
      </c>
      <c r="R797">
        <v>61.2</v>
      </c>
      <c r="S797">
        <v>2.81</v>
      </c>
      <c r="T797">
        <v>1.78</v>
      </c>
      <c r="U797">
        <v>-29.94</v>
      </c>
      <c r="V797">
        <v>-106</v>
      </c>
      <c r="W797">
        <v>60.29</v>
      </c>
      <c r="X797" t="s">
        <v>1212</v>
      </c>
      <c r="Y797" t="s">
        <v>2694</v>
      </c>
      <c r="Z797">
        <v>1.19</v>
      </c>
      <c r="AA797">
        <v>4</v>
      </c>
      <c r="AB797">
        <v>169</v>
      </c>
      <c r="AC797">
        <v>4.05</v>
      </c>
      <c r="AD797" t="s">
        <v>5769</v>
      </c>
      <c r="AE797" t="s">
        <v>5770</v>
      </c>
      <c r="AF797" t="s">
        <v>5771</v>
      </c>
      <c r="AG797" t="s">
        <v>5772</v>
      </c>
      <c r="AH797">
        <v>-4.6</v>
      </c>
      <c r="AI797">
        <v>-6.67</v>
      </c>
      <c r="AJ797">
        <v>6.83</v>
      </c>
      <c r="AK797">
        <v>11.75</v>
      </c>
      <c r="AL797">
        <v>-4</v>
      </c>
      <c r="AM797">
        <v>-1.05</v>
      </c>
      <c r="AN797">
        <v>-21.37</v>
      </c>
      <c r="AO797">
        <v>-8.02</v>
      </c>
      <c r="AP797">
        <v>-28.46</v>
      </c>
    </row>
    <row r="798" spans="1:42">
      <c r="A798">
        <v>797</v>
      </c>
      <c r="B798" t="str">
        <f>"605289"</f>
        <v>605289</v>
      </c>
      <c r="C798" t="s">
        <v>5773</v>
      </c>
      <c r="D798">
        <v>36.98</v>
      </c>
      <c r="E798">
        <v>7.19</v>
      </c>
      <c r="F798">
        <v>2.48</v>
      </c>
      <c r="G798" t="s">
        <v>4249</v>
      </c>
      <c r="H798">
        <v>525</v>
      </c>
      <c r="I798">
        <v>36.97</v>
      </c>
      <c r="J798">
        <v>36.98</v>
      </c>
      <c r="K798" t="s">
        <v>5762</v>
      </c>
      <c r="L798">
        <v>13.72</v>
      </c>
      <c r="M798" t="s">
        <v>46</v>
      </c>
      <c r="N798" t="s">
        <v>3556</v>
      </c>
      <c r="O798">
        <v>37.72</v>
      </c>
      <c r="P798">
        <v>33.67</v>
      </c>
      <c r="Q798">
        <v>33.67</v>
      </c>
      <c r="R798">
        <v>34.5</v>
      </c>
      <c r="S798">
        <v>11.74</v>
      </c>
      <c r="T798">
        <v>1.41</v>
      </c>
      <c r="U798">
        <v>-77.07</v>
      </c>
      <c r="V798">
        <v>-484</v>
      </c>
      <c r="W798">
        <v>35.97</v>
      </c>
      <c r="X798" t="s">
        <v>5302</v>
      </c>
      <c r="Y798" t="s">
        <v>5774</v>
      </c>
      <c r="Z798">
        <v>0.78</v>
      </c>
      <c r="AA798">
        <v>57</v>
      </c>
      <c r="AB798">
        <v>187</v>
      </c>
      <c r="AC798">
        <v>3.09</v>
      </c>
      <c r="AD798" t="s">
        <v>4956</v>
      </c>
      <c r="AE798" t="s">
        <v>5775</v>
      </c>
      <c r="AF798" t="s">
        <v>5776</v>
      </c>
      <c r="AG798" t="s">
        <v>5777</v>
      </c>
      <c r="AH798">
        <v>-4.69</v>
      </c>
      <c r="AI798">
        <v>-1.54</v>
      </c>
      <c r="AJ798">
        <v>39.29</v>
      </c>
      <c r="AK798">
        <v>62.49</v>
      </c>
      <c r="AL798">
        <v>1</v>
      </c>
      <c r="AM798">
        <v>7.19</v>
      </c>
      <c r="AN798">
        <v>73.13</v>
      </c>
      <c r="AO798">
        <v>4.85</v>
      </c>
      <c r="AP798">
        <v>33.65</v>
      </c>
    </row>
    <row r="799" spans="1:42">
      <c r="A799">
        <v>798</v>
      </c>
      <c r="B799" t="str">
        <f>"002878"</f>
        <v>002878</v>
      </c>
      <c r="C799" t="s">
        <v>5778</v>
      </c>
      <c r="D799">
        <v>18.17</v>
      </c>
      <c r="E799">
        <v>3.89</v>
      </c>
      <c r="F799">
        <v>0.68</v>
      </c>
      <c r="G799" t="s">
        <v>784</v>
      </c>
      <c r="H799">
        <v>1831</v>
      </c>
      <c r="I799">
        <v>18.17</v>
      </c>
      <c r="J799">
        <v>18.18</v>
      </c>
      <c r="K799" t="s">
        <v>5479</v>
      </c>
      <c r="L799">
        <v>7.08</v>
      </c>
      <c r="M799" t="s">
        <v>46</v>
      </c>
      <c r="N799" t="s">
        <v>4516</v>
      </c>
      <c r="O799">
        <v>18.44</v>
      </c>
      <c r="P799">
        <v>17.31</v>
      </c>
      <c r="Q799">
        <v>17.4</v>
      </c>
      <c r="R799">
        <v>17.49</v>
      </c>
      <c r="S799">
        <v>6.46</v>
      </c>
      <c r="T799">
        <v>1.15</v>
      </c>
      <c r="U799">
        <v>42.34</v>
      </c>
      <c r="V799">
        <v>696</v>
      </c>
      <c r="W799">
        <v>18.02</v>
      </c>
      <c r="X799" t="s">
        <v>5779</v>
      </c>
      <c r="Y799" t="s">
        <v>5780</v>
      </c>
      <c r="Z799">
        <v>0.83</v>
      </c>
      <c r="AA799">
        <v>61</v>
      </c>
      <c r="AB799">
        <v>60</v>
      </c>
      <c r="AC799">
        <v>4.24</v>
      </c>
      <c r="AD799" t="s">
        <v>1138</v>
      </c>
      <c r="AE799" t="s">
        <v>5781</v>
      </c>
      <c r="AF799" t="s">
        <v>5782</v>
      </c>
      <c r="AG799" t="s">
        <v>5783</v>
      </c>
      <c r="AH799">
        <v>4.31</v>
      </c>
      <c r="AI799">
        <v>-1.25</v>
      </c>
      <c r="AJ799">
        <v>16.9</v>
      </c>
      <c r="AK799">
        <v>37.97</v>
      </c>
      <c r="AL799">
        <v>1</v>
      </c>
      <c r="AM799">
        <v>3.89</v>
      </c>
      <c r="AN799">
        <v>20.81</v>
      </c>
      <c r="AO799">
        <v>14.13</v>
      </c>
      <c r="AP799">
        <v>6.44</v>
      </c>
    </row>
    <row r="800" spans="1:42">
      <c r="A800">
        <v>799</v>
      </c>
      <c r="B800" t="str">
        <f>"301328"</f>
        <v>301328</v>
      </c>
      <c r="C800" t="s">
        <v>5784</v>
      </c>
      <c r="D800">
        <v>58</v>
      </c>
      <c r="E800">
        <v>-3.65</v>
      </c>
      <c r="F800">
        <v>-2.2</v>
      </c>
      <c r="G800" t="s">
        <v>5785</v>
      </c>
      <c r="H800">
        <v>823</v>
      </c>
      <c r="I800">
        <v>58</v>
      </c>
      <c r="J800">
        <v>58.1</v>
      </c>
      <c r="K800" t="s">
        <v>5479</v>
      </c>
      <c r="L800">
        <v>15.59</v>
      </c>
      <c r="M800" t="s">
        <v>46</v>
      </c>
      <c r="N800" t="s">
        <v>3977</v>
      </c>
      <c r="O800">
        <v>60.81</v>
      </c>
      <c r="P800">
        <v>56</v>
      </c>
      <c r="Q800">
        <v>59.44</v>
      </c>
      <c r="R800">
        <v>60.2</v>
      </c>
      <c r="S800">
        <v>7.99</v>
      </c>
      <c r="T800">
        <v>2.13</v>
      </c>
      <c r="U800">
        <v>52.19</v>
      </c>
      <c r="V800">
        <v>46</v>
      </c>
      <c r="W800">
        <v>58.11</v>
      </c>
      <c r="X800" t="s">
        <v>4976</v>
      </c>
      <c r="Y800" t="s">
        <v>3611</v>
      </c>
      <c r="Z800">
        <v>0.88</v>
      </c>
      <c r="AA800">
        <v>44</v>
      </c>
      <c r="AB800">
        <v>3</v>
      </c>
      <c r="AC800">
        <v>3.36</v>
      </c>
      <c r="AD800" t="s">
        <v>5786</v>
      </c>
      <c r="AE800" t="s">
        <v>419</v>
      </c>
      <c r="AF800" t="s">
        <v>5787</v>
      </c>
      <c r="AG800" t="s">
        <v>5788</v>
      </c>
      <c r="AH800">
        <v>12.12</v>
      </c>
      <c r="AI800">
        <v>11.07</v>
      </c>
      <c r="AJ800">
        <v>48.13</v>
      </c>
      <c r="AK800">
        <v>52.21</v>
      </c>
      <c r="AL800">
        <v>-1</v>
      </c>
      <c r="AM800">
        <v>-3.65</v>
      </c>
      <c r="AN800">
        <v>8.61</v>
      </c>
      <c r="AO800">
        <v>23.35</v>
      </c>
      <c r="AP800">
        <v>22.6</v>
      </c>
    </row>
    <row r="801" spans="1:42">
      <c r="A801">
        <v>800</v>
      </c>
      <c r="B801" t="str">
        <f>"688095"</f>
        <v>688095</v>
      </c>
      <c r="C801" t="s">
        <v>5789</v>
      </c>
      <c r="D801">
        <v>82.3</v>
      </c>
      <c r="E801">
        <v>8.5</v>
      </c>
      <c r="F801">
        <v>6.45</v>
      </c>
      <c r="G801" t="s">
        <v>5266</v>
      </c>
      <c r="H801">
        <v>187</v>
      </c>
      <c r="I801">
        <v>82.29</v>
      </c>
      <c r="J801">
        <v>82.3</v>
      </c>
      <c r="K801" t="s">
        <v>5479</v>
      </c>
      <c r="L801">
        <v>3.4</v>
      </c>
      <c r="M801" t="s">
        <v>46</v>
      </c>
      <c r="N801" t="s">
        <v>5017</v>
      </c>
      <c r="O801">
        <v>84.28</v>
      </c>
      <c r="P801">
        <v>75.79</v>
      </c>
      <c r="Q801">
        <v>76.5</v>
      </c>
      <c r="R801">
        <v>75.85</v>
      </c>
      <c r="S801">
        <v>11.19</v>
      </c>
      <c r="T801">
        <v>2.57</v>
      </c>
      <c r="U801">
        <v>-57.53</v>
      </c>
      <c r="V801">
        <v>-134</v>
      </c>
      <c r="W801">
        <v>80.02</v>
      </c>
      <c r="X801" t="s">
        <v>578</v>
      </c>
      <c r="Y801" t="s">
        <v>141</v>
      </c>
      <c r="Z801">
        <v>0.97</v>
      </c>
      <c r="AA801">
        <v>6</v>
      </c>
      <c r="AB801">
        <v>69</v>
      </c>
      <c r="AC801">
        <v>2.89</v>
      </c>
      <c r="AD801" t="s">
        <v>5790</v>
      </c>
      <c r="AE801" t="s">
        <v>5791</v>
      </c>
      <c r="AF801" t="s">
        <v>5790</v>
      </c>
      <c r="AG801" t="s">
        <v>5791</v>
      </c>
      <c r="AH801">
        <v>6.19</v>
      </c>
      <c r="AI801">
        <v>1.87</v>
      </c>
      <c r="AJ801">
        <v>5.66</v>
      </c>
      <c r="AK801">
        <v>10</v>
      </c>
      <c r="AL801">
        <v>1</v>
      </c>
      <c r="AM801">
        <v>8.5</v>
      </c>
      <c r="AN801">
        <v>86.79</v>
      </c>
      <c r="AO801">
        <v>16.57</v>
      </c>
      <c r="AP801">
        <v>61.34</v>
      </c>
    </row>
    <row r="802" spans="1:42">
      <c r="A802">
        <v>801</v>
      </c>
      <c r="B802" t="str">
        <f>"600053"</f>
        <v>600053</v>
      </c>
      <c r="C802" t="s">
        <v>5792</v>
      </c>
      <c r="D802">
        <v>15.31</v>
      </c>
      <c r="E802">
        <v>2.34</v>
      </c>
      <c r="F802">
        <v>0.35</v>
      </c>
      <c r="G802" t="s">
        <v>3155</v>
      </c>
      <c r="H802">
        <v>5707</v>
      </c>
      <c r="I802">
        <v>15.31</v>
      </c>
      <c r="J802">
        <v>15.32</v>
      </c>
      <c r="K802" t="s">
        <v>5479</v>
      </c>
      <c r="L802">
        <v>3.79</v>
      </c>
      <c r="M802" t="s">
        <v>46</v>
      </c>
      <c r="N802" t="s">
        <v>5793</v>
      </c>
      <c r="O802">
        <v>15.34</v>
      </c>
      <c r="P802">
        <v>14.84</v>
      </c>
      <c r="Q802">
        <v>14.96</v>
      </c>
      <c r="R802">
        <v>14.96</v>
      </c>
      <c r="S802">
        <v>3.34</v>
      </c>
      <c r="T802">
        <v>0.51</v>
      </c>
      <c r="U802">
        <v>3.22</v>
      </c>
      <c r="V802">
        <v>126</v>
      </c>
      <c r="W802">
        <v>15.13</v>
      </c>
      <c r="X802" t="s">
        <v>5794</v>
      </c>
      <c r="Y802" t="s">
        <v>5795</v>
      </c>
      <c r="Z802">
        <v>0.89</v>
      </c>
      <c r="AA802">
        <v>1277</v>
      </c>
      <c r="AB802">
        <v>679</v>
      </c>
      <c r="AC802">
        <v>2.31</v>
      </c>
      <c r="AD802" t="s">
        <v>5796</v>
      </c>
      <c r="AE802" t="s">
        <v>5797</v>
      </c>
      <c r="AF802" t="s">
        <v>5796</v>
      </c>
      <c r="AG802" t="s">
        <v>5797</v>
      </c>
      <c r="AH802">
        <v>-6.42</v>
      </c>
      <c r="AI802">
        <v>-11.55</v>
      </c>
      <c r="AJ802">
        <v>13.8</v>
      </c>
      <c r="AK802">
        <v>41.27</v>
      </c>
      <c r="AL802">
        <v>1</v>
      </c>
      <c r="AM802">
        <v>2.34</v>
      </c>
      <c r="AN802">
        <v>4.72</v>
      </c>
      <c r="AO802">
        <v>22.87</v>
      </c>
      <c r="AP802">
        <v>-0.84</v>
      </c>
    </row>
    <row r="803" spans="1:42">
      <c r="A803">
        <v>802</v>
      </c>
      <c r="B803" t="str">
        <f>"000887"</f>
        <v>000887</v>
      </c>
      <c r="C803" t="s">
        <v>5798</v>
      </c>
      <c r="D803">
        <v>13.04</v>
      </c>
      <c r="E803">
        <v>-1.66</v>
      </c>
      <c r="F803">
        <v>-0.22</v>
      </c>
      <c r="G803" t="s">
        <v>1960</v>
      </c>
      <c r="H803">
        <v>1431</v>
      </c>
      <c r="I803">
        <v>13.04</v>
      </c>
      <c r="J803">
        <v>13.05</v>
      </c>
      <c r="K803" t="s">
        <v>2768</v>
      </c>
      <c r="L803">
        <v>1.45</v>
      </c>
      <c r="M803" t="s">
        <v>46</v>
      </c>
      <c r="N803" t="s">
        <v>271</v>
      </c>
      <c r="O803">
        <v>13.29</v>
      </c>
      <c r="P803">
        <v>12.85</v>
      </c>
      <c r="Q803">
        <v>13.26</v>
      </c>
      <c r="R803">
        <v>13.26</v>
      </c>
      <c r="S803">
        <v>3.32</v>
      </c>
      <c r="T803">
        <v>0.72</v>
      </c>
      <c r="U803">
        <v>46.46</v>
      </c>
      <c r="V803">
        <v>2560</v>
      </c>
      <c r="W803">
        <v>13.01</v>
      </c>
      <c r="X803" t="s">
        <v>1807</v>
      </c>
      <c r="Y803" t="s">
        <v>3158</v>
      </c>
      <c r="Z803">
        <v>1.59</v>
      </c>
      <c r="AA803">
        <v>342</v>
      </c>
      <c r="AB803">
        <v>200</v>
      </c>
      <c r="AC803">
        <v>1.46</v>
      </c>
      <c r="AD803" t="s">
        <v>5799</v>
      </c>
      <c r="AE803" t="s">
        <v>5800</v>
      </c>
      <c r="AF803" t="s">
        <v>3107</v>
      </c>
      <c r="AG803" t="s">
        <v>5801</v>
      </c>
      <c r="AH803">
        <v>-3.19</v>
      </c>
      <c r="AI803">
        <v>-1.44</v>
      </c>
      <c r="AJ803">
        <v>4.93</v>
      </c>
      <c r="AK803">
        <v>11.62</v>
      </c>
      <c r="AL803">
        <v>-3</v>
      </c>
      <c r="AM803">
        <v>-1.66</v>
      </c>
      <c r="AN803">
        <v>-8.62</v>
      </c>
      <c r="AO803">
        <v>1.56</v>
      </c>
      <c r="AP803">
        <v>-10.68</v>
      </c>
    </row>
    <row r="804" spans="1:42">
      <c r="A804">
        <v>803</v>
      </c>
      <c r="B804" t="str">
        <f>"002405"</f>
        <v>002405</v>
      </c>
      <c r="C804" t="s">
        <v>5802</v>
      </c>
      <c r="D804">
        <v>10.03</v>
      </c>
      <c r="E804">
        <v>2.35</v>
      </c>
      <c r="F804">
        <v>0.23</v>
      </c>
      <c r="G804" t="s">
        <v>443</v>
      </c>
      <c r="H804">
        <v>2179</v>
      </c>
      <c r="I804">
        <v>10.02</v>
      </c>
      <c r="J804">
        <v>10.03</v>
      </c>
      <c r="K804" t="s">
        <v>2768</v>
      </c>
      <c r="L804">
        <v>1.07</v>
      </c>
      <c r="M804" t="s">
        <v>46</v>
      </c>
      <c r="N804" t="s">
        <v>5803</v>
      </c>
      <c r="O804">
        <v>10.08</v>
      </c>
      <c r="P804">
        <v>9.73</v>
      </c>
      <c r="Q804">
        <v>9.8</v>
      </c>
      <c r="R804">
        <v>9.8</v>
      </c>
      <c r="S804">
        <v>3.57</v>
      </c>
      <c r="T804">
        <v>1.15</v>
      </c>
      <c r="U804">
        <v>10.14</v>
      </c>
      <c r="V804">
        <v>1441</v>
      </c>
      <c r="W804">
        <v>9.9</v>
      </c>
      <c r="X804" t="s">
        <v>1438</v>
      </c>
      <c r="Y804" t="s">
        <v>960</v>
      </c>
      <c r="Z804">
        <v>0.78</v>
      </c>
      <c r="AA804">
        <v>4478</v>
      </c>
      <c r="AB804">
        <v>559</v>
      </c>
      <c r="AC804">
        <v>2.11</v>
      </c>
      <c r="AD804" t="s">
        <v>5804</v>
      </c>
      <c r="AE804" t="s">
        <v>5805</v>
      </c>
      <c r="AF804" t="s">
        <v>5806</v>
      </c>
      <c r="AG804" t="s">
        <v>5807</v>
      </c>
      <c r="AH804">
        <v>-0.4</v>
      </c>
      <c r="AI804">
        <v>-2.53</v>
      </c>
      <c r="AJ804">
        <v>2.7</v>
      </c>
      <c r="AK804">
        <v>5.74</v>
      </c>
      <c r="AL804">
        <v>1</v>
      </c>
      <c r="AM804">
        <v>2.35</v>
      </c>
      <c r="AN804">
        <v>-8.98</v>
      </c>
      <c r="AO804">
        <v>-0.59</v>
      </c>
      <c r="AP804">
        <v>-15.29</v>
      </c>
    </row>
    <row r="805" spans="1:42">
      <c r="A805">
        <v>804</v>
      </c>
      <c r="B805" t="str">
        <f>"000998"</f>
        <v>000998</v>
      </c>
      <c r="C805" t="s">
        <v>5808</v>
      </c>
      <c r="D805">
        <v>16.68</v>
      </c>
      <c r="E805">
        <v>-1.3</v>
      </c>
      <c r="F805">
        <v>-0.22</v>
      </c>
      <c r="G805" t="s">
        <v>598</v>
      </c>
      <c r="H805">
        <v>1386</v>
      </c>
      <c r="I805">
        <v>16.67</v>
      </c>
      <c r="J805">
        <v>16.68</v>
      </c>
      <c r="K805" t="s">
        <v>2768</v>
      </c>
      <c r="L805">
        <v>1.14</v>
      </c>
      <c r="M805" t="s">
        <v>46</v>
      </c>
      <c r="N805" t="s">
        <v>5809</v>
      </c>
      <c r="O805">
        <v>17.04</v>
      </c>
      <c r="P805">
        <v>16.59</v>
      </c>
      <c r="Q805">
        <v>16.85</v>
      </c>
      <c r="R805">
        <v>16.9</v>
      </c>
      <c r="S805">
        <v>2.66</v>
      </c>
      <c r="T805">
        <v>0.76</v>
      </c>
      <c r="U805">
        <v>-67.58</v>
      </c>
      <c r="V805">
        <v>-4516</v>
      </c>
      <c r="W805">
        <v>16.78</v>
      </c>
      <c r="X805" t="s">
        <v>5810</v>
      </c>
      <c r="Y805" t="s">
        <v>2359</v>
      </c>
      <c r="Z805">
        <v>1.2</v>
      </c>
      <c r="AA805">
        <v>502</v>
      </c>
      <c r="AB805">
        <v>1142</v>
      </c>
      <c r="AC805">
        <v>4.65</v>
      </c>
      <c r="AD805" t="s">
        <v>5811</v>
      </c>
      <c r="AE805" t="s">
        <v>5812</v>
      </c>
      <c r="AF805" t="s">
        <v>741</v>
      </c>
      <c r="AG805" t="s">
        <v>5245</v>
      </c>
      <c r="AH805">
        <v>-0.54</v>
      </c>
      <c r="AI805">
        <v>2.33</v>
      </c>
      <c r="AJ805">
        <v>4.39</v>
      </c>
      <c r="AK805">
        <v>8.63</v>
      </c>
      <c r="AL805">
        <v>-2</v>
      </c>
      <c r="AM805">
        <v>-1.3</v>
      </c>
      <c r="AN805">
        <v>3.8</v>
      </c>
      <c r="AO805">
        <v>3.41</v>
      </c>
      <c r="AP805">
        <v>9.81</v>
      </c>
    </row>
    <row r="806" spans="1:42">
      <c r="A806">
        <v>805</v>
      </c>
      <c r="B806" t="str">
        <f>"002074"</f>
        <v>002074</v>
      </c>
      <c r="C806" t="s">
        <v>5813</v>
      </c>
      <c r="D806">
        <v>21.68</v>
      </c>
      <c r="E806">
        <v>-2.12</v>
      </c>
      <c r="F806">
        <v>-0.47</v>
      </c>
      <c r="G806" t="s">
        <v>4369</v>
      </c>
      <c r="H806">
        <v>1454</v>
      </c>
      <c r="I806">
        <v>21.68</v>
      </c>
      <c r="J806">
        <v>21.69</v>
      </c>
      <c r="K806" t="s">
        <v>2768</v>
      </c>
      <c r="L806">
        <v>0.88</v>
      </c>
      <c r="M806" t="s">
        <v>46</v>
      </c>
      <c r="N806" t="s">
        <v>5814</v>
      </c>
      <c r="O806">
        <v>22.2</v>
      </c>
      <c r="P806">
        <v>21.52</v>
      </c>
      <c r="Q806">
        <v>22.17</v>
      </c>
      <c r="R806">
        <v>22.15</v>
      </c>
      <c r="S806">
        <v>3.07</v>
      </c>
      <c r="T806">
        <v>1.38</v>
      </c>
      <c r="U806">
        <v>54.77</v>
      </c>
      <c r="V806">
        <v>1073</v>
      </c>
      <c r="W806">
        <v>21.72</v>
      </c>
      <c r="X806" t="s">
        <v>5815</v>
      </c>
      <c r="Y806" t="s">
        <v>5666</v>
      </c>
      <c r="Z806">
        <v>1.76</v>
      </c>
      <c r="AA806">
        <v>24</v>
      </c>
      <c r="AB806">
        <v>58</v>
      </c>
      <c r="AC806">
        <v>1.59</v>
      </c>
      <c r="AD806" t="s">
        <v>5816</v>
      </c>
      <c r="AE806" t="s">
        <v>5817</v>
      </c>
      <c r="AF806" t="s">
        <v>2897</v>
      </c>
      <c r="AG806" t="s">
        <v>5818</v>
      </c>
      <c r="AH806">
        <v>-3.04</v>
      </c>
      <c r="AI806">
        <v>-4.07</v>
      </c>
      <c r="AJ806">
        <v>2.27</v>
      </c>
      <c r="AK806">
        <v>4.07</v>
      </c>
      <c r="AL806">
        <v>-2</v>
      </c>
      <c r="AM806">
        <v>-2.12</v>
      </c>
      <c r="AN806">
        <v>-24.8</v>
      </c>
      <c r="AO806">
        <v>-5.53</v>
      </c>
      <c r="AP806">
        <v>-31.65</v>
      </c>
    </row>
    <row r="807" spans="1:42">
      <c r="A807">
        <v>806</v>
      </c>
      <c r="B807" t="str">
        <f>"600016"</f>
        <v>600016</v>
      </c>
      <c r="C807" t="s">
        <v>5819</v>
      </c>
      <c r="D807">
        <v>3.87</v>
      </c>
      <c r="E807">
        <v>0.52</v>
      </c>
      <c r="F807">
        <v>0.02</v>
      </c>
      <c r="G807" t="s">
        <v>1549</v>
      </c>
      <c r="H807">
        <v>5010</v>
      </c>
      <c r="I807">
        <v>3.86</v>
      </c>
      <c r="J807">
        <v>3.87</v>
      </c>
      <c r="K807" t="s">
        <v>5820</v>
      </c>
      <c r="L807">
        <v>0.18</v>
      </c>
      <c r="M807" t="s">
        <v>46</v>
      </c>
      <c r="N807" t="s">
        <v>3367</v>
      </c>
      <c r="O807">
        <v>3.87</v>
      </c>
      <c r="P807">
        <v>3.83</v>
      </c>
      <c r="Q807">
        <v>3.85</v>
      </c>
      <c r="R807">
        <v>3.85</v>
      </c>
      <c r="S807">
        <v>1.04</v>
      </c>
      <c r="T807">
        <v>1.14</v>
      </c>
      <c r="U807">
        <v>-30.64</v>
      </c>
      <c r="V807" t="s">
        <v>5821</v>
      </c>
      <c r="W807">
        <v>3.86</v>
      </c>
      <c r="X807" t="s">
        <v>1959</v>
      </c>
      <c r="Y807" t="s">
        <v>5822</v>
      </c>
      <c r="Z807">
        <v>0.54</v>
      </c>
      <c r="AA807">
        <v>6589</v>
      </c>
      <c r="AB807">
        <v>2563</v>
      </c>
      <c r="AC807">
        <v>0.32</v>
      </c>
      <c r="AD807" t="s">
        <v>5823</v>
      </c>
      <c r="AE807" t="s">
        <v>5824</v>
      </c>
      <c r="AF807" t="s">
        <v>5825</v>
      </c>
      <c r="AG807" t="s">
        <v>5826</v>
      </c>
      <c r="AH807">
        <v>0.78</v>
      </c>
      <c r="AI807">
        <v>1.04</v>
      </c>
      <c r="AJ807">
        <v>0.54</v>
      </c>
      <c r="AK807">
        <v>0.98</v>
      </c>
      <c r="AL807">
        <v>2</v>
      </c>
      <c r="AM807">
        <v>0.52</v>
      </c>
      <c r="AN807">
        <v>19.44</v>
      </c>
      <c r="AO807">
        <v>2.11</v>
      </c>
      <c r="AP807">
        <v>19.08</v>
      </c>
    </row>
    <row r="808" spans="1:42">
      <c r="A808">
        <v>807</v>
      </c>
      <c r="B808" t="str">
        <f>"600511"</f>
        <v>600511</v>
      </c>
      <c r="C808" t="s">
        <v>5827</v>
      </c>
      <c r="D808">
        <v>30.56</v>
      </c>
      <c r="E808">
        <v>0.03</v>
      </c>
      <c r="F808">
        <v>0.01</v>
      </c>
      <c r="G808" t="s">
        <v>5828</v>
      </c>
      <c r="H808">
        <v>554</v>
      </c>
      <c r="I808">
        <v>30.56</v>
      </c>
      <c r="J808">
        <v>30.59</v>
      </c>
      <c r="K808" t="s">
        <v>5820</v>
      </c>
      <c r="L808">
        <v>1.47</v>
      </c>
      <c r="M808" t="s">
        <v>46</v>
      </c>
      <c r="N808" t="s">
        <v>5829</v>
      </c>
      <c r="O808">
        <v>30.99</v>
      </c>
      <c r="P808">
        <v>30.06</v>
      </c>
      <c r="Q808">
        <v>30.42</v>
      </c>
      <c r="R808">
        <v>30.55</v>
      </c>
      <c r="S808">
        <v>3.04</v>
      </c>
      <c r="T808">
        <v>1.34</v>
      </c>
      <c r="U808">
        <v>1.37</v>
      </c>
      <c r="V808">
        <v>5</v>
      </c>
      <c r="W808">
        <v>30.46</v>
      </c>
      <c r="X808" t="s">
        <v>5830</v>
      </c>
      <c r="Y808" t="s">
        <v>5831</v>
      </c>
      <c r="Z808">
        <v>1.31</v>
      </c>
      <c r="AA808">
        <v>30</v>
      </c>
      <c r="AB808">
        <v>6</v>
      </c>
      <c r="AC808">
        <v>1.53</v>
      </c>
      <c r="AD808" t="s">
        <v>5832</v>
      </c>
      <c r="AE808" t="s">
        <v>5833</v>
      </c>
      <c r="AF808" t="s">
        <v>5834</v>
      </c>
      <c r="AG808" t="s">
        <v>5835</v>
      </c>
      <c r="AH808">
        <v>3</v>
      </c>
      <c r="AI808">
        <v>4.05</v>
      </c>
      <c r="AJ808">
        <v>4.08</v>
      </c>
      <c r="AK808">
        <v>6.96</v>
      </c>
      <c r="AL808">
        <v>4</v>
      </c>
      <c r="AM808">
        <v>0.03</v>
      </c>
      <c r="AN808">
        <v>12.68</v>
      </c>
      <c r="AO808">
        <v>7.83</v>
      </c>
      <c r="AP808">
        <v>14.12</v>
      </c>
    </row>
    <row r="809" spans="1:42">
      <c r="A809">
        <v>808</v>
      </c>
      <c r="B809" t="str">
        <f>"301348"</f>
        <v>301348</v>
      </c>
      <c r="C809" t="s">
        <v>5836</v>
      </c>
      <c r="D809">
        <v>49.8</v>
      </c>
      <c r="E809">
        <v>1.72</v>
      </c>
      <c r="F809">
        <v>0.84</v>
      </c>
      <c r="G809" t="s">
        <v>4035</v>
      </c>
      <c r="H809">
        <v>864</v>
      </c>
      <c r="I809">
        <v>49.79</v>
      </c>
      <c r="J809">
        <v>49.8</v>
      </c>
      <c r="K809" t="s">
        <v>5820</v>
      </c>
      <c r="L809">
        <v>10.57</v>
      </c>
      <c r="M809" t="s">
        <v>46</v>
      </c>
      <c r="N809" t="s">
        <v>5837</v>
      </c>
      <c r="O809">
        <v>49.8</v>
      </c>
      <c r="P809">
        <v>48.01</v>
      </c>
      <c r="Q809">
        <v>48.6</v>
      </c>
      <c r="R809">
        <v>48.96</v>
      </c>
      <c r="S809">
        <v>3.66</v>
      </c>
      <c r="T809">
        <v>0.63</v>
      </c>
      <c r="U809">
        <v>-7.67</v>
      </c>
      <c r="V809">
        <v>-52</v>
      </c>
      <c r="W809">
        <v>49.2</v>
      </c>
      <c r="X809" t="s">
        <v>3662</v>
      </c>
      <c r="Y809" t="s">
        <v>4257</v>
      </c>
      <c r="Z809">
        <v>0.96</v>
      </c>
      <c r="AA809">
        <v>135</v>
      </c>
      <c r="AB809">
        <v>315</v>
      </c>
      <c r="AC809">
        <v>6.39</v>
      </c>
      <c r="AD809" t="s">
        <v>5838</v>
      </c>
      <c r="AE809" t="s">
        <v>5839</v>
      </c>
      <c r="AF809" t="s">
        <v>5840</v>
      </c>
      <c r="AG809" t="s">
        <v>5841</v>
      </c>
      <c r="AH809">
        <v>-8.17</v>
      </c>
      <c r="AI809">
        <v>-11.4</v>
      </c>
      <c r="AJ809">
        <v>44.61</v>
      </c>
      <c r="AK809">
        <v>94.45</v>
      </c>
      <c r="AL809">
        <v>1</v>
      </c>
      <c r="AM809">
        <v>1.72</v>
      </c>
      <c r="AN809">
        <v>175.44</v>
      </c>
      <c r="AO809">
        <v>5.78</v>
      </c>
      <c r="AP809">
        <v>175.44</v>
      </c>
    </row>
    <row r="810" spans="1:42">
      <c r="A810">
        <v>809</v>
      </c>
      <c r="B810" t="str">
        <f>"600706"</f>
        <v>600706</v>
      </c>
      <c r="C810" t="s">
        <v>5842</v>
      </c>
      <c r="D810">
        <v>15.55</v>
      </c>
      <c r="E810">
        <v>-0.32</v>
      </c>
      <c r="F810">
        <v>-0.05</v>
      </c>
      <c r="G810" t="s">
        <v>5021</v>
      </c>
      <c r="H810">
        <v>2486</v>
      </c>
      <c r="I810">
        <v>15.54</v>
      </c>
      <c r="J810">
        <v>15.55</v>
      </c>
      <c r="K810" t="s">
        <v>5820</v>
      </c>
      <c r="L810">
        <v>6.23</v>
      </c>
      <c r="M810" t="s">
        <v>46</v>
      </c>
      <c r="N810" t="s">
        <v>1645</v>
      </c>
      <c r="O810">
        <v>15.77</v>
      </c>
      <c r="P810">
        <v>15.38</v>
      </c>
      <c r="Q810">
        <v>15.5</v>
      </c>
      <c r="R810">
        <v>15.6</v>
      </c>
      <c r="S810">
        <v>2.5</v>
      </c>
      <c r="T810">
        <v>1.06</v>
      </c>
      <c r="U810">
        <v>-11.29</v>
      </c>
      <c r="V810">
        <v>-295</v>
      </c>
      <c r="W810">
        <v>15.58</v>
      </c>
      <c r="X810" t="s">
        <v>5843</v>
      </c>
      <c r="Y810" t="s">
        <v>5844</v>
      </c>
      <c r="Z810">
        <v>1.23</v>
      </c>
      <c r="AA810">
        <v>173</v>
      </c>
      <c r="AB810">
        <v>402</v>
      </c>
      <c r="AC810">
        <v>3.87</v>
      </c>
      <c r="AD810" t="s">
        <v>5845</v>
      </c>
      <c r="AE810" t="s">
        <v>5846</v>
      </c>
      <c r="AF810" t="s">
        <v>5847</v>
      </c>
      <c r="AG810" t="s">
        <v>5848</v>
      </c>
      <c r="AH810">
        <v>1.63</v>
      </c>
      <c r="AI810">
        <v>2.64</v>
      </c>
      <c r="AJ810">
        <v>19.06</v>
      </c>
      <c r="AK810">
        <v>35.65</v>
      </c>
      <c r="AL810">
        <v>-1</v>
      </c>
      <c r="AM810">
        <v>-0.32</v>
      </c>
      <c r="AN810">
        <v>16.57</v>
      </c>
      <c r="AO810">
        <v>10.44</v>
      </c>
      <c r="AP810">
        <v>72.97</v>
      </c>
    </row>
    <row r="811" spans="1:42">
      <c r="A811">
        <v>810</v>
      </c>
      <c r="B811" t="str">
        <f>"603697"</f>
        <v>603697</v>
      </c>
      <c r="C811" t="s">
        <v>5849</v>
      </c>
      <c r="D811">
        <v>9.77</v>
      </c>
      <c r="E811">
        <v>10.02</v>
      </c>
      <c r="F811">
        <v>0.89</v>
      </c>
      <c r="G811" t="s">
        <v>1833</v>
      </c>
      <c r="H811">
        <v>1811</v>
      </c>
      <c r="I811">
        <v>9.77</v>
      </c>
      <c r="J811" t="s">
        <v>76</v>
      </c>
      <c r="K811" t="s">
        <v>5820</v>
      </c>
      <c r="L811">
        <v>6.08</v>
      </c>
      <c r="M811" t="s">
        <v>46</v>
      </c>
      <c r="N811" t="s">
        <v>3384</v>
      </c>
      <c r="O811">
        <v>9.77</v>
      </c>
      <c r="P811">
        <v>8.79</v>
      </c>
      <c r="Q811">
        <v>8.79</v>
      </c>
      <c r="R811">
        <v>8.88</v>
      </c>
      <c r="S811">
        <v>11.04</v>
      </c>
      <c r="T811">
        <v>4.97</v>
      </c>
      <c r="U811">
        <v>100</v>
      </c>
      <c r="V811" t="s">
        <v>2111</v>
      </c>
      <c r="W811">
        <v>9.48</v>
      </c>
      <c r="X811" t="s">
        <v>5021</v>
      </c>
      <c r="Y811" t="s">
        <v>1499</v>
      </c>
      <c r="Z811">
        <v>1.54</v>
      </c>
      <c r="AA811" t="s">
        <v>1112</v>
      </c>
      <c r="AB811">
        <v>0</v>
      </c>
      <c r="AC811">
        <v>2.29</v>
      </c>
      <c r="AD811" t="s">
        <v>5850</v>
      </c>
      <c r="AE811" t="s">
        <v>5851</v>
      </c>
      <c r="AF811" t="s">
        <v>5850</v>
      </c>
      <c r="AG811" t="s">
        <v>5851</v>
      </c>
      <c r="AH811">
        <v>13.21</v>
      </c>
      <c r="AI811">
        <v>16.03</v>
      </c>
      <c r="AJ811">
        <v>9.01</v>
      </c>
      <c r="AK811">
        <v>12.2</v>
      </c>
      <c r="AL811">
        <v>3</v>
      </c>
      <c r="AM811">
        <v>10.02</v>
      </c>
      <c r="AN811">
        <v>14.14</v>
      </c>
      <c r="AO811">
        <v>16.03</v>
      </c>
      <c r="AP811">
        <v>24.3</v>
      </c>
    </row>
    <row r="812" spans="1:42">
      <c r="A812">
        <v>811</v>
      </c>
      <c r="B812" t="str">
        <f>"300088"</f>
        <v>300088</v>
      </c>
      <c r="C812" t="s">
        <v>5852</v>
      </c>
      <c r="D812">
        <v>6.95</v>
      </c>
      <c r="E812">
        <v>0.29</v>
      </c>
      <c r="F812">
        <v>0.02</v>
      </c>
      <c r="G812" t="s">
        <v>5853</v>
      </c>
      <c r="H812">
        <v>5801</v>
      </c>
      <c r="I812">
        <v>6.95</v>
      </c>
      <c r="J812">
        <v>6.96</v>
      </c>
      <c r="K812" t="s">
        <v>5854</v>
      </c>
      <c r="L812">
        <v>1.45</v>
      </c>
      <c r="M812" t="s">
        <v>46</v>
      </c>
      <c r="N812" t="s">
        <v>5855</v>
      </c>
      <c r="O812">
        <v>7</v>
      </c>
      <c r="P812">
        <v>6.87</v>
      </c>
      <c r="Q812">
        <v>6.9</v>
      </c>
      <c r="R812">
        <v>6.93</v>
      </c>
      <c r="S812">
        <v>1.88</v>
      </c>
      <c r="T812">
        <v>0.66</v>
      </c>
      <c r="U812">
        <v>-50.41</v>
      </c>
      <c r="V812" t="s">
        <v>5856</v>
      </c>
      <c r="W812">
        <v>6.95</v>
      </c>
      <c r="X812" t="s">
        <v>868</v>
      </c>
      <c r="Y812" t="s">
        <v>937</v>
      </c>
      <c r="Z812">
        <v>1.08</v>
      </c>
      <c r="AA812">
        <v>1174</v>
      </c>
      <c r="AB812">
        <v>1484</v>
      </c>
      <c r="AC812">
        <v>2.06</v>
      </c>
      <c r="AD812" t="s">
        <v>5857</v>
      </c>
      <c r="AE812" t="s">
        <v>5858</v>
      </c>
      <c r="AF812" t="s">
        <v>5859</v>
      </c>
      <c r="AG812" t="s">
        <v>5860</v>
      </c>
      <c r="AH812">
        <v>-1.56</v>
      </c>
      <c r="AI812">
        <v>-2.93</v>
      </c>
      <c r="AJ812">
        <v>5.3</v>
      </c>
      <c r="AK812">
        <v>12.49</v>
      </c>
      <c r="AL812">
        <v>1</v>
      </c>
      <c r="AM812">
        <v>0.29</v>
      </c>
      <c r="AN812">
        <v>18.4</v>
      </c>
      <c r="AO812">
        <v>2.51</v>
      </c>
      <c r="AP812">
        <v>8.93</v>
      </c>
    </row>
    <row r="813" spans="1:42">
      <c r="A813">
        <v>812</v>
      </c>
      <c r="B813" t="str">
        <f>"600185"</f>
        <v>600185</v>
      </c>
      <c r="C813" t="s">
        <v>5861</v>
      </c>
      <c r="D813">
        <v>7.88</v>
      </c>
      <c r="E813">
        <v>0.25</v>
      </c>
      <c r="F813">
        <v>0.02</v>
      </c>
      <c r="G813" t="s">
        <v>3876</v>
      </c>
      <c r="H813">
        <v>5927</v>
      </c>
      <c r="I813">
        <v>7.87</v>
      </c>
      <c r="J813">
        <v>7.88</v>
      </c>
      <c r="K813" t="s">
        <v>4444</v>
      </c>
      <c r="L813">
        <v>1.66</v>
      </c>
      <c r="M813" t="s">
        <v>46</v>
      </c>
      <c r="N813" t="s">
        <v>5862</v>
      </c>
      <c r="O813">
        <v>7.93</v>
      </c>
      <c r="P813">
        <v>7.68</v>
      </c>
      <c r="Q813">
        <v>7.75</v>
      </c>
      <c r="R813">
        <v>7.86</v>
      </c>
      <c r="S813">
        <v>3.18</v>
      </c>
      <c r="T813">
        <v>0.9</v>
      </c>
      <c r="U813">
        <v>-27.12</v>
      </c>
      <c r="V813">
        <v>-4025</v>
      </c>
      <c r="W813">
        <v>7.83</v>
      </c>
      <c r="X813" t="s">
        <v>937</v>
      </c>
      <c r="Y813" t="s">
        <v>3385</v>
      </c>
      <c r="Z813">
        <v>1.2</v>
      </c>
      <c r="AA813">
        <v>120</v>
      </c>
      <c r="AB813">
        <v>1174</v>
      </c>
      <c r="AC813">
        <v>2.47</v>
      </c>
      <c r="AD813" t="s">
        <v>5863</v>
      </c>
      <c r="AE813" t="s">
        <v>5864</v>
      </c>
      <c r="AF813" t="s">
        <v>5863</v>
      </c>
      <c r="AG813" t="s">
        <v>5864</v>
      </c>
      <c r="AH813">
        <v>7.07</v>
      </c>
      <c r="AI813">
        <v>1.42</v>
      </c>
      <c r="AJ813">
        <v>5.98</v>
      </c>
      <c r="AK813">
        <v>10.89</v>
      </c>
      <c r="AL813">
        <v>3</v>
      </c>
      <c r="AM813">
        <v>0.25</v>
      </c>
      <c r="AN813">
        <v>-24.45</v>
      </c>
      <c r="AO813">
        <v>9.9</v>
      </c>
      <c r="AP813">
        <v>25.48</v>
      </c>
    </row>
    <row r="814" spans="1:42">
      <c r="A814">
        <v>813</v>
      </c>
      <c r="B814" t="str">
        <f>"002197"</f>
        <v>002197</v>
      </c>
      <c r="C814" t="s">
        <v>5865</v>
      </c>
      <c r="D814">
        <v>11.06</v>
      </c>
      <c r="E814">
        <v>2.98</v>
      </c>
      <c r="F814">
        <v>0.32</v>
      </c>
      <c r="G814" t="s">
        <v>1959</v>
      </c>
      <c r="H814">
        <v>3146</v>
      </c>
      <c r="I814">
        <v>11.05</v>
      </c>
      <c r="J814">
        <v>11.06</v>
      </c>
      <c r="K814" t="s">
        <v>4444</v>
      </c>
      <c r="L814">
        <v>4.19</v>
      </c>
      <c r="M814" t="s">
        <v>46</v>
      </c>
      <c r="N814" t="s">
        <v>289</v>
      </c>
      <c r="O814">
        <v>11.08</v>
      </c>
      <c r="P814">
        <v>10.7</v>
      </c>
      <c r="Q814">
        <v>10.74</v>
      </c>
      <c r="R814">
        <v>10.74</v>
      </c>
      <c r="S814">
        <v>3.54</v>
      </c>
      <c r="T814">
        <v>1.26</v>
      </c>
      <c r="U814">
        <v>-52.04</v>
      </c>
      <c r="V814">
        <v>-5932</v>
      </c>
      <c r="W814">
        <v>10.94</v>
      </c>
      <c r="X814" t="s">
        <v>3710</v>
      </c>
      <c r="Y814" t="s">
        <v>1207</v>
      </c>
      <c r="Z814">
        <v>0.61</v>
      </c>
      <c r="AA814">
        <v>284</v>
      </c>
      <c r="AB814">
        <v>938</v>
      </c>
      <c r="AC814">
        <v>2.66</v>
      </c>
      <c r="AD814" t="s">
        <v>5866</v>
      </c>
      <c r="AE814" t="s">
        <v>5867</v>
      </c>
      <c r="AF814" t="s">
        <v>2746</v>
      </c>
      <c r="AG814" t="s">
        <v>5868</v>
      </c>
      <c r="AH814">
        <v>0.91</v>
      </c>
      <c r="AI814">
        <v>-1.07</v>
      </c>
      <c r="AJ814">
        <v>10.47</v>
      </c>
      <c r="AK814">
        <v>20.78</v>
      </c>
      <c r="AL814">
        <v>1</v>
      </c>
      <c r="AM814">
        <v>2.98</v>
      </c>
      <c r="AN814">
        <v>17.91</v>
      </c>
      <c r="AO814">
        <v>4.34</v>
      </c>
      <c r="AP814">
        <v>-2.56</v>
      </c>
    </row>
    <row r="815" spans="1:42">
      <c r="A815">
        <v>814</v>
      </c>
      <c r="B815" t="str">
        <f>"600660"</f>
        <v>600660</v>
      </c>
      <c r="C815" t="s">
        <v>5869</v>
      </c>
      <c r="D815">
        <v>37.44</v>
      </c>
      <c r="E815">
        <v>-0.58</v>
      </c>
      <c r="F815">
        <v>-0.22</v>
      </c>
      <c r="G815" t="s">
        <v>2167</v>
      </c>
      <c r="H815">
        <v>454</v>
      </c>
      <c r="I815">
        <v>37.44</v>
      </c>
      <c r="J815">
        <v>37.45</v>
      </c>
      <c r="K815" t="s">
        <v>4444</v>
      </c>
      <c r="L815">
        <v>0.33</v>
      </c>
      <c r="M815" t="s">
        <v>46</v>
      </c>
      <c r="N815" t="s">
        <v>5870</v>
      </c>
      <c r="O815">
        <v>37.65</v>
      </c>
      <c r="P815">
        <v>37.18</v>
      </c>
      <c r="Q815">
        <v>37.61</v>
      </c>
      <c r="R815">
        <v>37.66</v>
      </c>
      <c r="S815">
        <v>1.25</v>
      </c>
      <c r="T815">
        <v>0.82</v>
      </c>
      <c r="U815">
        <v>-2.07</v>
      </c>
      <c r="V815">
        <v>-17</v>
      </c>
      <c r="W815">
        <v>37.39</v>
      </c>
      <c r="X815" t="s">
        <v>5871</v>
      </c>
      <c r="Y815" t="s">
        <v>1639</v>
      </c>
      <c r="Z815">
        <v>1.5</v>
      </c>
      <c r="AA815">
        <v>133</v>
      </c>
      <c r="AB815">
        <v>294</v>
      </c>
      <c r="AC815">
        <v>3.25</v>
      </c>
      <c r="AD815" t="s">
        <v>184</v>
      </c>
      <c r="AE815" t="s">
        <v>5872</v>
      </c>
      <c r="AF815" t="s">
        <v>5873</v>
      </c>
      <c r="AG815" t="s">
        <v>5874</v>
      </c>
      <c r="AH815">
        <v>-0.43</v>
      </c>
      <c r="AI815">
        <v>-1.19</v>
      </c>
      <c r="AJ815">
        <v>1.18</v>
      </c>
      <c r="AK815">
        <v>2.33</v>
      </c>
      <c r="AL815">
        <v>-2</v>
      </c>
      <c r="AM815">
        <v>-0.58</v>
      </c>
      <c r="AN815">
        <v>10.7</v>
      </c>
      <c r="AO815">
        <v>0.16</v>
      </c>
      <c r="AP815">
        <v>7.03</v>
      </c>
    </row>
    <row r="816" spans="1:42">
      <c r="A816">
        <v>815</v>
      </c>
      <c r="B816" t="str">
        <f>"002858"</f>
        <v>002858</v>
      </c>
      <c r="C816" t="s">
        <v>5875</v>
      </c>
      <c r="D816">
        <v>17.92</v>
      </c>
      <c r="E816">
        <v>10.01</v>
      </c>
      <c r="F816">
        <v>1.63</v>
      </c>
      <c r="G816" t="s">
        <v>1296</v>
      </c>
      <c r="H816">
        <v>317</v>
      </c>
      <c r="I816">
        <v>17.92</v>
      </c>
      <c r="J816" t="s">
        <v>76</v>
      </c>
      <c r="K816" t="s">
        <v>5876</v>
      </c>
      <c r="L816">
        <v>9.65</v>
      </c>
      <c r="M816" t="s">
        <v>46</v>
      </c>
      <c r="N816" t="s">
        <v>5243</v>
      </c>
      <c r="O816">
        <v>17.92</v>
      </c>
      <c r="P816">
        <v>16.26</v>
      </c>
      <c r="Q816">
        <v>16.37</v>
      </c>
      <c r="R816">
        <v>16.29</v>
      </c>
      <c r="S816">
        <v>10.19</v>
      </c>
      <c r="T816">
        <v>2.09</v>
      </c>
      <c r="U816">
        <v>100</v>
      </c>
      <c r="V816" t="s">
        <v>5877</v>
      </c>
      <c r="W816">
        <v>17.32</v>
      </c>
      <c r="X816" t="s">
        <v>5878</v>
      </c>
      <c r="Y816" t="s">
        <v>5879</v>
      </c>
      <c r="Z816">
        <v>0.68</v>
      </c>
      <c r="AA816" t="s">
        <v>2337</v>
      </c>
      <c r="AB816">
        <v>0</v>
      </c>
      <c r="AC816">
        <v>3.89</v>
      </c>
      <c r="AD816" t="s">
        <v>5880</v>
      </c>
      <c r="AE816" t="s">
        <v>5881</v>
      </c>
      <c r="AF816" t="s">
        <v>5882</v>
      </c>
      <c r="AG816" t="s">
        <v>5883</v>
      </c>
      <c r="AH816">
        <v>9</v>
      </c>
      <c r="AI816">
        <v>4.49</v>
      </c>
      <c r="AJ816">
        <v>20</v>
      </c>
      <c r="AK816">
        <v>32.78</v>
      </c>
      <c r="AL816">
        <v>1</v>
      </c>
      <c r="AM816">
        <v>10.01</v>
      </c>
      <c r="AN816">
        <v>29.76</v>
      </c>
      <c r="AO816">
        <v>11.17</v>
      </c>
      <c r="AP816">
        <v>22.4</v>
      </c>
    </row>
    <row r="817" spans="1:42">
      <c r="A817">
        <v>816</v>
      </c>
      <c r="B817" t="str">
        <f>"600487"</f>
        <v>600487</v>
      </c>
      <c r="C817" t="s">
        <v>5884</v>
      </c>
      <c r="D817">
        <v>12.56</v>
      </c>
      <c r="E817">
        <v>0.88</v>
      </c>
      <c r="F817">
        <v>0.11</v>
      </c>
      <c r="G817" t="s">
        <v>1328</v>
      </c>
      <c r="H817">
        <v>2213</v>
      </c>
      <c r="I817">
        <v>12.56</v>
      </c>
      <c r="J817">
        <v>12.57</v>
      </c>
      <c r="K817" t="s">
        <v>5876</v>
      </c>
      <c r="L817">
        <v>0.79</v>
      </c>
      <c r="M817" t="s">
        <v>46</v>
      </c>
      <c r="N817" t="s">
        <v>5885</v>
      </c>
      <c r="O817">
        <v>12.6</v>
      </c>
      <c r="P817">
        <v>12.37</v>
      </c>
      <c r="Q817">
        <v>12.45</v>
      </c>
      <c r="R817">
        <v>12.45</v>
      </c>
      <c r="S817">
        <v>1.85</v>
      </c>
      <c r="T817">
        <v>0.85</v>
      </c>
      <c r="U817">
        <v>-42</v>
      </c>
      <c r="V817">
        <v>-7190</v>
      </c>
      <c r="W817">
        <v>12.51</v>
      </c>
      <c r="X817" t="s">
        <v>5215</v>
      </c>
      <c r="Y817" t="s">
        <v>1909</v>
      </c>
      <c r="Z817">
        <v>0.82</v>
      </c>
      <c r="AA817">
        <v>1233</v>
      </c>
      <c r="AB817">
        <v>3653</v>
      </c>
      <c r="AC817">
        <v>1.25</v>
      </c>
      <c r="AD817" t="s">
        <v>5886</v>
      </c>
      <c r="AE817" t="s">
        <v>5887</v>
      </c>
      <c r="AF817" t="s">
        <v>5886</v>
      </c>
      <c r="AG817" t="s">
        <v>5887</v>
      </c>
      <c r="AH817">
        <v>-1.02</v>
      </c>
      <c r="AI817">
        <v>-3.53</v>
      </c>
      <c r="AJ817">
        <v>2.7</v>
      </c>
      <c r="AK817">
        <v>5.42</v>
      </c>
      <c r="AL817">
        <v>2</v>
      </c>
      <c r="AM817">
        <v>0.88</v>
      </c>
      <c r="AN817">
        <v>-16.15</v>
      </c>
      <c r="AO817">
        <v>-4.34</v>
      </c>
      <c r="AP817">
        <v>-21.79</v>
      </c>
    </row>
    <row r="818" spans="1:42">
      <c r="A818">
        <v>817</v>
      </c>
      <c r="B818" t="str">
        <f>"603015"</f>
        <v>603015</v>
      </c>
      <c r="C818" t="s">
        <v>5888</v>
      </c>
      <c r="D818">
        <v>10.48</v>
      </c>
      <c r="E818">
        <v>-0.29</v>
      </c>
      <c r="F818">
        <v>-0.03</v>
      </c>
      <c r="G818" t="s">
        <v>2850</v>
      </c>
      <c r="H818">
        <v>2423</v>
      </c>
      <c r="I818">
        <v>10.48</v>
      </c>
      <c r="J818">
        <v>10.49</v>
      </c>
      <c r="K818" t="s">
        <v>3567</v>
      </c>
      <c r="L818">
        <v>5.82</v>
      </c>
      <c r="M818" t="s">
        <v>46</v>
      </c>
      <c r="N818" t="s">
        <v>5889</v>
      </c>
      <c r="O818">
        <v>10.54</v>
      </c>
      <c r="P818">
        <v>10.19</v>
      </c>
      <c r="Q818">
        <v>10.37</v>
      </c>
      <c r="R818">
        <v>10.51</v>
      </c>
      <c r="S818">
        <v>3.33</v>
      </c>
      <c r="T818">
        <v>0.6</v>
      </c>
      <c r="U818">
        <v>-67.81</v>
      </c>
      <c r="V818">
        <v>-1715</v>
      </c>
      <c r="W818">
        <v>10.35</v>
      </c>
      <c r="X818" t="s">
        <v>2025</v>
      </c>
      <c r="Y818" t="s">
        <v>1949</v>
      </c>
      <c r="Z818">
        <v>1.16</v>
      </c>
      <c r="AA818">
        <v>69</v>
      </c>
      <c r="AB818">
        <v>427</v>
      </c>
      <c r="AC818">
        <v>3.19</v>
      </c>
      <c r="AD818" t="s">
        <v>5890</v>
      </c>
      <c r="AE818" t="s">
        <v>5891</v>
      </c>
      <c r="AF818" t="s">
        <v>5890</v>
      </c>
      <c r="AG818" t="s">
        <v>5891</v>
      </c>
      <c r="AH818">
        <v>-5.92</v>
      </c>
      <c r="AI818">
        <v>1.45</v>
      </c>
      <c r="AJ818">
        <v>21.23</v>
      </c>
      <c r="AK818">
        <v>54.57</v>
      </c>
      <c r="AL818">
        <v>-3</v>
      </c>
      <c r="AM818">
        <v>-0.29</v>
      </c>
      <c r="AN818">
        <v>64.01</v>
      </c>
      <c r="AO818">
        <v>4.9</v>
      </c>
      <c r="AP818">
        <v>49.29</v>
      </c>
    </row>
    <row r="819" spans="1:42">
      <c r="A819">
        <v>818</v>
      </c>
      <c r="B819" t="str">
        <f>"002416"</f>
        <v>002416</v>
      </c>
      <c r="C819" t="s">
        <v>5892</v>
      </c>
      <c r="D819">
        <v>9.08</v>
      </c>
      <c r="E819">
        <v>-0.55</v>
      </c>
      <c r="F819">
        <v>-0.05</v>
      </c>
      <c r="G819" t="s">
        <v>2507</v>
      </c>
      <c r="H819">
        <v>3374</v>
      </c>
      <c r="I819">
        <v>9.08</v>
      </c>
      <c r="J819">
        <v>9.09</v>
      </c>
      <c r="K819" t="s">
        <v>3567</v>
      </c>
      <c r="L819">
        <v>2.19</v>
      </c>
      <c r="M819" t="s">
        <v>46</v>
      </c>
      <c r="N819" t="s">
        <v>5893</v>
      </c>
      <c r="O819">
        <v>9.25</v>
      </c>
      <c r="P819">
        <v>8.96</v>
      </c>
      <c r="Q819">
        <v>9.12</v>
      </c>
      <c r="R819">
        <v>9.13</v>
      </c>
      <c r="S819">
        <v>3.18</v>
      </c>
      <c r="T819">
        <v>0.41</v>
      </c>
      <c r="U819">
        <v>25.96</v>
      </c>
      <c r="V819">
        <v>2541</v>
      </c>
      <c r="W819">
        <v>9.07</v>
      </c>
      <c r="X819" t="s">
        <v>1377</v>
      </c>
      <c r="Y819" t="s">
        <v>1807</v>
      </c>
      <c r="Z819">
        <v>1.29</v>
      </c>
      <c r="AA819">
        <v>4694</v>
      </c>
      <c r="AB819">
        <v>1153</v>
      </c>
      <c r="AC819">
        <v>1.93</v>
      </c>
      <c r="AD819" t="s">
        <v>5894</v>
      </c>
      <c r="AE819" t="s">
        <v>5895</v>
      </c>
      <c r="AF819" t="s">
        <v>5896</v>
      </c>
      <c r="AG819" t="s">
        <v>5897</v>
      </c>
      <c r="AH819">
        <v>3.3</v>
      </c>
      <c r="AI819">
        <v>-0.98</v>
      </c>
      <c r="AJ819">
        <v>9.63</v>
      </c>
      <c r="AK819">
        <v>28.62</v>
      </c>
      <c r="AL819">
        <v>-2</v>
      </c>
      <c r="AM819">
        <v>-0.55</v>
      </c>
      <c r="AN819">
        <v>1.11</v>
      </c>
      <c r="AO819">
        <v>17.16</v>
      </c>
      <c r="AP819">
        <v>-5.81</v>
      </c>
    </row>
    <row r="820" spans="1:42">
      <c r="A820">
        <v>819</v>
      </c>
      <c r="B820" t="str">
        <f>"601777"</f>
        <v>601777</v>
      </c>
      <c r="C820" t="s">
        <v>5898</v>
      </c>
      <c r="D820">
        <v>4.22</v>
      </c>
      <c r="E820">
        <v>-3.43</v>
      </c>
      <c r="F820">
        <v>-0.15</v>
      </c>
      <c r="G820" t="s">
        <v>5899</v>
      </c>
      <c r="H820" t="s">
        <v>5900</v>
      </c>
      <c r="I820">
        <v>4.21</v>
      </c>
      <c r="J820">
        <v>4.22</v>
      </c>
      <c r="K820" t="s">
        <v>3567</v>
      </c>
      <c r="L820">
        <v>2.54</v>
      </c>
      <c r="M820" t="s">
        <v>46</v>
      </c>
      <c r="N820" t="s">
        <v>152</v>
      </c>
      <c r="O820">
        <v>4.36</v>
      </c>
      <c r="P820">
        <v>4.18</v>
      </c>
      <c r="Q820">
        <v>4.32</v>
      </c>
      <c r="R820">
        <v>4.37</v>
      </c>
      <c r="S820">
        <v>4.12</v>
      </c>
      <c r="T820">
        <v>0.5</v>
      </c>
      <c r="U820">
        <v>19.96</v>
      </c>
      <c r="V820">
        <v>5219</v>
      </c>
      <c r="W820">
        <v>4.25</v>
      </c>
      <c r="X820" t="s">
        <v>898</v>
      </c>
      <c r="Y820" t="s">
        <v>1959</v>
      </c>
      <c r="Z820">
        <v>1.55</v>
      </c>
      <c r="AA820">
        <v>3232</v>
      </c>
      <c r="AB820">
        <v>3826</v>
      </c>
      <c r="AC820">
        <v>1.88</v>
      </c>
      <c r="AD820" t="s">
        <v>5901</v>
      </c>
      <c r="AE820" t="s">
        <v>5902</v>
      </c>
      <c r="AF820" t="s">
        <v>5903</v>
      </c>
      <c r="AG820" t="s">
        <v>5904</v>
      </c>
      <c r="AH820">
        <v>-2.99</v>
      </c>
      <c r="AI820">
        <v>4.71</v>
      </c>
      <c r="AJ820">
        <v>9.49</v>
      </c>
      <c r="AK820">
        <v>27.72</v>
      </c>
      <c r="AL820">
        <v>-2</v>
      </c>
      <c r="AM820">
        <v>-3.43</v>
      </c>
      <c r="AN820">
        <v>9.33</v>
      </c>
      <c r="AO820">
        <v>10.76</v>
      </c>
      <c r="AP820">
        <v>0</v>
      </c>
    </row>
    <row r="821" spans="1:42">
      <c r="A821">
        <v>820</v>
      </c>
      <c r="B821" t="str">
        <f>"002353"</f>
        <v>002353</v>
      </c>
      <c r="C821" t="s">
        <v>5905</v>
      </c>
      <c r="D821">
        <v>28.57</v>
      </c>
      <c r="E821">
        <v>-3.64</v>
      </c>
      <c r="F821">
        <v>-1.08</v>
      </c>
      <c r="G821" t="s">
        <v>4464</v>
      </c>
      <c r="H821">
        <v>941</v>
      </c>
      <c r="I821">
        <v>28.57</v>
      </c>
      <c r="J821">
        <v>28.58</v>
      </c>
      <c r="K821" t="s">
        <v>5906</v>
      </c>
      <c r="L821">
        <v>1.21</v>
      </c>
      <c r="M821" t="s">
        <v>46</v>
      </c>
      <c r="N821" t="s">
        <v>5907</v>
      </c>
      <c r="O821">
        <v>29.64</v>
      </c>
      <c r="P821">
        <v>28.4</v>
      </c>
      <c r="Q821">
        <v>29.51</v>
      </c>
      <c r="R821">
        <v>29.65</v>
      </c>
      <c r="S821">
        <v>4.18</v>
      </c>
      <c r="T821">
        <v>1.46</v>
      </c>
      <c r="U821">
        <v>13.64</v>
      </c>
      <c r="V821">
        <v>90</v>
      </c>
      <c r="W821">
        <v>28.79</v>
      </c>
      <c r="X821" t="s">
        <v>2735</v>
      </c>
      <c r="Y821" t="s">
        <v>541</v>
      </c>
      <c r="Z821">
        <v>1.92</v>
      </c>
      <c r="AA821">
        <v>162</v>
      </c>
      <c r="AB821">
        <v>64</v>
      </c>
      <c r="AC821">
        <v>1.59</v>
      </c>
      <c r="AD821" t="s">
        <v>610</v>
      </c>
      <c r="AE821" t="s">
        <v>5908</v>
      </c>
      <c r="AF821" t="s">
        <v>5909</v>
      </c>
      <c r="AG821" t="s">
        <v>5910</v>
      </c>
      <c r="AH821">
        <v>-2.12</v>
      </c>
      <c r="AI821">
        <v>-1.82</v>
      </c>
      <c r="AJ821">
        <v>3.42</v>
      </c>
      <c r="AK821">
        <v>5.38</v>
      </c>
      <c r="AL821">
        <v>-1</v>
      </c>
      <c r="AM821">
        <v>-3.64</v>
      </c>
      <c r="AN821">
        <v>3.59</v>
      </c>
      <c r="AO821">
        <v>-3.35</v>
      </c>
      <c r="AP821">
        <v>-7.69</v>
      </c>
    </row>
    <row r="822" spans="1:42">
      <c r="A822">
        <v>821</v>
      </c>
      <c r="B822" t="str">
        <f>"600081"</f>
        <v>600081</v>
      </c>
      <c r="C822" t="s">
        <v>5911</v>
      </c>
      <c r="D822">
        <v>12.62</v>
      </c>
      <c r="E822">
        <v>-3.59</v>
      </c>
      <c r="F822">
        <v>-0.47</v>
      </c>
      <c r="G822" t="s">
        <v>652</v>
      </c>
      <c r="H822">
        <v>3683</v>
      </c>
      <c r="I822">
        <v>12.62</v>
      </c>
      <c r="J822">
        <v>12.63</v>
      </c>
      <c r="K822" t="s">
        <v>5906</v>
      </c>
      <c r="L822">
        <v>4.32</v>
      </c>
      <c r="M822" t="s">
        <v>46</v>
      </c>
      <c r="N822" t="s">
        <v>5912</v>
      </c>
      <c r="O822">
        <v>12.99</v>
      </c>
      <c r="P822">
        <v>12.31</v>
      </c>
      <c r="Q822">
        <v>12.99</v>
      </c>
      <c r="R822">
        <v>13.09</v>
      </c>
      <c r="S822">
        <v>5.19</v>
      </c>
      <c r="T822">
        <v>0.87</v>
      </c>
      <c r="U822">
        <v>44.21</v>
      </c>
      <c r="V822">
        <v>1136</v>
      </c>
      <c r="W822">
        <v>12.61</v>
      </c>
      <c r="X822" t="s">
        <v>2402</v>
      </c>
      <c r="Y822" t="s">
        <v>752</v>
      </c>
      <c r="Z822">
        <v>1.29</v>
      </c>
      <c r="AA822">
        <v>528</v>
      </c>
      <c r="AB822">
        <v>346</v>
      </c>
      <c r="AC822">
        <v>1.64</v>
      </c>
      <c r="AD822" t="s">
        <v>5541</v>
      </c>
      <c r="AE822" t="s">
        <v>5913</v>
      </c>
      <c r="AF822" t="s">
        <v>5914</v>
      </c>
      <c r="AG822" t="s">
        <v>5915</v>
      </c>
      <c r="AH822">
        <v>-3</v>
      </c>
      <c r="AI822">
        <v>3.7</v>
      </c>
      <c r="AJ822">
        <v>18.61</v>
      </c>
      <c r="AK822">
        <v>29.18</v>
      </c>
      <c r="AL822">
        <v>-2</v>
      </c>
      <c r="AM822">
        <v>-3.59</v>
      </c>
      <c r="AN822">
        <v>25.07</v>
      </c>
      <c r="AO822">
        <v>5.78</v>
      </c>
      <c r="AP822">
        <v>23.85</v>
      </c>
    </row>
    <row r="823" spans="1:42">
      <c r="A823">
        <v>822</v>
      </c>
      <c r="B823" t="str">
        <f>"300036"</f>
        <v>300036</v>
      </c>
      <c r="C823" t="s">
        <v>5916</v>
      </c>
      <c r="D823">
        <v>20.82</v>
      </c>
      <c r="E823">
        <v>2.71</v>
      </c>
      <c r="F823">
        <v>0.55</v>
      </c>
      <c r="G823" t="s">
        <v>1540</v>
      </c>
      <c r="H823">
        <v>3125</v>
      </c>
      <c r="I823">
        <v>20.81</v>
      </c>
      <c r="J823">
        <v>20.82</v>
      </c>
      <c r="K823" t="s">
        <v>5906</v>
      </c>
      <c r="L823">
        <v>2.72</v>
      </c>
      <c r="M823" t="s">
        <v>46</v>
      </c>
      <c r="N823" t="s">
        <v>4796</v>
      </c>
      <c r="O823">
        <v>20.86</v>
      </c>
      <c r="P823">
        <v>20.14</v>
      </c>
      <c r="Q823">
        <v>20.31</v>
      </c>
      <c r="R823">
        <v>20.27</v>
      </c>
      <c r="S823">
        <v>3.55</v>
      </c>
      <c r="T823">
        <v>1.42</v>
      </c>
      <c r="U823">
        <v>-52.16</v>
      </c>
      <c r="V823">
        <v>-1440</v>
      </c>
      <c r="W823">
        <v>20.61</v>
      </c>
      <c r="X823" t="s">
        <v>5917</v>
      </c>
      <c r="Y823" t="s">
        <v>5918</v>
      </c>
      <c r="Z823">
        <v>0.76</v>
      </c>
      <c r="AA823">
        <v>269</v>
      </c>
      <c r="AB823">
        <v>172</v>
      </c>
      <c r="AC823">
        <v>3.41</v>
      </c>
      <c r="AD823" t="s">
        <v>1534</v>
      </c>
      <c r="AE823" t="s">
        <v>293</v>
      </c>
      <c r="AF823" t="s">
        <v>5919</v>
      </c>
      <c r="AG823" t="s">
        <v>5920</v>
      </c>
      <c r="AH823">
        <v>0.29</v>
      </c>
      <c r="AI823">
        <v>-2.35</v>
      </c>
      <c r="AJ823">
        <v>6.36</v>
      </c>
      <c r="AK823">
        <v>12.26</v>
      </c>
      <c r="AL823">
        <v>1</v>
      </c>
      <c r="AM823">
        <v>2.71</v>
      </c>
      <c r="AN823">
        <v>11.64</v>
      </c>
      <c r="AO823">
        <v>8.89</v>
      </c>
      <c r="AP823">
        <v>11.88</v>
      </c>
    </row>
    <row r="824" spans="1:42">
      <c r="A824">
        <v>823</v>
      </c>
      <c r="B824" t="str">
        <f>"300814"</f>
        <v>300814</v>
      </c>
      <c r="C824" t="s">
        <v>5921</v>
      </c>
      <c r="D824">
        <v>36.06</v>
      </c>
      <c r="E824">
        <v>1.52</v>
      </c>
      <c r="F824">
        <v>0.54</v>
      </c>
      <c r="G824" t="s">
        <v>4833</v>
      </c>
      <c r="H824">
        <v>941</v>
      </c>
      <c r="I824">
        <v>36.05</v>
      </c>
      <c r="J824">
        <v>36.06</v>
      </c>
      <c r="K824" t="s">
        <v>5906</v>
      </c>
      <c r="L824">
        <v>13.34</v>
      </c>
      <c r="M824" t="s">
        <v>46</v>
      </c>
      <c r="N824" t="s">
        <v>5922</v>
      </c>
      <c r="O824">
        <v>36.33</v>
      </c>
      <c r="P824">
        <v>34.73</v>
      </c>
      <c r="Q824">
        <v>35.33</v>
      </c>
      <c r="R824">
        <v>35.52</v>
      </c>
      <c r="S824">
        <v>4.5</v>
      </c>
      <c r="T824">
        <v>0.62</v>
      </c>
      <c r="U824">
        <v>14.08</v>
      </c>
      <c r="V824">
        <v>138</v>
      </c>
      <c r="W824">
        <v>35.73</v>
      </c>
      <c r="X824" t="s">
        <v>5923</v>
      </c>
      <c r="Y824" t="s">
        <v>4527</v>
      </c>
      <c r="Z824">
        <v>0.93</v>
      </c>
      <c r="AA824">
        <v>293</v>
      </c>
      <c r="AB824">
        <v>8</v>
      </c>
      <c r="AC824">
        <v>5.61</v>
      </c>
      <c r="AD824" t="s">
        <v>5924</v>
      </c>
      <c r="AE824" t="s">
        <v>5925</v>
      </c>
      <c r="AF824" t="s">
        <v>5926</v>
      </c>
      <c r="AG824" t="s">
        <v>5927</v>
      </c>
      <c r="AH824">
        <v>-2.93</v>
      </c>
      <c r="AI824">
        <v>-5.85</v>
      </c>
      <c r="AJ824">
        <v>57.58</v>
      </c>
      <c r="AK824">
        <v>121.04</v>
      </c>
      <c r="AL824">
        <v>1</v>
      </c>
      <c r="AM824">
        <v>1.52</v>
      </c>
      <c r="AN824">
        <v>101.45</v>
      </c>
      <c r="AO824">
        <v>12.83</v>
      </c>
      <c r="AP824">
        <v>100.11</v>
      </c>
    </row>
    <row r="825" spans="1:42">
      <c r="A825">
        <v>824</v>
      </c>
      <c r="B825" t="str">
        <f>"603127"</f>
        <v>603127</v>
      </c>
      <c r="C825" t="s">
        <v>5928</v>
      </c>
      <c r="D825">
        <v>26.44</v>
      </c>
      <c r="E825">
        <v>-0.64</v>
      </c>
      <c r="F825">
        <v>-0.17</v>
      </c>
      <c r="G825" t="s">
        <v>4502</v>
      </c>
      <c r="H825">
        <v>659</v>
      </c>
      <c r="I825">
        <v>26.44</v>
      </c>
      <c r="J825">
        <v>26.45</v>
      </c>
      <c r="K825" t="s">
        <v>5906</v>
      </c>
      <c r="L825">
        <v>1.46</v>
      </c>
      <c r="M825" t="s">
        <v>46</v>
      </c>
      <c r="N825" t="s">
        <v>5929</v>
      </c>
      <c r="O825">
        <v>26.79</v>
      </c>
      <c r="P825">
        <v>25.86</v>
      </c>
      <c r="Q825">
        <v>26.65</v>
      </c>
      <c r="R825">
        <v>26.61</v>
      </c>
      <c r="S825">
        <v>3.49</v>
      </c>
      <c r="T825">
        <v>0.95</v>
      </c>
      <c r="U825">
        <v>38.89</v>
      </c>
      <c r="V825">
        <v>358</v>
      </c>
      <c r="W825">
        <v>26.28</v>
      </c>
      <c r="X825" t="s">
        <v>308</v>
      </c>
      <c r="Y825" t="s">
        <v>3716</v>
      </c>
      <c r="Z825">
        <v>1.38</v>
      </c>
      <c r="AA825">
        <v>88</v>
      </c>
      <c r="AB825">
        <v>66</v>
      </c>
      <c r="AC825">
        <v>2.41</v>
      </c>
      <c r="AD825" t="s">
        <v>5930</v>
      </c>
      <c r="AE825" t="s">
        <v>893</v>
      </c>
      <c r="AF825" t="s">
        <v>5931</v>
      </c>
      <c r="AG825" t="s">
        <v>5932</v>
      </c>
      <c r="AH825">
        <v>-1.93</v>
      </c>
      <c r="AI825">
        <v>-2.62</v>
      </c>
      <c r="AJ825">
        <v>4.21</v>
      </c>
      <c r="AK825">
        <v>9.14</v>
      </c>
      <c r="AL825">
        <v>-1</v>
      </c>
      <c r="AM825">
        <v>-0.64</v>
      </c>
      <c r="AN825">
        <v>-36.2</v>
      </c>
      <c r="AO825">
        <v>0.57</v>
      </c>
      <c r="AP825">
        <v>-39.57</v>
      </c>
    </row>
    <row r="826" spans="1:42">
      <c r="A826">
        <v>825</v>
      </c>
      <c r="B826" t="str">
        <f>"600619"</f>
        <v>600619</v>
      </c>
      <c r="C826" t="s">
        <v>5933</v>
      </c>
      <c r="D826">
        <v>7.6</v>
      </c>
      <c r="E826">
        <v>-0.26</v>
      </c>
      <c r="F826">
        <v>-0.02</v>
      </c>
      <c r="G826" t="s">
        <v>3849</v>
      </c>
      <c r="H826">
        <v>8311</v>
      </c>
      <c r="I826">
        <v>7.6</v>
      </c>
      <c r="J826">
        <v>7.61</v>
      </c>
      <c r="K826" t="s">
        <v>5906</v>
      </c>
      <c r="L826">
        <v>4.07</v>
      </c>
      <c r="M826" t="s">
        <v>46</v>
      </c>
      <c r="N826" t="s">
        <v>5934</v>
      </c>
      <c r="O826">
        <v>7.66</v>
      </c>
      <c r="P826">
        <v>7.45</v>
      </c>
      <c r="Q826">
        <v>7.65</v>
      </c>
      <c r="R826">
        <v>7.62</v>
      </c>
      <c r="S826">
        <v>2.76</v>
      </c>
      <c r="T826">
        <v>0.4</v>
      </c>
      <c r="U826">
        <v>48.12</v>
      </c>
      <c r="V826">
        <v>7397</v>
      </c>
      <c r="W826">
        <v>7.53</v>
      </c>
      <c r="X826" t="s">
        <v>1403</v>
      </c>
      <c r="Y826" t="s">
        <v>4194</v>
      </c>
      <c r="Z826">
        <v>1.21</v>
      </c>
      <c r="AA826">
        <v>5168</v>
      </c>
      <c r="AB826">
        <v>858</v>
      </c>
      <c r="AC826">
        <v>1.37</v>
      </c>
      <c r="AD826" t="s">
        <v>5935</v>
      </c>
      <c r="AE826" t="s">
        <v>5936</v>
      </c>
      <c r="AF826" t="s">
        <v>5937</v>
      </c>
      <c r="AG826" t="s">
        <v>5938</v>
      </c>
      <c r="AH826">
        <v>-5.47</v>
      </c>
      <c r="AI826">
        <v>0.93</v>
      </c>
      <c r="AJ826">
        <v>19.65</v>
      </c>
      <c r="AK826">
        <v>54.86</v>
      </c>
      <c r="AL826">
        <v>-4</v>
      </c>
      <c r="AM826">
        <v>-0.26</v>
      </c>
      <c r="AN826">
        <v>36.94</v>
      </c>
      <c r="AO826">
        <v>5.7</v>
      </c>
      <c r="AP826">
        <v>29.03</v>
      </c>
    </row>
    <row r="827" spans="1:42">
      <c r="A827">
        <v>826</v>
      </c>
      <c r="B827" t="str">
        <f>"002363"</f>
        <v>002363</v>
      </c>
      <c r="C827" t="s">
        <v>5939</v>
      </c>
      <c r="D827">
        <v>9</v>
      </c>
      <c r="E827">
        <v>-0.77</v>
      </c>
      <c r="F827">
        <v>-0.07</v>
      </c>
      <c r="G827" t="s">
        <v>2381</v>
      </c>
      <c r="H827">
        <v>7222</v>
      </c>
      <c r="I827">
        <v>9</v>
      </c>
      <c r="J827">
        <v>9.01</v>
      </c>
      <c r="K827" t="s">
        <v>5940</v>
      </c>
      <c r="L827">
        <v>6.5</v>
      </c>
      <c r="M827" t="s">
        <v>46</v>
      </c>
      <c r="N827" t="s">
        <v>5941</v>
      </c>
      <c r="O827">
        <v>9.06</v>
      </c>
      <c r="P827">
        <v>8.74</v>
      </c>
      <c r="Q827">
        <v>8.99</v>
      </c>
      <c r="R827">
        <v>9.07</v>
      </c>
      <c r="S827">
        <v>3.53</v>
      </c>
      <c r="T827">
        <v>0.42</v>
      </c>
      <c r="U827">
        <v>-4.68</v>
      </c>
      <c r="V827">
        <v>-225</v>
      </c>
      <c r="W827">
        <v>8.91</v>
      </c>
      <c r="X827" t="s">
        <v>598</v>
      </c>
      <c r="Y827" t="s">
        <v>447</v>
      </c>
      <c r="Z827">
        <v>1.21</v>
      </c>
      <c r="AA827">
        <v>431</v>
      </c>
      <c r="AB827">
        <v>1360</v>
      </c>
      <c r="AC827">
        <v>1.78</v>
      </c>
      <c r="AD827" t="s">
        <v>5942</v>
      </c>
      <c r="AE827" t="s">
        <v>1291</v>
      </c>
      <c r="AF827" t="s">
        <v>807</v>
      </c>
      <c r="AG827" t="s">
        <v>5051</v>
      </c>
      <c r="AH827">
        <v>-7.5</v>
      </c>
      <c r="AI827">
        <v>-4.46</v>
      </c>
      <c r="AJ827">
        <v>26.51</v>
      </c>
      <c r="AK827">
        <v>83.81</v>
      </c>
      <c r="AL827">
        <v>-4</v>
      </c>
      <c r="AM827">
        <v>-0.77</v>
      </c>
      <c r="AN827">
        <v>29.87</v>
      </c>
      <c r="AO827">
        <v>9.76</v>
      </c>
      <c r="AP827">
        <v>23.46</v>
      </c>
    </row>
    <row r="828" spans="1:42">
      <c r="A828">
        <v>827</v>
      </c>
      <c r="B828" t="str">
        <f>"300075"</f>
        <v>300075</v>
      </c>
      <c r="C828" t="s">
        <v>5943</v>
      </c>
      <c r="D828">
        <v>18.91</v>
      </c>
      <c r="E828">
        <v>2.49</v>
      </c>
      <c r="F828">
        <v>0.46</v>
      </c>
      <c r="G828" t="s">
        <v>446</v>
      </c>
      <c r="H828">
        <v>1619</v>
      </c>
      <c r="I828">
        <v>18.91</v>
      </c>
      <c r="J828">
        <v>18.92</v>
      </c>
      <c r="K828" t="s">
        <v>5940</v>
      </c>
      <c r="L828">
        <v>2.52</v>
      </c>
      <c r="M828" t="s">
        <v>46</v>
      </c>
      <c r="N828" t="s">
        <v>5944</v>
      </c>
      <c r="O828">
        <v>19.03</v>
      </c>
      <c r="P828">
        <v>18.32</v>
      </c>
      <c r="Q828">
        <v>18.47</v>
      </c>
      <c r="R828">
        <v>18.45</v>
      </c>
      <c r="S828">
        <v>3.85</v>
      </c>
      <c r="T828">
        <v>1.12</v>
      </c>
      <c r="U828">
        <v>9.11</v>
      </c>
      <c r="V828">
        <v>330</v>
      </c>
      <c r="W828">
        <v>18.75</v>
      </c>
      <c r="X828" t="s">
        <v>2405</v>
      </c>
      <c r="Y828" t="s">
        <v>3618</v>
      </c>
      <c r="Z828">
        <v>0.75</v>
      </c>
      <c r="AA828">
        <v>144</v>
      </c>
      <c r="AB828">
        <v>314</v>
      </c>
      <c r="AC828">
        <v>2.86</v>
      </c>
      <c r="AD828" t="s">
        <v>5945</v>
      </c>
      <c r="AE828" t="s">
        <v>1535</v>
      </c>
      <c r="AF828" t="s">
        <v>5946</v>
      </c>
      <c r="AG828" t="s">
        <v>5947</v>
      </c>
      <c r="AH828">
        <v>-0.32</v>
      </c>
      <c r="AI828">
        <v>-3.37</v>
      </c>
      <c r="AJ828">
        <v>5.87</v>
      </c>
      <c r="AK828">
        <v>13.81</v>
      </c>
      <c r="AL828">
        <v>1</v>
      </c>
      <c r="AM828">
        <v>2.49</v>
      </c>
      <c r="AN828">
        <v>29.79</v>
      </c>
      <c r="AO828">
        <v>7.87</v>
      </c>
      <c r="AP828">
        <v>13.3</v>
      </c>
    </row>
    <row r="829" spans="1:42">
      <c r="A829">
        <v>828</v>
      </c>
      <c r="B829" t="str">
        <f>"300957"</f>
        <v>300957</v>
      </c>
      <c r="C829" t="s">
        <v>5948</v>
      </c>
      <c r="D829">
        <v>70.7</v>
      </c>
      <c r="E829">
        <v>-1.06</v>
      </c>
      <c r="F829">
        <v>-0.76</v>
      </c>
      <c r="G829" t="s">
        <v>4970</v>
      </c>
      <c r="H829">
        <v>398</v>
      </c>
      <c r="I829">
        <v>70.69</v>
      </c>
      <c r="J829">
        <v>70.7</v>
      </c>
      <c r="K829" t="s">
        <v>5949</v>
      </c>
      <c r="L829">
        <v>1.57</v>
      </c>
      <c r="M829" t="s">
        <v>46</v>
      </c>
      <c r="N829" t="s">
        <v>5950</v>
      </c>
      <c r="O829">
        <v>72.42</v>
      </c>
      <c r="P829">
        <v>69.88</v>
      </c>
      <c r="Q829">
        <v>72.42</v>
      </c>
      <c r="R829">
        <v>71.46</v>
      </c>
      <c r="S829">
        <v>3.55</v>
      </c>
      <c r="T829">
        <v>1.38</v>
      </c>
      <c r="U829">
        <v>26</v>
      </c>
      <c r="V829">
        <v>26</v>
      </c>
      <c r="W829">
        <v>70.64</v>
      </c>
      <c r="X829" t="s">
        <v>128</v>
      </c>
      <c r="Y829" t="s">
        <v>5951</v>
      </c>
      <c r="Z829">
        <v>1.19</v>
      </c>
      <c r="AA829">
        <v>23</v>
      </c>
      <c r="AB829">
        <v>5</v>
      </c>
      <c r="AC829">
        <v>5.15</v>
      </c>
      <c r="AD829" t="s">
        <v>5952</v>
      </c>
      <c r="AE829" t="s">
        <v>5953</v>
      </c>
      <c r="AF829" t="s">
        <v>5954</v>
      </c>
      <c r="AG829" t="s">
        <v>2644</v>
      </c>
      <c r="AH829">
        <v>-2.5</v>
      </c>
      <c r="AI829">
        <v>-3.73</v>
      </c>
      <c r="AJ829">
        <v>3.57</v>
      </c>
      <c r="AK829">
        <v>7.24</v>
      </c>
      <c r="AL829">
        <v>-3</v>
      </c>
      <c r="AM829">
        <v>-1.06</v>
      </c>
      <c r="AN829">
        <v>-52.37</v>
      </c>
      <c r="AO829">
        <v>-6.49</v>
      </c>
      <c r="AP829">
        <v>-45.46</v>
      </c>
    </row>
    <row r="830" spans="1:42">
      <c r="A830">
        <v>829</v>
      </c>
      <c r="B830" t="str">
        <f>"300987"</f>
        <v>300987</v>
      </c>
      <c r="C830" t="s">
        <v>5955</v>
      </c>
      <c r="D830">
        <v>19.84</v>
      </c>
      <c r="E830">
        <v>4.64</v>
      </c>
      <c r="F830">
        <v>0.88</v>
      </c>
      <c r="G830" t="s">
        <v>447</v>
      </c>
      <c r="H830">
        <v>2108</v>
      </c>
      <c r="I830">
        <v>19.84</v>
      </c>
      <c r="J830">
        <v>19.85</v>
      </c>
      <c r="K830" t="s">
        <v>5949</v>
      </c>
      <c r="L830">
        <v>12.84</v>
      </c>
      <c r="M830" t="s">
        <v>46</v>
      </c>
      <c r="N830" t="s">
        <v>5956</v>
      </c>
      <c r="O830">
        <v>20</v>
      </c>
      <c r="P830">
        <v>18.77</v>
      </c>
      <c r="Q830">
        <v>19.08</v>
      </c>
      <c r="R830">
        <v>18.96</v>
      </c>
      <c r="S830">
        <v>6.49</v>
      </c>
      <c r="T830">
        <v>1.37</v>
      </c>
      <c r="U830">
        <v>-14.49</v>
      </c>
      <c r="V830">
        <v>-441</v>
      </c>
      <c r="W830">
        <v>19.64</v>
      </c>
      <c r="X830" t="s">
        <v>5957</v>
      </c>
      <c r="Y830" t="s">
        <v>5300</v>
      </c>
      <c r="Z830">
        <v>0.77</v>
      </c>
      <c r="AA830">
        <v>26</v>
      </c>
      <c r="AB830">
        <v>384</v>
      </c>
      <c r="AC830">
        <v>4.31</v>
      </c>
      <c r="AD830" t="s">
        <v>4560</v>
      </c>
      <c r="AE830" t="s">
        <v>5958</v>
      </c>
      <c r="AF830" t="s">
        <v>5959</v>
      </c>
      <c r="AG830" t="s">
        <v>5960</v>
      </c>
      <c r="AH830">
        <v>2.85</v>
      </c>
      <c r="AI830">
        <v>2.43</v>
      </c>
      <c r="AJ830">
        <v>26.53</v>
      </c>
      <c r="AK830">
        <v>59.82</v>
      </c>
      <c r="AL830">
        <v>1</v>
      </c>
      <c r="AM830">
        <v>4.64</v>
      </c>
      <c r="AN830">
        <v>34.24</v>
      </c>
      <c r="AO830">
        <v>16.84</v>
      </c>
      <c r="AP830">
        <v>31.83</v>
      </c>
    </row>
    <row r="831" spans="1:42">
      <c r="A831">
        <v>830</v>
      </c>
      <c r="B831" t="str">
        <f>"603806"</f>
        <v>603806</v>
      </c>
      <c r="C831" t="s">
        <v>5961</v>
      </c>
      <c r="D831">
        <v>22.7</v>
      </c>
      <c r="E831">
        <v>-2.28</v>
      </c>
      <c r="F831">
        <v>-0.53</v>
      </c>
      <c r="G831" t="s">
        <v>881</v>
      </c>
      <c r="H831">
        <v>1233</v>
      </c>
      <c r="I831">
        <v>22.69</v>
      </c>
      <c r="J831">
        <v>22.7</v>
      </c>
      <c r="K831" t="s">
        <v>5949</v>
      </c>
      <c r="L831">
        <v>0.56</v>
      </c>
      <c r="M831" t="s">
        <v>46</v>
      </c>
      <c r="N831" t="s">
        <v>2801</v>
      </c>
      <c r="O831">
        <v>23.28</v>
      </c>
      <c r="P831">
        <v>22.54</v>
      </c>
      <c r="Q831">
        <v>23.2</v>
      </c>
      <c r="R831">
        <v>23.23</v>
      </c>
      <c r="S831">
        <v>3.19</v>
      </c>
      <c r="T831">
        <v>1.4</v>
      </c>
      <c r="U831">
        <v>13.46</v>
      </c>
      <c r="V831">
        <v>173</v>
      </c>
      <c r="W831">
        <v>22.81</v>
      </c>
      <c r="X831" t="s">
        <v>5962</v>
      </c>
      <c r="Y831" t="s">
        <v>5963</v>
      </c>
      <c r="Z831">
        <v>1.34</v>
      </c>
      <c r="AA831">
        <v>132</v>
      </c>
      <c r="AB831">
        <v>67</v>
      </c>
      <c r="AC831">
        <v>2.9</v>
      </c>
      <c r="AD831" t="s">
        <v>5964</v>
      </c>
      <c r="AE831" t="s">
        <v>5965</v>
      </c>
      <c r="AF831" t="s">
        <v>5964</v>
      </c>
      <c r="AG831" t="s">
        <v>5965</v>
      </c>
      <c r="AH831">
        <v>-5.22</v>
      </c>
      <c r="AI831">
        <v>-9.27</v>
      </c>
      <c r="AJ831">
        <v>1.38</v>
      </c>
      <c r="AK831">
        <v>2.58</v>
      </c>
      <c r="AL831">
        <v>-9</v>
      </c>
      <c r="AM831">
        <v>-2.28</v>
      </c>
      <c r="AN831">
        <v>-52.06</v>
      </c>
      <c r="AO831">
        <v>-9.63</v>
      </c>
      <c r="AP831">
        <v>-48.22</v>
      </c>
    </row>
    <row r="832" spans="1:42">
      <c r="A832">
        <v>831</v>
      </c>
      <c r="B832" t="str">
        <f>"300207"</f>
        <v>300207</v>
      </c>
      <c r="C832" t="s">
        <v>5966</v>
      </c>
      <c r="D832">
        <v>15.31</v>
      </c>
      <c r="E832">
        <v>0.66</v>
      </c>
      <c r="F832">
        <v>0.1</v>
      </c>
      <c r="G832" t="s">
        <v>5021</v>
      </c>
      <c r="H832">
        <v>2348</v>
      </c>
      <c r="I832">
        <v>15.3</v>
      </c>
      <c r="J832">
        <v>15.31</v>
      </c>
      <c r="K832" t="s">
        <v>5949</v>
      </c>
      <c r="L832">
        <v>0.91</v>
      </c>
      <c r="M832" t="s">
        <v>46</v>
      </c>
      <c r="N832" t="s">
        <v>5967</v>
      </c>
      <c r="O832">
        <v>15.35</v>
      </c>
      <c r="P832">
        <v>15.06</v>
      </c>
      <c r="Q832">
        <v>15.2</v>
      </c>
      <c r="R832">
        <v>15.21</v>
      </c>
      <c r="S832">
        <v>1.91</v>
      </c>
      <c r="T832">
        <v>0.75</v>
      </c>
      <c r="U832">
        <v>-50.17</v>
      </c>
      <c r="V832">
        <v>-2286</v>
      </c>
      <c r="W832">
        <v>15.21</v>
      </c>
      <c r="X832" t="s">
        <v>5968</v>
      </c>
      <c r="Y832" t="s">
        <v>5969</v>
      </c>
      <c r="Z832">
        <v>1.12</v>
      </c>
      <c r="AA832">
        <v>283</v>
      </c>
      <c r="AB832">
        <v>204</v>
      </c>
      <c r="AC832">
        <v>1.25</v>
      </c>
      <c r="AD832" t="s">
        <v>2227</v>
      </c>
      <c r="AE832" t="s">
        <v>5970</v>
      </c>
      <c r="AF832" t="s">
        <v>5971</v>
      </c>
      <c r="AG832" t="s">
        <v>5972</v>
      </c>
      <c r="AH832">
        <v>-2.98</v>
      </c>
      <c r="AI832">
        <v>-3.41</v>
      </c>
      <c r="AJ832">
        <v>3.21</v>
      </c>
      <c r="AK832">
        <v>6.97</v>
      </c>
      <c r="AL832">
        <v>1</v>
      </c>
      <c r="AM832">
        <v>0.66</v>
      </c>
      <c r="AN832">
        <v>-27.34</v>
      </c>
      <c r="AO832">
        <v>-1.92</v>
      </c>
      <c r="AP832">
        <v>-36.63</v>
      </c>
    </row>
    <row r="833" spans="1:42">
      <c r="A833">
        <v>832</v>
      </c>
      <c r="B833" t="str">
        <f>"300892"</f>
        <v>300892</v>
      </c>
      <c r="C833" t="s">
        <v>5973</v>
      </c>
      <c r="D833">
        <v>27.13</v>
      </c>
      <c r="E833">
        <v>-2.2</v>
      </c>
      <c r="F833">
        <v>-0.61</v>
      </c>
      <c r="G833" t="s">
        <v>5974</v>
      </c>
      <c r="H833">
        <v>948</v>
      </c>
      <c r="I833">
        <v>27.13</v>
      </c>
      <c r="J833">
        <v>27.14</v>
      </c>
      <c r="K833" t="s">
        <v>5949</v>
      </c>
      <c r="L833">
        <v>19.33</v>
      </c>
      <c r="M833" t="s">
        <v>46</v>
      </c>
      <c r="N833" t="s">
        <v>1476</v>
      </c>
      <c r="O833">
        <v>29.45</v>
      </c>
      <c r="P833">
        <v>26.8</v>
      </c>
      <c r="Q833">
        <v>27.3</v>
      </c>
      <c r="R833">
        <v>27.74</v>
      </c>
      <c r="S833">
        <v>9.55</v>
      </c>
      <c r="T833">
        <v>1.81</v>
      </c>
      <c r="U833">
        <v>69.73</v>
      </c>
      <c r="V833">
        <v>834</v>
      </c>
      <c r="W833">
        <v>28.19</v>
      </c>
      <c r="X833" t="s">
        <v>1236</v>
      </c>
      <c r="Y833" t="s">
        <v>5975</v>
      </c>
      <c r="Z833">
        <v>1.23</v>
      </c>
      <c r="AA833">
        <v>35</v>
      </c>
      <c r="AB833">
        <v>13</v>
      </c>
      <c r="AC833">
        <v>2.52</v>
      </c>
      <c r="AD833" t="s">
        <v>5976</v>
      </c>
      <c r="AE833" t="s">
        <v>5977</v>
      </c>
      <c r="AF833" t="s">
        <v>5978</v>
      </c>
      <c r="AG833" t="s">
        <v>5037</v>
      </c>
      <c r="AH833">
        <v>4.55</v>
      </c>
      <c r="AI833">
        <v>8.3</v>
      </c>
      <c r="AJ833">
        <v>53.43</v>
      </c>
      <c r="AK833">
        <v>72.74</v>
      </c>
      <c r="AL833">
        <v>-1</v>
      </c>
      <c r="AM833">
        <v>-2.2</v>
      </c>
      <c r="AN833">
        <v>-7.41</v>
      </c>
      <c r="AO833">
        <v>13.18</v>
      </c>
      <c r="AP833">
        <v>15.4</v>
      </c>
    </row>
    <row r="834" spans="1:42">
      <c r="A834">
        <v>833</v>
      </c>
      <c r="B834" t="str">
        <f>"603613"</f>
        <v>603613</v>
      </c>
      <c r="C834" t="s">
        <v>5979</v>
      </c>
      <c r="D834">
        <v>35.09</v>
      </c>
      <c r="E834">
        <v>3.18</v>
      </c>
      <c r="F834">
        <v>1.08</v>
      </c>
      <c r="G834" t="s">
        <v>5980</v>
      </c>
      <c r="H834">
        <v>747</v>
      </c>
      <c r="I834">
        <v>35.08</v>
      </c>
      <c r="J834">
        <v>35.09</v>
      </c>
      <c r="K834" t="s">
        <v>5981</v>
      </c>
      <c r="L834">
        <v>0.96</v>
      </c>
      <c r="M834" t="s">
        <v>46</v>
      </c>
      <c r="N834" t="s">
        <v>5982</v>
      </c>
      <c r="O834">
        <v>35.3</v>
      </c>
      <c r="P834">
        <v>33.91</v>
      </c>
      <c r="Q834">
        <v>34.15</v>
      </c>
      <c r="R834">
        <v>34.01</v>
      </c>
      <c r="S834">
        <v>4.09</v>
      </c>
      <c r="T834">
        <v>1.03</v>
      </c>
      <c r="U834">
        <v>22.46</v>
      </c>
      <c r="V834">
        <v>246</v>
      </c>
      <c r="W834">
        <v>34.59</v>
      </c>
      <c r="X834" t="s">
        <v>2125</v>
      </c>
      <c r="Y834" t="s">
        <v>5983</v>
      </c>
      <c r="Z834">
        <v>0.76</v>
      </c>
      <c r="AA834">
        <v>291</v>
      </c>
      <c r="AB834">
        <v>145</v>
      </c>
      <c r="AC834">
        <v>3.78</v>
      </c>
      <c r="AD834" t="s">
        <v>2142</v>
      </c>
      <c r="AE834" t="s">
        <v>5984</v>
      </c>
      <c r="AF834" t="s">
        <v>2142</v>
      </c>
      <c r="AG834" t="s">
        <v>5984</v>
      </c>
      <c r="AH834">
        <v>1.39</v>
      </c>
      <c r="AI834">
        <v>-2.99</v>
      </c>
      <c r="AJ834">
        <v>2.47</v>
      </c>
      <c r="AK834">
        <v>5.59</v>
      </c>
      <c r="AL834">
        <v>1</v>
      </c>
      <c r="AM834">
        <v>3.18</v>
      </c>
      <c r="AN834">
        <v>-42.32</v>
      </c>
      <c r="AO834">
        <v>-8.17</v>
      </c>
      <c r="AP834">
        <v>-60.15</v>
      </c>
    </row>
    <row r="835" spans="1:42">
      <c r="A835">
        <v>834</v>
      </c>
      <c r="B835" t="str">
        <f>"300276"</f>
        <v>300276</v>
      </c>
      <c r="C835" t="s">
        <v>5985</v>
      </c>
      <c r="D835">
        <v>4.2</v>
      </c>
      <c r="E835">
        <v>-1.87</v>
      </c>
      <c r="F835">
        <v>-0.08</v>
      </c>
      <c r="G835" t="s">
        <v>5899</v>
      </c>
      <c r="H835">
        <v>5012</v>
      </c>
      <c r="I835">
        <v>4.2</v>
      </c>
      <c r="J835">
        <v>4.21</v>
      </c>
      <c r="K835" t="s">
        <v>5981</v>
      </c>
      <c r="L835">
        <v>5.75</v>
      </c>
      <c r="M835" t="s">
        <v>46</v>
      </c>
      <c r="N835" t="s">
        <v>1190</v>
      </c>
      <c r="O835">
        <v>4.25</v>
      </c>
      <c r="P835">
        <v>4.14</v>
      </c>
      <c r="Q835">
        <v>4.2</v>
      </c>
      <c r="R835">
        <v>4.28</v>
      </c>
      <c r="S835">
        <v>2.57</v>
      </c>
      <c r="T835">
        <v>1.38</v>
      </c>
      <c r="U835">
        <v>0.63</v>
      </c>
      <c r="V835">
        <v>142</v>
      </c>
      <c r="W835">
        <v>4.19</v>
      </c>
      <c r="X835" t="s">
        <v>3704</v>
      </c>
      <c r="Y835" t="s">
        <v>1537</v>
      </c>
      <c r="Z835">
        <v>1.37</v>
      </c>
      <c r="AA835">
        <v>1188</v>
      </c>
      <c r="AB835">
        <v>2986</v>
      </c>
      <c r="AC835">
        <v>3.05</v>
      </c>
      <c r="AD835" t="s">
        <v>5986</v>
      </c>
      <c r="AE835" t="s">
        <v>5987</v>
      </c>
      <c r="AF835" t="s">
        <v>5988</v>
      </c>
      <c r="AG835" t="s">
        <v>5989</v>
      </c>
      <c r="AH835">
        <v>2.69</v>
      </c>
      <c r="AI835">
        <v>3.19</v>
      </c>
      <c r="AJ835">
        <v>18.93</v>
      </c>
      <c r="AK835">
        <v>26.6</v>
      </c>
      <c r="AL835">
        <v>-1</v>
      </c>
      <c r="AM835">
        <v>-1.87</v>
      </c>
      <c r="AN835">
        <v>25.75</v>
      </c>
      <c r="AO835">
        <v>0</v>
      </c>
      <c r="AP835">
        <v>14.75</v>
      </c>
    </row>
    <row r="836" spans="1:42">
      <c r="A836">
        <v>835</v>
      </c>
      <c r="B836" t="str">
        <f>"603123"</f>
        <v>603123</v>
      </c>
      <c r="C836" t="s">
        <v>5990</v>
      </c>
      <c r="D836">
        <v>11.7</v>
      </c>
      <c r="E836">
        <v>1.39</v>
      </c>
      <c r="F836">
        <v>0.16</v>
      </c>
      <c r="G836" t="s">
        <v>2160</v>
      </c>
      <c r="H836">
        <v>4665</v>
      </c>
      <c r="I836">
        <v>11.7</v>
      </c>
      <c r="J836">
        <v>11.71</v>
      </c>
      <c r="K836" t="s">
        <v>5981</v>
      </c>
      <c r="L836">
        <v>3.13</v>
      </c>
      <c r="M836" t="s">
        <v>46</v>
      </c>
      <c r="N836" t="s">
        <v>5034</v>
      </c>
      <c r="O836">
        <v>11.79</v>
      </c>
      <c r="P836">
        <v>11.51</v>
      </c>
      <c r="Q836">
        <v>11.61</v>
      </c>
      <c r="R836">
        <v>11.54</v>
      </c>
      <c r="S836">
        <v>2.43</v>
      </c>
      <c r="T836">
        <v>1.16</v>
      </c>
      <c r="U836">
        <v>-20.88</v>
      </c>
      <c r="V836">
        <v>-984</v>
      </c>
      <c r="W836">
        <v>11.69</v>
      </c>
      <c r="X836" t="s">
        <v>110</v>
      </c>
      <c r="Y836" t="s">
        <v>3402</v>
      </c>
      <c r="Z836">
        <v>0.99</v>
      </c>
      <c r="AA836">
        <v>132</v>
      </c>
      <c r="AB836">
        <v>301</v>
      </c>
      <c r="AC836">
        <v>3.04</v>
      </c>
      <c r="AD836" t="s">
        <v>5991</v>
      </c>
      <c r="AE836" t="s">
        <v>5992</v>
      </c>
      <c r="AF836" t="s">
        <v>5993</v>
      </c>
      <c r="AG836" t="s">
        <v>5994</v>
      </c>
      <c r="AH836">
        <v>0.26</v>
      </c>
      <c r="AI836">
        <v>-4.1</v>
      </c>
      <c r="AJ836">
        <v>7.55</v>
      </c>
      <c r="AK836">
        <v>16.6</v>
      </c>
      <c r="AL836">
        <v>1</v>
      </c>
      <c r="AM836">
        <v>1.39</v>
      </c>
      <c r="AN836">
        <v>-17.55</v>
      </c>
      <c r="AO836">
        <v>-9.79</v>
      </c>
      <c r="AP836">
        <v>1.39</v>
      </c>
    </row>
    <row r="837" spans="1:42">
      <c r="A837">
        <v>836</v>
      </c>
      <c r="B837" t="str">
        <f>"600132"</f>
        <v>600132</v>
      </c>
      <c r="C837" t="s">
        <v>5995</v>
      </c>
      <c r="D837">
        <v>70.95</v>
      </c>
      <c r="E837">
        <v>-0.42</v>
      </c>
      <c r="F837">
        <v>-0.3</v>
      </c>
      <c r="G837" t="s">
        <v>729</v>
      </c>
      <c r="H837">
        <v>366</v>
      </c>
      <c r="I837">
        <v>70.95</v>
      </c>
      <c r="J837">
        <v>70.98</v>
      </c>
      <c r="K837" t="s">
        <v>4655</v>
      </c>
      <c r="L837">
        <v>0.7</v>
      </c>
      <c r="M837" t="s">
        <v>46</v>
      </c>
      <c r="N837" t="s">
        <v>5996</v>
      </c>
      <c r="O837">
        <v>71.26</v>
      </c>
      <c r="P837">
        <v>69.5</v>
      </c>
      <c r="Q837">
        <v>70.99</v>
      </c>
      <c r="R837">
        <v>71.25</v>
      </c>
      <c r="S837">
        <v>2.47</v>
      </c>
      <c r="T837">
        <v>1.26</v>
      </c>
      <c r="U837">
        <v>53.52</v>
      </c>
      <c r="V837">
        <v>274</v>
      </c>
      <c r="W837">
        <v>70.25</v>
      </c>
      <c r="X837" t="s">
        <v>2397</v>
      </c>
      <c r="Y837" t="s">
        <v>5997</v>
      </c>
      <c r="Z837">
        <v>1.01</v>
      </c>
      <c r="AA837">
        <v>373</v>
      </c>
      <c r="AB837">
        <v>4</v>
      </c>
      <c r="AC837">
        <v>16.04</v>
      </c>
      <c r="AD837" t="s">
        <v>5998</v>
      </c>
      <c r="AE837" t="s">
        <v>5999</v>
      </c>
      <c r="AF837" t="s">
        <v>5998</v>
      </c>
      <c r="AG837" t="s">
        <v>5999</v>
      </c>
      <c r="AH837">
        <v>-1.11</v>
      </c>
      <c r="AI837">
        <v>-4.41</v>
      </c>
      <c r="AJ837">
        <v>1.78</v>
      </c>
      <c r="AK837">
        <v>3.48</v>
      </c>
      <c r="AL837">
        <v>-1</v>
      </c>
      <c r="AM837">
        <v>-0.42</v>
      </c>
      <c r="AN837">
        <v>-43.14</v>
      </c>
      <c r="AO837">
        <v>-3.03</v>
      </c>
      <c r="AP837">
        <v>-30.06</v>
      </c>
    </row>
    <row r="838" spans="1:42">
      <c r="A838">
        <v>837</v>
      </c>
      <c r="B838" t="str">
        <f>"600738"</f>
        <v>600738</v>
      </c>
      <c r="C838" t="s">
        <v>6000</v>
      </c>
      <c r="D838">
        <v>6.2</v>
      </c>
      <c r="E838">
        <v>2.82</v>
      </c>
      <c r="F838">
        <v>0.17</v>
      </c>
      <c r="G838" t="s">
        <v>6001</v>
      </c>
      <c r="H838">
        <v>3608</v>
      </c>
      <c r="I838">
        <v>6.2</v>
      </c>
      <c r="J838">
        <v>6.21</v>
      </c>
      <c r="K838" t="s">
        <v>4655</v>
      </c>
      <c r="L838">
        <v>5.07</v>
      </c>
      <c r="M838" t="s">
        <v>46</v>
      </c>
      <c r="N838" t="s">
        <v>6002</v>
      </c>
      <c r="O838">
        <v>6.3</v>
      </c>
      <c r="P838">
        <v>5.99</v>
      </c>
      <c r="Q838">
        <v>5.99</v>
      </c>
      <c r="R838">
        <v>6.03</v>
      </c>
      <c r="S838">
        <v>5.14</v>
      </c>
      <c r="T838">
        <v>1.48</v>
      </c>
      <c r="U838">
        <v>-42.75</v>
      </c>
      <c r="V838">
        <v>-7708</v>
      </c>
      <c r="W838">
        <v>6.18</v>
      </c>
      <c r="X838" t="s">
        <v>797</v>
      </c>
      <c r="Y838" t="s">
        <v>509</v>
      </c>
      <c r="Z838">
        <v>0.88</v>
      </c>
      <c r="AA838">
        <v>1672</v>
      </c>
      <c r="AB838">
        <v>3050</v>
      </c>
      <c r="AC838">
        <v>2.43</v>
      </c>
      <c r="AD838" t="s">
        <v>6003</v>
      </c>
      <c r="AE838" t="s">
        <v>6004</v>
      </c>
      <c r="AF838" t="s">
        <v>6005</v>
      </c>
      <c r="AG838" t="s">
        <v>6006</v>
      </c>
      <c r="AH838">
        <v>2.82</v>
      </c>
      <c r="AI838">
        <v>1.47</v>
      </c>
      <c r="AJ838">
        <v>10</v>
      </c>
      <c r="AK838">
        <v>22.23</v>
      </c>
      <c r="AL838">
        <v>2</v>
      </c>
      <c r="AM838">
        <v>2.82</v>
      </c>
      <c r="AN838">
        <v>-13.89</v>
      </c>
      <c r="AO838">
        <v>15.46</v>
      </c>
      <c r="AP838">
        <v>-7.88</v>
      </c>
    </row>
    <row r="839" spans="1:42">
      <c r="A839">
        <v>838</v>
      </c>
      <c r="B839" t="str">
        <f>"605179"</f>
        <v>605179</v>
      </c>
      <c r="C839" t="s">
        <v>6007</v>
      </c>
      <c r="D839">
        <v>13.59</v>
      </c>
      <c r="E839">
        <v>-4.09</v>
      </c>
      <c r="F839">
        <v>-0.58</v>
      </c>
      <c r="G839" t="s">
        <v>1367</v>
      </c>
      <c r="H839">
        <v>3357</v>
      </c>
      <c r="I839">
        <v>13.59</v>
      </c>
      <c r="J839">
        <v>13.6</v>
      </c>
      <c r="K839" t="s">
        <v>4655</v>
      </c>
      <c r="L839">
        <v>28.28</v>
      </c>
      <c r="M839" t="s">
        <v>46</v>
      </c>
      <c r="N839" t="s">
        <v>360</v>
      </c>
      <c r="O839">
        <v>14.32</v>
      </c>
      <c r="P839">
        <v>13.53</v>
      </c>
      <c r="Q839">
        <v>13.93</v>
      </c>
      <c r="R839">
        <v>14.17</v>
      </c>
      <c r="S839">
        <v>5.58</v>
      </c>
      <c r="T839">
        <v>0.87</v>
      </c>
      <c r="U839">
        <v>10.13</v>
      </c>
      <c r="V839">
        <v>428</v>
      </c>
      <c r="W839">
        <v>13.78</v>
      </c>
      <c r="X839" t="s">
        <v>1909</v>
      </c>
      <c r="Y839" t="s">
        <v>4250</v>
      </c>
      <c r="Z839">
        <v>1.64</v>
      </c>
      <c r="AA839">
        <v>639</v>
      </c>
      <c r="AB839">
        <v>424</v>
      </c>
      <c r="AC839">
        <v>4.9</v>
      </c>
      <c r="AD839" t="s">
        <v>945</v>
      </c>
      <c r="AE839" t="s">
        <v>6008</v>
      </c>
      <c r="AF839" t="s">
        <v>6009</v>
      </c>
      <c r="AG839" t="s">
        <v>6010</v>
      </c>
      <c r="AH839">
        <v>1.57</v>
      </c>
      <c r="AI839">
        <v>-2.86</v>
      </c>
      <c r="AJ839">
        <v>98.14</v>
      </c>
      <c r="AK839">
        <v>191.06</v>
      </c>
      <c r="AL839">
        <v>-1</v>
      </c>
      <c r="AM839">
        <v>-4.09</v>
      </c>
      <c r="AN839">
        <v>6.67</v>
      </c>
      <c r="AO839">
        <v>12.59</v>
      </c>
      <c r="AP839">
        <v>29.43</v>
      </c>
    </row>
    <row r="840" spans="1:42">
      <c r="A840">
        <v>839</v>
      </c>
      <c r="B840" t="str">
        <f>"600905"</f>
        <v>600905</v>
      </c>
      <c r="C840" t="s">
        <v>6011</v>
      </c>
      <c r="D840">
        <v>4.62</v>
      </c>
      <c r="E840">
        <v>0.43</v>
      </c>
      <c r="F840">
        <v>0.02</v>
      </c>
      <c r="G840" t="s">
        <v>154</v>
      </c>
      <c r="H840">
        <v>6373</v>
      </c>
      <c r="I840">
        <v>4.61</v>
      </c>
      <c r="J840">
        <v>4.62</v>
      </c>
      <c r="K840" t="s">
        <v>4655</v>
      </c>
      <c r="L840">
        <v>0.38</v>
      </c>
      <c r="M840" t="s">
        <v>46</v>
      </c>
      <c r="N840" t="s">
        <v>3518</v>
      </c>
      <c r="O840">
        <v>4.63</v>
      </c>
      <c r="P840">
        <v>4.59</v>
      </c>
      <c r="Q840">
        <v>4.61</v>
      </c>
      <c r="R840">
        <v>4.6</v>
      </c>
      <c r="S840">
        <v>0.87</v>
      </c>
      <c r="T840">
        <v>0.98</v>
      </c>
      <c r="U840">
        <v>4.92</v>
      </c>
      <c r="V840">
        <v>8954</v>
      </c>
      <c r="W840">
        <v>4.61</v>
      </c>
      <c r="X840" t="s">
        <v>2096</v>
      </c>
      <c r="Y840" t="s">
        <v>1885</v>
      </c>
      <c r="Z840">
        <v>0.93</v>
      </c>
      <c r="AA840" t="s">
        <v>6012</v>
      </c>
      <c r="AB840">
        <v>458</v>
      </c>
      <c r="AC840">
        <v>1.65</v>
      </c>
      <c r="AD840" t="s">
        <v>6013</v>
      </c>
      <c r="AE840" t="s">
        <v>6014</v>
      </c>
      <c r="AF840" t="s">
        <v>2687</v>
      </c>
      <c r="AG840" t="s">
        <v>6015</v>
      </c>
      <c r="AH840">
        <v>-0.43</v>
      </c>
      <c r="AI840">
        <v>-1.49</v>
      </c>
      <c r="AJ840">
        <v>1.26</v>
      </c>
      <c r="AK840">
        <v>2.32</v>
      </c>
      <c r="AL840">
        <v>1</v>
      </c>
      <c r="AM840">
        <v>0.43</v>
      </c>
      <c r="AN840">
        <v>-17.06</v>
      </c>
      <c r="AO840">
        <v>-3.35</v>
      </c>
      <c r="AP840">
        <v>-17.06</v>
      </c>
    </row>
    <row r="841" spans="1:42">
      <c r="A841">
        <v>840</v>
      </c>
      <c r="B841" t="str">
        <f>"002494"</f>
        <v>002494</v>
      </c>
      <c r="C841" t="s">
        <v>6016</v>
      </c>
      <c r="D841">
        <v>5.63</v>
      </c>
      <c r="E841">
        <v>5.63</v>
      </c>
      <c r="F841">
        <v>0.3</v>
      </c>
      <c r="G841" t="s">
        <v>6017</v>
      </c>
      <c r="H841">
        <v>5194</v>
      </c>
      <c r="I841">
        <v>5.62</v>
      </c>
      <c r="J841">
        <v>5.63</v>
      </c>
      <c r="K841" t="s">
        <v>4655</v>
      </c>
      <c r="L841">
        <v>14.48</v>
      </c>
      <c r="M841" t="s">
        <v>46</v>
      </c>
      <c r="N841" t="s">
        <v>5906</v>
      </c>
      <c r="O841">
        <v>5.86</v>
      </c>
      <c r="P841">
        <v>5.33</v>
      </c>
      <c r="Q841">
        <v>5.35</v>
      </c>
      <c r="R841">
        <v>5.33</v>
      </c>
      <c r="S841">
        <v>9.94</v>
      </c>
      <c r="T841">
        <v>6.4</v>
      </c>
      <c r="U841">
        <v>26.06</v>
      </c>
      <c r="V841">
        <v>1620</v>
      </c>
      <c r="W841">
        <v>5.72</v>
      </c>
      <c r="X841" t="s">
        <v>851</v>
      </c>
      <c r="Y841" t="s">
        <v>2859</v>
      </c>
      <c r="Z841">
        <v>1.45</v>
      </c>
      <c r="AA841">
        <v>258</v>
      </c>
      <c r="AB841">
        <v>1318</v>
      </c>
      <c r="AC841">
        <v>1.71</v>
      </c>
      <c r="AD841" t="s">
        <v>6018</v>
      </c>
      <c r="AE841" t="s">
        <v>6019</v>
      </c>
      <c r="AF841" t="s">
        <v>6020</v>
      </c>
      <c r="AG841" t="s">
        <v>6021</v>
      </c>
      <c r="AH841">
        <v>4.65</v>
      </c>
      <c r="AI841">
        <v>4.07</v>
      </c>
      <c r="AJ841">
        <v>18.2</v>
      </c>
      <c r="AK841">
        <v>25.79</v>
      </c>
      <c r="AL841">
        <v>1</v>
      </c>
      <c r="AM841">
        <v>5.63</v>
      </c>
      <c r="AN841">
        <v>15.84</v>
      </c>
      <c r="AO841">
        <v>10.39</v>
      </c>
      <c r="AP841">
        <v>25.95</v>
      </c>
    </row>
    <row r="842" spans="1:42">
      <c r="A842">
        <v>841</v>
      </c>
      <c r="B842" t="str">
        <f>"603456"</f>
        <v>603456</v>
      </c>
      <c r="C842" t="s">
        <v>6022</v>
      </c>
      <c r="D842">
        <v>28.13</v>
      </c>
      <c r="E842">
        <v>2.44</v>
      </c>
      <c r="F842">
        <v>0.67</v>
      </c>
      <c r="G842" t="s">
        <v>2502</v>
      </c>
      <c r="H842">
        <v>1232</v>
      </c>
      <c r="I842">
        <v>28.12</v>
      </c>
      <c r="J842">
        <v>28.13</v>
      </c>
      <c r="K842" t="s">
        <v>6023</v>
      </c>
      <c r="L842">
        <v>0.95</v>
      </c>
      <c r="M842" t="s">
        <v>46</v>
      </c>
      <c r="N842" t="s">
        <v>6024</v>
      </c>
      <c r="O842">
        <v>28.16</v>
      </c>
      <c r="P842">
        <v>27.24</v>
      </c>
      <c r="Q842">
        <v>27.46</v>
      </c>
      <c r="R842">
        <v>27.46</v>
      </c>
      <c r="S842">
        <v>3.35</v>
      </c>
      <c r="T842">
        <v>1.07</v>
      </c>
      <c r="U842">
        <v>-29.68</v>
      </c>
      <c r="V842">
        <v>-344</v>
      </c>
      <c r="W842">
        <v>27.77</v>
      </c>
      <c r="X842" t="s">
        <v>6025</v>
      </c>
      <c r="Y842" t="s">
        <v>6026</v>
      </c>
      <c r="Z842">
        <v>0.69</v>
      </c>
      <c r="AA842">
        <v>65</v>
      </c>
      <c r="AB842">
        <v>160</v>
      </c>
      <c r="AC842">
        <v>3.01</v>
      </c>
      <c r="AD842" t="s">
        <v>6027</v>
      </c>
      <c r="AE842" t="s">
        <v>6028</v>
      </c>
      <c r="AF842" t="s">
        <v>6029</v>
      </c>
      <c r="AG842" t="s">
        <v>861</v>
      </c>
      <c r="AH842">
        <v>2.18</v>
      </c>
      <c r="AI842">
        <v>2.96</v>
      </c>
      <c r="AJ842">
        <v>2.67</v>
      </c>
      <c r="AK842">
        <v>5.39</v>
      </c>
      <c r="AL842">
        <v>1</v>
      </c>
      <c r="AM842">
        <v>2.44</v>
      </c>
      <c r="AN842">
        <v>-33.07</v>
      </c>
      <c r="AO842">
        <v>-0.18</v>
      </c>
      <c r="AP842">
        <v>-33.5</v>
      </c>
    </row>
    <row r="843" spans="1:42">
      <c r="A843">
        <v>842</v>
      </c>
      <c r="B843" t="str">
        <f>"603027"</f>
        <v>603027</v>
      </c>
      <c r="C843" t="s">
        <v>6030</v>
      </c>
      <c r="D843">
        <v>17.07</v>
      </c>
      <c r="E843">
        <v>-2.57</v>
      </c>
      <c r="F843">
        <v>-0.45</v>
      </c>
      <c r="G843" t="s">
        <v>784</v>
      </c>
      <c r="H843">
        <v>759</v>
      </c>
      <c r="I843">
        <v>17.07</v>
      </c>
      <c r="J843">
        <v>17.08</v>
      </c>
      <c r="K843" t="s">
        <v>6023</v>
      </c>
      <c r="L843">
        <v>1.44</v>
      </c>
      <c r="M843" t="s">
        <v>46</v>
      </c>
      <c r="N843" t="s">
        <v>570</v>
      </c>
      <c r="O843">
        <v>17.59</v>
      </c>
      <c r="P843">
        <v>16.88</v>
      </c>
      <c r="Q843">
        <v>17.55</v>
      </c>
      <c r="R843">
        <v>17.52</v>
      </c>
      <c r="S843">
        <v>4.05</v>
      </c>
      <c r="T843">
        <v>1.8</v>
      </c>
      <c r="U843">
        <v>17.71</v>
      </c>
      <c r="V843">
        <v>430</v>
      </c>
      <c r="W843">
        <v>17.14</v>
      </c>
      <c r="X843" t="s">
        <v>6031</v>
      </c>
      <c r="Y843" t="s">
        <v>4639</v>
      </c>
      <c r="Z843">
        <v>1.77</v>
      </c>
      <c r="AA843">
        <v>566</v>
      </c>
      <c r="AB843">
        <v>105</v>
      </c>
      <c r="AC843">
        <v>5.05</v>
      </c>
      <c r="AD843" t="s">
        <v>304</v>
      </c>
      <c r="AE843" t="s">
        <v>6032</v>
      </c>
      <c r="AF843" t="s">
        <v>6033</v>
      </c>
      <c r="AG843" t="s">
        <v>6034</v>
      </c>
      <c r="AH843">
        <v>-1.56</v>
      </c>
      <c r="AI843">
        <v>-1.73</v>
      </c>
      <c r="AJ843">
        <v>3.45</v>
      </c>
      <c r="AK843">
        <v>5.46</v>
      </c>
      <c r="AL843">
        <v>-1</v>
      </c>
      <c r="AM843">
        <v>-2.57</v>
      </c>
      <c r="AN843">
        <v>-17.42</v>
      </c>
      <c r="AO843">
        <v>-3.56</v>
      </c>
      <c r="AP843">
        <v>-4.53</v>
      </c>
    </row>
    <row r="844" spans="1:42">
      <c r="A844">
        <v>843</v>
      </c>
      <c r="B844" t="str">
        <f>"002366"</f>
        <v>002366</v>
      </c>
      <c r="C844" t="s">
        <v>6035</v>
      </c>
      <c r="D844">
        <v>5.53</v>
      </c>
      <c r="E844">
        <v>9.94</v>
      </c>
      <c r="F844">
        <v>0.5</v>
      </c>
      <c r="G844" t="s">
        <v>6036</v>
      </c>
      <c r="H844">
        <v>1450</v>
      </c>
      <c r="I844">
        <v>5.53</v>
      </c>
      <c r="J844" t="s">
        <v>76</v>
      </c>
      <c r="K844" t="s">
        <v>6023</v>
      </c>
      <c r="L844">
        <v>4.95</v>
      </c>
      <c r="M844" t="s">
        <v>46</v>
      </c>
      <c r="N844" t="s">
        <v>6037</v>
      </c>
      <c r="O844">
        <v>5.53</v>
      </c>
      <c r="P844">
        <v>4.97</v>
      </c>
      <c r="Q844">
        <v>5.04</v>
      </c>
      <c r="R844">
        <v>5.03</v>
      </c>
      <c r="S844">
        <v>11.13</v>
      </c>
      <c r="T844">
        <v>5.31</v>
      </c>
      <c r="U844">
        <v>100</v>
      </c>
      <c r="V844" t="s">
        <v>6038</v>
      </c>
      <c r="W844">
        <v>5.35</v>
      </c>
      <c r="X844" t="s">
        <v>273</v>
      </c>
      <c r="Y844" t="s">
        <v>1960</v>
      </c>
      <c r="Z844">
        <v>1.32</v>
      </c>
      <c r="AA844" t="s">
        <v>2502</v>
      </c>
      <c r="AB844">
        <v>0</v>
      </c>
      <c r="AC844">
        <v>2.51</v>
      </c>
      <c r="AD844" t="s">
        <v>6039</v>
      </c>
      <c r="AE844" t="s">
        <v>6040</v>
      </c>
      <c r="AF844" t="s">
        <v>6041</v>
      </c>
      <c r="AG844" t="s">
        <v>6042</v>
      </c>
      <c r="AH844">
        <v>7.8</v>
      </c>
      <c r="AI844">
        <v>5.33</v>
      </c>
      <c r="AJ844">
        <v>7.07</v>
      </c>
      <c r="AK844">
        <v>9.6</v>
      </c>
      <c r="AL844">
        <v>1</v>
      </c>
      <c r="AM844">
        <v>9.94</v>
      </c>
      <c r="AN844">
        <v>7.59</v>
      </c>
      <c r="AO844">
        <v>6.96</v>
      </c>
      <c r="AP844">
        <v>9.72</v>
      </c>
    </row>
    <row r="845" spans="1:42">
      <c r="A845">
        <v>844</v>
      </c>
      <c r="B845" t="str">
        <f>"603270"</f>
        <v>603270</v>
      </c>
      <c r="C845" t="s">
        <v>6043</v>
      </c>
      <c r="D845">
        <v>31.08</v>
      </c>
      <c r="E845">
        <v>-3.09</v>
      </c>
      <c r="F845">
        <v>-0.99</v>
      </c>
      <c r="G845" t="s">
        <v>494</v>
      </c>
      <c r="H845">
        <v>457</v>
      </c>
      <c r="I845">
        <v>31.08</v>
      </c>
      <c r="J845">
        <v>31.09</v>
      </c>
      <c r="K845" t="s">
        <v>6044</v>
      </c>
      <c r="L845">
        <v>15.55</v>
      </c>
      <c r="M845" t="s">
        <v>46</v>
      </c>
      <c r="N845" t="s">
        <v>1409</v>
      </c>
      <c r="O845">
        <v>31.9</v>
      </c>
      <c r="P845">
        <v>30.61</v>
      </c>
      <c r="Q845">
        <v>31.86</v>
      </c>
      <c r="R845">
        <v>32.07</v>
      </c>
      <c r="S845">
        <v>4.02</v>
      </c>
      <c r="T845">
        <v>1.59</v>
      </c>
      <c r="U845">
        <v>71.25</v>
      </c>
      <c r="V845">
        <v>699</v>
      </c>
      <c r="W845">
        <v>30.94</v>
      </c>
      <c r="X845" t="s">
        <v>6045</v>
      </c>
      <c r="Y845" t="s">
        <v>2388</v>
      </c>
      <c r="Z845">
        <v>1.81</v>
      </c>
      <c r="AA845">
        <v>8</v>
      </c>
      <c r="AB845">
        <v>11</v>
      </c>
      <c r="AC845">
        <v>3.21</v>
      </c>
      <c r="AD845" t="s">
        <v>6046</v>
      </c>
      <c r="AE845" t="s">
        <v>6047</v>
      </c>
      <c r="AF845" t="s">
        <v>6048</v>
      </c>
      <c r="AG845" t="s">
        <v>6049</v>
      </c>
      <c r="AH845">
        <v>1.87</v>
      </c>
      <c r="AI845">
        <v>-0.7</v>
      </c>
      <c r="AJ845">
        <v>46.21</v>
      </c>
      <c r="AK845">
        <v>64.47</v>
      </c>
      <c r="AL845">
        <v>-1</v>
      </c>
      <c r="AM845">
        <v>-3.09</v>
      </c>
      <c r="AN845">
        <v>42.77</v>
      </c>
      <c r="AO845">
        <v>1.8</v>
      </c>
      <c r="AP845">
        <v>42.77</v>
      </c>
    </row>
    <row r="846" spans="1:42">
      <c r="A846">
        <v>845</v>
      </c>
      <c r="B846" t="str">
        <f>"300024"</f>
        <v>300024</v>
      </c>
      <c r="C846" t="s">
        <v>6050</v>
      </c>
      <c r="D846">
        <v>12.01</v>
      </c>
      <c r="E846">
        <v>0.92</v>
      </c>
      <c r="F846">
        <v>0.11</v>
      </c>
      <c r="G846" t="s">
        <v>4628</v>
      </c>
      <c r="H846">
        <v>2670</v>
      </c>
      <c r="I846">
        <v>12.01</v>
      </c>
      <c r="J846">
        <v>12.02</v>
      </c>
      <c r="K846" t="s">
        <v>6044</v>
      </c>
      <c r="L846">
        <v>1.3</v>
      </c>
      <c r="M846" t="s">
        <v>46</v>
      </c>
      <c r="N846" t="s">
        <v>6051</v>
      </c>
      <c r="O846">
        <v>12.05</v>
      </c>
      <c r="P846">
        <v>11.75</v>
      </c>
      <c r="Q846">
        <v>11.85</v>
      </c>
      <c r="R846">
        <v>11.9</v>
      </c>
      <c r="S846">
        <v>2.52</v>
      </c>
      <c r="T846">
        <v>0.94</v>
      </c>
      <c r="U846">
        <v>-16.79</v>
      </c>
      <c r="V846">
        <v>-1771</v>
      </c>
      <c r="W846">
        <v>11.91</v>
      </c>
      <c r="X846" t="s">
        <v>4577</v>
      </c>
      <c r="Y846" t="s">
        <v>881</v>
      </c>
      <c r="Z846">
        <v>0.88</v>
      </c>
      <c r="AA846">
        <v>824</v>
      </c>
      <c r="AB846">
        <v>1002</v>
      </c>
      <c r="AC846">
        <v>4.37</v>
      </c>
      <c r="AD846" t="s">
        <v>6052</v>
      </c>
      <c r="AE846" t="s">
        <v>6053</v>
      </c>
      <c r="AF846" t="s">
        <v>6054</v>
      </c>
      <c r="AG846" t="s">
        <v>6055</v>
      </c>
      <c r="AH846">
        <v>0</v>
      </c>
      <c r="AI846">
        <v>-1.72</v>
      </c>
      <c r="AJ846">
        <v>4.32</v>
      </c>
      <c r="AK846">
        <v>8.28</v>
      </c>
      <c r="AL846">
        <v>1</v>
      </c>
      <c r="AM846">
        <v>0.92</v>
      </c>
      <c r="AN846">
        <v>33.74</v>
      </c>
      <c r="AO846">
        <v>1.26</v>
      </c>
      <c r="AP846">
        <v>21.56</v>
      </c>
    </row>
    <row r="847" spans="1:42">
      <c r="A847">
        <v>846</v>
      </c>
      <c r="B847" t="str">
        <f>"603667"</f>
        <v>603667</v>
      </c>
      <c r="C847" t="s">
        <v>6056</v>
      </c>
      <c r="D847">
        <v>21.38</v>
      </c>
      <c r="E847">
        <v>-1.7</v>
      </c>
      <c r="F847">
        <v>-0.37</v>
      </c>
      <c r="G847" t="s">
        <v>1438</v>
      </c>
      <c r="H847">
        <v>1845</v>
      </c>
      <c r="I847">
        <v>21.37</v>
      </c>
      <c r="J847">
        <v>21.38</v>
      </c>
      <c r="K847" t="s">
        <v>6057</v>
      </c>
      <c r="L847">
        <v>3.39</v>
      </c>
      <c r="M847" t="s">
        <v>46</v>
      </c>
      <c r="N847" t="s">
        <v>2035</v>
      </c>
      <c r="O847">
        <v>21.81</v>
      </c>
      <c r="P847">
        <v>21.12</v>
      </c>
      <c r="Q847">
        <v>21.5</v>
      </c>
      <c r="R847">
        <v>21.75</v>
      </c>
      <c r="S847">
        <v>3.17</v>
      </c>
      <c r="T847">
        <v>0.56</v>
      </c>
      <c r="U847">
        <v>9.42</v>
      </c>
      <c r="V847">
        <v>106</v>
      </c>
      <c r="W847">
        <v>21.33</v>
      </c>
      <c r="X847" t="s">
        <v>6058</v>
      </c>
      <c r="Y847" t="s">
        <v>5645</v>
      </c>
      <c r="Z847">
        <v>1.41</v>
      </c>
      <c r="AA847">
        <v>121</v>
      </c>
      <c r="AB847">
        <v>50</v>
      </c>
      <c r="AC847">
        <v>2.73</v>
      </c>
      <c r="AD847" t="s">
        <v>6059</v>
      </c>
      <c r="AE847" t="s">
        <v>6060</v>
      </c>
      <c r="AF847" t="s">
        <v>6061</v>
      </c>
      <c r="AG847" t="s">
        <v>6062</v>
      </c>
      <c r="AH847">
        <v>0.85</v>
      </c>
      <c r="AI847">
        <v>0.8</v>
      </c>
      <c r="AJ847">
        <v>14.97</v>
      </c>
      <c r="AK847">
        <v>33.92</v>
      </c>
      <c r="AL847">
        <v>-1</v>
      </c>
      <c r="AM847">
        <v>-1.7</v>
      </c>
      <c r="AN847">
        <v>62.83</v>
      </c>
      <c r="AO847">
        <v>25.84</v>
      </c>
      <c r="AP847">
        <v>41.5</v>
      </c>
    </row>
    <row r="848" spans="1:42">
      <c r="A848">
        <v>847</v>
      </c>
      <c r="B848" t="str">
        <f>"300118"</f>
        <v>300118</v>
      </c>
      <c r="C848" t="s">
        <v>6063</v>
      </c>
      <c r="D848">
        <v>16.16</v>
      </c>
      <c r="E848">
        <v>0.12</v>
      </c>
      <c r="F848">
        <v>0.02</v>
      </c>
      <c r="G848" t="s">
        <v>1493</v>
      </c>
      <c r="H848">
        <v>2127</v>
      </c>
      <c r="I848">
        <v>16.16</v>
      </c>
      <c r="J848">
        <v>16.17</v>
      </c>
      <c r="K848" t="s">
        <v>6057</v>
      </c>
      <c r="L848">
        <v>1.58</v>
      </c>
      <c r="M848" t="s">
        <v>46</v>
      </c>
      <c r="N848" t="s">
        <v>6064</v>
      </c>
      <c r="O848">
        <v>16.23</v>
      </c>
      <c r="P848">
        <v>16.01</v>
      </c>
      <c r="Q848">
        <v>16.19</v>
      </c>
      <c r="R848">
        <v>16.14</v>
      </c>
      <c r="S848">
        <v>1.36</v>
      </c>
      <c r="T848">
        <v>0.83</v>
      </c>
      <c r="U848">
        <v>4</v>
      </c>
      <c r="V848">
        <v>131</v>
      </c>
      <c r="W848">
        <v>16.14</v>
      </c>
      <c r="X848" t="s">
        <v>371</v>
      </c>
      <c r="Y848" t="s">
        <v>4913</v>
      </c>
      <c r="Z848">
        <v>1.25</v>
      </c>
      <c r="AA848">
        <v>270</v>
      </c>
      <c r="AB848">
        <v>203</v>
      </c>
      <c r="AC848">
        <v>1.21</v>
      </c>
      <c r="AD848" t="s">
        <v>6065</v>
      </c>
      <c r="AE848" t="s">
        <v>6066</v>
      </c>
      <c r="AF848" t="s">
        <v>6067</v>
      </c>
      <c r="AG848" t="s">
        <v>6068</v>
      </c>
      <c r="AH848">
        <v>-4.38</v>
      </c>
      <c r="AI848">
        <v>-8.18</v>
      </c>
      <c r="AJ848">
        <v>6.24</v>
      </c>
      <c r="AK848">
        <v>11.11</v>
      </c>
      <c r="AL848">
        <v>1</v>
      </c>
      <c r="AM848">
        <v>0.12</v>
      </c>
      <c r="AN848">
        <v>-34.36</v>
      </c>
      <c r="AO848">
        <v>-7.87</v>
      </c>
      <c r="AP848">
        <v>-36.53</v>
      </c>
    </row>
    <row r="849" spans="1:42">
      <c r="A849">
        <v>848</v>
      </c>
      <c r="B849" t="str">
        <f>"605368"</f>
        <v>605368</v>
      </c>
      <c r="C849" t="s">
        <v>6069</v>
      </c>
      <c r="D849">
        <v>11.09</v>
      </c>
      <c r="E849">
        <v>3.07</v>
      </c>
      <c r="F849">
        <v>0.33</v>
      </c>
      <c r="G849" t="s">
        <v>553</v>
      </c>
      <c r="H849">
        <v>2193</v>
      </c>
      <c r="I849">
        <v>11.09</v>
      </c>
      <c r="J849">
        <v>11.1</v>
      </c>
      <c r="K849" t="s">
        <v>6070</v>
      </c>
      <c r="L849">
        <v>8.58</v>
      </c>
      <c r="M849" t="s">
        <v>46</v>
      </c>
      <c r="N849" t="s">
        <v>3729</v>
      </c>
      <c r="O849">
        <v>11.15</v>
      </c>
      <c r="P849">
        <v>10.7</v>
      </c>
      <c r="Q849">
        <v>10.7</v>
      </c>
      <c r="R849">
        <v>10.76</v>
      </c>
      <c r="S849">
        <v>4.18</v>
      </c>
      <c r="T849">
        <v>2.91</v>
      </c>
      <c r="U849">
        <v>-41.36</v>
      </c>
      <c r="V849">
        <v>-1286</v>
      </c>
      <c r="W849">
        <v>11.01</v>
      </c>
      <c r="X849" t="s">
        <v>3241</v>
      </c>
      <c r="Y849" t="s">
        <v>2960</v>
      </c>
      <c r="Z849">
        <v>0.83</v>
      </c>
      <c r="AA849">
        <v>352</v>
      </c>
      <c r="AB849">
        <v>1155</v>
      </c>
      <c r="AC849">
        <v>2.1</v>
      </c>
      <c r="AD849" t="s">
        <v>6071</v>
      </c>
      <c r="AE849" t="s">
        <v>6072</v>
      </c>
      <c r="AF849" t="s">
        <v>6073</v>
      </c>
      <c r="AG849" t="s">
        <v>6074</v>
      </c>
      <c r="AH849">
        <v>6.02</v>
      </c>
      <c r="AI849">
        <v>8.83</v>
      </c>
      <c r="AJ849">
        <v>16.23</v>
      </c>
      <c r="AK849">
        <v>23.31</v>
      </c>
      <c r="AL849">
        <v>2</v>
      </c>
      <c r="AM849">
        <v>3.07</v>
      </c>
      <c r="AN849">
        <v>36.74</v>
      </c>
      <c r="AO849">
        <v>14.21</v>
      </c>
      <c r="AP849">
        <v>33.13</v>
      </c>
    </row>
    <row r="850" spans="1:42">
      <c r="A850">
        <v>849</v>
      </c>
      <c r="B850" t="str">
        <f>"002152"</f>
        <v>002152</v>
      </c>
      <c r="C850" t="s">
        <v>6075</v>
      </c>
      <c r="D850">
        <v>12.48</v>
      </c>
      <c r="E850">
        <v>2.3</v>
      </c>
      <c r="F850">
        <v>0.28</v>
      </c>
      <c r="G850" t="s">
        <v>3434</v>
      </c>
      <c r="H850">
        <v>3416</v>
      </c>
      <c r="I850">
        <v>12.47</v>
      </c>
      <c r="J850">
        <v>12.48</v>
      </c>
      <c r="K850" t="s">
        <v>6070</v>
      </c>
      <c r="L850">
        <v>0.76</v>
      </c>
      <c r="M850" t="s">
        <v>46</v>
      </c>
      <c r="N850" t="s">
        <v>4475</v>
      </c>
      <c r="O850">
        <v>12.49</v>
      </c>
      <c r="P850">
        <v>12.26</v>
      </c>
      <c r="Q850">
        <v>12.28</v>
      </c>
      <c r="R850">
        <v>12.2</v>
      </c>
      <c r="S850">
        <v>1.89</v>
      </c>
      <c r="T850">
        <v>0.67</v>
      </c>
      <c r="U850">
        <v>-46.93</v>
      </c>
      <c r="V850">
        <v>-6106</v>
      </c>
      <c r="W850">
        <v>12.4</v>
      </c>
      <c r="X850" t="s">
        <v>4320</v>
      </c>
      <c r="Y850" t="s">
        <v>2960</v>
      </c>
      <c r="Z850">
        <v>0.63</v>
      </c>
      <c r="AA850">
        <v>999</v>
      </c>
      <c r="AB850">
        <v>1490</v>
      </c>
      <c r="AC850">
        <v>2.62</v>
      </c>
      <c r="AD850" t="s">
        <v>6076</v>
      </c>
      <c r="AE850" t="s">
        <v>6077</v>
      </c>
      <c r="AF850" t="s">
        <v>2931</v>
      </c>
      <c r="AG850" t="s">
        <v>5887</v>
      </c>
      <c r="AH850">
        <v>0.97</v>
      </c>
      <c r="AI850">
        <v>-1.27</v>
      </c>
      <c r="AJ850">
        <v>2.46</v>
      </c>
      <c r="AK850">
        <v>6.43</v>
      </c>
      <c r="AL850">
        <v>1</v>
      </c>
      <c r="AM850">
        <v>2.3</v>
      </c>
      <c r="AN850">
        <v>28.13</v>
      </c>
      <c r="AO850">
        <v>8.71</v>
      </c>
      <c r="AP850">
        <v>27.61</v>
      </c>
    </row>
    <row r="851" spans="1:42">
      <c r="A851">
        <v>850</v>
      </c>
      <c r="B851" t="str">
        <f>"600559"</f>
        <v>600559</v>
      </c>
      <c r="C851" t="s">
        <v>6078</v>
      </c>
      <c r="D851">
        <v>22.98</v>
      </c>
      <c r="E851">
        <v>-0.22</v>
      </c>
      <c r="F851">
        <v>-0.05</v>
      </c>
      <c r="G851" t="s">
        <v>1499</v>
      </c>
      <c r="H851">
        <v>1127</v>
      </c>
      <c r="I851">
        <v>22.97</v>
      </c>
      <c r="J851">
        <v>22.98</v>
      </c>
      <c r="K851" t="s">
        <v>6070</v>
      </c>
      <c r="L851">
        <v>1.14</v>
      </c>
      <c r="M851" t="s">
        <v>46</v>
      </c>
      <c r="N851" t="s">
        <v>455</v>
      </c>
      <c r="O851">
        <v>23.05</v>
      </c>
      <c r="P851">
        <v>22.68</v>
      </c>
      <c r="Q851">
        <v>22.93</v>
      </c>
      <c r="R851">
        <v>23.03</v>
      </c>
      <c r="S851">
        <v>1.61</v>
      </c>
      <c r="T851">
        <v>0.81</v>
      </c>
      <c r="U851">
        <v>-35.93</v>
      </c>
      <c r="V851">
        <v>-1262</v>
      </c>
      <c r="W851">
        <v>22.87</v>
      </c>
      <c r="X851" t="s">
        <v>3520</v>
      </c>
      <c r="Y851" t="s">
        <v>777</v>
      </c>
      <c r="Z851">
        <v>1.39</v>
      </c>
      <c r="AA851">
        <v>264</v>
      </c>
      <c r="AB851">
        <v>20</v>
      </c>
      <c r="AC851">
        <v>4.63</v>
      </c>
      <c r="AD851" t="s">
        <v>6079</v>
      </c>
      <c r="AE851" t="s">
        <v>6080</v>
      </c>
      <c r="AF851" t="s">
        <v>6081</v>
      </c>
      <c r="AG851" t="s">
        <v>6082</v>
      </c>
      <c r="AH851">
        <v>0.17</v>
      </c>
      <c r="AI851">
        <v>-2.3</v>
      </c>
      <c r="AJ851">
        <v>3.6</v>
      </c>
      <c r="AK851">
        <v>8.19</v>
      </c>
      <c r="AL851">
        <v>-1</v>
      </c>
      <c r="AM851">
        <v>-0.22</v>
      </c>
      <c r="AN851">
        <v>-15.61</v>
      </c>
      <c r="AO851">
        <v>-2.17</v>
      </c>
      <c r="AP851">
        <v>1.37</v>
      </c>
    </row>
    <row r="852" spans="1:42">
      <c r="A852">
        <v>851</v>
      </c>
      <c r="B852" t="str">
        <f>"000997"</f>
        <v>000997</v>
      </c>
      <c r="C852" t="s">
        <v>6083</v>
      </c>
      <c r="D852">
        <v>18.38</v>
      </c>
      <c r="E852">
        <v>3.96</v>
      </c>
      <c r="F852">
        <v>0.7</v>
      </c>
      <c r="G852" t="s">
        <v>1915</v>
      </c>
      <c r="H852">
        <v>1602</v>
      </c>
      <c r="I852">
        <v>18.37</v>
      </c>
      <c r="J852">
        <v>18.38</v>
      </c>
      <c r="K852" t="s">
        <v>6070</v>
      </c>
      <c r="L852">
        <v>1.25</v>
      </c>
      <c r="M852" t="s">
        <v>46</v>
      </c>
      <c r="N852" t="s">
        <v>6084</v>
      </c>
      <c r="O852">
        <v>18.52</v>
      </c>
      <c r="P852">
        <v>17.61</v>
      </c>
      <c r="Q852">
        <v>17.74</v>
      </c>
      <c r="R852">
        <v>17.68</v>
      </c>
      <c r="S852">
        <v>5.15</v>
      </c>
      <c r="T852">
        <v>1.75</v>
      </c>
      <c r="U852">
        <v>-54.6</v>
      </c>
      <c r="V852">
        <v>-1621</v>
      </c>
      <c r="W852">
        <v>18.18</v>
      </c>
      <c r="X852" t="s">
        <v>6085</v>
      </c>
      <c r="Y852" t="s">
        <v>4881</v>
      </c>
      <c r="Z852">
        <v>0.74</v>
      </c>
      <c r="AA852">
        <v>21</v>
      </c>
      <c r="AB852">
        <v>80</v>
      </c>
      <c r="AC852">
        <v>3.09</v>
      </c>
      <c r="AD852" t="s">
        <v>1061</v>
      </c>
      <c r="AE852" t="s">
        <v>5522</v>
      </c>
      <c r="AF852" t="s">
        <v>6086</v>
      </c>
      <c r="AG852" t="s">
        <v>6087</v>
      </c>
      <c r="AH852">
        <v>2.11</v>
      </c>
      <c r="AI852">
        <v>0.44</v>
      </c>
      <c r="AJ852">
        <v>2.14</v>
      </c>
      <c r="AK852">
        <v>4.83</v>
      </c>
      <c r="AL852">
        <v>1</v>
      </c>
      <c r="AM852">
        <v>3.96</v>
      </c>
      <c r="AN852">
        <v>44.38</v>
      </c>
      <c r="AO852">
        <v>6.06</v>
      </c>
      <c r="AP852">
        <v>36.15</v>
      </c>
    </row>
    <row r="853" spans="1:42">
      <c r="A853">
        <v>852</v>
      </c>
      <c r="B853" t="str">
        <f>"002428"</f>
        <v>002428</v>
      </c>
      <c r="C853" t="s">
        <v>6088</v>
      </c>
      <c r="D853">
        <v>12.68</v>
      </c>
      <c r="E853">
        <v>2.34</v>
      </c>
      <c r="F853">
        <v>0.29</v>
      </c>
      <c r="G853" t="s">
        <v>99</v>
      </c>
      <c r="H853">
        <v>1620</v>
      </c>
      <c r="I853">
        <v>12.67</v>
      </c>
      <c r="J853">
        <v>12.68</v>
      </c>
      <c r="K853" t="s">
        <v>6070</v>
      </c>
      <c r="L853">
        <v>2.86</v>
      </c>
      <c r="M853" t="s">
        <v>46</v>
      </c>
      <c r="N853" t="s">
        <v>3038</v>
      </c>
      <c r="O853">
        <v>12.88</v>
      </c>
      <c r="P853">
        <v>12.33</v>
      </c>
      <c r="Q853">
        <v>12.46</v>
      </c>
      <c r="R853">
        <v>12.39</v>
      </c>
      <c r="S853">
        <v>4.44</v>
      </c>
      <c r="T853">
        <v>1.9</v>
      </c>
      <c r="U853">
        <v>-13.65</v>
      </c>
      <c r="V853">
        <v>-602</v>
      </c>
      <c r="W853">
        <v>12.63</v>
      </c>
      <c r="X853" t="s">
        <v>4893</v>
      </c>
      <c r="Y853" t="s">
        <v>6089</v>
      </c>
      <c r="Z853">
        <v>0.89</v>
      </c>
      <c r="AA853">
        <v>389</v>
      </c>
      <c r="AB853">
        <v>925</v>
      </c>
      <c r="AC853">
        <v>5.9</v>
      </c>
      <c r="AD853" t="s">
        <v>6090</v>
      </c>
      <c r="AE853" t="s">
        <v>6091</v>
      </c>
      <c r="AF853" t="s">
        <v>6092</v>
      </c>
      <c r="AG853" t="s">
        <v>6093</v>
      </c>
      <c r="AH853">
        <v>0.56</v>
      </c>
      <c r="AI853">
        <v>-1.78</v>
      </c>
      <c r="AJ853">
        <v>6.43</v>
      </c>
      <c r="AK853">
        <v>10.38</v>
      </c>
      <c r="AL853">
        <v>1</v>
      </c>
      <c r="AM853">
        <v>2.34</v>
      </c>
      <c r="AN853">
        <v>36.05</v>
      </c>
      <c r="AO853">
        <v>-2.31</v>
      </c>
      <c r="AP853">
        <v>27.69</v>
      </c>
    </row>
    <row r="854" spans="1:42">
      <c r="A854">
        <v>853</v>
      </c>
      <c r="B854" t="str">
        <f>"600893"</f>
        <v>600893</v>
      </c>
      <c r="C854" t="s">
        <v>6094</v>
      </c>
      <c r="D854">
        <v>36.19</v>
      </c>
      <c r="E854">
        <v>0.64</v>
      </c>
      <c r="F854">
        <v>0.23</v>
      </c>
      <c r="G854" t="s">
        <v>3958</v>
      </c>
      <c r="H854">
        <v>568</v>
      </c>
      <c r="I854">
        <v>36.18</v>
      </c>
      <c r="J854">
        <v>36.19</v>
      </c>
      <c r="K854" t="s">
        <v>6095</v>
      </c>
      <c r="L854">
        <v>0.24</v>
      </c>
      <c r="M854" t="s">
        <v>46</v>
      </c>
      <c r="N854" t="s">
        <v>6096</v>
      </c>
      <c r="O854">
        <v>36.31</v>
      </c>
      <c r="P854">
        <v>35.71</v>
      </c>
      <c r="Q854">
        <v>35.71</v>
      </c>
      <c r="R854">
        <v>35.96</v>
      </c>
      <c r="S854">
        <v>1.67</v>
      </c>
      <c r="T854">
        <v>0.98</v>
      </c>
      <c r="U854">
        <v>19.87</v>
      </c>
      <c r="V854">
        <v>134</v>
      </c>
      <c r="W854">
        <v>36.04</v>
      </c>
      <c r="X854" t="s">
        <v>6097</v>
      </c>
      <c r="Y854" t="s">
        <v>4148</v>
      </c>
      <c r="Z854">
        <v>0.81</v>
      </c>
      <c r="AA854">
        <v>326</v>
      </c>
      <c r="AB854">
        <v>130</v>
      </c>
      <c r="AC854">
        <v>2.47</v>
      </c>
      <c r="AD854" t="s">
        <v>6098</v>
      </c>
      <c r="AE854" t="s">
        <v>6099</v>
      </c>
      <c r="AF854" t="s">
        <v>2301</v>
      </c>
      <c r="AG854" t="s">
        <v>6100</v>
      </c>
      <c r="AH854">
        <v>0.06</v>
      </c>
      <c r="AI854">
        <v>-1.68</v>
      </c>
      <c r="AJ854">
        <v>0.84</v>
      </c>
      <c r="AK854">
        <v>1.48</v>
      </c>
      <c r="AL854">
        <v>1</v>
      </c>
      <c r="AM854">
        <v>0.64</v>
      </c>
      <c r="AN854">
        <v>-14.1</v>
      </c>
      <c r="AO854">
        <v>2.9</v>
      </c>
      <c r="AP854">
        <v>-19.49</v>
      </c>
    </row>
    <row r="855" spans="1:42">
      <c r="A855">
        <v>854</v>
      </c>
      <c r="B855" t="str">
        <f>"688063"</f>
        <v>688063</v>
      </c>
      <c r="C855" t="s">
        <v>6101</v>
      </c>
      <c r="D855">
        <v>101.2</v>
      </c>
      <c r="E855">
        <v>-0.72</v>
      </c>
      <c r="F855">
        <v>-0.73</v>
      </c>
      <c r="G855" t="s">
        <v>1710</v>
      </c>
      <c r="H855">
        <v>210</v>
      </c>
      <c r="I855">
        <v>101.2</v>
      </c>
      <c r="J855">
        <v>101.21</v>
      </c>
      <c r="K855" t="s">
        <v>6095</v>
      </c>
      <c r="L855">
        <v>2.22</v>
      </c>
      <c r="M855" t="s">
        <v>46</v>
      </c>
      <c r="N855" t="s">
        <v>6102</v>
      </c>
      <c r="O855">
        <v>102.5</v>
      </c>
      <c r="P855">
        <v>99.97</v>
      </c>
      <c r="Q855">
        <v>102.21</v>
      </c>
      <c r="R855">
        <v>101.93</v>
      </c>
      <c r="S855">
        <v>2.48</v>
      </c>
      <c r="T855">
        <v>1.03</v>
      </c>
      <c r="U855">
        <v>-54.23</v>
      </c>
      <c r="V855">
        <v>-450</v>
      </c>
      <c r="W855">
        <v>101.23</v>
      </c>
      <c r="X855" t="s">
        <v>1083</v>
      </c>
      <c r="Y855" t="s">
        <v>734</v>
      </c>
      <c r="Z855">
        <v>1.05</v>
      </c>
      <c r="AA855">
        <v>9</v>
      </c>
      <c r="AB855">
        <v>29</v>
      </c>
      <c r="AC855">
        <v>1.84</v>
      </c>
      <c r="AD855" t="s">
        <v>6103</v>
      </c>
      <c r="AE855" t="s">
        <v>4841</v>
      </c>
      <c r="AF855" t="s">
        <v>6104</v>
      </c>
      <c r="AG855" t="s">
        <v>1648</v>
      </c>
      <c r="AH855">
        <v>-2.48</v>
      </c>
      <c r="AI855">
        <v>-8.11</v>
      </c>
      <c r="AJ855">
        <v>6.31</v>
      </c>
      <c r="AK855">
        <v>12.95</v>
      </c>
      <c r="AL855">
        <v>-3</v>
      </c>
      <c r="AM855">
        <v>-0.72</v>
      </c>
      <c r="AN855">
        <v>-67.72</v>
      </c>
      <c r="AO855">
        <v>-6.82</v>
      </c>
      <c r="AP855">
        <v>-65.99</v>
      </c>
    </row>
    <row r="856" spans="1:42">
      <c r="A856">
        <v>855</v>
      </c>
      <c r="B856" t="str">
        <f>"300375"</f>
        <v>300375</v>
      </c>
      <c r="C856" t="s">
        <v>6105</v>
      </c>
      <c r="D856">
        <v>5.93</v>
      </c>
      <c r="E856">
        <v>-0.17</v>
      </c>
      <c r="F856">
        <v>-0.01</v>
      </c>
      <c r="G856" t="s">
        <v>1395</v>
      </c>
      <c r="H856">
        <v>5910</v>
      </c>
      <c r="I856">
        <v>5.93</v>
      </c>
      <c r="J856">
        <v>5.94</v>
      </c>
      <c r="K856" t="s">
        <v>6095</v>
      </c>
      <c r="L856">
        <v>7.85</v>
      </c>
      <c r="M856" t="s">
        <v>46</v>
      </c>
      <c r="N856" t="s">
        <v>3538</v>
      </c>
      <c r="O856">
        <v>5.98</v>
      </c>
      <c r="P856">
        <v>5.7</v>
      </c>
      <c r="Q856">
        <v>5.9</v>
      </c>
      <c r="R856">
        <v>5.94</v>
      </c>
      <c r="S856">
        <v>4.71</v>
      </c>
      <c r="T856">
        <v>0.55</v>
      </c>
      <c r="U856">
        <v>-22.66</v>
      </c>
      <c r="V856">
        <v>-2843</v>
      </c>
      <c r="W856">
        <v>5.87</v>
      </c>
      <c r="X856" t="s">
        <v>2419</v>
      </c>
      <c r="Y856" t="s">
        <v>859</v>
      </c>
      <c r="Z856">
        <v>1.17</v>
      </c>
      <c r="AA856">
        <v>1161</v>
      </c>
      <c r="AB856">
        <v>347</v>
      </c>
      <c r="AC856">
        <v>2.02</v>
      </c>
      <c r="AD856" t="s">
        <v>6106</v>
      </c>
      <c r="AE856" t="s">
        <v>6107</v>
      </c>
      <c r="AF856" t="s">
        <v>6108</v>
      </c>
      <c r="AG856" t="s">
        <v>6109</v>
      </c>
      <c r="AH856">
        <v>-4.35</v>
      </c>
      <c r="AI856">
        <v>-1.98</v>
      </c>
      <c r="AJ856">
        <v>34.04</v>
      </c>
      <c r="AK856">
        <v>78.88</v>
      </c>
      <c r="AL856">
        <v>-2</v>
      </c>
      <c r="AM856">
        <v>-0.17</v>
      </c>
      <c r="AN856">
        <v>70.4</v>
      </c>
      <c r="AO856">
        <v>3.31</v>
      </c>
      <c r="AP856">
        <v>58.13</v>
      </c>
    </row>
    <row r="857" spans="1:42">
      <c r="A857">
        <v>856</v>
      </c>
      <c r="B857" t="str">
        <f>"603707"</f>
        <v>603707</v>
      </c>
      <c r="C857" t="s">
        <v>6110</v>
      </c>
      <c r="D857">
        <v>15.9</v>
      </c>
      <c r="E857">
        <v>1.66</v>
      </c>
      <c r="F857">
        <v>0.26</v>
      </c>
      <c r="G857" t="s">
        <v>598</v>
      </c>
      <c r="H857">
        <v>1766</v>
      </c>
      <c r="I857">
        <v>15.9</v>
      </c>
      <c r="J857">
        <v>15.91</v>
      </c>
      <c r="K857" t="s">
        <v>6111</v>
      </c>
      <c r="L857">
        <v>0.91</v>
      </c>
      <c r="M857" t="s">
        <v>46</v>
      </c>
      <c r="N857" t="s">
        <v>6112</v>
      </c>
      <c r="O857">
        <v>15.95</v>
      </c>
      <c r="P857">
        <v>15.4</v>
      </c>
      <c r="Q857">
        <v>15.4</v>
      </c>
      <c r="R857">
        <v>15.64</v>
      </c>
      <c r="S857">
        <v>3.52</v>
      </c>
      <c r="T857">
        <v>0.93</v>
      </c>
      <c r="U857">
        <v>36.51</v>
      </c>
      <c r="V857">
        <v>1134</v>
      </c>
      <c r="W857">
        <v>15.73</v>
      </c>
      <c r="X857" t="s">
        <v>6113</v>
      </c>
      <c r="Y857" t="s">
        <v>5810</v>
      </c>
      <c r="Z857">
        <v>0.84</v>
      </c>
      <c r="AA857">
        <v>1937</v>
      </c>
      <c r="AB857">
        <v>97</v>
      </c>
      <c r="AC857">
        <v>3.79</v>
      </c>
      <c r="AD857" t="s">
        <v>1371</v>
      </c>
      <c r="AE857" t="s">
        <v>6114</v>
      </c>
      <c r="AF857" t="s">
        <v>6115</v>
      </c>
      <c r="AG857" t="s">
        <v>6116</v>
      </c>
      <c r="AH857">
        <v>6.35</v>
      </c>
      <c r="AI857">
        <v>12.93</v>
      </c>
      <c r="AJ857">
        <v>3.68</v>
      </c>
      <c r="AK857">
        <v>5.86</v>
      </c>
      <c r="AL857">
        <v>1</v>
      </c>
      <c r="AM857">
        <v>1.66</v>
      </c>
      <c r="AN857">
        <v>-11.32</v>
      </c>
      <c r="AO857">
        <v>29.69</v>
      </c>
      <c r="AP857">
        <v>-9.5</v>
      </c>
    </row>
    <row r="858" spans="1:42">
      <c r="A858">
        <v>857</v>
      </c>
      <c r="B858" t="str">
        <f>"600176"</f>
        <v>600176</v>
      </c>
      <c r="C858" t="s">
        <v>6117</v>
      </c>
      <c r="D858">
        <v>10.9</v>
      </c>
      <c r="E858">
        <v>-1.54</v>
      </c>
      <c r="F858">
        <v>-0.17</v>
      </c>
      <c r="G858" t="s">
        <v>553</v>
      </c>
      <c r="H858">
        <v>1324</v>
      </c>
      <c r="I858">
        <v>10.9</v>
      </c>
      <c r="J858">
        <v>10.91</v>
      </c>
      <c r="K858" t="s">
        <v>6111</v>
      </c>
      <c r="L858">
        <v>0.53</v>
      </c>
      <c r="M858" t="s">
        <v>46</v>
      </c>
      <c r="N858" t="s">
        <v>6118</v>
      </c>
      <c r="O858">
        <v>11.08</v>
      </c>
      <c r="P858">
        <v>10.81</v>
      </c>
      <c r="Q858">
        <v>11.07</v>
      </c>
      <c r="R858">
        <v>11.07</v>
      </c>
      <c r="S858">
        <v>2.44</v>
      </c>
      <c r="T858">
        <v>1.89</v>
      </c>
      <c r="U858">
        <v>21.51</v>
      </c>
      <c r="V858">
        <v>839</v>
      </c>
      <c r="W858">
        <v>10.91</v>
      </c>
      <c r="X858" t="s">
        <v>1807</v>
      </c>
      <c r="Y858" t="s">
        <v>6119</v>
      </c>
      <c r="Z858">
        <v>1.22</v>
      </c>
      <c r="AA858">
        <v>265</v>
      </c>
      <c r="AB858">
        <v>216</v>
      </c>
      <c r="AC858">
        <v>1.54</v>
      </c>
      <c r="AD858" t="s">
        <v>6120</v>
      </c>
      <c r="AE858" t="s">
        <v>6121</v>
      </c>
      <c r="AF858" t="s">
        <v>6120</v>
      </c>
      <c r="AG858" t="s">
        <v>6121</v>
      </c>
      <c r="AH858">
        <v>-3.88</v>
      </c>
      <c r="AI858">
        <v>-5.05</v>
      </c>
      <c r="AJ858">
        <v>1.21</v>
      </c>
      <c r="AK858">
        <v>1.94</v>
      </c>
      <c r="AL858">
        <v>-3</v>
      </c>
      <c r="AM858">
        <v>-1.54</v>
      </c>
      <c r="AN858">
        <v>-17.36</v>
      </c>
      <c r="AO858">
        <v>-7.08</v>
      </c>
      <c r="AP858">
        <v>-19.5</v>
      </c>
    </row>
    <row r="859" spans="1:42">
      <c r="A859">
        <v>858</v>
      </c>
      <c r="B859" t="str">
        <f>"300762"</f>
        <v>300762</v>
      </c>
      <c r="C859" t="s">
        <v>6122</v>
      </c>
      <c r="D859">
        <v>17.23</v>
      </c>
      <c r="E859">
        <v>-0.52</v>
      </c>
      <c r="F859">
        <v>-0.09</v>
      </c>
      <c r="G859" t="s">
        <v>4247</v>
      </c>
      <c r="H859">
        <v>4071</v>
      </c>
      <c r="I859">
        <v>17.22</v>
      </c>
      <c r="J859">
        <v>17.23</v>
      </c>
      <c r="K859" t="s">
        <v>6111</v>
      </c>
      <c r="L859">
        <v>2.15</v>
      </c>
      <c r="M859" t="s">
        <v>46</v>
      </c>
      <c r="N859" t="s">
        <v>6123</v>
      </c>
      <c r="O859">
        <v>17.45</v>
      </c>
      <c r="P859">
        <v>16.96</v>
      </c>
      <c r="Q859">
        <v>17.33</v>
      </c>
      <c r="R859">
        <v>17.32</v>
      </c>
      <c r="S859">
        <v>2.83</v>
      </c>
      <c r="T859">
        <v>0.67</v>
      </c>
      <c r="U859">
        <v>9.08</v>
      </c>
      <c r="V859">
        <v>283</v>
      </c>
      <c r="W859">
        <v>17.19</v>
      </c>
      <c r="X859" t="s">
        <v>3201</v>
      </c>
      <c r="Y859" t="s">
        <v>2629</v>
      </c>
      <c r="Z859">
        <v>1.3</v>
      </c>
      <c r="AA859">
        <v>496</v>
      </c>
      <c r="AB859">
        <v>1002</v>
      </c>
      <c r="AC859">
        <v>4.12</v>
      </c>
      <c r="AD859" t="s">
        <v>6124</v>
      </c>
      <c r="AE859" t="s">
        <v>1739</v>
      </c>
      <c r="AF859" t="s">
        <v>6124</v>
      </c>
      <c r="AG859" t="s">
        <v>1739</v>
      </c>
      <c r="AH859">
        <v>-2.27</v>
      </c>
      <c r="AI859">
        <v>-0.98</v>
      </c>
      <c r="AJ859">
        <v>7.84</v>
      </c>
      <c r="AK859">
        <v>18.16</v>
      </c>
      <c r="AL859">
        <v>-3</v>
      </c>
      <c r="AM859">
        <v>-0.52</v>
      </c>
      <c r="AN859">
        <v>30.83</v>
      </c>
      <c r="AO859">
        <v>2.44</v>
      </c>
      <c r="AP859">
        <v>30.93</v>
      </c>
    </row>
    <row r="860" spans="1:42">
      <c r="A860">
        <v>859</v>
      </c>
      <c r="B860" t="str">
        <f>"000596"</f>
        <v>000596</v>
      </c>
      <c r="C860" t="s">
        <v>6125</v>
      </c>
      <c r="D860">
        <v>253.39</v>
      </c>
      <c r="E860">
        <v>-2</v>
      </c>
      <c r="F860">
        <v>-5.17</v>
      </c>
      <c r="G860">
        <v>9052</v>
      </c>
      <c r="H860">
        <v>157</v>
      </c>
      <c r="I860">
        <v>253.39</v>
      </c>
      <c r="J860">
        <v>253.4</v>
      </c>
      <c r="K860" t="s">
        <v>6126</v>
      </c>
      <c r="L860">
        <v>0.22</v>
      </c>
      <c r="M860" t="s">
        <v>46</v>
      </c>
      <c r="N860" t="s">
        <v>2010</v>
      </c>
      <c r="O860">
        <v>259.49</v>
      </c>
      <c r="P860">
        <v>253.2</v>
      </c>
      <c r="Q860">
        <v>258.57</v>
      </c>
      <c r="R860">
        <v>258.56</v>
      </c>
      <c r="S860">
        <v>2.43</v>
      </c>
      <c r="T860">
        <v>1.25</v>
      </c>
      <c r="U860">
        <v>33.33</v>
      </c>
      <c r="V860">
        <v>34</v>
      </c>
      <c r="W860">
        <v>255.37</v>
      </c>
      <c r="X860">
        <v>4974</v>
      </c>
      <c r="Y860">
        <v>4078</v>
      </c>
      <c r="Z860">
        <v>1.22</v>
      </c>
      <c r="AA860">
        <v>1</v>
      </c>
      <c r="AB860">
        <v>30</v>
      </c>
      <c r="AC860">
        <v>6.46</v>
      </c>
      <c r="AD860" t="s">
        <v>6127</v>
      </c>
      <c r="AE860" t="s">
        <v>6128</v>
      </c>
      <c r="AF860" t="s">
        <v>6129</v>
      </c>
      <c r="AG860" t="s">
        <v>6130</v>
      </c>
      <c r="AH860">
        <v>-1.23</v>
      </c>
      <c r="AI860">
        <v>-3.1</v>
      </c>
      <c r="AJ860">
        <v>0.55</v>
      </c>
      <c r="AK860">
        <v>1.11</v>
      </c>
      <c r="AL860">
        <v>-1</v>
      </c>
      <c r="AM860">
        <v>-2</v>
      </c>
      <c r="AN860">
        <v>-3.98</v>
      </c>
      <c r="AO860">
        <v>-7.4</v>
      </c>
      <c r="AP860">
        <v>8.66</v>
      </c>
    </row>
    <row r="861" spans="1:42">
      <c r="A861">
        <v>860</v>
      </c>
      <c r="B861" t="str">
        <f>"603018"</f>
        <v>603018</v>
      </c>
      <c r="C861" t="s">
        <v>6131</v>
      </c>
      <c r="D861">
        <v>8.25</v>
      </c>
      <c r="E861">
        <v>3.64</v>
      </c>
      <c r="F861">
        <v>0.29</v>
      </c>
      <c r="G861" t="s">
        <v>3512</v>
      </c>
      <c r="H861">
        <v>3338</v>
      </c>
      <c r="I861">
        <v>8.25</v>
      </c>
      <c r="J861">
        <v>8.26</v>
      </c>
      <c r="K861" t="s">
        <v>6126</v>
      </c>
      <c r="L861">
        <v>4.21</v>
      </c>
      <c r="M861" t="s">
        <v>46</v>
      </c>
      <c r="N861" t="s">
        <v>4457</v>
      </c>
      <c r="O861">
        <v>8.46</v>
      </c>
      <c r="P861">
        <v>7.89</v>
      </c>
      <c r="Q861">
        <v>7.93</v>
      </c>
      <c r="R861">
        <v>7.96</v>
      </c>
      <c r="S861">
        <v>7.16</v>
      </c>
      <c r="T861">
        <v>1.78</v>
      </c>
      <c r="U861">
        <v>-48.57</v>
      </c>
      <c r="V861">
        <v>-4230</v>
      </c>
      <c r="W861">
        <v>8.21</v>
      </c>
      <c r="X861" t="s">
        <v>422</v>
      </c>
      <c r="Y861" t="s">
        <v>5021</v>
      </c>
      <c r="Z861">
        <v>0.78</v>
      </c>
      <c r="AA861">
        <v>407</v>
      </c>
      <c r="AB861">
        <v>1454</v>
      </c>
      <c r="AC861">
        <v>1.23</v>
      </c>
      <c r="AD861" t="s">
        <v>6132</v>
      </c>
      <c r="AE861" t="s">
        <v>6133</v>
      </c>
      <c r="AF861" t="s">
        <v>6134</v>
      </c>
      <c r="AG861" t="s">
        <v>6135</v>
      </c>
      <c r="AH861">
        <v>0.86</v>
      </c>
      <c r="AI861">
        <v>-0.48</v>
      </c>
      <c r="AJ861">
        <v>8.3</v>
      </c>
      <c r="AK861">
        <v>16.01</v>
      </c>
      <c r="AL861">
        <v>1</v>
      </c>
      <c r="AM861">
        <v>3.64</v>
      </c>
      <c r="AN861">
        <v>12.7</v>
      </c>
      <c r="AO861">
        <v>7.28</v>
      </c>
      <c r="AP861">
        <v>2.87</v>
      </c>
    </row>
    <row r="862" spans="1:42">
      <c r="A862">
        <v>861</v>
      </c>
      <c r="B862" t="str">
        <f>"300162"</f>
        <v>300162</v>
      </c>
      <c r="C862" t="s">
        <v>6136</v>
      </c>
      <c r="D862">
        <v>7.92</v>
      </c>
      <c r="E862">
        <v>-2.22</v>
      </c>
      <c r="F862">
        <v>-0.18</v>
      </c>
      <c r="G862" t="s">
        <v>2857</v>
      </c>
      <c r="H862">
        <v>7086</v>
      </c>
      <c r="I862">
        <v>7.92</v>
      </c>
      <c r="J862">
        <v>7.93</v>
      </c>
      <c r="K862" t="s">
        <v>6137</v>
      </c>
      <c r="L862">
        <v>10.66</v>
      </c>
      <c r="M862" t="s">
        <v>46</v>
      </c>
      <c r="N862" t="s">
        <v>6138</v>
      </c>
      <c r="O862">
        <v>8.16</v>
      </c>
      <c r="P862">
        <v>7.84</v>
      </c>
      <c r="Q862">
        <v>8.1</v>
      </c>
      <c r="R862">
        <v>8.1</v>
      </c>
      <c r="S862">
        <v>3.95</v>
      </c>
      <c r="T862">
        <v>0.81</v>
      </c>
      <c r="U862">
        <v>39.79</v>
      </c>
      <c r="V862">
        <v>3273</v>
      </c>
      <c r="W862">
        <v>7.94</v>
      </c>
      <c r="X862" t="s">
        <v>625</v>
      </c>
      <c r="Y862" t="s">
        <v>262</v>
      </c>
      <c r="Z862">
        <v>1.56</v>
      </c>
      <c r="AA862">
        <v>962</v>
      </c>
      <c r="AB862">
        <v>1429</v>
      </c>
      <c r="AC862">
        <v>4.24</v>
      </c>
      <c r="AD862" t="s">
        <v>6139</v>
      </c>
      <c r="AE862" t="s">
        <v>3544</v>
      </c>
      <c r="AF862" t="s">
        <v>6140</v>
      </c>
      <c r="AG862" t="s">
        <v>6141</v>
      </c>
      <c r="AH862">
        <v>-6.82</v>
      </c>
      <c r="AI862">
        <v>1.8</v>
      </c>
      <c r="AJ862">
        <v>53.24</v>
      </c>
      <c r="AK862">
        <v>76.66</v>
      </c>
      <c r="AL862">
        <v>-2</v>
      </c>
      <c r="AM862">
        <v>-2.22</v>
      </c>
      <c r="AN862">
        <v>20.73</v>
      </c>
      <c r="AO862">
        <v>6.02</v>
      </c>
      <c r="AP862">
        <v>9.7</v>
      </c>
    </row>
    <row r="863" spans="1:42">
      <c r="A863">
        <v>862</v>
      </c>
      <c r="B863" t="str">
        <f>"601117"</f>
        <v>601117</v>
      </c>
      <c r="C863" t="s">
        <v>6142</v>
      </c>
      <c r="D863">
        <v>6.67</v>
      </c>
      <c r="E863">
        <v>0.76</v>
      </c>
      <c r="F863">
        <v>0.05</v>
      </c>
      <c r="G863" t="s">
        <v>898</v>
      </c>
      <c r="H863">
        <v>1975</v>
      </c>
      <c r="I863">
        <v>6.67</v>
      </c>
      <c r="J863">
        <v>6.68</v>
      </c>
      <c r="K863" t="s">
        <v>6137</v>
      </c>
      <c r="L863">
        <v>0.57</v>
      </c>
      <c r="M863" t="s">
        <v>46</v>
      </c>
      <c r="N863" t="s">
        <v>3470</v>
      </c>
      <c r="O863">
        <v>6.69</v>
      </c>
      <c r="P863">
        <v>6.57</v>
      </c>
      <c r="Q863">
        <v>6.6</v>
      </c>
      <c r="R863">
        <v>6.62</v>
      </c>
      <c r="S863">
        <v>1.81</v>
      </c>
      <c r="T863">
        <v>0.78</v>
      </c>
      <c r="U863">
        <v>-34.33</v>
      </c>
      <c r="V863" t="s">
        <v>6143</v>
      </c>
      <c r="W863">
        <v>6.63</v>
      </c>
      <c r="X863" t="s">
        <v>3143</v>
      </c>
      <c r="Y863" t="s">
        <v>868</v>
      </c>
      <c r="Z863">
        <v>0.89</v>
      </c>
      <c r="AA863">
        <v>2303</v>
      </c>
      <c r="AB863">
        <v>2645</v>
      </c>
      <c r="AC863">
        <v>0.73</v>
      </c>
      <c r="AD863" t="s">
        <v>6144</v>
      </c>
      <c r="AE863" t="s">
        <v>6145</v>
      </c>
      <c r="AF863" t="s">
        <v>6146</v>
      </c>
      <c r="AG863" t="s">
        <v>6147</v>
      </c>
      <c r="AH863">
        <v>-0.6</v>
      </c>
      <c r="AI863">
        <v>-3.75</v>
      </c>
      <c r="AJ863">
        <v>1.88</v>
      </c>
      <c r="AK863">
        <v>4.24</v>
      </c>
      <c r="AL863">
        <v>2</v>
      </c>
      <c r="AM863">
        <v>0.76</v>
      </c>
      <c r="AN863">
        <v>-14.05</v>
      </c>
      <c r="AO863">
        <v>-4.17</v>
      </c>
      <c r="AP863">
        <v>-17.86</v>
      </c>
    </row>
    <row r="864" spans="1:42">
      <c r="A864">
        <v>863</v>
      </c>
      <c r="B864" t="str">
        <f>"002202"</f>
        <v>002202</v>
      </c>
      <c r="C864" t="s">
        <v>6148</v>
      </c>
      <c r="D864">
        <v>8.53</v>
      </c>
      <c r="E864">
        <v>-1.95</v>
      </c>
      <c r="F864">
        <v>-0.17</v>
      </c>
      <c r="G864" t="s">
        <v>2791</v>
      </c>
      <c r="H864">
        <v>2517</v>
      </c>
      <c r="I864">
        <v>8.53</v>
      </c>
      <c r="J864">
        <v>8.54</v>
      </c>
      <c r="K864" t="s">
        <v>6137</v>
      </c>
      <c r="L864">
        <v>0.79</v>
      </c>
      <c r="M864" t="s">
        <v>46</v>
      </c>
      <c r="N864" t="s">
        <v>6149</v>
      </c>
      <c r="O864">
        <v>8.71</v>
      </c>
      <c r="P864">
        <v>8.47</v>
      </c>
      <c r="Q864">
        <v>8.69</v>
      </c>
      <c r="R864">
        <v>8.7</v>
      </c>
      <c r="S864">
        <v>2.76</v>
      </c>
      <c r="T864">
        <v>2.12</v>
      </c>
      <c r="U864">
        <v>32.8</v>
      </c>
      <c r="V864">
        <v>3877</v>
      </c>
      <c r="W864">
        <v>8.55</v>
      </c>
      <c r="X864" t="s">
        <v>3143</v>
      </c>
      <c r="Y864" t="s">
        <v>1128</v>
      </c>
      <c r="Z864">
        <v>1.54</v>
      </c>
      <c r="AA864">
        <v>624</v>
      </c>
      <c r="AB864">
        <v>293</v>
      </c>
      <c r="AC864">
        <v>1.01</v>
      </c>
      <c r="AD864" t="s">
        <v>6150</v>
      </c>
      <c r="AE864" t="s">
        <v>6151</v>
      </c>
      <c r="AF864" t="s">
        <v>6152</v>
      </c>
      <c r="AG864" t="s">
        <v>4137</v>
      </c>
      <c r="AH864">
        <v>-3.72</v>
      </c>
      <c r="AI864">
        <v>-5.22</v>
      </c>
      <c r="AJ864">
        <v>1.51</v>
      </c>
      <c r="AK864">
        <v>2.66</v>
      </c>
      <c r="AL864">
        <v>-3</v>
      </c>
      <c r="AM864">
        <v>-1.95</v>
      </c>
      <c r="AN864">
        <v>-21.6</v>
      </c>
      <c r="AO864">
        <v>-3.62</v>
      </c>
      <c r="AP864">
        <v>-23.84</v>
      </c>
    </row>
    <row r="865" spans="1:42">
      <c r="A865">
        <v>864</v>
      </c>
      <c r="B865" t="str">
        <f>"000039"</f>
        <v>000039</v>
      </c>
      <c r="C865" t="s">
        <v>6153</v>
      </c>
      <c r="D865">
        <v>7.7</v>
      </c>
      <c r="E865">
        <v>-2.28</v>
      </c>
      <c r="F865">
        <v>-0.18</v>
      </c>
      <c r="G865" t="s">
        <v>595</v>
      </c>
      <c r="H865">
        <v>3536</v>
      </c>
      <c r="I865">
        <v>7.7</v>
      </c>
      <c r="J865">
        <v>7.71</v>
      </c>
      <c r="K865" t="s">
        <v>6137</v>
      </c>
      <c r="L865">
        <v>1.29</v>
      </c>
      <c r="M865" t="s">
        <v>46</v>
      </c>
      <c r="N865" t="s">
        <v>6154</v>
      </c>
      <c r="O865">
        <v>7.9</v>
      </c>
      <c r="P865">
        <v>7.67</v>
      </c>
      <c r="Q865">
        <v>7.86</v>
      </c>
      <c r="R865">
        <v>7.88</v>
      </c>
      <c r="S865">
        <v>2.92</v>
      </c>
      <c r="T865">
        <v>1.52</v>
      </c>
      <c r="U865">
        <v>7.62</v>
      </c>
      <c r="V865">
        <v>514</v>
      </c>
      <c r="W865">
        <v>7.77</v>
      </c>
      <c r="X865" t="s">
        <v>796</v>
      </c>
      <c r="Y865" t="s">
        <v>960</v>
      </c>
      <c r="Z865">
        <v>1.11</v>
      </c>
      <c r="AA865">
        <v>193</v>
      </c>
      <c r="AB865">
        <v>484</v>
      </c>
      <c r="AC865">
        <v>0.91</v>
      </c>
      <c r="AD865" t="s">
        <v>6155</v>
      </c>
      <c r="AE865" t="s">
        <v>6156</v>
      </c>
      <c r="AF865" t="s">
        <v>2933</v>
      </c>
      <c r="AG865" t="s">
        <v>6157</v>
      </c>
      <c r="AH865">
        <v>-0.65</v>
      </c>
      <c r="AI865">
        <v>-0.26</v>
      </c>
      <c r="AJ865">
        <v>3.1</v>
      </c>
      <c r="AK865">
        <v>5.53</v>
      </c>
      <c r="AL865">
        <v>-1</v>
      </c>
      <c r="AM865">
        <v>-2.28</v>
      </c>
      <c r="AN865">
        <v>12.24</v>
      </c>
      <c r="AO865">
        <v>15.27</v>
      </c>
      <c r="AP865">
        <v>9.69</v>
      </c>
    </row>
    <row r="866" spans="1:42">
      <c r="A866">
        <v>865</v>
      </c>
      <c r="B866" t="str">
        <f>"002527"</f>
        <v>002527</v>
      </c>
      <c r="C866" t="s">
        <v>6158</v>
      </c>
      <c r="D866">
        <v>10.64</v>
      </c>
      <c r="E866">
        <v>-0.84</v>
      </c>
      <c r="F866">
        <v>-0.09</v>
      </c>
      <c r="G866" t="s">
        <v>1225</v>
      </c>
      <c r="H866">
        <v>1606</v>
      </c>
      <c r="I866">
        <v>10.63</v>
      </c>
      <c r="J866">
        <v>10.64</v>
      </c>
      <c r="K866" t="s">
        <v>6137</v>
      </c>
      <c r="L866">
        <v>4.15</v>
      </c>
      <c r="M866" t="s">
        <v>46</v>
      </c>
      <c r="N866" t="s">
        <v>4111</v>
      </c>
      <c r="O866">
        <v>10.68</v>
      </c>
      <c r="P866">
        <v>10.46</v>
      </c>
      <c r="Q866">
        <v>10.5</v>
      </c>
      <c r="R866">
        <v>10.73</v>
      </c>
      <c r="S866">
        <v>2.05</v>
      </c>
      <c r="T866">
        <v>1.2</v>
      </c>
      <c r="U866">
        <v>15.36</v>
      </c>
      <c r="V866">
        <v>1053</v>
      </c>
      <c r="W866">
        <v>10.56</v>
      </c>
      <c r="X866" t="s">
        <v>1261</v>
      </c>
      <c r="Y866" t="s">
        <v>6159</v>
      </c>
      <c r="Z866">
        <v>1.33</v>
      </c>
      <c r="AA866">
        <v>1577</v>
      </c>
      <c r="AB866">
        <v>444</v>
      </c>
      <c r="AC866">
        <v>3.54</v>
      </c>
      <c r="AD866" t="s">
        <v>6160</v>
      </c>
      <c r="AE866" t="s">
        <v>6161</v>
      </c>
      <c r="AF866" t="s">
        <v>6162</v>
      </c>
      <c r="AG866" t="s">
        <v>6163</v>
      </c>
      <c r="AH866">
        <v>-0.93</v>
      </c>
      <c r="AI866">
        <v>-3.71</v>
      </c>
      <c r="AJ866">
        <v>13.3</v>
      </c>
      <c r="AK866">
        <v>21.39</v>
      </c>
      <c r="AL866">
        <v>-1</v>
      </c>
      <c r="AM866">
        <v>-0.84</v>
      </c>
      <c r="AN866">
        <v>74.43</v>
      </c>
      <c r="AO866">
        <v>-4.4</v>
      </c>
      <c r="AP866">
        <v>62.44</v>
      </c>
    </row>
    <row r="867" spans="1:42">
      <c r="A867">
        <v>866</v>
      </c>
      <c r="B867" t="str">
        <f>"300529"</f>
        <v>300529</v>
      </c>
      <c r="C867" t="s">
        <v>6164</v>
      </c>
      <c r="D867">
        <v>24.16</v>
      </c>
      <c r="E867">
        <v>0.88</v>
      </c>
      <c r="F867">
        <v>0.21</v>
      </c>
      <c r="G867" t="s">
        <v>5726</v>
      </c>
      <c r="H867">
        <v>1148</v>
      </c>
      <c r="I867">
        <v>24.15</v>
      </c>
      <c r="J867">
        <v>24.16</v>
      </c>
      <c r="K867" t="s">
        <v>6165</v>
      </c>
      <c r="L867">
        <v>1.87</v>
      </c>
      <c r="M867" t="s">
        <v>46</v>
      </c>
      <c r="N867" t="s">
        <v>2959</v>
      </c>
      <c r="O867">
        <v>24.23</v>
      </c>
      <c r="P867">
        <v>23.59</v>
      </c>
      <c r="Q867">
        <v>24.09</v>
      </c>
      <c r="R867">
        <v>23.95</v>
      </c>
      <c r="S867">
        <v>2.67</v>
      </c>
      <c r="T867">
        <v>1.27</v>
      </c>
      <c r="U867">
        <v>-0.32</v>
      </c>
      <c r="V867">
        <v>-4</v>
      </c>
      <c r="W867">
        <v>23.91</v>
      </c>
      <c r="X867" t="s">
        <v>1236</v>
      </c>
      <c r="Y867" t="s">
        <v>5028</v>
      </c>
      <c r="Z867">
        <v>0.96</v>
      </c>
      <c r="AA867">
        <v>237</v>
      </c>
      <c r="AB867">
        <v>342</v>
      </c>
      <c r="AC867">
        <v>6.52</v>
      </c>
      <c r="AD867" t="s">
        <v>6166</v>
      </c>
      <c r="AE867" t="s">
        <v>6167</v>
      </c>
      <c r="AF867" t="s">
        <v>4625</v>
      </c>
      <c r="AG867" t="s">
        <v>6168</v>
      </c>
      <c r="AH867">
        <v>4.45</v>
      </c>
      <c r="AI867">
        <v>4.27</v>
      </c>
      <c r="AJ867">
        <v>6.37</v>
      </c>
      <c r="AK867">
        <v>9.26</v>
      </c>
      <c r="AL867">
        <v>2</v>
      </c>
      <c r="AM867">
        <v>0.88</v>
      </c>
      <c r="AN867">
        <v>-20.26</v>
      </c>
      <c r="AO867">
        <v>5.55</v>
      </c>
      <c r="AP867">
        <v>-23.86</v>
      </c>
    </row>
    <row r="868" spans="1:42">
      <c r="A868">
        <v>867</v>
      </c>
      <c r="B868" t="str">
        <f>"300250"</f>
        <v>300250</v>
      </c>
      <c r="C868" t="s">
        <v>6169</v>
      </c>
      <c r="D868">
        <v>19.08</v>
      </c>
      <c r="E868">
        <v>4.09</v>
      </c>
      <c r="F868">
        <v>0.75</v>
      </c>
      <c r="G868" t="s">
        <v>447</v>
      </c>
      <c r="H868">
        <v>2706</v>
      </c>
      <c r="I868">
        <v>19.07</v>
      </c>
      <c r="J868">
        <v>19.08</v>
      </c>
      <c r="K868" t="s">
        <v>6165</v>
      </c>
      <c r="L868">
        <v>7.46</v>
      </c>
      <c r="M868" t="s">
        <v>46</v>
      </c>
      <c r="N868" t="s">
        <v>5906</v>
      </c>
      <c r="O868">
        <v>19.19</v>
      </c>
      <c r="P868">
        <v>18.33</v>
      </c>
      <c r="Q868">
        <v>18.34</v>
      </c>
      <c r="R868">
        <v>18.33</v>
      </c>
      <c r="S868">
        <v>4.69</v>
      </c>
      <c r="T868">
        <v>0.89</v>
      </c>
      <c r="U868">
        <v>-31.41</v>
      </c>
      <c r="V868">
        <v>-610</v>
      </c>
      <c r="W868">
        <v>18.79</v>
      </c>
      <c r="X868" t="s">
        <v>5316</v>
      </c>
      <c r="Y868" t="s">
        <v>5099</v>
      </c>
      <c r="Z868">
        <v>0.8</v>
      </c>
      <c r="AA868">
        <v>340</v>
      </c>
      <c r="AB868">
        <v>74</v>
      </c>
      <c r="AC868">
        <v>6.75</v>
      </c>
      <c r="AD868" t="s">
        <v>6170</v>
      </c>
      <c r="AE868" t="s">
        <v>6171</v>
      </c>
      <c r="AF868" t="s">
        <v>6172</v>
      </c>
      <c r="AG868" t="s">
        <v>4084</v>
      </c>
      <c r="AH868">
        <v>0</v>
      </c>
      <c r="AI868">
        <v>-1.7</v>
      </c>
      <c r="AJ868">
        <v>19.67</v>
      </c>
      <c r="AK868">
        <v>49.35</v>
      </c>
      <c r="AL868">
        <v>1</v>
      </c>
      <c r="AM868">
        <v>4.09</v>
      </c>
      <c r="AN868">
        <v>78.15</v>
      </c>
      <c r="AO868">
        <v>4.38</v>
      </c>
      <c r="AP868">
        <v>53.38</v>
      </c>
    </row>
    <row r="869" spans="1:42">
      <c r="A869">
        <v>868</v>
      </c>
      <c r="B869" t="str">
        <f>"688238"</f>
        <v>688238</v>
      </c>
      <c r="C869" t="s">
        <v>6173</v>
      </c>
      <c r="D869">
        <v>11.01</v>
      </c>
      <c r="E869">
        <v>3.67</v>
      </c>
      <c r="F869">
        <v>0.39</v>
      </c>
      <c r="G869" t="s">
        <v>415</v>
      </c>
      <c r="H869">
        <v>2449</v>
      </c>
      <c r="I869">
        <v>11</v>
      </c>
      <c r="J869">
        <v>11.01</v>
      </c>
      <c r="K869" t="s">
        <v>6165</v>
      </c>
      <c r="L869">
        <v>4.76</v>
      </c>
      <c r="M869" t="s">
        <v>46</v>
      </c>
      <c r="N869" t="s">
        <v>6174</v>
      </c>
      <c r="O869">
        <v>11.18</v>
      </c>
      <c r="P869">
        <v>10.61</v>
      </c>
      <c r="Q869">
        <v>10.68</v>
      </c>
      <c r="R869">
        <v>10.62</v>
      </c>
      <c r="S869">
        <v>5.37</v>
      </c>
      <c r="T869">
        <v>1.2</v>
      </c>
      <c r="U869">
        <v>30.22</v>
      </c>
      <c r="V869">
        <v>1179</v>
      </c>
      <c r="W869">
        <v>10.94</v>
      </c>
      <c r="X869" t="s">
        <v>6175</v>
      </c>
      <c r="Y869" t="s">
        <v>1807</v>
      </c>
      <c r="Z869">
        <v>0.79</v>
      </c>
      <c r="AA869">
        <v>1867</v>
      </c>
      <c r="AB869">
        <v>569</v>
      </c>
      <c r="AC869">
        <v>3.36</v>
      </c>
      <c r="AD869" t="s">
        <v>2352</v>
      </c>
      <c r="AE869" t="s">
        <v>213</v>
      </c>
      <c r="AF869" t="s">
        <v>4005</v>
      </c>
      <c r="AG869" t="s">
        <v>6176</v>
      </c>
      <c r="AH869">
        <v>-0.9</v>
      </c>
      <c r="AI869">
        <v>0.73</v>
      </c>
      <c r="AJ869">
        <v>10.91</v>
      </c>
      <c r="AK869">
        <v>24.63</v>
      </c>
      <c r="AL869">
        <v>1</v>
      </c>
      <c r="AM869">
        <v>3.67</v>
      </c>
      <c r="AN869">
        <v>-24.9</v>
      </c>
      <c r="AO869">
        <v>16.14</v>
      </c>
      <c r="AP869">
        <v>-42.05</v>
      </c>
    </row>
    <row r="870" spans="1:42">
      <c r="A870">
        <v>869</v>
      </c>
      <c r="B870" t="str">
        <f>"603158"</f>
        <v>603158</v>
      </c>
      <c r="C870" t="s">
        <v>6177</v>
      </c>
      <c r="D870">
        <v>9.8</v>
      </c>
      <c r="E870">
        <v>0.51</v>
      </c>
      <c r="F870">
        <v>0.05</v>
      </c>
      <c r="G870" t="s">
        <v>2850</v>
      </c>
      <c r="H870">
        <v>4010</v>
      </c>
      <c r="I870">
        <v>9.79</v>
      </c>
      <c r="J870">
        <v>9.8</v>
      </c>
      <c r="K870" t="s">
        <v>6165</v>
      </c>
      <c r="L870">
        <v>4.78</v>
      </c>
      <c r="M870" t="s">
        <v>46</v>
      </c>
      <c r="N870" t="s">
        <v>761</v>
      </c>
      <c r="O870">
        <v>9.92</v>
      </c>
      <c r="P870">
        <v>9.57</v>
      </c>
      <c r="Q870">
        <v>9.76</v>
      </c>
      <c r="R870">
        <v>9.75</v>
      </c>
      <c r="S870">
        <v>3.59</v>
      </c>
      <c r="T870">
        <v>0.66</v>
      </c>
      <c r="U870">
        <v>-16.88</v>
      </c>
      <c r="V870">
        <v>-978</v>
      </c>
      <c r="W870">
        <v>9.75</v>
      </c>
      <c r="X870" t="s">
        <v>1540</v>
      </c>
      <c r="Y870" t="s">
        <v>1807</v>
      </c>
      <c r="Z870">
        <v>1.01</v>
      </c>
      <c r="AA870">
        <v>695</v>
      </c>
      <c r="AB870">
        <v>19</v>
      </c>
      <c r="AC870">
        <v>2.37</v>
      </c>
      <c r="AD870" t="s">
        <v>6178</v>
      </c>
      <c r="AE870" t="s">
        <v>6179</v>
      </c>
      <c r="AF870" t="s">
        <v>6178</v>
      </c>
      <c r="AG870" t="s">
        <v>6179</v>
      </c>
      <c r="AH870">
        <v>-2.97</v>
      </c>
      <c r="AI870">
        <v>-3.73</v>
      </c>
      <c r="AJ870">
        <v>16.5</v>
      </c>
      <c r="AK870">
        <v>40.94</v>
      </c>
      <c r="AL870">
        <v>1</v>
      </c>
      <c r="AM870">
        <v>0.51</v>
      </c>
      <c r="AN870">
        <v>39.8</v>
      </c>
      <c r="AO870">
        <v>-9.01</v>
      </c>
      <c r="AP870">
        <v>28.95</v>
      </c>
    </row>
    <row r="871" spans="1:42">
      <c r="A871">
        <v>870</v>
      </c>
      <c r="B871" t="str">
        <f>"600266"</f>
        <v>600266</v>
      </c>
      <c r="C871" t="s">
        <v>6180</v>
      </c>
      <c r="D871">
        <v>5.37</v>
      </c>
      <c r="E871">
        <v>2.29</v>
      </c>
      <c r="F871">
        <v>0.12</v>
      </c>
      <c r="G871" t="s">
        <v>2396</v>
      </c>
      <c r="H871">
        <v>2825</v>
      </c>
      <c r="I871">
        <v>5.36</v>
      </c>
      <c r="J871">
        <v>5.37</v>
      </c>
      <c r="K871" t="s">
        <v>6165</v>
      </c>
      <c r="L871">
        <v>1.89</v>
      </c>
      <c r="M871" t="s">
        <v>46</v>
      </c>
      <c r="N871" t="s">
        <v>6181</v>
      </c>
      <c r="O871">
        <v>5.45</v>
      </c>
      <c r="P871">
        <v>5.25</v>
      </c>
      <c r="Q871">
        <v>5.27</v>
      </c>
      <c r="R871">
        <v>5.25</v>
      </c>
      <c r="S871">
        <v>3.81</v>
      </c>
      <c r="T871">
        <v>0.8</v>
      </c>
      <c r="U871">
        <v>27.5</v>
      </c>
      <c r="V871">
        <v>9686</v>
      </c>
      <c r="W871">
        <v>5.36</v>
      </c>
      <c r="X871" t="s">
        <v>1402</v>
      </c>
      <c r="Y871" t="s">
        <v>2408</v>
      </c>
      <c r="Z871">
        <v>0.75</v>
      </c>
      <c r="AA871">
        <v>1554</v>
      </c>
      <c r="AB871">
        <v>796</v>
      </c>
      <c r="AC871">
        <v>0.59</v>
      </c>
      <c r="AD871" t="s">
        <v>6182</v>
      </c>
      <c r="AE871" t="s">
        <v>6183</v>
      </c>
      <c r="AF871" t="s">
        <v>6182</v>
      </c>
      <c r="AG871" t="s">
        <v>6183</v>
      </c>
      <c r="AH871">
        <v>-8.05</v>
      </c>
      <c r="AI871">
        <v>-15.57</v>
      </c>
      <c r="AJ871">
        <v>8.63</v>
      </c>
      <c r="AK871">
        <v>13.69</v>
      </c>
      <c r="AL871">
        <v>1</v>
      </c>
      <c r="AM871">
        <v>2.29</v>
      </c>
      <c r="AN871">
        <v>18.02</v>
      </c>
      <c r="AO871">
        <v>-9.29</v>
      </c>
      <c r="AP871">
        <v>49.58</v>
      </c>
    </row>
    <row r="872" spans="1:42">
      <c r="A872">
        <v>871</v>
      </c>
      <c r="B872" t="str">
        <f>"600556"</f>
        <v>600556</v>
      </c>
      <c r="C872" t="s">
        <v>6184</v>
      </c>
      <c r="D872">
        <v>6.51</v>
      </c>
      <c r="E872">
        <v>4.16</v>
      </c>
      <c r="F872">
        <v>0.26</v>
      </c>
      <c r="G872" t="s">
        <v>2944</v>
      </c>
      <c r="H872">
        <v>4221</v>
      </c>
      <c r="I872">
        <v>6.51</v>
      </c>
      <c r="J872">
        <v>6.52</v>
      </c>
      <c r="K872" t="s">
        <v>6165</v>
      </c>
      <c r="L872">
        <v>1.97</v>
      </c>
      <c r="M872" t="s">
        <v>46</v>
      </c>
      <c r="N872" t="s">
        <v>6185</v>
      </c>
      <c r="O872">
        <v>6.55</v>
      </c>
      <c r="P872">
        <v>6.22</v>
      </c>
      <c r="Q872">
        <v>6.23</v>
      </c>
      <c r="R872">
        <v>6.25</v>
      </c>
      <c r="S872">
        <v>5.28</v>
      </c>
      <c r="T872">
        <v>1.83</v>
      </c>
      <c r="U872">
        <v>-29.63</v>
      </c>
      <c r="V872">
        <v>-6621</v>
      </c>
      <c r="W872">
        <v>6.44</v>
      </c>
      <c r="X872" t="s">
        <v>1987</v>
      </c>
      <c r="Y872" t="s">
        <v>1959</v>
      </c>
      <c r="Z872">
        <v>0.58</v>
      </c>
      <c r="AA872">
        <v>1328</v>
      </c>
      <c r="AB872">
        <v>2218</v>
      </c>
      <c r="AC872">
        <v>3.05</v>
      </c>
      <c r="AD872" t="s">
        <v>6186</v>
      </c>
      <c r="AE872" t="s">
        <v>6187</v>
      </c>
      <c r="AF872" t="s">
        <v>6186</v>
      </c>
      <c r="AG872" t="s">
        <v>6187</v>
      </c>
      <c r="AH872">
        <v>3.66</v>
      </c>
      <c r="AI872">
        <v>0.77</v>
      </c>
      <c r="AJ872">
        <v>3.61</v>
      </c>
      <c r="AK872">
        <v>7.35</v>
      </c>
      <c r="AL872">
        <v>1</v>
      </c>
      <c r="AM872">
        <v>4.16</v>
      </c>
      <c r="AN872">
        <v>-3.27</v>
      </c>
      <c r="AO872">
        <v>6.37</v>
      </c>
      <c r="AP872">
        <v>-11.31</v>
      </c>
    </row>
    <row r="873" spans="1:42">
      <c r="A873">
        <v>872</v>
      </c>
      <c r="B873" t="str">
        <f>"600460"</f>
        <v>600460</v>
      </c>
      <c r="C873" t="s">
        <v>6188</v>
      </c>
      <c r="D873">
        <v>24.34</v>
      </c>
      <c r="E873">
        <v>0.75</v>
      </c>
      <c r="F873">
        <v>0.18</v>
      </c>
      <c r="G873" t="s">
        <v>6189</v>
      </c>
      <c r="H873">
        <v>638</v>
      </c>
      <c r="I873">
        <v>24.33</v>
      </c>
      <c r="J873">
        <v>24.34</v>
      </c>
      <c r="K873" t="s">
        <v>5256</v>
      </c>
      <c r="L873">
        <v>0.67</v>
      </c>
      <c r="M873" t="s">
        <v>46</v>
      </c>
      <c r="N873" t="s">
        <v>6190</v>
      </c>
      <c r="O873">
        <v>24.42</v>
      </c>
      <c r="P873">
        <v>23.9</v>
      </c>
      <c r="Q873">
        <v>24.16</v>
      </c>
      <c r="R873">
        <v>24.16</v>
      </c>
      <c r="S873">
        <v>2.15</v>
      </c>
      <c r="T873">
        <v>0.76</v>
      </c>
      <c r="U873">
        <v>-19.96</v>
      </c>
      <c r="V873">
        <v>-381</v>
      </c>
      <c r="W873">
        <v>24.12</v>
      </c>
      <c r="X873" t="s">
        <v>320</v>
      </c>
      <c r="Y873" t="s">
        <v>4953</v>
      </c>
      <c r="Z873">
        <v>0.88</v>
      </c>
      <c r="AA873">
        <v>235</v>
      </c>
      <c r="AB873">
        <v>138</v>
      </c>
      <c r="AC873">
        <v>4.84</v>
      </c>
      <c r="AD873" t="s">
        <v>6191</v>
      </c>
      <c r="AE873" t="s">
        <v>6192</v>
      </c>
      <c r="AF873" t="s">
        <v>6191</v>
      </c>
      <c r="AG873" t="s">
        <v>6192</v>
      </c>
      <c r="AH873">
        <v>-0.61</v>
      </c>
      <c r="AI873">
        <v>-2.05</v>
      </c>
      <c r="AJ873">
        <v>2.99</v>
      </c>
      <c r="AK873">
        <v>5.04</v>
      </c>
      <c r="AL873">
        <v>1</v>
      </c>
      <c r="AM873">
        <v>0.75</v>
      </c>
      <c r="AN873">
        <v>-25.54</v>
      </c>
      <c r="AO873">
        <v>-3.34</v>
      </c>
      <c r="AP873">
        <v>-34.61</v>
      </c>
    </row>
    <row r="874" spans="1:42">
      <c r="A874">
        <v>873</v>
      </c>
      <c r="B874" t="str">
        <f>"300602"</f>
        <v>300602</v>
      </c>
      <c r="C874" t="s">
        <v>6193</v>
      </c>
      <c r="D874">
        <v>17.88</v>
      </c>
      <c r="E874">
        <v>3.17</v>
      </c>
      <c r="F874">
        <v>0.55</v>
      </c>
      <c r="G874" t="s">
        <v>1915</v>
      </c>
      <c r="H874">
        <v>1148</v>
      </c>
      <c r="I874">
        <v>17.87</v>
      </c>
      <c r="J874">
        <v>17.88</v>
      </c>
      <c r="K874" t="s">
        <v>5256</v>
      </c>
      <c r="L874">
        <v>3.34</v>
      </c>
      <c r="M874" t="s">
        <v>46</v>
      </c>
      <c r="N874" t="s">
        <v>4508</v>
      </c>
      <c r="O874">
        <v>18.02</v>
      </c>
      <c r="P874">
        <v>17.11</v>
      </c>
      <c r="Q874">
        <v>17.4</v>
      </c>
      <c r="R874">
        <v>17.33</v>
      </c>
      <c r="S874">
        <v>5.25</v>
      </c>
      <c r="T874">
        <v>0.89</v>
      </c>
      <c r="U874">
        <v>1.11</v>
      </c>
      <c r="V874">
        <v>25</v>
      </c>
      <c r="W874">
        <v>17.67</v>
      </c>
      <c r="X874" t="s">
        <v>523</v>
      </c>
      <c r="Y874" t="s">
        <v>5300</v>
      </c>
      <c r="Z874">
        <v>0.86</v>
      </c>
      <c r="AA874">
        <v>32</v>
      </c>
      <c r="AB874">
        <v>1</v>
      </c>
      <c r="AC874">
        <v>2.83</v>
      </c>
      <c r="AD874" t="s">
        <v>6194</v>
      </c>
      <c r="AE874" t="s">
        <v>2729</v>
      </c>
      <c r="AF874" t="s">
        <v>6195</v>
      </c>
      <c r="AG874" t="s">
        <v>6196</v>
      </c>
      <c r="AH874">
        <v>0.45</v>
      </c>
      <c r="AI874">
        <v>-3.4</v>
      </c>
      <c r="AJ874">
        <v>12.44</v>
      </c>
      <c r="AK874">
        <v>22.14</v>
      </c>
      <c r="AL874">
        <v>1</v>
      </c>
      <c r="AM874">
        <v>3.17</v>
      </c>
      <c r="AN874">
        <v>24.25</v>
      </c>
      <c r="AO874">
        <v>-6.63</v>
      </c>
      <c r="AP874">
        <v>14.91</v>
      </c>
    </row>
    <row r="875" spans="1:42">
      <c r="A875">
        <v>874</v>
      </c>
      <c r="B875" t="str">
        <f>"601989"</f>
        <v>601989</v>
      </c>
      <c r="C875" t="s">
        <v>6197</v>
      </c>
      <c r="D875">
        <v>3.98</v>
      </c>
      <c r="E875">
        <v>0</v>
      </c>
      <c r="F875">
        <v>0</v>
      </c>
      <c r="G875" t="s">
        <v>1780</v>
      </c>
      <c r="H875">
        <v>4382</v>
      </c>
      <c r="I875">
        <v>3.97</v>
      </c>
      <c r="J875">
        <v>3.98</v>
      </c>
      <c r="K875" t="s">
        <v>5256</v>
      </c>
      <c r="L875">
        <v>0.26</v>
      </c>
      <c r="M875" t="s">
        <v>46</v>
      </c>
      <c r="N875" t="s">
        <v>2923</v>
      </c>
      <c r="O875">
        <v>4</v>
      </c>
      <c r="P875">
        <v>3.93</v>
      </c>
      <c r="Q875">
        <v>3.97</v>
      </c>
      <c r="R875">
        <v>3.98</v>
      </c>
      <c r="S875">
        <v>1.76</v>
      </c>
      <c r="T875">
        <v>1.07</v>
      </c>
      <c r="U875">
        <v>-0.53</v>
      </c>
      <c r="V875">
        <v>-542</v>
      </c>
      <c r="W875">
        <v>3.96</v>
      </c>
      <c r="X875" t="s">
        <v>595</v>
      </c>
      <c r="Y875" t="s">
        <v>2435</v>
      </c>
      <c r="Z875">
        <v>1.06</v>
      </c>
      <c r="AA875" t="s">
        <v>2807</v>
      </c>
      <c r="AB875">
        <v>3749</v>
      </c>
      <c r="AC875">
        <v>1.09</v>
      </c>
      <c r="AD875" t="s">
        <v>6198</v>
      </c>
      <c r="AE875" t="s">
        <v>6199</v>
      </c>
      <c r="AF875" t="s">
        <v>6200</v>
      </c>
      <c r="AG875" t="s">
        <v>6201</v>
      </c>
      <c r="AH875">
        <v>0.76</v>
      </c>
      <c r="AI875">
        <v>0</v>
      </c>
      <c r="AJ875">
        <v>0.85</v>
      </c>
      <c r="AK875">
        <v>1.48</v>
      </c>
      <c r="AL875">
        <v>0</v>
      </c>
      <c r="AM875">
        <v>0</v>
      </c>
      <c r="AN875">
        <v>14.04</v>
      </c>
      <c r="AO875">
        <v>-1</v>
      </c>
      <c r="AP875">
        <v>9.04</v>
      </c>
    </row>
    <row r="876" spans="1:42">
      <c r="A876">
        <v>875</v>
      </c>
      <c r="B876" t="str">
        <f>"002240"</f>
        <v>002240</v>
      </c>
      <c r="C876" t="s">
        <v>6202</v>
      </c>
      <c r="D876">
        <v>22.12</v>
      </c>
      <c r="E876">
        <v>1.7</v>
      </c>
      <c r="F876">
        <v>0.37</v>
      </c>
      <c r="G876" t="s">
        <v>3402</v>
      </c>
      <c r="H876">
        <v>1204</v>
      </c>
      <c r="I876">
        <v>22.12</v>
      </c>
      <c r="J876">
        <v>22.13</v>
      </c>
      <c r="K876" t="s">
        <v>5256</v>
      </c>
      <c r="L876">
        <v>1.22</v>
      </c>
      <c r="M876" t="s">
        <v>46</v>
      </c>
      <c r="N876" t="s">
        <v>4862</v>
      </c>
      <c r="O876">
        <v>22.44</v>
      </c>
      <c r="P876">
        <v>21.68</v>
      </c>
      <c r="Q876">
        <v>21.8</v>
      </c>
      <c r="R876">
        <v>21.75</v>
      </c>
      <c r="S876">
        <v>3.49</v>
      </c>
      <c r="T876">
        <v>1.11</v>
      </c>
      <c r="U876">
        <v>23.1</v>
      </c>
      <c r="V876">
        <v>505</v>
      </c>
      <c r="W876">
        <v>22.01</v>
      </c>
      <c r="X876" t="s">
        <v>6203</v>
      </c>
      <c r="Y876" t="s">
        <v>2735</v>
      </c>
      <c r="Z876">
        <v>0.87</v>
      </c>
      <c r="AA876">
        <v>512</v>
      </c>
      <c r="AB876">
        <v>103</v>
      </c>
      <c r="AC876">
        <v>1.52</v>
      </c>
      <c r="AD876" t="s">
        <v>5701</v>
      </c>
      <c r="AE876" t="s">
        <v>6204</v>
      </c>
      <c r="AF876" t="s">
        <v>6205</v>
      </c>
      <c r="AG876" t="s">
        <v>6206</v>
      </c>
      <c r="AH876">
        <v>-0.41</v>
      </c>
      <c r="AI876">
        <v>-0.76</v>
      </c>
      <c r="AJ876">
        <v>2.79</v>
      </c>
      <c r="AK876">
        <v>6.69</v>
      </c>
      <c r="AL876">
        <v>1</v>
      </c>
      <c r="AM876">
        <v>1.7</v>
      </c>
      <c r="AN876">
        <v>-39.96</v>
      </c>
      <c r="AO876">
        <v>-3.7</v>
      </c>
      <c r="AP876">
        <v>-48.46</v>
      </c>
    </row>
    <row r="877" spans="1:42">
      <c r="A877">
        <v>876</v>
      </c>
      <c r="B877" t="str">
        <f>"600166"</f>
        <v>600166</v>
      </c>
      <c r="C877" t="s">
        <v>6207</v>
      </c>
      <c r="D877">
        <v>3.05</v>
      </c>
      <c r="E877">
        <v>0</v>
      </c>
      <c r="F877">
        <v>0</v>
      </c>
      <c r="G877" t="s">
        <v>6208</v>
      </c>
      <c r="H877">
        <v>7268</v>
      </c>
      <c r="I877">
        <v>3.05</v>
      </c>
      <c r="J877">
        <v>3.06</v>
      </c>
      <c r="K877" t="s">
        <v>5256</v>
      </c>
      <c r="L877">
        <v>1.14</v>
      </c>
      <c r="M877" t="s">
        <v>46</v>
      </c>
      <c r="N877" t="s">
        <v>6209</v>
      </c>
      <c r="O877">
        <v>3.06</v>
      </c>
      <c r="P877">
        <v>3.01</v>
      </c>
      <c r="Q877">
        <v>3.05</v>
      </c>
      <c r="R877">
        <v>3.05</v>
      </c>
      <c r="S877">
        <v>1.64</v>
      </c>
      <c r="T877">
        <v>0.75</v>
      </c>
      <c r="U877">
        <v>39.27</v>
      </c>
      <c r="V877" t="s">
        <v>6210</v>
      </c>
      <c r="W877">
        <v>3.04</v>
      </c>
      <c r="X877" t="s">
        <v>412</v>
      </c>
      <c r="Y877" t="s">
        <v>6211</v>
      </c>
      <c r="Z877">
        <v>1.2</v>
      </c>
      <c r="AA877" t="s">
        <v>1177</v>
      </c>
      <c r="AB877" t="s">
        <v>6212</v>
      </c>
      <c r="AC877">
        <v>1.73</v>
      </c>
      <c r="AD877" t="s">
        <v>6213</v>
      </c>
      <c r="AE877" t="s">
        <v>6214</v>
      </c>
      <c r="AF877" t="s">
        <v>6215</v>
      </c>
      <c r="AG877" t="s">
        <v>6216</v>
      </c>
      <c r="AH877">
        <v>-4.09</v>
      </c>
      <c r="AI877">
        <v>-2.87</v>
      </c>
      <c r="AJ877">
        <v>4.13</v>
      </c>
      <c r="AK877">
        <v>8.77</v>
      </c>
      <c r="AL877">
        <v>0</v>
      </c>
      <c r="AM877">
        <v>0</v>
      </c>
      <c r="AN877">
        <v>8.54</v>
      </c>
      <c r="AO877">
        <v>1.33</v>
      </c>
      <c r="AP877">
        <v>15.09</v>
      </c>
    </row>
    <row r="878" spans="1:42">
      <c r="A878">
        <v>877</v>
      </c>
      <c r="B878" t="str">
        <f>"600958"</f>
        <v>600958</v>
      </c>
      <c r="C878" t="s">
        <v>6217</v>
      </c>
      <c r="D878">
        <v>8.81</v>
      </c>
      <c r="E878">
        <v>1.15</v>
      </c>
      <c r="F878">
        <v>0.1</v>
      </c>
      <c r="G878" t="s">
        <v>1420</v>
      </c>
      <c r="H878">
        <v>2167</v>
      </c>
      <c r="I878">
        <v>8.81</v>
      </c>
      <c r="J878">
        <v>8.82</v>
      </c>
      <c r="K878" t="s">
        <v>6218</v>
      </c>
      <c r="L878">
        <v>0.35</v>
      </c>
      <c r="M878" t="s">
        <v>46</v>
      </c>
      <c r="N878" t="s">
        <v>4969</v>
      </c>
      <c r="O878">
        <v>8.82</v>
      </c>
      <c r="P878">
        <v>8.7</v>
      </c>
      <c r="Q878">
        <v>8.72</v>
      </c>
      <c r="R878">
        <v>8.71</v>
      </c>
      <c r="S878">
        <v>1.38</v>
      </c>
      <c r="T878">
        <v>0.92</v>
      </c>
      <c r="U878">
        <v>-45.8</v>
      </c>
      <c r="V878" t="s">
        <v>6219</v>
      </c>
      <c r="W878">
        <v>8.76</v>
      </c>
      <c r="X878" t="s">
        <v>1949</v>
      </c>
      <c r="Y878" t="s">
        <v>1377</v>
      </c>
      <c r="Z878">
        <v>0.72</v>
      </c>
      <c r="AA878">
        <v>1061</v>
      </c>
      <c r="AB878">
        <v>4596</v>
      </c>
      <c r="AC878">
        <v>1.02</v>
      </c>
      <c r="AD878" t="s">
        <v>6220</v>
      </c>
      <c r="AE878" t="s">
        <v>6221</v>
      </c>
      <c r="AF878" t="s">
        <v>6222</v>
      </c>
      <c r="AG878" t="s">
        <v>6223</v>
      </c>
      <c r="AH878">
        <v>0</v>
      </c>
      <c r="AI878">
        <v>-1.67</v>
      </c>
      <c r="AJ878">
        <v>1.11</v>
      </c>
      <c r="AK878">
        <v>2.23</v>
      </c>
      <c r="AL878">
        <v>1</v>
      </c>
      <c r="AM878">
        <v>1.15</v>
      </c>
      <c r="AN878">
        <v>0.23</v>
      </c>
      <c r="AO878">
        <v>-1.56</v>
      </c>
      <c r="AP878">
        <v>3.4</v>
      </c>
    </row>
    <row r="879" spans="1:42">
      <c r="A879">
        <v>878</v>
      </c>
      <c r="B879" t="str">
        <f>"600449"</f>
        <v>600449</v>
      </c>
      <c r="C879" t="s">
        <v>6224</v>
      </c>
      <c r="D879">
        <v>21.07</v>
      </c>
      <c r="E879">
        <v>1.64</v>
      </c>
      <c r="F879">
        <v>0.34</v>
      </c>
      <c r="G879" t="s">
        <v>1949</v>
      </c>
      <c r="H879">
        <v>2130</v>
      </c>
      <c r="I879">
        <v>21.06</v>
      </c>
      <c r="J879">
        <v>21.07</v>
      </c>
      <c r="K879" t="s">
        <v>6218</v>
      </c>
      <c r="L879">
        <v>2.28</v>
      </c>
      <c r="M879" t="s">
        <v>46</v>
      </c>
      <c r="N879" t="s">
        <v>6225</v>
      </c>
      <c r="O879">
        <v>21.15</v>
      </c>
      <c r="P879">
        <v>20.4</v>
      </c>
      <c r="Q879">
        <v>20.73</v>
      </c>
      <c r="R879">
        <v>20.73</v>
      </c>
      <c r="S879">
        <v>3.62</v>
      </c>
      <c r="T879">
        <v>1.07</v>
      </c>
      <c r="U879">
        <v>-20.79</v>
      </c>
      <c r="V879">
        <v>-783</v>
      </c>
      <c r="W879">
        <v>20.87</v>
      </c>
      <c r="X879" t="s">
        <v>4035</v>
      </c>
      <c r="Y879" t="s">
        <v>6226</v>
      </c>
      <c r="Z879">
        <v>0.85</v>
      </c>
      <c r="AA879">
        <v>323</v>
      </c>
      <c r="AB879">
        <v>100</v>
      </c>
      <c r="AC879">
        <v>1.41</v>
      </c>
      <c r="AD879" t="s">
        <v>6227</v>
      </c>
      <c r="AE879" t="s">
        <v>6228</v>
      </c>
      <c r="AF879" t="s">
        <v>6227</v>
      </c>
      <c r="AG879" t="s">
        <v>6228</v>
      </c>
      <c r="AH879">
        <v>1.35</v>
      </c>
      <c r="AI879">
        <v>2.03</v>
      </c>
      <c r="AJ879">
        <v>7.11</v>
      </c>
      <c r="AK879">
        <v>12.91</v>
      </c>
      <c r="AL879">
        <v>2</v>
      </c>
      <c r="AM879">
        <v>1.64</v>
      </c>
      <c r="AN879">
        <v>83.54</v>
      </c>
      <c r="AO879">
        <v>17.45</v>
      </c>
      <c r="AP879">
        <v>73.99</v>
      </c>
    </row>
    <row r="880" spans="1:42">
      <c r="A880">
        <v>879</v>
      </c>
      <c r="B880" t="str">
        <f>"603569"</f>
        <v>603569</v>
      </c>
      <c r="C880" t="s">
        <v>6229</v>
      </c>
      <c r="D880">
        <v>15.12</v>
      </c>
      <c r="E880">
        <v>-1.24</v>
      </c>
      <c r="F880">
        <v>-0.19</v>
      </c>
      <c r="G880" t="s">
        <v>959</v>
      </c>
      <c r="H880">
        <v>2199</v>
      </c>
      <c r="I880">
        <v>15.11</v>
      </c>
      <c r="J880">
        <v>15.12</v>
      </c>
      <c r="K880" t="s">
        <v>6218</v>
      </c>
      <c r="L880">
        <v>2.52</v>
      </c>
      <c r="M880" t="s">
        <v>46</v>
      </c>
      <c r="N880" t="s">
        <v>6230</v>
      </c>
      <c r="O880">
        <v>15.44</v>
      </c>
      <c r="P880">
        <v>15</v>
      </c>
      <c r="Q880">
        <v>15.27</v>
      </c>
      <c r="R880">
        <v>15.31</v>
      </c>
      <c r="S880">
        <v>2.87</v>
      </c>
      <c r="T880">
        <v>0.51</v>
      </c>
      <c r="U880">
        <v>-6.46</v>
      </c>
      <c r="V880">
        <v>-97</v>
      </c>
      <c r="W880">
        <v>15.16</v>
      </c>
      <c r="X880" t="s">
        <v>6231</v>
      </c>
      <c r="Y880" t="s">
        <v>2675</v>
      </c>
      <c r="Z880">
        <v>1.1</v>
      </c>
      <c r="AA880">
        <v>158</v>
      </c>
      <c r="AB880">
        <v>80</v>
      </c>
      <c r="AC880">
        <v>3.45</v>
      </c>
      <c r="AD880" t="s">
        <v>6232</v>
      </c>
      <c r="AE880" t="s">
        <v>6233</v>
      </c>
      <c r="AF880" t="s">
        <v>6232</v>
      </c>
      <c r="AG880" t="s">
        <v>6233</v>
      </c>
      <c r="AH880">
        <v>-4.18</v>
      </c>
      <c r="AI880">
        <v>4.2</v>
      </c>
      <c r="AJ880">
        <v>8.92</v>
      </c>
      <c r="AK880">
        <v>27.25</v>
      </c>
      <c r="AL880">
        <v>-3</v>
      </c>
      <c r="AM880">
        <v>-1.24</v>
      </c>
      <c r="AN880">
        <v>72.01</v>
      </c>
      <c r="AO880">
        <v>20.48</v>
      </c>
      <c r="AP880">
        <v>61.19</v>
      </c>
    </row>
    <row r="881" spans="1:42">
      <c r="A881">
        <v>880</v>
      </c>
      <c r="B881" t="str">
        <f>"688772"</f>
        <v>688772</v>
      </c>
      <c r="C881" t="s">
        <v>6234</v>
      </c>
      <c r="D881">
        <v>21.25</v>
      </c>
      <c r="E881">
        <v>0.33</v>
      </c>
      <c r="F881">
        <v>0.07</v>
      </c>
      <c r="G881" t="s">
        <v>1128</v>
      </c>
      <c r="H881">
        <v>406</v>
      </c>
      <c r="I881">
        <v>21.25</v>
      </c>
      <c r="J881">
        <v>21.26</v>
      </c>
      <c r="K881" t="s">
        <v>6235</v>
      </c>
      <c r="L881">
        <v>1.39</v>
      </c>
      <c r="M881" t="s">
        <v>46</v>
      </c>
      <c r="N881" t="s">
        <v>6236</v>
      </c>
      <c r="O881">
        <v>21.75</v>
      </c>
      <c r="P881">
        <v>20.92</v>
      </c>
      <c r="Q881">
        <v>21.1</v>
      </c>
      <c r="R881">
        <v>21.18</v>
      </c>
      <c r="S881">
        <v>3.92</v>
      </c>
      <c r="T881">
        <v>0.82</v>
      </c>
      <c r="U881">
        <v>-31.95</v>
      </c>
      <c r="V881">
        <v>-310</v>
      </c>
      <c r="W881">
        <v>21.33</v>
      </c>
      <c r="X881" t="s">
        <v>1988</v>
      </c>
      <c r="Y881" t="s">
        <v>6237</v>
      </c>
      <c r="Z881">
        <v>0.98</v>
      </c>
      <c r="AA881">
        <v>9</v>
      </c>
      <c r="AB881">
        <v>113</v>
      </c>
      <c r="AC881">
        <v>3.55</v>
      </c>
      <c r="AD881" t="s">
        <v>957</v>
      </c>
      <c r="AE881" t="s">
        <v>6238</v>
      </c>
      <c r="AF881" t="s">
        <v>6239</v>
      </c>
      <c r="AG881" t="s">
        <v>6240</v>
      </c>
      <c r="AH881">
        <v>-0.23</v>
      </c>
      <c r="AI881">
        <v>2.31</v>
      </c>
      <c r="AJ881">
        <v>4.1</v>
      </c>
      <c r="AK881">
        <v>9.83</v>
      </c>
      <c r="AL881">
        <v>2</v>
      </c>
      <c r="AM881">
        <v>0.33</v>
      </c>
      <c r="AN881">
        <v>14.56</v>
      </c>
      <c r="AO881">
        <v>2.96</v>
      </c>
      <c r="AP881">
        <v>-3.14</v>
      </c>
    </row>
    <row r="882" spans="1:42">
      <c r="A882">
        <v>881</v>
      </c>
      <c r="B882" t="str">
        <f>"300180"</f>
        <v>300180</v>
      </c>
      <c r="C882" t="s">
        <v>6241</v>
      </c>
      <c r="D882">
        <v>4.86</v>
      </c>
      <c r="E882">
        <v>2.1</v>
      </c>
      <c r="F882">
        <v>0.1</v>
      </c>
      <c r="G882" t="s">
        <v>1121</v>
      </c>
      <c r="H882">
        <v>6759</v>
      </c>
      <c r="I882">
        <v>4.85</v>
      </c>
      <c r="J882">
        <v>4.86</v>
      </c>
      <c r="K882" t="s">
        <v>6235</v>
      </c>
      <c r="L882">
        <v>3.18</v>
      </c>
      <c r="M882" t="s">
        <v>46</v>
      </c>
      <c r="N882" t="s">
        <v>3096</v>
      </c>
      <c r="O882">
        <v>4.88</v>
      </c>
      <c r="P882">
        <v>4.74</v>
      </c>
      <c r="Q882">
        <v>4.79</v>
      </c>
      <c r="R882">
        <v>4.76</v>
      </c>
      <c r="S882">
        <v>2.94</v>
      </c>
      <c r="T882">
        <v>0.7</v>
      </c>
      <c r="U882">
        <v>-39.12</v>
      </c>
      <c r="V882" t="s">
        <v>6242</v>
      </c>
      <c r="W882">
        <v>4.83</v>
      </c>
      <c r="X882" t="s">
        <v>1125</v>
      </c>
      <c r="Y882" t="s">
        <v>272</v>
      </c>
      <c r="Z882">
        <v>0.82</v>
      </c>
      <c r="AA882">
        <v>3273</v>
      </c>
      <c r="AB882">
        <v>900</v>
      </c>
      <c r="AC882">
        <v>1.81</v>
      </c>
      <c r="AD882" t="s">
        <v>6243</v>
      </c>
      <c r="AE882" t="s">
        <v>6244</v>
      </c>
      <c r="AF882" t="s">
        <v>833</v>
      </c>
      <c r="AG882" t="s">
        <v>6245</v>
      </c>
      <c r="AH882">
        <v>-1.22</v>
      </c>
      <c r="AI882">
        <v>-4.52</v>
      </c>
      <c r="AJ882">
        <v>11.01</v>
      </c>
      <c r="AK882">
        <v>25.81</v>
      </c>
      <c r="AL882">
        <v>1</v>
      </c>
      <c r="AM882">
        <v>2.1</v>
      </c>
      <c r="AN882">
        <v>25.91</v>
      </c>
      <c r="AO882">
        <v>-1.42</v>
      </c>
      <c r="AP882">
        <v>17.68</v>
      </c>
    </row>
    <row r="883" spans="1:42">
      <c r="A883">
        <v>882</v>
      </c>
      <c r="B883" t="str">
        <f>"300576"</f>
        <v>300576</v>
      </c>
      <c r="C883" t="s">
        <v>6246</v>
      </c>
      <c r="D883">
        <v>42.92</v>
      </c>
      <c r="E883">
        <v>1.71</v>
      </c>
      <c r="F883">
        <v>0.72</v>
      </c>
      <c r="G883" t="s">
        <v>372</v>
      </c>
      <c r="H883">
        <v>1172</v>
      </c>
      <c r="I883">
        <v>42.92</v>
      </c>
      <c r="J883">
        <v>42.93</v>
      </c>
      <c r="K883" t="s">
        <v>6235</v>
      </c>
      <c r="L883">
        <v>3.76</v>
      </c>
      <c r="M883" t="s">
        <v>46</v>
      </c>
      <c r="N883" t="s">
        <v>2451</v>
      </c>
      <c r="O883">
        <v>42.95</v>
      </c>
      <c r="P883">
        <v>41.9</v>
      </c>
      <c r="Q883">
        <v>42.38</v>
      </c>
      <c r="R883">
        <v>42.2</v>
      </c>
      <c r="S883">
        <v>2.49</v>
      </c>
      <c r="T883">
        <v>0.75</v>
      </c>
      <c r="U883">
        <v>-25.06</v>
      </c>
      <c r="V883">
        <v>-251</v>
      </c>
      <c r="W883">
        <v>42.46</v>
      </c>
      <c r="X883" t="s">
        <v>299</v>
      </c>
      <c r="Y883" t="s">
        <v>6247</v>
      </c>
      <c r="Z883">
        <v>0.82</v>
      </c>
      <c r="AA883">
        <v>183</v>
      </c>
      <c r="AB883">
        <v>233</v>
      </c>
      <c r="AC883">
        <v>8.54</v>
      </c>
      <c r="AD883" t="s">
        <v>1910</v>
      </c>
      <c r="AE883" t="s">
        <v>6248</v>
      </c>
      <c r="AF883" t="s">
        <v>3762</v>
      </c>
      <c r="AG883" t="s">
        <v>6249</v>
      </c>
      <c r="AH883">
        <v>-2.41</v>
      </c>
      <c r="AI883">
        <v>-2.39</v>
      </c>
      <c r="AJ883">
        <v>14.44</v>
      </c>
      <c r="AK883">
        <v>28.82</v>
      </c>
      <c r="AL883">
        <v>1</v>
      </c>
      <c r="AM883">
        <v>1.71</v>
      </c>
      <c r="AN883">
        <v>129.15</v>
      </c>
      <c r="AO883">
        <v>-5.52</v>
      </c>
      <c r="AP883">
        <v>101.5</v>
      </c>
    </row>
    <row r="884" spans="1:42">
      <c r="A884">
        <v>883</v>
      </c>
      <c r="B884" t="str">
        <f>"002765"</f>
        <v>002765</v>
      </c>
      <c r="C884" t="s">
        <v>6250</v>
      </c>
      <c r="D884">
        <v>7.39</v>
      </c>
      <c r="E884">
        <v>-1.99</v>
      </c>
      <c r="F884">
        <v>-0.15</v>
      </c>
      <c r="G884" t="s">
        <v>2884</v>
      </c>
      <c r="H884">
        <v>2897</v>
      </c>
      <c r="I884">
        <v>7.39</v>
      </c>
      <c r="J884">
        <v>7.4</v>
      </c>
      <c r="K884" t="s">
        <v>6235</v>
      </c>
      <c r="L884">
        <v>6.54</v>
      </c>
      <c r="M884" t="s">
        <v>46</v>
      </c>
      <c r="N884" t="s">
        <v>5403</v>
      </c>
      <c r="O884">
        <v>7.57</v>
      </c>
      <c r="P884">
        <v>7.29</v>
      </c>
      <c r="Q884">
        <v>7.46</v>
      </c>
      <c r="R884">
        <v>7.54</v>
      </c>
      <c r="S884">
        <v>3.71</v>
      </c>
      <c r="T884">
        <v>0.72</v>
      </c>
      <c r="U884">
        <v>10.5</v>
      </c>
      <c r="V884">
        <v>1109</v>
      </c>
      <c r="W884">
        <v>7.37</v>
      </c>
      <c r="X884" t="s">
        <v>2382</v>
      </c>
      <c r="Y884" t="s">
        <v>1807</v>
      </c>
      <c r="Z884">
        <v>1.63</v>
      </c>
      <c r="AA884">
        <v>1001</v>
      </c>
      <c r="AB884">
        <v>2412</v>
      </c>
      <c r="AC884">
        <v>1.72</v>
      </c>
      <c r="AD884" t="s">
        <v>6251</v>
      </c>
      <c r="AE884" t="s">
        <v>6252</v>
      </c>
      <c r="AF884" t="s">
        <v>3027</v>
      </c>
      <c r="AG884" t="s">
        <v>6253</v>
      </c>
      <c r="AH884">
        <v>-3.78</v>
      </c>
      <c r="AI884">
        <v>-2.64</v>
      </c>
      <c r="AJ884">
        <v>24.73</v>
      </c>
      <c r="AK884">
        <v>52.12</v>
      </c>
      <c r="AL884">
        <v>-3</v>
      </c>
      <c r="AM884">
        <v>-1.99</v>
      </c>
      <c r="AN884">
        <v>-17.34</v>
      </c>
      <c r="AO884">
        <v>-2.25</v>
      </c>
      <c r="AP884">
        <v>-29.01</v>
      </c>
    </row>
    <row r="885" spans="1:42">
      <c r="A885">
        <v>884</v>
      </c>
      <c r="B885" t="str">
        <f>"603258"</f>
        <v>603258</v>
      </c>
      <c r="C885" t="s">
        <v>6254</v>
      </c>
      <c r="D885">
        <v>26.08</v>
      </c>
      <c r="E885">
        <v>6.93</v>
      </c>
      <c r="F885">
        <v>1.69</v>
      </c>
      <c r="G885" t="s">
        <v>6255</v>
      </c>
      <c r="H885">
        <v>1017</v>
      </c>
      <c r="I885">
        <v>26.08</v>
      </c>
      <c r="J885">
        <v>26.09</v>
      </c>
      <c r="K885" t="s">
        <v>2159</v>
      </c>
      <c r="L885">
        <v>3.61</v>
      </c>
      <c r="M885" t="s">
        <v>46</v>
      </c>
      <c r="N885" t="s">
        <v>2733</v>
      </c>
      <c r="O885">
        <v>26.25</v>
      </c>
      <c r="P885">
        <v>24.43</v>
      </c>
      <c r="Q885">
        <v>24.43</v>
      </c>
      <c r="R885">
        <v>24.39</v>
      </c>
      <c r="S885">
        <v>7.46</v>
      </c>
      <c r="T885">
        <v>2.62</v>
      </c>
      <c r="U885">
        <v>-62.05</v>
      </c>
      <c r="V885">
        <v>-873</v>
      </c>
      <c r="W885">
        <v>25.54</v>
      </c>
      <c r="X885" t="s">
        <v>6256</v>
      </c>
      <c r="Y885" t="s">
        <v>6257</v>
      </c>
      <c r="Z885">
        <v>0.87</v>
      </c>
      <c r="AA885">
        <v>4</v>
      </c>
      <c r="AB885">
        <v>512</v>
      </c>
      <c r="AC885">
        <v>2.73</v>
      </c>
      <c r="AD885" t="s">
        <v>6258</v>
      </c>
      <c r="AE885" t="s">
        <v>6259</v>
      </c>
      <c r="AF885" t="s">
        <v>6258</v>
      </c>
      <c r="AG885" t="s">
        <v>6259</v>
      </c>
      <c r="AH885">
        <v>3.62</v>
      </c>
      <c r="AI885">
        <v>0.54</v>
      </c>
      <c r="AJ885">
        <v>5.71</v>
      </c>
      <c r="AK885">
        <v>10.5</v>
      </c>
      <c r="AL885">
        <v>1</v>
      </c>
      <c r="AM885">
        <v>6.93</v>
      </c>
      <c r="AN885">
        <v>23.9</v>
      </c>
      <c r="AO885">
        <v>3.78</v>
      </c>
      <c r="AP885">
        <v>27.66</v>
      </c>
    </row>
    <row r="886" spans="1:42">
      <c r="A886">
        <v>885</v>
      </c>
      <c r="B886" t="str">
        <f>"300003"</f>
        <v>300003</v>
      </c>
      <c r="C886" t="s">
        <v>6260</v>
      </c>
      <c r="D886">
        <v>17.03</v>
      </c>
      <c r="E886">
        <v>-0.82</v>
      </c>
      <c r="F886">
        <v>-0.14</v>
      </c>
      <c r="G886" t="s">
        <v>1759</v>
      </c>
      <c r="H886">
        <v>2118</v>
      </c>
      <c r="I886">
        <v>17.03</v>
      </c>
      <c r="J886">
        <v>17.04</v>
      </c>
      <c r="K886" t="s">
        <v>2159</v>
      </c>
      <c r="L886">
        <v>0.82</v>
      </c>
      <c r="M886" t="s">
        <v>46</v>
      </c>
      <c r="N886" t="s">
        <v>6261</v>
      </c>
      <c r="O886">
        <v>17.16</v>
      </c>
      <c r="P886">
        <v>16.86</v>
      </c>
      <c r="Q886">
        <v>17.13</v>
      </c>
      <c r="R886">
        <v>17.17</v>
      </c>
      <c r="S886">
        <v>1.75</v>
      </c>
      <c r="T886">
        <v>0.84</v>
      </c>
      <c r="U886">
        <v>3.62</v>
      </c>
      <c r="V886">
        <v>142</v>
      </c>
      <c r="W886">
        <v>16.96</v>
      </c>
      <c r="X886" t="s">
        <v>4740</v>
      </c>
      <c r="Y886" t="s">
        <v>5064</v>
      </c>
      <c r="Z886">
        <v>1.37</v>
      </c>
      <c r="AA886">
        <v>177</v>
      </c>
      <c r="AB886">
        <v>379</v>
      </c>
      <c r="AC886">
        <v>2.01</v>
      </c>
      <c r="AD886" t="s">
        <v>6262</v>
      </c>
      <c r="AE886" t="s">
        <v>6263</v>
      </c>
      <c r="AF886" t="s">
        <v>6115</v>
      </c>
      <c r="AG886" t="s">
        <v>6264</v>
      </c>
      <c r="AH886">
        <v>-2.18</v>
      </c>
      <c r="AI886">
        <v>-0.53</v>
      </c>
      <c r="AJ886">
        <v>2.59</v>
      </c>
      <c r="AK886">
        <v>5.75</v>
      </c>
      <c r="AL886">
        <v>-1</v>
      </c>
      <c r="AM886">
        <v>-0.82</v>
      </c>
      <c r="AN886">
        <v>-24.75</v>
      </c>
      <c r="AO886">
        <v>-0.58</v>
      </c>
      <c r="AP886">
        <v>-24.45</v>
      </c>
    </row>
    <row r="887" spans="1:42">
      <c r="A887">
        <v>886</v>
      </c>
      <c r="B887" t="str">
        <f>"603392"</f>
        <v>603392</v>
      </c>
      <c r="C887" t="s">
        <v>6265</v>
      </c>
      <c r="D887">
        <v>49.35</v>
      </c>
      <c r="E887">
        <v>1.09</v>
      </c>
      <c r="F887">
        <v>0.53</v>
      </c>
      <c r="G887" t="s">
        <v>4559</v>
      </c>
      <c r="H887">
        <v>566</v>
      </c>
      <c r="I887">
        <v>49.35</v>
      </c>
      <c r="J887">
        <v>49.36</v>
      </c>
      <c r="K887" t="s">
        <v>2159</v>
      </c>
      <c r="L887">
        <v>0.37</v>
      </c>
      <c r="M887" t="s">
        <v>46</v>
      </c>
      <c r="N887" t="s">
        <v>3117</v>
      </c>
      <c r="O887">
        <v>49.47</v>
      </c>
      <c r="P887">
        <v>48.16</v>
      </c>
      <c r="Q887">
        <v>49</v>
      </c>
      <c r="R887">
        <v>48.82</v>
      </c>
      <c r="S887">
        <v>2.68</v>
      </c>
      <c r="T887">
        <v>1</v>
      </c>
      <c r="U887">
        <v>-22.01</v>
      </c>
      <c r="V887">
        <v>-107</v>
      </c>
      <c r="W887">
        <v>48.75</v>
      </c>
      <c r="X887" t="s">
        <v>6266</v>
      </c>
      <c r="Y887" t="s">
        <v>6266</v>
      </c>
      <c r="Z887">
        <v>1</v>
      </c>
      <c r="AA887">
        <v>47</v>
      </c>
      <c r="AB887">
        <v>116</v>
      </c>
      <c r="AC887">
        <v>4.7</v>
      </c>
      <c r="AD887" t="s">
        <v>794</v>
      </c>
      <c r="AE887" t="s">
        <v>6267</v>
      </c>
      <c r="AF887" t="s">
        <v>6268</v>
      </c>
      <c r="AG887" t="s">
        <v>6269</v>
      </c>
      <c r="AH887">
        <v>3.22</v>
      </c>
      <c r="AI887">
        <v>1.13</v>
      </c>
      <c r="AJ887">
        <v>1.17</v>
      </c>
      <c r="AK887">
        <v>2.2</v>
      </c>
      <c r="AL887">
        <v>2</v>
      </c>
      <c r="AM887">
        <v>1.09</v>
      </c>
      <c r="AN887">
        <v>-45.04</v>
      </c>
      <c r="AO887">
        <v>9.79</v>
      </c>
      <c r="AP887">
        <v>-54.48</v>
      </c>
    </row>
    <row r="888" spans="1:42">
      <c r="A888">
        <v>887</v>
      </c>
      <c r="B888" t="str">
        <f>"003015"</f>
        <v>003015</v>
      </c>
      <c r="C888" t="s">
        <v>6270</v>
      </c>
      <c r="D888">
        <v>11.5</v>
      </c>
      <c r="E888">
        <v>-1.63</v>
      </c>
      <c r="F888">
        <v>-0.19</v>
      </c>
      <c r="G888" t="s">
        <v>1509</v>
      </c>
      <c r="H888">
        <v>3745</v>
      </c>
      <c r="I888">
        <v>11.5</v>
      </c>
      <c r="J888">
        <v>11.51</v>
      </c>
      <c r="K888" t="s">
        <v>2159</v>
      </c>
      <c r="L888">
        <v>7.98</v>
      </c>
      <c r="M888" t="s">
        <v>46</v>
      </c>
      <c r="N888" t="s">
        <v>4102</v>
      </c>
      <c r="O888">
        <v>11.72</v>
      </c>
      <c r="P888">
        <v>11.35</v>
      </c>
      <c r="Q888">
        <v>11.47</v>
      </c>
      <c r="R888">
        <v>11.69</v>
      </c>
      <c r="S888">
        <v>3.17</v>
      </c>
      <c r="T888">
        <v>1.13</v>
      </c>
      <c r="U888">
        <v>-72.27</v>
      </c>
      <c r="V888">
        <v>-3295</v>
      </c>
      <c r="W888">
        <v>11.47</v>
      </c>
      <c r="X888" t="s">
        <v>1937</v>
      </c>
      <c r="Y888" t="s">
        <v>6271</v>
      </c>
      <c r="Z888">
        <v>1.56</v>
      </c>
      <c r="AA888">
        <v>182</v>
      </c>
      <c r="AB888">
        <v>448</v>
      </c>
      <c r="AC888">
        <v>3.23</v>
      </c>
      <c r="AD888" t="s">
        <v>6272</v>
      </c>
      <c r="AE888" t="s">
        <v>6273</v>
      </c>
      <c r="AF888" t="s">
        <v>6274</v>
      </c>
      <c r="AG888" t="s">
        <v>6275</v>
      </c>
      <c r="AH888">
        <v>1.5</v>
      </c>
      <c r="AI888">
        <v>-1.03</v>
      </c>
      <c r="AJ888">
        <v>26.19</v>
      </c>
      <c r="AK888">
        <v>43.23</v>
      </c>
      <c r="AL888">
        <v>-1</v>
      </c>
      <c r="AM888">
        <v>-1.63</v>
      </c>
      <c r="AN888">
        <v>37.07</v>
      </c>
      <c r="AO888">
        <v>8.39</v>
      </c>
      <c r="AP888">
        <v>25.96</v>
      </c>
    </row>
    <row r="889" spans="1:42">
      <c r="A889">
        <v>888</v>
      </c>
      <c r="B889" t="str">
        <f>"603029"</f>
        <v>603029</v>
      </c>
      <c r="C889" t="s">
        <v>6276</v>
      </c>
      <c r="D889">
        <v>21.41</v>
      </c>
      <c r="E889">
        <v>0.42</v>
      </c>
      <c r="F889">
        <v>0.09</v>
      </c>
      <c r="G889" t="s">
        <v>740</v>
      </c>
      <c r="H889">
        <v>2228</v>
      </c>
      <c r="I889">
        <v>21.41</v>
      </c>
      <c r="J889">
        <v>21.42</v>
      </c>
      <c r="K889" t="s">
        <v>2159</v>
      </c>
      <c r="L889">
        <v>8.54</v>
      </c>
      <c r="M889" t="s">
        <v>46</v>
      </c>
      <c r="N889" t="s">
        <v>6277</v>
      </c>
      <c r="O889">
        <v>22.6</v>
      </c>
      <c r="P889">
        <v>21.07</v>
      </c>
      <c r="Q889">
        <v>21.44</v>
      </c>
      <c r="R889">
        <v>21.32</v>
      </c>
      <c r="S889">
        <v>7.18</v>
      </c>
      <c r="T889">
        <v>0.7</v>
      </c>
      <c r="U889">
        <v>-15.99</v>
      </c>
      <c r="V889">
        <v>-204</v>
      </c>
      <c r="W889">
        <v>21.72</v>
      </c>
      <c r="X889" t="s">
        <v>2405</v>
      </c>
      <c r="Y889" t="s">
        <v>3357</v>
      </c>
      <c r="Z889">
        <v>1.14</v>
      </c>
      <c r="AA889">
        <v>139</v>
      </c>
      <c r="AB889">
        <v>120</v>
      </c>
      <c r="AC889">
        <v>3.16</v>
      </c>
      <c r="AD889" t="s">
        <v>6278</v>
      </c>
      <c r="AE889" t="s">
        <v>6279</v>
      </c>
      <c r="AF889" t="s">
        <v>6278</v>
      </c>
      <c r="AG889" t="s">
        <v>6279</v>
      </c>
      <c r="AH889">
        <v>-5.31</v>
      </c>
      <c r="AI889">
        <v>-5.93</v>
      </c>
      <c r="AJ889">
        <v>26.4</v>
      </c>
      <c r="AK889">
        <v>69.46</v>
      </c>
      <c r="AL889">
        <v>1</v>
      </c>
      <c r="AM889">
        <v>0.42</v>
      </c>
      <c r="AN889">
        <v>-26.7</v>
      </c>
      <c r="AO889">
        <v>9.23</v>
      </c>
      <c r="AP889">
        <v>-27.96</v>
      </c>
    </row>
    <row r="890" spans="1:42">
      <c r="A890">
        <v>889</v>
      </c>
      <c r="B890" t="str">
        <f>"300295"</f>
        <v>300295</v>
      </c>
      <c r="C890" t="s">
        <v>6280</v>
      </c>
      <c r="D890">
        <v>14.03</v>
      </c>
      <c r="E890">
        <v>3.09</v>
      </c>
      <c r="F890">
        <v>0.42</v>
      </c>
      <c r="G890" t="s">
        <v>665</v>
      </c>
      <c r="H890">
        <v>1942</v>
      </c>
      <c r="I890">
        <v>14.03</v>
      </c>
      <c r="J890">
        <v>14.04</v>
      </c>
      <c r="K890" t="s">
        <v>2159</v>
      </c>
      <c r="L890">
        <v>9.66</v>
      </c>
      <c r="M890" t="s">
        <v>46</v>
      </c>
      <c r="N890" t="s">
        <v>6281</v>
      </c>
      <c r="O890">
        <v>14.11</v>
      </c>
      <c r="P890">
        <v>13.44</v>
      </c>
      <c r="Q890">
        <v>13.55</v>
      </c>
      <c r="R890">
        <v>13.61</v>
      </c>
      <c r="S890">
        <v>4.92</v>
      </c>
      <c r="T890">
        <v>0.88</v>
      </c>
      <c r="U890">
        <v>5.24</v>
      </c>
      <c r="V890">
        <v>225</v>
      </c>
      <c r="W890">
        <v>13.9</v>
      </c>
      <c r="X890" t="s">
        <v>6282</v>
      </c>
      <c r="Y890" t="s">
        <v>4441</v>
      </c>
      <c r="Z890">
        <v>0.73</v>
      </c>
      <c r="AA890">
        <v>507</v>
      </c>
      <c r="AB890">
        <v>575</v>
      </c>
      <c r="AC890">
        <v>2.03</v>
      </c>
      <c r="AD890" t="s">
        <v>6283</v>
      </c>
      <c r="AE890" t="s">
        <v>6284</v>
      </c>
      <c r="AF890" t="s">
        <v>6285</v>
      </c>
      <c r="AG890" t="s">
        <v>6286</v>
      </c>
      <c r="AH890">
        <v>-1.27</v>
      </c>
      <c r="AI890">
        <v>-3.24</v>
      </c>
      <c r="AJ890">
        <v>26.46</v>
      </c>
      <c r="AK890">
        <v>64.89</v>
      </c>
      <c r="AL890">
        <v>2</v>
      </c>
      <c r="AM890">
        <v>3.09</v>
      </c>
      <c r="AN890">
        <v>58.17</v>
      </c>
      <c r="AO890">
        <v>10.73</v>
      </c>
      <c r="AP890">
        <v>56.24</v>
      </c>
    </row>
    <row r="891" spans="1:42">
      <c r="A891">
        <v>890</v>
      </c>
      <c r="B891" t="str">
        <f>"000610"</f>
        <v>000610</v>
      </c>
      <c r="C891" t="s">
        <v>6287</v>
      </c>
      <c r="D891">
        <v>14.48</v>
      </c>
      <c r="E891">
        <v>-0.96</v>
      </c>
      <c r="F891">
        <v>-0.14</v>
      </c>
      <c r="G891" t="s">
        <v>562</v>
      </c>
      <c r="H891">
        <v>1111</v>
      </c>
      <c r="I891">
        <v>14.47</v>
      </c>
      <c r="J891">
        <v>14.48</v>
      </c>
      <c r="K891" t="s">
        <v>2159</v>
      </c>
      <c r="L891">
        <v>6.58</v>
      </c>
      <c r="M891" t="s">
        <v>46</v>
      </c>
      <c r="N891" t="s">
        <v>2607</v>
      </c>
      <c r="O891">
        <v>14.7</v>
      </c>
      <c r="P891">
        <v>14.36</v>
      </c>
      <c r="Q891">
        <v>14.6</v>
      </c>
      <c r="R891">
        <v>14.62</v>
      </c>
      <c r="S891">
        <v>2.33</v>
      </c>
      <c r="T891">
        <v>1.2</v>
      </c>
      <c r="U891">
        <v>8.86</v>
      </c>
      <c r="V891">
        <v>262</v>
      </c>
      <c r="W891">
        <v>14.5</v>
      </c>
      <c r="X891" t="s">
        <v>2619</v>
      </c>
      <c r="Y891" t="s">
        <v>2836</v>
      </c>
      <c r="Z891">
        <v>1.24</v>
      </c>
      <c r="AA891">
        <v>704</v>
      </c>
      <c r="AB891">
        <v>1011</v>
      </c>
      <c r="AC891">
        <v>5.85</v>
      </c>
      <c r="AD891" t="s">
        <v>6288</v>
      </c>
      <c r="AE891" t="s">
        <v>3220</v>
      </c>
      <c r="AF891" t="s">
        <v>6289</v>
      </c>
      <c r="AG891" t="s">
        <v>6290</v>
      </c>
      <c r="AH891">
        <v>2.4</v>
      </c>
      <c r="AI891">
        <v>2.4</v>
      </c>
      <c r="AJ891">
        <v>21.75</v>
      </c>
      <c r="AK891">
        <v>33.96</v>
      </c>
      <c r="AL891">
        <v>-1</v>
      </c>
      <c r="AM891">
        <v>-0.96</v>
      </c>
      <c r="AN891">
        <v>-29.61</v>
      </c>
      <c r="AO891">
        <v>6</v>
      </c>
      <c r="AP891">
        <v>42.66</v>
      </c>
    </row>
    <row r="892" spans="1:42">
      <c r="A892">
        <v>891</v>
      </c>
      <c r="B892" t="str">
        <f>"000550"</f>
        <v>000550</v>
      </c>
      <c r="C892" t="s">
        <v>6291</v>
      </c>
      <c r="D892">
        <v>20.29</v>
      </c>
      <c r="E892">
        <v>-1.22</v>
      </c>
      <c r="F892">
        <v>-0.25</v>
      </c>
      <c r="G892" t="s">
        <v>829</v>
      </c>
      <c r="H892">
        <v>1910</v>
      </c>
      <c r="I892">
        <v>20.28</v>
      </c>
      <c r="J892">
        <v>20.29</v>
      </c>
      <c r="K892" t="s">
        <v>2159</v>
      </c>
      <c r="L892">
        <v>2.13</v>
      </c>
      <c r="M892" t="s">
        <v>46</v>
      </c>
      <c r="N892" t="s">
        <v>6292</v>
      </c>
      <c r="O892">
        <v>20.58</v>
      </c>
      <c r="P892">
        <v>20.19</v>
      </c>
      <c r="Q892">
        <v>20.55</v>
      </c>
      <c r="R892">
        <v>20.54</v>
      </c>
      <c r="S892">
        <v>1.9</v>
      </c>
      <c r="T892">
        <v>0.58</v>
      </c>
      <c r="U892">
        <v>-5.15</v>
      </c>
      <c r="V892">
        <v>-54</v>
      </c>
      <c r="W892">
        <v>20.31</v>
      </c>
      <c r="X892" t="s">
        <v>2984</v>
      </c>
      <c r="Y892" t="s">
        <v>296</v>
      </c>
      <c r="Z892">
        <v>0.96</v>
      </c>
      <c r="AA892">
        <v>191</v>
      </c>
      <c r="AB892">
        <v>197</v>
      </c>
      <c r="AC892">
        <v>1.77</v>
      </c>
      <c r="AD892" t="s">
        <v>6293</v>
      </c>
      <c r="AE892" t="s">
        <v>6294</v>
      </c>
      <c r="AF892" t="s">
        <v>6295</v>
      </c>
      <c r="AG892" t="s">
        <v>6296</v>
      </c>
      <c r="AH892">
        <v>-5.45</v>
      </c>
      <c r="AI892">
        <v>-5.5</v>
      </c>
      <c r="AJ892">
        <v>7.18</v>
      </c>
      <c r="AK892">
        <v>20.53</v>
      </c>
      <c r="AL892">
        <v>-4</v>
      </c>
      <c r="AM892">
        <v>-1.22</v>
      </c>
      <c r="AN892">
        <v>55.96</v>
      </c>
      <c r="AO892">
        <v>23.72</v>
      </c>
      <c r="AP892">
        <v>44</v>
      </c>
    </row>
    <row r="893" spans="1:42">
      <c r="A893">
        <v>892</v>
      </c>
      <c r="B893" t="str">
        <f>"601155"</f>
        <v>601155</v>
      </c>
      <c r="C893" t="s">
        <v>6297</v>
      </c>
      <c r="D893">
        <v>12.8</v>
      </c>
      <c r="E893">
        <v>-0.16</v>
      </c>
      <c r="F893">
        <v>-0.02</v>
      </c>
      <c r="G893" t="s">
        <v>842</v>
      </c>
      <c r="H893">
        <v>2195</v>
      </c>
      <c r="I893">
        <v>12.8</v>
      </c>
      <c r="J893">
        <v>12.81</v>
      </c>
      <c r="K893" t="s">
        <v>2159</v>
      </c>
      <c r="L893">
        <v>0.78</v>
      </c>
      <c r="M893" t="s">
        <v>46</v>
      </c>
      <c r="N893" t="s">
        <v>6298</v>
      </c>
      <c r="O893">
        <v>13.02</v>
      </c>
      <c r="P893">
        <v>12.66</v>
      </c>
      <c r="Q893">
        <v>12.78</v>
      </c>
      <c r="R893">
        <v>12.82</v>
      </c>
      <c r="S893">
        <v>2.81</v>
      </c>
      <c r="T893">
        <v>0.61</v>
      </c>
      <c r="U893">
        <v>42.48</v>
      </c>
      <c r="V893">
        <v>1415</v>
      </c>
      <c r="W893">
        <v>12.84</v>
      </c>
      <c r="X893" t="s">
        <v>4645</v>
      </c>
      <c r="Y893" t="s">
        <v>771</v>
      </c>
      <c r="Z893">
        <v>1.26</v>
      </c>
      <c r="AA893">
        <v>130</v>
      </c>
      <c r="AB893">
        <v>140</v>
      </c>
      <c r="AC893">
        <v>0.47</v>
      </c>
      <c r="AD893" t="s">
        <v>6299</v>
      </c>
      <c r="AE893" t="s">
        <v>6300</v>
      </c>
      <c r="AF893" t="s">
        <v>6299</v>
      </c>
      <c r="AG893" t="s">
        <v>6300</v>
      </c>
      <c r="AH893">
        <v>-3.25</v>
      </c>
      <c r="AI893">
        <v>-3.4</v>
      </c>
      <c r="AJ893">
        <v>2.32</v>
      </c>
      <c r="AK893">
        <v>7.15</v>
      </c>
      <c r="AL893">
        <v>-5</v>
      </c>
      <c r="AM893">
        <v>-0.16</v>
      </c>
      <c r="AN893">
        <v>-37.56</v>
      </c>
      <c r="AO893">
        <v>8.84</v>
      </c>
      <c r="AP893">
        <v>-32.6</v>
      </c>
    </row>
    <row r="894" spans="1:42">
      <c r="A894">
        <v>893</v>
      </c>
      <c r="B894" t="str">
        <f>"300571"</f>
        <v>300571</v>
      </c>
      <c r="C894" t="s">
        <v>6301</v>
      </c>
      <c r="D894">
        <v>39.89</v>
      </c>
      <c r="E894">
        <v>4.7</v>
      </c>
      <c r="F894">
        <v>1.79</v>
      </c>
      <c r="G894" t="s">
        <v>2685</v>
      </c>
      <c r="H894">
        <v>920</v>
      </c>
      <c r="I894">
        <v>39.89</v>
      </c>
      <c r="J894">
        <v>39.9</v>
      </c>
      <c r="K894" t="s">
        <v>2159</v>
      </c>
      <c r="L894">
        <v>4.93</v>
      </c>
      <c r="M894" t="s">
        <v>46</v>
      </c>
      <c r="N894" t="s">
        <v>208</v>
      </c>
      <c r="O894">
        <v>40.44</v>
      </c>
      <c r="P894">
        <v>38.07</v>
      </c>
      <c r="Q894">
        <v>38.07</v>
      </c>
      <c r="R894">
        <v>38.1</v>
      </c>
      <c r="S894">
        <v>6.22</v>
      </c>
      <c r="T894">
        <v>1.57</v>
      </c>
      <c r="U894">
        <v>18.29</v>
      </c>
      <c r="V894">
        <v>150</v>
      </c>
      <c r="W894">
        <v>39.39</v>
      </c>
      <c r="X894" t="s">
        <v>1072</v>
      </c>
      <c r="Y894" t="s">
        <v>6302</v>
      </c>
      <c r="Z894">
        <v>0.49</v>
      </c>
      <c r="AA894">
        <v>63</v>
      </c>
      <c r="AB894">
        <v>130</v>
      </c>
      <c r="AC894">
        <v>3.41</v>
      </c>
      <c r="AD894" t="s">
        <v>6303</v>
      </c>
      <c r="AE894" t="s">
        <v>6304</v>
      </c>
      <c r="AF894" t="s">
        <v>6305</v>
      </c>
      <c r="AG894" t="s">
        <v>6306</v>
      </c>
      <c r="AH894">
        <v>6.49</v>
      </c>
      <c r="AI894">
        <v>3.64</v>
      </c>
      <c r="AJ894">
        <v>12.28</v>
      </c>
      <c r="AK894">
        <v>20.6</v>
      </c>
      <c r="AL894">
        <v>1</v>
      </c>
      <c r="AM894">
        <v>4.7</v>
      </c>
      <c r="AN894">
        <v>42.46</v>
      </c>
      <c r="AO894">
        <v>5.28</v>
      </c>
      <c r="AP894">
        <v>21.8</v>
      </c>
    </row>
    <row r="895" spans="1:42">
      <c r="A895">
        <v>894</v>
      </c>
      <c r="B895" t="str">
        <f>"300039"</f>
        <v>300039</v>
      </c>
      <c r="C895" t="s">
        <v>6307</v>
      </c>
      <c r="D895">
        <v>7.24</v>
      </c>
      <c r="E895">
        <v>-0.28</v>
      </c>
      <c r="F895">
        <v>-0.02</v>
      </c>
      <c r="G895" t="s">
        <v>3576</v>
      </c>
      <c r="H895">
        <v>2300</v>
      </c>
      <c r="I895">
        <v>7.23</v>
      </c>
      <c r="J895">
        <v>7.24</v>
      </c>
      <c r="K895" t="s">
        <v>6308</v>
      </c>
      <c r="L895">
        <v>3.38</v>
      </c>
      <c r="M895" t="s">
        <v>46</v>
      </c>
      <c r="N895" t="s">
        <v>5453</v>
      </c>
      <c r="O895">
        <v>7.35</v>
      </c>
      <c r="P895">
        <v>7.18</v>
      </c>
      <c r="Q895">
        <v>7.23</v>
      </c>
      <c r="R895">
        <v>7.26</v>
      </c>
      <c r="S895">
        <v>2.34</v>
      </c>
      <c r="T895">
        <v>0.46</v>
      </c>
      <c r="U895">
        <v>4.75</v>
      </c>
      <c r="V895">
        <v>705</v>
      </c>
      <c r="W895">
        <v>7.24</v>
      </c>
      <c r="X895" t="s">
        <v>625</v>
      </c>
      <c r="Y895" t="s">
        <v>1759</v>
      </c>
      <c r="Z895">
        <v>1.34</v>
      </c>
      <c r="AA895">
        <v>1156</v>
      </c>
      <c r="AB895">
        <v>1236</v>
      </c>
      <c r="AC895">
        <v>1.98</v>
      </c>
      <c r="AD895" t="s">
        <v>5046</v>
      </c>
      <c r="AE895" t="s">
        <v>6309</v>
      </c>
      <c r="AF895" t="s">
        <v>6310</v>
      </c>
      <c r="AG895" t="s">
        <v>5797</v>
      </c>
      <c r="AH895">
        <v>-2.69</v>
      </c>
      <c r="AI895">
        <v>-0.69</v>
      </c>
      <c r="AJ895">
        <v>11.48</v>
      </c>
      <c r="AK895">
        <v>40.09</v>
      </c>
      <c r="AL895">
        <v>-1</v>
      </c>
      <c r="AM895">
        <v>-0.28</v>
      </c>
      <c r="AN895">
        <v>-9.5</v>
      </c>
      <c r="AO895">
        <v>5.54</v>
      </c>
      <c r="AP895">
        <v>10.37</v>
      </c>
    </row>
    <row r="896" spans="1:42">
      <c r="A896">
        <v>895</v>
      </c>
      <c r="B896" t="str">
        <f>"000895"</f>
        <v>000895</v>
      </c>
      <c r="C896" t="s">
        <v>6311</v>
      </c>
      <c r="D896">
        <v>25.94</v>
      </c>
      <c r="E896">
        <v>-0.61</v>
      </c>
      <c r="F896">
        <v>-0.16</v>
      </c>
      <c r="G896" t="s">
        <v>6312</v>
      </c>
      <c r="H896">
        <v>728</v>
      </c>
      <c r="I896">
        <v>25.94</v>
      </c>
      <c r="J896">
        <v>25.95</v>
      </c>
      <c r="K896" t="s">
        <v>6308</v>
      </c>
      <c r="L896">
        <v>0.25</v>
      </c>
      <c r="M896" t="s">
        <v>46</v>
      </c>
      <c r="N896" t="s">
        <v>6313</v>
      </c>
      <c r="O896">
        <v>26.17</v>
      </c>
      <c r="P896">
        <v>25.8</v>
      </c>
      <c r="Q896">
        <v>26.1</v>
      </c>
      <c r="R896">
        <v>26.1</v>
      </c>
      <c r="S896">
        <v>1.42</v>
      </c>
      <c r="T896">
        <v>1.39</v>
      </c>
      <c r="U896">
        <v>71.68</v>
      </c>
      <c r="V896">
        <v>491</v>
      </c>
      <c r="W896">
        <v>25.99</v>
      </c>
      <c r="X896" t="s">
        <v>4035</v>
      </c>
      <c r="Y896" t="s">
        <v>6314</v>
      </c>
      <c r="Z896">
        <v>1.38</v>
      </c>
      <c r="AA896">
        <v>47</v>
      </c>
      <c r="AB896">
        <v>16</v>
      </c>
      <c r="AC896">
        <v>4.47</v>
      </c>
      <c r="AD896" t="s">
        <v>6315</v>
      </c>
      <c r="AE896" t="s">
        <v>5321</v>
      </c>
      <c r="AF896" t="s">
        <v>6316</v>
      </c>
      <c r="AG896" t="s">
        <v>6317</v>
      </c>
      <c r="AH896">
        <v>-0.31</v>
      </c>
      <c r="AI896">
        <v>0.43</v>
      </c>
      <c r="AJ896">
        <v>0.6</v>
      </c>
      <c r="AK896">
        <v>1.15</v>
      </c>
      <c r="AL896">
        <v>-1</v>
      </c>
      <c r="AM896">
        <v>-0.61</v>
      </c>
      <c r="AN896">
        <v>7.28</v>
      </c>
      <c r="AO896">
        <v>-1.41</v>
      </c>
      <c r="AP896">
        <v>11.86</v>
      </c>
    </row>
    <row r="897" spans="1:42">
      <c r="A897">
        <v>896</v>
      </c>
      <c r="B897" t="str">
        <f>"600119"</f>
        <v>600119</v>
      </c>
      <c r="C897" t="s">
        <v>6318</v>
      </c>
      <c r="D897">
        <v>7.64</v>
      </c>
      <c r="E897">
        <v>2.69</v>
      </c>
      <c r="F897">
        <v>0.2</v>
      </c>
      <c r="G897" t="s">
        <v>956</v>
      </c>
      <c r="H897">
        <v>2775</v>
      </c>
      <c r="I897">
        <v>7.63</v>
      </c>
      <c r="J897">
        <v>7.64</v>
      </c>
      <c r="K897" t="s">
        <v>6308</v>
      </c>
      <c r="L897">
        <v>9.4</v>
      </c>
      <c r="M897" t="s">
        <v>46</v>
      </c>
      <c r="N897" t="s">
        <v>3513</v>
      </c>
      <c r="O897">
        <v>7.94</v>
      </c>
      <c r="P897">
        <v>7.55</v>
      </c>
      <c r="Q897">
        <v>7.62</v>
      </c>
      <c r="R897">
        <v>7.44</v>
      </c>
      <c r="S897">
        <v>5.24</v>
      </c>
      <c r="T897">
        <v>1.58</v>
      </c>
      <c r="U897">
        <v>-15.15</v>
      </c>
      <c r="V897">
        <v>-1021</v>
      </c>
      <c r="W897">
        <v>7.75</v>
      </c>
      <c r="X897" t="s">
        <v>1296</v>
      </c>
      <c r="Y897" t="s">
        <v>598</v>
      </c>
      <c r="Z897">
        <v>0.95</v>
      </c>
      <c r="AA897">
        <v>654</v>
      </c>
      <c r="AB897">
        <v>233</v>
      </c>
      <c r="AC897">
        <v>14.62</v>
      </c>
      <c r="AD897" t="s">
        <v>6319</v>
      </c>
      <c r="AE897" t="s">
        <v>6320</v>
      </c>
      <c r="AF897" t="s">
        <v>6321</v>
      </c>
      <c r="AG897" t="s">
        <v>6322</v>
      </c>
      <c r="AH897">
        <v>3.24</v>
      </c>
      <c r="AI897">
        <v>2.55</v>
      </c>
      <c r="AJ897">
        <v>23.26</v>
      </c>
      <c r="AK897">
        <v>39.06</v>
      </c>
      <c r="AL897">
        <v>1</v>
      </c>
      <c r="AM897">
        <v>2.69</v>
      </c>
      <c r="AN897">
        <v>13.35</v>
      </c>
      <c r="AO897">
        <v>9.3</v>
      </c>
      <c r="AP897">
        <v>20.13</v>
      </c>
    </row>
    <row r="898" spans="1:42">
      <c r="A898">
        <v>897</v>
      </c>
      <c r="B898" t="str">
        <f>"002186"</f>
        <v>002186</v>
      </c>
      <c r="C898" t="s">
        <v>6323</v>
      </c>
      <c r="D898">
        <v>12.42</v>
      </c>
      <c r="E898">
        <v>0.98</v>
      </c>
      <c r="F898">
        <v>0.12</v>
      </c>
      <c r="G898" t="s">
        <v>797</v>
      </c>
      <c r="H898">
        <v>1931</v>
      </c>
      <c r="I898">
        <v>12.42</v>
      </c>
      <c r="J898">
        <v>12.43</v>
      </c>
      <c r="K898" t="s">
        <v>6308</v>
      </c>
      <c r="L898">
        <v>5.84</v>
      </c>
      <c r="M898" t="s">
        <v>46</v>
      </c>
      <c r="N898" t="s">
        <v>3436</v>
      </c>
      <c r="O898">
        <v>12.68</v>
      </c>
      <c r="P898">
        <v>12.2</v>
      </c>
      <c r="Q898">
        <v>12.25</v>
      </c>
      <c r="R898">
        <v>12.3</v>
      </c>
      <c r="S898">
        <v>3.9</v>
      </c>
      <c r="T898">
        <v>1.37</v>
      </c>
      <c r="U898">
        <v>-7.7</v>
      </c>
      <c r="V898">
        <v>-259</v>
      </c>
      <c r="W898">
        <v>12.44</v>
      </c>
      <c r="X898" t="s">
        <v>5150</v>
      </c>
      <c r="Y898" t="s">
        <v>6324</v>
      </c>
      <c r="Z898">
        <v>1.02</v>
      </c>
      <c r="AA898">
        <v>746</v>
      </c>
      <c r="AB898">
        <v>490</v>
      </c>
      <c r="AC898">
        <v>4.67</v>
      </c>
      <c r="AD898" t="s">
        <v>6325</v>
      </c>
      <c r="AE898" t="s">
        <v>6326</v>
      </c>
      <c r="AF898" t="s">
        <v>6327</v>
      </c>
      <c r="AG898" t="s">
        <v>6328</v>
      </c>
      <c r="AH898">
        <v>3.41</v>
      </c>
      <c r="AI898">
        <v>4.46</v>
      </c>
      <c r="AJ898">
        <v>13.74</v>
      </c>
      <c r="AK898">
        <v>27.1</v>
      </c>
      <c r="AL898">
        <v>4</v>
      </c>
      <c r="AM898">
        <v>0.98</v>
      </c>
      <c r="AN898">
        <v>-45.6</v>
      </c>
      <c r="AO898">
        <v>9.14</v>
      </c>
      <c r="AP898">
        <v>36.78</v>
      </c>
    </row>
    <row r="899" spans="1:42">
      <c r="A899">
        <v>898</v>
      </c>
      <c r="B899" t="str">
        <f>"300751"</f>
        <v>300751</v>
      </c>
      <c r="C899" t="s">
        <v>6329</v>
      </c>
      <c r="D899">
        <v>106.4</v>
      </c>
      <c r="E899">
        <v>-1.48</v>
      </c>
      <c r="F899">
        <v>-1.6</v>
      </c>
      <c r="G899" t="s">
        <v>5592</v>
      </c>
      <c r="H899">
        <v>338</v>
      </c>
      <c r="I899">
        <v>106.39</v>
      </c>
      <c r="J899">
        <v>106.4</v>
      </c>
      <c r="K899" t="s">
        <v>6308</v>
      </c>
      <c r="L899">
        <v>1.1</v>
      </c>
      <c r="M899" t="s">
        <v>46</v>
      </c>
      <c r="N899" t="s">
        <v>4813</v>
      </c>
      <c r="O899">
        <v>108.47</v>
      </c>
      <c r="P899">
        <v>105.3</v>
      </c>
      <c r="Q899">
        <v>107.58</v>
      </c>
      <c r="R899">
        <v>108</v>
      </c>
      <c r="S899">
        <v>2.94</v>
      </c>
      <c r="T899">
        <v>1.09</v>
      </c>
      <c r="U899">
        <v>-20.81</v>
      </c>
      <c r="V899">
        <v>-35</v>
      </c>
      <c r="W899">
        <v>106.52</v>
      </c>
      <c r="X899" t="s">
        <v>905</v>
      </c>
      <c r="Y899">
        <v>8575</v>
      </c>
      <c r="Z899">
        <v>1.45</v>
      </c>
      <c r="AA899">
        <v>46</v>
      </c>
      <c r="AB899">
        <v>95</v>
      </c>
      <c r="AC899">
        <v>4.28</v>
      </c>
      <c r="AD899" t="s">
        <v>6330</v>
      </c>
      <c r="AE899" t="s">
        <v>6331</v>
      </c>
      <c r="AF899" t="s">
        <v>6332</v>
      </c>
      <c r="AG899" t="s">
        <v>6333</v>
      </c>
      <c r="AH899">
        <v>-2.64</v>
      </c>
      <c r="AI899">
        <v>-9.75</v>
      </c>
      <c r="AJ899">
        <v>2.95</v>
      </c>
      <c r="AK899">
        <v>6.15</v>
      </c>
      <c r="AL899">
        <v>-9</v>
      </c>
      <c r="AM899">
        <v>-1.48</v>
      </c>
      <c r="AN899">
        <v>-58.51</v>
      </c>
      <c r="AO899">
        <v>-9.78</v>
      </c>
      <c r="AP899">
        <v>-61.67</v>
      </c>
    </row>
    <row r="900" spans="1:42">
      <c r="A900">
        <v>899</v>
      </c>
      <c r="B900" t="str">
        <f>"300629"</f>
        <v>300629</v>
      </c>
      <c r="C900" t="s">
        <v>6334</v>
      </c>
      <c r="D900">
        <v>23</v>
      </c>
      <c r="E900">
        <v>-0.61</v>
      </c>
      <c r="F900">
        <v>-0.14</v>
      </c>
      <c r="G900" t="s">
        <v>4886</v>
      </c>
      <c r="H900">
        <v>1198</v>
      </c>
      <c r="I900">
        <v>23</v>
      </c>
      <c r="J900">
        <v>23.02</v>
      </c>
      <c r="K900" t="s">
        <v>5496</v>
      </c>
      <c r="L900">
        <v>4.93</v>
      </c>
      <c r="M900" t="s">
        <v>46</v>
      </c>
      <c r="N900" t="s">
        <v>2975</v>
      </c>
      <c r="O900">
        <v>23.35</v>
      </c>
      <c r="P900">
        <v>22.8</v>
      </c>
      <c r="Q900">
        <v>23.01</v>
      </c>
      <c r="R900">
        <v>23.14</v>
      </c>
      <c r="S900">
        <v>2.38</v>
      </c>
      <c r="T900">
        <v>0.41</v>
      </c>
      <c r="U900">
        <v>25.16</v>
      </c>
      <c r="V900">
        <v>99</v>
      </c>
      <c r="W900">
        <v>23.05</v>
      </c>
      <c r="X900" t="s">
        <v>6237</v>
      </c>
      <c r="Y900" t="s">
        <v>3235</v>
      </c>
      <c r="Z900">
        <v>1.24</v>
      </c>
      <c r="AA900">
        <v>6</v>
      </c>
      <c r="AB900">
        <v>12</v>
      </c>
      <c r="AC900">
        <v>4.04</v>
      </c>
      <c r="AD900" t="s">
        <v>6335</v>
      </c>
      <c r="AE900" t="s">
        <v>6336</v>
      </c>
      <c r="AF900" t="s">
        <v>6337</v>
      </c>
      <c r="AG900" t="s">
        <v>5427</v>
      </c>
      <c r="AH900">
        <v>-1.37</v>
      </c>
      <c r="AI900">
        <v>-0.86</v>
      </c>
      <c r="AJ900">
        <v>19.72</v>
      </c>
      <c r="AK900">
        <v>65</v>
      </c>
      <c r="AL900">
        <v>-2</v>
      </c>
      <c r="AM900">
        <v>-0.61</v>
      </c>
      <c r="AN900">
        <v>17.47</v>
      </c>
      <c r="AO900">
        <v>16.93</v>
      </c>
      <c r="AP900">
        <v>-1.29</v>
      </c>
    </row>
    <row r="901" spans="1:42">
      <c r="A901">
        <v>900</v>
      </c>
      <c r="B901" t="str">
        <f>"002820"</f>
        <v>002820</v>
      </c>
      <c r="C901" t="s">
        <v>6338</v>
      </c>
      <c r="D901">
        <v>11.8</v>
      </c>
      <c r="E901">
        <v>0.43</v>
      </c>
      <c r="F901">
        <v>0.05</v>
      </c>
      <c r="G901" t="s">
        <v>1008</v>
      </c>
      <c r="H901">
        <v>2485</v>
      </c>
      <c r="I901">
        <v>11.8</v>
      </c>
      <c r="J901">
        <v>11.81</v>
      </c>
      <c r="K901" t="s">
        <v>5496</v>
      </c>
      <c r="L901">
        <v>9.34</v>
      </c>
      <c r="M901" t="s">
        <v>46</v>
      </c>
      <c r="N901" t="s">
        <v>3546</v>
      </c>
      <c r="O901">
        <v>12.45</v>
      </c>
      <c r="P901">
        <v>11.67</v>
      </c>
      <c r="Q901">
        <v>11.69</v>
      </c>
      <c r="R901">
        <v>11.75</v>
      </c>
      <c r="S901">
        <v>6.64</v>
      </c>
      <c r="T901">
        <v>1.1</v>
      </c>
      <c r="U901">
        <v>-0.95</v>
      </c>
      <c r="V901">
        <v>-16</v>
      </c>
      <c r="W901">
        <v>11.94</v>
      </c>
      <c r="X901" t="s">
        <v>3812</v>
      </c>
      <c r="Y901" t="s">
        <v>6339</v>
      </c>
      <c r="Z901">
        <v>0.99</v>
      </c>
      <c r="AA901">
        <v>298</v>
      </c>
      <c r="AB901">
        <v>116</v>
      </c>
      <c r="AC901">
        <v>2.41</v>
      </c>
      <c r="AD901" t="s">
        <v>6340</v>
      </c>
      <c r="AE901" t="s">
        <v>6341</v>
      </c>
      <c r="AF901" t="s">
        <v>3663</v>
      </c>
      <c r="AG901" t="s">
        <v>4473</v>
      </c>
      <c r="AH901">
        <v>0.85</v>
      </c>
      <c r="AI901">
        <v>5.64</v>
      </c>
      <c r="AJ901">
        <v>23.21</v>
      </c>
      <c r="AK901">
        <v>51.7</v>
      </c>
      <c r="AL901">
        <v>2</v>
      </c>
      <c r="AM901">
        <v>0.43</v>
      </c>
      <c r="AN901">
        <v>-12.92</v>
      </c>
      <c r="AO901">
        <v>10.69</v>
      </c>
      <c r="AP901">
        <v>47.32</v>
      </c>
    </row>
    <row r="902" spans="1:42">
      <c r="A902">
        <v>901</v>
      </c>
      <c r="B902" t="str">
        <f>"688152"</f>
        <v>688152</v>
      </c>
      <c r="C902" t="s">
        <v>6342</v>
      </c>
      <c r="D902">
        <v>83.11</v>
      </c>
      <c r="E902">
        <v>2.2</v>
      </c>
      <c r="F902">
        <v>1.79</v>
      </c>
      <c r="G902" t="s">
        <v>2388</v>
      </c>
      <c r="H902">
        <v>603</v>
      </c>
      <c r="I902">
        <v>83.1</v>
      </c>
      <c r="J902">
        <v>83.11</v>
      </c>
      <c r="K902" t="s">
        <v>5496</v>
      </c>
      <c r="L902">
        <v>8.97</v>
      </c>
      <c r="M902" t="s">
        <v>46</v>
      </c>
      <c r="N902" t="s">
        <v>6343</v>
      </c>
      <c r="O902">
        <v>85.58</v>
      </c>
      <c r="P902">
        <v>79.65</v>
      </c>
      <c r="Q902">
        <v>80.55</v>
      </c>
      <c r="R902">
        <v>81.32</v>
      </c>
      <c r="S902">
        <v>7.29</v>
      </c>
      <c r="T902">
        <v>1.11</v>
      </c>
      <c r="U902">
        <v>1.4</v>
      </c>
      <c r="V902">
        <v>4</v>
      </c>
      <c r="W902">
        <v>82.49</v>
      </c>
      <c r="X902" t="s">
        <v>383</v>
      </c>
      <c r="Y902" t="s">
        <v>4525</v>
      </c>
      <c r="Z902">
        <v>0.97</v>
      </c>
      <c r="AA902">
        <v>60</v>
      </c>
      <c r="AB902">
        <v>112</v>
      </c>
      <c r="AC902">
        <v>5.17</v>
      </c>
      <c r="AD902" t="s">
        <v>6344</v>
      </c>
      <c r="AE902" t="s">
        <v>6345</v>
      </c>
      <c r="AF902" t="s">
        <v>6346</v>
      </c>
      <c r="AG902" t="s">
        <v>5213</v>
      </c>
      <c r="AH902">
        <v>8.22</v>
      </c>
      <c r="AI902">
        <v>8.37</v>
      </c>
      <c r="AJ902">
        <v>29.64</v>
      </c>
      <c r="AK902">
        <v>49.51</v>
      </c>
      <c r="AL902">
        <v>1</v>
      </c>
      <c r="AM902">
        <v>2.2</v>
      </c>
      <c r="AN902">
        <v>-27.33</v>
      </c>
      <c r="AO902">
        <v>26.35</v>
      </c>
      <c r="AP902">
        <v>-39.95</v>
      </c>
    </row>
    <row r="903" spans="1:42">
      <c r="A903">
        <v>902</v>
      </c>
      <c r="B903" t="str">
        <f>"688658"</f>
        <v>688658</v>
      </c>
      <c r="C903" t="s">
        <v>6347</v>
      </c>
      <c r="D903">
        <v>23.28</v>
      </c>
      <c r="E903">
        <v>5.58</v>
      </c>
      <c r="F903">
        <v>1.23</v>
      </c>
      <c r="G903" t="s">
        <v>5633</v>
      </c>
      <c r="H903">
        <v>516</v>
      </c>
      <c r="I903">
        <v>23.2</v>
      </c>
      <c r="J903">
        <v>23.28</v>
      </c>
      <c r="K903" t="s">
        <v>5496</v>
      </c>
      <c r="L903">
        <v>4.74</v>
      </c>
      <c r="M903" t="s">
        <v>46</v>
      </c>
      <c r="N903" t="s">
        <v>6348</v>
      </c>
      <c r="O903">
        <v>23.5</v>
      </c>
      <c r="P903">
        <v>22.07</v>
      </c>
      <c r="Q903">
        <v>22.07</v>
      </c>
      <c r="R903">
        <v>22.05</v>
      </c>
      <c r="S903">
        <v>6.49</v>
      </c>
      <c r="T903">
        <v>1.33</v>
      </c>
      <c r="U903">
        <v>-41.95</v>
      </c>
      <c r="V903">
        <v>-275</v>
      </c>
      <c r="W903">
        <v>22.99</v>
      </c>
      <c r="X903" t="s">
        <v>459</v>
      </c>
      <c r="Y903" t="s">
        <v>6349</v>
      </c>
      <c r="Z903">
        <v>0.81</v>
      </c>
      <c r="AA903">
        <v>60</v>
      </c>
      <c r="AB903">
        <v>44</v>
      </c>
      <c r="AC903">
        <v>2.91</v>
      </c>
      <c r="AD903" t="s">
        <v>6350</v>
      </c>
      <c r="AE903" t="s">
        <v>724</v>
      </c>
      <c r="AF903" t="s">
        <v>6351</v>
      </c>
      <c r="AG903" t="s">
        <v>6352</v>
      </c>
      <c r="AH903">
        <v>3.79</v>
      </c>
      <c r="AI903">
        <v>11.92</v>
      </c>
      <c r="AJ903">
        <v>8.58</v>
      </c>
      <c r="AK903">
        <v>22.61</v>
      </c>
      <c r="AL903">
        <v>1</v>
      </c>
      <c r="AM903">
        <v>5.58</v>
      </c>
      <c r="AN903">
        <v>27.77</v>
      </c>
      <c r="AO903">
        <v>24.03</v>
      </c>
      <c r="AP903">
        <v>16.98</v>
      </c>
    </row>
    <row r="904" spans="1:42">
      <c r="A904">
        <v>903</v>
      </c>
      <c r="B904" t="str">
        <f>"300433"</f>
        <v>300433</v>
      </c>
      <c r="C904" t="s">
        <v>6353</v>
      </c>
      <c r="D904">
        <v>13.09</v>
      </c>
      <c r="E904">
        <v>0.23</v>
      </c>
      <c r="F904">
        <v>0.03</v>
      </c>
      <c r="G904" t="s">
        <v>172</v>
      </c>
      <c r="H904">
        <v>1926</v>
      </c>
      <c r="I904">
        <v>13.08</v>
      </c>
      <c r="J904">
        <v>13.09</v>
      </c>
      <c r="K904" t="s">
        <v>5496</v>
      </c>
      <c r="L904">
        <v>0.34</v>
      </c>
      <c r="M904" t="s">
        <v>46</v>
      </c>
      <c r="N904" t="s">
        <v>6354</v>
      </c>
      <c r="O904">
        <v>13.13</v>
      </c>
      <c r="P904">
        <v>12.96</v>
      </c>
      <c r="Q904">
        <v>13.06</v>
      </c>
      <c r="R904">
        <v>13.06</v>
      </c>
      <c r="S904">
        <v>1.3</v>
      </c>
      <c r="T904">
        <v>0.87</v>
      </c>
      <c r="U904">
        <v>-5.85</v>
      </c>
      <c r="V904">
        <v>-401</v>
      </c>
      <c r="W904">
        <v>13.07</v>
      </c>
      <c r="X904" t="s">
        <v>6355</v>
      </c>
      <c r="Y904" t="s">
        <v>6356</v>
      </c>
      <c r="Z904">
        <v>1.06</v>
      </c>
      <c r="AA904">
        <v>556</v>
      </c>
      <c r="AB904">
        <v>110</v>
      </c>
      <c r="AC904">
        <v>1.45</v>
      </c>
      <c r="AD904" t="s">
        <v>6357</v>
      </c>
      <c r="AE904" t="s">
        <v>5395</v>
      </c>
      <c r="AF904" t="s">
        <v>6358</v>
      </c>
      <c r="AG904" t="s">
        <v>6359</v>
      </c>
      <c r="AH904">
        <v>-1.06</v>
      </c>
      <c r="AI904">
        <v>-1.58</v>
      </c>
      <c r="AJ904">
        <v>1.06</v>
      </c>
      <c r="AK904">
        <v>2.31</v>
      </c>
      <c r="AL904">
        <v>1</v>
      </c>
      <c r="AM904">
        <v>0.23</v>
      </c>
      <c r="AN904">
        <v>26.72</v>
      </c>
      <c r="AO904">
        <v>-2.39</v>
      </c>
      <c r="AP904">
        <v>26.96</v>
      </c>
    </row>
    <row r="905" spans="1:42">
      <c r="A905">
        <v>904</v>
      </c>
      <c r="B905" t="str">
        <f>"002127"</f>
        <v>002127</v>
      </c>
      <c r="C905" t="s">
        <v>6360</v>
      </c>
      <c r="D905">
        <v>3.67</v>
      </c>
      <c r="E905">
        <v>3.38</v>
      </c>
      <c r="F905">
        <v>0.12</v>
      </c>
      <c r="G905" t="s">
        <v>2552</v>
      </c>
      <c r="H905">
        <v>4862</v>
      </c>
      <c r="I905">
        <v>3.66</v>
      </c>
      <c r="J905">
        <v>3.67</v>
      </c>
      <c r="K905" t="s">
        <v>5496</v>
      </c>
      <c r="L905">
        <v>3.05</v>
      </c>
      <c r="M905" t="s">
        <v>46</v>
      </c>
      <c r="N905" t="s">
        <v>2474</v>
      </c>
      <c r="O905">
        <v>3.71</v>
      </c>
      <c r="P905">
        <v>3.54</v>
      </c>
      <c r="Q905">
        <v>3.55</v>
      </c>
      <c r="R905">
        <v>3.55</v>
      </c>
      <c r="S905">
        <v>4.79</v>
      </c>
      <c r="T905">
        <v>3.4</v>
      </c>
      <c r="U905">
        <v>-25.25</v>
      </c>
      <c r="V905" t="s">
        <v>6361</v>
      </c>
      <c r="W905">
        <v>3.65</v>
      </c>
      <c r="X905" t="s">
        <v>5408</v>
      </c>
      <c r="Y905" t="s">
        <v>2891</v>
      </c>
      <c r="Z905">
        <v>0.67</v>
      </c>
      <c r="AA905">
        <v>1264</v>
      </c>
      <c r="AB905">
        <v>4778</v>
      </c>
      <c r="AC905">
        <v>2</v>
      </c>
      <c r="AD905" t="s">
        <v>5857</v>
      </c>
      <c r="AE905" t="s">
        <v>5920</v>
      </c>
      <c r="AF905" t="s">
        <v>1633</v>
      </c>
      <c r="AG905" t="s">
        <v>6362</v>
      </c>
      <c r="AH905">
        <v>3.38</v>
      </c>
      <c r="AI905">
        <v>1.1</v>
      </c>
      <c r="AJ905">
        <v>5.07</v>
      </c>
      <c r="AK905">
        <v>7.54</v>
      </c>
      <c r="AL905">
        <v>1</v>
      </c>
      <c r="AM905">
        <v>3.38</v>
      </c>
      <c r="AN905">
        <v>-23.7</v>
      </c>
      <c r="AO905">
        <v>6.38</v>
      </c>
      <c r="AP905">
        <v>-20.91</v>
      </c>
    </row>
    <row r="906" spans="1:42">
      <c r="A906">
        <v>905</v>
      </c>
      <c r="B906" t="str">
        <f>"603322"</f>
        <v>603322</v>
      </c>
      <c r="C906" t="s">
        <v>6363</v>
      </c>
      <c r="D906">
        <v>34.65</v>
      </c>
      <c r="E906">
        <v>2.7</v>
      </c>
      <c r="F906">
        <v>0.91</v>
      </c>
      <c r="G906" t="s">
        <v>4913</v>
      </c>
      <c r="H906">
        <v>1836</v>
      </c>
      <c r="I906">
        <v>34.62</v>
      </c>
      <c r="J906">
        <v>34.65</v>
      </c>
      <c r="K906" t="s">
        <v>6364</v>
      </c>
      <c r="L906">
        <v>4.14</v>
      </c>
      <c r="M906" t="s">
        <v>46</v>
      </c>
      <c r="N906" t="s">
        <v>3001</v>
      </c>
      <c r="O906">
        <v>35.24</v>
      </c>
      <c r="P906">
        <v>33.33</v>
      </c>
      <c r="Q906">
        <v>33.33</v>
      </c>
      <c r="R906">
        <v>33.74</v>
      </c>
      <c r="S906">
        <v>5.66</v>
      </c>
      <c r="T906">
        <v>0.91</v>
      </c>
      <c r="U906">
        <v>-54.12</v>
      </c>
      <c r="V906">
        <v>-486</v>
      </c>
      <c r="W906">
        <v>34.33</v>
      </c>
      <c r="X906" t="s">
        <v>2628</v>
      </c>
      <c r="Y906" t="s">
        <v>6365</v>
      </c>
      <c r="Z906">
        <v>0.93</v>
      </c>
      <c r="AA906">
        <v>44</v>
      </c>
      <c r="AB906">
        <v>656</v>
      </c>
      <c r="AC906">
        <v>27.73</v>
      </c>
      <c r="AD906" t="s">
        <v>3162</v>
      </c>
      <c r="AE906" t="s">
        <v>6366</v>
      </c>
      <c r="AF906" t="s">
        <v>6367</v>
      </c>
      <c r="AG906" t="s">
        <v>6368</v>
      </c>
      <c r="AH906">
        <v>4.05</v>
      </c>
      <c r="AI906">
        <v>-8.33</v>
      </c>
      <c r="AJ906">
        <v>11.45</v>
      </c>
      <c r="AK906">
        <v>26.86</v>
      </c>
      <c r="AL906">
        <v>1</v>
      </c>
      <c r="AM906">
        <v>2.7</v>
      </c>
      <c r="AN906">
        <v>112.58</v>
      </c>
      <c r="AO906">
        <v>-4.52</v>
      </c>
      <c r="AP906">
        <v>99.71</v>
      </c>
    </row>
    <row r="907" spans="1:42">
      <c r="A907">
        <v>906</v>
      </c>
      <c r="B907" t="str">
        <f>"300709"</f>
        <v>300709</v>
      </c>
      <c r="C907" t="s">
        <v>6369</v>
      </c>
      <c r="D907">
        <v>31.97</v>
      </c>
      <c r="E907">
        <v>-0.56</v>
      </c>
      <c r="F907">
        <v>-0.18</v>
      </c>
      <c r="G907" t="s">
        <v>2836</v>
      </c>
      <c r="H907">
        <v>608</v>
      </c>
      <c r="I907">
        <v>31.97</v>
      </c>
      <c r="J907">
        <v>31.98</v>
      </c>
      <c r="K907" t="s">
        <v>6364</v>
      </c>
      <c r="L907">
        <v>4.65</v>
      </c>
      <c r="M907" t="s">
        <v>46</v>
      </c>
      <c r="N907" t="s">
        <v>6370</v>
      </c>
      <c r="O907">
        <v>32.47</v>
      </c>
      <c r="P907">
        <v>31.7</v>
      </c>
      <c r="Q907">
        <v>32.14</v>
      </c>
      <c r="R907">
        <v>32.15</v>
      </c>
      <c r="S907">
        <v>2.4</v>
      </c>
      <c r="T907">
        <v>0.91</v>
      </c>
      <c r="U907">
        <v>76.19</v>
      </c>
      <c r="V907">
        <v>877</v>
      </c>
      <c r="W907">
        <v>32.07</v>
      </c>
      <c r="X907" t="s">
        <v>4527</v>
      </c>
      <c r="Y907" t="s">
        <v>4970</v>
      </c>
      <c r="Z907">
        <v>1.04</v>
      </c>
      <c r="AA907">
        <v>13</v>
      </c>
      <c r="AB907">
        <v>24</v>
      </c>
      <c r="AC907">
        <v>2.93</v>
      </c>
      <c r="AD907" t="s">
        <v>6371</v>
      </c>
      <c r="AE907" t="s">
        <v>6372</v>
      </c>
      <c r="AF907" t="s">
        <v>6373</v>
      </c>
      <c r="AG907" t="s">
        <v>6374</v>
      </c>
      <c r="AH907">
        <v>-2.5</v>
      </c>
      <c r="AI907">
        <v>-4.31</v>
      </c>
      <c r="AJ907">
        <v>14.89</v>
      </c>
      <c r="AK907">
        <v>30.13</v>
      </c>
      <c r="AL907">
        <v>-3</v>
      </c>
      <c r="AM907">
        <v>-0.56</v>
      </c>
      <c r="AN907">
        <v>13.41</v>
      </c>
      <c r="AO907">
        <v>-5.44</v>
      </c>
      <c r="AP907">
        <v>1.82</v>
      </c>
    </row>
    <row r="908" spans="1:42">
      <c r="A908">
        <v>907</v>
      </c>
      <c r="B908" t="str">
        <f>"300917"</f>
        <v>300917</v>
      </c>
      <c r="C908" t="s">
        <v>6375</v>
      </c>
      <c r="D908">
        <v>28.14</v>
      </c>
      <c r="E908">
        <v>1.74</v>
      </c>
      <c r="F908">
        <v>0.48</v>
      </c>
      <c r="G908" t="s">
        <v>6376</v>
      </c>
      <c r="H908">
        <v>1204</v>
      </c>
      <c r="I908">
        <v>28.13</v>
      </c>
      <c r="J908">
        <v>28.14</v>
      </c>
      <c r="K908" t="s">
        <v>467</v>
      </c>
      <c r="L908">
        <v>9.15</v>
      </c>
      <c r="M908" t="s">
        <v>46</v>
      </c>
      <c r="N908" t="s">
        <v>6377</v>
      </c>
      <c r="O908">
        <v>28.36</v>
      </c>
      <c r="P908">
        <v>27.21</v>
      </c>
      <c r="Q908">
        <v>27.69</v>
      </c>
      <c r="R908">
        <v>27.66</v>
      </c>
      <c r="S908">
        <v>4.16</v>
      </c>
      <c r="T908">
        <v>0.64</v>
      </c>
      <c r="U908">
        <v>5.93</v>
      </c>
      <c r="V908">
        <v>57</v>
      </c>
      <c r="W908">
        <v>27.93</v>
      </c>
      <c r="X908" t="s">
        <v>3716</v>
      </c>
      <c r="Y908" t="s">
        <v>5355</v>
      </c>
      <c r="Z908">
        <v>0.95</v>
      </c>
      <c r="AA908">
        <v>332</v>
      </c>
      <c r="AB908">
        <v>84</v>
      </c>
      <c r="AC908">
        <v>4.79</v>
      </c>
      <c r="AD908" t="s">
        <v>6378</v>
      </c>
      <c r="AE908" t="s">
        <v>4950</v>
      </c>
      <c r="AF908" t="s">
        <v>6379</v>
      </c>
      <c r="AG908" t="s">
        <v>4492</v>
      </c>
      <c r="AH908">
        <v>-2.8</v>
      </c>
      <c r="AI908">
        <v>-8.93</v>
      </c>
      <c r="AJ908">
        <v>25.9</v>
      </c>
      <c r="AK908">
        <v>80.14</v>
      </c>
      <c r="AL908">
        <v>1</v>
      </c>
      <c r="AM908">
        <v>1.74</v>
      </c>
      <c r="AN908">
        <v>3.65</v>
      </c>
      <c r="AO908">
        <v>6.47</v>
      </c>
      <c r="AP908">
        <v>14.39</v>
      </c>
    </row>
    <row r="909" spans="1:42">
      <c r="A909">
        <v>908</v>
      </c>
      <c r="B909" t="str">
        <f>"301499"</f>
        <v>301499</v>
      </c>
      <c r="C909" t="s">
        <v>6380</v>
      </c>
      <c r="D909">
        <v>35.28</v>
      </c>
      <c r="E909">
        <v>-1.56</v>
      </c>
      <c r="F909">
        <v>-0.56</v>
      </c>
      <c r="G909" t="s">
        <v>6381</v>
      </c>
      <c r="H909">
        <v>900</v>
      </c>
      <c r="I909">
        <v>35.28</v>
      </c>
      <c r="J909">
        <v>35.29</v>
      </c>
      <c r="K909" t="s">
        <v>467</v>
      </c>
      <c r="L909">
        <v>19.29</v>
      </c>
      <c r="M909" t="s">
        <v>46</v>
      </c>
      <c r="N909" t="s">
        <v>6382</v>
      </c>
      <c r="O909">
        <v>36.32</v>
      </c>
      <c r="P909">
        <v>34.22</v>
      </c>
      <c r="Q909">
        <v>36.03</v>
      </c>
      <c r="R909">
        <v>35.84</v>
      </c>
      <c r="S909">
        <v>5.86</v>
      </c>
      <c r="T909">
        <v>0.51</v>
      </c>
      <c r="U909">
        <v>63.49</v>
      </c>
      <c r="V909">
        <v>574</v>
      </c>
      <c r="W909">
        <v>34.99</v>
      </c>
      <c r="X909" t="s">
        <v>1806</v>
      </c>
      <c r="Y909" t="s">
        <v>541</v>
      </c>
      <c r="Z909">
        <v>1.19</v>
      </c>
      <c r="AA909">
        <v>22</v>
      </c>
      <c r="AB909">
        <v>25</v>
      </c>
      <c r="AC909">
        <v>4.02</v>
      </c>
      <c r="AD909" t="s">
        <v>6383</v>
      </c>
      <c r="AE909" t="s">
        <v>6384</v>
      </c>
      <c r="AF909" t="s">
        <v>6385</v>
      </c>
      <c r="AG909" t="s">
        <v>6386</v>
      </c>
      <c r="AH909">
        <v>-11.02</v>
      </c>
      <c r="AI909">
        <v>-1.15</v>
      </c>
      <c r="AJ909">
        <v>86.61</v>
      </c>
      <c r="AK909">
        <v>209.28</v>
      </c>
      <c r="AL909">
        <v>-3</v>
      </c>
      <c r="AM909">
        <v>-1.56</v>
      </c>
      <c r="AN909">
        <v>80.92</v>
      </c>
      <c r="AO909">
        <v>9.23</v>
      </c>
      <c r="AP909">
        <v>80.92</v>
      </c>
    </row>
    <row r="910" spans="1:42">
      <c r="A910">
        <v>909</v>
      </c>
      <c r="B910" t="str">
        <f>"300123"</f>
        <v>300123</v>
      </c>
      <c r="C910" t="s">
        <v>6387</v>
      </c>
      <c r="D910">
        <v>8.08</v>
      </c>
      <c r="E910">
        <v>1.25</v>
      </c>
      <c r="F910">
        <v>0.1</v>
      </c>
      <c r="G910" t="s">
        <v>2901</v>
      </c>
      <c r="H910">
        <v>8879</v>
      </c>
      <c r="I910">
        <v>8.07</v>
      </c>
      <c r="J910">
        <v>8.08</v>
      </c>
      <c r="K910" t="s">
        <v>467</v>
      </c>
      <c r="L910">
        <v>2.75</v>
      </c>
      <c r="M910" t="s">
        <v>46</v>
      </c>
      <c r="N910" t="s">
        <v>522</v>
      </c>
      <c r="O910">
        <v>8.14</v>
      </c>
      <c r="P910">
        <v>7.92</v>
      </c>
      <c r="Q910">
        <v>8.01</v>
      </c>
      <c r="R910">
        <v>7.98</v>
      </c>
      <c r="S910">
        <v>2.76</v>
      </c>
      <c r="T910">
        <v>1.05</v>
      </c>
      <c r="U910">
        <v>-9.99</v>
      </c>
      <c r="V910">
        <v>-1213</v>
      </c>
      <c r="W910">
        <v>8.03</v>
      </c>
      <c r="X910" t="s">
        <v>1207</v>
      </c>
      <c r="Y910" t="s">
        <v>1376</v>
      </c>
      <c r="Z910">
        <v>1.02</v>
      </c>
      <c r="AA910">
        <v>3058</v>
      </c>
      <c r="AB910">
        <v>646</v>
      </c>
      <c r="AC910">
        <v>2.98</v>
      </c>
      <c r="AD910" t="s">
        <v>2175</v>
      </c>
      <c r="AE910" t="s">
        <v>6388</v>
      </c>
      <c r="AF910" t="s">
        <v>6389</v>
      </c>
      <c r="AG910" t="s">
        <v>6390</v>
      </c>
      <c r="AH910">
        <v>-0.98</v>
      </c>
      <c r="AI910">
        <v>-3.58</v>
      </c>
      <c r="AJ910">
        <v>7.66</v>
      </c>
      <c r="AK910">
        <v>15.85</v>
      </c>
      <c r="AL910">
        <v>1</v>
      </c>
      <c r="AM910">
        <v>1.25</v>
      </c>
      <c r="AN910">
        <v>36.72</v>
      </c>
      <c r="AO910">
        <v>-3.92</v>
      </c>
      <c r="AP910">
        <v>35.8</v>
      </c>
    </row>
    <row r="911" spans="1:42">
      <c r="A911">
        <v>910</v>
      </c>
      <c r="B911" t="str">
        <f>"600760"</f>
        <v>600760</v>
      </c>
      <c r="C911" t="s">
        <v>6391</v>
      </c>
      <c r="D911">
        <v>42.47</v>
      </c>
      <c r="E911">
        <v>1</v>
      </c>
      <c r="F911">
        <v>0.42</v>
      </c>
      <c r="G911" t="s">
        <v>6392</v>
      </c>
      <c r="H911">
        <v>213</v>
      </c>
      <c r="I911">
        <v>42.47</v>
      </c>
      <c r="J911">
        <v>42.48</v>
      </c>
      <c r="K911" t="s">
        <v>6393</v>
      </c>
      <c r="L911">
        <v>0.19</v>
      </c>
      <c r="M911" t="s">
        <v>46</v>
      </c>
      <c r="N911" t="s">
        <v>6394</v>
      </c>
      <c r="O911">
        <v>42.6</v>
      </c>
      <c r="P911">
        <v>41.86</v>
      </c>
      <c r="Q911">
        <v>42.06</v>
      </c>
      <c r="R911">
        <v>42.05</v>
      </c>
      <c r="S911">
        <v>1.76</v>
      </c>
      <c r="T911">
        <v>0.97</v>
      </c>
      <c r="U911">
        <v>-49.79</v>
      </c>
      <c r="V911">
        <v>-444</v>
      </c>
      <c r="W911">
        <v>42.22</v>
      </c>
      <c r="X911" t="s">
        <v>1710</v>
      </c>
      <c r="Y911" t="s">
        <v>6395</v>
      </c>
      <c r="Z911">
        <v>0.79</v>
      </c>
      <c r="AA911">
        <v>106</v>
      </c>
      <c r="AB911">
        <v>203</v>
      </c>
      <c r="AC911">
        <v>8.09</v>
      </c>
      <c r="AD911" t="s">
        <v>6396</v>
      </c>
      <c r="AE911" t="s">
        <v>6397</v>
      </c>
      <c r="AF911" t="s">
        <v>6398</v>
      </c>
      <c r="AG911" t="s">
        <v>94</v>
      </c>
      <c r="AH911">
        <v>-0.14</v>
      </c>
      <c r="AI911">
        <v>-1.58</v>
      </c>
      <c r="AJ911">
        <v>0.59</v>
      </c>
      <c r="AK911">
        <v>1.16</v>
      </c>
      <c r="AL911">
        <v>1</v>
      </c>
      <c r="AM911">
        <v>1</v>
      </c>
      <c r="AN911">
        <v>2.12</v>
      </c>
      <c r="AO911">
        <v>2.88</v>
      </c>
      <c r="AP911">
        <v>-8.78</v>
      </c>
    </row>
    <row r="912" spans="1:42">
      <c r="A912">
        <v>911</v>
      </c>
      <c r="B912" t="str">
        <f>"002547"</f>
        <v>002547</v>
      </c>
      <c r="C912" t="s">
        <v>6399</v>
      </c>
      <c r="D912">
        <v>5.26</v>
      </c>
      <c r="E912">
        <v>0.77</v>
      </c>
      <c r="F912">
        <v>0.04</v>
      </c>
      <c r="G912" t="s">
        <v>6400</v>
      </c>
      <c r="H912">
        <v>8034</v>
      </c>
      <c r="I912">
        <v>5.26</v>
      </c>
      <c r="J912">
        <v>5.27</v>
      </c>
      <c r="K912" t="s">
        <v>6401</v>
      </c>
      <c r="L912">
        <v>3.82</v>
      </c>
      <c r="M912" t="s">
        <v>46</v>
      </c>
      <c r="N912" t="s">
        <v>6402</v>
      </c>
      <c r="O912">
        <v>5.27</v>
      </c>
      <c r="P912">
        <v>5.13</v>
      </c>
      <c r="Q912">
        <v>5.24</v>
      </c>
      <c r="R912">
        <v>5.22</v>
      </c>
      <c r="S912">
        <v>2.68</v>
      </c>
      <c r="T912">
        <v>0.6</v>
      </c>
      <c r="U912">
        <v>-10.71</v>
      </c>
      <c r="V912">
        <v>-4788</v>
      </c>
      <c r="W912">
        <v>5.2</v>
      </c>
      <c r="X912" t="s">
        <v>518</v>
      </c>
      <c r="Y912" t="s">
        <v>2160</v>
      </c>
      <c r="Z912">
        <v>1.07</v>
      </c>
      <c r="AA912">
        <v>4859</v>
      </c>
      <c r="AB912">
        <v>7224</v>
      </c>
      <c r="AC912">
        <v>13.31</v>
      </c>
      <c r="AD912" t="s">
        <v>735</v>
      </c>
      <c r="AE912" t="s">
        <v>6403</v>
      </c>
      <c r="AF912" t="s">
        <v>6404</v>
      </c>
      <c r="AG912" t="s">
        <v>6405</v>
      </c>
      <c r="AH912">
        <v>-1.13</v>
      </c>
      <c r="AI912">
        <v>2.14</v>
      </c>
      <c r="AJ912">
        <v>19.6</v>
      </c>
      <c r="AK912">
        <v>35.82</v>
      </c>
      <c r="AL912">
        <v>1</v>
      </c>
      <c r="AM912">
        <v>0.77</v>
      </c>
      <c r="AN912">
        <v>14.85</v>
      </c>
      <c r="AO912">
        <v>11.44</v>
      </c>
      <c r="AP912">
        <v>2.53</v>
      </c>
    </row>
    <row r="913" spans="1:42">
      <c r="A913">
        <v>912</v>
      </c>
      <c r="B913" t="str">
        <f>"603659"</f>
        <v>603659</v>
      </c>
      <c r="C913" t="s">
        <v>6406</v>
      </c>
      <c r="D913">
        <v>22.59</v>
      </c>
      <c r="E913">
        <v>-1.57</v>
      </c>
      <c r="F913">
        <v>-0.36</v>
      </c>
      <c r="G913" t="s">
        <v>3241</v>
      </c>
      <c r="H913">
        <v>1235</v>
      </c>
      <c r="I913">
        <v>22.58</v>
      </c>
      <c r="J913">
        <v>22.59</v>
      </c>
      <c r="K913" t="s">
        <v>6401</v>
      </c>
      <c r="L913">
        <v>0.48</v>
      </c>
      <c r="M913" t="s">
        <v>46</v>
      </c>
      <c r="N913" t="s">
        <v>6407</v>
      </c>
      <c r="O913">
        <v>22.95</v>
      </c>
      <c r="P913">
        <v>22.42</v>
      </c>
      <c r="Q913">
        <v>22.92</v>
      </c>
      <c r="R913">
        <v>22.95</v>
      </c>
      <c r="S913">
        <v>2.31</v>
      </c>
      <c r="T913">
        <v>0.86</v>
      </c>
      <c r="U913">
        <v>-2.34</v>
      </c>
      <c r="V913">
        <v>-19</v>
      </c>
      <c r="W913">
        <v>22.61</v>
      </c>
      <c r="X913" t="s">
        <v>2984</v>
      </c>
      <c r="Y913" t="s">
        <v>6408</v>
      </c>
      <c r="Z913">
        <v>1.28</v>
      </c>
      <c r="AA913">
        <v>107</v>
      </c>
      <c r="AB913">
        <v>278</v>
      </c>
      <c r="AC913">
        <v>2.75</v>
      </c>
      <c r="AD913" t="s">
        <v>6409</v>
      </c>
      <c r="AE913" t="s">
        <v>6410</v>
      </c>
      <c r="AF913" t="s">
        <v>6411</v>
      </c>
      <c r="AG913" t="s">
        <v>6412</v>
      </c>
      <c r="AH913">
        <v>-1.91</v>
      </c>
      <c r="AI913">
        <v>-5.16</v>
      </c>
      <c r="AJ913">
        <v>1.46</v>
      </c>
      <c r="AK913">
        <v>3.29</v>
      </c>
      <c r="AL913">
        <v>-1</v>
      </c>
      <c r="AM913">
        <v>-1.57</v>
      </c>
      <c r="AN913">
        <v>-36.46</v>
      </c>
      <c r="AO913">
        <v>-9.02</v>
      </c>
      <c r="AP913">
        <v>-39.52</v>
      </c>
    </row>
    <row r="914" spans="1:42">
      <c r="A914">
        <v>913</v>
      </c>
      <c r="B914" t="str">
        <f>"601168"</f>
        <v>601168</v>
      </c>
      <c r="C914" t="s">
        <v>6413</v>
      </c>
      <c r="D914">
        <v>12.88</v>
      </c>
      <c r="E914">
        <v>0.47</v>
      </c>
      <c r="F914">
        <v>0.06</v>
      </c>
      <c r="G914" t="s">
        <v>172</v>
      </c>
      <c r="H914">
        <v>912</v>
      </c>
      <c r="I914">
        <v>12.88</v>
      </c>
      <c r="J914">
        <v>12.89</v>
      </c>
      <c r="K914" t="s">
        <v>6414</v>
      </c>
      <c r="L914">
        <v>0.71</v>
      </c>
      <c r="M914" t="s">
        <v>46</v>
      </c>
      <c r="N914" t="s">
        <v>6415</v>
      </c>
      <c r="O914">
        <v>12.94</v>
      </c>
      <c r="P914">
        <v>12.79</v>
      </c>
      <c r="Q914">
        <v>12.85</v>
      </c>
      <c r="R914">
        <v>12.82</v>
      </c>
      <c r="S914">
        <v>1.17</v>
      </c>
      <c r="T914">
        <v>1.25</v>
      </c>
      <c r="U914">
        <v>-28.07</v>
      </c>
      <c r="V914">
        <v>-1696</v>
      </c>
      <c r="W914">
        <v>12.87</v>
      </c>
      <c r="X914" t="s">
        <v>3750</v>
      </c>
      <c r="Y914" t="s">
        <v>4441</v>
      </c>
      <c r="Z914">
        <v>0.81</v>
      </c>
      <c r="AA914">
        <v>166</v>
      </c>
      <c r="AB914">
        <v>52</v>
      </c>
      <c r="AC914">
        <v>2.04</v>
      </c>
      <c r="AD914" t="s">
        <v>4471</v>
      </c>
      <c r="AE914" t="s">
        <v>6416</v>
      </c>
      <c r="AF914" t="s">
        <v>4471</v>
      </c>
      <c r="AG914" t="s">
        <v>6416</v>
      </c>
      <c r="AH914">
        <v>0.08</v>
      </c>
      <c r="AI914">
        <v>0.23</v>
      </c>
      <c r="AJ914">
        <v>1.85</v>
      </c>
      <c r="AK914">
        <v>3.57</v>
      </c>
      <c r="AL914">
        <v>1</v>
      </c>
      <c r="AM914">
        <v>0.47</v>
      </c>
      <c r="AN914">
        <v>46.36</v>
      </c>
      <c r="AO914">
        <v>3.45</v>
      </c>
      <c r="AP914">
        <v>36.44</v>
      </c>
    </row>
    <row r="915" spans="1:42">
      <c r="A915">
        <v>914</v>
      </c>
      <c r="B915" t="str">
        <f>"837092"</f>
        <v>837092</v>
      </c>
      <c r="C915" t="s">
        <v>6417</v>
      </c>
      <c r="D915">
        <v>39.86</v>
      </c>
      <c r="E915">
        <v>-5.32</v>
      </c>
      <c r="F915">
        <v>-2.24</v>
      </c>
      <c r="G915" t="s">
        <v>5191</v>
      </c>
      <c r="H915">
        <v>557</v>
      </c>
      <c r="I915">
        <v>39.86</v>
      </c>
      <c r="J915">
        <v>39.88</v>
      </c>
      <c r="K915" t="s">
        <v>6414</v>
      </c>
      <c r="L915">
        <v>21.01</v>
      </c>
      <c r="M915" t="s">
        <v>46</v>
      </c>
      <c r="N915" t="s">
        <v>4515</v>
      </c>
      <c r="O915">
        <v>45.79</v>
      </c>
      <c r="P915">
        <v>38.8</v>
      </c>
      <c r="Q915">
        <v>42</v>
      </c>
      <c r="R915">
        <v>42.1</v>
      </c>
      <c r="S915">
        <v>16.6</v>
      </c>
      <c r="T915">
        <v>0.96</v>
      </c>
      <c r="U915">
        <v>38.64</v>
      </c>
      <c r="V915">
        <v>143</v>
      </c>
      <c r="W915">
        <v>41.96</v>
      </c>
      <c r="X915" t="s">
        <v>6418</v>
      </c>
      <c r="Y915" t="s">
        <v>6419</v>
      </c>
      <c r="Z915">
        <v>1.19</v>
      </c>
      <c r="AA915">
        <v>194</v>
      </c>
      <c r="AB915">
        <v>2</v>
      </c>
      <c r="AC915">
        <v>5.01</v>
      </c>
      <c r="AD915" t="s">
        <v>6420</v>
      </c>
      <c r="AE915" t="s">
        <v>402</v>
      </c>
      <c r="AF915" t="s">
        <v>6421</v>
      </c>
      <c r="AG915" t="s">
        <v>6422</v>
      </c>
      <c r="AH915">
        <v>-1.29</v>
      </c>
      <c r="AI915">
        <v>72.33</v>
      </c>
      <c r="AJ915">
        <v>59.2</v>
      </c>
      <c r="AK915">
        <v>130.67</v>
      </c>
      <c r="AL915">
        <v>-1</v>
      </c>
      <c r="AM915">
        <v>-5.32</v>
      </c>
      <c r="AN915">
        <v>190.95</v>
      </c>
      <c r="AO915">
        <v>185.12</v>
      </c>
      <c r="AP915">
        <v>182.49</v>
      </c>
    </row>
    <row r="916" spans="1:42">
      <c r="A916">
        <v>915</v>
      </c>
      <c r="B916" t="str">
        <f>"603589"</f>
        <v>603589</v>
      </c>
      <c r="C916" t="s">
        <v>6423</v>
      </c>
      <c r="D916">
        <v>46.93</v>
      </c>
      <c r="E916">
        <v>-0.61</v>
      </c>
      <c r="F916">
        <v>-0.29</v>
      </c>
      <c r="G916" t="s">
        <v>5644</v>
      </c>
      <c r="H916">
        <v>262</v>
      </c>
      <c r="I916">
        <v>46.93</v>
      </c>
      <c r="J916">
        <v>46.94</v>
      </c>
      <c r="K916" t="s">
        <v>6414</v>
      </c>
      <c r="L916">
        <v>0.78</v>
      </c>
      <c r="M916" t="s">
        <v>46</v>
      </c>
      <c r="N916" t="s">
        <v>6424</v>
      </c>
      <c r="O916">
        <v>47.3</v>
      </c>
      <c r="P916">
        <v>46.46</v>
      </c>
      <c r="Q916">
        <v>47.21</v>
      </c>
      <c r="R916">
        <v>47.22</v>
      </c>
      <c r="S916">
        <v>1.78</v>
      </c>
      <c r="T916">
        <v>1.25</v>
      </c>
      <c r="U916">
        <v>-8.41</v>
      </c>
      <c r="V916">
        <v>-29</v>
      </c>
      <c r="W916">
        <v>46.8</v>
      </c>
      <c r="X916" t="s">
        <v>2388</v>
      </c>
      <c r="Y916" t="s">
        <v>6425</v>
      </c>
      <c r="Z916">
        <v>1.4</v>
      </c>
      <c r="AA916">
        <v>37</v>
      </c>
      <c r="AB916">
        <v>87</v>
      </c>
      <c r="AC916">
        <v>3.01</v>
      </c>
      <c r="AD916" t="s">
        <v>6426</v>
      </c>
      <c r="AE916" t="s">
        <v>6427</v>
      </c>
      <c r="AF916" t="s">
        <v>6428</v>
      </c>
      <c r="AG916" t="s">
        <v>6429</v>
      </c>
      <c r="AH916">
        <v>-2.05</v>
      </c>
      <c r="AI916">
        <v>-3.54</v>
      </c>
      <c r="AJ916">
        <v>2.04</v>
      </c>
      <c r="AK916">
        <v>3.88</v>
      </c>
      <c r="AL916">
        <v>-3</v>
      </c>
      <c r="AM916">
        <v>-0.61</v>
      </c>
      <c r="AN916">
        <v>-16.45</v>
      </c>
      <c r="AO916">
        <v>-5.19</v>
      </c>
      <c r="AP916">
        <v>3.99</v>
      </c>
    </row>
    <row r="917" spans="1:42">
      <c r="A917">
        <v>916</v>
      </c>
      <c r="B917" t="str">
        <f>"688048"</f>
        <v>688048</v>
      </c>
      <c r="C917" t="s">
        <v>6430</v>
      </c>
      <c r="D917">
        <v>68</v>
      </c>
      <c r="E917">
        <v>0.89</v>
      </c>
      <c r="F917">
        <v>0.6</v>
      </c>
      <c r="G917" t="s">
        <v>6431</v>
      </c>
      <c r="H917">
        <v>430</v>
      </c>
      <c r="I917">
        <v>68</v>
      </c>
      <c r="J917">
        <v>68.01</v>
      </c>
      <c r="K917" t="s">
        <v>6414</v>
      </c>
      <c r="L917">
        <v>3.27</v>
      </c>
      <c r="M917" t="s">
        <v>46</v>
      </c>
      <c r="N917" t="s">
        <v>6401</v>
      </c>
      <c r="O917">
        <v>68.92</v>
      </c>
      <c r="P917">
        <v>66.31</v>
      </c>
      <c r="Q917">
        <v>66.66</v>
      </c>
      <c r="R917">
        <v>67.4</v>
      </c>
      <c r="S917">
        <v>3.87</v>
      </c>
      <c r="T917">
        <v>0.55</v>
      </c>
      <c r="U917">
        <v>48.81</v>
      </c>
      <c r="V917">
        <v>98</v>
      </c>
      <c r="W917">
        <v>67.68</v>
      </c>
      <c r="X917" t="s">
        <v>1692</v>
      </c>
      <c r="Y917" t="s">
        <v>144</v>
      </c>
      <c r="Z917">
        <v>1.04</v>
      </c>
      <c r="AA917">
        <v>63</v>
      </c>
      <c r="AB917">
        <v>13</v>
      </c>
      <c r="AC917">
        <v>3.78</v>
      </c>
      <c r="AD917" t="s">
        <v>6432</v>
      </c>
      <c r="AE917" t="s">
        <v>6433</v>
      </c>
      <c r="AF917" t="s">
        <v>6434</v>
      </c>
      <c r="AG917" t="s">
        <v>6435</v>
      </c>
      <c r="AH917">
        <v>0.67</v>
      </c>
      <c r="AI917">
        <v>-8.15</v>
      </c>
      <c r="AJ917">
        <v>11.47</v>
      </c>
      <c r="AK917">
        <v>32.78</v>
      </c>
      <c r="AL917">
        <v>1</v>
      </c>
      <c r="AM917">
        <v>0.89</v>
      </c>
      <c r="AN917">
        <v>-8.29</v>
      </c>
      <c r="AO917">
        <v>5.75</v>
      </c>
      <c r="AP917">
        <v>-22</v>
      </c>
    </row>
    <row r="918" spans="1:42">
      <c r="A918">
        <v>917</v>
      </c>
      <c r="B918" t="str">
        <f>"300928"</f>
        <v>300928</v>
      </c>
      <c r="C918" t="s">
        <v>6436</v>
      </c>
      <c r="D918">
        <v>61.38</v>
      </c>
      <c r="E918">
        <v>-3.66</v>
      </c>
      <c r="F918">
        <v>-2.33</v>
      </c>
      <c r="G918" t="s">
        <v>4527</v>
      </c>
      <c r="H918">
        <v>233</v>
      </c>
      <c r="I918">
        <v>61.38</v>
      </c>
      <c r="J918">
        <v>61.51</v>
      </c>
      <c r="K918" t="s">
        <v>6414</v>
      </c>
      <c r="L918">
        <v>7.99</v>
      </c>
      <c r="M918" t="s">
        <v>46</v>
      </c>
      <c r="N918" t="s">
        <v>6437</v>
      </c>
      <c r="O918">
        <v>64.22</v>
      </c>
      <c r="P918">
        <v>59.81</v>
      </c>
      <c r="Q918">
        <v>63.51</v>
      </c>
      <c r="R918">
        <v>63.71</v>
      </c>
      <c r="S918">
        <v>6.92</v>
      </c>
      <c r="T918">
        <v>1.04</v>
      </c>
      <c r="U918">
        <v>-44.92</v>
      </c>
      <c r="V918">
        <v>-243</v>
      </c>
      <c r="W918">
        <v>61.79</v>
      </c>
      <c r="X918" t="s">
        <v>2723</v>
      </c>
      <c r="Y918" t="s">
        <v>390</v>
      </c>
      <c r="Z918">
        <v>1.12</v>
      </c>
      <c r="AA918">
        <v>84</v>
      </c>
      <c r="AB918">
        <v>69</v>
      </c>
      <c r="AC918">
        <v>3.86</v>
      </c>
      <c r="AD918" t="s">
        <v>3612</v>
      </c>
      <c r="AE918" t="s">
        <v>6438</v>
      </c>
      <c r="AF918" t="s">
        <v>6439</v>
      </c>
      <c r="AG918" t="s">
        <v>6440</v>
      </c>
      <c r="AH918">
        <v>-9.91</v>
      </c>
      <c r="AI918">
        <v>-9.71</v>
      </c>
      <c r="AJ918">
        <v>22.67</v>
      </c>
      <c r="AK918">
        <v>46.42</v>
      </c>
      <c r="AL918">
        <v>-4</v>
      </c>
      <c r="AM918">
        <v>-3.66</v>
      </c>
      <c r="AN918">
        <v>71.21</v>
      </c>
      <c r="AO918">
        <v>1.37</v>
      </c>
      <c r="AP918">
        <v>50.63</v>
      </c>
    </row>
    <row r="919" spans="1:42">
      <c r="A919">
        <v>918</v>
      </c>
      <c r="B919" t="str">
        <f>"603009"</f>
        <v>603009</v>
      </c>
      <c r="C919" t="s">
        <v>6441</v>
      </c>
      <c r="D919">
        <v>12.27</v>
      </c>
      <c r="E919">
        <v>-1.29</v>
      </c>
      <c r="F919">
        <v>-0.16</v>
      </c>
      <c r="G919" t="s">
        <v>1403</v>
      </c>
      <c r="H919">
        <v>3304</v>
      </c>
      <c r="I919">
        <v>12.26</v>
      </c>
      <c r="J919">
        <v>12.27</v>
      </c>
      <c r="K919" t="s">
        <v>6442</v>
      </c>
      <c r="L919">
        <v>5.21</v>
      </c>
      <c r="M919" t="s">
        <v>46</v>
      </c>
      <c r="N919" t="s">
        <v>6443</v>
      </c>
      <c r="O919">
        <v>12.58</v>
      </c>
      <c r="P919">
        <v>12.1</v>
      </c>
      <c r="Q919">
        <v>12.49</v>
      </c>
      <c r="R919">
        <v>12.43</v>
      </c>
      <c r="S919">
        <v>3.86</v>
      </c>
      <c r="T919">
        <v>0.82</v>
      </c>
      <c r="U919">
        <v>-23.57</v>
      </c>
      <c r="V919">
        <v>-972</v>
      </c>
      <c r="W919">
        <v>12.28</v>
      </c>
      <c r="X919" t="s">
        <v>2514</v>
      </c>
      <c r="Y919" t="s">
        <v>2514</v>
      </c>
      <c r="Z919">
        <v>1</v>
      </c>
      <c r="AA919">
        <v>235</v>
      </c>
      <c r="AB919">
        <v>1467</v>
      </c>
      <c r="AC919">
        <v>2.58</v>
      </c>
      <c r="AD919" t="s">
        <v>6444</v>
      </c>
      <c r="AE919" t="s">
        <v>6445</v>
      </c>
      <c r="AF919" t="s">
        <v>4889</v>
      </c>
      <c r="AG919" t="s">
        <v>6446</v>
      </c>
      <c r="AH919">
        <v>-2.23</v>
      </c>
      <c r="AI919">
        <v>-5.9</v>
      </c>
      <c r="AJ919">
        <v>18.99</v>
      </c>
      <c r="AK919">
        <v>37.12</v>
      </c>
      <c r="AL919">
        <v>-2</v>
      </c>
      <c r="AM919">
        <v>-1.29</v>
      </c>
      <c r="AN919">
        <v>106.57</v>
      </c>
      <c r="AO919">
        <v>3.72</v>
      </c>
      <c r="AP919">
        <v>88.77</v>
      </c>
    </row>
    <row r="920" spans="1:42">
      <c r="A920">
        <v>919</v>
      </c>
      <c r="B920" t="str">
        <f>"600114"</f>
        <v>600114</v>
      </c>
      <c r="C920" t="s">
        <v>6447</v>
      </c>
      <c r="D920">
        <v>14.19</v>
      </c>
      <c r="E920">
        <v>-1.39</v>
      </c>
      <c r="F920">
        <v>-0.2</v>
      </c>
      <c r="G920" t="s">
        <v>978</v>
      </c>
      <c r="H920">
        <v>3050</v>
      </c>
      <c r="I920">
        <v>14.18</v>
      </c>
      <c r="J920">
        <v>14.19</v>
      </c>
      <c r="K920" t="s">
        <v>6442</v>
      </c>
      <c r="L920">
        <v>2.48</v>
      </c>
      <c r="M920" t="s">
        <v>46</v>
      </c>
      <c r="N920" t="s">
        <v>2909</v>
      </c>
      <c r="O920">
        <v>14.45</v>
      </c>
      <c r="P920">
        <v>14</v>
      </c>
      <c r="Q920">
        <v>14.39</v>
      </c>
      <c r="R920">
        <v>14.39</v>
      </c>
      <c r="S920">
        <v>3.13</v>
      </c>
      <c r="T920">
        <v>0.79</v>
      </c>
      <c r="U920">
        <v>20.29</v>
      </c>
      <c r="V920">
        <v>529</v>
      </c>
      <c r="W920">
        <v>14.18</v>
      </c>
      <c r="X920" t="s">
        <v>6448</v>
      </c>
      <c r="Y920" t="s">
        <v>6381</v>
      </c>
      <c r="Z920">
        <v>1.42</v>
      </c>
      <c r="AA920">
        <v>129</v>
      </c>
      <c r="AB920">
        <v>522</v>
      </c>
      <c r="AC920">
        <v>3.47</v>
      </c>
      <c r="AD920" t="s">
        <v>6449</v>
      </c>
      <c r="AE920" t="s">
        <v>6450</v>
      </c>
      <c r="AF920" t="s">
        <v>6449</v>
      </c>
      <c r="AG920" t="s">
        <v>6450</v>
      </c>
      <c r="AH920">
        <v>1.65</v>
      </c>
      <c r="AI920">
        <v>0.92</v>
      </c>
      <c r="AJ920">
        <v>9.97</v>
      </c>
      <c r="AK920">
        <v>18.15</v>
      </c>
      <c r="AL920">
        <v>-1</v>
      </c>
      <c r="AM920">
        <v>-1.39</v>
      </c>
      <c r="AN920">
        <v>68.93</v>
      </c>
      <c r="AO920">
        <v>8.24</v>
      </c>
      <c r="AP920">
        <v>60.52</v>
      </c>
    </row>
    <row r="921" spans="1:42">
      <c r="A921">
        <v>920</v>
      </c>
      <c r="B921" t="str">
        <f>"300144"</f>
        <v>300144</v>
      </c>
      <c r="C921" t="s">
        <v>6451</v>
      </c>
      <c r="D921">
        <v>10.49</v>
      </c>
      <c r="E921">
        <v>-0.19</v>
      </c>
      <c r="F921">
        <v>-0.02</v>
      </c>
      <c r="G921" t="s">
        <v>3809</v>
      </c>
      <c r="H921">
        <v>1543</v>
      </c>
      <c r="I921">
        <v>10.48</v>
      </c>
      <c r="J921">
        <v>10.49</v>
      </c>
      <c r="K921" t="s">
        <v>6442</v>
      </c>
      <c r="L921">
        <v>0.91</v>
      </c>
      <c r="M921" t="s">
        <v>46</v>
      </c>
      <c r="N921" t="s">
        <v>5941</v>
      </c>
      <c r="O921">
        <v>10.63</v>
      </c>
      <c r="P921">
        <v>10.37</v>
      </c>
      <c r="Q921">
        <v>10.52</v>
      </c>
      <c r="R921">
        <v>10.51</v>
      </c>
      <c r="S921">
        <v>2.47</v>
      </c>
      <c r="T921">
        <v>1.39</v>
      </c>
      <c r="U921">
        <v>-1.81</v>
      </c>
      <c r="V921">
        <v>-119</v>
      </c>
      <c r="W921">
        <v>10.5</v>
      </c>
      <c r="X921" t="s">
        <v>446</v>
      </c>
      <c r="Y921" t="s">
        <v>4235</v>
      </c>
      <c r="Z921">
        <v>1.65</v>
      </c>
      <c r="AA921">
        <v>1209</v>
      </c>
      <c r="AB921">
        <v>9</v>
      </c>
      <c r="AC921">
        <v>3.32</v>
      </c>
      <c r="AD921" t="s">
        <v>6452</v>
      </c>
      <c r="AE921" t="s">
        <v>2176</v>
      </c>
      <c r="AF921" t="s">
        <v>4776</v>
      </c>
      <c r="AG921" t="s">
        <v>6453</v>
      </c>
      <c r="AH921">
        <v>-0.85</v>
      </c>
      <c r="AI921">
        <v>-2.42</v>
      </c>
      <c r="AJ921">
        <v>2.07</v>
      </c>
      <c r="AK921">
        <v>4.17</v>
      </c>
      <c r="AL921">
        <v>-1</v>
      </c>
      <c r="AM921">
        <v>-0.19</v>
      </c>
      <c r="AN921">
        <v>-27.9</v>
      </c>
      <c r="AO921">
        <v>-5.24</v>
      </c>
      <c r="AP921">
        <v>-17.73</v>
      </c>
    </row>
    <row r="922" spans="1:42">
      <c r="A922">
        <v>921</v>
      </c>
      <c r="B922" t="str">
        <f>"002568"</f>
        <v>002568</v>
      </c>
      <c r="C922" t="s">
        <v>6454</v>
      </c>
      <c r="D922">
        <v>25.15</v>
      </c>
      <c r="E922">
        <v>-2.44</v>
      </c>
      <c r="F922">
        <v>-0.63</v>
      </c>
      <c r="G922" t="s">
        <v>6312</v>
      </c>
      <c r="H922">
        <v>404</v>
      </c>
      <c r="I922">
        <v>25.14</v>
      </c>
      <c r="J922">
        <v>25.15</v>
      </c>
      <c r="K922" t="s">
        <v>6123</v>
      </c>
      <c r="L922">
        <v>1.2</v>
      </c>
      <c r="M922" t="s">
        <v>46</v>
      </c>
      <c r="N922" t="s">
        <v>1023</v>
      </c>
      <c r="O922">
        <v>25.69</v>
      </c>
      <c r="P922">
        <v>24.8</v>
      </c>
      <c r="Q922">
        <v>25.65</v>
      </c>
      <c r="R922">
        <v>25.78</v>
      </c>
      <c r="S922">
        <v>3.45</v>
      </c>
      <c r="T922">
        <v>1.85</v>
      </c>
      <c r="U922">
        <v>-71.98</v>
      </c>
      <c r="V922">
        <v>-298</v>
      </c>
      <c r="W922">
        <v>25.09</v>
      </c>
      <c r="X922" t="s">
        <v>4009</v>
      </c>
      <c r="Y922" t="s">
        <v>1069</v>
      </c>
      <c r="Z922">
        <v>1.44</v>
      </c>
      <c r="AA922">
        <v>6</v>
      </c>
      <c r="AB922">
        <v>141</v>
      </c>
      <c r="AC922">
        <v>7.06</v>
      </c>
      <c r="AD922" t="s">
        <v>1039</v>
      </c>
      <c r="AE922" t="s">
        <v>6455</v>
      </c>
      <c r="AF922" t="s">
        <v>6456</v>
      </c>
      <c r="AG922" t="s">
        <v>6457</v>
      </c>
      <c r="AH922">
        <v>-3.01</v>
      </c>
      <c r="AI922">
        <v>-5.13</v>
      </c>
      <c r="AJ922">
        <v>2.58</v>
      </c>
      <c r="AK922">
        <v>4.45</v>
      </c>
      <c r="AL922">
        <v>-1</v>
      </c>
      <c r="AM922">
        <v>-2.44</v>
      </c>
      <c r="AN922">
        <v>-31.77</v>
      </c>
      <c r="AO922">
        <v>-3.31</v>
      </c>
      <c r="AP922">
        <v>-27.25</v>
      </c>
    </row>
    <row r="923" spans="1:42">
      <c r="A923">
        <v>922</v>
      </c>
      <c r="B923" t="str">
        <f>"002019"</f>
        <v>002019</v>
      </c>
      <c r="C923" t="s">
        <v>6458</v>
      </c>
      <c r="D923">
        <v>16.59</v>
      </c>
      <c r="E923">
        <v>-0.12</v>
      </c>
      <c r="F923">
        <v>-0.02</v>
      </c>
      <c r="G923" t="s">
        <v>1987</v>
      </c>
      <c r="H923">
        <v>1457</v>
      </c>
      <c r="I923">
        <v>16.58</v>
      </c>
      <c r="J923">
        <v>16.59</v>
      </c>
      <c r="K923" t="s">
        <v>6123</v>
      </c>
      <c r="L923">
        <v>1.53</v>
      </c>
      <c r="M923" t="s">
        <v>46</v>
      </c>
      <c r="N923" t="s">
        <v>4661</v>
      </c>
      <c r="O923">
        <v>16.86</v>
      </c>
      <c r="P923">
        <v>16.4</v>
      </c>
      <c r="Q923">
        <v>16.86</v>
      </c>
      <c r="R923">
        <v>16.61</v>
      </c>
      <c r="S923">
        <v>2.77</v>
      </c>
      <c r="T923">
        <v>0.84</v>
      </c>
      <c r="U923">
        <v>-70.62</v>
      </c>
      <c r="V923">
        <v>-1714</v>
      </c>
      <c r="W923">
        <v>16.56</v>
      </c>
      <c r="X923" t="s">
        <v>3539</v>
      </c>
      <c r="Y923" t="s">
        <v>4145</v>
      </c>
      <c r="Z923">
        <v>1.35</v>
      </c>
      <c r="AA923">
        <v>152</v>
      </c>
      <c r="AB923">
        <v>170</v>
      </c>
      <c r="AC923">
        <v>2.26</v>
      </c>
      <c r="AD923" t="s">
        <v>6459</v>
      </c>
      <c r="AE923" t="s">
        <v>6460</v>
      </c>
      <c r="AF923" t="s">
        <v>6461</v>
      </c>
      <c r="AG923" t="s">
        <v>6462</v>
      </c>
      <c r="AH923">
        <v>6.41</v>
      </c>
      <c r="AI923">
        <v>4.21</v>
      </c>
      <c r="AJ923">
        <v>6.92</v>
      </c>
      <c r="AK923">
        <v>10.67</v>
      </c>
      <c r="AL923">
        <v>-1</v>
      </c>
      <c r="AM923">
        <v>-0.12</v>
      </c>
      <c r="AN923">
        <v>35.43</v>
      </c>
      <c r="AO923">
        <v>21.99</v>
      </c>
      <c r="AP923">
        <v>28.41</v>
      </c>
    </row>
    <row r="924" spans="1:42">
      <c r="A924">
        <v>923</v>
      </c>
      <c r="B924" t="str">
        <f>"002077"</f>
        <v>002077</v>
      </c>
      <c r="C924" t="s">
        <v>6463</v>
      </c>
      <c r="D924">
        <v>15.91</v>
      </c>
      <c r="E924">
        <v>1.34</v>
      </c>
      <c r="F924">
        <v>0.21</v>
      </c>
      <c r="G924" t="s">
        <v>2753</v>
      </c>
      <c r="H924">
        <v>2588</v>
      </c>
      <c r="I924">
        <v>15.91</v>
      </c>
      <c r="J924">
        <v>15.92</v>
      </c>
      <c r="K924" t="s">
        <v>6123</v>
      </c>
      <c r="L924">
        <v>2.36</v>
      </c>
      <c r="M924" t="s">
        <v>46</v>
      </c>
      <c r="N924" t="s">
        <v>6464</v>
      </c>
      <c r="O924">
        <v>15.99</v>
      </c>
      <c r="P924">
        <v>15.6</v>
      </c>
      <c r="Q924">
        <v>15.72</v>
      </c>
      <c r="R924">
        <v>15.7</v>
      </c>
      <c r="S924">
        <v>2.48</v>
      </c>
      <c r="T924">
        <v>0.59</v>
      </c>
      <c r="U924">
        <v>-13</v>
      </c>
      <c r="V924">
        <v>-826</v>
      </c>
      <c r="W924">
        <v>15.81</v>
      </c>
      <c r="X924" t="s">
        <v>6465</v>
      </c>
      <c r="Y924" t="s">
        <v>4797</v>
      </c>
      <c r="Z924">
        <v>0.89</v>
      </c>
      <c r="AA924">
        <v>672</v>
      </c>
      <c r="AB924">
        <v>1156</v>
      </c>
      <c r="AC924">
        <v>2.8</v>
      </c>
      <c r="AD924" t="s">
        <v>5486</v>
      </c>
      <c r="AE924" t="s">
        <v>6466</v>
      </c>
      <c r="AF924" t="s">
        <v>5486</v>
      </c>
      <c r="AG924" t="s">
        <v>6466</v>
      </c>
      <c r="AH924">
        <v>-2.57</v>
      </c>
      <c r="AI924">
        <v>-8.3</v>
      </c>
      <c r="AJ924">
        <v>9.66</v>
      </c>
      <c r="AK924">
        <v>22.24</v>
      </c>
      <c r="AL924">
        <v>1</v>
      </c>
      <c r="AM924">
        <v>1.34</v>
      </c>
      <c r="AN924">
        <v>-14.32</v>
      </c>
      <c r="AO924">
        <v>-2.21</v>
      </c>
      <c r="AP924">
        <v>-12.58</v>
      </c>
    </row>
    <row r="925" spans="1:42">
      <c r="A925">
        <v>924</v>
      </c>
      <c r="B925" t="str">
        <f>"600712"</f>
        <v>600712</v>
      </c>
      <c r="C925" t="s">
        <v>6467</v>
      </c>
      <c r="D925">
        <v>4.67</v>
      </c>
      <c r="E925">
        <v>4.01</v>
      </c>
      <c r="F925">
        <v>0.18</v>
      </c>
      <c r="G925" t="s">
        <v>3999</v>
      </c>
      <c r="H925">
        <v>6855</v>
      </c>
      <c r="I925">
        <v>4.66</v>
      </c>
      <c r="J925">
        <v>4.67</v>
      </c>
      <c r="K925" t="s">
        <v>6123</v>
      </c>
      <c r="L925">
        <v>8.48</v>
      </c>
      <c r="M925" t="s">
        <v>46</v>
      </c>
      <c r="N925" t="s">
        <v>6468</v>
      </c>
      <c r="O925">
        <v>4.92</v>
      </c>
      <c r="P925">
        <v>4.47</v>
      </c>
      <c r="Q925">
        <v>4.49</v>
      </c>
      <c r="R925">
        <v>4.49</v>
      </c>
      <c r="S925">
        <v>10.02</v>
      </c>
      <c r="T925">
        <v>4.54</v>
      </c>
      <c r="U925">
        <v>10.25</v>
      </c>
      <c r="V925">
        <v>683</v>
      </c>
      <c r="W925">
        <v>4.73</v>
      </c>
      <c r="X925" t="s">
        <v>2893</v>
      </c>
      <c r="Y925" t="s">
        <v>142</v>
      </c>
      <c r="Z925">
        <v>0.89</v>
      </c>
      <c r="AA925">
        <v>1824</v>
      </c>
      <c r="AB925">
        <v>39</v>
      </c>
      <c r="AC925">
        <v>3.17</v>
      </c>
      <c r="AD925" t="s">
        <v>6469</v>
      </c>
      <c r="AE925" t="s">
        <v>6470</v>
      </c>
      <c r="AF925" t="s">
        <v>6471</v>
      </c>
      <c r="AG925" t="s">
        <v>6472</v>
      </c>
      <c r="AH925">
        <v>4.71</v>
      </c>
      <c r="AI925">
        <v>5.42</v>
      </c>
      <c r="AJ925">
        <v>12.15</v>
      </c>
      <c r="AK925">
        <v>17.83</v>
      </c>
      <c r="AL925">
        <v>2</v>
      </c>
      <c r="AM925">
        <v>4.01</v>
      </c>
      <c r="AN925">
        <v>-7.89</v>
      </c>
      <c r="AO925">
        <v>9.62</v>
      </c>
      <c r="AP925">
        <v>19.13</v>
      </c>
    </row>
    <row r="926" spans="1:42">
      <c r="A926">
        <v>925</v>
      </c>
      <c r="B926" t="str">
        <f>"300383"</f>
        <v>300383</v>
      </c>
      <c r="C926" t="s">
        <v>6473</v>
      </c>
      <c r="D926">
        <v>10.43</v>
      </c>
      <c r="E926">
        <v>2.96</v>
      </c>
      <c r="F926">
        <v>0.3</v>
      </c>
      <c r="G926" t="s">
        <v>3217</v>
      </c>
      <c r="H926">
        <v>2209</v>
      </c>
      <c r="I926">
        <v>10.43</v>
      </c>
      <c r="J926">
        <v>10.44</v>
      </c>
      <c r="K926" t="s">
        <v>6123</v>
      </c>
      <c r="L926">
        <v>1.17</v>
      </c>
      <c r="M926" t="s">
        <v>46</v>
      </c>
      <c r="N926" t="s">
        <v>6474</v>
      </c>
      <c r="O926">
        <v>10.48</v>
      </c>
      <c r="P926">
        <v>10.1</v>
      </c>
      <c r="Q926">
        <v>10.12</v>
      </c>
      <c r="R926">
        <v>10.13</v>
      </c>
      <c r="S926">
        <v>3.75</v>
      </c>
      <c r="T926">
        <v>1.23</v>
      </c>
      <c r="U926">
        <v>2.11</v>
      </c>
      <c r="V926">
        <v>279</v>
      </c>
      <c r="W926">
        <v>10.31</v>
      </c>
      <c r="X926" t="s">
        <v>6475</v>
      </c>
      <c r="Y926" t="s">
        <v>422</v>
      </c>
      <c r="Z926">
        <v>0.7</v>
      </c>
      <c r="AA926">
        <v>2881</v>
      </c>
      <c r="AB926">
        <v>1127</v>
      </c>
      <c r="AC926">
        <v>1.5</v>
      </c>
      <c r="AD926" t="s">
        <v>5254</v>
      </c>
      <c r="AE926" t="s">
        <v>6476</v>
      </c>
      <c r="AF926" t="s">
        <v>3675</v>
      </c>
      <c r="AG926" t="s">
        <v>1001</v>
      </c>
      <c r="AH926">
        <v>1.07</v>
      </c>
      <c r="AI926">
        <v>-1.7</v>
      </c>
      <c r="AJ926">
        <v>2.73</v>
      </c>
      <c r="AK926">
        <v>5.93</v>
      </c>
      <c r="AL926">
        <v>1</v>
      </c>
      <c r="AM926">
        <v>2.96</v>
      </c>
      <c r="AN926">
        <v>27.82</v>
      </c>
      <c r="AO926">
        <v>3.57</v>
      </c>
      <c r="AP926">
        <v>15.89</v>
      </c>
    </row>
    <row r="927" spans="1:42">
      <c r="A927">
        <v>926</v>
      </c>
      <c r="B927" t="str">
        <f>"601038"</f>
        <v>601038</v>
      </c>
      <c r="C927" t="s">
        <v>6477</v>
      </c>
      <c r="D927">
        <v>13.79</v>
      </c>
      <c r="E927">
        <v>-0.79</v>
      </c>
      <c r="F927">
        <v>-0.11</v>
      </c>
      <c r="G927" t="s">
        <v>796</v>
      </c>
      <c r="H927">
        <v>1651</v>
      </c>
      <c r="I927">
        <v>13.79</v>
      </c>
      <c r="J927">
        <v>13.8</v>
      </c>
      <c r="K927" t="s">
        <v>6123</v>
      </c>
      <c r="L927">
        <v>2.62</v>
      </c>
      <c r="M927" t="s">
        <v>46</v>
      </c>
      <c r="N927" t="s">
        <v>3150</v>
      </c>
      <c r="O927">
        <v>14.33</v>
      </c>
      <c r="P927">
        <v>13.7</v>
      </c>
      <c r="Q927">
        <v>14.09</v>
      </c>
      <c r="R927">
        <v>13.9</v>
      </c>
      <c r="S927">
        <v>4.53</v>
      </c>
      <c r="T927">
        <v>1.21</v>
      </c>
      <c r="U927">
        <v>1.13</v>
      </c>
      <c r="V927">
        <v>16</v>
      </c>
      <c r="W927">
        <v>13.9</v>
      </c>
      <c r="X927" t="s">
        <v>6478</v>
      </c>
      <c r="Y927" t="s">
        <v>2239</v>
      </c>
      <c r="Z927">
        <v>0.98</v>
      </c>
      <c r="AA927">
        <v>501</v>
      </c>
      <c r="AB927">
        <v>332</v>
      </c>
      <c r="AC927">
        <v>2.28</v>
      </c>
      <c r="AD927" t="s">
        <v>6479</v>
      </c>
      <c r="AE927" t="s">
        <v>6480</v>
      </c>
      <c r="AF927" t="s">
        <v>6481</v>
      </c>
      <c r="AG927" t="s">
        <v>6482</v>
      </c>
      <c r="AH927">
        <v>5.19</v>
      </c>
      <c r="AI927">
        <v>8.24</v>
      </c>
      <c r="AJ927">
        <v>7.72</v>
      </c>
      <c r="AK927">
        <v>13.41</v>
      </c>
      <c r="AL927">
        <v>-1</v>
      </c>
      <c r="AM927">
        <v>-0.79</v>
      </c>
      <c r="AN927">
        <v>24.57</v>
      </c>
      <c r="AO927">
        <v>16.08</v>
      </c>
      <c r="AP927">
        <v>13.5</v>
      </c>
    </row>
    <row r="928" spans="1:42">
      <c r="A928">
        <v>927</v>
      </c>
      <c r="B928" t="str">
        <f>"601169"</f>
        <v>601169</v>
      </c>
      <c r="C928" t="s">
        <v>6483</v>
      </c>
      <c r="D928">
        <v>4.55</v>
      </c>
      <c r="E928">
        <v>0.44</v>
      </c>
      <c r="F928">
        <v>0.02</v>
      </c>
      <c r="G928" t="s">
        <v>6484</v>
      </c>
      <c r="H928">
        <v>6049</v>
      </c>
      <c r="I928">
        <v>4.55</v>
      </c>
      <c r="J928">
        <v>4.56</v>
      </c>
      <c r="K928" t="s">
        <v>6123</v>
      </c>
      <c r="L928">
        <v>0.22</v>
      </c>
      <c r="M928" t="s">
        <v>46</v>
      </c>
      <c r="N928" t="s">
        <v>1006</v>
      </c>
      <c r="O928">
        <v>4.57</v>
      </c>
      <c r="P928">
        <v>4.53</v>
      </c>
      <c r="Q928">
        <v>4.54</v>
      </c>
      <c r="R928">
        <v>4.53</v>
      </c>
      <c r="S928">
        <v>0.88</v>
      </c>
      <c r="T928">
        <v>1.05</v>
      </c>
      <c r="U928">
        <v>-15.61</v>
      </c>
      <c r="V928" t="s">
        <v>6485</v>
      </c>
      <c r="W928">
        <v>4.55</v>
      </c>
      <c r="X928" t="s">
        <v>561</v>
      </c>
      <c r="Y928" t="s">
        <v>5361</v>
      </c>
      <c r="Z928">
        <v>0.52</v>
      </c>
      <c r="AA928">
        <v>7337</v>
      </c>
      <c r="AB928">
        <v>8046</v>
      </c>
      <c r="AC928">
        <v>0.39</v>
      </c>
      <c r="AD928" t="s">
        <v>6486</v>
      </c>
      <c r="AE928" t="s">
        <v>6487</v>
      </c>
      <c r="AF928" t="s">
        <v>6486</v>
      </c>
      <c r="AG928" t="s">
        <v>6487</v>
      </c>
      <c r="AH928">
        <v>0.66</v>
      </c>
      <c r="AI928">
        <v>0.44</v>
      </c>
      <c r="AJ928">
        <v>0.66</v>
      </c>
      <c r="AK928">
        <v>1.3</v>
      </c>
      <c r="AL928">
        <v>2</v>
      </c>
      <c r="AM928">
        <v>0.44</v>
      </c>
      <c r="AN928">
        <v>13.75</v>
      </c>
      <c r="AO928">
        <v>0.44</v>
      </c>
      <c r="AP928">
        <v>17.57</v>
      </c>
    </row>
    <row r="929" spans="1:42">
      <c r="A929">
        <v>928</v>
      </c>
      <c r="B929" t="str">
        <f>"002437"</f>
        <v>002437</v>
      </c>
      <c r="C929" t="s">
        <v>6488</v>
      </c>
      <c r="D929">
        <v>2.67</v>
      </c>
      <c r="E929">
        <v>2.3</v>
      </c>
      <c r="F929">
        <v>0.06</v>
      </c>
      <c r="G929" t="s">
        <v>3994</v>
      </c>
      <c r="H929">
        <v>7488</v>
      </c>
      <c r="I929">
        <v>2.66</v>
      </c>
      <c r="J929">
        <v>2.67</v>
      </c>
      <c r="K929" t="s">
        <v>6489</v>
      </c>
      <c r="L929">
        <v>3.69</v>
      </c>
      <c r="M929" t="s">
        <v>46</v>
      </c>
      <c r="N929" t="s">
        <v>5809</v>
      </c>
      <c r="O929">
        <v>2.7</v>
      </c>
      <c r="P929">
        <v>2.61</v>
      </c>
      <c r="Q929">
        <v>2.62</v>
      </c>
      <c r="R929">
        <v>2.61</v>
      </c>
      <c r="S929">
        <v>3.45</v>
      </c>
      <c r="T929">
        <v>1.02</v>
      </c>
      <c r="U929">
        <v>-43.36</v>
      </c>
      <c r="V929" t="s">
        <v>6490</v>
      </c>
      <c r="W929">
        <v>2.67</v>
      </c>
      <c r="X929" t="s">
        <v>1089</v>
      </c>
      <c r="Y929" t="s">
        <v>515</v>
      </c>
      <c r="Z929">
        <v>0.65</v>
      </c>
      <c r="AA929" t="s">
        <v>4525</v>
      </c>
      <c r="AB929">
        <v>1114</v>
      </c>
      <c r="AC929">
        <v>3.28</v>
      </c>
      <c r="AD929" t="s">
        <v>6491</v>
      </c>
      <c r="AE929" t="s">
        <v>6492</v>
      </c>
      <c r="AF929" t="s">
        <v>6493</v>
      </c>
      <c r="AG929" t="s">
        <v>6494</v>
      </c>
      <c r="AH929">
        <v>1.14</v>
      </c>
      <c r="AI929">
        <v>0.38</v>
      </c>
      <c r="AJ929">
        <v>8.39</v>
      </c>
      <c r="AK929">
        <v>21.74</v>
      </c>
      <c r="AL929">
        <v>2</v>
      </c>
      <c r="AM929">
        <v>2.3</v>
      </c>
      <c r="AN929">
        <v>5.12</v>
      </c>
      <c r="AO929">
        <v>7.23</v>
      </c>
      <c r="AP929">
        <v>-2.55</v>
      </c>
    </row>
    <row r="930" spans="1:42">
      <c r="A930">
        <v>929</v>
      </c>
      <c r="B930" t="str">
        <f>"600015"</f>
        <v>600015</v>
      </c>
      <c r="C930" t="s">
        <v>6495</v>
      </c>
      <c r="D930">
        <v>5.83</v>
      </c>
      <c r="E930">
        <v>0.52</v>
      </c>
      <c r="F930">
        <v>0.03</v>
      </c>
      <c r="G930" t="s">
        <v>221</v>
      </c>
      <c r="H930">
        <v>2073</v>
      </c>
      <c r="I930">
        <v>5.82</v>
      </c>
      <c r="J930">
        <v>5.83</v>
      </c>
      <c r="K930" t="s">
        <v>6489</v>
      </c>
      <c r="L930">
        <v>0.29</v>
      </c>
      <c r="M930" t="s">
        <v>46</v>
      </c>
      <c r="N930" t="s">
        <v>6496</v>
      </c>
      <c r="O930">
        <v>5.85</v>
      </c>
      <c r="P930">
        <v>5.79</v>
      </c>
      <c r="Q930">
        <v>5.81</v>
      </c>
      <c r="R930">
        <v>5.8</v>
      </c>
      <c r="S930">
        <v>1.03</v>
      </c>
      <c r="T930">
        <v>1</v>
      </c>
      <c r="U930">
        <v>-48.07</v>
      </c>
      <c r="V930" t="s">
        <v>6497</v>
      </c>
      <c r="W930">
        <v>5.83</v>
      </c>
      <c r="X930" t="s">
        <v>1377</v>
      </c>
      <c r="Y930" t="s">
        <v>1225</v>
      </c>
      <c r="Z930">
        <v>0.7</v>
      </c>
      <c r="AA930">
        <v>2744</v>
      </c>
      <c r="AB930">
        <v>58</v>
      </c>
      <c r="AC930">
        <v>0.34</v>
      </c>
      <c r="AD930" t="s">
        <v>6498</v>
      </c>
      <c r="AE930" t="s">
        <v>6499</v>
      </c>
      <c r="AF930" t="s">
        <v>6500</v>
      </c>
      <c r="AG930" t="s">
        <v>6501</v>
      </c>
      <c r="AH930">
        <v>1.57</v>
      </c>
      <c r="AI930">
        <v>3</v>
      </c>
      <c r="AJ930">
        <v>0.88</v>
      </c>
      <c r="AK930">
        <v>1.73</v>
      </c>
      <c r="AL930">
        <v>6</v>
      </c>
      <c r="AM930">
        <v>0.52</v>
      </c>
      <c r="AN930">
        <v>21.21</v>
      </c>
      <c r="AO930">
        <v>3.55</v>
      </c>
      <c r="AP930">
        <v>25.38</v>
      </c>
    </row>
    <row r="931" spans="1:42">
      <c r="A931">
        <v>930</v>
      </c>
      <c r="B931" t="str">
        <f>"300661"</f>
        <v>300661</v>
      </c>
      <c r="C931" t="s">
        <v>6502</v>
      </c>
      <c r="D931">
        <v>90.49</v>
      </c>
      <c r="E931">
        <v>0.91</v>
      </c>
      <c r="F931">
        <v>0.82</v>
      </c>
      <c r="G931" t="s">
        <v>299</v>
      </c>
      <c r="H931">
        <v>488</v>
      </c>
      <c r="I931">
        <v>90.49</v>
      </c>
      <c r="J931">
        <v>90.52</v>
      </c>
      <c r="K931" t="s">
        <v>6489</v>
      </c>
      <c r="L931">
        <v>0.54</v>
      </c>
      <c r="M931" t="s">
        <v>46</v>
      </c>
      <c r="N931" t="s">
        <v>5340</v>
      </c>
      <c r="O931">
        <v>91</v>
      </c>
      <c r="P931">
        <v>87.58</v>
      </c>
      <c r="Q931">
        <v>89.67</v>
      </c>
      <c r="R931">
        <v>89.67</v>
      </c>
      <c r="S931">
        <v>3.81</v>
      </c>
      <c r="T931">
        <v>1.04</v>
      </c>
      <c r="U931">
        <v>59.56</v>
      </c>
      <c r="V931">
        <v>53</v>
      </c>
      <c r="W931">
        <v>89.38</v>
      </c>
      <c r="X931" t="s">
        <v>4959</v>
      </c>
      <c r="Y931" t="s">
        <v>6212</v>
      </c>
      <c r="Z931">
        <v>0.89</v>
      </c>
      <c r="AA931">
        <v>2</v>
      </c>
      <c r="AB931">
        <v>6</v>
      </c>
      <c r="AC931">
        <v>11.54</v>
      </c>
      <c r="AD931" t="s">
        <v>6503</v>
      </c>
      <c r="AE931" t="s">
        <v>6504</v>
      </c>
      <c r="AF931" t="s">
        <v>6505</v>
      </c>
      <c r="AG931" t="s">
        <v>6506</v>
      </c>
      <c r="AH931">
        <v>5.34</v>
      </c>
      <c r="AI931">
        <v>4.92</v>
      </c>
      <c r="AJ931">
        <v>2.07</v>
      </c>
      <c r="AK931">
        <v>3.11</v>
      </c>
      <c r="AL931">
        <v>5</v>
      </c>
      <c r="AM931">
        <v>0.91</v>
      </c>
      <c r="AN931">
        <v>-31.73</v>
      </c>
      <c r="AO931">
        <v>-2.07</v>
      </c>
      <c r="AP931">
        <v>-33.73</v>
      </c>
    </row>
    <row r="932" spans="1:42">
      <c r="A932">
        <v>931</v>
      </c>
      <c r="B932" t="str">
        <f>"834021"</f>
        <v>834021</v>
      </c>
      <c r="C932" t="s">
        <v>6507</v>
      </c>
      <c r="D932">
        <v>4.83</v>
      </c>
      <c r="E932">
        <v>5.92</v>
      </c>
      <c r="F932">
        <v>0.27</v>
      </c>
      <c r="G932" t="s">
        <v>222</v>
      </c>
      <c r="H932">
        <v>2023</v>
      </c>
      <c r="I932">
        <v>4.82</v>
      </c>
      <c r="J932">
        <v>4.83</v>
      </c>
      <c r="K932" t="s">
        <v>6489</v>
      </c>
      <c r="L932">
        <v>18.73</v>
      </c>
      <c r="M932" t="s">
        <v>46</v>
      </c>
      <c r="N932" t="s">
        <v>6508</v>
      </c>
      <c r="O932">
        <v>5.19</v>
      </c>
      <c r="P932">
        <v>4.6</v>
      </c>
      <c r="Q932">
        <v>4.68</v>
      </c>
      <c r="R932">
        <v>4.56</v>
      </c>
      <c r="S932">
        <v>12.94</v>
      </c>
      <c r="T932">
        <v>0.87</v>
      </c>
      <c r="U932">
        <v>29.47</v>
      </c>
      <c r="V932">
        <v>2874</v>
      </c>
      <c r="W932">
        <v>4.96</v>
      </c>
      <c r="X932" t="s">
        <v>4553</v>
      </c>
      <c r="Y932" t="s">
        <v>553</v>
      </c>
      <c r="Z932">
        <v>1.03</v>
      </c>
      <c r="AA932">
        <v>1885</v>
      </c>
      <c r="AB932">
        <v>915</v>
      </c>
      <c r="AC932">
        <v>2.26</v>
      </c>
      <c r="AD932" t="s">
        <v>6509</v>
      </c>
      <c r="AE932" t="s">
        <v>614</v>
      </c>
      <c r="AF932" t="s">
        <v>6510</v>
      </c>
      <c r="AG932" t="s">
        <v>6511</v>
      </c>
      <c r="AH932">
        <v>-4.92</v>
      </c>
      <c r="AI932">
        <v>0.62</v>
      </c>
      <c r="AJ932">
        <v>44.71</v>
      </c>
      <c r="AK932">
        <v>127.01</v>
      </c>
      <c r="AL932">
        <v>2</v>
      </c>
      <c r="AM932">
        <v>5.92</v>
      </c>
      <c r="AN932">
        <v>63.18</v>
      </c>
      <c r="AO932">
        <v>92.43</v>
      </c>
      <c r="AP932">
        <v>48.16</v>
      </c>
    </row>
    <row r="933" spans="1:42">
      <c r="A933">
        <v>932</v>
      </c>
      <c r="B933" t="str">
        <f>"600860"</f>
        <v>600860</v>
      </c>
      <c r="C933" t="s">
        <v>6512</v>
      </c>
      <c r="D933">
        <v>13.37</v>
      </c>
      <c r="E933">
        <v>-3.33</v>
      </c>
      <c r="F933">
        <v>-0.46</v>
      </c>
      <c r="G933" t="s">
        <v>571</v>
      </c>
      <c r="H933">
        <v>3326</v>
      </c>
      <c r="I933">
        <v>13.37</v>
      </c>
      <c r="J933">
        <v>13.38</v>
      </c>
      <c r="K933" t="s">
        <v>6489</v>
      </c>
      <c r="L933">
        <v>3.73</v>
      </c>
      <c r="M933" t="s">
        <v>46</v>
      </c>
      <c r="N933" t="s">
        <v>119</v>
      </c>
      <c r="O933">
        <v>13.78</v>
      </c>
      <c r="P933">
        <v>13.3</v>
      </c>
      <c r="Q933">
        <v>13.61</v>
      </c>
      <c r="R933">
        <v>13.83</v>
      </c>
      <c r="S933">
        <v>3.47</v>
      </c>
      <c r="T933">
        <v>0.81</v>
      </c>
      <c r="U933">
        <v>46.18</v>
      </c>
      <c r="V933">
        <v>1505</v>
      </c>
      <c r="W933">
        <v>13.45</v>
      </c>
      <c r="X933" t="s">
        <v>1045</v>
      </c>
      <c r="Y933" t="s">
        <v>967</v>
      </c>
      <c r="Z933">
        <v>1.05</v>
      </c>
      <c r="AA933">
        <v>261</v>
      </c>
      <c r="AB933">
        <v>189</v>
      </c>
      <c r="AC933">
        <v>7.05</v>
      </c>
      <c r="AD933" t="s">
        <v>6513</v>
      </c>
      <c r="AE933" t="s">
        <v>6514</v>
      </c>
      <c r="AF933" t="s">
        <v>6515</v>
      </c>
      <c r="AG933" t="s">
        <v>2285</v>
      </c>
      <c r="AH933">
        <v>-4.29</v>
      </c>
      <c r="AI933">
        <v>-1.47</v>
      </c>
      <c r="AJ933">
        <v>10.35</v>
      </c>
      <c r="AK933">
        <v>26.66</v>
      </c>
      <c r="AL933">
        <v>-1</v>
      </c>
      <c r="AM933">
        <v>-3.33</v>
      </c>
      <c r="AN933">
        <v>-3.33</v>
      </c>
      <c r="AO933">
        <v>16.26</v>
      </c>
      <c r="AP933">
        <v>-12.73</v>
      </c>
    </row>
    <row r="934" spans="1:42">
      <c r="A934">
        <v>933</v>
      </c>
      <c r="B934" t="str">
        <f>"300056"</f>
        <v>300056</v>
      </c>
      <c r="C934" t="s">
        <v>6516</v>
      </c>
      <c r="D934">
        <v>8.91</v>
      </c>
      <c r="E934">
        <v>-1.98</v>
      </c>
      <c r="F934">
        <v>-0.18</v>
      </c>
      <c r="G934" t="s">
        <v>290</v>
      </c>
      <c r="H934">
        <v>2512</v>
      </c>
      <c r="I934">
        <v>8.91</v>
      </c>
      <c r="J934">
        <v>8.92</v>
      </c>
      <c r="K934" t="s">
        <v>6517</v>
      </c>
      <c r="L934">
        <v>6.22</v>
      </c>
      <c r="M934" t="s">
        <v>46</v>
      </c>
      <c r="N934" t="s">
        <v>6518</v>
      </c>
      <c r="O934">
        <v>9.15</v>
      </c>
      <c r="P934">
        <v>8.7</v>
      </c>
      <c r="Q934">
        <v>9</v>
      </c>
      <c r="R934">
        <v>9.09</v>
      </c>
      <c r="S934">
        <v>4.95</v>
      </c>
      <c r="T934">
        <v>0.89</v>
      </c>
      <c r="U934">
        <v>39.37</v>
      </c>
      <c r="V934">
        <v>1070</v>
      </c>
      <c r="W934">
        <v>8.93</v>
      </c>
      <c r="X934" t="s">
        <v>1759</v>
      </c>
      <c r="Y934" t="s">
        <v>1909</v>
      </c>
      <c r="Z934">
        <v>1.25</v>
      </c>
      <c r="AA934">
        <v>289</v>
      </c>
      <c r="AB934">
        <v>82</v>
      </c>
      <c r="AC934">
        <v>9.56</v>
      </c>
      <c r="AD934" t="s">
        <v>6519</v>
      </c>
      <c r="AE934" t="s">
        <v>6520</v>
      </c>
      <c r="AF934" t="s">
        <v>6521</v>
      </c>
      <c r="AG934" t="s">
        <v>6522</v>
      </c>
      <c r="AH934">
        <v>3.12</v>
      </c>
      <c r="AI934">
        <v>6.58</v>
      </c>
      <c r="AJ934">
        <v>19.64</v>
      </c>
      <c r="AK934">
        <v>41.4</v>
      </c>
      <c r="AL934">
        <v>-1</v>
      </c>
      <c r="AM934">
        <v>-1.98</v>
      </c>
      <c r="AN934">
        <v>27.1</v>
      </c>
      <c r="AO934">
        <v>22.9</v>
      </c>
      <c r="AP934">
        <v>8.39</v>
      </c>
    </row>
    <row r="935" spans="1:42">
      <c r="A935">
        <v>934</v>
      </c>
      <c r="B935" t="str">
        <f>"601021"</f>
        <v>601021</v>
      </c>
      <c r="C935" t="s">
        <v>6523</v>
      </c>
      <c r="D935">
        <v>51.19</v>
      </c>
      <c r="E935">
        <v>-3.54</v>
      </c>
      <c r="F935">
        <v>-1.88</v>
      </c>
      <c r="G935" t="s">
        <v>5767</v>
      </c>
      <c r="H935">
        <v>231</v>
      </c>
      <c r="I935">
        <v>51.18</v>
      </c>
      <c r="J935">
        <v>51.19</v>
      </c>
      <c r="K935" t="s">
        <v>6517</v>
      </c>
      <c r="L935">
        <v>0.42</v>
      </c>
      <c r="M935" t="s">
        <v>46</v>
      </c>
      <c r="N935" t="s">
        <v>2055</v>
      </c>
      <c r="O935">
        <v>53.23</v>
      </c>
      <c r="P935">
        <v>50.99</v>
      </c>
      <c r="Q935">
        <v>53.09</v>
      </c>
      <c r="R935">
        <v>53.07</v>
      </c>
      <c r="S935">
        <v>4.22</v>
      </c>
      <c r="T935">
        <v>1.9</v>
      </c>
      <c r="U935">
        <v>-66.44</v>
      </c>
      <c r="V935">
        <v>-83</v>
      </c>
      <c r="W935">
        <v>51.59</v>
      </c>
      <c r="X935" t="s">
        <v>153</v>
      </c>
      <c r="Y935" t="s">
        <v>5237</v>
      </c>
      <c r="Z935">
        <v>1.04</v>
      </c>
      <c r="AA935">
        <v>1</v>
      </c>
      <c r="AB935">
        <v>26</v>
      </c>
      <c r="AC935">
        <v>3.08</v>
      </c>
      <c r="AD935" t="s">
        <v>6524</v>
      </c>
      <c r="AE935" t="s">
        <v>6525</v>
      </c>
      <c r="AF935" t="s">
        <v>6524</v>
      </c>
      <c r="AG935" t="s">
        <v>6525</v>
      </c>
      <c r="AH935">
        <v>-4.05</v>
      </c>
      <c r="AI935">
        <v>-3.76</v>
      </c>
      <c r="AJ935">
        <v>0.86</v>
      </c>
      <c r="AK935">
        <v>1.54</v>
      </c>
      <c r="AL935">
        <v>-1</v>
      </c>
      <c r="AM935">
        <v>-3.54</v>
      </c>
      <c r="AN935">
        <v>-20.33</v>
      </c>
      <c r="AO935">
        <v>-4.55</v>
      </c>
      <c r="AP935">
        <v>5.01</v>
      </c>
    </row>
    <row r="936" spans="1:42">
      <c r="A936">
        <v>935</v>
      </c>
      <c r="B936" t="str">
        <f>"600867"</f>
        <v>600867</v>
      </c>
      <c r="C936" t="s">
        <v>6526</v>
      </c>
      <c r="D936">
        <v>11.91</v>
      </c>
      <c r="E936">
        <v>-0.42</v>
      </c>
      <c r="F936">
        <v>-0.05</v>
      </c>
      <c r="G936" t="s">
        <v>797</v>
      </c>
      <c r="H936">
        <v>836</v>
      </c>
      <c r="I936">
        <v>11.91</v>
      </c>
      <c r="J936">
        <v>11.92</v>
      </c>
      <c r="K936" t="s">
        <v>6517</v>
      </c>
      <c r="L936">
        <v>0.9</v>
      </c>
      <c r="M936" t="s">
        <v>46</v>
      </c>
      <c r="N936" t="s">
        <v>67</v>
      </c>
      <c r="O936">
        <v>12.05</v>
      </c>
      <c r="P936">
        <v>11.81</v>
      </c>
      <c r="Q936">
        <v>12.05</v>
      </c>
      <c r="R936">
        <v>11.96</v>
      </c>
      <c r="S936">
        <v>2.01</v>
      </c>
      <c r="T936">
        <v>0.89</v>
      </c>
      <c r="U936">
        <v>-25.88</v>
      </c>
      <c r="V936">
        <v>-901</v>
      </c>
      <c r="W936">
        <v>11.89</v>
      </c>
      <c r="X936" t="s">
        <v>1909</v>
      </c>
      <c r="Y936" t="s">
        <v>4568</v>
      </c>
      <c r="Z936">
        <v>1.48</v>
      </c>
      <c r="AA936">
        <v>482</v>
      </c>
      <c r="AB936">
        <v>359</v>
      </c>
      <c r="AC936">
        <v>3.48</v>
      </c>
      <c r="AD936" t="s">
        <v>6527</v>
      </c>
      <c r="AE936" t="s">
        <v>6528</v>
      </c>
      <c r="AF936" t="s">
        <v>6529</v>
      </c>
      <c r="AG936" t="s">
        <v>2956</v>
      </c>
      <c r="AH936">
        <v>-2.22</v>
      </c>
      <c r="AI936">
        <v>-2.7</v>
      </c>
      <c r="AJ936">
        <v>3.25</v>
      </c>
      <c r="AK936">
        <v>5.96</v>
      </c>
      <c r="AL936">
        <v>-1</v>
      </c>
      <c r="AM936">
        <v>-0.42</v>
      </c>
      <c r="AN936">
        <v>33.37</v>
      </c>
      <c r="AO936">
        <v>3.3</v>
      </c>
      <c r="AP936">
        <v>33.97</v>
      </c>
    </row>
    <row r="937" spans="1:42">
      <c r="A937">
        <v>936</v>
      </c>
      <c r="B937" t="str">
        <f>"300086"</f>
        <v>300086</v>
      </c>
      <c r="C937" t="s">
        <v>6530</v>
      </c>
      <c r="D937">
        <v>6.73</v>
      </c>
      <c r="E937">
        <v>1.05</v>
      </c>
      <c r="F937">
        <v>0.07</v>
      </c>
      <c r="G937" t="s">
        <v>2066</v>
      </c>
      <c r="H937">
        <v>2996</v>
      </c>
      <c r="I937">
        <v>6.72</v>
      </c>
      <c r="J937">
        <v>6.73</v>
      </c>
      <c r="K937" t="s">
        <v>6531</v>
      </c>
      <c r="L937">
        <v>7.21</v>
      </c>
      <c r="M937" t="s">
        <v>46</v>
      </c>
      <c r="N937" t="s">
        <v>3173</v>
      </c>
      <c r="O937">
        <v>6.95</v>
      </c>
      <c r="P937">
        <v>6.58</v>
      </c>
      <c r="Q937">
        <v>6.63</v>
      </c>
      <c r="R937">
        <v>6.66</v>
      </c>
      <c r="S937">
        <v>5.56</v>
      </c>
      <c r="T937">
        <v>0.83</v>
      </c>
      <c r="U937">
        <v>5.1</v>
      </c>
      <c r="V937">
        <v>480</v>
      </c>
      <c r="W937">
        <v>6.79</v>
      </c>
      <c r="X937" t="s">
        <v>571</v>
      </c>
      <c r="Y937" t="s">
        <v>2291</v>
      </c>
      <c r="Z937">
        <v>1.04</v>
      </c>
      <c r="AA937">
        <v>482</v>
      </c>
      <c r="AB937">
        <v>1387</v>
      </c>
      <c r="AC937">
        <v>2.32</v>
      </c>
      <c r="AD937" t="s">
        <v>6350</v>
      </c>
      <c r="AE937" t="s">
        <v>6532</v>
      </c>
      <c r="AF937" t="s">
        <v>6533</v>
      </c>
      <c r="AG937" t="s">
        <v>4318</v>
      </c>
      <c r="AH937">
        <v>0.9</v>
      </c>
      <c r="AI937">
        <v>-2.32</v>
      </c>
      <c r="AJ937">
        <v>17.28</v>
      </c>
      <c r="AK937">
        <v>50.85</v>
      </c>
      <c r="AL937">
        <v>2</v>
      </c>
      <c r="AM937">
        <v>1.05</v>
      </c>
      <c r="AN937">
        <v>8.2</v>
      </c>
      <c r="AO937">
        <v>6.15</v>
      </c>
      <c r="AP937">
        <v>-11.45</v>
      </c>
    </row>
    <row r="938" spans="1:42">
      <c r="A938">
        <v>937</v>
      </c>
      <c r="B938" t="str">
        <f>"000425"</f>
        <v>000425</v>
      </c>
      <c r="C938" t="s">
        <v>6534</v>
      </c>
      <c r="D938">
        <v>5.55</v>
      </c>
      <c r="E938">
        <v>0.36</v>
      </c>
      <c r="F938">
        <v>0.02</v>
      </c>
      <c r="G938" t="s">
        <v>6001</v>
      </c>
      <c r="H938">
        <v>2901</v>
      </c>
      <c r="I938">
        <v>5.55</v>
      </c>
      <c r="J938">
        <v>5.56</v>
      </c>
      <c r="K938" t="s">
        <v>6531</v>
      </c>
      <c r="L938">
        <v>0.48</v>
      </c>
      <c r="M938" t="s">
        <v>46</v>
      </c>
      <c r="N938" t="s">
        <v>6535</v>
      </c>
      <c r="O938">
        <v>5.58</v>
      </c>
      <c r="P938">
        <v>5.44</v>
      </c>
      <c r="Q938">
        <v>5.53</v>
      </c>
      <c r="R938">
        <v>5.53</v>
      </c>
      <c r="S938">
        <v>2.53</v>
      </c>
      <c r="T938">
        <v>0.8</v>
      </c>
      <c r="U938">
        <v>-26.06</v>
      </c>
      <c r="V938" t="s">
        <v>4491</v>
      </c>
      <c r="W938">
        <v>5.52</v>
      </c>
      <c r="X938" t="s">
        <v>3143</v>
      </c>
      <c r="Y938" t="s">
        <v>1959</v>
      </c>
      <c r="Z938">
        <v>0.73</v>
      </c>
      <c r="AA938">
        <v>1945</v>
      </c>
      <c r="AB938">
        <v>2400</v>
      </c>
      <c r="AC938">
        <v>1.18</v>
      </c>
      <c r="AD938" t="s">
        <v>6536</v>
      </c>
      <c r="AE938" t="s">
        <v>6537</v>
      </c>
      <c r="AF938" t="s">
        <v>6538</v>
      </c>
      <c r="AG938" t="s">
        <v>6539</v>
      </c>
      <c r="AH938">
        <v>-2.97</v>
      </c>
      <c r="AI938">
        <v>-3.14</v>
      </c>
      <c r="AJ938">
        <v>1.95</v>
      </c>
      <c r="AK938">
        <v>3.43</v>
      </c>
      <c r="AL938">
        <v>1</v>
      </c>
      <c r="AM938">
        <v>0.36</v>
      </c>
      <c r="AN938">
        <v>12.8</v>
      </c>
      <c r="AO938">
        <v>-2.29</v>
      </c>
      <c r="AP938">
        <v>13.27</v>
      </c>
    </row>
    <row r="939" spans="1:42">
      <c r="A939">
        <v>938</v>
      </c>
      <c r="B939" t="str">
        <f>"688071"</f>
        <v>688071</v>
      </c>
      <c r="C939" t="s">
        <v>6540</v>
      </c>
      <c r="D939">
        <v>52.65</v>
      </c>
      <c r="E939">
        <v>-2.5</v>
      </c>
      <c r="F939">
        <v>-1.35</v>
      </c>
      <c r="G939" t="s">
        <v>2754</v>
      </c>
      <c r="H939">
        <v>405</v>
      </c>
      <c r="I939">
        <v>52.65</v>
      </c>
      <c r="J939">
        <v>52.66</v>
      </c>
      <c r="K939" t="s">
        <v>6531</v>
      </c>
      <c r="L939">
        <v>7.61</v>
      </c>
      <c r="M939" t="s">
        <v>46</v>
      </c>
      <c r="N939" t="s">
        <v>5906</v>
      </c>
      <c r="O939">
        <v>54.5</v>
      </c>
      <c r="P939">
        <v>51</v>
      </c>
      <c r="Q939">
        <v>54.5</v>
      </c>
      <c r="R939">
        <v>54</v>
      </c>
      <c r="S939">
        <v>6.48</v>
      </c>
      <c r="T939">
        <v>0.75</v>
      </c>
      <c r="U939">
        <v>79.88</v>
      </c>
      <c r="V939">
        <v>688</v>
      </c>
      <c r="W939">
        <v>52.26</v>
      </c>
      <c r="X939" t="s">
        <v>377</v>
      </c>
      <c r="Y939" t="s">
        <v>1072</v>
      </c>
      <c r="Z939">
        <v>1.18</v>
      </c>
      <c r="AA939">
        <v>47</v>
      </c>
      <c r="AB939">
        <v>21</v>
      </c>
      <c r="AC939">
        <v>4.19</v>
      </c>
      <c r="AD939" t="s">
        <v>6541</v>
      </c>
      <c r="AE939" t="s">
        <v>6542</v>
      </c>
      <c r="AF939" t="s">
        <v>6543</v>
      </c>
      <c r="AG939" t="s">
        <v>3814</v>
      </c>
      <c r="AH939">
        <v>-4.05</v>
      </c>
      <c r="AI939">
        <v>6.6</v>
      </c>
      <c r="AJ939">
        <v>28.57</v>
      </c>
      <c r="AK939">
        <v>58.09</v>
      </c>
      <c r="AL939">
        <v>-2</v>
      </c>
      <c r="AM939">
        <v>-2.5</v>
      </c>
      <c r="AN939">
        <v>-6.83</v>
      </c>
      <c r="AO939">
        <v>22.5</v>
      </c>
      <c r="AP939">
        <v>-20.47</v>
      </c>
    </row>
    <row r="940" spans="1:42">
      <c r="A940">
        <v>939</v>
      </c>
      <c r="B940" t="str">
        <f>"688187"</f>
        <v>688187</v>
      </c>
      <c r="C940" t="s">
        <v>6544</v>
      </c>
      <c r="D940">
        <v>37.69</v>
      </c>
      <c r="E940">
        <v>-2.08</v>
      </c>
      <c r="F940">
        <v>-0.8</v>
      </c>
      <c r="G940" t="s">
        <v>6545</v>
      </c>
      <c r="H940">
        <v>320</v>
      </c>
      <c r="I940">
        <v>37.68</v>
      </c>
      <c r="J940">
        <v>37.69</v>
      </c>
      <c r="K940" t="s">
        <v>6531</v>
      </c>
      <c r="L940">
        <v>2.18</v>
      </c>
      <c r="M940" t="s">
        <v>46</v>
      </c>
      <c r="N940" t="s">
        <v>2055</v>
      </c>
      <c r="O940">
        <v>38.39</v>
      </c>
      <c r="P940">
        <v>36.92</v>
      </c>
      <c r="Q940">
        <v>38.39</v>
      </c>
      <c r="R940">
        <v>38.49</v>
      </c>
      <c r="S940">
        <v>3.82</v>
      </c>
      <c r="T940">
        <v>1.8</v>
      </c>
      <c r="U940">
        <v>35.77</v>
      </c>
      <c r="V940">
        <v>79</v>
      </c>
      <c r="W940">
        <v>37.51</v>
      </c>
      <c r="X940" t="s">
        <v>6314</v>
      </c>
      <c r="Y940" t="s">
        <v>3372</v>
      </c>
      <c r="Z940">
        <v>1.76</v>
      </c>
      <c r="AA940">
        <v>16</v>
      </c>
      <c r="AB940">
        <v>22</v>
      </c>
      <c r="AC940">
        <v>1.49</v>
      </c>
      <c r="AD940" t="s">
        <v>6191</v>
      </c>
      <c r="AE940" t="s">
        <v>6546</v>
      </c>
      <c r="AF940" t="s">
        <v>6547</v>
      </c>
      <c r="AG940" t="s">
        <v>6548</v>
      </c>
      <c r="AH940">
        <v>-1.28</v>
      </c>
      <c r="AI940">
        <v>-0.61</v>
      </c>
      <c r="AJ940">
        <v>5.15</v>
      </c>
      <c r="AK940">
        <v>8.26</v>
      </c>
      <c r="AL940">
        <v>-1</v>
      </c>
      <c r="AM940">
        <v>-2.08</v>
      </c>
      <c r="AN940">
        <v>-30.23</v>
      </c>
      <c r="AO940">
        <v>-5.92</v>
      </c>
      <c r="AP940">
        <v>-33.47</v>
      </c>
    </row>
    <row r="941" spans="1:42">
      <c r="A941">
        <v>940</v>
      </c>
      <c r="B941" t="str">
        <f>"300536"</f>
        <v>300536</v>
      </c>
      <c r="C941" t="s">
        <v>6549</v>
      </c>
      <c r="D941">
        <v>21.62</v>
      </c>
      <c r="E941">
        <v>4.65</v>
      </c>
      <c r="F941">
        <v>0.96</v>
      </c>
      <c r="G941" t="s">
        <v>6550</v>
      </c>
      <c r="H941">
        <v>1287</v>
      </c>
      <c r="I941">
        <v>21.61</v>
      </c>
      <c r="J941">
        <v>21.62</v>
      </c>
      <c r="K941" t="s">
        <v>6551</v>
      </c>
      <c r="L941">
        <v>3.38</v>
      </c>
      <c r="M941" t="s">
        <v>46</v>
      </c>
      <c r="N941" t="s">
        <v>3376</v>
      </c>
      <c r="O941">
        <v>21.66</v>
      </c>
      <c r="P941">
        <v>20.5</v>
      </c>
      <c r="Q941">
        <v>20.65</v>
      </c>
      <c r="R941">
        <v>20.66</v>
      </c>
      <c r="S941">
        <v>5.61</v>
      </c>
      <c r="T941">
        <v>0.89</v>
      </c>
      <c r="U941">
        <v>-87.68</v>
      </c>
      <c r="V941">
        <v>-1367</v>
      </c>
      <c r="W941">
        <v>21.4</v>
      </c>
      <c r="X941" t="s">
        <v>3373</v>
      </c>
      <c r="Y941" t="s">
        <v>4901</v>
      </c>
      <c r="Z941">
        <v>0.69</v>
      </c>
      <c r="AA941">
        <v>1</v>
      </c>
      <c r="AB941">
        <v>578</v>
      </c>
      <c r="AC941">
        <v>10.04</v>
      </c>
      <c r="AD941" t="s">
        <v>3152</v>
      </c>
      <c r="AE941" t="s">
        <v>6552</v>
      </c>
      <c r="AF941" t="s">
        <v>3152</v>
      </c>
      <c r="AG941" t="s">
        <v>3747</v>
      </c>
      <c r="AH941">
        <v>5.46</v>
      </c>
      <c r="AI941">
        <v>3.94</v>
      </c>
      <c r="AJ941">
        <v>7.71</v>
      </c>
      <c r="AK941">
        <v>22.37</v>
      </c>
      <c r="AL941">
        <v>1</v>
      </c>
      <c r="AM941">
        <v>4.65</v>
      </c>
      <c r="AN941">
        <v>49</v>
      </c>
      <c r="AO941">
        <v>36.15</v>
      </c>
      <c r="AP941">
        <v>45.39</v>
      </c>
    </row>
    <row r="942" spans="1:42">
      <c r="A942">
        <v>941</v>
      </c>
      <c r="B942" t="str">
        <f>"300660"</f>
        <v>300660</v>
      </c>
      <c r="C942" t="s">
        <v>6553</v>
      </c>
      <c r="D942">
        <v>31.75</v>
      </c>
      <c r="E942">
        <v>-1</v>
      </c>
      <c r="F942">
        <v>-0.32</v>
      </c>
      <c r="G942" t="s">
        <v>2359</v>
      </c>
      <c r="H942">
        <v>623</v>
      </c>
      <c r="I942">
        <v>31.75</v>
      </c>
      <c r="J942">
        <v>31.76</v>
      </c>
      <c r="K942" t="s">
        <v>6551</v>
      </c>
      <c r="L942">
        <v>2.12</v>
      </c>
      <c r="M942" t="s">
        <v>46</v>
      </c>
      <c r="N942" t="s">
        <v>4826</v>
      </c>
      <c r="O942">
        <v>32.05</v>
      </c>
      <c r="P942">
        <v>31.1</v>
      </c>
      <c r="Q942">
        <v>31.51</v>
      </c>
      <c r="R942">
        <v>32.07</v>
      </c>
      <c r="S942">
        <v>2.96</v>
      </c>
      <c r="T942">
        <v>0.66</v>
      </c>
      <c r="U942">
        <v>3.49</v>
      </c>
      <c r="V942">
        <v>19</v>
      </c>
      <c r="W942">
        <v>31.56</v>
      </c>
      <c r="X942" t="s">
        <v>1453</v>
      </c>
      <c r="Y942" t="s">
        <v>3033</v>
      </c>
      <c r="Z942">
        <v>1.21</v>
      </c>
      <c r="AA942">
        <v>3</v>
      </c>
      <c r="AB942">
        <v>129</v>
      </c>
      <c r="AC942">
        <v>3.11</v>
      </c>
      <c r="AD942" t="s">
        <v>6554</v>
      </c>
      <c r="AE942" t="s">
        <v>3439</v>
      </c>
      <c r="AF942" t="s">
        <v>6555</v>
      </c>
      <c r="AG942" t="s">
        <v>6556</v>
      </c>
      <c r="AH942">
        <v>-3.05</v>
      </c>
      <c r="AI942">
        <v>-0.53</v>
      </c>
      <c r="AJ942">
        <v>9.38</v>
      </c>
      <c r="AK942">
        <v>18.26</v>
      </c>
      <c r="AL942">
        <v>-2</v>
      </c>
      <c r="AM942">
        <v>-1</v>
      </c>
      <c r="AN942">
        <v>66.14</v>
      </c>
      <c r="AO942">
        <v>6.33</v>
      </c>
      <c r="AP942">
        <v>46.04</v>
      </c>
    </row>
    <row r="943" spans="1:42">
      <c r="A943">
        <v>942</v>
      </c>
      <c r="B943" t="str">
        <f>"300528"</f>
        <v>300528</v>
      </c>
      <c r="C943" t="s">
        <v>6557</v>
      </c>
      <c r="D943">
        <v>11.34</v>
      </c>
      <c r="E943">
        <v>6.08</v>
      </c>
      <c r="F943">
        <v>0.65</v>
      </c>
      <c r="G943" t="s">
        <v>1960</v>
      </c>
      <c r="H943">
        <v>2626</v>
      </c>
      <c r="I943">
        <v>11.33</v>
      </c>
      <c r="J943">
        <v>11.34</v>
      </c>
      <c r="K943" t="s">
        <v>6551</v>
      </c>
      <c r="L943">
        <v>5.12</v>
      </c>
      <c r="M943" t="s">
        <v>46</v>
      </c>
      <c r="N943" t="s">
        <v>4341</v>
      </c>
      <c r="O943">
        <v>11.42</v>
      </c>
      <c r="P943">
        <v>10.66</v>
      </c>
      <c r="Q943">
        <v>10.68</v>
      </c>
      <c r="R943">
        <v>10.69</v>
      </c>
      <c r="S943">
        <v>7.11</v>
      </c>
      <c r="T943">
        <v>1.2</v>
      </c>
      <c r="U943">
        <v>-17.82</v>
      </c>
      <c r="V943">
        <v>-406</v>
      </c>
      <c r="W943">
        <v>11.1</v>
      </c>
      <c r="X943" t="s">
        <v>4464</v>
      </c>
      <c r="Y943" t="s">
        <v>1909</v>
      </c>
      <c r="Z943">
        <v>0.79</v>
      </c>
      <c r="AA943">
        <v>12</v>
      </c>
      <c r="AB943">
        <v>764</v>
      </c>
      <c r="AC943">
        <v>17.97</v>
      </c>
      <c r="AD943" t="s">
        <v>6558</v>
      </c>
      <c r="AE943" t="s">
        <v>6150</v>
      </c>
      <c r="AF943" t="s">
        <v>6558</v>
      </c>
      <c r="AG943" t="s">
        <v>6150</v>
      </c>
      <c r="AH943">
        <v>5.49</v>
      </c>
      <c r="AI943">
        <v>1.25</v>
      </c>
      <c r="AJ943">
        <v>10.98</v>
      </c>
      <c r="AK943">
        <v>26.47</v>
      </c>
      <c r="AL943">
        <v>2</v>
      </c>
      <c r="AM943">
        <v>6.08</v>
      </c>
      <c r="AN943">
        <v>34.84</v>
      </c>
      <c r="AO943">
        <v>12.5</v>
      </c>
      <c r="AP943">
        <v>66.52</v>
      </c>
    </row>
    <row r="944" spans="1:42">
      <c r="A944">
        <v>943</v>
      </c>
      <c r="B944" t="str">
        <f>"603729"</f>
        <v>603729</v>
      </c>
      <c r="C944" t="s">
        <v>6559</v>
      </c>
      <c r="D944">
        <v>20.28</v>
      </c>
      <c r="E944">
        <v>6.07</v>
      </c>
      <c r="F944">
        <v>1.16</v>
      </c>
      <c r="G944" t="s">
        <v>1128</v>
      </c>
      <c r="H944">
        <v>1393</v>
      </c>
      <c r="I944">
        <v>20.27</v>
      </c>
      <c r="J944">
        <v>20.28</v>
      </c>
      <c r="K944" t="s">
        <v>6551</v>
      </c>
      <c r="L944">
        <v>11.36</v>
      </c>
      <c r="M944" t="s">
        <v>46</v>
      </c>
      <c r="N944" t="s">
        <v>5570</v>
      </c>
      <c r="O944">
        <v>20.42</v>
      </c>
      <c r="P944">
        <v>19.16</v>
      </c>
      <c r="Q944">
        <v>19.3</v>
      </c>
      <c r="R944">
        <v>19.12</v>
      </c>
      <c r="S944">
        <v>6.59</v>
      </c>
      <c r="T944">
        <v>1.04</v>
      </c>
      <c r="U944">
        <v>-39.79</v>
      </c>
      <c r="V944">
        <v>-575</v>
      </c>
      <c r="W944">
        <v>19.96</v>
      </c>
      <c r="X944" t="s">
        <v>6560</v>
      </c>
      <c r="Y944" t="s">
        <v>6561</v>
      </c>
      <c r="Z944">
        <v>0.76</v>
      </c>
      <c r="AA944">
        <v>127</v>
      </c>
      <c r="AB944">
        <v>446</v>
      </c>
      <c r="AC944">
        <v>4.91</v>
      </c>
      <c r="AD944" t="s">
        <v>6562</v>
      </c>
      <c r="AE944" t="s">
        <v>6563</v>
      </c>
      <c r="AF944" t="s">
        <v>6562</v>
      </c>
      <c r="AG944" t="s">
        <v>6563</v>
      </c>
      <c r="AH944">
        <v>4</v>
      </c>
      <c r="AI944">
        <v>-3.57</v>
      </c>
      <c r="AJ944">
        <v>24.69</v>
      </c>
      <c r="AK944">
        <v>66.03</v>
      </c>
      <c r="AL944">
        <v>1</v>
      </c>
      <c r="AM944">
        <v>6.07</v>
      </c>
      <c r="AN944">
        <v>52.83</v>
      </c>
      <c r="AO944">
        <v>-1.55</v>
      </c>
      <c r="AP944">
        <v>42.22</v>
      </c>
    </row>
    <row r="945" spans="1:42">
      <c r="A945">
        <v>944</v>
      </c>
      <c r="B945" t="str">
        <f>"688017"</f>
        <v>688017</v>
      </c>
      <c r="C945" t="s">
        <v>6564</v>
      </c>
      <c r="D945">
        <v>158.01</v>
      </c>
      <c r="E945">
        <v>-1.03</v>
      </c>
      <c r="F945">
        <v>-1.65</v>
      </c>
      <c r="G945" t="s">
        <v>1384</v>
      </c>
      <c r="H945">
        <v>141</v>
      </c>
      <c r="I945">
        <v>158.01</v>
      </c>
      <c r="J945">
        <v>158.03</v>
      </c>
      <c r="K945" t="s">
        <v>6551</v>
      </c>
      <c r="L945">
        <v>0.8</v>
      </c>
      <c r="M945" t="s">
        <v>46</v>
      </c>
      <c r="N945" t="s">
        <v>5707</v>
      </c>
      <c r="O945">
        <v>160.1</v>
      </c>
      <c r="P945">
        <v>155.64</v>
      </c>
      <c r="Q945">
        <v>160</v>
      </c>
      <c r="R945">
        <v>159.66</v>
      </c>
      <c r="S945">
        <v>2.79</v>
      </c>
      <c r="T945">
        <v>0.57</v>
      </c>
      <c r="U945">
        <v>-36.01</v>
      </c>
      <c r="V945">
        <v>-75</v>
      </c>
      <c r="W945">
        <v>157.18</v>
      </c>
      <c r="X945">
        <v>7174</v>
      </c>
      <c r="Y945">
        <v>6290</v>
      </c>
      <c r="Z945">
        <v>1.14</v>
      </c>
      <c r="AA945">
        <v>16</v>
      </c>
      <c r="AB945">
        <v>3</v>
      </c>
      <c r="AC945">
        <v>13.33</v>
      </c>
      <c r="AD945" t="s">
        <v>6565</v>
      </c>
      <c r="AE945" t="s">
        <v>6566</v>
      </c>
      <c r="AF945" t="s">
        <v>6565</v>
      </c>
      <c r="AG945" t="s">
        <v>6566</v>
      </c>
      <c r="AH945">
        <v>2.17</v>
      </c>
      <c r="AI945">
        <v>1.94</v>
      </c>
      <c r="AJ945">
        <v>3.71</v>
      </c>
      <c r="AK945">
        <v>7.78</v>
      </c>
      <c r="AL945">
        <v>-2</v>
      </c>
      <c r="AM945">
        <v>-1.03</v>
      </c>
      <c r="AN945">
        <v>63.44</v>
      </c>
      <c r="AO945">
        <v>26.27</v>
      </c>
      <c r="AP945">
        <v>46.88</v>
      </c>
    </row>
    <row r="946" spans="1:42">
      <c r="A946">
        <v>945</v>
      </c>
      <c r="B946" t="str">
        <f>"605028"</f>
        <v>605028</v>
      </c>
      <c r="C946" t="s">
        <v>6567</v>
      </c>
      <c r="D946">
        <v>19.81</v>
      </c>
      <c r="E946">
        <v>1.38</v>
      </c>
      <c r="F946">
        <v>0.27</v>
      </c>
      <c r="G946" t="s">
        <v>740</v>
      </c>
      <c r="H946">
        <v>741</v>
      </c>
      <c r="I946">
        <v>19.81</v>
      </c>
      <c r="J946">
        <v>19.82</v>
      </c>
      <c r="K946" t="s">
        <v>6551</v>
      </c>
      <c r="L946">
        <v>26</v>
      </c>
      <c r="M946" t="s">
        <v>46</v>
      </c>
      <c r="N946" t="s">
        <v>3982</v>
      </c>
      <c r="O946">
        <v>21.44</v>
      </c>
      <c r="P946">
        <v>19.54</v>
      </c>
      <c r="Q946">
        <v>19.68</v>
      </c>
      <c r="R946">
        <v>19.54</v>
      </c>
      <c r="S946">
        <v>9.72</v>
      </c>
      <c r="T946">
        <v>3.98</v>
      </c>
      <c r="U946">
        <v>61.79</v>
      </c>
      <c r="V946">
        <v>479</v>
      </c>
      <c r="W946">
        <v>20.35</v>
      </c>
      <c r="X946" t="s">
        <v>5023</v>
      </c>
      <c r="Y946" t="s">
        <v>5877</v>
      </c>
      <c r="Z946">
        <v>1.47</v>
      </c>
      <c r="AA946">
        <v>145</v>
      </c>
      <c r="AB946">
        <v>108</v>
      </c>
      <c r="AC946">
        <v>2.53</v>
      </c>
      <c r="AD946" t="s">
        <v>2521</v>
      </c>
      <c r="AE946" t="s">
        <v>6568</v>
      </c>
      <c r="AF946" t="s">
        <v>6569</v>
      </c>
      <c r="AG946" t="s">
        <v>6570</v>
      </c>
      <c r="AH946">
        <v>4.43</v>
      </c>
      <c r="AI946">
        <v>4.59</v>
      </c>
      <c r="AJ946">
        <v>52.1</v>
      </c>
      <c r="AK946">
        <v>58.68</v>
      </c>
      <c r="AL946">
        <v>1</v>
      </c>
      <c r="AM946">
        <v>1.38</v>
      </c>
      <c r="AN946">
        <v>20.28</v>
      </c>
      <c r="AO946">
        <v>8.19</v>
      </c>
      <c r="AP946">
        <v>16.05</v>
      </c>
    </row>
    <row r="947" spans="1:42">
      <c r="A947">
        <v>946</v>
      </c>
      <c r="B947" t="str">
        <f>"300780"</f>
        <v>300780</v>
      </c>
      <c r="C947" t="s">
        <v>6571</v>
      </c>
      <c r="D947">
        <v>21.12</v>
      </c>
      <c r="E947">
        <v>1</v>
      </c>
      <c r="F947">
        <v>0.21</v>
      </c>
      <c r="G947" t="s">
        <v>110</v>
      </c>
      <c r="H947">
        <v>1889</v>
      </c>
      <c r="I947">
        <v>21.11</v>
      </c>
      <c r="J947">
        <v>21.12</v>
      </c>
      <c r="K947" t="s">
        <v>6572</v>
      </c>
      <c r="L947">
        <v>9.8</v>
      </c>
      <c r="M947" t="s">
        <v>46</v>
      </c>
      <c r="N947" t="s">
        <v>3946</v>
      </c>
      <c r="O947">
        <v>21.37</v>
      </c>
      <c r="P947">
        <v>20.35</v>
      </c>
      <c r="Q947">
        <v>20.66</v>
      </c>
      <c r="R947">
        <v>20.91</v>
      </c>
      <c r="S947">
        <v>4.88</v>
      </c>
      <c r="T947">
        <v>0.55</v>
      </c>
      <c r="U947">
        <v>-15.96</v>
      </c>
      <c r="V947">
        <v>-397</v>
      </c>
      <c r="W947">
        <v>20.88</v>
      </c>
      <c r="X947" t="s">
        <v>6573</v>
      </c>
      <c r="Y947" t="s">
        <v>4988</v>
      </c>
      <c r="Z947">
        <v>1.09</v>
      </c>
      <c r="AA947">
        <v>180</v>
      </c>
      <c r="AB947">
        <v>530</v>
      </c>
      <c r="AC947">
        <v>2.55</v>
      </c>
      <c r="AD947" t="s">
        <v>6574</v>
      </c>
      <c r="AE947" t="s">
        <v>6575</v>
      </c>
      <c r="AF947" t="s">
        <v>6576</v>
      </c>
      <c r="AG947" t="s">
        <v>6577</v>
      </c>
      <c r="AH947">
        <v>1.15</v>
      </c>
      <c r="AI947">
        <v>-18.89</v>
      </c>
      <c r="AJ947">
        <v>31.86</v>
      </c>
      <c r="AK947">
        <v>98.41</v>
      </c>
      <c r="AL947">
        <v>2</v>
      </c>
      <c r="AM947">
        <v>1</v>
      </c>
      <c r="AN947">
        <v>53.71</v>
      </c>
      <c r="AO947">
        <v>-3.47</v>
      </c>
      <c r="AP947">
        <v>29.89</v>
      </c>
    </row>
    <row r="948" spans="1:42">
      <c r="A948">
        <v>947</v>
      </c>
      <c r="B948" t="str">
        <f>"600845"</f>
        <v>600845</v>
      </c>
      <c r="C948" t="s">
        <v>6578</v>
      </c>
      <c r="D948">
        <v>43.11</v>
      </c>
      <c r="E948">
        <v>2.64</v>
      </c>
      <c r="F948">
        <v>1.11</v>
      </c>
      <c r="G948" t="s">
        <v>4264</v>
      </c>
      <c r="H948">
        <v>448</v>
      </c>
      <c r="I948">
        <v>43.1</v>
      </c>
      <c r="J948">
        <v>43.11</v>
      </c>
      <c r="K948" t="s">
        <v>6572</v>
      </c>
      <c r="L948">
        <v>0.28</v>
      </c>
      <c r="M948" t="s">
        <v>46</v>
      </c>
      <c r="N948" t="s">
        <v>6579</v>
      </c>
      <c r="O948">
        <v>43.5</v>
      </c>
      <c r="P948">
        <v>41.8</v>
      </c>
      <c r="Q948">
        <v>41.8</v>
      </c>
      <c r="R948">
        <v>42</v>
      </c>
      <c r="S948">
        <v>4.05</v>
      </c>
      <c r="T948">
        <v>1.31</v>
      </c>
      <c r="U948">
        <v>-42.48</v>
      </c>
      <c r="V948">
        <v>-202</v>
      </c>
      <c r="W948">
        <v>42.66</v>
      </c>
      <c r="X948" t="s">
        <v>6580</v>
      </c>
      <c r="Y948" t="s">
        <v>6581</v>
      </c>
      <c r="Z948">
        <v>0.72</v>
      </c>
      <c r="AA948">
        <v>15</v>
      </c>
      <c r="AB948">
        <v>39</v>
      </c>
      <c r="AC948">
        <v>9.82</v>
      </c>
      <c r="AD948" t="s">
        <v>6582</v>
      </c>
      <c r="AE948" t="s">
        <v>4322</v>
      </c>
      <c r="AF948" t="s">
        <v>6583</v>
      </c>
      <c r="AG948" t="s">
        <v>6584</v>
      </c>
      <c r="AH948">
        <v>1.7</v>
      </c>
      <c r="AI948">
        <v>1.13</v>
      </c>
      <c r="AJ948">
        <v>0.73</v>
      </c>
      <c r="AK948">
        <v>1.38</v>
      </c>
      <c r="AL948">
        <v>2</v>
      </c>
      <c r="AM948">
        <v>2.64</v>
      </c>
      <c r="AN948">
        <v>17.56</v>
      </c>
      <c r="AO948">
        <v>3.18</v>
      </c>
      <c r="AP948">
        <v>25.76</v>
      </c>
    </row>
    <row r="949" spans="1:42">
      <c r="A949">
        <v>948</v>
      </c>
      <c r="B949" t="str">
        <f>"002518"</f>
        <v>002518</v>
      </c>
      <c r="C949" t="s">
        <v>6585</v>
      </c>
      <c r="D949">
        <v>25.51</v>
      </c>
      <c r="E949">
        <v>0.43</v>
      </c>
      <c r="F949">
        <v>0.11</v>
      </c>
      <c r="G949" t="s">
        <v>6586</v>
      </c>
      <c r="H949">
        <v>1060</v>
      </c>
      <c r="I949">
        <v>25.5</v>
      </c>
      <c r="J949">
        <v>25.51</v>
      </c>
      <c r="K949" t="s">
        <v>6572</v>
      </c>
      <c r="L949">
        <v>1.48</v>
      </c>
      <c r="M949" t="s">
        <v>46</v>
      </c>
      <c r="N949" t="s">
        <v>6587</v>
      </c>
      <c r="O949">
        <v>25.57</v>
      </c>
      <c r="P949">
        <v>24.98</v>
      </c>
      <c r="Q949">
        <v>25.39</v>
      </c>
      <c r="R949">
        <v>25.4</v>
      </c>
      <c r="S949">
        <v>2.32</v>
      </c>
      <c r="T949">
        <v>1.01</v>
      </c>
      <c r="U949">
        <v>-2.56</v>
      </c>
      <c r="V949">
        <v>-19</v>
      </c>
      <c r="W949">
        <v>25.25</v>
      </c>
      <c r="X949" t="s">
        <v>2300</v>
      </c>
      <c r="Y949" t="s">
        <v>3210</v>
      </c>
      <c r="Z949">
        <v>1.23</v>
      </c>
      <c r="AA949">
        <v>158</v>
      </c>
      <c r="AB949">
        <v>16</v>
      </c>
      <c r="AC949">
        <v>3.69</v>
      </c>
      <c r="AD949" t="s">
        <v>6588</v>
      </c>
      <c r="AE949" t="s">
        <v>6589</v>
      </c>
      <c r="AF949" t="s">
        <v>6590</v>
      </c>
      <c r="AG949" t="s">
        <v>931</v>
      </c>
      <c r="AH949">
        <v>-2.3</v>
      </c>
      <c r="AI949">
        <v>-6.42</v>
      </c>
      <c r="AJ949">
        <v>4.66</v>
      </c>
      <c r="AK949">
        <v>8.78</v>
      </c>
      <c r="AL949">
        <v>1</v>
      </c>
      <c r="AM949">
        <v>0.43</v>
      </c>
      <c r="AN949">
        <v>-55.44</v>
      </c>
      <c r="AO949">
        <v>-5.8</v>
      </c>
      <c r="AP949">
        <v>-43.87</v>
      </c>
    </row>
    <row r="950" spans="1:42">
      <c r="A950">
        <v>949</v>
      </c>
      <c r="B950" t="str">
        <f>"601916"</f>
        <v>601916</v>
      </c>
      <c r="C950" t="s">
        <v>6591</v>
      </c>
      <c r="D950">
        <v>2.52</v>
      </c>
      <c r="E950">
        <v>-0.4</v>
      </c>
      <c r="F950">
        <v>-0.01</v>
      </c>
      <c r="G950" t="s">
        <v>6592</v>
      </c>
      <c r="H950" t="s">
        <v>3793</v>
      </c>
      <c r="I950">
        <v>2.52</v>
      </c>
      <c r="J950">
        <v>2.53</v>
      </c>
      <c r="K950" t="s">
        <v>6572</v>
      </c>
      <c r="L950">
        <v>0.39</v>
      </c>
      <c r="M950" t="s">
        <v>46</v>
      </c>
      <c r="N950" t="s">
        <v>1006</v>
      </c>
      <c r="O950">
        <v>2.54</v>
      </c>
      <c r="P950">
        <v>2.52</v>
      </c>
      <c r="Q950">
        <v>2.53</v>
      </c>
      <c r="R950">
        <v>2.53</v>
      </c>
      <c r="S950">
        <v>0.79</v>
      </c>
      <c r="T950">
        <v>0.98</v>
      </c>
      <c r="U950">
        <v>-32.11</v>
      </c>
      <c r="V950" t="s">
        <v>6593</v>
      </c>
      <c r="W950">
        <v>2.53</v>
      </c>
      <c r="X950" t="s">
        <v>1730</v>
      </c>
      <c r="Y950" t="s">
        <v>6594</v>
      </c>
      <c r="Z950">
        <v>0.67</v>
      </c>
      <c r="AA950" t="s">
        <v>447</v>
      </c>
      <c r="AB950" t="s">
        <v>6595</v>
      </c>
      <c r="AC950">
        <v>0.44</v>
      </c>
      <c r="AD950" t="s">
        <v>6596</v>
      </c>
      <c r="AE950" t="s">
        <v>6597</v>
      </c>
      <c r="AF950" t="s">
        <v>5737</v>
      </c>
      <c r="AG950" t="s">
        <v>6598</v>
      </c>
      <c r="AH950">
        <v>-0.79</v>
      </c>
      <c r="AI950">
        <v>0</v>
      </c>
      <c r="AJ950">
        <v>1.1</v>
      </c>
      <c r="AK950">
        <v>2.37</v>
      </c>
      <c r="AL950">
        <v>-1</v>
      </c>
      <c r="AM950">
        <v>-0.4</v>
      </c>
      <c r="AN950">
        <v>-1.95</v>
      </c>
      <c r="AO950">
        <v>0</v>
      </c>
      <c r="AP950">
        <v>-0.4</v>
      </c>
    </row>
    <row r="951" spans="1:42">
      <c r="A951">
        <v>950</v>
      </c>
      <c r="B951" t="str">
        <f>"601801"</f>
        <v>601801</v>
      </c>
      <c r="C951" t="s">
        <v>6599</v>
      </c>
      <c r="D951">
        <v>7.57</v>
      </c>
      <c r="E951">
        <v>3.56</v>
      </c>
      <c r="F951">
        <v>0.26</v>
      </c>
      <c r="G951" t="s">
        <v>3512</v>
      </c>
      <c r="H951">
        <v>5680</v>
      </c>
      <c r="I951">
        <v>7.57</v>
      </c>
      <c r="J951">
        <v>7.58</v>
      </c>
      <c r="K951" t="s">
        <v>6600</v>
      </c>
      <c r="L951">
        <v>1.41</v>
      </c>
      <c r="M951" t="s">
        <v>46</v>
      </c>
      <c r="N951" t="s">
        <v>6601</v>
      </c>
      <c r="O951">
        <v>7.62</v>
      </c>
      <c r="P951">
        <v>7.31</v>
      </c>
      <c r="Q951">
        <v>7.33</v>
      </c>
      <c r="R951">
        <v>7.31</v>
      </c>
      <c r="S951">
        <v>4.24</v>
      </c>
      <c r="T951">
        <v>1.21</v>
      </c>
      <c r="U951">
        <v>18.44</v>
      </c>
      <c r="V951">
        <v>1921</v>
      </c>
      <c r="W951">
        <v>7.48</v>
      </c>
      <c r="X951" t="s">
        <v>1540</v>
      </c>
      <c r="Y951" t="s">
        <v>3143</v>
      </c>
      <c r="Z951">
        <v>0.73</v>
      </c>
      <c r="AA951">
        <v>1984</v>
      </c>
      <c r="AB951">
        <v>286</v>
      </c>
      <c r="AC951">
        <v>1.27</v>
      </c>
      <c r="AD951" t="s">
        <v>6602</v>
      </c>
      <c r="AE951" t="s">
        <v>2476</v>
      </c>
      <c r="AF951" t="s">
        <v>6602</v>
      </c>
      <c r="AG951" t="s">
        <v>2476</v>
      </c>
      <c r="AH951">
        <v>1.2</v>
      </c>
      <c r="AI951">
        <v>-1.56</v>
      </c>
      <c r="AJ951">
        <v>3.54</v>
      </c>
      <c r="AK951">
        <v>7.26</v>
      </c>
      <c r="AL951">
        <v>1</v>
      </c>
      <c r="AM951">
        <v>3.56</v>
      </c>
      <c r="AN951">
        <v>50.5</v>
      </c>
      <c r="AO951">
        <v>11.32</v>
      </c>
      <c r="AP951">
        <v>61.75</v>
      </c>
    </row>
    <row r="952" spans="1:42">
      <c r="A952">
        <v>951</v>
      </c>
      <c r="B952" t="str">
        <f>"000786"</f>
        <v>000786</v>
      </c>
      <c r="C952" t="s">
        <v>6603</v>
      </c>
      <c r="D952">
        <v>23.06</v>
      </c>
      <c r="E952">
        <v>-1.28</v>
      </c>
      <c r="F952">
        <v>-0.3</v>
      </c>
      <c r="G952" t="s">
        <v>3777</v>
      </c>
      <c r="H952">
        <v>670</v>
      </c>
      <c r="I952">
        <v>23.06</v>
      </c>
      <c r="J952">
        <v>23.07</v>
      </c>
      <c r="K952" t="s">
        <v>6600</v>
      </c>
      <c r="L952">
        <v>0.56</v>
      </c>
      <c r="M952" t="s">
        <v>46</v>
      </c>
      <c r="N952" t="s">
        <v>414</v>
      </c>
      <c r="O952">
        <v>23.45</v>
      </c>
      <c r="P952">
        <v>22.85</v>
      </c>
      <c r="Q952">
        <v>23.38</v>
      </c>
      <c r="R952">
        <v>23.36</v>
      </c>
      <c r="S952">
        <v>2.57</v>
      </c>
      <c r="T952">
        <v>1.02</v>
      </c>
      <c r="U952">
        <v>34.75</v>
      </c>
      <c r="V952">
        <v>265</v>
      </c>
      <c r="W952">
        <v>23.01</v>
      </c>
      <c r="X952" t="s">
        <v>6604</v>
      </c>
      <c r="Y952" t="s">
        <v>2327</v>
      </c>
      <c r="Z952">
        <v>1.57</v>
      </c>
      <c r="AA952">
        <v>31</v>
      </c>
      <c r="AB952">
        <v>60</v>
      </c>
      <c r="AC952">
        <v>1.72</v>
      </c>
      <c r="AD952" t="s">
        <v>3479</v>
      </c>
      <c r="AE952" t="s">
        <v>6605</v>
      </c>
      <c r="AF952" t="s">
        <v>3766</v>
      </c>
      <c r="AG952" t="s">
        <v>6606</v>
      </c>
      <c r="AH952">
        <v>-1.91</v>
      </c>
      <c r="AI952">
        <v>-3.6</v>
      </c>
      <c r="AJ952">
        <v>1.67</v>
      </c>
      <c r="AK952">
        <v>3.3</v>
      </c>
      <c r="AL952">
        <v>-1</v>
      </c>
      <c r="AM952">
        <v>-1.28</v>
      </c>
      <c r="AN952">
        <v>-8.56</v>
      </c>
      <c r="AO952">
        <v>-6.49</v>
      </c>
      <c r="AP952">
        <v>-6.41</v>
      </c>
    </row>
    <row r="953" spans="1:42">
      <c r="A953">
        <v>952</v>
      </c>
      <c r="B953" t="str">
        <f>"300093"</f>
        <v>300093</v>
      </c>
      <c r="C953" t="s">
        <v>6607</v>
      </c>
      <c r="D953">
        <v>17.57</v>
      </c>
      <c r="E953">
        <v>2.57</v>
      </c>
      <c r="F953">
        <v>0.44</v>
      </c>
      <c r="G953" t="s">
        <v>447</v>
      </c>
      <c r="H953">
        <v>1820</v>
      </c>
      <c r="I953">
        <v>17.57</v>
      </c>
      <c r="J953">
        <v>17.58</v>
      </c>
      <c r="K953" t="s">
        <v>6600</v>
      </c>
      <c r="L953">
        <v>5.65</v>
      </c>
      <c r="M953" t="s">
        <v>46</v>
      </c>
      <c r="N953" t="s">
        <v>804</v>
      </c>
      <c r="O953">
        <v>17.69</v>
      </c>
      <c r="P953">
        <v>16.9</v>
      </c>
      <c r="Q953">
        <v>17.13</v>
      </c>
      <c r="R953">
        <v>17.13</v>
      </c>
      <c r="S953">
        <v>4.61</v>
      </c>
      <c r="T953">
        <v>0.6</v>
      </c>
      <c r="U953">
        <v>59.67</v>
      </c>
      <c r="V953">
        <v>1639</v>
      </c>
      <c r="W953">
        <v>17.3</v>
      </c>
      <c r="X953" t="s">
        <v>6608</v>
      </c>
      <c r="Y953" t="s">
        <v>5962</v>
      </c>
      <c r="Z953">
        <v>1.02</v>
      </c>
      <c r="AA953">
        <v>143</v>
      </c>
      <c r="AB953">
        <v>181</v>
      </c>
      <c r="AC953">
        <v>-28.87</v>
      </c>
      <c r="AD953" t="s">
        <v>6609</v>
      </c>
      <c r="AE953" t="s">
        <v>6610</v>
      </c>
      <c r="AF953" t="s">
        <v>6611</v>
      </c>
      <c r="AG953" t="s">
        <v>6612</v>
      </c>
      <c r="AH953">
        <v>-4.09</v>
      </c>
      <c r="AI953">
        <v>-1.95</v>
      </c>
      <c r="AJ953">
        <v>18.72</v>
      </c>
      <c r="AK953">
        <v>52.93</v>
      </c>
      <c r="AL953">
        <v>1</v>
      </c>
      <c r="AM953">
        <v>2.57</v>
      </c>
      <c r="AN953">
        <v>-58.99</v>
      </c>
      <c r="AO953">
        <v>14.02</v>
      </c>
      <c r="AP953">
        <v>-60.33</v>
      </c>
    </row>
    <row r="954" spans="1:42">
      <c r="A954">
        <v>953</v>
      </c>
      <c r="B954" t="str">
        <f>"600362"</f>
        <v>600362</v>
      </c>
      <c r="C954" t="s">
        <v>6613</v>
      </c>
      <c r="D954">
        <v>17.65</v>
      </c>
      <c r="E954">
        <v>-0.34</v>
      </c>
      <c r="F954">
        <v>-0.06</v>
      </c>
      <c r="G954" t="s">
        <v>1937</v>
      </c>
      <c r="H954">
        <v>1094</v>
      </c>
      <c r="I954">
        <v>17.65</v>
      </c>
      <c r="J954">
        <v>17.66</v>
      </c>
      <c r="K954" t="s">
        <v>6600</v>
      </c>
      <c r="L954">
        <v>0.58</v>
      </c>
      <c r="M954" t="s">
        <v>46</v>
      </c>
      <c r="N954" t="s">
        <v>6614</v>
      </c>
      <c r="O954">
        <v>17.77</v>
      </c>
      <c r="P954">
        <v>17.45</v>
      </c>
      <c r="Q954">
        <v>17.75</v>
      </c>
      <c r="R954">
        <v>17.71</v>
      </c>
      <c r="S954">
        <v>1.81</v>
      </c>
      <c r="T954">
        <v>1.55</v>
      </c>
      <c r="U954">
        <v>14.5</v>
      </c>
      <c r="V954">
        <v>723</v>
      </c>
      <c r="W954">
        <v>17.57</v>
      </c>
      <c r="X954" t="s">
        <v>2674</v>
      </c>
      <c r="Y954" t="s">
        <v>6615</v>
      </c>
      <c r="Z954">
        <v>1.34</v>
      </c>
      <c r="AA954">
        <v>1239</v>
      </c>
      <c r="AB954">
        <v>491</v>
      </c>
      <c r="AC954">
        <v>0.76</v>
      </c>
      <c r="AD954" t="s">
        <v>4731</v>
      </c>
      <c r="AE954" t="s">
        <v>6616</v>
      </c>
      <c r="AF954" t="s">
        <v>6617</v>
      </c>
      <c r="AG954" t="s">
        <v>6618</v>
      </c>
      <c r="AH954">
        <v>-0.73</v>
      </c>
      <c r="AI954">
        <v>-1.45</v>
      </c>
      <c r="AJ954">
        <v>1.51</v>
      </c>
      <c r="AK954">
        <v>2.43</v>
      </c>
      <c r="AL954">
        <v>-2</v>
      </c>
      <c r="AM954">
        <v>-0.34</v>
      </c>
      <c r="AN954">
        <v>4.25</v>
      </c>
      <c r="AO954">
        <v>-2.43</v>
      </c>
      <c r="AP954">
        <v>8.48</v>
      </c>
    </row>
    <row r="955" spans="1:42">
      <c r="A955">
        <v>954</v>
      </c>
      <c r="B955" t="str">
        <f>"601918"</f>
        <v>601918</v>
      </c>
      <c r="C955" t="s">
        <v>6619</v>
      </c>
      <c r="D955">
        <v>5.37</v>
      </c>
      <c r="E955">
        <v>2.29</v>
      </c>
      <c r="F955">
        <v>0.12</v>
      </c>
      <c r="G955" t="s">
        <v>2150</v>
      </c>
      <c r="H955">
        <v>6669</v>
      </c>
      <c r="I955">
        <v>5.36</v>
      </c>
      <c r="J955">
        <v>5.37</v>
      </c>
      <c r="K955" t="s">
        <v>6600</v>
      </c>
      <c r="L955">
        <v>1.52</v>
      </c>
      <c r="M955" t="s">
        <v>46</v>
      </c>
      <c r="N955" t="s">
        <v>6620</v>
      </c>
      <c r="O955">
        <v>5.38</v>
      </c>
      <c r="P955">
        <v>5.27</v>
      </c>
      <c r="Q955">
        <v>5.28</v>
      </c>
      <c r="R955">
        <v>5.25</v>
      </c>
      <c r="S955">
        <v>2.1</v>
      </c>
      <c r="T955">
        <v>1.15</v>
      </c>
      <c r="U955">
        <v>-29.56</v>
      </c>
      <c r="V955" t="s">
        <v>6621</v>
      </c>
      <c r="W955">
        <v>5.35</v>
      </c>
      <c r="X955" t="s">
        <v>1196</v>
      </c>
      <c r="Y955" t="s">
        <v>2419</v>
      </c>
      <c r="Z955">
        <v>0.83</v>
      </c>
      <c r="AA955">
        <v>2560</v>
      </c>
      <c r="AB955">
        <v>1700</v>
      </c>
      <c r="AC955">
        <v>1.04</v>
      </c>
      <c r="AD955" t="s">
        <v>6622</v>
      </c>
      <c r="AE955" t="s">
        <v>6623</v>
      </c>
      <c r="AF955" t="s">
        <v>6622</v>
      </c>
      <c r="AG955" t="s">
        <v>6623</v>
      </c>
      <c r="AH955">
        <v>3.67</v>
      </c>
      <c r="AI955">
        <v>5.09</v>
      </c>
      <c r="AJ955">
        <v>3.95</v>
      </c>
      <c r="AK955">
        <v>8.09</v>
      </c>
      <c r="AL955">
        <v>1</v>
      </c>
      <c r="AM955">
        <v>2.29</v>
      </c>
      <c r="AN955">
        <v>31.62</v>
      </c>
      <c r="AO955">
        <v>11.41</v>
      </c>
      <c r="AP955">
        <v>27.86</v>
      </c>
    </row>
    <row r="956" spans="1:42">
      <c r="A956">
        <v>955</v>
      </c>
      <c r="B956" t="str">
        <f>"300290"</f>
        <v>300290</v>
      </c>
      <c r="C956" t="s">
        <v>6624</v>
      </c>
      <c r="D956">
        <v>6.84</v>
      </c>
      <c r="E956">
        <v>3.01</v>
      </c>
      <c r="F956">
        <v>0.2</v>
      </c>
      <c r="G956" t="s">
        <v>2274</v>
      </c>
      <c r="H956">
        <v>3975</v>
      </c>
      <c r="I956">
        <v>6.83</v>
      </c>
      <c r="J956">
        <v>6.84</v>
      </c>
      <c r="K956" t="s">
        <v>6600</v>
      </c>
      <c r="L956">
        <v>4.87</v>
      </c>
      <c r="M956" t="s">
        <v>46</v>
      </c>
      <c r="N956" t="s">
        <v>6625</v>
      </c>
      <c r="O956">
        <v>6.86</v>
      </c>
      <c r="P956">
        <v>6.57</v>
      </c>
      <c r="Q956">
        <v>6.63</v>
      </c>
      <c r="R956">
        <v>6.64</v>
      </c>
      <c r="S956">
        <v>4.37</v>
      </c>
      <c r="T956">
        <v>0.8</v>
      </c>
      <c r="U956">
        <v>-31.16</v>
      </c>
      <c r="V956">
        <v>-4343</v>
      </c>
      <c r="W956">
        <v>6.74</v>
      </c>
      <c r="X956" t="s">
        <v>598</v>
      </c>
      <c r="Y956" t="s">
        <v>3155</v>
      </c>
      <c r="Z956">
        <v>0.9</v>
      </c>
      <c r="AA956">
        <v>3265</v>
      </c>
      <c r="AB956">
        <v>1157</v>
      </c>
      <c r="AC956">
        <v>5.35</v>
      </c>
      <c r="AD956" t="s">
        <v>6626</v>
      </c>
      <c r="AE956" t="s">
        <v>6627</v>
      </c>
      <c r="AF956" t="s">
        <v>6628</v>
      </c>
      <c r="AG956" t="s">
        <v>6629</v>
      </c>
      <c r="AH956">
        <v>0.15</v>
      </c>
      <c r="AI956">
        <v>-5.79</v>
      </c>
      <c r="AJ956">
        <v>16.47</v>
      </c>
      <c r="AK956">
        <v>35.41</v>
      </c>
      <c r="AL956">
        <v>1</v>
      </c>
      <c r="AM956">
        <v>3.01</v>
      </c>
      <c r="AN956">
        <v>52</v>
      </c>
      <c r="AO956">
        <v>6.54</v>
      </c>
      <c r="AP956">
        <v>34.12</v>
      </c>
    </row>
    <row r="957" spans="1:42">
      <c r="A957">
        <v>956</v>
      </c>
      <c r="B957" t="str">
        <f>"603189"</f>
        <v>603189</v>
      </c>
      <c r="C957" t="s">
        <v>6630</v>
      </c>
      <c r="D957">
        <v>15.92</v>
      </c>
      <c r="E957">
        <v>10.02</v>
      </c>
      <c r="F957">
        <v>1.45</v>
      </c>
      <c r="G957" t="s">
        <v>1759</v>
      </c>
      <c r="H957">
        <v>127</v>
      </c>
      <c r="I957">
        <v>15.92</v>
      </c>
      <c r="J957" t="s">
        <v>76</v>
      </c>
      <c r="K957" t="s">
        <v>6600</v>
      </c>
      <c r="L957">
        <v>4.92</v>
      </c>
      <c r="M957" t="s">
        <v>46</v>
      </c>
      <c r="N957" t="s">
        <v>6517</v>
      </c>
      <c r="O957">
        <v>15.92</v>
      </c>
      <c r="P957">
        <v>14.6</v>
      </c>
      <c r="Q957">
        <v>14.93</v>
      </c>
      <c r="R957">
        <v>14.47</v>
      </c>
      <c r="S957">
        <v>9.12</v>
      </c>
      <c r="T957">
        <v>5.57</v>
      </c>
      <c r="U957">
        <v>100</v>
      </c>
      <c r="V957" t="s">
        <v>4509</v>
      </c>
      <c r="W957">
        <v>15.82</v>
      </c>
      <c r="X957" t="s">
        <v>2402</v>
      </c>
      <c r="Y957" t="s">
        <v>4013</v>
      </c>
      <c r="Z957">
        <v>4.35</v>
      </c>
      <c r="AA957" t="s">
        <v>731</v>
      </c>
      <c r="AB957">
        <v>0</v>
      </c>
      <c r="AC957">
        <v>2.68</v>
      </c>
      <c r="AD957" t="s">
        <v>6631</v>
      </c>
      <c r="AE957" t="s">
        <v>5217</v>
      </c>
      <c r="AF957" t="s">
        <v>6631</v>
      </c>
      <c r="AG957" t="s">
        <v>5217</v>
      </c>
      <c r="AH957">
        <v>8.45</v>
      </c>
      <c r="AI957">
        <v>6.56</v>
      </c>
      <c r="AJ957">
        <v>6.63</v>
      </c>
      <c r="AK957">
        <v>9.33</v>
      </c>
      <c r="AL957">
        <v>1</v>
      </c>
      <c r="AM957">
        <v>10.02</v>
      </c>
      <c r="AN957">
        <v>15.2</v>
      </c>
      <c r="AO957">
        <v>13.07</v>
      </c>
      <c r="AP957">
        <v>8.08</v>
      </c>
    </row>
    <row r="958" spans="1:42">
      <c r="A958">
        <v>957</v>
      </c>
      <c r="B958" t="str">
        <f>"002068"</f>
        <v>002068</v>
      </c>
      <c r="C958" t="s">
        <v>6632</v>
      </c>
      <c r="D958">
        <v>11.18</v>
      </c>
      <c r="E958">
        <v>0.63</v>
      </c>
      <c r="F958">
        <v>0.07</v>
      </c>
      <c r="G958" t="s">
        <v>3434</v>
      </c>
      <c r="H958">
        <v>1317</v>
      </c>
      <c r="I958">
        <v>11.17</v>
      </c>
      <c r="J958">
        <v>11.18</v>
      </c>
      <c r="K958" t="s">
        <v>6633</v>
      </c>
      <c r="L958">
        <v>2.58</v>
      </c>
      <c r="M958" t="s">
        <v>46</v>
      </c>
      <c r="N958" t="s">
        <v>6634</v>
      </c>
      <c r="O958">
        <v>11.27</v>
      </c>
      <c r="P958">
        <v>10.9</v>
      </c>
      <c r="Q958">
        <v>11.18</v>
      </c>
      <c r="R958">
        <v>11.11</v>
      </c>
      <c r="S958">
        <v>3.33</v>
      </c>
      <c r="T958">
        <v>0.64</v>
      </c>
      <c r="U958">
        <v>-16.42</v>
      </c>
      <c r="V958">
        <v>-345</v>
      </c>
      <c r="W958">
        <v>11.06</v>
      </c>
      <c r="X958" t="s">
        <v>1789</v>
      </c>
      <c r="Y958" t="s">
        <v>6635</v>
      </c>
      <c r="Z958">
        <v>1.01</v>
      </c>
      <c r="AA958">
        <v>234</v>
      </c>
      <c r="AB958">
        <v>21</v>
      </c>
      <c r="AC958">
        <v>2.75</v>
      </c>
      <c r="AD958" t="s">
        <v>6636</v>
      </c>
      <c r="AE958" t="s">
        <v>6637</v>
      </c>
      <c r="AF958" t="s">
        <v>6638</v>
      </c>
      <c r="AG958" t="s">
        <v>6639</v>
      </c>
      <c r="AH958">
        <v>-4.53</v>
      </c>
      <c r="AI958">
        <v>-1.93</v>
      </c>
      <c r="AJ958">
        <v>15.24</v>
      </c>
      <c r="AK958">
        <v>22.68</v>
      </c>
      <c r="AL958">
        <v>1</v>
      </c>
      <c r="AM958">
        <v>0.63</v>
      </c>
      <c r="AN958">
        <v>-6.6</v>
      </c>
      <c r="AO958">
        <v>4.58</v>
      </c>
      <c r="AP958">
        <v>-20.99</v>
      </c>
    </row>
    <row r="959" spans="1:42">
      <c r="A959">
        <v>958</v>
      </c>
      <c r="B959" t="str">
        <f>"600674"</f>
        <v>600674</v>
      </c>
      <c r="C959" t="s">
        <v>6640</v>
      </c>
      <c r="D959">
        <v>14.23</v>
      </c>
      <c r="E959">
        <v>-0.35</v>
      </c>
      <c r="F959">
        <v>-0.05</v>
      </c>
      <c r="G959" t="s">
        <v>2217</v>
      </c>
      <c r="H959">
        <v>402</v>
      </c>
      <c r="I959">
        <v>14.23</v>
      </c>
      <c r="J959">
        <v>14.25</v>
      </c>
      <c r="K959" t="s">
        <v>6633</v>
      </c>
      <c r="L959">
        <v>0.33</v>
      </c>
      <c r="M959" t="s">
        <v>46</v>
      </c>
      <c r="N959" t="s">
        <v>119</v>
      </c>
      <c r="O959">
        <v>14.3</v>
      </c>
      <c r="P959">
        <v>14.15</v>
      </c>
      <c r="Q959">
        <v>14.28</v>
      </c>
      <c r="R959">
        <v>14.28</v>
      </c>
      <c r="S959">
        <v>1.05</v>
      </c>
      <c r="T959">
        <v>1.05</v>
      </c>
      <c r="U959">
        <v>-34.31</v>
      </c>
      <c r="V959">
        <v>-1221</v>
      </c>
      <c r="W959">
        <v>14.24</v>
      </c>
      <c r="X959" t="s">
        <v>5040</v>
      </c>
      <c r="Y959" t="s">
        <v>2835</v>
      </c>
      <c r="Z959">
        <v>0.91</v>
      </c>
      <c r="AA959">
        <v>160</v>
      </c>
      <c r="AB959">
        <v>81</v>
      </c>
      <c r="AC959">
        <v>1.81</v>
      </c>
      <c r="AD959" t="s">
        <v>6641</v>
      </c>
      <c r="AE959" t="s">
        <v>6642</v>
      </c>
      <c r="AF959" t="s">
        <v>6641</v>
      </c>
      <c r="AG959" t="s">
        <v>6642</v>
      </c>
      <c r="AH959">
        <v>1.64</v>
      </c>
      <c r="AI959">
        <v>1.28</v>
      </c>
      <c r="AJ959">
        <v>1</v>
      </c>
      <c r="AK959">
        <v>1.89</v>
      </c>
      <c r="AL959">
        <v>-1</v>
      </c>
      <c r="AM959">
        <v>-0.35</v>
      </c>
      <c r="AN959">
        <v>20.29</v>
      </c>
      <c r="AO959">
        <v>-3.26</v>
      </c>
      <c r="AP959">
        <v>26.26</v>
      </c>
    </row>
    <row r="960" spans="1:42">
      <c r="A960">
        <v>959</v>
      </c>
      <c r="B960" t="str">
        <f>"002180"</f>
        <v>002180</v>
      </c>
      <c r="C960" t="s">
        <v>6643</v>
      </c>
      <c r="D960">
        <v>27.58</v>
      </c>
      <c r="E960">
        <v>-0.22</v>
      </c>
      <c r="F960">
        <v>-0.06</v>
      </c>
      <c r="G960" t="s">
        <v>700</v>
      </c>
      <c r="H960">
        <v>655</v>
      </c>
      <c r="I960">
        <v>27.58</v>
      </c>
      <c r="J960">
        <v>27.59</v>
      </c>
      <c r="K960" t="s">
        <v>6633</v>
      </c>
      <c r="L960">
        <v>0.59</v>
      </c>
      <c r="M960" t="s">
        <v>46</v>
      </c>
      <c r="N960" t="s">
        <v>6644</v>
      </c>
      <c r="O960">
        <v>27.68</v>
      </c>
      <c r="P960">
        <v>27</v>
      </c>
      <c r="Q960">
        <v>27.64</v>
      </c>
      <c r="R960">
        <v>27.64</v>
      </c>
      <c r="S960">
        <v>2.46</v>
      </c>
      <c r="T960">
        <v>0.96</v>
      </c>
      <c r="U960">
        <v>7.04</v>
      </c>
      <c r="V960">
        <v>40</v>
      </c>
      <c r="W960">
        <v>27.37</v>
      </c>
      <c r="X960" t="s">
        <v>6645</v>
      </c>
      <c r="Y960" t="s">
        <v>6646</v>
      </c>
      <c r="Z960">
        <v>1.05</v>
      </c>
      <c r="AA960">
        <v>38</v>
      </c>
      <c r="AB960">
        <v>85</v>
      </c>
      <c r="AC960">
        <v>2.44</v>
      </c>
      <c r="AD960" t="s">
        <v>6191</v>
      </c>
      <c r="AE960" t="s">
        <v>6647</v>
      </c>
      <c r="AF960" t="s">
        <v>6648</v>
      </c>
      <c r="AG960" t="s">
        <v>6649</v>
      </c>
      <c r="AH960">
        <v>-4.57</v>
      </c>
      <c r="AI960">
        <v>-6.48</v>
      </c>
      <c r="AJ960">
        <v>2.22</v>
      </c>
      <c r="AK960">
        <v>3.65</v>
      </c>
      <c r="AL960">
        <v>-3</v>
      </c>
      <c r="AM960">
        <v>-0.22</v>
      </c>
      <c r="AN960">
        <v>-46.73</v>
      </c>
      <c r="AO960">
        <v>7.48</v>
      </c>
      <c r="AP960">
        <v>-51.64</v>
      </c>
    </row>
    <row r="961" spans="1:42">
      <c r="A961">
        <v>960</v>
      </c>
      <c r="B961" t="str">
        <f>"000070"</f>
        <v>000070</v>
      </c>
      <c r="C961" t="s">
        <v>6650</v>
      </c>
      <c r="D961">
        <v>9.09</v>
      </c>
      <c r="E961">
        <v>2.83</v>
      </c>
      <c r="F961">
        <v>0.25</v>
      </c>
      <c r="G961" t="s">
        <v>1031</v>
      </c>
      <c r="H961">
        <v>2607</v>
      </c>
      <c r="I961">
        <v>9.08</v>
      </c>
      <c r="J961">
        <v>9.09</v>
      </c>
      <c r="K961" t="s">
        <v>6633</v>
      </c>
      <c r="L961">
        <v>2.61</v>
      </c>
      <c r="M961" t="s">
        <v>46</v>
      </c>
      <c r="N961" t="s">
        <v>4490</v>
      </c>
      <c r="O961">
        <v>9.12</v>
      </c>
      <c r="P961">
        <v>8.79</v>
      </c>
      <c r="Q961">
        <v>8.84</v>
      </c>
      <c r="R961">
        <v>8.84</v>
      </c>
      <c r="S961">
        <v>3.73</v>
      </c>
      <c r="T961">
        <v>0.89</v>
      </c>
      <c r="U961">
        <v>-22.98</v>
      </c>
      <c r="V961">
        <v>-3079</v>
      </c>
      <c r="W961">
        <v>9.02</v>
      </c>
      <c r="X961" t="s">
        <v>5638</v>
      </c>
      <c r="Y961" t="s">
        <v>263</v>
      </c>
      <c r="Z961">
        <v>0.75</v>
      </c>
      <c r="AA961">
        <v>911</v>
      </c>
      <c r="AB961">
        <v>626</v>
      </c>
      <c r="AC961">
        <v>3.78</v>
      </c>
      <c r="AD961" t="s">
        <v>6651</v>
      </c>
      <c r="AE961" t="s">
        <v>6652</v>
      </c>
      <c r="AF961" t="s">
        <v>6653</v>
      </c>
      <c r="AG961" t="s">
        <v>6654</v>
      </c>
      <c r="AH961">
        <v>-0.44</v>
      </c>
      <c r="AI961">
        <v>-6.19</v>
      </c>
      <c r="AJ961">
        <v>7.4</v>
      </c>
      <c r="AK961">
        <v>17.3</v>
      </c>
      <c r="AL961">
        <v>1</v>
      </c>
      <c r="AM961">
        <v>2.83</v>
      </c>
      <c r="AN961">
        <v>31.36</v>
      </c>
      <c r="AO961">
        <v>8.6</v>
      </c>
      <c r="AP961">
        <v>28.94</v>
      </c>
    </row>
    <row r="962" spans="1:42">
      <c r="A962">
        <v>961</v>
      </c>
      <c r="B962" t="str">
        <f>"002426"</f>
        <v>002426</v>
      </c>
      <c r="C962" t="s">
        <v>6655</v>
      </c>
      <c r="D962">
        <v>2.65</v>
      </c>
      <c r="E962">
        <v>-1.85</v>
      </c>
      <c r="F962">
        <v>-0.05</v>
      </c>
      <c r="G962" t="s">
        <v>2053</v>
      </c>
      <c r="H962" t="s">
        <v>6656</v>
      </c>
      <c r="I962">
        <v>2.65</v>
      </c>
      <c r="J962">
        <v>2.66</v>
      </c>
      <c r="K962" t="s">
        <v>6633</v>
      </c>
      <c r="L962">
        <v>2.49</v>
      </c>
      <c r="M962" t="s">
        <v>46</v>
      </c>
      <c r="N962" t="s">
        <v>2966</v>
      </c>
      <c r="O962">
        <v>2.69</v>
      </c>
      <c r="P962">
        <v>2.64</v>
      </c>
      <c r="Q962">
        <v>2.68</v>
      </c>
      <c r="R962">
        <v>2.7</v>
      </c>
      <c r="S962">
        <v>1.85</v>
      </c>
      <c r="T962">
        <v>0.89</v>
      </c>
      <c r="U962">
        <v>11.12</v>
      </c>
      <c r="V962" t="s">
        <v>314</v>
      </c>
      <c r="W962">
        <v>2.65</v>
      </c>
      <c r="X962" t="s">
        <v>2664</v>
      </c>
      <c r="Y962" t="s">
        <v>143</v>
      </c>
      <c r="Z962">
        <v>1.57</v>
      </c>
      <c r="AA962" t="s">
        <v>6657</v>
      </c>
      <c r="AB962">
        <v>2645</v>
      </c>
      <c r="AC962">
        <v>2.2</v>
      </c>
      <c r="AD962" t="s">
        <v>6658</v>
      </c>
      <c r="AE962" t="s">
        <v>6659</v>
      </c>
      <c r="AF962" t="s">
        <v>6660</v>
      </c>
      <c r="AG962" t="s">
        <v>6661</v>
      </c>
      <c r="AH962">
        <v>0.38</v>
      </c>
      <c r="AI962">
        <v>-1.12</v>
      </c>
      <c r="AJ962">
        <v>8.31</v>
      </c>
      <c r="AK962">
        <v>16.55</v>
      </c>
      <c r="AL962">
        <v>-1</v>
      </c>
      <c r="AM962">
        <v>-1.85</v>
      </c>
      <c r="AN962">
        <v>0.76</v>
      </c>
      <c r="AO962">
        <v>2.71</v>
      </c>
      <c r="AP962">
        <v>3.11</v>
      </c>
    </row>
    <row r="963" spans="1:42">
      <c r="A963">
        <v>962</v>
      </c>
      <c r="B963" t="str">
        <f>"300507"</f>
        <v>300507</v>
      </c>
      <c r="C963" t="s">
        <v>6662</v>
      </c>
      <c r="D963">
        <v>7.25</v>
      </c>
      <c r="E963">
        <v>0.28</v>
      </c>
      <c r="F963">
        <v>0.02</v>
      </c>
      <c r="G963" t="s">
        <v>956</v>
      </c>
      <c r="H963">
        <v>4714</v>
      </c>
      <c r="I963">
        <v>7.25</v>
      </c>
      <c r="J963">
        <v>7.26</v>
      </c>
      <c r="K963" t="s">
        <v>6633</v>
      </c>
      <c r="L963">
        <v>3.77</v>
      </c>
      <c r="M963" t="s">
        <v>46</v>
      </c>
      <c r="N963" t="s">
        <v>251</v>
      </c>
      <c r="O963">
        <v>7.29</v>
      </c>
      <c r="P963">
        <v>7.06</v>
      </c>
      <c r="Q963">
        <v>7.23</v>
      </c>
      <c r="R963">
        <v>7.23</v>
      </c>
      <c r="S963">
        <v>3.18</v>
      </c>
      <c r="T963">
        <v>0.5</v>
      </c>
      <c r="U963">
        <v>-20.66</v>
      </c>
      <c r="V963">
        <v>-2698</v>
      </c>
      <c r="W963">
        <v>7.2</v>
      </c>
      <c r="X963" t="s">
        <v>978</v>
      </c>
      <c r="Y963" t="s">
        <v>1376</v>
      </c>
      <c r="Z963">
        <v>1.13</v>
      </c>
      <c r="AA963">
        <v>1209</v>
      </c>
      <c r="AB963">
        <v>1077</v>
      </c>
      <c r="AC963">
        <v>3.02</v>
      </c>
      <c r="AD963" t="s">
        <v>3062</v>
      </c>
      <c r="AE963" t="s">
        <v>6663</v>
      </c>
      <c r="AF963" t="s">
        <v>6664</v>
      </c>
      <c r="AG963" t="s">
        <v>6665</v>
      </c>
      <c r="AH963">
        <v>-5.97</v>
      </c>
      <c r="AI963">
        <v>-3.59</v>
      </c>
      <c r="AJ963">
        <v>17.67</v>
      </c>
      <c r="AK963">
        <v>41.56</v>
      </c>
      <c r="AL963">
        <v>1</v>
      </c>
      <c r="AM963">
        <v>0.28</v>
      </c>
      <c r="AN963">
        <v>33.27</v>
      </c>
      <c r="AO963">
        <v>11.2</v>
      </c>
      <c r="AP963">
        <v>17.69</v>
      </c>
    </row>
    <row r="964" spans="1:42">
      <c r="A964">
        <v>963</v>
      </c>
      <c r="B964" t="str">
        <f>"300638"</f>
        <v>300638</v>
      </c>
      <c r="C964" t="s">
        <v>6666</v>
      </c>
      <c r="D964">
        <v>20.42</v>
      </c>
      <c r="E964">
        <v>2.51</v>
      </c>
      <c r="F964">
        <v>0.5</v>
      </c>
      <c r="G964" t="s">
        <v>3402</v>
      </c>
      <c r="H964">
        <v>769</v>
      </c>
      <c r="I964">
        <v>20.42</v>
      </c>
      <c r="J964">
        <v>20.43</v>
      </c>
      <c r="K964" t="s">
        <v>6633</v>
      </c>
      <c r="L964">
        <v>2.05</v>
      </c>
      <c r="M964" t="s">
        <v>46</v>
      </c>
      <c r="N964" t="s">
        <v>6667</v>
      </c>
      <c r="O964">
        <v>20.52</v>
      </c>
      <c r="P964">
        <v>19.72</v>
      </c>
      <c r="Q964">
        <v>20.04</v>
      </c>
      <c r="R964">
        <v>19.92</v>
      </c>
      <c r="S964">
        <v>4.02</v>
      </c>
      <c r="T964">
        <v>0.95</v>
      </c>
      <c r="U964">
        <v>33.48</v>
      </c>
      <c r="V964">
        <v>376</v>
      </c>
      <c r="W964">
        <v>20.2</v>
      </c>
      <c r="X964" t="s">
        <v>6257</v>
      </c>
      <c r="Y964" t="s">
        <v>5064</v>
      </c>
      <c r="Z964">
        <v>0.84</v>
      </c>
      <c r="AA964">
        <v>157</v>
      </c>
      <c r="AB964">
        <v>33</v>
      </c>
      <c r="AC964">
        <v>5.11</v>
      </c>
      <c r="AD964" t="s">
        <v>6668</v>
      </c>
      <c r="AE964" t="s">
        <v>6669</v>
      </c>
      <c r="AF964" t="s">
        <v>6670</v>
      </c>
      <c r="AG964" t="s">
        <v>6671</v>
      </c>
      <c r="AH964">
        <v>0.74</v>
      </c>
      <c r="AI964">
        <v>0.64</v>
      </c>
      <c r="AJ964">
        <v>5.39</v>
      </c>
      <c r="AK964">
        <v>12.89</v>
      </c>
      <c r="AL964">
        <v>1</v>
      </c>
      <c r="AM964">
        <v>2.51</v>
      </c>
      <c r="AN964">
        <v>37.69</v>
      </c>
      <c r="AO964">
        <v>-2.39</v>
      </c>
      <c r="AP964">
        <v>15.63</v>
      </c>
    </row>
    <row r="965" spans="1:42">
      <c r="A965">
        <v>964</v>
      </c>
      <c r="B965" t="str">
        <f>"688170"</f>
        <v>688170</v>
      </c>
      <c r="C965" t="s">
        <v>6672</v>
      </c>
      <c r="D965">
        <v>39.89</v>
      </c>
      <c r="E965">
        <v>-2.28</v>
      </c>
      <c r="F965">
        <v>-0.93</v>
      </c>
      <c r="G965" t="s">
        <v>6673</v>
      </c>
      <c r="H965">
        <v>314</v>
      </c>
      <c r="I965">
        <v>39.85</v>
      </c>
      <c r="J965">
        <v>39.89</v>
      </c>
      <c r="K965" t="s">
        <v>6674</v>
      </c>
      <c r="L965">
        <v>6.61</v>
      </c>
      <c r="M965" t="s">
        <v>46</v>
      </c>
      <c r="N965" t="s">
        <v>6518</v>
      </c>
      <c r="O965">
        <v>40.93</v>
      </c>
      <c r="P965">
        <v>38.86</v>
      </c>
      <c r="Q965">
        <v>40.93</v>
      </c>
      <c r="R965">
        <v>40.82</v>
      </c>
      <c r="S965">
        <v>5.07</v>
      </c>
      <c r="T965">
        <v>0.78</v>
      </c>
      <c r="U965">
        <v>3.67</v>
      </c>
      <c r="V965">
        <v>8</v>
      </c>
      <c r="W965">
        <v>39.58</v>
      </c>
      <c r="X965" t="s">
        <v>6675</v>
      </c>
      <c r="Y965" t="s">
        <v>4257</v>
      </c>
      <c r="Z965">
        <v>1.07</v>
      </c>
      <c r="AA965">
        <v>20</v>
      </c>
      <c r="AB965">
        <v>65</v>
      </c>
      <c r="AC965">
        <v>3.27</v>
      </c>
      <c r="AD965" t="s">
        <v>6676</v>
      </c>
      <c r="AE965" t="s">
        <v>6677</v>
      </c>
      <c r="AF965" t="s">
        <v>6678</v>
      </c>
      <c r="AG965" t="s">
        <v>6679</v>
      </c>
      <c r="AH965">
        <v>-3.69</v>
      </c>
      <c r="AI965">
        <v>-14.03</v>
      </c>
      <c r="AJ965">
        <v>19.17</v>
      </c>
      <c r="AK965">
        <v>49</v>
      </c>
      <c r="AL965">
        <v>-2</v>
      </c>
      <c r="AM965">
        <v>-2.28</v>
      </c>
      <c r="AN965">
        <v>-14.31</v>
      </c>
      <c r="AO965">
        <v>15.26</v>
      </c>
      <c r="AP965">
        <v>-2.25</v>
      </c>
    </row>
    <row r="966" spans="1:42">
      <c r="A966">
        <v>965</v>
      </c>
      <c r="B966" t="str">
        <f>"000630"</f>
        <v>000630</v>
      </c>
      <c r="C966" t="s">
        <v>6680</v>
      </c>
      <c r="D966">
        <v>3.05</v>
      </c>
      <c r="E966">
        <v>0.33</v>
      </c>
      <c r="F966">
        <v>0.01</v>
      </c>
      <c r="G966" t="s">
        <v>6681</v>
      </c>
      <c r="H966">
        <v>5057</v>
      </c>
      <c r="I966">
        <v>3.05</v>
      </c>
      <c r="J966">
        <v>3.06</v>
      </c>
      <c r="K966" t="s">
        <v>6674</v>
      </c>
      <c r="L966">
        <v>0.65</v>
      </c>
      <c r="M966" t="s">
        <v>46</v>
      </c>
      <c r="N966" t="s">
        <v>6682</v>
      </c>
      <c r="O966">
        <v>3.06</v>
      </c>
      <c r="P966">
        <v>3.01</v>
      </c>
      <c r="Q966">
        <v>3.04</v>
      </c>
      <c r="R966">
        <v>3.04</v>
      </c>
      <c r="S966">
        <v>1.64</v>
      </c>
      <c r="T966">
        <v>0.82</v>
      </c>
      <c r="U966">
        <v>8.39</v>
      </c>
      <c r="V966" t="s">
        <v>5592</v>
      </c>
      <c r="W966">
        <v>3.04</v>
      </c>
      <c r="X966" t="s">
        <v>2425</v>
      </c>
      <c r="Y966" t="s">
        <v>1157</v>
      </c>
      <c r="Z966">
        <v>0.95</v>
      </c>
      <c r="AA966" t="s">
        <v>2284</v>
      </c>
      <c r="AB966" t="s">
        <v>4610</v>
      </c>
      <c r="AC966">
        <v>1.21</v>
      </c>
      <c r="AD966" t="s">
        <v>5658</v>
      </c>
      <c r="AE966" t="s">
        <v>6683</v>
      </c>
      <c r="AF966" t="s">
        <v>4728</v>
      </c>
      <c r="AG966" t="s">
        <v>6684</v>
      </c>
      <c r="AH966">
        <v>0.99</v>
      </c>
      <c r="AI966">
        <v>0.66</v>
      </c>
      <c r="AJ966">
        <v>3.09</v>
      </c>
      <c r="AK966">
        <v>4.64</v>
      </c>
      <c r="AL966">
        <v>1</v>
      </c>
      <c r="AM966">
        <v>0.33</v>
      </c>
      <c r="AN966">
        <v>-0.65</v>
      </c>
      <c r="AO966">
        <v>-0.33</v>
      </c>
      <c r="AP966">
        <v>8.16</v>
      </c>
    </row>
    <row r="967" spans="1:42">
      <c r="A967">
        <v>966</v>
      </c>
      <c r="B967" t="str">
        <f>"002413"</f>
        <v>002413</v>
      </c>
      <c r="C967" t="s">
        <v>6685</v>
      </c>
      <c r="D967">
        <v>6.05</v>
      </c>
      <c r="E967">
        <v>1</v>
      </c>
      <c r="F967">
        <v>0.06</v>
      </c>
      <c r="G967" t="s">
        <v>1226</v>
      </c>
      <c r="H967">
        <v>4956</v>
      </c>
      <c r="I967">
        <v>6.04</v>
      </c>
      <c r="J967">
        <v>6.05</v>
      </c>
      <c r="K967" t="s">
        <v>6674</v>
      </c>
      <c r="L967">
        <v>2.77</v>
      </c>
      <c r="M967" t="s">
        <v>46</v>
      </c>
      <c r="N967" t="s">
        <v>1567</v>
      </c>
      <c r="O967">
        <v>6.06</v>
      </c>
      <c r="P967">
        <v>5.97</v>
      </c>
      <c r="Q967">
        <v>5.99</v>
      </c>
      <c r="R967">
        <v>5.99</v>
      </c>
      <c r="S967">
        <v>1.5</v>
      </c>
      <c r="T967">
        <v>0.76</v>
      </c>
      <c r="U967">
        <v>-11.14</v>
      </c>
      <c r="V967">
        <v>-3440</v>
      </c>
      <c r="W967">
        <v>6.02</v>
      </c>
      <c r="X967" t="s">
        <v>3584</v>
      </c>
      <c r="Y967" t="s">
        <v>1008</v>
      </c>
      <c r="Z967">
        <v>0.85</v>
      </c>
      <c r="AA967">
        <v>1516</v>
      </c>
      <c r="AB967">
        <v>1821</v>
      </c>
      <c r="AC967">
        <v>1.88</v>
      </c>
      <c r="AD967" t="s">
        <v>6686</v>
      </c>
      <c r="AE967" t="s">
        <v>6687</v>
      </c>
      <c r="AF967" t="s">
        <v>6688</v>
      </c>
      <c r="AG967" t="s">
        <v>6689</v>
      </c>
      <c r="AH967">
        <v>-1.63</v>
      </c>
      <c r="AI967">
        <v>-2.58</v>
      </c>
      <c r="AJ967">
        <v>9.56</v>
      </c>
      <c r="AK967">
        <v>20.86</v>
      </c>
      <c r="AL967">
        <v>1</v>
      </c>
      <c r="AM967">
        <v>1</v>
      </c>
      <c r="AN967">
        <v>36.88</v>
      </c>
      <c r="AO967">
        <v>1.68</v>
      </c>
      <c r="AP967">
        <v>23.98</v>
      </c>
    </row>
    <row r="968" spans="1:42">
      <c r="A968">
        <v>967</v>
      </c>
      <c r="B968" t="str">
        <f>"001339"</f>
        <v>001339</v>
      </c>
      <c r="C968" t="s">
        <v>6690</v>
      </c>
      <c r="D968">
        <v>27.83</v>
      </c>
      <c r="E968">
        <v>1.2</v>
      </c>
      <c r="F968">
        <v>0.33</v>
      </c>
      <c r="G968" t="s">
        <v>6691</v>
      </c>
      <c r="H968">
        <v>852</v>
      </c>
      <c r="I968">
        <v>27.82</v>
      </c>
      <c r="J968">
        <v>27.83</v>
      </c>
      <c r="K968" t="s">
        <v>6674</v>
      </c>
      <c r="L968">
        <v>10.63</v>
      </c>
      <c r="M968" t="s">
        <v>46</v>
      </c>
      <c r="N968" t="s">
        <v>2909</v>
      </c>
      <c r="O968">
        <v>28</v>
      </c>
      <c r="P968">
        <v>26.85</v>
      </c>
      <c r="Q968">
        <v>27.23</v>
      </c>
      <c r="R968">
        <v>27.5</v>
      </c>
      <c r="S968">
        <v>4.18</v>
      </c>
      <c r="T968">
        <v>1.06</v>
      </c>
      <c r="U968">
        <v>-63.87</v>
      </c>
      <c r="V968">
        <v>-707</v>
      </c>
      <c r="W968">
        <v>27.58</v>
      </c>
      <c r="X968" t="s">
        <v>1604</v>
      </c>
      <c r="Y968" t="s">
        <v>3149</v>
      </c>
      <c r="Z968">
        <v>0.84</v>
      </c>
      <c r="AA968">
        <v>76</v>
      </c>
      <c r="AB968">
        <v>224</v>
      </c>
      <c r="AC968">
        <v>3.63</v>
      </c>
      <c r="AD968" t="s">
        <v>6692</v>
      </c>
      <c r="AE968" t="s">
        <v>6693</v>
      </c>
      <c r="AF968" t="s">
        <v>6694</v>
      </c>
      <c r="AG968" t="s">
        <v>6695</v>
      </c>
      <c r="AH968">
        <v>7.24</v>
      </c>
      <c r="AI968">
        <v>4.31</v>
      </c>
      <c r="AJ968">
        <v>40.65</v>
      </c>
      <c r="AK968">
        <v>60.73</v>
      </c>
      <c r="AL968">
        <v>4</v>
      </c>
      <c r="AM968">
        <v>1.2</v>
      </c>
      <c r="AN968">
        <v>37.09</v>
      </c>
      <c r="AO968">
        <v>16.74</v>
      </c>
      <c r="AP968">
        <v>13.31</v>
      </c>
    </row>
    <row r="969" spans="1:42">
      <c r="A969">
        <v>968</v>
      </c>
      <c r="B969" t="str">
        <f>"002719"</f>
        <v>002719</v>
      </c>
      <c r="C969" t="s">
        <v>6696</v>
      </c>
      <c r="D969">
        <v>11.99</v>
      </c>
      <c r="E969">
        <v>-0.5</v>
      </c>
      <c r="F969">
        <v>-0.06</v>
      </c>
      <c r="G969" t="s">
        <v>937</v>
      </c>
      <c r="H969">
        <v>1384</v>
      </c>
      <c r="I969">
        <v>11.99</v>
      </c>
      <c r="J969">
        <v>12</v>
      </c>
      <c r="K969" t="s">
        <v>6674</v>
      </c>
      <c r="L969">
        <v>10.58</v>
      </c>
      <c r="M969" t="s">
        <v>46</v>
      </c>
      <c r="N969" t="s">
        <v>6382</v>
      </c>
      <c r="O969">
        <v>12.31</v>
      </c>
      <c r="P969">
        <v>11.88</v>
      </c>
      <c r="Q969">
        <v>11.97</v>
      </c>
      <c r="R969">
        <v>12.05</v>
      </c>
      <c r="S969">
        <v>3.57</v>
      </c>
      <c r="T969">
        <v>1.7</v>
      </c>
      <c r="U969">
        <v>-55.53</v>
      </c>
      <c r="V969">
        <v>-2860</v>
      </c>
      <c r="W969">
        <v>12.14</v>
      </c>
      <c r="X969" t="s">
        <v>6697</v>
      </c>
      <c r="Y969" t="s">
        <v>6698</v>
      </c>
      <c r="Z969">
        <v>1.26</v>
      </c>
      <c r="AA969">
        <v>136</v>
      </c>
      <c r="AB969">
        <v>452</v>
      </c>
      <c r="AC969">
        <v>4.24</v>
      </c>
      <c r="AD969" t="s">
        <v>6699</v>
      </c>
      <c r="AE969" t="s">
        <v>6700</v>
      </c>
      <c r="AF969" t="s">
        <v>3399</v>
      </c>
      <c r="AG969" t="s">
        <v>6701</v>
      </c>
      <c r="AH969">
        <v>2.39</v>
      </c>
      <c r="AI969">
        <v>2.92</v>
      </c>
      <c r="AJ969">
        <v>24.59</v>
      </c>
      <c r="AK969">
        <v>41.64</v>
      </c>
      <c r="AL969">
        <v>-1</v>
      </c>
      <c r="AM969">
        <v>-0.5</v>
      </c>
      <c r="AN969">
        <v>-28.29</v>
      </c>
      <c r="AO969">
        <v>14.63</v>
      </c>
      <c r="AP969">
        <v>55.31</v>
      </c>
    </row>
    <row r="970" spans="1:42">
      <c r="A970">
        <v>969</v>
      </c>
      <c r="B970" t="str">
        <f>"600118"</f>
        <v>600118</v>
      </c>
      <c r="C970" t="s">
        <v>6702</v>
      </c>
      <c r="D970">
        <v>26.67</v>
      </c>
      <c r="E970">
        <v>0.6</v>
      </c>
      <c r="F970">
        <v>0.16</v>
      </c>
      <c r="G970" t="s">
        <v>6703</v>
      </c>
      <c r="H970">
        <v>1018</v>
      </c>
      <c r="I970">
        <v>26.66</v>
      </c>
      <c r="J970">
        <v>26.67</v>
      </c>
      <c r="K970" t="s">
        <v>6674</v>
      </c>
      <c r="L970">
        <v>0.66</v>
      </c>
      <c r="M970" t="s">
        <v>46</v>
      </c>
      <c r="N970" t="s">
        <v>6704</v>
      </c>
      <c r="O970">
        <v>26.71</v>
      </c>
      <c r="P970">
        <v>26.15</v>
      </c>
      <c r="Q970">
        <v>26.5</v>
      </c>
      <c r="R970">
        <v>26.51</v>
      </c>
      <c r="S970">
        <v>2.11</v>
      </c>
      <c r="T970">
        <v>0.98</v>
      </c>
      <c r="U970">
        <v>0.37</v>
      </c>
      <c r="V970">
        <v>8</v>
      </c>
      <c r="W970">
        <v>26.46</v>
      </c>
      <c r="X970" t="s">
        <v>6302</v>
      </c>
      <c r="Y970" t="s">
        <v>5383</v>
      </c>
      <c r="Z970">
        <v>0.95</v>
      </c>
      <c r="AA970">
        <v>536</v>
      </c>
      <c r="AB970">
        <v>74</v>
      </c>
      <c r="AC970">
        <v>4.96</v>
      </c>
      <c r="AD970" t="s">
        <v>866</v>
      </c>
      <c r="AE970" t="s">
        <v>6705</v>
      </c>
      <c r="AF970" t="s">
        <v>866</v>
      </c>
      <c r="AG970" t="s">
        <v>6705</v>
      </c>
      <c r="AH970">
        <v>-1.66</v>
      </c>
      <c r="AI970">
        <v>-2.63</v>
      </c>
      <c r="AJ970">
        <v>2</v>
      </c>
      <c r="AK970">
        <v>4.05</v>
      </c>
      <c r="AL970">
        <v>1</v>
      </c>
      <c r="AM970">
        <v>0.6</v>
      </c>
      <c r="AN970">
        <v>24.22</v>
      </c>
      <c r="AO970">
        <v>-3.19</v>
      </c>
      <c r="AP970">
        <v>12.44</v>
      </c>
    </row>
    <row r="971" spans="1:42">
      <c r="A971">
        <v>970</v>
      </c>
      <c r="B971" t="str">
        <f>"300674"</f>
        <v>300674</v>
      </c>
      <c r="C971" t="s">
        <v>6706</v>
      </c>
      <c r="D971">
        <v>17.05</v>
      </c>
      <c r="E971">
        <v>2.77</v>
      </c>
      <c r="F971">
        <v>0.46</v>
      </c>
      <c r="G971" t="s">
        <v>422</v>
      </c>
      <c r="H971">
        <v>1183</v>
      </c>
      <c r="I971">
        <v>17.05</v>
      </c>
      <c r="J971">
        <v>17.06</v>
      </c>
      <c r="K971" t="s">
        <v>6674</v>
      </c>
      <c r="L971">
        <v>1.75</v>
      </c>
      <c r="M971" t="s">
        <v>46</v>
      </c>
      <c r="N971" t="s">
        <v>6102</v>
      </c>
      <c r="O971">
        <v>17.12</v>
      </c>
      <c r="P971">
        <v>16.54</v>
      </c>
      <c r="Q971">
        <v>16.59</v>
      </c>
      <c r="R971">
        <v>16.59</v>
      </c>
      <c r="S971">
        <v>3.5</v>
      </c>
      <c r="T971">
        <v>1.07</v>
      </c>
      <c r="U971">
        <v>-42.6</v>
      </c>
      <c r="V971">
        <v>-2102</v>
      </c>
      <c r="W971">
        <v>16.89</v>
      </c>
      <c r="X971" t="s">
        <v>6237</v>
      </c>
      <c r="Y971" t="s">
        <v>5300</v>
      </c>
      <c r="Z971">
        <v>0.77</v>
      </c>
      <c r="AA971">
        <v>401</v>
      </c>
      <c r="AB971">
        <v>531</v>
      </c>
      <c r="AC971">
        <v>3.08</v>
      </c>
      <c r="AD971" t="s">
        <v>6707</v>
      </c>
      <c r="AE971" t="s">
        <v>6183</v>
      </c>
      <c r="AF971" t="s">
        <v>6708</v>
      </c>
      <c r="AG971" t="s">
        <v>6433</v>
      </c>
      <c r="AH971">
        <v>0.29</v>
      </c>
      <c r="AI971">
        <v>-3.29</v>
      </c>
      <c r="AJ971">
        <v>4.26</v>
      </c>
      <c r="AK971">
        <v>9.94</v>
      </c>
      <c r="AL971">
        <v>1</v>
      </c>
      <c r="AM971">
        <v>2.77</v>
      </c>
      <c r="AN971">
        <v>22.57</v>
      </c>
      <c r="AO971">
        <v>3.27</v>
      </c>
      <c r="AP971">
        <v>4.15</v>
      </c>
    </row>
    <row r="972" spans="1:42">
      <c r="A972">
        <v>971</v>
      </c>
      <c r="B972" t="str">
        <f>"601598"</f>
        <v>601598</v>
      </c>
      <c r="C972" t="s">
        <v>6709</v>
      </c>
      <c r="D972">
        <v>4.91</v>
      </c>
      <c r="E972">
        <v>2.29</v>
      </c>
      <c r="F972">
        <v>0.11</v>
      </c>
      <c r="G972" t="s">
        <v>505</v>
      </c>
      <c r="H972">
        <v>4886</v>
      </c>
      <c r="I972">
        <v>4.9</v>
      </c>
      <c r="J972">
        <v>4.91</v>
      </c>
      <c r="K972" t="s">
        <v>6710</v>
      </c>
      <c r="L972">
        <v>0.81</v>
      </c>
      <c r="M972" t="s">
        <v>46</v>
      </c>
      <c r="N972" t="s">
        <v>6711</v>
      </c>
      <c r="O972">
        <v>4.92</v>
      </c>
      <c r="P972">
        <v>4.75</v>
      </c>
      <c r="Q972">
        <v>4.77</v>
      </c>
      <c r="R972">
        <v>4.8</v>
      </c>
      <c r="S972">
        <v>3.54</v>
      </c>
      <c r="T972">
        <v>1.55</v>
      </c>
      <c r="U972">
        <v>-20.87</v>
      </c>
      <c r="V972">
        <v>-6343</v>
      </c>
      <c r="W972">
        <v>4.87</v>
      </c>
      <c r="X972" t="s">
        <v>842</v>
      </c>
      <c r="Y972" t="s">
        <v>1347</v>
      </c>
      <c r="Z972">
        <v>0.69</v>
      </c>
      <c r="AA972">
        <v>2443</v>
      </c>
      <c r="AB972">
        <v>3198</v>
      </c>
      <c r="AC972">
        <v>0.98</v>
      </c>
      <c r="AD972" t="s">
        <v>6712</v>
      </c>
      <c r="AE972" t="s">
        <v>6713</v>
      </c>
      <c r="AF972" t="s">
        <v>4158</v>
      </c>
      <c r="AG972" t="s">
        <v>6714</v>
      </c>
      <c r="AH972">
        <v>9.11</v>
      </c>
      <c r="AI972">
        <v>8.63</v>
      </c>
      <c r="AJ972">
        <v>2.59</v>
      </c>
      <c r="AK972">
        <v>3.43</v>
      </c>
      <c r="AL972">
        <v>3</v>
      </c>
      <c r="AM972">
        <v>2.29</v>
      </c>
      <c r="AN972">
        <v>36.39</v>
      </c>
      <c r="AO972">
        <v>11.09</v>
      </c>
      <c r="AP972">
        <v>39.49</v>
      </c>
    </row>
    <row r="973" spans="1:42">
      <c r="A973">
        <v>972</v>
      </c>
      <c r="B973" t="str">
        <f>"600837"</f>
        <v>600837</v>
      </c>
      <c r="C973" t="s">
        <v>6715</v>
      </c>
      <c r="D973">
        <v>9.81</v>
      </c>
      <c r="E973">
        <v>0.93</v>
      </c>
      <c r="F973">
        <v>0.09</v>
      </c>
      <c r="G973" t="s">
        <v>1007</v>
      </c>
      <c r="H973">
        <v>1432</v>
      </c>
      <c r="I973">
        <v>9.8</v>
      </c>
      <c r="J973">
        <v>9.81</v>
      </c>
      <c r="K973" t="s">
        <v>6710</v>
      </c>
      <c r="L973">
        <v>0.24</v>
      </c>
      <c r="M973" t="s">
        <v>46</v>
      </c>
      <c r="N973" t="s">
        <v>2885</v>
      </c>
      <c r="O973">
        <v>9.85</v>
      </c>
      <c r="P973">
        <v>9.7</v>
      </c>
      <c r="Q973">
        <v>9.74</v>
      </c>
      <c r="R973">
        <v>9.72</v>
      </c>
      <c r="S973">
        <v>1.54</v>
      </c>
      <c r="T973">
        <v>1.18</v>
      </c>
      <c r="U973">
        <v>-36.1</v>
      </c>
      <c r="V973">
        <v>-4979</v>
      </c>
      <c r="W973">
        <v>9.76</v>
      </c>
      <c r="X973" t="s">
        <v>775</v>
      </c>
      <c r="Y973" t="s">
        <v>447</v>
      </c>
      <c r="Z973">
        <v>0.74</v>
      </c>
      <c r="AA973">
        <v>199</v>
      </c>
      <c r="AB973">
        <v>919</v>
      </c>
      <c r="AC973">
        <v>0.77</v>
      </c>
      <c r="AD973" t="s">
        <v>6716</v>
      </c>
      <c r="AE973" t="s">
        <v>6717</v>
      </c>
      <c r="AF973" t="s">
        <v>6718</v>
      </c>
      <c r="AG973" t="s">
        <v>6719</v>
      </c>
      <c r="AH973">
        <v>0</v>
      </c>
      <c r="AI973">
        <v>-1.41</v>
      </c>
      <c r="AJ973">
        <v>0.7</v>
      </c>
      <c r="AK973">
        <v>1.25</v>
      </c>
      <c r="AL973">
        <v>1</v>
      </c>
      <c r="AM973">
        <v>0.93</v>
      </c>
      <c r="AN973">
        <v>15.68</v>
      </c>
      <c r="AO973">
        <v>0.1</v>
      </c>
      <c r="AP973">
        <v>14.74</v>
      </c>
    </row>
    <row r="974" spans="1:42">
      <c r="A974">
        <v>973</v>
      </c>
      <c r="B974" t="str">
        <f>"600105"</f>
        <v>600105</v>
      </c>
      <c r="C974" t="s">
        <v>6720</v>
      </c>
      <c r="D974">
        <v>5.95</v>
      </c>
      <c r="E974">
        <v>2.59</v>
      </c>
      <c r="F974">
        <v>0.15</v>
      </c>
      <c r="G974" t="s">
        <v>1157</v>
      </c>
      <c r="H974">
        <v>3034</v>
      </c>
      <c r="I974">
        <v>5.94</v>
      </c>
      <c r="J974">
        <v>5.95</v>
      </c>
      <c r="K974" t="s">
        <v>6710</v>
      </c>
      <c r="L974">
        <v>2.55</v>
      </c>
      <c r="M974" t="s">
        <v>46</v>
      </c>
      <c r="N974" t="s">
        <v>6721</v>
      </c>
      <c r="O974">
        <v>5.98</v>
      </c>
      <c r="P974">
        <v>5.72</v>
      </c>
      <c r="Q974">
        <v>5.8</v>
      </c>
      <c r="R974">
        <v>5.8</v>
      </c>
      <c r="S974">
        <v>4.48</v>
      </c>
      <c r="T974">
        <v>1.09</v>
      </c>
      <c r="U974">
        <v>-57.28</v>
      </c>
      <c r="V974" t="s">
        <v>6722</v>
      </c>
      <c r="W974">
        <v>5.89</v>
      </c>
      <c r="X974" t="s">
        <v>2025</v>
      </c>
      <c r="Y974" t="s">
        <v>100</v>
      </c>
      <c r="Z974">
        <v>0.56</v>
      </c>
      <c r="AA974">
        <v>2240</v>
      </c>
      <c r="AB974">
        <v>6135</v>
      </c>
      <c r="AC974">
        <v>2.76</v>
      </c>
      <c r="AD974" t="s">
        <v>6723</v>
      </c>
      <c r="AE974" t="s">
        <v>6724</v>
      </c>
      <c r="AF974" t="s">
        <v>6725</v>
      </c>
      <c r="AG974" t="s">
        <v>6726</v>
      </c>
      <c r="AH974">
        <v>1.02</v>
      </c>
      <c r="AI974">
        <v>-1</v>
      </c>
      <c r="AJ974">
        <v>5.78</v>
      </c>
      <c r="AK974">
        <v>14.2</v>
      </c>
      <c r="AL974">
        <v>1</v>
      </c>
      <c r="AM974">
        <v>2.59</v>
      </c>
      <c r="AN974">
        <v>74.49</v>
      </c>
      <c r="AO974">
        <v>-0.17</v>
      </c>
      <c r="AP974">
        <v>63.91</v>
      </c>
    </row>
    <row r="975" spans="1:42">
      <c r="A975">
        <v>974</v>
      </c>
      <c r="B975" t="str">
        <f>"839680"</f>
        <v>839680</v>
      </c>
      <c r="C975" t="s">
        <v>6727</v>
      </c>
      <c r="D975">
        <v>24</v>
      </c>
      <c r="E975">
        <v>5.03</v>
      </c>
      <c r="F975">
        <v>1.15</v>
      </c>
      <c r="G975" t="s">
        <v>5795</v>
      </c>
      <c r="H975">
        <v>1341</v>
      </c>
      <c r="I975">
        <v>23.9</v>
      </c>
      <c r="J975">
        <v>24</v>
      </c>
      <c r="K975" t="s">
        <v>6710</v>
      </c>
      <c r="L975">
        <v>18.51</v>
      </c>
      <c r="M975" t="s">
        <v>46</v>
      </c>
      <c r="N975" t="s">
        <v>6572</v>
      </c>
      <c r="O975">
        <v>25.18</v>
      </c>
      <c r="P975">
        <v>22.01</v>
      </c>
      <c r="Q975">
        <v>22.5</v>
      </c>
      <c r="R975">
        <v>22.85</v>
      </c>
      <c r="S975">
        <v>13.87</v>
      </c>
      <c r="T975">
        <v>0.84</v>
      </c>
      <c r="U975">
        <v>-6.6</v>
      </c>
      <c r="V975">
        <v>-52</v>
      </c>
      <c r="W975">
        <v>23.88</v>
      </c>
      <c r="X975" t="s">
        <v>1165</v>
      </c>
      <c r="Y975" t="s">
        <v>4087</v>
      </c>
      <c r="Z975">
        <v>1.05</v>
      </c>
      <c r="AA975">
        <v>84</v>
      </c>
      <c r="AB975">
        <v>356</v>
      </c>
      <c r="AC975">
        <v>2.45</v>
      </c>
      <c r="AD975" t="s">
        <v>6728</v>
      </c>
      <c r="AE975" t="s">
        <v>678</v>
      </c>
      <c r="AF975" t="s">
        <v>6729</v>
      </c>
      <c r="AG975" t="s">
        <v>6730</v>
      </c>
      <c r="AH975">
        <v>3.67</v>
      </c>
      <c r="AI975">
        <v>9.09</v>
      </c>
      <c r="AJ975">
        <v>49.24</v>
      </c>
      <c r="AK975">
        <v>129.27</v>
      </c>
      <c r="AL975">
        <v>2</v>
      </c>
      <c r="AM975">
        <v>5.03</v>
      </c>
      <c r="AN975">
        <v>94.65</v>
      </c>
      <c r="AO975">
        <v>100.84</v>
      </c>
      <c r="AP975">
        <v>78.84</v>
      </c>
    </row>
    <row r="976" spans="1:42">
      <c r="A976">
        <v>975</v>
      </c>
      <c r="B976" t="str">
        <f>"603103"</f>
        <v>603103</v>
      </c>
      <c r="C976" t="s">
        <v>6731</v>
      </c>
      <c r="D976">
        <v>17.78</v>
      </c>
      <c r="E976">
        <v>2.77</v>
      </c>
      <c r="F976">
        <v>0.48</v>
      </c>
      <c r="G976" t="s">
        <v>1540</v>
      </c>
      <c r="H976">
        <v>2061</v>
      </c>
      <c r="I976">
        <v>17.78</v>
      </c>
      <c r="J976">
        <v>17.79</v>
      </c>
      <c r="K976" t="s">
        <v>6710</v>
      </c>
      <c r="L976">
        <v>1.86</v>
      </c>
      <c r="M976" t="s">
        <v>46</v>
      </c>
      <c r="N976" t="s">
        <v>360</v>
      </c>
      <c r="O976">
        <v>18</v>
      </c>
      <c r="P976">
        <v>16.99</v>
      </c>
      <c r="Q976">
        <v>17</v>
      </c>
      <c r="R976">
        <v>17.3</v>
      </c>
      <c r="S976">
        <v>5.84</v>
      </c>
      <c r="T976">
        <v>0.89</v>
      </c>
      <c r="U976">
        <v>69.1</v>
      </c>
      <c r="V976">
        <v>492</v>
      </c>
      <c r="W976">
        <v>17.55</v>
      </c>
      <c r="X976" t="s">
        <v>6732</v>
      </c>
      <c r="Y976" t="s">
        <v>5962</v>
      </c>
      <c r="Z976">
        <v>0.96</v>
      </c>
      <c r="AA976">
        <v>50</v>
      </c>
      <c r="AB976">
        <v>11</v>
      </c>
      <c r="AC976">
        <v>8</v>
      </c>
      <c r="AD976" t="s">
        <v>6733</v>
      </c>
      <c r="AE976" t="s">
        <v>6734</v>
      </c>
      <c r="AF976" t="s">
        <v>6733</v>
      </c>
      <c r="AG976" t="s">
        <v>6734</v>
      </c>
      <c r="AH976">
        <v>5.46</v>
      </c>
      <c r="AI976">
        <v>10.23</v>
      </c>
      <c r="AJ976">
        <v>5.11</v>
      </c>
      <c r="AK976">
        <v>12.28</v>
      </c>
      <c r="AL976">
        <v>2</v>
      </c>
      <c r="AM976">
        <v>2.77</v>
      </c>
      <c r="AN976">
        <v>20.62</v>
      </c>
      <c r="AO976">
        <v>20.22</v>
      </c>
      <c r="AP976">
        <v>38.58</v>
      </c>
    </row>
    <row r="977" spans="1:42">
      <c r="A977">
        <v>976</v>
      </c>
      <c r="B977" t="str">
        <f>"300738"</f>
        <v>300738</v>
      </c>
      <c r="C977" t="s">
        <v>6735</v>
      </c>
      <c r="D977">
        <v>9.31</v>
      </c>
      <c r="E977">
        <v>2.76</v>
      </c>
      <c r="F977">
        <v>0.25</v>
      </c>
      <c r="G977" t="s">
        <v>1959</v>
      </c>
      <c r="H977">
        <v>3907</v>
      </c>
      <c r="I977">
        <v>9.31</v>
      </c>
      <c r="J977">
        <v>9.32</v>
      </c>
      <c r="K977" t="s">
        <v>6710</v>
      </c>
      <c r="L977">
        <v>2.38</v>
      </c>
      <c r="M977" t="s">
        <v>46</v>
      </c>
      <c r="N977" t="s">
        <v>1419</v>
      </c>
      <c r="O977">
        <v>9.37</v>
      </c>
      <c r="P977">
        <v>9.03</v>
      </c>
      <c r="Q977">
        <v>9.06</v>
      </c>
      <c r="R977">
        <v>9.06</v>
      </c>
      <c r="S977">
        <v>3.75</v>
      </c>
      <c r="T977">
        <v>1.35</v>
      </c>
      <c r="U977">
        <v>-15.67</v>
      </c>
      <c r="V977">
        <v>-1457</v>
      </c>
      <c r="W977">
        <v>9.23</v>
      </c>
      <c r="X977" t="s">
        <v>6635</v>
      </c>
      <c r="Y977" t="s">
        <v>830</v>
      </c>
      <c r="Z977">
        <v>0.73</v>
      </c>
      <c r="AA977">
        <v>524</v>
      </c>
      <c r="AB977">
        <v>363</v>
      </c>
      <c r="AC977">
        <v>3.01</v>
      </c>
      <c r="AD977" t="s">
        <v>6736</v>
      </c>
      <c r="AE977" t="s">
        <v>6737</v>
      </c>
      <c r="AF977" t="s">
        <v>6738</v>
      </c>
      <c r="AG977" t="s">
        <v>6739</v>
      </c>
      <c r="AH977">
        <v>0.54</v>
      </c>
      <c r="AI977">
        <v>-2.31</v>
      </c>
      <c r="AJ977">
        <v>5.35</v>
      </c>
      <c r="AK977">
        <v>11.21</v>
      </c>
      <c r="AL977">
        <v>1</v>
      </c>
      <c r="AM977">
        <v>2.76</v>
      </c>
      <c r="AN977">
        <v>27.19</v>
      </c>
      <c r="AO977">
        <v>6.04</v>
      </c>
      <c r="AP977">
        <v>21.22</v>
      </c>
    </row>
    <row r="978" spans="1:42">
      <c r="A978">
        <v>977</v>
      </c>
      <c r="B978" t="str">
        <f>"002330"</f>
        <v>002330</v>
      </c>
      <c r="C978" t="s">
        <v>6740</v>
      </c>
      <c r="D978">
        <v>6</v>
      </c>
      <c r="E978">
        <v>-0.83</v>
      </c>
      <c r="F978">
        <v>-0.05</v>
      </c>
      <c r="G978" t="s">
        <v>6211</v>
      </c>
      <c r="H978">
        <v>9009</v>
      </c>
      <c r="I978">
        <v>5.99</v>
      </c>
      <c r="J978">
        <v>6</v>
      </c>
      <c r="K978" t="s">
        <v>2519</v>
      </c>
      <c r="L978">
        <v>5.35</v>
      </c>
      <c r="M978" t="s">
        <v>46</v>
      </c>
      <c r="N978" t="s">
        <v>6741</v>
      </c>
      <c r="O978">
        <v>6.18</v>
      </c>
      <c r="P978">
        <v>5.96</v>
      </c>
      <c r="Q978">
        <v>6.01</v>
      </c>
      <c r="R978">
        <v>6.05</v>
      </c>
      <c r="S978">
        <v>3.64</v>
      </c>
      <c r="T978">
        <v>1.84</v>
      </c>
      <c r="U978">
        <v>11.17</v>
      </c>
      <c r="V978">
        <v>1497</v>
      </c>
      <c r="W978">
        <v>6.07</v>
      </c>
      <c r="X978" t="s">
        <v>937</v>
      </c>
      <c r="Y978" t="s">
        <v>2859</v>
      </c>
      <c r="Z978">
        <v>1.01</v>
      </c>
      <c r="AA978">
        <v>1316</v>
      </c>
      <c r="AB978">
        <v>1</v>
      </c>
      <c r="AC978">
        <v>1.57</v>
      </c>
      <c r="AD978" t="s">
        <v>6742</v>
      </c>
      <c r="AE978" t="s">
        <v>6743</v>
      </c>
      <c r="AF978" t="s">
        <v>6744</v>
      </c>
      <c r="AG978" t="s">
        <v>5195</v>
      </c>
      <c r="AH978">
        <v>2.21</v>
      </c>
      <c r="AI978">
        <v>3.99</v>
      </c>
      <c r="AJ978">
        <v>12.18</v>
      </c>
      <c r="AK978">
        <v>19.92</v>
      </c>
      <c r="AL978">
        <v>-1</v>
      </c>
      <c r="AM978">
        <v>-0.83</v>
      </c>
      <c r="AN978">
        <v>-21.05</v>
      </c>
      <c r="AO978">
        <v>6.38</v>
      </c>
      <c r="AP978">
        <v>-9.37</v>
      </c>
    </row>
    <row r="979" spans="1:42">
      <c r="A979">
        <v>978</v>
      </c>
      <c r="B979" t="str">
        <f>"603003"</f>
        <v>603003</v>
      </c>
      <c r="C979" t="s">
        <v>6745</v>
      </c>
      <c r="D979">
        <v>11.59</v>
      </c>
      <c r="E979">
        <v>1.93</v>
      </c>
      <c r="F979">
        <v>0.22</v>
      </c>
      <c r="G979" t="s">
        <v>1196</v>
      </c>
      <c r="H979">
        <v>4556</v>
      </c>
      <c r="I979">
        <v>11.58</v>
      </c>
      <c r="J979">
        <v>11.59</v>
      </c>
      <c r="K979" t="s">
        <v>2519</v>
      </c>
      <c r="L979">
        <v>4.45</v>
      </c>
      <c r="M979" t="s">
        <v>46</v>
      </c>
      <c r="N979" t="s">
        <v>589</v>
      </c>
      <c r="O979">
        <v>11.65</v>
      </c>
      <c r="P979">
        <v>11.29</v>
      </c>
      <c r="Q979">
        <v>11.33</v>
      </c>
      <c r="R979">
        <v>11.37</v>
      </c>
      <c r="S979">
        <v>3.17</v>
      </c>
      <c r="T979">
        <v>0.99</v>
      </c>
      <c r="U979">
        <v>-14.52</v>
      </c>
      <c r="V979">
        <v>-725</v>
      </c>
      <c r="W979">
        <v>11.52</v>
      </c>
      <c r="X979" t="s">
        <v>1199</v>
      </c>
      <c r="Y979" t="s">
        <v>6159</v>
      </c>
      <c r="Z979">
        <v>0.92</v>
      </c>
      <c r="AA979">
        <v>760</v>
      </c>
      <c r="AB979">
        <v>126</v>
      </c>
      <c r="AC979">
        <v>1.27</v>
      </c>
      <c r="AD979" t="s">
        <v>1349</v>
      </c>
      <c r="AE979" t="s">
        <v>6746</v>
      </c>
      <c r="AF979" t="s">
        <v>1349</v>
      </c>
      <c r="AG979" t="s">
        <v>6746</v>
      </c>
      <c r="AH979">
        <v>2.2</v>
      </c>
      <c r="AI979">
        <v>-2.85</v>
      </c>
      <c r="AJ979">
        <v>10.91</v>
      </c>
      <c r="AK979">
        <v>27.03</v>
      </c>
      <c r="AL979">
        <v>2</v>
      </c>
      <c r="AM979">
        <v>1.93</v>
      </c>
      <c r="AN979">
        <v>57.05</v>
      </c>
      <c r="AO979">
        <v>0.87</v>
      </c>
      <c r="AP979">
        <v>53.31</v>
      </c>
    </row>
    <row r="980" spans="1:42">
      <c r="A980">
        <v>979</v>
      </c>
      <c r="B980" t="str">
        <f>"002025"</f>
        <v>002025</v>
      </c>
      <c r="C980" t="s">
        <v>6747</v>
      </c>
      <c r="D980">
        <v>51.14</v>
      </c>
      <c r="E980">
        <v>-1.65</v>
      </c>
      <c r="F980">
        <v>-0.86</v>
      </c>
      <c r="G980" t="s">
        <v>6748</v>
      </c>
      <c r="H980">
        <v>218</v>
      </c>
      <c r="I980">
        <v>51.14</v>
      </c>
      <c r="J980">
        <v>51.16</v>
      </c>
      <c r="K980" t="s">
        <v>2519</v>
      </c>
      <c r="L980">
        <v>0.89</v>
      </c>
      <c r="M980" t="s">
        <v>46</v>
      </c>
      <c r="N980" t="s">
        <v>6749</v>
      </c>
      <c r="O980">
        <v>52.25</v>
      </c>
      <c r="P980">
        <v>51</v>
      </c>
      <c r="Q980">
        <v>52.19</v>
      </c>
      <c r="R980">
        <v>52</v>
      </c>
      <c r="S980">
        <v>2.4</v>
      </c>
      <c r="T980">
        <v>1.33</v>
      </c>
      <c r="U980">
        <v>60.79</v>
      </c>
      <c r="V980">
        <v>431</v>
      </c>
      <c r="W980">
        <v>51.41</v>
      </c>
      <c r="X980" t="s">
        <v>6419</v>
      </c>
      <c r="Y980" t="s">
        <v>1692</v>
      </c>
      <c r="Z980">
        <v>1.44</v>
      </c>
      <c r="AA980">
        <v>68</v>
      </c>
      <c r="AB980">
        <v>1</v>
      </c>
      <c r="AC980">
        <v>3.82</v>
      </c>
      <c r="AD980" t="s">
        <v>6750</v>
      </c>
      <c r="AE980" t="s">
        <v>5807</v>
      </c>
      <c r="AF980" t="s">
        <v>6751</v>
      </c>
      <c r="AG980" t="s">
        <v>6752</v>
      </c>
      <c r="AH980">
        <v>-6.53</v>
      </c>
      <c r="AI980">
        <v>-6.51</v>
      </c>
      <c r="AJ980">
        <v>2.39</v>
      </c>
      <c r="AK980">
        <v>4.21</v>
      </c>
      <c r="AL980">
        <v>-3</v>
      </c>
      <c r="AM980">
        <v>-1.65</v>
      </c>
      <c r="AN980">
        <v>-22.37</v>
      </c>
      <c r="AO980">
        <v>-0.8</v>
      </c>
      <c r="AP980">
        <v>-28.1</v>
      </c>
    </row>
    <row r="981" spans="1:42">
      <c r="A981">
        <v>980</v>
      </c>
      <c r="B981" t="str">
        <f>"300730"</f>
        <v>300730</v>
      </c>
      <c r="C981" t="s">
        <v>6753</v>
      </c>
      <c r="D981">
        <v>14.23</v>
      </c>
      <c r="E981">
        <v>1.5</v>
      </c>
      <c r="F981">
        <v>0.21</v>
      </c>
      <c r="G981" t="s">
        <v>1493</v>
      </c>
      <c r="H981">
        <v>2366</v>
      </c>
      <c r="I981">
        <v>14.23</v>
      </c>
      <c r="J981">
        <v>14.24</v>
      </c>
      <c r="K981" t="s">
        <v>2519</v>
      </c>
      <c r="L981">
        <v>7.44</v>
      </c>
      <c r="M981" t="s">
        <v>46</v>
      </c>
      <c r="N981" t="s">
        <v>5496</v>
      </c>
      <c r="O981">
        <v>14.4</v>
      </c>
      <c r="P981">
        <v>13.8</v>
      </c>
      <c r="Q981">
        <v>14.01</v>
      </c>
      <c r="R981">
        <v>14.02</v>
      </c>
      <c r="S981">
        <v>4.28</v>
      </c>
      <c r="T981">
        <v>0.52</v>
      </c>
      <c r="U981">
        <v>26.61</v>
      </c>
      <c r="V981">
        <v>660</v>
      </c>
      <c r="W981">
        <v>14.09</v>
      </c>
      <c r="X981" t="s">
        <v>6754</v>
      </c>
      <c r="Y981" t="s">
        <v>700</v>
      </c>
      <c r="Z981">
        <v>0.91</v>
      </c>
      <c r="AA981">
        <v>85</v>
      </c>
      <c r="AB981">
        <v>153</v>
      </c>
      <c r="AC981">
        <v>6.55</v>
      </c>
      <c r="AD981" t="s">
        <v>6755</v>
      </c>
      <c r="AE981" t="s">
        <v>6756</v>
      </c>
      <c r="AF981" t="s">
        <v>6757</v>
      </c>
      <c r="AG981" t="s">
        <v>6758</v>
      </c>
      <c r="AH981">
        <v>2.15</v>
      </c>
      <c r="AI981">
        <v>0.92</v>
      </c>
      <c r="AJ981">
        <v>29.11</v>
      </c>
      <c r="AK981">
        <v>78.56</v>
      </c>
      <c r="AL981">
        <v>1</v>
      </c>
      <c r="AM981">
        <v>1.5</v>
      </c>
      <c r="AN981">
        <v>16.35</v>
      </c>
      <c r="AO981">
        <v>13.75</v>
      </c>
      <c r="AP981">
        <v>8.3</v>
      </c>
    </row>
    <row r="982" spans="1:42">
      <c r="A982">
        <v>981</v>
      </c>
      <c r="B982" t="str">
        <f>"688333"</f>
        <v>688333</v>
      </c>
      <c r="C982" t="s">
        <v>6759</v>
      </c>
      <c r="D982">
        <v>103.17</v>
      </c>
      <c r="E982">
        <v>-2.02</v>
      </c>
      <c r="F982">
        <v>-2.13</v>
      </c>
      <c r="G982" t="s">
        <v>1280</v>
      </c>
      <c r="H982">
        <v>58</v>
      </c>
      <c r="I982">
        <v>103.1</v>
      </c>
      <c r="J982">
        <v>103.17</v>
      </c>
      <c r="K982" t="s">
        <v>2519</v>
      </c>
      <c r="L982">
        <v>1.25</v>
      </c>
      <c r="M982" t="s">
        <v>46</v>
      </c>
      <c r="N982" t="s">
        <v>6760</v>
      </c>
      <c r="O982">
        <v>104.7</v>
      </c>
      <c r="P982">
        <v>101.2</v>
      </c>
      <c r="Q982">
        <v>104.54</v>
      </c>
      <c r="R982">
        <v>105.3</v>
      </c>
      <c r="S982">
        <v>3.32</v>
      </c>
      <c r="T982">
        <v>1.14</v>
      </c>
      <c r="U982">
        <v>23.08</v>
      </c>
      <c r="V982">
        <v>21</v>
      </c>
      <c r="W982">
        <v>102.71</v>
      </c>
      <c r="X982" t="s">
        <v>6212</v>
      </c>
      <c r="Y982">
        <v>7316</v>
      </c>
      <c r="Z982">
        <v>1.74</v>
      </c>
      <c r="AA982">
        <v>1</v>
      </c>
      <c r="AB982">
        <v>1</v>
      </c>
      <c r="AC982">
        <v>10.04</v>
      </c>
      <c r="AD982" t="s">
        <v>6761</v>
      </c>
      <c r="AE982" t="s">
        <v>6762</v>
      </c>
      <c r="AF982" t="s">
        <v>6761</v>
      </c>
      <c r="AG982" t="s">
        <v>6762</v>
      </c>
      <c r="AH982">
        <v>-7.72</v>
      </c>
      <c r="AI982">
        <v>-7.05</v>
      </c>
      <c r="AJ982">
        <v>4.1</v>
      </c>
      <c r="AK982">
        <v>6.72</v>
      </c>
      <c r="AL982">
        <v>-4</v>
      </c>
      <c r="AM982">
        <v>-2.02</v>
      </c>
      <c r="AN982">
        <v>1.24</v>
      </c>
      <c r="AO982">
        <v>-7.64</v>
      </c>
      <c r="AP982">
        <v>-4.37</v>
      </c>
    </row>
    <row r="983" spans="1:42">
      <c r="A983">
        <v>982</v>
      </c>
      <c r="B983" t="str">
        <f>"600557"</f>
        <v>600557</v>
      </c>
      <c r="C983" t="s">
        <v>6763</v>
      </c>
      <c r="D983">
        <v>18.79</v>
      </c>
      <c r="E983">
        <v>1.68</v>
      </c>
      <c r="F983">
        <v>0.31</v>
      </c>
      <c r="G983" t="s">
        <v>1438</v>
      </c>
      <c r="H983">
        <v>792</v>
      </c>
      <c r="I983">
        <v>18.78</v>
      </c>
      <c r="J983">
        <v>18.79</v>
      </c>
      <c r="K983" t="s">
        <v>2519</v>
      </c>
      <c r="L983">
        <v>1.9</v>
      </c>
      <c r="M983" t="s">
        <v>46</v>
      </c>
      <c r="N983" t="s">
        <v>6764</v>
      </c>
      <c r="O983">
        <v>18.88</v>
      </c>
      <c r="P983">
        <v>18.33</v>
      </c>
      <c r="Q983">
        <v>18.47</v>
      </c>
      <c r="R983">
        <v>18.48</v>
      </c>
      <c r="S983">
        <v>2.98</v>
      </c>
      <c r="T983">
        <v>0.64</v>
      </c>
      <c r="U983">
        <v>9.92</v>
      </c>
      <c r="V983">
        <v>284</v>
      </c>
      <c r="W983">
        <v>18.67</v>
      </c>
      <c r="X983" t="s">
        <v>1320</v>
      </c>
      <c r="Y983" t="s">
        <v>4249</v>
      </c>
      <c r="Z983">
        <v>0.59</v>
      </c>
      <c r="AA983">
        <v>42</v>
      </c>
      <c r="AB983">
        <v>202</v>
      </c>
      <c r="AC983">
        <v>2.2</v>
      </c>
      <c r="AD983" t="s">
        <v>1148</v>
      </c>
      <c r="AE983" t="s">
        <v>694</v>
      </c>
      <c r="AF983" t="s">
        <v>6765</v>
      </c>
      <c r="AG983" t="s">
        <v>6766</v>
      </c>
      <c r="AH983">
        <v>-0.16</v>
      </c>
      <c r="AI983">
        <v>2.18</v>
      </c>
      <c r="AJ983">
        <v>5.59</v>
      </c>
      <c r="AK983">
        <v>16.83</v>
      </c>
      <c r="AL983">
        <v>2</v>
      </c>
      <c r="AM983">
        <v>1.68</v>
      </c>
      <c r="AN983">
        <v>1.4</v>
      </c>
      <c r="AO983">
        <v>12.38</v>
      </c>
      <c r="AP983">
        <v>-19.94</v>
      </c>
    </row>
    <row r="984" spans="1:42">
      <c r="A984">
        <v>983</v>
      </c>
      <c r="B984" t="str">
        <f>"002151"</f>
        <v>002151</v>
      </c>
      <c r="C984" t="s">
        <v>6767</v>
      </c>
      <c r="D984">
        <v>33.31</v>
      </c>
      <c r="E984">
        <v>0.09</v>
      </c>
      <c r="F984">
        <v>0.03</v>
      </c>
      <c r="G984" t="s">
        <v>3102</v>
      </c>
      <c r="H984">
        <v>1142</v>
      </c>
      <c r="I984">
        <v>33.3</v>
      </c>
      <c r="J984">
        <v>33.31</v>
      </c>
      <c r="K984" t="s">
        <v>2519</v>
      </c>
      <c r="L984">
        <v>1.51</v>
      </c>
      <c r="M984" t="s">
        <v>46</v>
      </c>
      <c r="N984" t="s">
        <v>6112</v>
      </c>
      <c r="O984">
        <v>33.35</v>
      </c>
      <c r="P984">
        <v>32.91</v>
      </c>
      <c r="Q984">
        <v>33.21</v>
      </c>
      <c r="R984">
        <v>33.28</v>
      </c>
      <c r="S984">
        <v>1.32</v>
      </c>
      <c r="T984">
        <v>0.87</v>
      </c>
      <c r="U984">
        <v>-66.53</v>
      </c>
      <c r="V984">
        <v>-815</v>
      </c>
      <c r="W984">
        <v>33.16</v>
      </c>
      <c r="X984" t="s">
        <v>1687</v>
      </c>
      <c r="Y984" t="s">
        <v>6768</v>
      </c>
      <c r="Z984">
        <v>1.17</v>
      </c>
      <c r="AA984">
        <v>48</v>
      </c>
      <c r="AB984">
        <v>138</v>
      </c>
      <c r="AC984">
        <v>3.51</v>
      </c>
      <c r="AD984" t="s">
        <v>6769</v>
      </c>
      <c r="AE984" t="s">
        <v>2038</v>
      </c>
      <c r="AF984" t="s">
        <v>6770</v>
      </c>
      <c r="AG984" t="s">
        <v>6771</v>
      </c>
      <c r="AH984">
        <v>-1.36</v>
      </c>
      <c r="AI984">
        <v>-2.06</v>
      </c>
      <c r="AJ984">
        <v>5</v>
      </c>
      <c r="AK984">
        <v>10.23</v>
      </c>
      <c r="AL984">
        <v>1</v>
      </c>
      <c r="AM984">
        <v>0.09</v>
      </c>
      <c r="AN984">
        <v>18.63</v>
      </c>
      <c r="AO984">
        <v>-13.05</v>
      </c>
      <c r="AP984">
        <v>13.69</v>
      </c>
    </row>
    <row r="985" spans="1:42">
      <c r="A985">
        <v>984</v>
      </c>
      <c r="B985" t="str">
        <f>"300304"</f>
        <v>300304</v>
      </c>
      <c r="C985" t="s">
        <v>6772</v>
      </c>
      <c r="D985">
        <v>6.67</v>
      </c>
      <c r="E985">
        <v>2.3</v>
      </c>
      <c r="F985">
        <v>0.15</v>
      </c>
      <c r="G985" t="s">
        <v>3576</v>
      </c>
      <c r="H985">
        <v>2966</v>
      </c>
      <c r="I985">
        <v>6.67</v>
      </c>
      <c r="J985">
        <v>6.68</v>
      </c>
      <c r="K985" t="s">
        <v>6773</v>
      </c>
      <c r="L985">
        <v>3.64</v>
      </c>
      <c r="M985" t="s">
        <v>46</v>
      </c>
      <c r="N985" t="s">
        <v>966</v>
      </c>
      <c r="O985">
        <v>6.71</v>
      </c>
      <c r="P985">
        <v>6.42</v>
      </c>
      <c r="Q985">
        <v>6.52</v>
      </c>
      <c r="R985">
        <v>6.52</v>
      </c>
      <c r="S985">
        <v>4.45</v>
      </c>
      <c r="T985">
        <v>1.09</v>
      </c>
      <c r="U985">
        <v>-31.27</v>
      </c>
      <c r="V985">
        <v>-2824</v>
      </c>
      <c r="W985">
        <v>6.6</v>
      </c>
      <c r="X985" t="s">
        <v>2217</v>
      </c>
      <c r="Y985" t="s">
        <v>3143</v>
      </c>
      <c r="Z985">
        <v>0.9</v>
      </c>
      <c r="AA985">
        <v>203</v>
      </c>
      <c r="AB985">
        <v>227</v>
      </c>
      <c r="AC985">
        <v>2.18</v>
      </c>
      <c r="AD985" t="s">
        <v>6774</v>
      </c>
      <c r="AE985" t="s">
        <v>6775</v>
      </c>
      <c r="AF985" t="s">
        <v>6776</v>
      </c>
      <c r="AG985" t="s">
        <v>6777</v>
      </c>
      <c r="AH985">
        <v>-1.62</v>
      </c>
      <c r="AI985">
        <v>1.37</v>
      </c>
      <c r="AJ985">
        <v>9.54</v>
      </c>
      <c r="AK985">
        <v>20.38</v>
      </c>
      <c r="AL985">
        <v>1</v>
      </c>
      <c r="AM985">
        <v>2.3</v>
      </c>
      <c r="AN985">
        <v>59.19</v>
      </c>
      <c r="AO985">
        <v>8.28</v>
      </c>
      <c r="AP985">
        <v>47.57</v>
      </c>
    </row>
    <row r="986" spans="1:42">
      <c r="A986">
        <v>985</v>
      </c>
      <c r="B986" t="str">
        <f>"600838"</f>
        <v>600838</v>
      </c>
      <c r="C986" t="s">
        <v>6778</v>
      </c>
      <c r="D986">
        <v>8.07</v>
      </c>
      <c r="E986">
        <v>-0.12</v>
      </c>
      <c r="F986">
        <v>-0.01</v>
      </c>
      <c r="G986" t="s">
        <v>6779</v>
      </c>
      <c r="H986">
        <v>2006</v>
      </c>
      <c r="I986">
        <v>8.07</v>
      </c>
      <c r="J986">
        <v>8.08</v>
      </c>
      <c r="K986" t="s">
        <v>6773</v>
      </c>
      <c r="L986">
        <v>6.27</v>
      </c>
      <c r="M986" t="s">
        <v>46</v>
      </c>
      <c r="N986" t="s">
        <v>6780</v>
      </c>
      <c r="O986">
        <v>8.28</v>
      </c>
      <c r="P986">
        <v>8.01</v>
      </c>
      <c r="Q986">
        <v>8.04</v>
      </c>
      <c r="R986">
        <v>8.08</v>
      </c>
      <c r="S986">
        <v>3.34</v>
      </c>
      <c r="T986">
        <v>1.14</v>
      </c>
      <c r="U986">
        <v>4.63</v>
      </c>
      <c r="V986">
        <v>335</v>
      </c>
      <c r="W986">
        <v>8.14</v>
      </c>
      <c r="X986" t="s">
        <v>1376</v>
      </c>
      <c r="Y986" t="s">
        <v>4356</v>
      </c>
      <c r="Z986">
        <v>1.19</v>
      </c>
      <c r="AA986">
        <v>653</v>
      </c>
      <c r="AB986">
        <v>584</v>
      </c>
      <c r="AC986">
        <v>2.19</v>
      </c>
      <c r="AD986" t="s">
        <v>6781</v>
      </c>
      <c r="AE986" t="s">
        <v>6782</v>
      </c>
      <c r="AF986" t="s">
        <v>6781</v>
      </c>
      <c r="AG986" t="s">
        <v>6782</v>
      </c>
      <c r="AH986">
        <v>-0.49</v>
      </c>
      <c r="AI986">
        <v>-3.12</v>
      </c>
      <c r="AJ986">
        <v>16.96</v>
      </c>
      <c r="AK986">
        <v>33.73</v>
      </c>
      <c r="AL986">
        <v>-1</v>
      </c>
      <c r="AM986">
        <v>-0.12</v>
      </c>
      <c r="AN986">
        <v>3.99</v>
      </c>
      <c r="AO986">
        <v>8.32</v>
      </c>
      <c r="AP986">
        <v>30.16</v>
      </c>
    </row>
    <row r="987" spans="1:42">
      <c r="A987">
        <v>986</v>
      </c>
      <c r="B987" t="str">
        <f>"002708"</f>
        <v>002708</v>
      </c>
      <c r="C987" t="s">
        <v>6783</v>
      </c>
      <c r="D987">
        <v>8.39</v>
      </c>
      <c r="E987">
        <v>-2.1</v>
      </c>
      <c r="F987">
        <v>-0.18</v>
      </c>
      <c r="G987" t="s">
        <v>851</v>
      </c>
      <c r="H987">
        <v>2505</v>
      </c>
      <c r="I987">
        <v>8.39</v>
      </c>
      <c r="J987">
        <v>8.4</v>
      </c>
      <c r="K987" t="s">
        <v>6773</v>
      </c>
      <c r="L987">
        <v>6.01</v>
      </c>
      <c r="M987" t="s">
        <v>46</v>
      </c>
      <c r="N987" t="s">
        <v>1638</v>
      </c>
      <c r="O987">
        <v>8.5</v>
      </c>
      <c r="P987">
        <v>8.15</v>
      </c>
      <c r="Q987">
        <v>8.45</v>
      </c>
      <c r="R987">
        <v>8.57</v>
      </c>
      <c r="S987">
        <v>4.08</v>
      </c>
      <c r="T987">
        <v>0.84</v>
      </c>
      <c r="U987">
        <v>-6.31</v>
      </c>
      <c r="V987">
        <v>-368</v>
      </c>
      <c r="W987">
        <v>8.33</v>
      </c>
      <c r="X987" t="s">
        <v>1296</v>
      </c>
      <c r="Y987" t="s">
        <v>740</v>
      </c>
      <c r="Z987">
        <v>1.35</v>
      </c>
      <c r="AA987">
        <v>687</v>
      </c>
      <c r="AB987">
        <v>830</v>
      </c>
      <c r="AC987">
        <v>2.76</v>
      </c>
      <c r="AD987" t="s">
        <v>6784</v>
      </c>
      <c r="AE987" t="s">
        <v>6785</v>
      </c>
      <c r="AF987" t="s">
        <v>2630</v>
      </c>
      <c r="AG987" t="s">
        <v>6786</v>
      </c>
      <c r="AH987">
        <v>-3.34</v>
      </c>
      <c r="AI987">
        <v>-3.56</v>
      </c>
      <c r="AJ987">
        <v>24.04</v>
      </c>
      <c r="AK987">
        <v>41.84</v>
      </c>
      <c r="AL987">
        <v>-3</v>
      </c>
      <c r="AM987">
        <v>-2.1</v>
      </c>
      <c r="AN987">
        <v>50.63</v>
      </c>
      <c r="AO987">
        <v>-1.29</v>
      </c>
      <c r="AP987">
        <v>31.92</v>
      </c>
    </row>
    <row r="988" spans="1:42">
      <c r="A988">
        <v>987</v>
      </c>
      <c r="B988" t="str">
        <f>"300269"</f>
        <v>300269</v>
      </c>
      <c r="C988" t="s">
        <v>6787</v>
      </c>
      <c r="D988">
        <v>4.91</v>
      </c>
      <c r="E988">
        <v>-3.35</v>
      </c>
      <c r="F988">
        <v>-0.17</v>
      </c>
      <c r="G988" t="s">
        <v>1956</v>
      </c>
      <c r="H988">
        <v>5244</v>
      </c>
      <c r="I988">
        <v>4.91</v>
      </c>
      <c r="J988">
        <v>4.92</v>
      </c>
      <c r="K988" t="s">
        <v>4150</v>
      </c>
      <c r="L988">
        <v>7.88</v>
      </c>
      <c r="M988" t="s">
        <v>46</v>
      </c>
      <c r="N988" t="s">
        <v>6788</v>
      </c>
      <c r="O988">
        <v>5.08</v>
      </c>
      <c r="P988">
        <v>4.89</v>
      </c>
      <c r="Q988">
        <v>5.08</v>
      </c>
      <c r="R988">
        <v>5.08</v>
      </c>
      <c r="S988">
        <v>3.74</v>
      </c>
      <c r="T988">
        <v>0.75</v>
      </c>
      <c r="U988">
        <v>35.95</v>
      </c>
      <c r="V988">
        <v>6794</v>
      </c>
      <c r="W988">
        <v>4.93</v>
      </c>
      <c r="X988" t="s">
        <v>5163</v>
      </c>
      <c r="Y988" t="s">
        <v>959</v>
      </c>
      <c r="Z988">
        <v>1.77</v>
      </c>
      <c r="AA988">
        <v>431</v>
      </c>
      <c r="AB988">
        <v>917</v>
      </c>
      <c r="AC988">
        <v>26.03</v>
      </c>
      <c r="AD988" t="s">
        <v>6789</v>
      </c>
      <c r="AE988" t="s">
        <v>6790</v>
      </c>
      <c r="AF988" t="s">
        <v>6791</v>
      </c>
      <c r="AG988" t="s">
        <v>6792</v>
      </c>
      <c r="AH988">
        <v>-2.77</v>
      </c>
      <c r="AI988">
        <v>-1.21</v>
      </c>
      <c r="AJ988">
        <v>29.16</v>
      </c>
      <c r="AK988">
        <v>60.35</v>
      </c>
      <c r="AL988">
        <v>-1</v>
      </c>
      <c r="AM988">
        <v>-3.35</v>
      </c>
      <c r="AN988">
        <v>20.34</v>
      </c>
      <c r="AO988">
        <v>-2.39</v>
      </c>
      <c r="AP988">
        <v>0</v>
      </c>
    </row>
    <row r="989" spans="1:42">
      <c r="A989">
        <v>988</v>
      </c>
      <c r="B989" t="str">
        <f>"301089"</f>
        <v>301089</v>
      </c>
      <c r="C989" t="s">
        <v>6793</v>
      </c>
      <c r="D989">
        <v>52.18</v>
      </c>
      <c r="E989">
        <v>2.62</v>
      </c>
      <c r="F989">
        <v>1.33</v>
      </c>
      <c r="G989" t="s">
        <v>6794</v>
      </c>
      <c r="H989">
        <v>293</v>
      </c>
      <c r="I989">
        <v>52.18</v>
      </c>
      <c r="J989">
        <v>52.19</v>
      </c>
      <c r="K989" t="s">
        <v>4150</v>
      </c>
      <c r="L989">
        <v>4.93</v>
      </c>
      <c r="M989" t="s">
        <v>46</v>
      </c>
      <c r="N989" t="s">
        <v>6795</v>
      </c>
      <c r="O989">
        <v>53.4</v>
      </c>
      <c r="P989">
        <v>51</v>
      </c>
      <c r="Q989">
        <v>51</v>
      </c>
      <c r="R989">
        <v>50.85</v>
      </c>
      <c r="S989">
        <v>4.72</v>
      </c>
      <c r="T989">
        <v>0.84</v>
      </c>
      <c r="U989">
        <v>15.09</v>
      </c>
      <c r="V989">
        <v>96</v>
      </c>
      <c r="W989">
        <v>52.46</v>
      </c>
      <c r="X989" t="s">
        <v>2877</v>
      </c>
      <c r="Y989" t="s">
        <v>2329</v>
      </c>
      <c r="Z989">
        <v>1.04</v>
      </c>
      <c r="AA989">
        <v>110</v>
      </c>
      <c r="AB989">
        <v>73</v>
      </c>
      <c r="AC989">
        <v>3.95</v>
      </c>
      <c r="AD989" t="s">
        <v>6796</v>
      </c>
      <c r="AE989" t="s">
        <v>6797</v>
      </c>
      <c r="AF989" t="s">
        <v>6798</v>
      </c>
      <c r="AG989" t="s">
        <v>6799</v>
      </c>
      <c r="AH989">
        <v>-1.53</v>
      </c>
      <c r="AI989">
        <v>-5.2</v>
      </c>
      <c r="AJ989">
        <v>12.38</v>
      </c>
      <c r="AK989">
        <v>34.28</v>
      </c>
      <c r="AL989">
        <v>1</v>
      </c>
      <c r="AM989">
        <v>2.62</v>
      </c>
      <c r="AN989">
        <v>-27.12</v>
      </c>
      <c r="AO989">
        <v>2.31</v>
      </c>
      <c r="AP989">
        <v>-43.29</v>
      </c>
    </row>
    <row r="990" spans="1:42">
      <c r="A990">
        <v>989</v>
      </c>
      <c r="B990" t="str">
        <f>"689009"</f>
        <v>689009</v>
      </c>
      <c r="C990" t="s">
        <v>6800</v>
      </c>
      <c r="D990">
        <v>33.47</v>
      </c>
      <c r="E990">
        <v>1.12</v>
      </c>
      <c r="F990">
        <v>0.37</v>
      </c>
      <c r="G990" t="s">
        <v>6801</v>
      </c>
      <c r="H990">
        <v>498</v>
      </c>
      <c r="I990">
        <v>33.47</v>
      </c>
      <c r="J990">
        <v>33.48</v>
      </c>
      <c r="K990" t="s">
        <v>4150</v>
      </c>
      <c r="L990">
        <v>1.16</v>
      </c>
      <c r="M990" t="s">
        <v>46</v>
      </c>
      <c r="N990" t="s">
        <v>6802</v>
      </c>
      <c r="O990">
        <v>33.82</v>
      </c>
      <c r="P990">
        <v>32.89</v>
      </c>
      <c r="Q990">
        <v>32.99</v>
      </c>
      <c r="R990">
        <v>33.1</v>
      </c>
      <c r="S990">
        <v>2.81</v>
      </c>
      <c r="T990">
        <v>0.9</v>
      </c>
      <c r="U990">
        <v>60.78</v>
      </c>
      <c r="V990">
        <v>391</v>
      </c>
      <c r="W990">
        <v>33.45</v>
      </c>
      <c r="X990" t="s">
        <v>6803</v>
      </c>
      <c r="Y990" t="s">
        <v>401</v>
      </c>
      <c r="Z990">
        <v>0.99</v>
      </c>
      <c r="AA990">
        <v>165</v>
      </c>
      <c r="AB990">
        <v>6</v>
      </c>
      <c r="AC990">
        <v>4.56</v>
      </c>
      <c r="AD990" t="s">
        <v>6804</v>
      </c>
      <c r="AE990" t="s">
        <v>6805</v>
      </c>
      <c r="AF990" t="s">
        <v>6806</v>
      </c>
      <c r="AG990" t="s">
        <v>3732</v>
      </c>
      <c r="AH990">
        <v>-2.59</v>
      </c>
      <c r="AI990">
        <v>-3.18</v>
      </c>
      <c r="AJ990">
        <v>3.26</v>
      </c>
      <c r="AK990">
        <v>7.64</v>
      </c>
      <c r="AL990">
        <v>1</v>
      </c>
      <c r="AM990">
        <v>1.12</v>
      </c>
      <c r="AN990">
        <v>9.77</v>
      </c>
      <c r="AO990">
        <v>0.15</v>
      </c>
      <c r="AP990">
        <v>2.1</v>
      </c>
    </row>
    <row r="991" spans="1:42">
      <c r="A991">
        <v>990</v>
      </c>
      <c r="B991" t="str">
        <f>"000665"</f>
        <v>000665</v>
      </c>
      <c r="C991" t="s">
        <v>6807</v>
      </c>
      <c r="D991">
        <v>5.5</v>
      </c>
      <c r="E991">
        <v>3.19</v>
      </c>
      <c r="F991">
        <v>0.17</v>
      </c>
      <c r="G991" t="s">
        <v>1387</v>
      </c>
      <c r="H991" t="s">
        <v>141</v>
      </c>
      <c r="I991">
        <v>5.49</v>
      </c>
      <c r="J991">
        <v>5.51</v>
      </c>
      <c r="K991" t="s">
        <v>4150</v>
      </c>
      <c r="L991">
        <v>3.29</v>
      </c>
      <c r="M991" t="s">
        <v>46</v>
      </c>
      <c r="N991" t="s">
        <v>5078</v>
      </c>
      <c r="O991">
        <v>5.52</v>
      </c>
      <c r="P991">
        <v>5.32</v>
      </c>
      <c r="Q991">
        <v>5.35</v>
      </c>
      <c r="R991">
        <v>5.33</v>
      </c>
      <c r="S991">
        <v>3.75</v>
      </c>
      <c r="T991">
        <v>1.01</v>
      </c>
      <c r="U991">
        <v>-46.54</v>
      </c>
      <c r="V991">
        <v>-9238</v>
      </c>
      <c r="W991">
        <v>5.46</v>
      </c>
      <c r="X991" t="s">
        <v>1296</v>
      </c>
      <c r="Y991" t="s">
        <v>1031</v>
      </c>
      <c r="Z991">
        <v>0.61</v>
      </c>
      <c r="AA991">
        <v>1515</v>
      </c>
      <c r="AB991">
        <v>4167</v>
      </c>
      <c r="AC991">
        <v>1.14</v>
      </c>
      <c r="AD991" t="s">
        <v>6808</v>
      </c>
      <c r="AE991" t="s">
        <v>6809</v>
      </c>
      <c r="AF991" t="s">
        <v>6808</v>
      </c>
      <c r="AG991" t="s">
        <v>6810</v>
      </c>
      <c r="AH991">
        <v>-0.54</v>
      </c>
      <c r="AI991">
        <v>-3.34</v>
      </c>
      <c r="AJ991">
        <v>8.1</v>
      </c>
      <c r="AK991">
        <v>19.52</v>
      </c>
      <c r="AL991">
        <v>1</v>
      </c>
      <c r="AM991">
        <v>3.19</v>
      </c>
      <c r="AN991">
        <v>-15.9</v>
      </c>
      <c r="AO991">
        <v>10.22</v>
      </c>
      <c r="AP991">
        <v>-19.24</v>
      </c>
    </row>
    <row r="992" spans="1:42">
      <c r="A992">
        <v>991</v>
      </c>
      <c r="B992" t="str">
        <f>"300065"</f>
        <v>300065</v>
      </c>
      <c r="C992" t="s">
        <v>6811</v>
      </c>
      <c r="D992">
        <v>11.25</v>
      </c>
      <c r="E992">
        <v>-0.18</v>
      </c>
      <c r="F992">
        <v>-0.02</v>
      </c>
      <c r="G992" t="s">
        <v>859</v>
      </c>
      <c r="H992">
        <v>2202</v>
      </c>
      <c r="I992">
        <v>11.25</v>
      </c>
      <c r="J992">
        <v>11.26</v>
      </c>
      <c r="K992" t="s">
        <v>4150</v>
      </c>
      <c r="L992">
        <v>2.77</v>
      </c>
      <c r="M992" t="s">
        <v>46</v>
      </c>
      <c r="N992" t="s">
        <v>2858</v>
      </c>
      <c r="O992">
        <v>11.32</v>
      </c>
      <c r="P992">
        <v>11</v>
      </c>
      <c r="Q992">
        <v>11.26</v>
      </c>
      <c r="R992">
        <v>11.27</v>
      </c>
      <c r="S992">
        <v>2.84</v>
      </c>
      <c r="T992">
        <v>0.65</v>
      </c>
      <c r="U992">
        <v>8.51</v>
      </c>
      <c r="V992">
        <v>469</v>
      </c>
      <c r="W992">
        <v>11.17</v>
      </c>
      <c r="X992" t="s">
        <v>6324</v>
      </c>
      <c r="Y992" t="s">
        <v>4441</v>
      </c>
      <c r="Z992">
        <v>0.95</v>
      </c>
      <c r="AA992">
        <v>1515</v>
      </c>
      <c r="AB992">
        <v>253</v>
      </c>
      <c r="AC992">
        <v>4.14</v>
      </c>
      <c r="AD992" t="s">
        <v>860</v>
      </c>
      <c r="AE992" t="s">
        <v>650</v>
      </c>
      <c r="AF992" t="s">
        <v>6812</v>
      </c>
      <c r="AG992" t="s">
        <v>6813</v>
      </c>
      <c r="AH992">
        <v>-2.93</v>
      </c>
      <c r="AI992">
        <v>-3.6</v>
      </c>
      <c r="AJ992">
        <v>11.09</v>
      </c>
      <c r="AK992">
        <v>23.98</v>
      </c>
      <c r="AL992">
        <v>-3</v>
      </c>
      <c r="AM992">
        <v>-0.18</v>
      </c>
      <c r="AN992">
        <v>-14.84</v>
      </c>
      <c r="AO992">
        <v>5.53</v>
      </c>
      <c r="AP992">
        <v>-27.61</v>
      </c>
    </row>
    <row r="993" spans="1:42">
      <c r="A993">
        <v>992</v>
      </c>
      <c r="B993" t="str">
        <f>"002138"</f>
        <v>002138</v>
      </c>
      <c r="C993" t="s">
        <v>6814</v>
      </c>
      <c r="D993">
        <v>26.73</v>
      </c>
      <c r="E993">
        <v>-1.47</v>
      </c>
      <c r="F993">
        <v>-0.4</v>
      </c>
      <c r="G993" t="s">
        <v>6698</v>
      </c>
      <c r="H993">
        <v>455</v>
      </c>
      <c r="I993">
        <v>26.73</v>
      </c>
      <c r="J993">
        <v>26.74</v>
      </c>
      <c r="K993" t="s">
        <v>6815</v>
      </c>
      <c r="L993">
        <v>1.02</v>
      </c>
      <c r="M993" t="s">
        <v>46</v>
      </c>
      <c r="N993" t="s">
        <v>78</v>
      </c>
      <c r="O993">
        <v>27.08</v>
      </c>
      <c r="P993">
        <v>26.58</v>
      </c>
      <c r="Q993">
        <v>27.08</v>
      </c>
      <c r="R993">
        <v>27.13</v>
      </c>
      <c r="S993">
        <v>1.84</v>
      </c>
      <c r="T993">
        <v>1.14</v>
      </c>
      <c r="U993">
        <v>49.3</v>
      </c>
      <c r="V993">
        <v>177</v>
      </c>
      <c r="W993">
        <v>26.73</v>
      </c>
      <c r="X993" t="s">
        <v>5055</v>
      </c>
      <c r="Y993" t="s">
        <v>401</v>
      </c>
      <c r="Z993">
        <v>1.48</v>
      </c>
      <c r="AA993">
        <v>108</v>
      </c>
      <c r="AB993">
        <v>30</v>
      </c>
      <c r="AC993">
        <v>3.72</v>
      </c>
      <c r="AD993" t="s">
        <v>6816</v>
      </c>
      <c r="AE993" t="s">
        <v>6817</v>
      </c>
      <c r="AF993" t="s">
        <v>1771</v>
      </c>
      <c r="AG993" t="s">
        <v>6818</v>
      </c>
      <c r="AH993">
        <v>-1.8</v>
      </c>
      <c r="AI993">
        <v>-4.19</v>
      </c>
      <c r="AJ993">
        <v>2.79</v>
      </c>
      <c r="AK993">
        <v>5.5</v>
      </c>
      <c r="AL993">
        <v>-2</v>
      </c>
      <c r="AM993">
        <v>-1.47</v>
      </c>
      <c r="AN993">
        <v>2.89</v>
      </c>
      <c r="AO993">
        <v>-6.41</v>
      </c>
      <c r="AP993">
        <v>3.2</v>
      </c>
    </row>
    <row r="994" spans="1:42">
      <c r="A994">
        <v>993</v>
      </c>
      <c r="B994" t="str">
        <f>"002045"</f>
        <v>002045</v>
      </c>
      <c r="C994" t="s">
        <v>6819</v>
      </c>
      <c r="D994">
        <v>15.66</v>
      </c>
      <c r="E994">
        <v>2.96</v>
      </c>
      <c r="F994">
        <v>0.45</v>
      </c>
      <c r="G994" t="s">
        <v>1987</v>
      </c>
      <c r="H994">
        <v>1930</v>
      </c>
      <c r="I994">
        <v>15.65</v>
      </c>
      <c r="J994">
        <v>15.66</v>
      </c>
      <c r="K994" t="s">
        <v>6815</v>
      </c>
      <c r="L994">
        <v>2.8</v>
      </c>
      <c r="M994" t="s">
        <v>46</v>
      </c>
      <c r="N994" t="s">
        <v>6820</v>
      </c>
      <c r="O994">
        <v>15.69</v>
      </c>
      <c r="P994">
        <v>15.16</v>
      </c>
      <c r="Q994">
        <v>15.23</v>
      </c>
      <c r="R994">
        <v>15.21</v>
      </c>
      <c r="S994">
        <v>3.48</v>
      </c>
      <c r="T994">
        <v>0.75</v>
      </c>
      <c r="U994">
        <v>-52.64</v>
      </c>
      <c r="V994">
        <v>-2163</v>
      </c>
      <c r="W994">
        <v>15.47</v>
      </c>
      <c r="X994" t="s">
        <v>4009</v>
      </c>
      <c r="Y994" t="s">
        <v>6821</v>
      </c>
      <c r="Z994">
        <v>0.64</v>
      </c>
      <c r="AA994">
        <v>284</v>
      </c>
      <c r="AB994">
        <v>353</v>
      </c>
      <c r="AC994">
        <v>3.06</v>
      </c>
      <c r="AD994" t="s">
        <v>6822</v>
      </c>
      <c r="AE994" t="s">
        <v>6823</v>
      </c>
      <c r="AF994" t="s">
        <v>6824</v>
      </c>
      <c r="AG994" t="s">
        <v>6825</v>
      </c>
      <c r="AH994">
        <v>-0.13</v>
      </c>
      <c r="AI994">
        <v>-3.21</v>
      </c>
      <c r="AJ994">
        <v>8.57</v>
      </c>
      <c r="AK994">
        <v>21.41</v>
      </c>
      <c r="AL994">
        <v>1</v>
      </c>
      <c r="AM994">
        <v>2.96</v>
      </c>
      <c r="AN994">
        <v>26.39</v>
      </c>
      <c r="AO994">
        <v>1.29</v>
      </c>
      <c r="AP994">
        <v>24.58</v>
      </c>
    </row>
    <row r="995" spans="1:42">
      <c r="A995">
        <v>994</v>
      </c>
      <c r="B995" t="str">
        <f>"688578"</f>
        <v>688578</v>
      </c>
      <c r="C995" t="s">
        <v>6826</v>
      </c>
      <c r="D995">
        <v>38.5</v>
      </c>
      <c r="E995">
        <v>3.3</v>
      </c>
      <c r="F995">
        <v>1.23</v>
      </c>
      <c r="G995" t="s">
        <v>1985</v>
      </c>
      <c r="H995">
        <v>680</v>
      </c>
      <c r="I995">
        <v>38.49</v>
      </c>
      <c r="J995">
        <v>38.5</v>
      </c>
      <c r="K995" t="s">
        <v>5793</v>
      </c>
      <c r="L995">
        <v>2.56</v>
      </c>
      <c r="M995" t="s">
        <v>46</v>
      </c>
      <c r="N995" t="s">
        <v>2900</v>
      </c>
      <c r="O995">
        <v>38.83</v>
      </c>
      <c r="P995">
        <v>37.3</v>
      </c>
      <c r="Q995">
        <v>37.33</v>
      </c>
      <c r="R995">
        <v>37.27</v>
      </c>
      <c r="S995">
        <v>4.11</v>
      </c>
      <c r="T995">
        <v>1.68</v>
      </c>
      <c r="U995">
        <v>-76.04</v>
      </c>
      <c r="V995">
        <v>-437</v>
      </c>
      <c r="W995">
        <v>38.23</v>
      </c>
      <c r="X995" t="s">
        <v>6827</v>
      </c>
      <c r="Y995" t="s">
        <v>3260</v>
      </c>
      <c r="Z995">
        <v>0.7</v>
      </c>
      <c r="AA995">
        <v>7</v>
      </c>
      <c r="AB995">
        <v>100</v>
      </c>
      <c r="AC995">
        <v>4.75</v>
      </c>
      <c r="AD995" t="s">
        <v>6350</v>
      </c>
      <c r="AE995" t="s">
        <v>6828</v>
      </c>
      <c r="AF995" t="s">
        <v>6829</v>
      </c>
      <c r="AG995" t="s">
        <v>6830</v>
      </c>
      <c r="AH995">
        <v>5.02</v>
      </c>
      <c r="AI995">
        <v>3.77</v>
      </c>
      <c r="AJ995">
        <v>5.7</v>
      </c>
      <c r="AK995">
        <v>10.17</v>
      </c>
      <c r="AL995">
        <v>4</v>
      </c>
      <c r="AM995">
        <v>3.3</v>
      </c>
      <c r="AN995">
        <v>95.63</v>
      </c>
      <c r="AO995">
        <v>4.9</v>
      </c>
      <c r="AP995">
        <v>76.61</v>
      </c>
    </row>
    <row r="996" spans="1:42">
      <c r="A996">
        <v>995</v>
      </c>
      <c r="B996" t="str">
        <f>"300101"</f>
        <v>300101</v>
      </c>
      <c r="C996" t="s">
        <v>6831</v>
      </c>
      <c r="D996">
        <v>23.92</v>
      </c>
      <c r="E996">
        <v>1.61</v>
      </c>
      <c r="F996">
        <v>0.38</v>
      </c>
      <c r="G996" t="s">
        <v>2781</v>
      </c>
      <c r="H996">
        <v>1071</v>
      </c>
      <c r="I996">
        <v>23.91</v>
      </c>
      <c r="J996">
        <v>23.92</v>
      </c>
      <c r="K996" t="s">
        <v>5793</v>
      </c>
      <c r="L996">
        <v>1.52</v>
      </c>
      <c r="M996" t="s">
        <v>46</v>
      </c>
      <c r="N996" t="s">
        <v>6832</v>
      </c>
      <c r="O996">
        <v>24</v>
      </c>
      <c r="P996">
        <v>23.35</v>
      </c>
      <c r="Q996">
        <v>23.69</v>
      </c>
      <c r="R996">
        <v>23.54</v>
      </c>
      <c r="S996">
        <v>2.76</v>
      </c>
      <c r="T996">
        <v>0.62</v>
      </c>
      <c r="U996">
        <v>20.48</v>
      </c>
      <c r="V996">
        <v>203</v>
      </c>
      <c r="W996">
        <v>23.7</v>
      </c>
      <c r="X996" t="s">
        <v>3210</v>
      </c>
      <c r="Y996" t="s">
        <v>6833</v>
      </c>
      <c r="Z996">
        <v>0.78</v>
      </c>
      <c r="AA996">
        <v>25</v>
      </c>
      <c r="AB996">
        <v>37</v>
      </c>
      <c r="AC996">
        <v>7.54</v>
      </c>
      <c r="AD996" t="s">
        <v>6834</v>
      </c>
      <c r="AE996" t="s">
        <v>6835</v>
      </c>
      <c r="AF996" t="s">
        <v>5095</v>
      </c>
      <c r="AG996" t="s">
        <v>6836</v>
      </c>
      <c r="AH996">
        <v>0.34</v>
      </c>
      <c r="AI996">
        <v>4.55</v>
      </c>
      <c r="AJ996">
        <v>6.37</v>
      </c>
      <c r="AK996">
        <v>13.77</v>
      </c>
      <c r="AL996">
        <v>1</v>
      </c>
      <c r="AM996">
        <v>1.61</v>
      </c>
      <c r="AN996">
        <v>-2.37</v>
      </c>
      <c r="AO996">
        <v>12.35</v>
      </c>
      <c r="AP996">
        <v>-9.6</v>
      </c>
    </row>
    <row r="997" spans="1:42">
      <c r="A997">
        <v>996</v>
      </c>
      <c r="B997" t="str">
        <f>"603583"</f>
        <v>603583</v>
      </c>
      <c r="C997" t="s">
        <v>6837</v>
      </c>
      <c r="D997">
        <v>20.17</v>
      </c>
      <c r="E997">
        <v>-3.12</v>
      </c>
      <c r="F997">
        <v>-0.65</v>
      </c>
      <c r="G997" t="s">
        <v>1232</v>
      </c>
      <c r="H997">
        <v>720</v>
      </c>
      <c r="I997">
        <v>20.16</v>
      </c>
      <c r="J997">
        <v>20.17</v>
      </c>
      <c r="K997" t="s">
        <v>5793</v>
      </c>
      <c r="L997">
        <v>2.63</v>
      </c>
      <c r="M997" t="s">
        <v>46</v>
      </c>
      <c r="N997" t="s">
        <v>690</v>
      </c>
      <c r="O997">
        <v>20.5</v>
      </c>
      <c r="P997">
        <v>19.95</v>
      </c>
      <c r="Q997">
        <v>20.38</v>
      </c>
      <c r="R997">
        <v>20.82</v>
      </c>
      <c r="S997">
        <v>2.64</v>
      </c>
      <c r="T997">
        <v>1.6</v>
      </c>
      <c r="U997">
        <v>36.44</v>
      </c>
      <c r="V997">
        <v>516</v>
      </c>
      <c r="W997">
        <v>20.13</v>
      </c>
      <c r="X997" t="s">
        <v>6545</v>
      </c>
      <c r="Y997" t="s">
        <v>6838</v>
      </c>
      <c r="Z997">
        <v>1.3</v>
      </c>
      <c r="AA997">
        <v>247</v>
      </c>
      <c r="AB997">
        <v>116</v>
      </c>
      <c r="AC997">
        <v>1.89</v>
      </c>
      <c r="AD997" t="s">
        <v>6839</v>
      </c>
      <c r="AE997" t="s">
        <v>6840</v>
      </c>
      <c r="AF997" t="s">
        <v>6841</v>
      </c>
      <c r="AG997" t="s">
        <v>6842</v>
      </c>
      <c r="AH997">
        <v>-2.09</v>
      </c>
      <c r="AI997">
        <v>-1.71</v>
      </c>
      <c r="AJ997">
        <v>7.84</v>
      </c>
      <c r="AK997">
        <v>10.86</v>
      </c>
      <c r="AL997">
        <v>-1</v>
      </c>
      <c r="AM997">
        <v>-3.12</v>
      </c>
      <c r="AN997">
        <v>-20.28</v>
      </c>
      <c r="AO997">
        <v>-4.54</v>
      </c>
      <c r="AP997">
        <v>-28.45</v>
      </c>
    </row>
    <row r="998" spans="1:42">
      <c r="A998">
        <v>997</v>
      </c>
      <c r="B998" t="str">
        <f>"600975"</f>
        <v>600975</v>
      </c>
      <c r="C998" t="s">
        <v>6843</v>
      </c>
      <c r="D998">
        <v>10.59</v>
      </c>
      <c r="E998">
        <v>-2.13</v>
      </c>
      <c r="F998">
        <v>-0.23</v>
      </c>
      <c r="G998" t="s">
        <v>2382</v>
      </c>
      <c r="H998">
        <v>1826</v>
      </c>
      <c r="I998">
        <v>10.59</v>
      </c>
      <c r="J998">
        <v>10.6</v>
      </c>
      <c r="K998" t="s">
        <v>5793</v>
      </c>
      <c r="L998">
        <v>2.91</v>
      </c>
      <c r="M998" t="s">
        <v>46</v>
      </c>
      <c r="N998" t="s">
        <v>6844</v>
      </c>
      <c r="O998">
        <v>10.88</v>
      </c>
      <c r="P998">
        <v>10.5</v>
      </c>
      <c r="Q998">
        <v>10.79</v>
      </c>
      <c r="R998">
        <v>10.82</v>
      </c>
      <c r="S998">
        <v>3.51</v>
      </c>
      <c r="T998">
        <v>0.67</v>
      </c>
      <c r="U998">
        <v>13.66</v>
      </c>
      <c r="V998">
        <v>386</v>
      </c>
      <c r="W998">
        <v>10.64</v>
      </c>
      <c r="X998" t="s">
        <v>829</v>
      </c>
      <c r="Y998" t="s">
        <v>3274</v>
      </c>
      <c r="Z998">
        <v>1.42</v>
      </c>
      <c r="AA998">
        <v>460</v>
      </c>
      <c r="AB998">
        <v>218</v>
      </c>
      <c r="AC998">
        <v>3.88</v>
      </c>
      <c r="AD998" t="s">
        <v>6845</v>
      </c>
      <c r="AE998" t="s">
        <v>6846</v>
      </c>
      <c r="AF998" t="s">
        <v>6847</v>
      </c>
      <c r="AG998" t="s">
        <v>6848</v>
      </c>
      <c r="AH998">
        <v>-3.38</v>
      </c>
      <c r="AI998">
        <v>-3.99</v>
      </c>
      <c r="AJ998">
        <v>8.15</v>
      </c>
      <c r="AK998">
        <v>24.58</v>
      </c>
      <c r="AL998">
        <v>-1</v>
      </c>
      <c r="AM998">
        <v>-2.13</v>
      </c>
      <c r="AN998">
        <v>48.95</v>
      </c>
      <c r="AO998">
        <v>7.73</v>
      </c>
      <c r="AP998">
        <v>51.29</v>
      </c>
    </row>
    <row r="999" spans="1:42">
      <c r="A999">
        <v>998</v>
      </c>
      <c r="B999" t="str">
        <f>"300287"</f>
        <v>300287</v>
      </c>
      <c r="C999" t="s">
        <v>6849</v>
      </c>
      <c r="D999">
        <v>4.45</v>
      </c>
      <c r="E999">
        <v>3.01</v>
      </c>
      <c r="F999">
        <v>0.13</v>
      </c>
      <c r="G999" t="s">
        <v>2842</v>
      </c>
      <c r="H999">
        <v>5348</v>
      </c>
      <c r="I999">
        <v>4.45</v>
      </c>
      <c r="J999">
        <v>4.46</v>
      </c>
      <c r="K999" t="s">
        <v>5793</v>
      </c>
      <c r="L999">
        <v>3.54</v>
      </c>
      <c r="M999" t="s">
        <v>46</v>
      </c>
      <c r="N999" t="s">
        <v>3610</v>
      </c>
      <c r="O999">
        <v>4.47</v>
      </c>
      <c r="P999">
        <v>4.3</v>
      </c>
      <c r="Q999">
        <v>4.3</v>
      </c>
      <c r="R999">
        <v>4.32</v>
      </c>
      <c r="S999">
        <v>3.94</v>
      </c>
      <c r="T999">
        <v>1</v>
      </c>
      <c r="U999">
        <v>-57.77</v>
      </c>
      <c r="V999" t="s">
        <v>6850</v>
      </c>
      <c r="W999">
        <v>4.41</v>
      </c>
      <c r="X999" t="s">
        <v>2915</v>
      </c>
      <c r="Y999" t="s">
        <v>1373</v>
      </c>
      <c r="Z999">
        <v>0.6</v>
      </c>
      <c r="AA999">
        <v>5577</v>
      </c>
      <c r="AB999">
        <v>9503</v>
      </c>
      <c r="AC999">
        <v>4.2</v>
      </c>
      <c r="AD999" t="s">
        <v>6851</v>
      </c>
      <c r="AE999" t="s">
        <v>6852</v>
      </c>
      <c r="AF999" t="s">
        <v>6853</v>
      </c>
      <c r="AG999" t="s">
        <v>3620</v>
      </c>
      <c r="AH999">
        <v>-0.89</v>
      </c>
      <c r="AI999">
        <v>-3.68</v>
      </c>
      <c r="AJ999">
        <v>10.31</v>
      </c>
      <c r="AK999">
        <v>21.2</v>
      </c>
      <c r="AL999">
        <v>1</v>
      </c>
      <c r="AM999">
        <v>3.01</v>
      </c>
      <c r="AN999">
        <v>28.24</v>
      </c>
      <c r="AO999">
        <v>3.01</v>
      </c>
      <c r="AP999">
        <v>14.69</v>
      </c>
    </row>
    <row r="1000" spans="1:42">
      <c r="A1000">
        <v>999</v>
      </c>
      <c r="B1000" t="str">
        <f>"601618"</f>
        <v>601618</v>
      </c>
      <c r="C1000" t="s">
        <v>6854</v>
      </c>
      <c r="D1000">
        <v>3.14</v>
      </c>
      <c r="E1000">
        <v>1.29</v>
      </c>
      <c r="F1000">
        <v>0.04</v>
      </c>
      <c r="G1000" t="s">
        <v>6855</v>
      </c>
      <c r="H1000">
        <v>9079</v>
      </c>
      <c r="I1000">
        <v>3.14</v>
      </c>
      <c r="J1000">
        <v>3.15</v>
      </c>
      <c r="K1000" t="s">
        <v>5793</v>
      </c>
      <c r="L1000">
        <v>0.36</v>
      </c>
      <c r="M1000" t="s">
        <v>46</v>
      </c>
      <c r="N1000" t="s">
        <v>6856</v>
      </c>
      <c r="O1000">
        <v>3.15</v>
      </c>
      <c r="P1000">
        <v>3.08</v>
      </c>
      <c r="Q1000">
        <v>3.1</v>
      </c>
      <c r="R1000">
        <v>3.1</v>
      </c>
      <c r="S1000">
        <v>2.26</v>
      </c>
      <c r="T1000">
        <v>1.14</v>
      </c>
      <c r="U1000">
        <v>-15.4</v>
      </c>
      <c r="V1000" t="s">
        <v>6857</v>
      </c>
      <c r="W1000">
        <v>3.12</v>
      </c>
      <c r="X1000" t="s">
        <v>2408</v>
      </c>
      <c r="Y1000" t="s">
        <v>131</v>
      </c>
      <c r="Z1000">
        <v>0.61</v>
      </c>
      <c r="AA1000">
        <v>883</v>
      </c>
      <c r="AB1000" t="s">
        <v>5831</v>
      </c>
      <c r="AC1000">
        <v>0.66</v>
      </c>
      <c r="AD1000" t="s">
        <v>6858</v>
      </c>
      <c r="AE1000" t="s">
        <v>6859</v>
      </c>
      <c r="AF1000" t="s">
        <v>6860</v>
      </c>
      <c r="AG1000" t="s">
        <v>6861</v>
      </c>
      <c r="AH1000">
        <v>0.32</v>
      </c>
      <c r="AI1000">
        <v>-1.87</v>
      </c>
      <c r="AJ1000">
        <v>1.03</v>
      </c>
      <c r="AK1000">
        <v>1.96</v>
      </c>
      <c r="AL1000">
        <v>2</v>
      </c>
      <c r="AM1000">
        <v>1.29</v>
      </c>
      <c r="AN1000">
        <v>1.29</v>
      </c>
      <c r="AO1000">
        <v>-3.98</v>
      </c>
      <c r="AP1000">
        <v>-1.88</v>
      </c>
    </row>
    <row r="1001" spans="1:42">
      <c r="A1001">
        <v>1000</v>
      </c>
      <c r="B1001" t="str">
        <f>"603719"</f>
        <v>603719</v>
      </c>
      <c r="C1001" t="s">
        <v>6862</v>
      </c>
      <c r="D1001">
        <v>21.32</v>
      </c>
      <c r="E1001">
        <v>10.01</v>
      </c>
      <c r="F1001">
        <v>1.94</v>
      </c>
      <c r="G1001" t="s">
        <v>6697</v>
      </c>
      <c r="H1001">
        <v>205</v>
      </c>
      <c r="I1001">
        <v>21.32</v>
      </c>
      <c r="J1001" t="s">
        <v>76</v>
      </c>
      <c r="K1001" t="s">
        <v>5793</v>
      </c>
      <c r="L1001">
        <v>2.38</v>
      </c>
      <c r="M1001" t="s">
        <v>46</v>
      </c>
      <c r="N1001" t="s">
        <v>6863</v>
      </c>
      <c r="O1001">
        <v>21.32</v>
      </c>
      <c r="P1001">
        <v>20.4</v>
      </c>
      <c r="Q1001">
        <v>20.4</v>
      </c>
      <c r="R1001">
        <v>19.38</v>
      </c>
      <c r="S1001">
        <v>4.75</v>
      </c>
      <c r="T1001">
        <v>1.83</v>
      </c>
      <c r="U1001">
        <v>100</v>
      </c>
      <c r="V1001" t="s">
        <v>4012</v>
      </c>
      <c r="W1001">
        <v>21.16</v>
      </c>
      <c r="X1001" t="s">
        <v>4183</v>
      </c>
      <c r="Y1001" t="s">
        <v>5578</v>
      </c>
      <c r="Z1001">
        <v>4.08</v>
      </c>
      <c r="AA1001" t="s">
        <v>4036</v>
      </c>
      <c r="AB1001">
        <v>0</v>
      </c>
      <c r="AC1001">
        <v>3.42</v>
      </c>
      <c r="AD1001" t="s">
        <v>945</v>
      </c>
      <c r="AE1001" t="s">
        <v>6864</v>
      </c>
      <c r="AF1001" t="s">
        <v>945</v>
      </c>
      <c r="AG1001" t="s">
        <v>6864</v>
      </c>
      <c r="AH1001">
        <v>7.79</v>
      </c>
      <c r="AI1001">
        <v>2.5</v>
      </c>
      <c r="AJ1001">
        <v>5.03</v>
      </c>
      <c r="AK1001">
        <v>8.88</v>
      </c>
      <c r="AL1001">
        <v>1</v>
      </c>
      <c r="AM1001">
        <v>10.01</v>
      </c>
      <c r="AN1001">
        <v>-41.78</v>
      </c>
      <c r="AO1001">
        <v>3.9</v>
      </c>
      <c r="AP1001">
        <v>-39.83</v>
      </c>
    </row>
    <row r="1002" spans="1:42">
      <c r="A1002">
        <v>1001</v>
      </c>
      <c r="B1002" t="str">
        <f>"600027"</f>
        <v>600027</v>
      </c>
      <c r="C1002" t="s">
        <v>6865</v>
      </c>
      <c r="D1002">
        <v>5.15</v>
      </c>
      <c r="E1002">
        <v>0.59</v>
      </c>
      <c r="F1002">
        <v>0.03</v>
      </c>
      <c r="G1002" t="s">
        <v>6866</v>
      </c>
      <c r="H1002" t="s">
        <v>6867</v>
      </c>
      <c r="I1002">
        <v>5.14</v>
      </c>
      <c r="J1002">
        <v>5.15</v>
      </c>
      <c r="K1002" t="s">
        <v>5793</v>
      </c>
      <c r="L1002">
        <v>0.46</v>
      </c>
      <c r="M1002" t="s">
        <v>46</v>
      </c>
      <c r="N1002" t="s">
        <v>6868</v>
      </c>
      <c r="O1002">
        <v>5.16</v>
      </c>
      <c r="P1002">
        <v>5.06</v>
      </c>
      <c r="Q1002">
        <v>5.13</v>
      </c>
      <c r="R1002">
        <v>5.12</v>
      </c>
      <c r="S1002">
        <v>1.95</v>
      </c>
      <c r="T1002">
        <v>0.87</v>
      </c>
      <c r="U1002">
        <v>-54.28</v>
      </c>
      <c r="V1002" t="s">
        <v>404</v>
      </c>
      <c r="W1002">
        <v>5.12</v>
      </c>
      <c r="X1002" t="s">
        <v>1225</v>
      </c>
      <c r="Y1002" t="s">
        <v>1403</v>
      </c>
      <c r="Z1002">
        <v>1.24</v>
      </c>
      <c r="AA1002">
        <v>703</v>
      </c>
      <c r="AB1002" t="s">
        <v>1154</v>
      </c>
      <c r="AC1002">
        <v>1.33</v>
      </c>
      <c r="AD1002" t="s">
        <v>3798</v>
      </c>
      <c r="AE1002" t="s">
        <v>6869</v>
      </c>
      <c r="AF1002" t="s">
        <v>3578</v>
      </c>
      <c r="AG1002" t="s">
        <v>6870</v>
      </c>
      <c r="AH1002">
        <v>1.78</v>
      </c>
      <c r="AI1002">
        <v>0.78</v>
      </c>
      <c r="AJ1002">
        <v>1.63</v>
      </c>
      <c r="AK1002">
        <v>3.12</v>
      </c>
      <c r="AL1002">
        <v>2</v>
      </c>
      <c r="AM1002">
        <v>0.59</v>
      </c>
      <c r="AN1002">
        <v>-9.33</v>
      </c>
      <c r="AO1002">
        <v>4.25</v>
      </c>
      <c r="AP1002">
        <v>-5.5</v>
      </c>
    </row>
    <row r="1003" spans="1:42">
      <c r="A1003">
        <v>1002</v>
      </c>
      <c r="B1003" t="str">
        <f>"600482"</f>
        <v>600482</v>
      </c>
      <c r="C1003" t="s">
        <v>6871</v>
      </c>
      <c r="D1003">
        <v>17.74</v>
      </c>
      <c r="E1003">
        <v>0.11</v>
      </c>
      <c r="F1003">
        <v>0.02</v>
      </c>
      <c r="G1003" t="s">
        <v>4369</v>
      </c>
      <c r="H1003">
        <v>799</v>
      </c>
      <c r="I1003">
        <v>17.73</v>
      </c>
      <c r="J1003">
        <v>17.74</v>
      </c>
      <c r="K1003" t="s">
        <v>5793</v>
      </c>
      <c r="L1003">
        <v>0.52</v>
      </c>
      <c r="M1003" t="s">
        <v>46</v>
      </c>
      <c r="N1003" t="s">
        <v>6872</v>
      </c>
      <c r="O1003">
        <v>17.93</v>
      </c>
      <c r="P1003">
        <v>17.4</v>
      </c>
      <c r="Q1003">
        <v>17.8</v>
      </c>
      <c r="R1003">
        <v>17.72</v>
      </c>
      <c r="S1003">
        <v>2.99</v>
      </c>
      <c r="T1003">
        <v>1.33</v>
      </c>
      <c r="U1003">
        <v>22.08</v>
      </c>
      <c r="V1003">
        <v>212</v>
      </c>
      <c r="W1003">
        <v>17.62</v>
      </c>
      <c r="X1003" t="s">
        <v>6873</v>
      </c>
      <c r="Y1003" t="s">
        <v>372</v>
      </c>
      <c r="Z1003">
        <v>1.15</v>
      </c>
      <c r="AA1003">
        <v>78</v>
      </c>
      <c r="AB1003">
        <v>68</v>
      </c>
      <c r="AC1003">
        <v>1.07</v>
      </c>
      <c r="AD1003" t="s">
        <v>5470</v>
      </c>
      <c r="AE1003" t="s">
        <v>6874</v>
      </c>
      <c r="AF1003" t="s">
        <v>5470</v>
      </c>
      <c r="AG1003" t="s">
        <v>6874</v>
      </c>
      <c r="AH1003">
        <v>1.03</v>
      </c>
      <c r="AI1003">
        <v>0.8</v>
      </c>
      <c r="AJ1003">
        <v>1.55</v>
      </c>
      <c r="AK1003">
        <v>2.5</v>
      </c>
      <c r="AL1003">
        <v>2</v>
      </c>
      <c r="AM1003">
        <v>0.11</v>
      </c>
      <c r="AN1003">
        <v>16.4</v>
      </c>
      <c r="AO1003">
        <v>1.31</v>
      </c>
      <c r="AP1003">
        <v>5.41</v>
      </c>
    </row>
    <row r="1004" spans="1:42">
      <c r="A1004">
        <v>1003</v>
      </c>
      <c r="B1004" t="str">
        <f>"688052"</f>
        <v>688052</v>
      </c>
      <c r="C1004" t="s">
        <v>6875</v>
      </c>
      <c r="D1004">
        <v>158</v>
      </c>
      <c r="E1004">
        <v>1.03</v>
      </c>
      <c r="F1004">
        <v>1.61</v>
      </c>
      <c r="G1004" t="s">
        <v>1427</v>
      </c>
      <c r="H1004">
        <v>158</v>
      </c>
      <c r="I1004">
        <v>158</v>
      </c>
      <c r="J1004">
        <v>158.04</v>
      </c>
      <c r="K1004" t="s">
        <v>5793</v>
      </c>
      <c r="L1004">
        <v>1.41</v>
      </c>
      <c r="M1004" t="s">
        <v>46</v>
      </c>
      <c r="N1004" t="s">
        <v>6876</v>
      </c>
      <c r="O1004">
        <v>158.17</v>
      </c>
      <c r="P1004">
        <v>154.01</v>
      </c>
      <c r="Q1004">
        <v>155</v>
      </c>
      <c r="R1004">
        <v>156.39</v>
      </c>
      <c r="S1004">
        <v>2.66</v>
      </c>
      <c r="T1004">
        <v>0.89</v>
      </c>
      <c r="U1004">
        <v>49.51</v>
      </c>
      <c r="V1004">
        <v>67</v>
      </c>
      <c r="W1004">
        <v>156.28</v>
      </c>
      <c r="X1004">
        <v>6434</v>
      </c>
      <c r="Y1004">
        <v>6470</v>
      </c>
      <c r="Z1004">
        <v>0.99</v>
      </c>
      <c r="AA1004">
        <v>46</v>
      </c>
      <c r="AB1004">
        <v>4</v>
      </c>
      <c r="AC1004">
        <v>3.58</v>
      </c>
      <c r="AD1004" t="s">
        <v>6877</v>
      </c>
      <c r="AE1004" t="s">
        <v>6878</v>
      </c>
      <c r="AF1004" t="s">
        <v>6879</v>
      </c>
      <c r="AG1004" t="s">
        <v>6880</v>
      </c>
      <c r="AH1004">
        <v>4.99</v>
      </c>
      <c r="AI1004">
        <v>12.65</v>
      </c>
      <c r="AJ1004">
        <v>4.76</v>
      </c>
      <c r="AK1004">
        <v>9.37</v>
      </c>
      <c r="AL1004">
        <v>7</v>
      </c>
      <c r="AM1004">
        <v>1.03</v>
      </c>
      <c r="AN1004">
        <v>-30.18</v>
      </c>
      <c r="AO1004">
        <v>6.83</v>
      </c>
      <c r="AP1004">
        <v>-37.68</v>
      </c>
    </row>
    <row r="1005" spans="1:42">
      <c r="A1005">
        <v>1004</v>
      </c>
      <c r="B1005" t="str">
        <f>"603138"</f>
        <v>603138</v>
      </c>
      <c r="C1005" t="s">
        <v>6881</v>
      </c>
      <c r="D1005">
        <v>18.22</v>
      </c>
      <c r="E1005">
        <v>6.24</v>
      </c>
      <c r="F1005">
        <v>1.07</v>
      </c>
      <c r="G1005" t="s">
        <v>656</v>
      </c>
      <c r="H1005">
        <v>1056</v>
      </c>
      <c r="I1005">
        <v>18.22</v>
      </c>
      <c r="J1005">
        <v>18.23</v>
      </c>
      <c r="K1005" t="s">
        <v>6882</v>
      </c>
      <c r="L1005">
        <v>3.99</v>
      </c>
      <c r="M1005" t="s">
        <v>46</v>
      </c>
      <c r="N1005" t="s">
        <v>6883</v>
      </c>
      <c r="O1005">
        <v>18.4</v>
      </c>
      <c r="P1005">
        <v>17.17</v>
      </c>
      <c r="Q1005">
        <v>17.5</v>
      </c>
      <c r="R1005">
        <v>17.15</v>
      </c>
      <c r="S1005">
        <v>7.17</v>
      </c>
      <c r="T1005">
        <v>2.2</v>
      </c>
      <c r="U1005">
        <v>-12.96</v>
      </c>
      <c r="V1005">
        <v>-162</v>
      </c>
      <c r="W1005">
        <v>17.94</v>
      </c>
      <c r="X1005" t="s">
        <v>5983</v>
      </c>
      <c r="Y1005" t="s">
        <v>3091</v>
      </c>
      <c r="Z1005">
        <v>0.54</v>
      </c>
      <c r="AA1005">
        <v>86</v>
      </c>
      <c r="AB1005">
        <v>145</v>
      </c>
      <c r="AC1005">
        <v>6.33</v>
      </c>
      <c r="AD1005" t="s">
        <v>6884</v>
      </c>
      <c r="AE1005" t="s">
        <v>6885</v>
      </c>
      <c r="AF1005" t="s">
        <v>6886</v>
      </c>
      <c r="AG1005" t="s">
        <v>6887</v>
      </c>
      <c r="AH1005">
        <v>3.11</v>
      </c>
      <c r="AI1005">
        <v>0.33</v>
      </c>
      <c r="AJ1005">
        <v>6.57</v>
      </c>
      <c r="AK1005">
        <v>13.08</v>
      </c>
      <c r="AL1005">
        <v>1</v>
      </c>
      <c r="AM1005">
        <v>6.24</v>
      </c>
      <c r="AN1005">
        <v>-11.34</v>
      </c>
      <c r="AO1005">
        <v>8.32</v>
      </c>
      <c r="AP1005">
        <v>-24.83</v>
      </c>
    </row>
    <row r="1006" spans="1:42">
      <c r="A1006">
        <v>1005</v>
      </c>
      <c r="B1006" t="str">
        <f>"600877"</f>
        <v>600877</v>
      </c>
      <c r="C1006" t="s">
        <v>6888</v>
      </c>
      <c r="D1006">
        <v>15.09</v>
      </c>
      <c r="E1006">
        <v>2.1</v>
      </c>
      <c r="F1006">
        <v>0.31</v>
      </c>
      <c r="G1006" t="s">
        <v>4247</v>
      </c>
      <c r="H1006">
        <v>3933</v>
      </c>
      <c r="I1006">
        <v>15.08</v>
      </c>
      <c r="J1006">
        <v>15.09</v>
      </c>
      <c r="K1006" t="s">
        <v>6882</v>
      </c>
      <c r="L1006">
        <v>1.46</v>
      </c>
      <c r="M1006" t="s">
        <v>46</v>
      </c>
      <c r="N1006" t="s">
        <v>6889</v>
      </c>
      <c r="O1006">
        <v>15.11</v>
      </c>
      <c r="P1006">
        <v>14.71</v>
      </c>
      <c r="Q1006">
        <v>14.8</v>
      </c>
      <c r="R1006">
        <v>14.78</v>
      </c>
      <c r="S1006">
        <v>2.71</v>
      </c>
      <c r="T1006">
        <v>0.63</v>
      </c>
      <c r="U1006">
        <v>-35.03</v>
      </c>
      <c r="V1006">
        <v>-2937</v>
      </c>
      <c r="W1006">
        <v>14.91</v>
      </c>
      <c r="X1006" t="s">
        <v>6890</v>
      </c>
      <c r="Y1006" t="s">
        <v>6891</v>
      </c>
      <c r="Z1006">
        <v>0.67</v>
      </c>
      <c r="AA1006">
        <v>1043</v>
      </c>
      <c r="AB1006">
        <v>2349</v>
      </c>
      <c r="AC1006">
        <v>7.9</v>
      </c>
      <c r="AD1006" t="s">
        <v>857</v>
      </c>
      <c r="AE1006" t="s">
        <v>6892</v>
      </c>
      <c r="AF1006" t="s">
        <v>6893</v>
      </c>
      <c r="AG1006" t="s">
        <v>6623</v>
      </c>
      <c r="AH1006">
        <v>-1.18</v>
      </c>
      <c r="AI1006">
        <v>1.55</v>
      </c>
      <c r="AJ1006">
        <v>5.12</v>
      </c>
      <c r="AK1006">
        <v>13.1</v>
      </c>
      <c r="AL1006">
        <v>1</v>
      </c>
      <c r="AM1006">
        <v>2.1</v>
      </c>
      <c r="AN1006">
        <v>10.47</v>
      </c>
      <c r="AO1006">
        <v>6.57</v>
      </c>
      <c r="AP1006">
        <v>-1.57</v>
      </c>
    </row>
    <row r="1007" spans="1:42">
      <c r="A1007">
        <v>1006</v>
      </c>
      <c r="B1007" t="str">
        <f>"600096"</f>
        <v>600096</v>
      </c>
      <c r="C1007" t="s">
        <v>6894</v>
      </c>
      <c r="D1007">
        <v>15.71</v>
      </c>
      <c r="E1007">
        <v>-0.06</v>
      </c>
      <c r="F1007">
        <v>-0.01</v>
      </c>
      <c r="G1007" t="s">
        <v>446</v>
      </c>
      <c r="H1007">
        <v>1373</v>
      </c>
      <c r="I1007">
        <v>15.71</v>
      </c>
      <c r="J1007">
        <v>15.72</v>
      </c>
      <c r="K1007" t="s">
        <v>6882</v>
      </c>
      <c r="L1007">
        <v>0.74</v>
      </c>
      <c r="M1007" t="s">
        <v>46</v>
      </c>
      <c r="N1007" t="s">
        <v>6895</v>
      </c>
      <c r="O1007">
        <v>15.78</v>
      </c>
      <c r="P1007">
        <v>15.53</v>
      </c>
      <c r="Q1007">
        <v>15.72</v>
      </c>
      <c r="R1007">
        <v>15.72</v>
      </c>
      <c r="S1007">
        <v>1.59</v>
      </c>
      <c r="T1007">
        <v>1.29</v>
      </c>
      <c r="U1007">
        <v>-2.67</v>
      </c>
      <c r="V1007">
        <v>-115</v>
      </c>
      <c r="W1007">
        <v>15.66</v>
      </c>
      <c r="X1007" t="s">
        <v>6896</v>
      </c>
      <c r="Y1007" t="s">
        <v>3030</v>
      </c>
      <c r="Z1007">
        <v>1.2</v>
      </c>
      <c r="AA1007">
        <v>439</v>
      </c>
      <c r="AB1007">
        <v>312</v>
      </c>
      <c r="AC1007">
        <v>1.59</v>
      </c>
      <c r="AD1007" t="s">
        <v>6897</v>
      </c>
      <c r="AE1007" t="s">
        <v>6898</v>
      </c>
      <c r="AF1007" t="s">
        <v>6899</v>
      </c>
      <c r="AG1007" t="s">
        <v>6900</v>
      </c>
      <c r="AH1007">
        <v>-1.63</v>
      </c>
      <c r="AI1007">
        <v>-2.96</v>
      </c>
      <c r="AJ1007">
        <v>1.91</v>
      </c>
      <c r="AK1007">
        <v>3.59</v>
      </c>
      <c r="AL1007">
        <v>-3</v>
      </c>
      <c r="AM1007">
        <v>-0.06</v>
      </c>
      <c r="AN1007">
        <v>-21.61</v>
      </c>
      <c r="AO1007">
        <v>-6.38</v>
      </c>
      <c r="AP1007">
        <v>-17.96</v>
      </c>
    </row>
    <row r="1008" spans="1:42">
      <c r="A1008">
        <v>1007</v>
      </c>
      <c r="B1008" t="str">
        <f>"300588"</f>
        <v>300588</v>
      </c>
      <c r="C1008" t="s">
        <v>6901</v>
      </c>
      <c r="D1008">
        <v>13.61</v>
      </c>
      <c r="E1008">
        <v>5.83</v>
      </c>
      <c r="F1008">
        <v>0.75</v>
      </c>
      <c r="G1008" t="s">
        <v>2222</v>
      </c>
      <c r="H1008">
        <v>1955</v>
      </c>
      <c r="I1008">
        <v>13.6</v>
      </c>
      <c r="J1008">
        <v>13.61</v>
      </c>
      <c r="K1008" t="s">
        <v>6882</v>
      </c>
      <c r="L1008">
        <v>10.41</v>
      </c>
      <c r="M1008" t="s">
        <v>46</v>
      </c>
      <c r="N1008" t="s">
        <v>6902</v>
      </c>
      <c r="O1008">
        <v>13.62</v>
      </c>
      <c r="P1008">
        <v>12.85</v>
      </c>
      <c r="Q1008">
        <v>12.86</v>
      </c>
      <c r="R1008">
        <v>12.86</v>
      </c>
      <c r="S1008">
        <v>5.99</v>
      </c>
      <c r="T1008">
        <v>1.14</v>
      </c>
      <c r="U1008">
        <v>-40.24</v>
      </c>
      <c r="V1008">
        <v>-1698</v>
      </c>
      <c r="W1008">
        <v>13.34</v>
      </c>
      <c r="X1008" t="s">
        <v>6903</v>
      </c>
      <c r="Y1008" t="s">
        <v>6904</v>
      </c>
      <c r="Z1008">
        <v>0.74</v>
      </c>
      <c r="AA1008">
        <v>84</v>
      </c>
      <c r="AB1008">
        <v>1338</v>
      </c>
      <c r="AC1008">
        <v>6.71</v>
      </c>
      <c r="AD1008" t="s">
        <v>6905</v>
      </c>
      <c r="AE1008" t="s">
        <v>6906</v>
      </c>
      <c r="AF1008" t="s">
        <v>6907</v>
      </c>
      <c r="AG1008" t="s">
        <v>6908</v>
      </c>
      <c r="AH1008">
        <v>0</v>
      </c>
      <c r="AI1008">
        <v>0.67</v>
      </c>
      <c r="AJ1008">
        <v>23.56</v>
      </c>
      <c r="AK1008">
        <v>56.19</v>
      </c>
      <c r="AL1008">
        <v>1</v>
      </c>
      <c r="AM1008">
        <v>5.83</v>
      </c>
      <c r="AN1008">
        <v>47.77</v>
      </c>
      <c r="AO1008">
        <v>11.56</v>
      </c>
      <c r="AP1008">
        <v>26.49</v>
      </c>
    </row>
    <row r="1009" spans="1:42">
      <c r="A1009">
        <v>1008</v>
      </c>
      <c r="B1009" t="str">
        <f>"002727"</f>
        <v>002727</v>
      </c>
      <c r="C1009" t="s">
        <v>6909</v>
      </c>
      <c r="D1009">
        <v>25.42</v>
      </c>
      <c r="E1009">
        <v>-0.47</v>
      </c>
      <c r="F1009">
        <v>-0.12</v>
      </c>
      <c r="G1009" t="s">
        <v>6910</v>
      </c>
      <c r="H1009">
        <v>1194</v>
      </c>
      <c r="I1009">
        <v>25.4</v>
      </c>
      <c r="J1009">
        <v>25.42</v>
      </c>
      <c r="K1009" t="s">
        <v>6911</v>
      </c>
      <c r="L1009">
        <v>1.98</v>
      </c>
      <c r="M1009" t="s">
        <v>46</v>
      </c>
      <c r="N1009" t="s">
        <v>271</v>
      </c>
      <c r="O1009">
        <v>25.65</v>
      </c>
      <c r="P1009">
        <v>25.12</v>
      </c>
      <c r="Q1009">
        <v>25.48</v>
      </c>
      <c r="R1009">
        <v>25.54</v>
      </c>
      <c r="S1009">
        <v>2.08</v>
      </c>
      <c r="T1009">
        <v>0.55</v>
      </c>
      <c r="U1009">
        <v>-49.92</v>
      </c>
      <c r="V1009">
        <v>-636</v>
      </c>
      <c r="W1009">
        <v>25.29</v>
      </c>
      <c r="X1009" t="s">
        <v>5785</v>
      </c>
      <c r="Y1009" t="s">
        <v>6912</v>
      </c>
      <c r="Z1009">
        <v>1.17</v>
      </c>
      <c r="AA1009">
        <v>10</v>
      </c>
      <c r="AB1009">
        <v>59</v>
      </c>
      <c r="AC1009">
        <v>1.93</v>
      </c>
      <c r="AD1009" t="s">
        <v>6913</v>
      </c>
      <c r="AE1009" t="s">
        <v>6914</v>
      </c>
      <c r="AF1009" t="s">
        <v>5024</v>
      </c>
      <c r="AG1009" t="s">
        <v>1058</v>
      </c>
      <c r="AH1009">
        <v>-1.85</v>
      </c>
      <c r="AI1009">
        <v>1.88</v>
      </c>
      <c r="AJ1009">
        <v>7.17</v>
      </c>
      <c r="AK1009">
        <v>19.95</v>
      </c>
      <c r="AL1009">
        <v>-1</v>
      </c>
      <c r="AM1009">
        <v>-0.47</v>
      </c>
      <c r="AN1009">
        <v>-18.29</v>
      </c>
      <c r="AO1009">
        <v>13.28</v>
      </c>
      <c r="AP1009">
        <v>-18.79</v>
      </c>
    </row>
    <row r="1010" spans="1:42">
      <c r="A1010">
        <v>1009</v>
      </c>
      <c r="B1010" t="str">
        <f>"301067"</f>
        <v>301067</v>
      </c>
      <c r="C1010" t="s">
        <v>6915</v>
      </c>
      <c r="D1010">
        <v>30.3</v>
      </c>
      <c r="E1010">
        <v>2.02</v>
      </c>
      <c r="F1010">
        <v>0.6</v>
      </c>
      <c r="G1010" t="s">
        <v>2168</v>
      </c>
      <c r="H1010">
        <v>1072</v>
      </c>
      <c r="I1010">
        <v>30.29</v>
      </c>
      <c r="J1010">
        <v>30.3</v>
      </c>
      <c r="K1010" t="s">
        <v>6911</v>
      </c>
      <c r="L1010">
        <v>14.91</v>
      </c>
      <c r="M1010" t="s">
        <v>46</v>
      </c>
      <c r="N1010" t="s">
        <v>6916</v>
      </c>
      <c r="O1010">
        <v>30.45</v>
      </c>
      <c r="P1010">
        <v>28.65</v>
      </c>
      <c r="Q1010">
        <v>28.65</v>
      </c>
      <c r="R1010">
        <v>29.7</v>
      </c>
      <c r="S1010">
        <v>6.06</v>
      </c>
      <c r="T1010">
        <v>0.78</v>
      </c>
      <c r="U1010">
        <v>-77.83</v>
      </c>
      <c r="V1010">
        <v>-1116</v>
      </c>
      <c r="W1010">
        <v>29.71</v>
      </c>
      <c r="X1010" t="s">
        <v>1687</v>
      </c>
      <c r="Y1010" t="s">
        <v>4970</v>
      </c>
      <c r="Z1010">
        <v>0.98</v>
      </c>
      <c r="AA1010">
        <v>41</v>
      </c>
      <c r="AB1010">
        <v>355</v>
      </c>
      <c r="AC1010">
        <v>3.48</v>
      </c>
      <c r="AD1010" t="s">
        <v>6917</v>
      </c>
      <c r="AE1010" t="s">
        <v>6918</v>
      </c>
      <c r="AF1010" t="s">
        <v>6919</v>
      </c>
      <c r="AG1010" t="s">
        <v>6920</v>
      </c>
      <c r="AH1010">
        <v>4.92</v>
      </c>
      <c r="AI1010">
        <v>14.34</v>
      </c>
      <c r="AJ1010">
        <v>54.65</v>
      </c>
      <c r="AK1010">
        <v>110.43</v>
      </c>
      <c r="AL1010">
        <v>2</v>
      </c>
      <c r="AM1010">
        <v>2.02</v>
      </c>
      <c r="AN1010">
        <v>51.73</v>
      </c>
      <c r="AO1010">
        <v>25.47</v>
      </c>
      <c r="AP1010">
        <v>27.96</v>
      </c>
    </row>
    <row r="1011" spans="1:42">
      <c r="A1011">
        <v>1010</v>
      </c>
      <c r="B1011" t="str">
        <f>"000818"</f>
        <v>000818</v>
      </c>
      <c r="C1011" t="s">
        <v>6921</v>
      </c>
      <c r="D1011">
        <v>34.4</v>
      </c>
      <c r="E1011">
        <v>0.41</v>
      </c>
      <c r="F1011">
        <v>0.14</v>
      </c>
      <c r="G1011" t="s">
        <v>1577</v>
      </c>
      <c r="H1011">
        <v>1359</v>
      </c>
      <c r="I1011">
        <v>34.39</v>
      </c>
      <c r="J1011">
        <v>34.4</v>
      </c>
      <c r="K1011" t="s">
        <v>6911</v>
      </c>
      <c r="L1011">
        <v>0.86</v>
      </c>
      <c r="M1011" t="s">
        <v>46</v>
      </c>
      <c r="N1011" t="s">
        <v>6922</v>
      </c>
      <c r="O1011">
        <v>34.63</v>
      </c>
      <c r="P1011">
        <v>33.96</v>
      </c>
      <c r="Q1011">
        <v>34.53</v>
      </c>
      <c r="R1011">
        <v>34.26</v>
      </c>
      <c r="S1011">
        <v>1.96</v>
      </c>
      <c r="T1011">
        <v>0.47</v>
      </c>
      <c r="U1011">
        <v>-60.69</v>
      </c>
      <c r="V1011">
        <v>-553</v>
      </c>
      <c r="W1011">
        <v>34.32</v>
      </c>
      <c r="X1011" t="s">
        <v>2388</v>
      </c>
      <c r="Y1011" t="s">
        <v>5266</v>
      </c>
      <c r="Z1011">
        <v>0.87</v>
      </c>
      <c r="AA1011">
        <v>95</v>
      </c>
      <c r="AB1011">
        <v>28</v>
      </c>
      <c r="AC1011">
        <v>6.38</v>
      </c>
      <c r="AD1011" t="s">
        <v>4771</v>
      </c>
      <c r="AE1011" t="s">
        <v>5807</v>
      </c>
      <c r="AF1011" t="s">
        <v>6923</v>
      </c>
      <c r="AG1011" t="s">
        <v>6924</v>
      </c>
      <c r="AH1011">
        <v>-2.6</v>
      </c>
      <c r="AI1011">
        <v>-8.78</v>
      </c>
      <c r="AJ1011">
        <v>3.6</v>
      </c>
      <c r="AK1011">
        <v>9.93</v>
      </c>
      <c r="AL1011">
        <v>1</v>
      </c>
      <c r="AM1011">
        <v>0.41</v>
      </c>
      <c r="AN1011">
        <v>26.05</v>
      </c>
      <c r="AO1011">
        <v>-4.84</v>
      </c>
      <c r="AP1011">
        <v>23.47</v>
      </c>
    </row>
    <row r="1012" spans="1:42">
      <c r="A1012">
        <v>1011</v>
      </c>
      <c r="B1012" t="str">
        <f>"603803"</f>
        <v>603803</v>
      </c>
      <c r="C1012" t="s">
        <v>6925</v>
      </c>
      <c r="D1012">
        <v>9.1</v>
      </c>
      <c r="E1012">
        <v>0.33</v>
      </c>
      <c r="F1012">
        <v>0.03</v>
      </c>
      <c r="G1012" t="s">
        <v>1447</v>
      </c>
      <c r="H1012">
        <v>3333</v>
      </c>
      <c r="I1012">
        <v>9.09</v>
      </c>
      <c r="J1012">
        <v>9.1</v>
      </c>
      <c r="K1012" t="s">
        <v>6911</v>
      </c>
      <c r="L1012">
        <v>5.2</v>
      </c>
      <c r="M1012" t="s">
        <v>46</v>
      </c>
      <c r="N1012" t="s">
        <v>1729</v>
      </c>
      <c r="O1012">
        <v>9.2</v>
      </c>
      <c r="P1012">
        <v>8.75</v>
      </c>
      <c r="Q1012">
        <v>9.1</v>
      </c>
      <c r="R1012">
        <v>9.07</v>
      </c>
      <c r="S1012">
        <v>4.96</v>
      </c>
      <c r="T1012">
        <v>1.43</v>
      </c>
      <c r="U1012">
        <v>6.44</v>
      </c>
      <c r="V1012">
        <v>419</v>
      </c>
      <c r="W1012">
        <v>9.03</v>
      </c>
      <c r="X1012" t="s">
        <v>1438</v>
      </c>
      <c r="Y1012" t="s">
        <v>829</v>
      </c>
      <c r="Z1012">
        <v>1</v>
      </c>
      <c r="AA1012">
        <v>504</v>
      </c>
      <c r="AB1012">
        <v>161</v>
      </c>
      <c r="AC1012">
        <v>2.1</v>
      </c>
      <c r="AD1012" t="s">
        <v>6926</v>
      </c>
      <c r="AE1012" t="s">
        <v>6927</v>
      </c>
      <c r="AF1012" t="s">
        <v>2894</v>
      </c>
      <c r="AG1012" t="s">
        <v>6928</v>
      </c>
      <c r="AH1012">
        <v>4.48</v>
      </c>
      <c r="AI1012">
        <v>4</v>
      </c>
      <c r="AJ1012">
        <v>17.66</v>
      </c>
      <c r="AK1012">
        <v>23.36</v>
      </c>
      <c r="AL1012">
        <v>5</v>
      </c>
      <c r="AM1012">
        <v>0.33</v>
      </c>
      <c r="AN1012">
        <v>52.68</v>
      </c>
      <c r="AO1012">
        <v>5.32</v>
      </c>
      <c r="AP1012">
        <v>31.69</v>
      </c>
    </row>
    <row r="1013" spans="1:42">
      <c r="A1013">
        <v>1012</v>
      </c>
      <c r="B1013" t="str">
        <f>"600750"</f>
        <v>600750</v>
      </c>
      <c r="C1013" t="s">
        <v>6929</v>
      </c>
      <c r="D1013">
        <v>22.24</v>
      </c>
      <c r="E1013">
        <v>1.28</v>
      </c>
      <c r="F1013">
        <v>0.28</v>
      </c>
      <c r="G1013" t="s">
        <v>6930</v>
      </c>
      <c r="H1013">
        <v>1169</v>
      </c>
      <c r="I1013">
        <v>22.23</v>
      </c>
      <c r="J1013">
        <v>22.24</v>
      </c>
      <c r="K1013" t="s">
        <v>6911</v>
      </c>
      <c r="L1013">
        <v>1.44</v>
      </c>
      <c r="M1013" t="s">
        <v>46</v>
      </c>
      <c r="N1013" t="s">
        <v>6112</v>
      </c>
      <c r="O1013">
        <v>22.48</v>
      </c>
      <c r="P1013">
        <v>21.85</v>
      </c>
      <c r="Q1013">
        <v>21.96</v>
      </c>
      <c r="R1013">
        <v>21.96</v>
      </c>
      <c r="S1013">
        <v>2.87</v>
      </c>
      <c r="T1013">
        <v>0.92</v>
      </c>
      <c r="U1013">
        <v>-23.15</v>
      </c>
      <c r="V1013">
        <v>-240</v>
      </c>
      <c r="W1013">
        <v>22.11</v>
      </c>
      <c r="X1013" t="s">
        <v>2300</v>
      </c>
      <c r="Y1013" t="s">
        <v>1165</v>
      </c>
      <c r="Z1013">
        <v>1.04</v>
      </c>
      <c r="AA1013">
        <v>257</v>
      </c>
      <c r="AB1013">
        <v>54</v>
      </c>
      <c r="AC1013">
        <v>3.78</v>
      </c>
      <c r="AD1013" t="s">
        <v>6931</v>
      </c>
      <c r="AE1013" t="s">
        <v>6932</v>
      </c>
      <c r="AF1013" t="s">
        <v>4709</v>
      </c>
      <c r="AG1013" t="s">
        <v>6623</v>
      </c>
      <c r="AH1013">
        <v>2.54</v>
      </c>
      <c r="AI1013">
        <v>7.44</v>
      </c>
      <c r="AJ1013">
        <v>4.82</v>
      </c>
      <c r="AK1013">
        <v>9.32</v>
      </c>
      <c r="AL1013">
        <v>4</v>
      </c>
      <c r="AM1013">
        <v>1.28</v>
      </c>
      <c r="AN1013">
        <v>68.48</v>
      </c>
      <c r="AO1013">
        <v>15.83</v>
      </c>
      <c r="AP1013">
        <v>55.52</v>
      </c>
    </row>
    <row r="1014" spans="1:42">
      <c r="A1014">
        <v>1013</v>
      </c>
      <c r="B1014" t="str">
        <f>"603037"</f>
        <v>603037</v>
      </c>
      <c r="C1014" t="s">
        <v>6933</v>
      </c>
      <c r="D1014">
        <v>23.21</v>
      </c>
      <c r="E1014">
        <v>0.56</v>
      </c>
      <c r="F1014">
        <v>0.13</v>
      </c>
      <c r="G1014" t="s">
        <v>6934</v>
      </c>
      <c r="H1014">
        <v>1909</v>
      </c>
      <c r="I1014">
        <v>23.21</v>
      </c>
      <c r="J1014">
        <v>23.22</v>
      </c>
      <c r="K1014" t="s">
        <v>6911</v>
      </c>
      <c r="L1014">
        <v>6.36</v>
      </c>
      <c r="M1014" t="s">
        <v>46</v>
      </c>
      <c r="N1014" t="s">
        <v>6935</v>
      </c>
      <c r="O1014">
        <v>23.68</v>
      </c>
      <c r="P1014">
        <v>22.65</v>
      </c>
      <c r="Q1014">
        <v>23.26</v>
      </c>
      <c r="R1014">
        <v>23.08</v>
      </c>
      <c r="S1014">
        <v>4.46</v>
      </c>
      <c r="T1014">
        <v>0.58</v>
      </c>
      <c r="U1014">
        <v>-55.95</v>
      </c>
      <c r="V1014">
        <v>-630</v>
      </c>
      <c r="W1014">
        <v>23.12</v>
      </c>
      <c r="X1014" t="s">
        <v>5644</v>
      </c>
      <c r="Y1014" t="s">
        <v>5692</v>
      </c>
      <c r="Z1014">
        <v>1.17</v>
      </c>
      <c r="AA1014">
        <v>35</v>
      </c>
      <c r="AB1014">
        <v>145</v>
      </c>
      <c r="AC1014">
        <v>3.64</v>
      </c>
      <c r="AD1014" t="s">
        <v>6936</v>
      </c>
      <c r="AE1014" t="s">
        <v>6937</v>
      </c>
      <c r="AF1014" t="s">
        <v>6938</v>
      </c>
      <c r="AG1014" t="s">
        <v>6939</v>
      </c>
      <c r="AH1014">
        <v>-7.79</v>
      </c>
      <c r="AI1014">
        <v>-2.6</v>
      </c>
      <c r="AJ1014">
        <v>30.62</v>
      </c>
      <c r="AK1014">
        <v>61.27</v>
      </c>
      <c r="AL1014">
        <v>1</v>
      </c>
      <c r="AM1014">
        <v>0.56</v>
      </c>
      <c r="AN1014">
        <v>94.88</v>
      </c>
      <c r="AO1014">
        <v>19.64</v>
      </c>
      <c r="AP1014">
        <v>85.68</v>
      </c>
    </row>
    <row r="1015" spans="1:42">
      <c r="A1015">
        <v>1014</v>
      </c>
      <c r="B1015" t="str">
        <f>"002122"</f>
        <v>002122</v>
      </c>
      <c r="C1015" t="s">
        <v>6940</v>
      </c>
      <c r="D1015">
        <v>4.03</v>
      </c>
      <c r="E1015">
        <v>2.03</v>
      </c>
      <c r="F1015">
        <v>0.08</v>
      </c>
      <c r="G1015" t="s">
        <v>4004</v>
      </c>
      <c r="H1015">
        <v>4962</v>
      </c>
      <c r="I1015">
        <v>4.03</v>
      </c>
      <c r="J1015">
        <v>4.04</v>
      </c>
      <c r="K1015" t="s">
        <v>6911</v>
      </c>
      <c r="L1015">
        <v>2.5</v>
      </c>
      <c r="M1015" t="s">
        <v>46</v>
      </c>
      <c r="N1015" t="s">
        <v>2195</v>
      </c>
      <c r="O1015">
        <v>4.07</v>
      </c>
      <c r="P1015">
        <v>3.95</v>
      </c>
      <c r="Q1015">
        <v>3.97</v>
      </c>
      <c r="R1015">
        <v>3.95</v>
      </c>
      <c r="S1015">
        <v>3.04</v>
      </c>
      <c r="T1015">
        <v>1.62</v>
      </c>
      <c r="U1015">
        <v>-24.31</v>
      </c>
      <c r="V1015" t="s">
        <v>6941</v>
      </c>
      <c r="W1015">
        <v>4.01</v>
      </c>
      <c r="X1015" t="s">
        <v>259</v>
      </c>
      <c r="Y1015" t="s">
        <v>1347</v>
      </c>
      <c r="Z1015">
        <v>0.97</v>
      </c>
      <c r="AA1015">
        <v>591</v>
      </c>
      <c r="AB1015">
        <v>6818</v>
      </c>
      <c r="AC1015">
        <v>3.58</v>
      </c>
      <c r="AD1015" t="s">
        <v>6527</v>
      </c>
      <c r="AE1015" t="s">
        <v>6942</v>
      </c>
      <c r="AF1015" t="s">
        <v>6943</v>
      </c>
      <c r="AG1015" t="s">
        <v>6944</v>
      </c>
      <c r="AH1015">
        <v>0</v>
      </c>
      <c r="AI1015">
        <v>-2.18</v>
      </c>
      <c r="AJ1015">
        <v>5.46</v>
      </c>
      <c r="AK1015">
        <v>10.23</v>
      </c>
      <c r="AL1015">
        <v>1</v>
      </c>
      <c r="AM1015">
        <v>2.03</v>
      </c>
      <c r="AN1015">
        <v>29.17</v>
      </c>
      <c r="AO1015">
        <v>1.51</v>
      </c>
      <c r="AP1015">
        <v>51.5</v>
      </c>
    </row>
    <row r="1016" spans="1:42">
      <c r="A1016">
        <v>1015</v>
      </c>
      <c r="B1016" t="str">
        <f>"688396"</f>
        <v>688396</v>
      </c>
      <c r="C1016" t="s">
        <v>6945</v>
      </c>
      <c r="D1016">
        <v>47.35</v>
      </c>
      <c r="E1016">
        <v>0.83</v>
      </c>
      <c r="F1016">
        <v>0.39</v>
      </c>
      <c r="G1016" t="s">
        <v>6408</v>
      </c>
      <c r="H1016">
        <v>309</v>
      </c>
      <c r="I1016">
        <v>47.35</v>
      </c>
      <c r="J1016">
        <v>47.36</v>
      </c>
      <c r="K1016" t="s">
        <v>6946</v>
      </c>
      <c r="L1016">
        <v>0.32</v>
      </c>
      <c r="M1016" t="s">
        <v>46</v>
      </c>
      <c r="N1016" t="s">
        <v>6802</v>
      </c>
      <c r="O1016">
        <v>47.64</v>
      </c>
      <c r="P1016">
        <v>46.32</v>
      </c>
      <c r="Q1016">
        <v>46.9</v>
      </c>
      <c r="R1016">
        <v>46.96</v>
      </c>
      <c r="S1016">
        <v>2.81</v>
      </c>
      <c r="T1016">
        <v>0.92</v>
      </c>
      <c r="U1016">
        <v>82.02</v>
      </c>
      <c r="V1016">
        <v>460</v>
      </c>
      <c r="W1016">
        <v>47.02</v>
      </c>
      <c r="X1016" t="s">
        <v>5620</v>
      </c>
      <c r="Y1016" t="s">
        <v>882</v>
      </c>
      <c r="Z1016">
        <v>1.21</v>
      </c>
      <c r="AA1016">
        <v>80</v>
      </c>
      <c r="AB1016">
        <v>6</v>
      </c>
      <c r="AC1016">
        <v>2.99</v>
      </c>
      <c r="AD1016" t="s">
        <v>1923</v>
      </c>
      <c r="AE1016" t="s">
        <v>6947</v>
      </c>
      <c r="AF1016" t="s">
        <v>1923</v>
      </c>
      <c r="AG1016" t="s">
        <v>6947</v>
      </c>
      <c r="AH1016">
        <v>-5.86</v>
      </c>
      <c r="AI1016">
        <v>-9.83</v>
      </c>
      <c r="AJ1016">
        <v>1.28</v>
      </c>
      <c r="AK1016">
        <v>2.06</v>
      </c>
      <c r="AL1016">
        <v>1</v>
      </c>
      <c r="AM1016">
        <v>0.83</v>
      </c>
      <c r="AN1016">
        <v>-9.72</v>
      </c>
      <c r="AO1016">
        <v>-12.7</v>
      </c>
      <c r="AP1016">
        <v>-10.83</v>
      </c>
    </row>
    <row r="1017" spans="1:42">
      <c r="A1017">
        <v>1016</v>
      </c>
      <c r="B1017" t="str">
        <f>"600000"</f>
        <v>600000</v>
      </c>
      <c r="C1017" t="s">
        <v>6948</v>
      </c>
      <c r="D1017">
        <v>6.85</v>
      </c>
      <c r="E1017">
        <v>0</v>
      </c>
      <c r="F1017">
        <v>0</v>
      </c>
      <c r="G1017" t="s">
        <v>956</v>
      </c>
      <c r="H1017">
        <v>5697</v>
      </c>
      <c r="I1017">
        <v>6.85</v>
      </c>
      <c r="J1017">
        <v>6.86</v>
      </c>
      <c r="K1017" t="s">
        <v>6946</v>
      </c>
      <c r="L1017">
        <v>0.1</v>
      </c>
      <c r="M1017" t="s">
        <v>46</v>
      </c>
      <c r="N1017" t="s">
        <v>6949</v>
      </c>
      <c r="O1017">
        <v>6.9</v>
      </c>
      <c r="P1017">
        <v>6.82</v>
      </c>
      <c r="Q1017">
        <v>6.85</v>
      </c>
      <c r="R1017">
        <v>6.85</v>
      </c>
      <c r="S1017">
        <v>1.17</v>
      </c>
      <c r="T1017">
        <v>1.19</v>
      </c>
      <c r="U1017">
        <v>-24.69</v>
      </c>
      <c r="V1017">
        <v>-8344</v>
      </c>
      <c r="W1017">
        <v>6.87</v>
      </c>
      <c r="X1017" t="s">
        <v>4247</v>
      </c>
      <c r="Y1017" t="s">
        <v>562</v>
      </c>
      <c r="Z1017">
        <v>0.87</v>
      </c>
      <c r="AA1017">
        <v>1626</v>
      </c>
      <c r="AB1017">
        <v>12</v>
      </c>
      <c r="AC1017">
        <v>0.33</v>
      </c>
      <c r="AD1017" t="s">
        <v>6950</v>
      </c>
      <c r="AE1017" t="s">
        <v>6951</v>
      </c>
      <c r="AF1017" t="s">
        <v>6950</v>
      </c>
      <c r="AG1017" t="s">
        <v>6951</v>
      </c>
      <c r="AH1017">
        <v>-0.29</v>
      </c>
      <c r="AI1017">
        <v>-1.15</v>
      </c>
      <c r="AJ1017">
        <v>0.3</v>
      </c>
      <c r="AK1017">
        <v>0.51</v>
      </c>
      <c r="AL1017">
        <v>0</v>
      </c>
      <c r="AM1017">
        <v>0</v>
      </c>
      <c r="AN1017">
        <v>-1.58</v>
      </c>
      <c r="AO1017">
        <v>-0.58</v>
      </c>
      <c r="AP1017">
        <v>2.24</v>
      </c>
    </row>
    <row r="1018" spans="1:42">
      <c r="A1018">
        <v>1017</v>
      </c>
      <c r="B1018" t="str">
        <f>"688733"</f>
        <v>688733</v>
      </c>
      <c r="C1018" t="s">
        <v>6952</v>
      </c>
      <c r="D1018">
        <v>32.34</v>
      </c>
      <c r="E1018">
        <v>2.86</v>
      </c>
      <c r="F1018">
        <v>0.9</v>
      </c>
      <c r="G1018" t="s">
        <v>6953</v>
      </c>
      <c r="H1018">
        <v>722</v>
      </c>
      <c r="I1018">
        <v>32.33</v>
      </c>
      <c r="J1018">
        <v>32.34</v>
      </c>
      <c r="K1018" t="s">
        <v>6946</v>
      </c>
      <c r="L1018">
        <v>4.36</v>
      </c>
      <c r="M1018" t="s">
        <v>46</v>
      </c>
      <c r="N1018" t="s">
        <v>4181</v>
      </c>
      <c r="O1018">
        <v>32.45</v>
      </c>
      <c r="P1018">
        <v>30.8</v>
      </c>
      <c r="Q1018">
        <v>31.44</v>
      </c>
      <c r="R1018">
        <v>31.44</v>
      </c>
      <c r="S1018">
        <v>5.25</v>
      </c>
      <c r="T1018">
        <v>0.79</v>
      </c>
      <c r="U1018">
        <v>36.46</v>
      </c>
      <c r="V1018">
        <v>99</v>
      </c>
      <c r="W1018">
        <v>31.67</v>
      </c>
      <c r="X1018" t="s">
        <v>6954</v>
      </c>
      <c r="Y1018" t="s">
        <v>1559</v>
      </c>
      <c r="Z1018">
        <v>0.69</v>
      </c>
      <c r="AA1018">
        <v>10</v>
      </c>
      <c r="AB1018">
        <v>12</v>
      </c>
      <c r="AC1018">
        <v>2.89</v>
      </c>
      <c r="AD1018" t="s">
        <v>6955</v>
      </c>
      <c r="AE1018" t="s">
        <v>6956</v>
      </c>
      <c r="AF1018" t="s">
        <v>6957</v>
      </c>
      <c r="AG1018" t="s">
        <v>6958</v>
      </c>
      <c r="AH1018">
        <v>-2.33</v>
      </c>
      <c r="AI1018">
        <v>-3.17</v>
      </c>
      <c r="AJ1018">
        <v>13.86</v>
      </c>
      <c r="AK1018">
        <v>31.88</v>
      </c>
      <c r="AL1018">
        <v>1</v>
      </c>
      <c r="AM1018">
        <v>2.86</v>
      </c>
      <c r="AN1018">
        <v>-13.69</v>
      </c>
      <c r="AO1018">
        <v>33.86</v>
      </c>
      <c r="AP1018">
        <v>-24.28</v>
      </c>
    </row>
    <row r="1019" spans="1:42">
      <c r="A1019">
        <v>1018</v>
      </c>
      <c r="B1019" t="str">
        <f>"000815"</f>
        <v>000815</v>
      </c>
      <c r="C1019" t="s">
        <v>6959</v>
      </c>
      <c r="D1019">
        <v>11.79</v>
      </c>
      <c r="E1019">
        <v>1.55</v>
      </c>
      <c r="F1019">
        <v>0.18</v>
      </c>
      <c r="G1019" t="s">
        <v>172</v>
      </c>
      <c r="H1019">
        <v>3508</v>
      </c>
      <c r="I1019">
        <v>11.79</v>
      </c>
      <c r="J1019">
        <v>11.8</v>
      </c>
      <c r="K1019" t="s">
        <v>6946</v>
      </c>
      <c r="L1019">
        <v>2.44</v>
      </c>
      <c r="M1019" t="s">
        <v>46</v>
      </c>
      <c r="N1019" t="s">
        <v>1804</v>
      </c>
      <c r="O1019">
        <v>11.8</v>
      </c>
      <c r="P1019">
        <v>11.55</v>
      </c>
      <c r="Q1019">
        <v>11.61</v>
      </c>
      <c r="R1019">
        <v>11.61</v>
      </c>
      <c r="S1019">
        <v>2.15</v>
      </c>
      <c r="T1019">
        <v>0.93</v>
      </c>
      <c r="U1019">
        <v>11.49</v>
      </c>
      <c r="V1019">
        <v>1015</v>
      </c>
      <c r="W1019">
        <v>11.72</v>
      </c>
      <c r="X1019" t="s">
        <v>494</v>
      </c>
      <c r="Y1019" t="s">
        <v>2556</v>
      </c>
      <c r="Z1019">
        <v>0.82</v>
      </c>
      <c r="AA1019">
        <v>764</v>
      </c>
      <c r="AB1019">
        <v>1888</v>
      </c>
      <c r="AC1019">
        <v>4.39</v>
      </c>
      <c r="AD1019" t="s">
        <v>6960</v>
      </c>
      <c r="AE1019" t="s">
        <v>6961</v>
      </c>
      <c r="AF1019" t="s">
        <v>6960</v>
      </c>
      <c r="AG1019" t="s">
        <v>6961</v>
      </c>
      <c r="AH1019">
        <v>0.17</v>
      </c>
      <c r="AI1019">
        <v>-2.72</v>
      </c>
      <c r="AJ1019">
        <v>6.74</v>
      </c>
      <c r="AK1019">
        <v>15.49</v>
      </c>
      <c r="AL1019">
        <v>1</v>
      </c>
      <c r="AM1019">
        <v>1.55</v>
      </c>
      <c r="AN1019">
        <v>-13.18</v>
      </c>
      <c r="AO1019">
        <v>4.06</v>
      </c>
      <c r="AP1019">
        <v>-27.04</v>
      </c>
    </row>
    <row r="1020" spans="1:42">
      <c r="A1020">
        <v>1019</v>
      </c>
      <c r="B1020" t="str">
        <f>"000727"</f>
        <v>000727</v>
      </c>
      <c r="C1020" t="s">
        <v>6962</v>
      </c>
      <c r="D1020">
        <v>2.72</v>
      </c>
      <c r="E1020">
        <v>2.26</v>
      </c>
      <c r="F1020">
        <v>0.06</v>
      </c>
      <c r="G1020" t="s">
        <v>6963</v>
      </c>
      <c r="H1020">
        <v>6423</v>
      </c>
      <c r="I1020">
        <v>2.71</v>
      </c>
      <c r="J1020">
        <v>2.72</v>
      </c>
      <c r="K1020" t="s">
        <v>6946</v>
      </c>
      <c r="L1020">
        <v>2.16</v>
      </c>
      <c r="M1020" t="s">
        <v>46</v>
      </c>
      <c r="N1020" t="s">
        <v>6964</v>
      </c>
      <c r="O1020">
        <v>2.72</v>
      </c>
      <c r="P1020">
        <v>2.64</v>
      </c>
      <c r="Q1020">
        <v>2.66</v>
      </c>
      <c r="R1020">
        <v>2.66</v>
      </c>
      <c r="S1020">
        <v>3.01</v>
      </c>
      <c r="T1020">
        <v>0.97</v>
      </c>
      <c r="U1020">
        <v>-35.97</v>
      </c>
      <c r="V1020" t="s">
        <v>6965</v>
      </c>
      <c r="W1020">
        <v>2.69</v>
      </c>
      <c r="X1020" t="s">
        <v>469</v>
      </c>
      <c r="Y1020" t="s">
        <v>1866</v>
      </c>
      <c r="Z1020">
        <v>0.67</v>
      </c>
      <c r="AA1020">
        <v>6985</v>
      </c>
      <c r="AB1020" t="s">
        <v>3716</v>
      </c>
      <c r="AC1020">
        <v>4.15</v>
      </c>
      <c r="AD1020" t="s">
        <v>473</v>
      </c>
      <c r="AE1020" t="s">
        <v>3929</v>
      </c>
      <c r="AF1020" t="s">
        <v>5003</v>
      </c>
      <c r="AG1020" t="s">
        <v>6966</v>
      </c>
      <c r="AH1020">
        <v>-1.09</v>
      </c>
      <c r="AI1020">
        <v>-3.89</v>
      </c>
      <c r="AJ1020">
        <v>6.18</v>
      </c>
      <c r="AK1020">
        <v>13.33</v>
      </c>
      <c r="AL1020">
        <v>1</v>
      </c>
      <c r="AM1020">
        <v>2.26</v>
      </c>
      <c r="AN1020">
        <v>38.07</v>
      </c>
      <c r="AO1020">
        <v>1.12</v>
      </c>
      <c r="AP1020">
        <v>23.08</v>
      </c>
    </row>
    <row r="1021" spans="1:42">
      <c r="A1021">
        <v>1020</v>
      </c>
      <c r="B1021" t="str">
        <f>"600645"</f>
        <v>600645</v>
      </c>
      <c r="C1021" t="s">
        <v>6967</v>
      </c>
      <c r="D1021">
        <v>20.84</v>
      </c>
      <c r="E1021">
        <v>0.53</v>
      </c>
      <c r="F1021">
        <v>0.11</v>
      </c>
      <c r="G1021" t="s">
        <v>6189</v>
      </c>
      <c r="H1021">
        <v>396</v>
      </c>
      <c r="I1021">
        <v>20.84</v>
      </c>
      <c r="J1021">
        <v>20.85</v>
      </c>
      <c r="K1021" t="s">
        <v>6946</v>
      </c>
      <c r="L1021">
        <v>2.02</v>
      </c>
      <c r="M1021" t="s">
        <v>46</v>
      </c>
      <c r="N1021" t="s">
        <v>1568</v>
      </c>
      <c r="O1021">
        <v>21.43</v>
      </c>
      <c r="P1021">
        <v>20.74</v>
      </c>
      <c r="Q1021">
        <v>20.9</v>
      </c>
      <c r="R1021">
        <v>20.73</v>
      </c>
      <c r="S1021">
        <v>3.33</v>
      </c>
      <c r="T1021">
        <v>1.82</v>
      </c>
      <c r="U1021">
        <v>12.02</v>
      </c>
      <c r="V1021">
        <v>185</v>
      </c>
      <c r="W1021">
        <v>21</v>
      </c>
      <c r="X1021" t="s">
        <v>3737</v>
      </c>
      <c r="Y1021" t="s">
        <v>4827</v>
      </c>
      <c r="Z1021">
        <v>1.07</v>
      </c>
      <c r="AA1021">
        <v>342</v>
      </c>
      <c r="AB1021">
        <v>66</v>
      </c>
      <c r="AC1021">
        <v>2.64</v>
      </c>
      <c r="AD1021" t="s">
        <v>6968</v>
      </c>
      <c r="AE1021" t="s">
        <v>6969</v>
      </c>
      <c r="AF1021" t="s">
        <v>6970</v>
      </c>
      <c r="AG1021" t="s">
        <v>6971</v>
      </c>
      <c r="AH1021">
        <v>0.19</v>
      </c>
      <c r="AI1021">
        <v>-0.24</v>
      </c>
      <c r="AJ1021">
        <v>4.15</v>
      </c>
      <c r="AK1021">
        <v>7.59</v>
      </c>
      <c r="AL1021">
        <v>1</v>
      </c>
      <c r="AM1021">
        <v>0.53</v>
      </c>
      <c r="AN1021">
        <v>22.52</v>
      </c>
      <c r="AO1021">
        <v>0.19</v>
      </c>
      <c r="AP1021">
        <v>10.79</v>
      </c>
    </row>
    <row r="1022" spans="1:42">
      <c r="A1022">
        <v>1021</v>
      </c>
      <c r="B1022" t="str">
        <f>"600468"</f>
        <v>600468</v>
      </c>
      <c r="C1022" t="s">
        <v>6972</v>
      </c>
      <c r="D1022">
        <v>6.05</v>
      </c>
      <c r="E1022">
        <v>-0.49</v>
      </c>
      <c r="F1022">
        <v>-0.03</v>
      </c>
      <c r="G1022" t="s">
        <v>3896</v>
      </c>
      <c r="H1022">
        <v>3833</v>
      </c>
      <c r="I1022">
        <v>6.05</v>
      </c>
      <c r="J1022">
        <v>6.06</v>
      </c>
      <c r="K1022" t="s">
        <v>4095</v>
      </c>
      <c r="L1022">
        <v>3.03</v>
      </c>
      <c r="M1022" t="s">
        <v>46</v>
      </c>
      <c r="N1022" t="s">
        <v>3203</v>
      </c>
      <c r="O1022">
        <v>6.14</v>
      </c>
      <c r="P1022">
        <v>5.94</v>
      </c>
      <c r="Q1022">
        <v>6.03</v>
      </c>
      <c r="R1022">
        <v>6.08</v>
      </c>
      <c r="S1022">
        <v>3.29</v>
      </c>
      <c r="T1022">
        <v>0.71</v>
      </c>
      <c r="U1022">
        <v>-24.5</v>
      </c>
      <c r="V1022">
        <v>-4753</v>
      </c>
      <c r="W1022">
        <v>6.03</v>
      </c>
      <c r="X1022" t="s">
        <v>1960</v>
      </c>
      <c r="Y1022" t="s">
        <v>1207</v>
      </c>
      <c r="Z1022">
        <v>1.37</v>
      </c>
      <c r="AA1022">
        <v>2427</v>
      </c>
      <c r="AB1022">
        <v>964</v>
      </c>
      <c r="AC1022">
        <v>3.25</v>
      </c>
      <c r="AD1022" t="s">
        <v>5100</v>
      </c>
      <c r="AE1022" t="s">
        <v>6973</v>
      </c>
      <c r="AF1022" t="s">
        <v>5100</v>
      </c>
      <c r="AG1022" t="s">
        <v>6973</v>
      </c>
      <c r="AH1022">
        <v>1.17</v>
      </c>
      <c r="AI1022">
        <v>-2.1</v>
      </c>
      <c r="AJ1022">
        <v>11.64</v>
      </c>
      <c r="AK1022">
        <v>24.29</v>
      </c>
      <c r="AL1022">
        <v>-1</v>
      </c>
      <c r="AM1022">
        <v>-0.49</v>
      </c>
      <c r="AN1022">
        <v>51.25</v>
      </c>
      <c r="AO1022">
        <v>6.7</v>
      </c>
      <c r="AP1022">
        <v>45.43</v>
      </c>
    </row>
    <row r="1023" spans="1:42">
      <c r="A1023">
        <v>1022</v>
      </c>
      <c r="B1023" t="str">
        <f>"601838"</f>
        <v>601838</v>
      </c>
      <c r="C1023" t="s">
        <v>6974</v>
      </c>
      <c r="D1023">
        <v>11.33</v>
      </c>
      <c r="E1023">
        <v>0.18</v>
      </c>
      <c r="F1023">
        <v>0.02</v>
      </c>
      <c r="G1023" t="s">
        <v>842</v>
      </c>
      <c r="H1023">
        <v>1109</v>
      </c>
      <c r="I1023">
        <v>11.33</v>
      </c>
      <c r="J1023">
        <v>11.34</v>
      </c>
      <c r="K1023" t="s">
        <v>4095</v>
      </c>
      <c r="L1023">
        <v>0.46</v>
      </c>
      <c r="M1023" t="s">
        <v>46</v>
      </c>
      <c r="N1023" t="s">
        <v>90</v>
      </c>
      <c r="O1023">
        <v>11.37</v>
      </c>
      <c r="P1023">
        <v>11.25</v>
      </c>
      <c r="Q1023">
        <v>11.32</v>
      </c>
      <c r="R1023">
        <v>11.31</v>
      </c>
      <c r="S1023">
        <v>1.06</v>
      </c>
      <c r="T1023">
        <v>0.77</v>
      </c>
      <c r="U1023">
        <v>-20.2</v>
      </c>
      <c r="V1023">
        <v>-2375</v>
      </c>
      <c r="W1023">
        <v>11.31</v>
      </c>
      <c r="X1023" t="s">
        <v>6975</v>
      </c>
      <c r="Y1023" t="s">
        <v>2782</v>
      </c>
      <c r="Z1023">
        <v>1.18</v>
      </c>
      <c r="AA1023">
        <v>77</v>
      </c>
      <c r="AB1023">
        <v>809</v>
      </c>
      <c r="AC1023">
        <v>0.7</v>
      </c>
      <c r="AD1023" t="s">
        <v>6976</v>
      </c>
      <c r="AE1023" t="s">
        <v>6977</v>
      </c>
      <c r="AF1023" t="s">
        <v>6978</v>
      </c>
      <c r="AG1023" t="s">
        <v>6979</v>
      </c>
      <c r="AH1023">
        <v>-2.07</v>
      </c>
      <c r="AI1023">
        <v>-4.23</v>
      </c>
      <c r="AJ1023">
        <v>1.62</v>
      </c>
      <c r="AK1023">
        <v>3.46</v>
      </c>
      <c r="AL1023">
        <v>1</v>
      </c>
      <c r="AM1023">
        <v>0.18</v>
      </c>
      <c r="AN1023">
        <v>-22.02</v>
      </c>
      <c r="AO1023">
        <v>-7.74</v>
      </c>
      <c r="AP1023">
        <v>-18.96</v>
      </c>
    </row>
    <row r="1024" spans="1:42">
      <c r="A1024">
        <v>1023</v>
      </c>
      <c r="B1024" t="str">
        <f>"688590"</f>
        <v>688590</v>
      </c>
      <c r="C1024" t="s">
        <v>6980</v>
      </c>
      <c r="D1024">
        <v>20.35</v>
      </c>
      <c r="E1024">
        <v>6.88</v>
      </c>
      <c r="F1024">
        <v>1.31</v>
      </c>
      <c r="G1024" t="s">
        <v>6981</v>
      </c>
      <c r="H1024">
        <v>1319</v>
      </c>
      <c r="I1024">
        <v>20.34</v>
      </c>
      <c r="J1024">
        <v>20.35</v>
      </c>
      <c r="K1024" t="s">
        <v>4095</v>
      </c>
      <c r="L1024">
        <v>6.2</v>
      </c>
      <c r="M1024" t="s">
        <v>46</v>
      </c>
      <c r="N1024" t="s">
        <v>1645</v>
      </c>
      <c r="O1024">
        <v>20.57</v>
      </c>
      <c r="P1024">
        <v>18.98</v>
      </c>
      <c r="Q1024">
        <v>19.1</v>
      </c>
      <c r="R1024">
        <v>19.04</v>
      </c>
      <c r="S1024">
        <v>8.35</v>
      </c>
      <c r="T1024">
        <v>2.62</v>
      </c>
      <c r="U1024">
        <v>-54.04</v>
      </c>
      <c r="V1024">
        <v>-767</v>
      </c>
      <c r="W1024">
        <v>19.86</v>
      </c>
      <c r="X1024" t="s">
        <v>4087</v>
      </c>
      <c r="Y1024" t="s">
        <v>3055</v>
      </c>
      <c r="Z1024">
        <v>0.74</v>
      </c>
      <c r="AA1024">
        <v>79</v>
      </c>
      <c r="AB1024">
        <v>595</v>
      </c>
      <c r="AC1024">
        <v>4.39</v>
      </c>
      <c r="AD1024" t="s">
        <v>6982</v>
      </c>
      <c r="AE1024" t="s">
        <v>1997</v>
      </c>
      <c r="AF1024" t="s">
        <v>6983</v>
      </c>
      <c r="AG1024" t="s">
        <v>5543</v>
      </c>
      <c r="AH1024">
        <v>7.33</v>
      </c>
      <c r="AI1024">
        <v>4.79</v>
      </c>
      <c r="AJ1024">
        <v>10.9</v>
      </c>
      <c r="AK1024">
        <v>18.02</v>
      </c>
      <c r="AL1024">
        <v>1</v>
      </c>
      <c r="AM1024">
        <v>6.88</v>
      </c>
      <c r="AN1024">
        <v>112.42</v>
      </c>
      <c r="AO1024">
        <v>16.62</v>
      </c>
      <c r="AP1024">
        <v>82.02</v>
      </c>
    </row>
    <row r="1025" spans="1:42">
      <c r="A1025">
        <v>1024</v>
      </c>
      <c r="B1025" t="str">
        <f>"600988"</f>
        <v>600988</v>
      </c>
      <c r="C1025" t="s">
        <v>6984</v>
      </c>
      <c r="D1025">
        <v>14.03</v>
      </c>
      <c r="E1025">
        <v>0.86</v>
      </c>
      <c r="F1025">
        <v>0.12</v>
      </c>
      <c r="G1025" t="s">
        <v>3385</v>
      </c>
      <c r="H1025">
        <v>2184</v>
      </c>
      <c r="I1025">
        <v>14.02</v>
      </c>
      <c r="J1025">
        <v>14.03</v>
      </c>
      <c r="K1025" t="s">
        <v>4095</v>
      </c>
      <c r="L1025">
        <v>0.85</v>
      </c>
      <c r="M1025" t="s">
        <v>46</v>
      </c>
      <c r="N1025" t="s">
        <v>5912</v>
      </c>
      <c r="O1025">
        <v>14.05</v>
      </c>
      <c r="P1025">
        <v>13.83</v>
      </c>
      <c r="Q1025">
        <v>13.95</v>
      </c>
      <c r="R1025">
        <v>13.91</v>
      </c>
      <c r="S1025">
        <v>1.58</v>
      </c>
      <c r="T1025">
        <v>0.61</v>
      </c>
      <c r="U1025">
        <v>-65.16</v>
      </c>
      <c r="V1025" t="s">
        <v>4189</v>
      </c>
      <c r="W1025">
        <v>13.97</v>
      </c>
      <c r="X1025" t="s">
        <v>4981</v>
      </c>
      <c r="Y1025" t="s">
        <v>6985</v>
      </c>
      <c r="Z1025">
        <v>0.61</v>
      </c>
      <c r="AA1025">
        <v>511</v>
      </c>
      <c r="AB1025">
        <v>4</v>
      </c>
      <c r="AC1025">
        <v>4.13</v>
      </c>
      <c r="AD1025" t="s">
        <v>6986</v>
      </c>
      <c r="AE1025" t="s">
        <v>6987</v>
      </c>
      <c r="AF1025" t="s">
        <v>6986</v>
      </c>
      <c r="AG1025" t="s">
        <v>6987</v>
      </c>
      <c r="AH1025">
        <v>2.33</v>
      </c>
      <c r="AI1025">
        <v>3.24</v>
      </c>
      <c r="AJ1025">
        <v>4.4</v>
      </c>
      <c r="AK1025">
        <v>7.83</v>
      </c>
      <c r="AL1025">
        <v>1</v>
      </c>
      <c r="AM1025">
        <v>0.86</v>
      </c>
      <c r="AN1025">
        <v>-22.27</v>
      </c>
      <c r="AO1025">
        <v>-3.04</v>
      </c>
      <c r="AP1025">
        <v>-27.31</v>
      </c>
    </row>
    <row r="1026" spans="1:42">
      <c r="A1026">
        <v>1025</v>
      </c>
      <c r="B1026" t="str">
        <f>"600605"</f>
        <v>600605</v>
      </c>
      <c r="C1026" t="s">
        <v>6988</v>
      </c>
      <c r="D1026">
        <v>25.55</v>
      </c>
      <c r="E1026">
        <v>4.89</v>
      </c>
      <c r="F1026">
        <v>1.19</v>
      </c>
      <c r="G1026" t="s">
        <v>5564</v>
      </c>
      <c r="H1026">
        <v>1401</v>
      </c>
      <c r="I1026">
        <v>25.55</v>
      </c>
      <c r="J1026">
        <v>25.56</v>
      </c>
      <c r="K1026" t="s">
        <v>4095</v>
      </c>
      <c r="L1026">
        <v>3.86</v>
      </c>
      <c r="M1026" t="s">
        <v>46</v>
      </c>
      <c r="N1026" t="s">
        <v>6989</v>
      </c>
      <c r="O1026">
        <v>25.63</v>
      </c>
      <c r="P1026">
        <v>24.2</v>
      </c>
      <c r="Q1026">
        <v>24.4</v>
      </c>
      <c r="R1026">
        <v>24.36</v>
      </c>
      <c r="S1026">
        <v>5.87</v>
      </c>
      <c r="T1026">
        <v>0.76</v>
      </c>
      <c r="U1026">
        <v>16.67</v>
      </c>
      <c r="V1026">
        <v>81</v>
      </c>
      <c r="W1026">
        <v>24.89</v>
      </c>
      <c r="X1026" t="s">
        <v>6645</v>
      </c>
      <c r="Y1026" t="s">
        <v>3227</v>
      </c>
      <c r="Z1026">
        <v>0.97</v>
      </c>
      <c r="AA1026">
        <v>139</v>
      </c>
      <c r="AB1026">
        <v>48</v>
      </c>
      <c r="AC1026">
        <v>4.12</v>
      </c>
      <c r="AD1026" t="s">
        <v>6990</v>
      </c>
      <c r="AE1026" t="s">
        <v>6991</v>
      </c>
      <c r="AF1026" t="s">
        <v>6990</v>
      </c>
      <c r="AG1026" t="s">
        <v>6991</v>
      </c>
      <c r="AH1026">
        <v>8.72</v>
      </c>
      <c r="AI1026">
        <v>19.17</v>
      </c>
      <c r="AJ1026">
        <v>11.56</v>
      </c>
      <c r="AK1026">
        <v>29.17</v>
      </c>
      <c r="AL1026">
        <v>3</v>
      </c>
      <c r="AM1026">
        <v>4.89</v>
      </c>
      <c r="AN1026">
        <v>151.97</v>
      </c>
      <c r="AO1026">
        <v>30.96</v>
      </c>
      <c r="AP1026">
        <v>139.68</v>
      </c>
    </row>
    <row r="1027" spans="1:42">
      <c r="A1027">
        <v>1026</v>
      </c>
      <c r="B1027" t="str">
        <f>"603738"</f>
        <v>603738</v>
      </c>
      <c r="C1027" t="s">
        <v>6992</v>
      </c>
      <c r="D1027">
        <v>16.98</v>
      </c>
      <c r="E1027">
        <v>-1.68</v>
      </c>
      <c r="F1027">
        <v>-0.29</v>
      </c>
      <c r="G1027" t="s">
        <v>2960</v>
      </c>
      <c r="H1027">
        <v>1890</v>
      </c>
      <c r="I1027">
        <v>16.97</v>
      </c>
      <c r="J1027">
        <v>16.98</v>
      </c>
      <c r="K1027" t="s">
        <v>4095</v>
      </c>
      <c r="L1027">
        <v>3.01</v>
      </c>
      <c r="M1027" t="s">
        <v>46</v>
      </c>
      <c r="N1027" t="s">
        <v>2780</v>
      </c>
      <c r="O1027">
        <v>17.33</v>
      </c>
      <c r="P1027">
        <v>16.88</v>
      </c>
      <c r="Q1027">
        <v>17.3</v>
      </c>
      <c r="R1027">
        <v>17.27</v>
      </c>
      <c r="S1027">
        <v>2.61</v>
      </c>
      <c r="T1027">
        <v>0.6</v>
      </c>
      <c r="U1027">
        <v>9.59</v>
      </c>
      <c r="V1027">
        <v>252</v>
      </c>
      <c r="W1027">
        <v>17.01</v>
      </c>
      <c r="X1027" t="s">
        <v>6993</v>
      </c>
      <c r="Y1027" t="s">
        <v>4708</v>
      </c>
      <c r="Z1027">
        <v>1.36</v>
      </c>
      <c r="AA1027">
        <v>832</v>
      </c>
      <c r="AB1027">
        <v>337</v>
      </c>
      <c r="AC1027">
        <v>3.82</v>
      </c>
      <c r="AD1027" t="s">
        <v>6994</v>
      </c>
      <c r="AE1027" t="s">
        <v>6995</v>
      </c>
      <c r="AF1027" t="s">
        <v>6996</v>
      </c>
      <c r="AG1027" t="s">
        <v>6997</v>
      </c>
      <c r="AH1027">
        <v>-4.18</v>
      </c>
      <c r="AI1027">
        <v>0.06</v>
      </c>
      <c r="AJ1027">
        <v>10.78</v>
      </c>
      <c r="AK1027">
        <v>28.05</v>
      </c>
      <c r="AL1027">
        <v>-2</v>
      </c>
      <c r="AM1027">
        <v>-1.68</v>
      </c>
      <c r="AN1027">
        <v>18.41</v>
      </c>
      <c r="AO1027">
        <v>-1.96</v>
      </c>
      <c r="AP1027">
        <v>1.01</v>
      </c>
    </row>
    <row r="1028" spans="1:42">
      <c r="A1028">
        <v>1027</v>
      </c>
      <c r="B1028" t="str">
        <f>"601319"</f>
        <v>601319</v>
      </c>
      <c r="C1028" t="s">
        <v>6998</v>
      </c>
      <c r="D1028">
        <v>5.06</v>
      </c>
      <c r="E1028">
        <v>0.2</v>
      </c>
      <c r="F1028">
        <v>0.01</v>
      </c>
      <c r="G1028" t="s">
        <v>2810</v>
      </c>
      <c r="H1028">
        <v>6664</v>
      </c>
      <c r="I1028">
        <v>5.06</v>
      </c>
      <c r="J1028">
        <v>5.07</v>
      </c>
      <c r="K1028" t="s">
        <v>4867</v>
      </c>
      <c r="L1028">
        <v>0.11</v>
      </c>
      <c r="M1028" t="s">
        <v>46</v>
      </c>
      <c r="N1028" t="s">
        <v>6999</v>
      </c>
      <c r="O1028">
        <v>5.08</v>
      </c>
      <c r="P1028">
        <v>5</v>
      </c>
      <c r="Q1028">
        <v>5.05</v>
      </c>
      <c r="R1028">
        <v>5.05</v>
      </c>
      <c r="S1028">
        <v>1.58</v>
      </c>
      <c r="T1028">
        <v>0.82</v>
      </c>
      <c r="U1028">
        <v>-17.93</v>
      </c>
      <c r="V1028" t="s">
        <v>5348</v>
      </c>
      <c r="W1028">
        <v>5.05</v>
      </c>
      <c r="X1028" t="s">
        <v>415</v>
      </c>
      <c r="Y1028" t="s">
        <v>859</v>
      </c>
      <c r="Z1028">
        <v>1.15</v>
      </c>
      <c r="AA1028">
        <v>1214</v>
      </c>
      <c r="AB1028">
        <v>5213</v>
      </c>
      <c r="AC1028">
        <v>0.93</v>
      </c>
      <c r="AD1028" t="s">
        <v>7000</v>
      </c>
      <c r="AE1028" t="s">
        <v>873</v>
      </c>
      <c r="AF1028" t="s">
        <v>825</v>
      </c>
      <c r="AG1028" t="s">
        <v>7001</v>
      </c>
      <c r="AH1028">
        <v>-0.78</v>
      </c>
      <c r="AI1028">
        <v>-3.8</v>
      </c>
      <c r="AJ1028">
        <v>0.37</v>
      </c>
      <c r="AK1028">
        <v>0.78</v>
      </c>
      <c r="AL1028">
        <v>2</v>
      </c>
      <c r="AM1028">
        <v>0.2</v>
      </c>
      <c r="AN1028">
        <v>0.2</v>
      </c>
      <c r="AO1028">
        <v>-4.89</v>
      </c>
      <c r="AP1028">
        <v>3.05</v>
      </c>
    </row>
    <row r="1029" spans="1:42">
      <c r="A1029">
        <v>1028</v>
      </c>
      <c r="B1029" t="str">
        <f>"600641"</f>
        <v>600641</v>
      </c>
      <c r="C1029" t="s">
        <v>7002</v>
      </c>
      <c r="D1029">
        <v>17.27</v>
      </c>
      <c r="E1029">
        <v>0</v>
      </c>
      <c r="F1029">
        <v>0</v>
      </c>
      <c r="G1029" t="s">
        <v>4369</v>
      </c>
      <c r="H1029">
        <v>1897</v>
      </c>
      <c r="I1029">
        <v>17.26</v>
      </c>
      <c r="J1029">
        <v>17.27</v>
      </c>
      <c r="K1029" t="s">
        <v>4867</v>
      </c>
      <c r="L1029">
        <v>1.22</v>
      </c>
      <c r="M1029" t="s">
        <v>46</v>
      </c>
      <c r="N1029" t="s">
        <v>4622</v>
      </c>
      <c r="O1029">
        <v>17.67</v>
      </c>
      <c r="P1029">
        <v>17.03</v>
      </c>
      <c r="Q1029">
        <v>17.31</v>
      </c>
      <c r="R1029">
        <v>17.27</v>
      </c>
      <c r="S1029">
        <v>3.71</v>
      </c>
      <c r="T1029">
        <v>0.63</v>
      </c>
      <c r="U1029">
        <v>23.98</v>
      </c>
      <c r="V1029">
        <v>893</v>
      </c>
      <c r="W1029">
        <v>17.33</v>
      </c>
      <c r="X1029" t="s">
        <v>2028</v>
      </c>
      <c r="Y1029" t="s">
        <v>4314</v>
      </c>
      <c r="Z1029">
        <v>1.15</v>
      </c>
      <c r="AA1029">
        <v>435</v>
      </c>
      <c r="AB1029">
        <v>149</v>
      </c>
      <c r="AC1029">
        <v>1.9</v>
      </c>
      <c r="AD1029" t="s">
        <v>7003</v>
      </c>
      <c r="AE1029" t="s">
        <v>2345</v>
      </c>
      <c r="AF1029" t="s">
        <v>7003</v>
      </c>
      <c r="AG1029" t="s">
        <v>2345</v>
      </c>
      <c r="AH1029">
        <v>-0.23</v>
      </c>
      <c r="AI1029">
        <v>0.58</v>
      </c>
      <c r="AJ1029">
        <v>5.07</v>
      </c>
      <c r="AK1029">
        <v>10.87</v>
      </c>
      <c r="AL1029">
        <v>0</v>
      </c>
      <c r="AM1029">
        <v>0</v>
      </c>
      <c r="AN1029">
        <v>-1.82</v>
      </c>
      <c r="AO1029">
        <v>2.61</v>
      </c>
      <c r="AP1029">
        <v>-7.1</v>
      </c>
    </row>
    <row r="1030" spans="1:42">
      <c r="A1030">
        <v>1029</v>
      </c>
      <c r="B1030" t="str">
        <f>"001282"</f>
        <v>001282</v>
      </c>
      <c r="C1030" t="s">
        <v>7004</v>
      </c>
      <c r="D1030">
        <v>38.02</v>
      </c>
      <c r="E1030">
        <v>-3.03</v>
      </c>
      <c r="F1030">
        <v>-1.19</v>
      </c>
      <c r="G1030" t="s">
        <v>3915</v>
      </c>
      <c r="H1030">
        <v>1062</v>
      </c>
      <c r="I1030">
        <v>38.02</v>
      </c>
      <c r="J1030">
        <v>38.03</v>
      </c>
      <c r="K1030" t="s">
        <v>4867</v>
      </c>
      <c r="L1030">
        <v>18.36</v>
      </c>
      <c r="M1030" t="s">
        <v>46</v>
      </c>
      <c r="N1030" t="s">
        <v>7005</v>
      </c>
      <c r="O1030">
        <v>39.05</v>
      </c>
      <c r="P1030">
        <v>37.1</v>
      </c>
      <c r="Q1030">
        <v>38.81</v>
      </c>
      <c r="R1030">
        <v>39.21</v>
      </c>
      <c r="S1030">
        <v>4.97</v>
      </c>
      <c r="T1030">
        <v>0.64</v>
      </c>
      <c r="U1030">
        <v>32.53</v>
      </c>
      <c r="V1030">
        <v>147</v>
      </c>
      <c r="W1030">
        <v>37.78</v>
      </c>
      <c r="X1030" t="s">
        <v>925</v>
      </c>
      <c r="Y1030" t="s">
        <v>3116</v>
      </c>
      <c r="Z1030">
        <v>1.45</v>
      </c>
      <c r="AA1030">
        <v>111</v>
      </c>
      <c r="AB1030">
        <v>30</v>
      </c>
      <c r="AC1030">
        <v>3.08</v>
      </c>
      <c r="AD1030" t="s">
        <v>7006</v>
      </c>
      <c r="AE1030" t="s">
        <v>7007</v>
      </c>
      <c r="AF1030" t="s">
        <v>7008</v>
      </c>
      <c r="AG1030" t="s">
        <v>7009</v>
      </c>
      <c r="AH1030">
        <v>-6.26</v>
      </c>
      <c r="AI1030">
        <v>-6.19</v>
      </c>
      <c r="AJ1030">
        <v>66.56</v>
      </c>
      <c r="AK1030">
        <v>160.98</v>
      </c>
      <c r="AL1030">
        <v>-3</v>
      </c>
      <c r="AM1030">
        <v>-3.03</v>
      </c>
      <c r="AN1030">
        <v>36.13</v>
      </c>
      <c r="AO1030">
        <v>5.03</v>
      </c>
      <c r="AP1030">
        <v>36.13</v>
      </c>
    </row>
    <row r="1031" spans="1:42">
      <c r="A1031">
        <v>1030</v>
      </c>
      <c r="B1031" t="str">
        <f>"300079"</f>
        <v>300079</v>
      </c>
      <c r="C1031" t="s">
        <v>7010</v>
      </c>
      <c r="D1031">
        <v>6.06</v>
      </c>
      <c r="E1031">
        <v>4.3</v>
      </c>
      <c r="F1031">
        <v>0.25</v>
      </c>
      <c r="G1031" t="s">
        <v>3896</v>
      </c>
      <c r="H1031">
        <v>3840</v>
      </c>
      <c r="I1031">
        <v>6.06</v>
      </c>
      <c r="J1031">
        <v>6.07</v>
      </c>
      <c r="K1031" t="s">
        <v>4867</v>
      </c>
      <c r="L1031">
        <v>2.59</v>
      </c>
      <c r="M1031" t="s">
        <v>46</v>
      </c>
      <c r="N1031" t="s">
        <v>7011</v>
      </c>
      <c r="O1031">
        <v>6.08</v>
      </c>
      <c r="P1031">
        <v>5.82</v>
      </c>
      <c r="Q1031">
        <v>5.85</v>
      </c>
      <c r="R1031">
        <v>5.81</v>
      </c>
      <c r="S1031">
        <v>4.48</v>
      </c>
      <c r="T1031">
        <v>1.48</v>
      </c>
      <c r="U1031">
        <v>-40.12</v>
      </c>
      <c r="V1031" t="s">
        <v>7012</v>
      </c>
      <c r="W1031">
        <v>5.98</v>
      </c>
      <c r="X1031" t="s">
        <v>1909</v>
      </c>
      <c r="Y1031" t="s">
        <v>508</v>
      </c>
      <c r="Z1031">
        <v>0.48</v>
      </c>
      <c r="AA1031">
        <v>3271</v>
      </c>
      <c r="AB1031">
        <v>5070</v>
      </c>
      <c r="AC1031">
        <v>2.04</v>
      </c>
      <c r="AD1031" t="s">
        <v>7013</v>
      </c>
      <c r="AE1031" t="s">
        <v>7014</v>
      </c>
      <c r="AF1031" t="s">
        <v>7015</v>
      </c>
      <c r="AG1031" t="s">
        <v>7016</v>
      </c>
      <c r="AH1031">
        <v>1.34</v>
      </c>
      <c r="AI1031">
        <v>0</v>
      </c>
      <c r="AJ1031">
        <v>5.83</v>
      </c>
      <c r="AK1031">
        <v>11.32</v>
      </c>
      <c r="AL1031">
        <v>1</v>
      </c>
      <c r="AM1031">
        <v>4.3</v>
      </c>
      <c r="AN1031">
        <v>26.78</v>
      </c>
      <c r="AO1031">
        <v>7.45</v>
      </c>
      <c r="AP1031">
        <v>17.67</v>
      </c>
    </row>
    <row r="1032" spans="1:42">
      <c r="A1032">
        <v>1031</v>
      </c>
      <c r="B1032" t="str">
        <f>"600435"</f>
        <v>600435</v>
      </c>
      <c r="C1032" t="s">
        <v>7017</v>
      </c>
      <c r="D1032">
        <v>11.38</v>
      </c>
      <c r="E1032">
        <v>0.71</v>
      </c>
      <c r="F1032">
        <v>0.08</v>
      </c>
      <c r="G1032" t="s">
        <v>1470</v>
      </c>
      <c r="H1032">
        <v>1231</v>
      </c>
      <c r="I1032">
        <v>11.37</v>
      </c>
      <c r="J1032">
        <v>11.38</v>
      </c>
      <c r="K1032" t="s">
        <v>1752</v>
      </c>
      <c r="L1032">
        <v>1.16</v>
      </c>
      <c r="M1032" t="s">
        <v>46</v>
      </c>
      <c r="N1032" t="s">
        <v>7018</v>
      </c>
      <c r="O1032">
        <v>11.42</v>
      </c>
      <c r="P1032">
        <v>11.2</v>
      </c>
      <c r="Q1032">
        <v>11.3</v>
      </c>
      <c r="R1032">
        <v>11.3</v>
      </c>
      <c r="S1032">
        <v>1.95</v>
      </c>
      <c r="T1032">
        <v>0.76</v>
      </c>
      <c r="U1032">
        <v>-50.86</v>
      </c>
      <c r="V1032">
        <v>-2378</v>
      </c>
      <c r="W1032">
        <v>11.31</v>
      </c>
      <c r="X1032" t="s">
        <v>3274</v>
      </c>
      <c r="Y1032" t="s">
        <v>1789</v>
      </c>
      <c r="Z1032">
        <v>0.83</v>
      </c>
      <c r="AA1032">
        <v>503</v>
      </c>
      <c r="AB1032">
        <v>740</v>
      </c>
      <c r="AC1032">
        <v>6.32</v>
      </c>
      <c r="AD1032" t="s">
        <v>7019</v>
      </c>
      <c r="AE1032" t="s">
        <v>7020</v>
      </c>
      <c r="AF1032" t="s">
        <v>7019</v>
      </c>
      <c r="AG1032" t="s">
        <v>7020</v>
      </c>
      <c r="AH1032">
        <v>-2.82</v>
      </c>
      <c r="AI1032">
        <v>-3.4</v>
      </c>
      <c r="AJ1032">
        <v>5.58</v>
      </c>
      <c r="AK1032">
        <v>8.76</v>
      </c>
      <c r="AL1032">
        <v>1</v>
      </c>
      <c r="AM1032">
        <v>0.71</v>
      </c>
      <c r="AN1032">
        <v>-1.56</v>
      </c>
      <c r="AO1032">
        <v>2.06</v>
      </c>
      <c r="AP1032">
        <v>11.13</v>
      </c>
    </row>
    <row r="1033" spans="1:42">
      <c r="A1033">
        <v>1032</v>
      </c>
      <c r="B1033" t="str">
        <f>"002984"</f>
        <v>002984</v>
      </c>
      <c r="C1033" t="s">
        <v>7021</v>
      </c>
      <c r="D1033">
        <v>26.87</v>
      </c>
      <c r="E1033">
        <v>-2.26</v>
      </c>
      <c r="F1033">
        <v>-0.62</v>
      </c>
      <c r="G1033" t="s">
        <v>4568</v>
      </c>
      <c r="H1033">
        <v>956</v>
      </c>
      <c r="I1033">
        <v>26.86</v>
      </c>
      <c r="J1033">
        <v>26.87</v>
      </c>
      <c r="K1033" t="s">
        <v>1752</v>
      </c>
      <c r="L1033">
        <v>1.75</v>
      </c>
      <c r="M1033" t="s">
        <v>46</v>
      </c>
      <c r="N1033" t="s">
        <v>4475</v>
      </c>
      <c r="O1033">
        <v>27.52</v>
      </c>
      <c r="P1033">
        <v>26.85</v>
      </c>
      <c r="Q1033">
        <v>27.4</v>
      </c>
      <c r="R1033">
        <v>27.49</v>
      </c>
      <c r="S1033">
        <v>2.44</v>
      </c>
      <c r="T1033">
        <v>1.58</v>
      </c>
      <c r="U1033">
        <v>16.07</v>
      </c>
      <c r="V1033">
        <v>255</v>
      </c>
      <c r="W1033">
        <v>27</v>
      </c>
      <c r="X1033" t="s">
        <v>7022</v>
      </c>
      <c r="Y1033" t="s">
        <v>6827</v>
      </c>
      <c r="Z1033">
        <v>2.32</v>
      </c>
      <c r="AA1033">
        <v>475</v>
      </c>
      <c r="AB1033">
        <v>395</v>
      </c>
      <c r="AC1033">
        <v>1.8</v>
      </c>
      <c r="AD1033" t="s">
        <v>4429</v>
      </c>
      <c r="AE1033" t="s">
        <v>4386</v>
      </c>
      <c r="AF1033" t="s">
        <v>7023</v>
      </c>
      <c r="AG1033" t="s">
        <v>7024</v>
      </c>
      <c r="AH1033">
        <v>-6.38</v>
      </c>
      <c r="AI1033">
        <v>-8.45</v>
      </c>
      <c r="AJ1033">
        <v>4.46</v>
      </c>
      <c r="AK1033">
        <v>7.31</v>
      </c>
      <c r="AL1033">
        <v>-3</v>
      </c>
      <c r="AM1033">
        <v>-2.26</v>
      </c>
      <c r="AN1033">
        <v>-12.73</v>
      </c>
      <c r="AO1033">
        <v>-10.76</v>
      </c>
      <c r="AP1033">
        <v>-14.7</v>
      </c>
    </row>
    <row r="1034" spans="1:42">
      <c r="A1034">
        <v>1033</v>
      </c>
      <c r="B1034" t="str">
        <f>"000981"</f>
        <v>000981</v>
      </c>
      <c r="C1034" t="s">
        <v>7025</v>
      </c>
      <c r="D1034">
        <v>1.81</v>
      </c>
      <c r="E1034">
        <v>3.43</v>
      </c>
      <c r="F1034">
        <v>0.06</v>
      </c>
      <c r="G1034" t="s">
        <v>1603</v>
      </c>
      <c r="H1034">
        <v>5300</v>
      </c>
      <c r="I1034">
        <v>1.81</v>
      </c>
      <c r="J1034">
        <v>1.82</v>
      </c>
      <c r="K1034" t="s">
        <v>1752</v>
      </c>
      <c r="L1034">
        <v>1.97</v>
      </c>
      <c r="M1034" t="s">
        <v>46</v>
      </c>
      <c r="N1034" t="s">
        <v>4144</v>
      </c>
      <c r="O1034">
        <v>1.83</v>
      </c>
      <c r="P1034">
        <v>1.73</v>
      </c>
      <c r="Q1034">
        <v>1.76</v>
      </c>
      <c r="R1034">
        <v>1.75</v>
      </c>
      <c r="S1034">
        <v>5.71</v>
      </c>
      <c r="T1034">
        <v>1.03</v>
      </c>
      <c r="U1034">
        <v>-25.93</v>
      </c>
      <c r="V1034" t="s">
        <v>7026</v>
      </c>
      <c r="W1034">
        <v>1.78</v>
      </c>
      <c r="X1034" t="s">
        <v>6001</v>
      </c>
      <c r="Y1034" t="s">
        <v>7027</v>
      </c>
      <c r="Z1034">
        <v>0.54</v>
      </c>
      <c r="AA1034" t="s">
        <v>7028</v>
      </c>
      <c r="AB1034" t="s">
        <v>5585</v>
      </c>
      <c r="AC1034">
        <v>5.02</v>
      </c>
      <c r="AD1034" t="s">
        <v>7029</v>
      </c>
      <c r="AE1034" t="s">
        <v>1973</v>
      </c>
      <c r="AF1034" t="s">
        <v>7030</v>
      </c>
      <c r="AG1034" t="s">
        <v>7031</v>
      </c>
      <c r="AH1034">
        <v>0.56</v>
      </c>
      <c r="AI1034">
        <v>0</v>
      </c>
      <c r="AJ1034">
        <v>5.09</v>
      </c>
      <c r="AK1034">
        <v>11.52</v>
      </c>
      <c r="AL1034">
        <v>1</v>
      </c>
      <c r="AM1034">
        <v>3.43</v>
      </c>
      <c r="AN1034">
        <v>-2.16</v>
      </c>
      <c r="AO1034">
        <v>9.04</v>
      </c>
      <c r="AP1034">
        <v>-8.12</v>
      </c>
    </row>
    <row r="1035" spans="1:42">
      <c r="A1035">
        <v>1034</v>
      </c>
      <c r="B1035" t="str">
        <f>"002262"</f>
        <v>002262</v>
      </c>
      <c r="C1035" t="s">
        <v>7032</v>
      </c>
      <c r="D1035">
        <v>25.46</v>
      </c>
      <c r="E1035">
        <v>-1.09</v>
      </c>
      <c r="F1035">
        <v>-0.28</v>
      </c>
      <c r="G1035" t="s">
        <v>6271</v>
      </c>
      <c r="H1035">
        <v>667</v>
      </c>
      <c r="I1035">
        <v>25.45</v>
      </c>
      <c r="J1035">
        <v>25.46</v>
      </c>
      <c r="K1035" t="s">
        <v>7033</v>
      </c>
      <c r="L1035">
        <v>0.87</v>
      </c>
      <c r="M1035" t="s">
        <v>46</v>
      </c>
      <c r="N1035" t="s">
        <v>7034</v>
      </c>
      <c r="O1035">
        <v>25.85</v>
      </c>
      <c r="P1035">
        <v>25.26</v>
      </c>
      <c r="Q1035">
        <v>25.65</v>
      </c>
      <c r="R1035">
        <v>25.74</v>
      </c>
      <c r="S1035">
        <v>2.29</v>
      </c>
      <c r="T1035">
        <v>0.96</v>
      </c>
      <c r="U1035">
        <v>37.01</v>
      </c>
      <c r="V1035">
        <v>114</v>
      </c>
      <c r="W1035">
        <v>25.56</v>
      </c>
      <c r="X1035" t="s">
        <v>7035</v>
      </c>
      <c r="Y1035" t="s">
        <v>6657</v>
      </c>
      <c r="Z1035">
        <v>1.47</v>
      </c>
      <c r="AA1035">
        <v>64</v>
      </c>
      <c r="AB1035">
        <v>29</v>
      </c>
      <c r="AC1035">
        <v>4.07</v>
      </c>
      <c r="AD1035" t="s">
        <v>3449</v>
      </c>
      <c r="AE1035" t="s">
        <v>7036</v>
      </c>
      <c r="AF1035" t="s">
        <v>7037</v>
      </c>
      <c r="AG1035" t="s">
        <v>7038</v>
      </c>
      <c r="AH1035">
        <v>-3.96</v>
      </c>
      <c r="AI1035">
        <v>2.37</v>
      </c>
      <c r="AJ1035">
        <v>2.53</v>
      </c>
      <c r="AK1035">
        <v>5.38</v>
      </c>
      <c r="AL1035">
        <v>-3</v>
      </c>
      <c r="AM1035">
        <v>-1.09</v>
      </c>
      <c r="AN1035">
        <v>4.56</v>
      </c>
      <c r="AO1035">
        <v>-0.16</v>
      </c>
      <c r="AP1035">
        <v>28.2</v>
      </c>
    </row>
    <row r="1036" spans="1:42">
      <c r="A1036">
        <v>1035</v>
      </c>
      <c r="B1036" t="str">
        <f>"301289"</f>
        <v>301289</v>
      </c>
      <c r="C1036" t="s">
        <v>7039</v>
      </c>
      <c r="D1036">
        <v>55.88</v>
      </c>
      <c r="E1036">
        <v>-3.69</v>
      </c>
      <c r="F1036">
        <v>-2.14</v>
      </c>
      <c r="G1036" t="s">
        <v>762</v>
      </c>
      <c r="H1036">
        <v>636</v>
      </c>
      <c r="I1036">
        <v>55.87</v>
      </c>
      <c r="J1036">
        <v>55.88</v>
      </c>
      <c r="K1036" t="s">
        <v>7033</v>
      </c>
      <c r="L1036">
        <v>13.79</v>
      </c>
      <c r="M1036" t="s">
        <v>46</v>
      </c>
      <c r="N1036" t="s">
        <v>7040</v>
      </c>
      <c r="O1036">
        <v>57.47</v>
      </c>
      <c r="P1036">
        <v>54.66</v>
      </c>
      <c r="Q1036">
        <v>57.1</v>
      </c>
      <c r="R1036">
        <v>58.02</v>
      </c>
      <c r="S1036">
        <v>4.84</v>
      </c>
      <c r="T1036">
        <v>0.73</v>
      </c>
      <c r="U1036">
        <v>-10.73</v>
      </c>
      <c r="V1036">
        <v>-25</v>
      </c>
      <c r="W1036">
        <v>55.94</v>
      </c>
      <c r="X1036" t="s">
        <v>4976</v>
      </c>
      <c r="Y1036" t="s">
        <v>6595</v>
      </c>
      <c r="Z1036">
        <v>1.35</v>
      </c>
      <c r="AA1036">
        <v>24</v>
      </c>
      <c r="AB1036">
        <v>8</v>
      </c>
      <c r="AC1036">
        <v>4.74</v>
      </c>
      <c r="AD1036" t="s">
        <v>7041</v>
      </c>
      <c r="AE1036" t="s">
        <v>7042</v>
      </c>
      <c r="AF1036" t="s">
        <v>7043</v>
      </c>
      <c r="AG1036" t="s">
        <v>2582</v>
      </c>
      <c r="AH1036">
        <v>-3.37</v>
      </c>
      <c r="AI1036">
        <v>-1.79</v>
      </c>
      <c r="AJ1036">
        <v>57.94</v>
      </c>
      <c r="AK1036">
        <v>108.46</v>
      </c>
      <c r="AL1036">
        <v>-2</v>
      </c>
      <c r="AM1036">
        <v>-3.69</v>
      </c>
      <c r="AN1036">
        <v>73.65</v>
      </c>
      <c r="AO1036">
        <v>-5.61</v>
      </c>
      <c r="AP1036">
        <v>59.34</v>
      </c>
    </row>
    <row r="1037" spans="1:42">
      <c r="A1037">
        <v>1036</v>
      </c>
      <c r="B1037" t="str">
        <f>"603998"</f>
        <v>603998</v>
      </c>
      <c r="C1037" t="s">
        <v>7044</v>
      </c>
      <c r="D1037">
        <v>11.61</v>
      </c>
      <c r="E1037">
        <v>4.41</v>
      </c>
      <c r="F1037">
        <v>0.49</v>
      </c>
      <c r="G1037" t="s">
        <v>2859</v>
      </c>
      <c r="H1037">
        <v>895</v>
      </c>
      <c r="I1037">
        <v>11.6</v>
      </c>
      <c r="J1037">
        <v>11.61</v>
      </c>
      <c r="K1037" t="s">
        <v>7033</v>
      </c>
      <c r="L1037">
        <v>3.89</v>
      </c>
      <c r="M1037" t="s">
        <v>46</v>
      </c>
      <c r="N1037" t="s">
        <v>654</v>
      </c>
      <c r="O1037">
        <v>12</v>
      </c>
      <c r="P1037">
        <v>10.94</v>
      </c>
      <c r="Q1037">
        <v>11.04</v>
      </c>
      <c r="R1037">
        <v>11.12</v>
      </c>
      <c r="S1037">
        <v>9.53</v>
      </c>
      <c r="T1037">
        <v>1.43</v>
      </c>
      <c r="U1037">
        <v>-90.44</v>
      </c>
      <c r="V1037">
        <v>-3142</v>
      </c>
      <c r="W1037">
        <v>11.56</v>
      </c>
      <c r="X1037" t="s">
        <v>3759</v>
      </c>
      <c r="Y1037" t="s">
        <v>6448</v>
      </c>
      <c r="Z1037">
        <v>0.89</v>
      </c>
      <c r="AA1037">
        <v>1</v>
      </c>
      <c r="AB1037">
        <v>459</v>
      </c>
      <c r="AC1037">
        <v>3.59</v>
      </c>
      <c r="AD1037" t="s">
        <v>7045</v>
      </c>
      <c r="AE1037" t="s">
        <v>7046</v>
      </c>
      <c r="AF1037" t="s">
        <v>7047</v>
      </c>
      <c r="AG1037" t="s">
        <v>3504</v>
      </c>
      <c r="AH1037">
        <v>3.57</v>
      </c>
      <c r="AI1037">
        <v>2.11</v>
      </c>
      <c r="AJ1037">
        <v>6.39</v>
      </c>
      <c r="AK1037">
        <v>17.55</v>
      </c>
      <c r="AL1037">
        <v>2</v>
      </c>
      <c r="AM1037">
        <v>4.41</v>
      </c>
      <c r="AN1037">
        <v>51.57</v>
      </c>
      <c r="AO1037">
        <v>5.64</v>
      </c>
      <c r="AP1037">
        <v>40.39</v>
      </c>
    </row>
    <row r="1038" spans="1:42">
      <c r="A1038">
        <v>1037</v>
      </c>
      <c r="B1038" t="str">
        <f>"600331"</f>
        <v>600331</v>
      </c>
      <c r="C1038" t="s">
        <v>7048</v>
      </c>
      <c r="D1038">
        <v>5.87</v>
      </c>
      <c r="E1038">
        <v>1.03</v>
      </c>
      <c r="F1038">
        <v>0.06</v>
      </c>
      <c r="G1038" t="s">
        <v>2745</v>
      </c>
      <c r="H1038">
        <v>3112</v>
      </c>
      <c r="I1038">
        <v>5.86</v>
      </c>
      <c r="J1038">
        <v>5.87</v>
      </c>
      <c r="K1038" t="s">
        <v>7033</v>
      </c>
      <c r="L1038">
        <v>1.63</v>
      </c>
      <c r="M1038" t="s">
        <v>46</v>
      </c>
      <c r="N1038" t="s">
        <v>7049</v>
      </c>
      <c r="O1038">
        <v>5.95</v>
      </c>
      <c r="P1038">
        <v>5.75</v>
      </c>
      <c r="Q1038">
        <v>5.81</v>
      </c>
      <c r="R1038">
        <v>5.81</v>
      </c>
      <c r="S1038">
        <v>3.44</v>
      </c>
      <c r="T1038">
        <v>0.73</v>
      </c>
      <c r="U1038">
        <v>-9.82</v>
      </c>
      <c r="V1038">
        <v>-2615</v>
      </c>
      <c r="W1038">
        <v>5.88</v>
      </c>
      <c r="X1038" t="s">
        <v>2291</v>
      </c>
      <c r="Y1038" t="s">
        <v>3347</v>
      </c>
      <c r="Z1038">
        <v>0.86</v>
      </c>
      <c r="AA1038">
        <v>759</v>
      </c>
      <c r="AB1038">
        <v>972</v>
      </c>
      <c r="AC1038">
        <v>34.36</v>
      </c>
      <c r="AD1038" t="s">
        <v>7050</v>
      </c>
      <c r="AE1038" t="s">
        <v>1824</v>
      </c>
      <c r="AF1038" t="s">
        <v>7050</v>
      </c>
      <c r="AG1038" t="s">
        <v>1824</v>
      </c>
      <c r="AH1038">
        <v>0.86</v>
      </c>
      <c r="AI1038">
        <v>6.34</v>
      </c>
      <c r="AJ1038">
        <v>6.75</v>
      </c>
      <c r="AK1038">
        <v>12.82</v>
      </c>
      <c r="AL1038">
        <v>2</v>
      </c>
      <c r="AM1038">
        <v>1.03</v>
      </c>
      <c r="AN1038">
        <v>104.53</v>
      </c>
      <c r="AO1038">
        <v>26.78</v>
      </c>
      <c r="AP1038">
        <v>117.41</v>
      </c>
    </row>
    <row r="1039" spans="1:42">
      <c r="A1039">
        <v>1038</v>
      </c>
      <c r="B1039" t="str">
        <f>"603606"</f>
        <v>603606</v>
      </c>
      <c r="C1039" t="s">
        <v>7051</v>
      </c>
      <c r="D1039">
        <v>41.01</v>
      </c>
      <c r="E1039">
        <v>0.02</v>
      </c>
      <c r="F1039">
        <v>0.01</v>
      </c>
      <c r="G1039" t="s">
        <v>4928</v>
      </c>
      <c r="H1039">
        <v>500</v>
      </c>
      <c r="I1039">
        <v>41.01</v>
      </c>
      <c r="J1039">
        <v>41.02</v>
      </c>
      <c r="K1039" t="s">
        <v>7033</v>
      </c>
      <c r="L1039">
        <v>0.7</v>
      </c>
      <c r="M1039" t="s">
        <v>46</v>
      </c>
      <c r="N1039" t="s">
        <v>7052</v>
      </c>
      <c r="O1039">
        <v>41.23</v>
      </c>
      <c r="P1039">
        <v>40.21</v>
      </c>
      <c r="Q1039">
        <v>40.99</v>
      </c>
      <c r="R1039">
        <v>41</v>
      </c>
      <c r="S1039">
        <v>2.49</v>
      </c>
      <c r="T1039">
        <v>0.59</v>
      </c>
      <c r="U1039">
        <v>96.35</v>
      </c>
      <c r="V1039">
        <v>3433</v>
      </c>
      <c r="W1039">
        <v>40.7</v>
      </c>
      <c r="X1039" t="s">
        <v>5746</v>
      </c>
      <c r="Y1039" t="s">
        <v>7053</v>
      </c>
      <c r="Z1039">
        <v>1.23</v>
      </c>
      <c r="AA1039">
        <v>3372</v>
      </c>
      <c r="AB1039">
        <v>5</v>
      </c>
      <c r="AC1039">
        <v>4.56</v>
      </c>
      <c r="AD1039" t="s">
        <v>7054</v>
      </c>
      <c r="AE1039" t="s">
        <v>7055</v>
      </c>
      <c r="AF1039" t="s">
        <v>7054</v>
      </c>
      <c r="AG1039" t="s">
        <v>7055</v>
      </c>
      <c r="AH1039">
        <v>-2.22</v>
      </c>
      <c r="AI1039">
        <v>0.39</v>
      </c>
      <c r="AJ1039">
        <v>2.35</v>
      </c>
      <c r="AK1039">
        <v>6.61</v>
      </c>
      <c r="AL1039">
        <v>1</v>
      </c>
      <c r="AM1039">
        <v>0.02</v>
      </c>
      <c r="AN1039">
        <v>-39.32</v>
      </c>
      <c r="AO1039">
        <v>-10.56</v>
      </c>
      <c r="AP1039">
        <v>-40.25</v>
      </c>
    </row>
    <row r="1040" spans="1:42">
      <c r="A1040">
        <v>1039</v>
      </c>
      <c r="B1040" t="str">
        <f>"603358"</f>
        <v>603358</v>
      </c>
      <c r="C1040" t="s">
        <v>7056</v>
      </c>
      <c r="D1040">
        <v>22.69</v>
      </c>
      <c r="E1040">
        <v>5</v>
      </c>
      <c r="F1040">
        <v>1.08</v>
      </c>
      <c r="G1040" t="s">
        <v>6210</v>
      </c>
      <c r="H1040">
        <v>2253</v>
      </c>
      <c r="I1040">
        <v>22.68</v>
      </c>
      <c r="J1040">
        <v>22.69</v>
      </c>
      <c r="K1040" t="s">
        <v>7033</v>
      </c>
      <c r="L1040">
        <v>1.99</v>
      </c>
      <c r="M1040" t="s">
        <v>46</v>
      </c>
      <c r="N1040" t="s">
        <v>7057</v>
      </c>
      <c r="O1040">
        <v>22.99</v>
      </c>
      <c r="P1040">
        <v>21.45</v>
      </c>
      <c r="Q1040">
        <v>21.57</v>
      </c>
      <c r="R1040">
        <v>21.61</v>
      </c>
      <c r="S1040">
        <v>7.13</v>
      </c>
      <c r="T1040">
        <v>1.78</v>
      </c>
      <c r="U1040">
        <v>-79.25</v>
      </c>
      <c r="V1040">
        <v>-1375</v>
      </c>
      <c r="W1040">
        <v>22.36</v>
      </c>
      <c r="X1040" t="s">
        <v>7058</v>
      </c>
      <c r="Y1040" t="s">
        <v>5957</v>
      </c>
      <c r="Z1040">
        <v>0.65</v>
      </c>
      <c r="AA1040">
        <v>51</v>
      </c>
      <c r="AB1040">
        <v>550</v>
      </c>
      <c r="AC1040">
        <v>3.03</v>
      </c>
      <c r="AD1040" t="s">
        <v>7059</v>
      </c>
      <c r="AE1040" t="s">
        <v>7060</v>
      </c>
      <c r="AF1040" t="s">
        <v>7059</v>
      </c>
      <c r="AG1040" t="s">
        <v>7060</v>
      </c>
      <c r="AH1040">
        <v>11.28</v>
      </c>
      <c r="AI1040">
        <v>18.24</v>
      </c>
      <c r="AJ1040">
        <v>5.11</v>
      </c>
      <c r="AK1040">
        <v>7.58</v>
      </c>
      <c r="AL1040">
        <v>5</v>
      </c>
      <c r="AM1040">
        <v>5</v>
      </c>
      <c r="AN1040">
        <v>27.62</v>
      </c>
      <c r="AO1040">
        <v>18.18</v>
      </c>
      <c r="AP1040">
        <v>20.05</v>
      </c>
    </row>
    <row r="1041" spans="1:42">
      <c r="A1041">
        <v>1040</v>
      </c>
      <c r="B1041" t="str">
        <f>"300406"</f>
        <v>300406</v>
      </c>
      <c r="C1041" t="s">
        <v>7061</v>
      </c>
      <c r="D1041">
        <v>20.31</v>
      </c>
      <c r="E1041">
        <v>2.73</v>
      </c>
      <c r="F1041">
        <v>0.54</v>
      </c>
      <c r="G1041" t="s">
        <v>4775</v>
      </c>
      <c r="H1041">
        <v>220</v>
      </c>
      <c r="I1041">
        <v>20.31</v>
      </c>
      <c r="J1041">
        <v>20.32</v>
      </c>
      <c r="K1041" t="s">
        <v>7033</v>
      </c>
      <c r="L1041">
        <v>2.29</v>
      </c>
      <c r="M1041" t="s">
        <v>46</v>
      </c>
      <c r="N1041" t="s">
        <v>3125</v>
      </c>
      <c r="O1041">
        <v>20.45</v>
      </c>
      <c r="P1041">
        <v>19.56</v>
      </c>
      <c r="Q1041">
        <v>19.87</v>
      </c>
      <c r="R1041">
        <v>19.77</v>
      </c>
      <c r="S1041">
        <v>4.5</v>
      </c>
      <c r="T1041">
        <v>1.75</v>
      </c>
      <c r="U1041">
        <v>-26.75</v>
      </c>
      <c r="V1041">
        <v>-317</v>
      </c>
      <c r="W1041">
        <v>20.21</v>
      </c>
      <c r="X1041" t="s">
        <v>7062</v>
      </c>
      <c r="Y1041" t="s">
        <v>5466</v>
      </c>
      <c r="Z1041">
        <v>0.76</v>
      </c>
      <c r="AA1041">
        <v>16</v>
      </c>
      <c r="AB1041">
        <v>374</v>
      </c>
      <c r="AC1041">
        <v>3.51</v>
      </c>
      <c r="AD1041" t="s">
        <v>7063</v>
      </c>
      <c r="AE1041" t="s">
        <v>7064</v>
      </c>
      <c r="AF1041" t="s">
        <v>7065</v>
      </c>
      <c r="AG1041" t="s">
        <v>7066</v>
      </c>
      <c r="AH1041">
        <v>4.26</v>
      </c>
      <c r="AI1041">
        <v>6.56</v>
      </c>
      <c r="AJ1041">
        <v>4.87</v>
      </c>
      <c r="AK1041">
        <v>8.83</v>
      </c>
      <c r="AL1041">
        <v>2</v>
      </c>
      <c r="AM1041">
        <v>2.73</v>
      </c>
      <c r="AN1041">
        <v>24.83</v>
      </c>
      <c r="AO1041">
        <v>15.07</v>
      </c>
      <c r="AP1041">
        <v>10.5</v>
      </c>
    </row>
    <row r="1042" spans="1:42">
      <c r="A1042">
        <v>1041</v>
      </c>
      <c r="B1042" t="str">
        <f>"603885"</f>
        <v>603885</v>
      </c>
      <c r="C1042" t="s">
        <v>7067</v>
      </c>
      <c r="D1042">
        <v>13.1</v>
      </c>
      <c r="E1042">
        <v>-3.75</v>
      </c>
      <c r="F1042">
        <v>-0.51</v>
      </c>
      <c r="G1042" t="s">
        <v>598</v>
      </c>
      <c r="H1042">
        <v>1735</v>
      </c>
      <c r="I1042">
        <v>13.1</v>
      </c>
      <c r="J1042">
        <v>13.11</v>
      </c>
      <c r="K1042" t="s">
        <v>7033</v>
      </c>
      <c r="L1042">
        <v>0.67</v>
      </c>
      <c r="M1042" t="s">
        <v>46</v>
      </c>
      <c r="N1042" t="s">
        <v>2216</v>
      </c>
      <c r="O1042">
        <v>13.67</v>
      </c>
      <c r="P1042">
        <v>13.06</v>
      </c>
      <c r="Q1042">
        <v>13.61</v>
      </c>
      <c r="R1042">
        <v>13.61</v>
      </c>
      <c r="S1042">
        <v>4.48</v>
      </c>
      <c r="T1042">
        <v>1.88</v>
      </c>
      <c r="U1042">
        <v>26.37</v>
      </c>
      <c r="V1042">
        <v>1163</v>
      </c>
      <c r="W1042">
        <v>13.22</v>
      </c>
      <c r="X1042" t="s">
        <v>6635</v>
      </c>
      <c r="Y1042" t="s">
        <v>7068</v>
      </c>
      <c r="Z1042">
        <v>1.77</v>
      </c>
      <c r="AA1042">
        <v>187</v>
      </c>
      <c r="AB1042">
        <v>1111</v>
      </c>
      <c r="AC1042">
        <v>3.06</v>
      </c>
      <c r="AD1042" t="s">
        <v>7069</v>
      </c>
      <c r="AE1042" t="s">
        <v>7070</v>
      </c>
      <c r="AF1042" t="s">
        <v>7069</v>
      </c>
      <c r="AG1042" t="s">
        <v>7070</v>
      </c>
      <c r="AH1042">
        <v>-5.82</v>
      </c>
      <c r="AI1042">
        <v>-5.82</v>
      </c>
      <c r="AJ1042">
        <v>1.36</v>
      </c>
      <c r="AK1042">
        <v>2.44</v>
      </c>
      <c r="AL1042">
        <v>-1</v>
      </c>
      <c r="AM1042">
        <v>-3.75</v>
      </c>
      <c r="AN1042">
        <v>-19.04</v>
      </c>
      <c r="AO1042">
        <v>-6.76</v>
      </c>
      <c r="AP1042">
        <v>-7.36</v>
      </c>
    </row>
    <row r="1043" spans="1:42">
      <c r="A1043">
        <v>1042</v>
      </c>
      <c r="B1043" t="str">
        <f>"688311"</f>
        <v>688311</v>
      </c>
      <c r="C1043" t="s">
        <v>7071</v>
      </c>
      <c r="D1043">
        <v>54.73</v>
      </c>
      <c r="E1043">
        <v>-0.45</v>
      </c>
      <c r="F1043">
        <v>-0.25</v>
      </c>
      <c r="G1043" t="s">
        <v>4974</v>
      </c>
      <c r="H1043">
        <v>1133</v>
      </c>
      <c r="I1043">
        <v>54.19</v>
      </c>
      <c r="J1043">
        <v>54.73</v>
      </c>
      <c r="K1043" t="s">
        <v>7033</v>
      </c>
      <c r="L1043">
        <v>2.25</v>
      </c>
      <c r="M1043" t="s">
        <v>46</v>
      </c>
      <c r="N1043" t="s">
        <v>4198</v>
      </c>
      <c r="O1043">
        <v>55.28</v>
      </c>
      <c r="P1043">
        <v>53.2</v>
      </c>
      <c r="Q1043">
        <v>55.28</v>
      </c>
      <c r="R1043">
        <v>54.98</v>
      </c>
      <c r="S1043">
        <v>3.78</v>
      </c>
      <c r="T1043">
        <v>0.81</v>
      </c>
      <c r="U1043">
        <v>67.23</v>
      </c>
      <c r="V1043">
        <v>101</v>
      </c>
      <c r="W1043">
        <v>54.08</v>
      </c>
      <c r="X1043" t="s">
        <v>1455</v>
      </c>
      <c r="Y1043" t="s">
        <v>1692</v>
      </c>
      <c r="Z1043">
        <v>1.2</v>
      </c>
      <c r="AA1043">
        <v>5</v>
      </c>
      <c r="AB1043">
        <v>9</v>
      </c>
      <c r="AC1043">
        <v>5.03</v>
      </c>
      <c r="AD1043" t="s">
        <v>7072</v>
      </c>
      <c r="AE1043" t="s">
        <v>7073</v>
      </c>
      <c r="AF1043" t="s">
        <v>7074</v>
      </c>
      <c r="AG1043" t="s">
        <v>7075</v>
      </c>
      <c r="AH1043">
        <v>1.09</v>
      </c>
      <c r="AI1043">
        <v>0.31</v>
      </c>
      <c r="AJ1043">
        <v>7.72</v>
      </c>
      <c r="AK1043">
        <v>16.2</v>
      </c>
      <c r="AL1043">
        <v>-2</v>
      </c>
      <c r="AM1043">
        <v>-0.45</v>
      </c>
      <c r="AN1043">
        <v>-5.65</v>
      </c>
      <c r="AO1043">
        <v>9.9</v>
      </c>
      <c r="AP1043">
        <v>-6.48</v>
      </c>
    </row>
    <row r="1044" spans="1:42">
      <c r="A1044">
        <v>1043</v>
      </c>
      <c r="B1044" t="str">
        <f>"002026"</f>
        <v>002026</v>
      </c>
      <c r="C1044" t="s">
        <v>7076</v>
      </c>
      <c r="D1044">
        <v>10.17</v>
      </c>
      <c r="E1044">
        <v>-2.87</v>
      </c>
      <c r="F1044">
        <v>-0.3</v>
      </c>
      <c r="G1044" t="s">
        <v>2382</v>
      </c>
      <c r="H1044">
        <v>3117</v>
      </c>
      <c r="I1044">
        <v>10.17</v>
      </c>
      <c r="J1044">
        <v>10.18</v>
      </c>
      <c r="K1044" t="s">
        <v>7077</v>
      </c>
      <c r="L1044">
        <v>4.45</v>
      </c>
      <c r="M1044" t="s">
        <v>46</v>
      </c>
      <c r="N1044" t="s">
        <v>360</v>
      </c>
      <c r="O1044">
        <v>10.38</v>
      </c>
      <c r="P1044">
        <v>10.12</v>
      </c>
      <c r="Q1044">
        <v>10.27</v>
      </c>
      <c r="R1044">
        <v>10.47</v>
      </c>
      <c r="S1044">
        <v>2.48</v>
      </c>
      <c r="T1044">
        <v>0.93</v>
      </c>
      <c r="U1044">
        <v>43.9</v>
      </c>
      <c r="V1044">
        <v>2350</v>
      </c>
      <c r="W1044">
        <v>10.2</v>
      </c>
      <c r="X1044" t="s">
        <v>4356</v>
      </c>
      <c r="Y1044" t="s">
        <v>6698</v>
      </c>
      <c r="Z1044">
        <v>1.51</v>
      </c>
      <c r="AA1044">
        <v>652</v>
      </c>
      <c r="AB1044">
        <v>121</v>
      </c>
      <c r="AC1044">
        <v>1.35</v>
      </c>
      <c r="AD1044" t="s">
        <v>7078</v>
      </c>
      <c r="AE1044" t="s">
        <v>7079</v>
      </c>
      <c r="AF1044" t="s">
        <v>7080</v>
      </c>
      <c r="AG1044" t="s">
        <v>7081</v>
      </c>
      <c r="AH1044">
        <v>2.62</v>
      </c>
      <c r="AI1044">
        <v>5.28</v>
      </c>
      <c r="AJ1044">
        <v>20.62</v>
      </c>
      <c r="AK1044">
        <v>28.35</v>
      </c>
      <c r="AL1044">
        <v>-2</v>
      </c>
      <c r="AM1044">
        <v>-2.87</v>
      </c>
      <c r="AN1044">
        <v>7.85</v>
      </c>
      <c r="AO1044">
        <v>12.38</v>
      </c>
      <c r="AP1044">
        <v>-1.93</v>
      </c>
    </row>
    <row r="1045" spans="1:42">
      <c r="A1045">
        <v>1044</v>
      </c>
      <c r="B1045" t="str">
        <f>"601998"</f>
        <v>601998</v>
      </c>
      <c r="C1045" t="s">
        <v>7082</v>
      </c>
      <c r="D1045">
        <v>5.46</v>
      </c>
      <c r="E1045">
        <v>1.3</v>
      </c>
      <c r="F1045">
        <v>0.07</v>
      </c>
      <c r="G1045" t="s">
        <v>7083</v>
      </c>
      <c r="H1045">
        <v>2344</v>
      </c>
      <c r="I1045">
        <v>5.45</v>
      </c>
      <c r="J1045">
        <v>5.46</v>
      </c>
      <c r="K1045" t="s">
        <v>7077</v>
      </c>
      <c r="L1045">
        <v>0.1</v>
      </c>
      <c r="M1045" t="s">
        <v>46</v>
      </c>
      <c r="N1045" t="s">
        <v>4935</v>
      </c>
      <c r="O1045">
        <v>5.48</v>
      </c>
      <c r="P1045">
        <v>5.37</v>
      </c>
      <c r="Q1045">
        <v>5.39</v>
      </c>
      <c r="R1045">
        <v>5.39</v>
      </c>
      <c r="S1045">
        <v>2.04</v>
      </c>
      <c r="T1045">
        <v>1.32</v>
      </c>
      <c r="U1045">
        <v>-52.07</v>
      </c>
      <c r="V1045" t="s">
        <v>7084</v>
      </c>
      <c r="W1045">
        <v>5.44</v>
      </c>
      <c r="X1045" t="s">
        <v>960</v>
      </c>
      <c r="Y1045" t="s">
        <v>1786</v>
      </c>
      <c r="Z1045">
        <v>0.65</v>
      </c>
      <c r="AA1045">
        <v>720</v>
      </c>
      <c r="AB1045">
        <v>4270</v>
      </c>
      <c r="AC1045">
        <v>0.46</v>
      </c>
      <c r="AD1045" t="s">
        <v>7085</v>
      </c>
      <c r="AE1045" t="s">
        <v>7086</v>
      </c>
      <c r="AF1045" t="s">
        <v>7087</v>
      </c>
      <c r="AG1045" t="s">
        <v>7088</v>
      </c>
      <c r="AH1045">
        <v>0.92</v>
      </c>
      <c r="AI1045">
        <v>0.18</v>
      </c>
      <c r="AJ1045">
        <v>0.29</v>
      </c>
      <c r="AK1045">
        <v>0.5</v>
      </c>
      <c r="AL1045">
        <v>2</v>
      </c>
      <c r="AM1045">
        <v>1.3</v>
      </c>
      <c r="AN1045">
        <v>17.42</v>
      </c>
      <c r="AO1045">
        <v>0.18</v>
      </c>
      <c r="AP1045">
        <v>23.53</v>
      </c>
    </row>
    <row r="1046" spans="1:42">
      <c r="A1046">
        <v>1045</v>
      </c>
      <c r="B1046" t="str">
        <f>"601555"</f>
        <v>601555</v>
      </c>
      <c r="C1046" t="s">
        <v>7089</v>
      </c>
      <c r="D1046">
        <v>7.71</v>
      </c>
      <c r="E1046">
        <v>0.52</v>
      </c>
      <c r="F1046">
        <v>0.04</v>
      </c>
      <c r="G1046" t="s">
        <v>1347</v>
      </c>
      <c r="H1046">
        <v>4748</v>
      </c>
      <c r="I1046">
        <v>7.7</v>
      </c>
      <c r="J1046">
        <v>7.71</v>
      </c>
      <c r="K1046" t="s">
        <v>7077</v>
      </c>
      <c r="L1046">
        <v>0.5</v>
      </c>
      <c r="M1046" t="s">
        <v>46</v>
      </c>
      <c r="N1046" t="s">
        <v>7090</v>
      </c>
      <c r="O1046">
        <v>7.72</v>
      </c>
      <c r="P1046">
        <v>7.65</v>
      </c>
      <c r="Q1046">
        <v>7.66</v>
      </c>
      <c r="R1046">
        <v>7.67</v>
      </c>
      <c r="S1046">
        <v>0.91</v>
      </c>
      <c r="T1046">
        <v>0.84</v>
      </c>
      <c r="U1046">
        <v>2.99</v>
      </c>
      <c r="V1046">
        <v>855</v>
      </c>
      <c r="W1046">
        <v>7.69</v>
      </c>
      <c r="X1046" t="s">
        <v>3971</v>
      </c>
      <c r="Y1046" t="s">
        <v>1986</v>
      </c>
      <c r="Z1046">
        <v>1.02</v>
      </c>
      <c r="AA1046">
        <v>1379</v>
      </c>
      <c r="AB1046">
        <v>124</v>
      </c>
      <c r="AC1046">
        <v>0.98</v>
      </c>
      <c r="AD1046" t="s">
        <v>7091</v>
      </c>
      <c r="AE1046" t="s">
        <v>7092</v>
      </c>
      <c r="AF1046" t="s">
        <v>7091</v>
      </c>
      <c r="AG1046" t="s">
        <v>7092</v>
      </c>
      <c r="AH1046">
        <v>-0.52</v>
      </c>
      <c r="AI1046">
        <v>-2.53</v>
      </c>
      <c r="AJ1046">
        <v>1.84</v>
      </c>
      <c r="AK1046">
        <v>3.5</v>
      </c>
      <c r="AL1046">
        <v>1</v>
      </c>
      <c r="AM1046">
        <v>0.52</v>
      </c>
      <c r="AN1046">
        <v>21.04</v>
      </c>
      <c r="AO1046">
        <v>-2.03</v>
      </c>
      <c r="AP1046">
        <v>15.77</v>
      </c>
    </row>
    <row r="1047" spans="1:42">
      <c r="A1047">
        <v>1046</v>
      </c>
      <c r="B1047" t="str">
        <f>"002311"</f>
        <v>002311</v>
      </c>
      <c r="C1047" t="s">
        <v>7093</v>
      </c>
      <c r="D1047">
        <v>43.5</v>
      </c>
      <c r="E1047">
        <v>-1.58</v>
      </c>
      <c r="F1047">
        <v>-0.7</v>
      </c>
      <c r="G1047" t="s">
        <v>4766</v>
      </c>
      <c r="H1047">
        <v>411</v>
      </c>
      <c r="I1047">
        <v>43.5</v>
      </c>
      <c r="J1047">
        <v>43.51</v>
      </c>
      <c r="K1047" t="s">
        <v>7077</v>
      </c>
      <c r="L1047">
        <v>0.27</v>
      </c>
      <c r="M1047" t="s">
        <v>46</v>
      </c>
      <c r="N1047" t="s">
        <v>7094</v>
      </c>
      <c r="O1047">
        <v>44.03</v>
      </c>
      <c r="P1047">
        <v>43.01</v>
      </c>
      <c r="Q1047">
        <v>44.01</v>
      </c>
      <c r="R1047">
        <v>44.2</v>
      </c>
      <c r="S1047">
        <v>2.31</v>
      </c>
      <c r="T1047">
        <v>0.98</v>
      </c>
      <c r="U1047">
        <v>81.14</v>
      </c>
      <c r="V1047">
        <v>370</v>
      </c>
      <c r="W1047">
        <v>43.38</v>
      </c>
      <c r="X1047" t="s">
        <v>3151</v>
      </c>
      <c r="Y1047" t="s">
        <v>3116</v>
      </c>
      <c r="Z1047">
        <v>1.1</v>
      </c>
      <c r="AA1047">
        <v>386</v>
      </c>
      <c r="AB1047">
        <v>6</v>
      </c>
      <c r="AC1047">
        <v>3.75</v>
      </c>
      <c r="AD1047" t="s">
        <v>6986</v>
      </c>
      <c r="AE1047" t="s">
        <v>7095</v>
      </c>
      <c r="AF1047" t="s">
        <v>7096</v>
      </c>
      <c r="AG1047" t="s">
        <v>7097</v>
      </c>
      <c r="AH1047">
        <v>-2.29</v>
      </c>
      <c r="AI1047">
        <v>-5</v>
      </c>
      <c r="AJ1047">
        <v>0.94</v>
      </c>
      <c r="AK1047">
        <v>1.64</v>
      </c>
      <c r="AL1047">
        <v>-1</v>
      </c>
      <c r="AM1047">
        <v>-1.58</v>
      </c>
      <c r="AN1047">
        <v>-29.01</v>
      </c>
      <c r="AO1047">
        <v>-3.01</v>
      </c>
      <c r="AP1047">
        <v>-24.78</v>
      </c>
    </row>
    <row r="1048" spans="1:42">
      <c r="A1048">
        <v>1047</v>
      </c>
      <c r="B1048" t="str">
        <f>"600127"</f>
        <v>600127</v>
      </c>
      <c r="C1048" t="s">
        <v>7098</v>
      </c>
      <c r="D1048">
        <v>7.68</v>
      </c>
      <c r="E1048">
        <v>0.13</v>
      </c>
      <c r="F1048">
        <v>0.01</v>
      </c>
      <c r="G1048" t="s">
        <v>1347</v>
      </c>
      <c r="H1048">
        <v>3299</v>
      </c>
      <c r="I1048">
        <v>7.68</v>
      </c>
      <c r="J1048">
        <v>7.69</v>
      </c>
      <c r="K1048" t="s">
        <v>7077</v>
      </c>
      <c r="L1048">
        <v>3.92</v>
      </c>
      <c r="M1048" t="s">
        <v>46</v>
      </c>
      <c r="N1048" t="s">
        <v>6704</v>
      </c>
      <c r="O1048">
        <v>7.79</v>
      </c>
      <c r="P1048">
        <v>7.64</v>
      </c>
      <c r="Q1048">
        <v>7.66</v>
      </c>
      <c r="R1048">
        <v>7.67</v>
      </c>
      <c r="S1048">
        <v>1.96</v>
      </c>
      <c r="T1048">
        <v>1.32</v>
      </c>
      <c r="U1048">
        <v>52.84</v>
      </c>
      <c r="V1048" t="s">
        <v>1254</v>
      </c>
      <c r="W1048">
        <v>7.71</v>
      </c>
      <c r="X1048" t="s">
        <v>1987</v>
      </c>
      <c r="Y1048" t="s">
        <v>1790</v>
      </c>
      <c r="Z1048">
        <v>1.08</v>
      </c>
      <c r="AA1048">
        <v>1510</v>
      </c>
      <c r="AB1048">
        <v>2830</v>
      </c>
      <c r="AC1048">
        <v>7.17</v>
      </c>
      <c r="AD1048" t="s">
        <v>7099</v>
      </c>
      <c r="AE1048" t="s">
        <v>7100</v>
      </c>
      <c r="AF1048" t="s">
        <v>7099</v>
      </c>
      <c r="AG1048" t="s">
        <v>7100</v>
      </c>
      <c r="AH1048">
        <v>-0.13</v>
      </c>
      <c r="AI1048">
        <v>2.13</v>
      </c>
      <c r="AJ1048">
        <v>10.05</v>
      </c>
      <c r="AK1048">
        <v>18.74</v>
      </c>
      <c r="AL1048">
        <v>2</v>
      </c>
      <c r="AM1048">
        <v>0.13</v>
      </c>
      <c r="AN1048">
        <v>-0.13</v>
      </c>
      <c r="AO1048">
        <v>1.72</v>
      </c>
      <c r="AP1048">
        <v>-1.29</v>
      </c>
    </row>
    <row r="1049" spans="1:42">
      <c r="A1049">
        <v>1048</v>
      </c>
      <c r="B1049" t="str">
        <f>"003004"</f>
        <v>003004</v>
      </c>
      <c r="C1049" t="s">
        <v>7101</v>
      </c>
      <c r="D1049">
        <v>29.71</v>
      </c>
      <c r="E1049">
        <v>-4.25</v>
      </c>
      <c r="F1049">
        <v>-1.32</v>
      </c>
      <c r="G1049" t="s">
        <v>4250</v>
      </c>
      <c r="H1049">
        <v>1547</v>
      </c>
      <c r="I1049">
        <v>29.71</v>
      </c>
      <c r="J1049">
        <v>29.72</v>
      </c>
      <c r="K1049" t="s">
        <v>7077</v>
      </c>
      <c r="L1049">
        <v>19.44</v>
      </c>
      <c r="M1049" t="s">
        <v>46</v>
      </c>
      <c r="N1049" t="s">
        <v>7102</v>
      </c>
      <c r="O1049">
        <v>30.21</v>
      </c>
      <c r="P1049">
        <v>29.26</v>
      </c>
      <c r="Q1049">
        <v>30.1</v>
      </c>
      <c r="R1049">
        <v>31.03</v>
      </c>
      <c r="S1049">
        <v>3.06</v>
      </c>
      <c r="T1049">
        <v>2.14</v>
      </c>
      <c r="U1049">
        <v>82.57</v>
      </c>
      <c r="V1049">
        <v>673</v>
      </c>
      <c r="W1049">
        <v>29.63</v>
      </c>
      <c r="X1049" t="s">
        <v>5983</v>
      </c>
      <c r="Y1049" t="s">
        <v>117</v>
      </c>
      <c r="Z1049">
        <v>1.52</v>
      </c>
      <c r="AA1049">
        <v>286</v>
      </c>
      <c r="AB1049">
        <v>24</v>
      </c>
      <c r="AC1049">
        <v>3.48</v>
      </c>
      <c r="AD1049" t="s">
        <v>7103</v>
      </c>
      <c r="AE1049" t="s">
        <v>7104</v>
      </c>
      <c r="AF1049" t="s">
        <v>7105</v>
      </c>
      <c r="AG1049" t="s">
        <v>7106</v>
      </c>
      <c r="AH1049">
        <v>1.57</v>
      </c>
      <c r="AI1049">
        <v>2.45</v>
      </c>
      <c r="AJ1049">
        <v>56.6</v>
      </c>
      <c r="AK1049">
        <v>64.86</v>
      </c>
      <c r="AL1049">
        <v>-2</v>
      </c>
      <c r="AM1049">
        <v>-4.25</v>
      </c>
      <c r="AN1049">
        <v>14.23</v>
      </c>
      <c r="AO1049">
        <v>6.53</v>
      </c>
      <c r="AP1049">
        <v>-19.66</v>
      </c>
    </row>
    <row r="1050" spans="1:42">
      <c r="A1050">
        <v>1049</v>
      </c>
      <c r="B1050" t="str">
        <f>"300975"</f>
        <v>300975</v>
      </c>
      <c r="C1050" t="s">
        <v>7107</v>
      </c>
      <c r="D1050">
        <v>8.52</v>
      </c>
      <c r="E1050">
        <v>-1.16</v>
      </c>
      <c r="F1050">
        <v>-0.1</v>
      </c>
      <c r="G1050" t="s">
        <v>5519</v>
      </c>
      <c r="H1050">
        <v>6111</v>
      </c>
      <c r="I1050">
        <v>8.52</v>
      </c>
      <c r="J1050">
        <v>8.53</v>
      </c>
      <c r="K1050" t="s">
        <v>7108</v>
      </c>
      <c r="L1050">
        <v>7.03</v>
      </c>
      <c r="M1050" t="s">
        <v>46</v>
      </c>
      <c r="N1050" t="s">
        <v>7109</v>
      </c>
      <c r="O1050">
        <v>8.64</v>
      </c>
      <c r="P1050">
        <v>8.36</v>
      </c>
      <c r="Q1050">
        <v>8.58</v>
      </c>
      <c r="R1050">
        <v>8.62</v>
      </c>
      <c r="S1050">
        <v>3.25</v>
      </c>
      <c r="T1050">
        <v>0.71</v>
      </c>
      <c r="U1050">
        <v>46.44</v>
      </c>
      <c r="V1050">
        <v>3560</v>
      </c>
      <c r="W1050">
        <v>8.49</v>
      </c>
      <c r="X1050" t="s">
        <v>368</v>
      </c>
      <c r="Y1050" t="s">
        <v>643</v>
      </c>
      <c r="Z1050">
        <v>1.41</v>
      </c>
      <c r="AA1050">
        <v>1431</v>
      </c>
      <c r="AB1050">
        <v>112</v>
      </c>
      <c r="AC1050">
        <v>3.11</v>
      </c>
      <c r="AD1050" t="s">
        <v>7110</v>
      </c>
      <c r="AE1050" t="s">
        <v>3761</v>
      </c>
      <c r="AF1050" t="s">
        <v>7111</v>
      </c>
      <c r="AG1050" t="s">
        <v>7112</v>
      </c>
      <c r="AH1050">
        <v>0</v>
      </c>
      <c r="AI1050">
        <v>-0.81</v>
      </c>
      <c r="AJ1050">
        <v>40.93</v>
      </c>
      <c r="AK1050">
        <v>56.85</v>
      </c>
      <c r="AL1050">
        <v>-2</v>
      </c>
      <c r="AM1050">
        <v>-1.16</v>
      </c>
      <c r="AN1050">
        <v>38.76</v>
      </c>
      <c r="AO1050">
        <v>3.15</v>
      </c>
      <c r="AP1050">
        <v>23.66</v>
      </c>
    </row>
    <row r="1051" spans="1:42">
      <c r="A1051">
        <v>1050</v>
      </c>
      <c r="B1051" t="str">
        <f>"300442"</f>
        <v>300442</v>
      </c>
      <c r="C1051" t="s">
        <v>7113</v>
      </c>
      <c r="D1051">
        <v>26.7</v>
      </c>
      <c r="E1051">
        <v>-1.11</v>
      </c>
      <c r="F1051">
        <v>-0.3</v>
      </c>
      <c r="G1051" t="s">
        <v>7114</v>
      </c>
      <c r="H1051">
        <v>871</v>
      </c>
      <c r="I1051">
        <v>26.69</v>
      </c>
      <c r="J1051">
        <v>26.7</v>
      </c>
      <c r="K1051" t="s">
        <v>7108</v>
      </c>
      <c r="L1051">
        <v>2.01</v>
      </c>
      <c r="M1051" t="s">
        <v>46</v>
      </c>
      <c r="N1051" t="s">
        <v>3721</v>
      </c>
      <c r="O1051">
        <v>26.94</v>
      </c>
      <c r="P1051">
        <v>26.45</v>
      </c>
      <c r="Q1051">
        <v>26.58</v>
      </c>
      <c r="R1051">
        <v>27</v>
      </c>
      <c r="S1051">
        <v>1.81</v>
      </c>
      <c r="T1051">
        <v>0.74</v>
      </c>
      <c r="U1051">
        <v>-55.99</v>
      </c>
      <c r="V1051">
        <v>-509</v>
      </c>
      <c r="W1051">
        <v>26.72</v>
      </c>
      <c r="X1051" t="s">
        <v>6314</v>
      </c>
      <c r="Y1051" t="s">
        <v>4974</v>
      </c>
      <c r="Z1051">
        <v>1.01</v>
      </c>
      <c r="AA1051">
        <v>25</v>
      </c>
      <c r="AB1051">
        <v>124</v>
      </c>
      <c r="AC1051">
        <v>5.8</v>
      </c>
      <c r="AD1051" t="s">
        <v>7115</v>
      </c>
      <c r="AE1051" t="s">
        <v>7116</v>
      </c>
      <c r="AF1051" t="s">
        <v>7117</v>
      </c>
      <c r="AG1051" t="s">
        <v>7118</v>
      </c>
      <c r="AH1051">
        <v>-1.48</v>
      </c>
      <c r="AI1051">
        <v>-0.37</v>
      </c>
      <c r="AJ1051">
        <v>9.71</v>
      </c>
      <c r="AK1051">
        <v>15.69</v>
      </c>
      <c r="AL1051">
        <v>-1</v>
      </c>
      <c r="AM1051">
        <v>-1.11</v>
      </c>
      <c r="AN1051">
        <v>15.38</v>
      </c>
      <c r="AO1051">
        <v>17.47</v>
      </c>
      <c r="AP1051">
        <v>5.78</v>
      </c>
    </row>
    <row r="1052" spans="1:42">
      <c r="A1052">
        <v>1051</v>
      </c>
      <c r="B1052" t="str">
        <f>"002825"</f>
        <v>002825</v>
      </c>
      <c r="C1052" t="s">
        <v>7119</v>
      </c>
      <c r="D1052">
        <v>8.84</v>
      </c>
      <c r="E1052">
        <v>0.45</v>
      </c>
      <c r="F1052">
        <v>0.04</v>
      </c>
      <c r="G1052" t="s">
        <v>1447</v>
      </c>
      <c r="H1052">
        <v>9495</v>
      </c>
      <c r="I1052">
        <v>8.84</v>
      </c>
      <c r="J1052">
        <v>8.85</v>
      </c>
      <c r="K1052" t="s">
        <v>7108</v>
      </c>
      <c r="L1052">
        <v>8.58</v>
      </c>
      <c r="M1052" t="s">
        <v>46</v>
      </c>
      <c r="N1052" t="s">
        <v>7120</v>
      </c>
      <c r="O1052">
        <v>8.92</v>
      </c>
      <c r="P1052">
        <v>8.51</v>
      </c>
      <c r="Q1052">
        <v>8.76</v>
      </c>
      <c r="R1052">
        <v>8.8</v>
      </c>
      <c r="S1052">
        <v>4.66</v>
      </c>
      <c r="T1052">
        <v>1.23</v>
      </c>
      <c r="U1052">
        <v>1.11</v>
      </c>
      <c r="V1052">
        <v>47</v>
      </c>
      <c r="W1052">
        <v>8.72</v>
      </c>
      <c r="X1052" t="s">
        <v>2960</v>
      </c>
      <c r="Y1052" t="s">
        <v>881</v>
      </c>
      <c r="Z1052">
        <v>1.11</v>
      </c>
      <c r="AA1052">
        <v>514</v>
      </c>
      <c r="AB1052">
        <v>768</v>
      </c>
      <c r="AC1052">
        <v>2.22</v>
      </c>
      <c r="AD1052" t="s">
        <v>7121</v>
      </c>
      <c r="AE1052" t="s">
        <v>7122</v>
      </c>
      <c r="AF1052" t="s">
        <v>7123</v>
      </c>
      <c r="AG1052" t="s">
        <v>7124</v>
      </c>
      <c r="AH1052">
        <v>-3.28</v>
      </c>
      <c r="AI1052">
        <v>5.74</v>
      </c>
      <c r="AJ1052">
        <v>31.67</v>
      </c>
      <c r="AK1052">
        <v>43.42</v>
      </c>
      <c r="AL1052">
        <v>2</v>
      </c>
      <c r="AM1052">
        <v>0.45</v>
      </c>
      <c r="AN1052">
        <v>6.51</v>
      </c>
      <c r="AO1052">
        <v>11.9</v>
      </c>
      <c r="AP1052">
        <v>-1.89</v>
      </c>
    </row>
    <row r="1053" spans="1:42">
      <c r="A1053">
        <v>1052</v>
      </c>
      <c r="B1053" t="str">
        <f>"300525"</f>
        <v>300525</v>
      </c>
      <c r="C1053" t="s">
        <v>7125</v>
      </c>
      <c r="D1053">
        <v>15.27</v>
      </c>
      <c r="E1053">
        <v>1.26</v>
      </c>
      <c r="F1053">
        <v>0.19</v>
      </c>
      <c r="G1053" t="s">
        <v>3971</v>
      </c>
      <c r="H1053">
        <v>435</v>
      </c>
      <c r="I1053">
        <v>15.26</v>
      </c>
      <c r="J1053">
        <v>15.27</v>
      </c>
      <c r="K1053" t="s">
        <v>7108</v>
      </c>
      <c r="L1053">
        <v>2.07</v>
      </c>
      <c r="M1053" t="s">
        <v>46</v>
      </c>
      <c r="N1053" t="s">
        <v>261</v>
      </c>
      <c r="O1053">
        <v>15.68</v>
      </c>
      <c r="P1053">
        <v>15</v>
      </c>
      <c r="Q1053">
        <v>15.12</v>
      </c>
      <c r="R1053">
        <v>15.08</v>
      </c>
      <c r="S1053">
        <v>4.51</v>
      </c>
      <c r="T1053">
        <v>1.75</v>
      </c>
      <c r="U1053">
        <v>-13.85</v>
      </c>
      <c r="V1053">
        <v>-191</v>
      </c>
      <c r="W1053">
        <v>15.24</v>
      </c>
      <c r="X1053" t="s">
        <v>4250</v>
      </c>
      <c r="Y1053" t="s">
        <v>7126</v>
      </c>
      <c r="Z1053">
        <v>1.07</v>
      </c>
      <c r="AA1053">
        <v>69</v>
      </c>
      <c r="AB1053">
        <v>38</v>
      </c>
      <c r="AC1053">
        <v>4.75</v>
      </c>
      <c r="AD1053" t="s">
        <v>7127</v>
      </c>
      <c r="AE1053" t="s">
        <v>7128</v>
      </c>
      <c r="AF1053" t="s">
        <v>7129</v>
      </c>
      <c r="AG1053" t="s">
        <v>7130</v>
      </c>
      <c r="AH1053">
        <v>5.67</v>
      </c>
      <c r="AI1053">
        <v>2.55</v>
      </c>
      <c r="AJ1053">
        <v>5.01</v>
      </c>
      <c r="AK1053">
        <v>7.98</v>
      </c>
      <c r="AL1053">
        <v>3</v>
      </c>
      <c r="AM1053">
        <v>1.26</v>
      </c>
      <c r="AN1053">
        <v>-7</v>
      </c>
      <c r="AO1053">
        <v>7.54</v>
      </c>
      <c r="AP1053">
        <v>-13.63</v>
      </c>
    </row>
    <row r="1054" spans="1:42">
      <c r="A1054">
        <v>1053</v>
      </c>
      <c r="B1054" t="str">
        <f>"600737"</f>
        <v>600737</v>
      </c>
      <c r="C1054" t="s">
        <v>7131</v>
      </c>
      <c r="D1054">
        <v>8.62</v>
      </c>
      <c r="E1054">
        <v>-1.49</v>
      </c>
      <c r="F1054">
        <v>-0.13</v>
      </c>
      <c r="G1054" t="s">
        <v>1959</v>
      </c>
      <c r="H1054">
        <v>624</v>
      </c>
      <c r="I1054">
        <v>8.61</v>
      </c>
      <c r="J1054">
        <v>8.62</v>
      </c>
      <c r="K1054" t="s">
        <v>7108</v>
      </c>
      <c r="L1054">
        <v>1.05</v>
      </c>
      <c r="M1054" t="s">
        <v>46</v>
      </c>
      <c r="N1054" t="s">
        <v>2952</v>
      </c>
      <c r="O1054">
        <v>8.7</v>
      </c>
      <c r="P1054">
        <v>8.55</v>
      </c>
      <c r="Q1054">
        <v>8.66</v>
      </c>
      <c r="R1054">
        <v>8.75</v>
      </c>
      <c r="S1054">
        <v>1.71</v>
      </c>
      <c r="T1054">
        <v>1.37</v>
      </c>
      <c r="U1054">
        <v>7.14</v>
      </c>
      <c r="V1054">
        <v>455</v>
      </c>
      <c r="W1054">
        <v>8.62</v>
      </c>
      <c r="X1054" t="s">
        <v>829</v>
      </c>
      <c r="Y1054" t="s">
        <v>262</v>
      </c>
      <c r="Z1054">
        <v>0.98</v>
      </c>
      <c r="AA1054">
        <v>112</v>
      </c>
      <c r="AB1054">
        <v>216</v>
      </c>
      <c r="AC1054">
        <v>1.66</v>
      </c>
      <c r="AD1054" t="s">
        <v>7132</v>
      </c>
      <c r="AE1054" t="s">
        <v>7133</v>
      </c>
      <c r="AF1054" t="s">
        <v>7132</v>
      </c>
      <c r="AG1054" t="s">
        <v>7133</v>
      </c>
      <c r="AH1054">
        <v>-1.26</v>
      </c>
      <c r="AI1054">
        <v>1.06</v>
      </c>
      <c r="AJ1054">
        <v>2.75</v>
      </c>
      <c r="AK1054">
        <v>4.87</v>
      </c>
      <c r="AL1054">
        <v>-2</v>
      </c>
      <c r="AM1054">
        <v>-1.49</v>
      </c>
      <c r="AN1054">
        <v>33.85</v>
      </c>
      <c r="AO1054">
        <v>0.58</v>
      </c>
      <c r="AP1054">
        <v>33.23</v>
      </c>
    </row>
    <row r="1055" spans="1:42">
      <c r="A1055">
        <v>1054</v>
      </c>
      <c r="B1055" t="str">
        <f>"002280"</f>
        <v>002280</v>
      </c>
      <c r="C1055" t="s">
        <v>7134</v>
      </c>
      <c r="D1055">
        <v>2.92</v>
      </c>
      <c r="E1055">
        <v>4.29</v>
      </c>
      <c r="F1055">
        <v>0.12</v>
      </c>
      <c r="G1055" t="s">
        <v>1768</v>
      </c>
      <c r="H1055" t="s">
        <v>5183</v>
      </c>
      <c r="I1055">
        <v>2.91</v>
      </c>
      <c r="J1055">
        <v>2.92</v>
      </c>
      <c r="K1055" t="s">
        <v>7108</v>
      </c>
      <c r="L1055">
        <v>3.42</v>
      </c>
      <c r="M1055" t="s">
        <v>46</v>
      </c>
      <c r="N1055" t="s">
        <v>7135</v>
      </c>
      <c r="O1055">
        <v>2.93</v>
      </c>
      <c r="P1055">
        <v>2.75</v>
      </c>
      <c r="Q1055">
        <v>2.76</v>
      </c>
      <c r="R1055">
        <v>2.8</v>
      </c>
      <c r="S1055">
        <v>6.43</v>
      </c>
      <c r="T1055">
        <v>2.28</v>
      </c>
      <c r="U1055">
        <v>-46.93</v>
      </c>
      <c r="V1055" t="s">
        <v>7136</v>
      </c>
      <c r="W1055">
        <v>2.87</v>
      </c>
      <c r="X1055" t="s">
        <v>2178</v>
      </c>
      <c r="Y1055" t="s">
        <v>1147</v>
      </c>
      <c r="Z1055">
        <v>0.54</v>
      </c>
      <c r="AA1055">
        <v>1481</v>
      </c>
      <c r="AB1055" t="s">
        <v>4269</v>
      </c>
      <c r="AC1055">
        <v>27.87</v>
      </c>
      <c r="AD1055" t="s">
        <v>7137</v>
      </c>
      <c r="AE1055" t="s">
        <v>7138</v>
      </c>
      <c r="AF1055" t="s">
        <v>546</v>
      </c>
      <c r="AG1055" t="s">
        <v>2285</v>
      </c>
      <c r="AH1055">
        <v>4.29</v>
      </c>
      <c r="AI1055">
        <v>0.34</v>
      </c>
      <c r="AJ1055">
        <v>7.46</v>
      </c>
      <c r="AK1055">
        <v>10.92</v>
      </c>
      <c r="AL1055">
        <v>1</v>
      </c>
      <c r="AM1055">
        <v>4.29</v>
      </c>
      <c r="AN1055">
        <v>5.04</v>
      </c>
      <c r="AO1055">
        <v>3.18</v>
      </c>
      <c r="AP1055">
        <v>-0.34</v>
      </c>
    </row>
    <row r="1056" spans="1:42">
      <c r="A1056">
        <v>1055</v>
      </c>
      <c r="B1056" t="str">
        <f>"300458"</f>
        <v>300458</v>
      </c>
      <c r="C1056" t="s">
        <v>7139</v>
      </c>
      <c r="D1056">
        <v>24.08</v>
      </c>
      <c r="E1056">
        <v>1.35</v>
      </c>
      <c r="F1056">
        <v>0.32</v>
      </c>
      <c r="G1056" t="s">
        <v>3827</v>
      </c>
      <c r="H1056">
        <v>1755</v>
      </c>
      <c r="I1056">
        <v>24.07</v>
      </c>
      <c r="J1056">
        <v>24.08</v>
      </c>
      <c r="K1056" t="s">
        <v>3640</v>
      </c>
      <c r="L1056">
        <v>1.59</v>
      </c>
      <c r="M1056" t="s">
        <v>46</v>
      </c>
      <c r="N1056" t="s">
        <v>1645</v>
      </c>
      <c r="O1056">
        <v>24.15</v>
      </c>
      <c r="P1056">
        <v>23.55</v>
      </c>
      <c r="Q1056">
        <v>23.82</v>
      </c>
      <c r="R1056">
        <v>23.76</v>
      </c>
      <c r="S1056">
        <v>2.53</v>
      </c>
      <c r="T1056">
        <v>0.87</v>
      </c>
      <c r="U1056">
        <v>-34.66</v>
      </c>
      <c r="V1056">
        <v>-375</v>
      </c>
      <c r="W1056">
        <v>23.83</v>
      </c>
      <c r="X1056" t="s">
        <v>1321</v>
      </c>
      <c r="Y1056" t="s">
        <v>5975</v>
      </c>
      <c r="Z1056">
        <v>1.12</v>
      </c>
      <c r="AA1056">
        <v>64</v>
      </c>
      <c r="AB1056">
        <v>80</v>
      </c>
      <c r="AC1056">
        <v>5.26</v>
      </c>
      <c r="AD1056" t="s">
        <v>7140</v>
      </c>
      <c r="AE1056" t="s">
        <v>7141</v>
      </c>
      <c r="AF1056" t="s">
        <v>7142</v>
      </c>
      <c r="AG1056" t="s">
        <v>7143</v>
      </c>
      <c r="AH1056">
        <v>-0.62</v>
      </c>
      <c r="AI1056">
        <v>-2.23</v>
      </c>
      <c r="AJ1056">
        <v>5.02</v>
      </c>
      <c r="AK1056">
        <v>10.72</v>
      </c>
      <c r="AL1056">
        <v>1</v>
      </c>
      <c r="AM1056">
        <v>1.35</v>
      </c>
      <c r="AN1056">
        <v>19.15</v>
      </c>
      <c r="AO1056">
        <v>-4.56</v>
      </c>
      <c r="AP1056">
        <v>10.16</v>
      </c>
    </row>
    <row r="1057" spans="1:42">
      <c r="A1057">
        <v>1056</v>
      </c>
      <c r="B1057" t="str">
        <f>"603708"</f>
        <v>603708</v>
      </c>
      <c r="C1057" t="s">
        <v>7144</v>
      </c>
      <c r="D1057">
        <v>13.88</v>
      </c>
      <c r="E1057">
        <v>-2.94</v>
      </c>
      <c r="F1057">
        <v>-0.42</v>
      </c>
      <c r="G1057" t="s">
        <v>2753</v>
      </c>
      <c r="H1057">
        <v>833</v>
      </c>
      <c r="I1057">
        <v>13.86</v>
      </c>
      <c r="J1057">
        <v>13.88</v>
      </c>
      <c r="K1057" t="s">
        <v>3640</v>
      </c>
      <c r="L1057">
        <v>2.25</v>
      </c>
      <c r="M1057" t="s">
        <v>46</v>
      </c>
      <c r="N1057" t="s">
        <v>7145</v>
      </c>
      <c r="O1057">
        <v>14.55</v>
      </c>
      <c r="P1057">
        <v>13.8</v>
      </c>
      <c r="Q1057">
        <v>14.23</v>
      </c>
      <c r="R1057">
        <v>14.3</v>
      </c>
      <c r="S1057">
        <v>5.24</v>
      </c>
      <c r="T1057">
        <v>0.97</v>
      </c>
      <c r="U1057">
        <v>-3.17</v>
      </c>
      <c r="V1057">
        <v>-24</v>
      </c>
      <c r="W1057">
        <v>14.02</v>
      </c>
      <c r="X1057" t="s">
        <v>4169</v>
      </c>
      <c r="Y1057" t="s">
        <v>5270</v>
      </c>
      <c r="Z1057">
        <v>1.05</v>
      </c>
      <c r="AA1057">
        <v>11</v>
      </c>
      <c r="AB1057">
        <v>33</v>
      </c>
      <c r="AC1057">
        <v>3.59</v>
      </c>
      <c r="AD1057" t="s">
        <v>7146</v>
      </c>
      <c r="AE1057" t="s">
        <v>7147</v>
      </c>
      <c r="AF1057" t="s">
        <v>7148</v>
      </c>
      <c r="AG1057" t="s">
        <v>7149</v>
      </c>
      <c r="AH1057">
        <v>-1.98</v>
      </c>
      <c r="AI1057">
        <v>9.81</v>
      </c>
      <c r="AJ1057">
        <v>6.39</v>
      </c>
      <c r="AK1057">
        <v>13.82</v>
      </c>
      <c r="AL1057">
        <v>-1</v>
      </c>
      <c r="AM1057">
        <v>-2.94</v>
      </c>
      <c r="AN1057">
        <v>11.13</v>
      </c>
      <c r="AO1057">
        <v>25.95</v>
      </c>
      <c r="AP1057">
        <v>31.07</v>
      </c>
    </row>
    <row r="1058" spans="1:42">
      <c r="A1058">
        <v>1057</v>
      </c>
      <c r="B1058" t="str">
        <f>"601198"</f>
        <v>601198</v>
      </c>
      <c r="C1058" t="s">
        <v>7150</v>
      </c>
      <c r="D1058">
        <v>8.63</v>
      </c>
      <c r="E1058">
        <v>0</v>
      </c>
      <c r="F1058">
        <v>0</v>
      </c>
      <c r="G1058" t="s">
        <v>3139</v>
      </c>
      <c r="H1058">
        <v>2614</v>
      </c>
      <c r="I1058">
        <v>8.63</v>
      </c>
      <c r="J1058">
        <v>8.64</v>
      </c>
      <c r="K1058" t="s">
        <v>3640</v>
      </c>
      <c r="L1058">
        <v>0.69</v>
      </c>
      <c r="M1058" t="s">
        <v>46</v>
      </c>
      <c r="N1058" t="s">
        <v>7151</v>
      </c>
      <c r="O1058">
        <v>8.71</v>
      </c>
      <c r="P1058">
        <v>8.57</v>
      </c>
      <c r="Q1058">
        <v>8.64</v>
      </c>
      <c r="R1058">
        <v>8.63</v>
      </c>
      <c r="S1058">
        <v>1.62</v>
      </c>
      <c r="T1058">
        <v>0.76</v>
      </c>
      <c r="U1058">
        <v>6.98</v>
      </c>
      <c r="V1058">
        <v>1325</v>
      </c>
      <c r="W1058">
        <v>8.63</v>
      </c>
      <c r="X1058" t="s">
        <v>656</v>
      </c>
      <c r="Y1058" t="s">
        <v>829</v>
      </c>
      <c r="Z1058">
        <v>1.02</v>
      </c>
      <c r="AA1058">
        <v>1069</v>
      </c>
      <c r="AB1058">
        <v>897</v>
      </c>
      <c r="AC1058">
        <v>1.05</v>
      </c>
      <c r="AD1058" t="s">
        <v>6273</v>
      </c>
      <c r="AE1058" t="s">
        <v>4528</v>
      </c>
      <c r="AF1058" t="s">
        <v>6273</v>
      </c>
      <c r="AG1058" t="s">
        <v>4528</v>
      </c>
      <c r="AH1058">
        <v>0</v>
      </c>
      <c r="AI1058">
        <v>0</v>
      </c>
      <c r="AJ1058">
        <v>2.1</v>
      </c>
      <c r="AK1058">
        <v>5.24</v>
      </c>
      <c r="AL1058">
        <v>0</v>
      </c>
      <c r="AM1058">
        <v>0</v>
      </c>
      <c r="AN1058">
        <v>12.52</v>
      </c>
      <c r="AO1058">
        <v>7.34</v>
      </c>
      <c r="AP1058">
        <v>6.94</v>
      </c>
    </row>
    <row r="1059" spans="1:42">
      <c r="A1059">
        <v>1058</v>
      </c>
      <c r="B1059" t="str">
        <f>"603399"</f>
        <v>603399</v>
      </c>
      <c r="C1059" t="s">
        <v>7152</v>
      </c>
      <c r="D1059">
        <v>10.33</v>
      </c>
      <c r="E1059">
        <v>3.3</v>
      </c>
      <c r="F1059">
        <v>0.33</v>
      </c>
      <c r="G1059" t="s">
        <v>4161</v>
      </c>
      <c r="H1059">
        <v>1746</v>
      </c>
      <c r="I1059">
        <v>10.33</v>
      </c>
      <c r="J1059">
        <v>10.34</v>
      </c>
      <c r="K1059" t="s">
        <v>3640</v>
      </c>
      <c r="L1059">
        <v>3.64</v>
      </c>
      <c r="M1059" t="s">
        <v>46</v>
      </c>
      <c r="N1059" t="s">
        <v>7153</v>
      </c>
      <c r="O1059">
        <v>10.6</v>
      </c>
      <c r="P1059">
        <v>9.93</v>
      </c>
      <c r="Q1059">
        <v>9.96</v>
      </c>
      <c r="R1059">
        <v>10</v>
      </c>
      <c r="S1059">
        <v>6.7</v>
      </c>
      <c r="T1059">
        <v>2.12</v>
      </c>
      <c r="U1059">
        <v>47.42</v>
      </c>
      <c r="V1059">
        <v>2899</v>
      </c>
      <c r="W1059">
        <v>10.31</v>
      </c>
      <c r="X1059" t="s">
        <v>7154</v>
      </c>
      <c r="Y1059" t="s">
        <v>740</v>
      </c>
      <c r="Z1059">
        <v>0.8</v>
      </c>
      <c r="AA1059">
        <v>927</v>
      </c>
      <c r="AB1059">
        <v>335</v>
      </c>
      <c r="AC1059">
        <v>2.67</v>
      </c>
      <c r="AD1059" t="s">
        <v>7155</v>
      </c>
      <c r="AE1059" t="s">
        <v>7156</v>
      </c>
      <c r="AF1059" t="s">
        <v>7157</v>
      </c>
      <c r="AG1059" t="s">
        <v>7158</v>
      </c>
      <c r="AH1059">
        <v>1.27</v>
      </c>
      <c r="AI1059">
        <v>-1.43</v>
      </c>
      <c r="AJ1059">
        <v>6.24</v>
      </c>
      <c r="AK1059">
        <v>12.24</v>
      </c>
      <c r="AL1059">
        <v>1</v>
      </c>
      <c r="AM1059">
        <v>3.3</v>
      </c>
      <c r="AN1059">
        <v>-22.91</v>
      </c>
      <c r="AO1059">
        <v>-1.15</v>
      </c>
      <c r="AP1059">
        <v>-29.63</v>
      </c>
    </row>
    <row r="1060" spans="1:42">
      <c r="A1060">
        <v>1059</v>
      </c>
      <c r="B1060" t="str">
        <f>"688195"</f>
        <v>688195</v>
      </c>
      <c r="C1060" t="s">
        <v>7159</v>
      </c>
      <c r="D1060">
        <v>33.63</v>
      </c>
      <c r="E1060">
        <v>1.17</v>
      </c>
      <c r="F1060">
        <v>0.39</v>
      </c>
      <c r="G1060" t="s">
        <v>6732</v>
      </c>
      <c r="H1060">
        <v>569</v>
      </c>
      <c r="I1060">
        <v>33.63</v>
      </c>
      <c r="J1060">
        <v>33.64</v>
      </c>
      <c r="K1060" t="s">
        <v>3640</v>
      </c>
      <c r="L1060">
        <v>7.06</v>
      </c>
      <c r="M1060" t="s">
        <v>46</v>
      </c>
      <c r="N1060" t="s">
        <v>5820</v>
      </c>
      <c r="O1060">
        <v>33.88</v>
      </c>
      <c r="P1060">
        <v>32.6</v>
      </c>
      <c r="Q1060">
        <v>33.48</v>
      </c>
      <c r="R1060">
        <v>33.24</v>
      </c>
      <c r="S1060">
        <v>3.85</v>
      </c>
      <c r="T1060">
        <v>1.03</v>
      </c>
      <c r="U1060">
        <v>7.17</v>
      </c>
      <c r="V1060">
        <v>36</v>
      </c>
      <c r="W1060">
        <v>33.22</v>
      </c>
      <c r="X1060" t="s">
        <v>206</v>
      </c>
      <c r="Y1060" t="s">
        <v>7160</v>
      </c>
      <c r="Z1060">
        <v>1.19</v>
      </c>
      <c r="AA1060">
        <v>133</v>
      </c>
      <c r="AB1060">
        <v>10</v>
      </c>
      <c r="AC1060">
        <v>4.88</v>
      </c>
      <c r="AD1060" t="s">
        <v>7161</v>
      </c>
      <c r="AE1060" t="s">
        <v>7162</v>
      </c>
      <c r="AF1060" t="s">
        <v>7103</v>
      </c>
      <c r="AG1060" t="s">
        <v>4001</v>
      </c>
      <c r="AH1060">
        <v>-1.87</v>
      </c>
      <c r="AI1060">
        <v>-3.14</v>
      </c>
      <c r="AJ1060">
        <v>21.42</v>
      </c>
      <c r="AK1060">
        <v>41.28</v>
      </c>
      <c r="AL1060">
        <v>1</v>
      </c>
      <c r="AM1060">
        <v>1.17</v>
      </c>
      <c r="AN1060">
        <v>48.02</v>
      </c>
      <c r="AO1060">
        <v>8.76</v>
      </c>
      <c r="AP1060">
        <v>37.43</v>
      </c>
    </row>
    <row r="1061" spans="1:42">
      <c r="A1061">
        <v>1060</v>
      </c>
      <c r="B1061" t="str">
        <f>"301339"</f>
        <v>301339</v>
      </c>
      <c r="C1061" t="s">
        <v>7163</v>
      </c>
      <c r="D1061">
        <v>22.57</v>
      </c>
      <c r="E1061">
        <v>-2.04</v>
      </c>
      <c r="F1061">
        <v>-0.47</v>
      </c>
      <c r="G1061" t="s">
        <v>7164</v>
      </c>
      <c r="H1061">
        <v>869</v>
      </c>
      <c r="I1061">
        <v>22.57</v>
      </c>
      <c r="J1061">
        <v>22.58</v>
      </c>
      <c r="K1061" t="s">
        <v>3640</v>
      </c>
      <c r="L1061">
        <v>7.09</v>
      </c>
      <c r="M1061" t="s">
        <v>46</v>
      </c>
      <c r="N1061" t="s">
        <v>3173</v>
      </c>
      <c r="O1061">
        <v>22.9</v>
      </c>
      <c r="P1061">
        <v>22.31</v>
      </c>
      <c r="Q1061">
        <v>22.89</v>
      </c>
      <c r="R1061">
        <v>23.04</v>
      </c>
      <c r="S1061">
        <v>2.56</v>
      </c>
      <c r="T1061">
        <v>1.17</v>
      </c>
      <c r="U1061">
        <v>17.22</v>
      </c>
      <c r="V1061">
        <v>147</v>
      </c>
      <c r="W1061">
        <v>22.53</v>
      </c>
      <c r="X1061" t="s">
        <v>2559</v>
      </c>
      <c r="Y1061" t="s">
        <v>5355</v>
      </c>
      <c r="Z1061">
        <v>1.1</v>
      </c>
      <c r="AA1061">
        <v>224</v>
      </c>
      <c r="AB1061">
        <v>53</v>
      </c>
      <c r="AC1061">
        <v>3.61</v>
      </c>
      <c r="AD1061" t="s">
        <v>7165</v>
      </c>
      <c r="AE1061" t="s">
        <v>7166</v>
      </c>
      <c r="AF1061" t="s">
        <v>5210</v>
      </c>
      <c r="AG1061" t="s">
        <v>7167</v>
      </c>
      <c r="AH1061">
        <v>-7.99</v>
      </c>
      <c r="AI1061">
        <v>-7.84</v>
      </c>
      <c r="AJ1061">
        <v>18.79</v>
      </c>
      <c r="AK1061">
        <v>37.35</v>
      </c>
      <c r="AL1061">
        <v>-3</v>
      </c>
      <c r="AM1061">
        <v>-2.04</v>
      </c>
      <c r="AN1061">
        <v>37.62</v>
      </c>
      <c r="AO1061">
        <v>4.15</v>
      </c>
      <c r="AP1061">
        <v>23.81</v>
      </c>
    </row>
    <row r="1062" spans="1:42">
      <c r="A1062">
        <v>1061</v>
      </c>
      <c r="B1062" t="str">
        <f>"002467"</f>
        <v>002467</v>
      </c>
      <c r="C1062" t="s">
        <v>7168</v>
      </c>
      <c r="D1062">
        <v>4.99</v>
      </c>
      <c r="E1062">
        <v>3.1</v>
      </c>
      <c r="F1062">
        <v>0.15</v>
      </c>
      <c r="G1062" t="s">
        <v>7169</v>
      </c>
      <c r="H1062">
        <v>2890</v>
      </c>
      <c r="I1062">
        <v>4.99</v>
      </c>
      <c r="J1062">
        <v>5</v>
      </c>
      <c r="K1062" t="s">
        <v>3640</v>
      </c>
      <c r="L1062">
        <v>2.86</v>
      </c>
      <c r="M1062" t="s">
        <v>46</v>
      </c>
      <c r="N1062" t="s">
        <v>7170</v>
      </c>
      <c r="O1062">
        <v>5.01</v>
      </c>
      <c r="P1062">
        <v>4.82</v>
      </c>
      <c r="Q1062">
        <v>4.83</v>
      </c>
      <c r="R1062">
        <v>4.84</v>
      </c>
      <c r="S1062">
        <v>3.93</v>
      </c>
      <c r="T1062">
        <v>1.17</v>
      </c>
      <c r="U1062">
        <v>-61.61</v>
      </c>
      <c r="V1062" t="s">
        <v>7171</v>
      </c>
      <c r="W1062">
        <v>4.93</v>
      </c>
      <c r="X1062" t="s">
        <v>1207</v>
      </c>
      <c r="Y1062" t="s">
        <v>443</v>
      </c>
      <c r="Z1062">
        <v>0.56</v>
      </c>
      <c r="AA1062">
        <v>1078</v>
      </c>
      <c r="AB1062">
        <v>2176</v>
      </c>
      <c r="AC1062">
        <v>3.22</v>
      </c>
      <c r="AD1062" t="s">
        <v>7172</v>
      </c>
      <c r="AE1062" t="s">
        <v>7173</v>
      </c>
      <c r="AF1062" t="s">
        <v>7174</v>
      </c>
      <c r="AG1062" t="s">
        <v>7175</v>
      </c>
      <c r="AH1062">
        <v>0.81</v>
      </c>
      <c r="AI1062">
        <v>-1.38</v>
      </c>
      <c r="AJ1062">
        <v>8.26</v>
      </c>
      <c r="AK1062">
        <v>15.04</v>
      </c>
      <c r="AL1062">
        <v>1</v>
      </c>
      <c r="AM1062">
        <v>3.1</v>
      </c>
      <c r="AN1062">
        <v>3.74</v>
      </c>
      <c r="AO1062">
        <v>5.27</v>
      </c>
      <c r="AP1062">
        <v>-12.91</v>
      </c>
    </row>
    <row r="1063" spans="1:42">
      <c r="A1063">
        <v>1062</v>
      </c>
      <c r="B1063" t="str">
        <f>"688343"</f>
        <v>688343</v>
      </c>
      <c r="C1063" t="s">
        <v>7176</v>
      </c>
      <c r="D1063">
        <v>55.33</v>
      </c>
      <c r="E1063">
        <v>2.63</v>
      </c>
      <c r="F1063">
        <v>1.42</v>
      </c>
      <c r="G1063" t="s">
        <v>7177</v>
      </c>
      <c r="H1063">
        <v>550</v>
      </c>
      <c r="I1063">
        <v>55.32</v>
      </c>
      <c r="J1063">
        <v>55.33</v>
      </c>
      <c r="K1063" t="s">
        <v>3640</v>
      </c>
      <c r="L1063">
        <v>4.28</v>
      </c>
      <c r="M1063" t="s">
        <v>46</v>
      </c>
      <c r="N1063" t="s">
        <v>6218</v>
      </c>
      <c r="O1063">
        <v>55.89</v>
      </c>
      <c r="P1063">
        <v>53.5</v>
      </c>
      <c r="Q1063">
        <v>53.86</v>
      </c>
      <c r="R1063">
        <v>53.91</v>
      </c>
      <c r="S1063">
        <v>4.43</v>
      </c>
      <c r="T1063">
        <v>1.15</v>
      </c>
      <c r="U1063">
        <v>0.59</v>
      </c>
      <c r="V1063">
        <v>4</v>
      </c>
      <c r="W1063">
        <v>54.73</v>
      </c>
      <c r="X1063" t="s">
        <v>7178</v>
      </c>
      <c r="Y1063" t="s">
        <v>1455</v>
      </c>
      <c r="Z1063">
        <v>0.79</v>
      </c>
      <c r="AA1063">
        <v>36</v>
      </c>
      <c r="AB1063">
        <v>92</v>
      </c>
      <c r="AC1063">
        <v>4.43</v>
      </c>
      <c r="AD1063" t="s">
        <v>7179</v>
      </c>
      <c r="AE1063" t="s">
        <v>7180</v>
      </c>
      <c r="AF1063" t="s">
        <v>7181</v>
      </c>
      <c r="AG1063" t="s">
        <v>7182</v>
      </c>
      <c r="AH1063">
        <v>0.05</v>
      </c>
      <c r="AI1063">
        <v>-0.31</v>
      </c>
      <c r="AJ1063">
        <v>11.62</v>
      </c>
      <c r="AK1063">
        <v>22.97</v>
      </c>
      <c r="AL1063">
        <v>1</v>
      </c>
      <c r="AM1063">
        <v>2.63</v>
      </c>
      <c r="AN1063">
        <v>25.98</v>
      </c>
      <c r="AO1063">
        <v>14.15</v>
      </c>
      <c r="AP1063">
        <v>25.98</v>
      </c>
    </row>
    <row r="1064" spans="1:42">
      <c r="A1064">
        <v>1063</v>
      </c>
      <c r="B1064" t="str">
        <f>"000058"</f>
        <v>000058</v>
      </c>
      <c r="C1064" t="s">
        <v>7183</v>
      </c>
      <c r="D1064">
        <v>7.71</v>
      </c>
      <c r="E1064">
        <v>0.65</v>
      </c>
      <c r="F1064">
        <v>0.05</v>
      </c>
      <c r="G1064" t="s">
        <v>1644</v>
      </c>
      <c r="H1064">
        <v>3984</v>
      </c>
      <c r="I1064">
        <v>7.7</v>
      </c>
      <c r="J1064">
        <v>7.71</v>
      </c>
      <c r="K1064" t="s">
        <v>3640</v>
      </c>
      <c r="L1064">
        <v>2.53</v>
      </c>
      <c r="M1064" t="s">
        <v>46</v>
      </c>
      <c r="N1064" t="s">
        <v>1907</v>
      </c>
      <c r="O1064">
        <v>7.77</v>
      </c>
      <c r="P1064">
        <v>7.53</v>
      </c>
      <c r="Q1064">
        <v>7.55</v>
      </c>
      <c r="R1064">
        <v>7.66</v>
      </c>
      <c r="S1064">
        <v>3.13</v>
      </c>
      <c r="T1064">
        <v>0.64</v>
      </c>
      <c r="U1064">
        <v>-20.5</v>
      </c>
      <c r="V1064">
        <v>-3005</v>
      </c>
      <c r="W1064">
        <v>7.7</v>
      </c>
      <c r="X1064" t="s">
        <v>1790</v>
      </c>
      <c r="Y1064" t="s">
        <v>446</v>
      </c>
      <c r="Z1064">
        <v>0.95</v>
      </c>
      <c r="AA1064">
        <v>1421</v>
      </c>
      <c r="AB1064">
        <v>271</v>
      </c>
      <c r="AC1064">
        <v>4.62</v>
      </c>
      <c r="AD1064" t="s">
        <v>2987</v>
      </c>
      <c r="AE1064" t="s">
        <v>7184</v>
      </c>
      <c r="AF1064" t="s">
        <v>6422</v>
      </c>
      <c r="AG1064" t="s">
        <v>7185</v>
      </c>
      <c r="AH1064">
        <v>1.45</v>
      </c>
      <c r="AI1064">
        <v>-9.61</v>
      </c>
      <c r="AJ1064">
        <v>7.93</v>
      </c>
      <c r="AK1064">
        <v>22.39</v>
      </c>
      <c r="AL1064">
        <v>1</v>
      </c>
      <c r="AM1064">
        <v>0.65</v>
      </c>
      <c r="AN1064">
        <v>-2.28</v>
      </c>
      <c r="AO1064">
        <v>7.08</v>
      </c>
      <c r="AP1064">
        <v>29.8</v>
      </c>
    </row>
    <row r="1065" spans="1:42">
      <c r="A1065">
        <v>1064</v>
      </c>
      <c r="B1065" t="str">
        <f>"300493"</f>
        <v>300493</v>
      </c>
      <c r="C1065" t="s">
        <v>7186</v>
      </c>
      <c r="D1065">
        <v>9.18</v>
      </c>
      <c r="E1065">
        <v>-2.24</v>
      </c>
      <c r="F1065">
        <v>-0.21</v>
      </c>
      <c r="G1065" t="s">
        <v>1125</v>
      </c>
      <c r="H1065">
        <v>2963</v>
      </c>
      <c r="I1065">
        <v>9.18</v>
      </c>
      <c r="J1065">
        <v>9.19</v>
      </c>
      <c r="K1065" t="s">
        <v>7187</v>
      </c>
      <c r="L1065">
        <v>4.2</v>
      </c>
      <c r="M1065" t="s">
        <v>46</v>
      </c>
      <c r="N1065" t="s">
        <v>7188</v>
      </c>
      <c r="O1065">
        <v>9.3</v>
      </c>
      <c r="P1065">
        <v>8.92</v>
      </c>
      <c r="Q1065">
        <v>9.3</v>
      </c>
      <c r="R1065">
        <v>9.39</v>
      </c>
      <c r="S1065">
        <v>4.05</v>
      </c>
      <c r="T1065">
        <v>0.7</v>
      </c>
      <c r="U1065">
        <v>13.42</v>
      </c>
      <c r="V1065">
        <v>993</v>
      </c>
      <c r="W1065">
        <v>9.09</v>
      </c>
      <c r="X1065" t="s">
        <v>829</v>
      </c>
      <c r="Y1065" t="s">
        <v>7189</v>
      </c>
      <c r="Z1065">
        <v>1.12</v>
      </c>
      <c r="AA1065">
        <v>1259</v>
      </c>
      <c r="AB1065">
        <v>853</v>
      </c>
      <c r="AC1065">
        <v>4.32</v>
      </c>
      <c r="AD1065" t="s">
        <v>7190</v>
      </c>
      <c r="AE1065" t="s">
        <v>7191</v>
      </c>
      <c r="AF1065" t="s">
        <v>7192</v>
      </c>
      <c r="AG1065" t="s">
        <v>7193</v>
      </c>
      <c r="AH1065">
        <v>-1.61</v>
      </c>
      <c r="AI1065">
        <v>1.66</v>
      </c>
      <c r="AJ1065">
        <v>21.82</v>
      </c>
      <c r="AK1065">
        <v>34.23</v>
      </c>
      <c r="AL1065">
        <v>-2</v>
      </c>
      <c r="AM1065">
        <v>-2.24</v>
      </c>
      <c r="AN1065">
        <v>51.74</v>
      </c>
      <c r="AO1065">
        <v>1.21</v>
      </c>
      <c r="AP1065">
        <v>36.61</v>
      </c>
    </row>
    <row r="1066" spans="1:42">
      <c r="A1066">
        <v>1065</v>
      </c>
      <c r="B1066" t="str">
        <f>"603688"</f>
        <v>603688</v>
      </c>
      <c r="C1066" t="s">
        <v>7194</v>
      </c>
      <c r="D1066">
        <v>85.36</v>
      </c>
      <c r="E1066">
        <v>-0.58</v>
      </c>
      <c r="F1066">
        <v>-0.5</v>
      </c>
      <c r="G1066" t="s">
        <v>7195</v>
      </c>
      <c r="H1066">
        <v>316</v>
      </c>
      <c r="I1066">
        <v>85.36</v>
      </c>
      <c r="J1066">
        <v>85.39</v>
      </c>
      <c r="K1066" t="s">
        <v>7187</v>
      </c>
      <c r="L1066">
        <v>0.62</v>
      </c>
      <c r="M1066" t="s">
        <v>46</v>
      </c>
      <c r="N1066" t="s">
        <v>7196</v>
      </c>
      <c r="O1066">
        <v>85.88</v>
      </c>
      <c r="P1066">
        <v>84.9</v>
      </c>
      <c r="Q1066">
        <v>85.12</v>
      </c>
      <c r="R1066">
        <v>85.86</v>
      </c>
      <c r="S1066">
        <v>1.14</v>
      </c>
      <c r="T1066">
        <v>0.75</v>
      </c>
      <c r="U1066">
        <v>65.12</v>
      </c>
      <c r="V1066">
        <v>351</v>
      </c>
      <c r="W1066">
        <v>85.22</v>
      </c>
      <c r="X1066" t="s">
        <v>1384</v>
      </c>
      <c r="Y1066">
        <v>8918</v>
      </c>
      <c r="Z1066">
        <v>1.52</v>
      </c>
      <c r="AA1066">
        <v>1</v>
      </c>
      <c r="AB1066">
        <v>39</v>
      </c>
      <c r="AC1066">
        <v>4.61</v>
      </c>
      <c r="AD1066" t="s">
        <v>7197</v>
      </c>
      <c r="AE1066" t="s">
        <v>7198</v>
      </c>
      <c r="AF1066" t="s">
        <v>7197</v>
      </c>
      <c r="AG1066" t="s">
        <v>7198</v>
      </c>
      <c r="AH1066">
        <v>-2.46</v>
      </c>
      <c r="AI1066">
        <v>-5.19</v>
      </c>
      <c r="AJ1066">
        <v>2.52</v>
      </c>
      <c r="AK1066">
        <v>4.75</v>
      </c>
      <c r="AL1066">
        <v>-1</v>
      </c>
      <c r="AM1066">
        <v>-0.58</v>
      </c>
      <c r="AN1066">
        <v>-33.91</v>
      </c>
      <c r="AO1066">
        <v>-5.37</v>
      </c>
      <c r="AP1066">
        <v>-28.99</v>
      </c>
    </row>
    <row r="1067" spans="1:42">
      <c r="A1067">
        <v>1066</v>
      </c>
      <c r="B1067" t="str">
        <f>"002256"</f>
        <v>002256</v>
      </c>
      <c r="C1067" t="s">
        <v>7199</v>
      </c>
      <c r="D1067">
        <v>2.43</v>
      </c>
      <c r="E1067">
        <v>-3.57</v>
      </c>
      <c r="F1067">
        <v>-0.09</v>
      </c>
      <c r="G1067" t="s">
        <v>2053</v>
      </c>
      <c r="H1067">
        <v>6036</v>
      </c>
      <c r="I1067">
        <v>2.43</v>
      </c>
      <c r="J1067">
        <v>2.44</v>
      </c>
      <c r="K1067" t="s">
        <v>7187</v>
      </c>
      <c r="L1067">
        <v>5.53</v>
      </c>
      <c r="M1067" t="s">
        <v>46</v>
      </c>
      <c r="N1067" t="s">
        <v>3567</v>
      </c>
      <c r="O1067">
        <v>2.48</v>
      </c>
      <c r="P1067">
        <v>2.39</v>
      </c>
      <c r="Q1067">
        <v>2.45</v>
      </c>
      <c r="R1067">
        <v>2.52</v>
      </c>
      <c r="S1067">
        <v>3.57</v>
      </c>
      <c r="T1067">
        <v>1.99</v>
      </c>
      <c r="U1067">
        <v>23.06</v>
      </c>
      <c r="V1067" t="s">
        <v>3069</v>
      </c>
      <c r="W1067">
        <v>2.43</v>
      </c>
      <c r="X1067" t="s">
        <v>6036</v>
      </c>
      <c r="Y1067" t="s">
        <v>856</v>
      </c>
      <c r="Z1067">
        <v>1.3</v>
      </c>
      <c r="AA1067">
        <v>2475</v>
      </c>
      <c r="AB1067" t="s">
        <v>1052</v>
      </c>
      <c r="AC1067">
        <v>3.97</v>
      </c>
      <c r="AD1067" t="s">
        <v>2852</v>
      </c>
      <c r="AE1067" t="s">
        <v>2495</v>
      </c>
      <c r="AF1067" t="s">
        <v>4566</v>
      </c>
      <c r="AG1067" t="s">
        <v>7200</v>
      </c>
      <c r="AH1067">
        <v>5.19</v>
      </c>
      <c r="AI1067">
        <v>2.97</v>
      </c>
      <c r="AJ1067">
        <v>16.31</v>
      </c>
      <c r="AK1067">
        <v>19.45</v>
      </c>
      <c r="AL1067">
        <v>-1</v>
      </c>
      <c r="AM1067">
        <v>-3.57</v>
      </c>
      <c r="AN1067">
        <v>1.67</v>
      </c>
      <c r="AO1067">
        <v>7.05</v>
      </c>
      <c r="AP1067">
        <v>-6.9</v>
      </c>
    </row>
    <row r="1068" spans="1:42">
      <c r="A1068">
        <v>1067</v>
      </c>
      <c r="B1068" t="str">
        <f>"600636"</f>
        <v>600636</v>
      </c>
      <c r="C1068" t="s">
        <v>7201</v>
      </c>
      <c r="D1068">
        <v>10.81</v>
      </c>
      <c r="E1068">
        <v>4.44</v>
      </c>
      <c r="F1068">
        <v>0.46</v>
      </c>
      <c r="G1068" t="s">
        <v>1196</v>
      </c>
      <c r="H1068">
        <v>2963</v>
      </c>
      <c r="I1068">
        <v>10.8</v>
      </c>
      <c r="J1068">
        <v>10.81</v>
      </c>
      <c r="K1068" t="s">
        <v>7187</v>
      </c>
      <c r="L1068">
        <v>4.07</v>
      </c>
      <c r="M1068" t="s">
        <v>46</v>
      </c>
      <c r="N1068" t="s">
        <v>4444</v>
      </c>
      <c r="O1068">
        <v>10.88</v>
      </c>
      <c r="P1068">
        <v>10.34</v>
      </c>
      <c r="Q1068">
        <v>10.38</v>
      </c>
      <c r="R1068">
        <v>10.35</v>
      </c>
      <c r="S1068">
        <v>5.22</v>
      </c>
      <c r="T1068">
        <v>3.02</v>
      </c>
      <c r="U1068">
        <v>-40.29</v>
      </c>
      <c r="V1068">
        <v>-2047</v>
      </c>
      <c r="W1068">
        <v>10.7</v>
      </c>
      <c r="X1068" t="s">
        <v>183</v>
      </c>
      <c r="Y1068" t="s">
        <v>1128</v>
      </c>
      <c r="Z1068">
        <v>0.69</v>
      </c>
      <c r="AA1068">
        <v>564</v>
      </c>
      <c r="AB1068">
        <v>414</v>
      </c>
      <c r="AC1068">
        <v>1.76</v>
      </c>
      <c r="AD1068" t="s">
        <v>7202</v>
      </c>
      <c r="AE1068" t="s">
        <v>7203</v>
      </c>
      <c r="AF1068" t="s">
        <v>7202</v>
      </c>
      <c r="AG1068" t="s">
        <v>7203</v>
      </c>
      <c r="AH1068">
        <v>4.04</v>
      </c>
      <c r="AI1068">
        <v>1.89</v>
      </c>
      <c r="AJ1068">
        <v>6.25</v>
      </c>
      <c r="AK1068">
        <v>10.82</v>
      </c>
      <c r="AL1068">
        <v>1</v>
      </c>
      <c r="AM1068">
        <v>4.44</v>
      </c>
      <c r="AN1068">
        <v>15.49</v>
      </c>
      <c r="AO1068">
        <v>11.44</v>
      </c>
      <c r="AP1068">
        <v>9.3</v>
      </c>
    </row>
    <row r="1069" spans="1:42">
      <c r="A1069">
        <v>1068</v>
      </c>
      <c r="B1069" t="str">
        <f>"002997"</f>
        <v>002997</v>
      </c>
      <c r="C1069" t="s">
        <v>7204</v>
      </c>
      <c r="D1069">
        <v>35.48</v>
      </c>
      <c r="E1069">
        <v>-1.77</v>
      </c>
      <c r="F1069">
        <v>-0.64</v>
      </c>
      <c r="G1069" t="s">
        <v>6349</v>
      </c>
      <c r="H1069">
        <v>768</v>
      </c>
      <c r="I1069">
        <v>35.48</v>
      </c>
      <c r="J1069">
        <v>35.49</v>
      </c>
      <c r="K1069" t="s">
        <v>7187</v>
      </c>
      <c r="L1069">
        <v>2.72</v>
      </c>
      <c r="M1069" t="s">
        <v>46</v>
      </c>
      <c r="N1069" t="s">
        <v>1638</v>
      </c>
      <c r="O1069">
        <v>36.12</v>
      </c>
      <c r="P1069">
        <v>35.3</v>
      </c>
      <c r="Q1069">
        <v>36.12</v>
      </c>
      <c r="R1069">
        <v>36.12</v>
      </c>
      <c r="S1069">
        <v>2.27</v>
      </c>
      <c r="T1069">
        <v>0.59</v>
      </c>
      <c r="U1069">
        <v>57.82</v>
      </c>
      <c r="V1069">
        <v>924</v>
      </c>
      <c r="W1069">
        <v>35.63</v>
      </c>
      <c r="X1069" t="s">
        <v>7205</v>
      </c>
      <c r="Y1069" t="s">
        <v>587</v>
      </c>
      <c r="Z1069">
        <v>1.34</v>
      </c>
      <c r="AA1069">
        <v>417</v>
      </c>
      <c r="AB1069">
        <v>242</v>
      </c>
      <c r="AC1069">
        <v>4.59</v>
      </c>
      <c r="AD1069" t="s">
        <v>7206</v>
      </c>
      <c r="AE1069" t="s">
        <v>7207</v>
      </c>
      <c r="AF1069" t="s">
        <v>7206</v>
      </c>
      <c r="AG1069" t="s">
        <v>7207</v>
      </c>
      <c r="AH1069">
        <v>-7.24</v>
      </c>
      <c r="AI1069">
        <v>-4.62</v>
      </c>
      <c r="AJ1069">
        <v>10.1</v>
      </c>
      <c r="AK1069">
        <v>25.64</v>
      </c>
      <c r="AL1069">
        <v>-3</v>
      </c>
      <c r="AM1069">
        <v>-1.77</v>
      </c>
      <c r="AN1069">
        <v>47.22</v>
      </c>
      <c r="AO1069">
        <v>-16.71</v>
      </c>
      <c r="AP1069">
        <v>53.66</v>
      </c>
    </row>
    <row r="1070" spans="1:42">
      <c r="A1070">
        <v>1069</v>
      </c>
      <c r="B1070" t="str">
        <f>"688002"</f>
        <v>688002</v>
      </c>
      <c r="C1070" t="s">
        <v>7208</v>
      </c>
      <c r="D1070">
        <v>50.13</v>
      </c>
      <c r="E1070">
        <v>-0.36</v>
      </c>
      <c r="F1070">
        <v>-0.18</v>
      </c>
      <c r="G1070" t="s">
        <v>6302</v>
      </c>
      <c r="H1070">
        <v>261</v>
      </c>
      <c r="I1070">
        <v>50.13</v>
      </c>
      <c r="J1070">
        <v>50.2</v>
      </c>
      <c r="K1070" t="s">
        <v>7187</v>
      </c>
      <c r="L1070">
        <v>0.86</v>
      </c>
      <c r="M1070" t="s">
        <v>46</v>
      </c>
      <c r="N1070" t="s">
        <v>7209</v>
      </c>
      <c r="O1070">
        <v>50.5</v>
      </c>
      <c r="P1070">
        <v>49.19</v>
      </c>
      <c r="Q1070">
        <v>50.5</v>
      </c>
      <c r="R1070">
        <v>50.31</v>
      </c>
      <c r="S1070">
        <v>2.6</v>
      </c>
      <c r="T1070">
        <v>1.24</v>
      </c>
      <c r="U1070">
        <v>-55.61</v>
      </c>
      <c r="V1070">
        <v>-57</v>
      </c>
      <c r="W1070">
        <v>49.81</v>
      </c>
      <c r="X1070" t="s">
        <v>7210</v>
      </c>
      <c r="Y1070" t="s">
        <v>2397</v>
      </c>
      <c r="Z1070">
        <v>1.24</v>
      </c>
      <c r="AA1070">
        <v>6</v>
      </c>
      <c r="AB1070">
        <v>12</v>
      </c>
      <c r="AC1070">
        <v>5</v>
      </c>
      <c r="AD1070" t="s">
        <v>7211</v>
      </c>
      <c r="AE1070" t="s">
        <v>7212</v>
      </c>
      <c r="AF1070" t="s">
        <v>7211</v>
      </c>
      <c r="AG1070" t="s">
        <v>7212</v>
      </c>
      <c r="AH1070">
        <v>1.87</v>
      </c>
      <c r="AI1070">
        <v>1.95</v>
      </c>
      <c r="AJ1070">
        <v>2.62</v>
      </c>
      <c r="AK1070">
        <v>4.32</v>
      </c>
      <c r="AL1070">
        <v>-1</v>
      </c>
      <c r="AM1070">
        <v>-0.36</v>
      </c>
      <c r="AN1070">
        <v>35.19</v>
      </c>
      <c r="AO1070">
        <v>4.79</v>
      </c>
      <c r="AP1070">
        <v>13.98</v>
      </c>
    </row>
    <row r="1071" spans="1:42">
      <c r="A1071">
        <v>1070</v>
      </c>
      <c r="B1071" t="str">
        <f>"603517"</f>
        <v>603517</v>
      </c>
      <c r="C1071" t="s">
        <v>7213</v>
      </c>
      <c r="D1071">
        <v>30.93</v>
      </c>
      <c r="E1071">
        <v>-2.31</v>
      </c>
      <c r="F1071">
        <v>-0.73</v>
      </c>
      <c r="G1071" t="s">
        <v>7214</v>
      </c>
      <c r="H1071">
        <v>814</v>
      </c>
      <c r="I1071">
        <v>30.93</v>
      </c>
      <c r="J1071">
        <v>30.94</v>
      </c>
      <c r="K1071" t="s">
        <v>7215</v>
      </c>
      <c r="L1071">
        <v>0.97</v>
      </c>
      <c r="M1071" t="s">
        <v>46</v>
      </c>
      <c r="N1071" t="s">
        <v>7216</v>
      </c>
      <c r="O1071">
        <v>31.72</v>
      </c>
      <c r="P1071">
        <v>30.71</v>
      </c>
      <c r="Q1071">
        <v>31.66</v>
      </c>
      <c r="R1071">
        <v>31.66</v>
      </c>
      <c r="S1071">
        <v>3.19</v>
      </c>
      <c r="T1071">
        <v>1.83</v>
      </c>
      <c r="U1071">
        <v>42.83</v>
      </c>
      <c r="V1071">
        <v>382</v>
      </c>
      <c r="W1071">
        <v>31.04</v>
      </c>
      <c r="X1071" t="s">
        <v>1899</v>
      </c>
      <c r="Y1071" t="s">
        <v>48</v>
      </c>
      <c r="Z1071">
        <v>1.46</v>
      </c>
      <c r="AA1071">
        <v>143</v>
      </c>
      <c r="AB1071">
        <v>5</v>
      </c>
      <c r="AC1071">
        <v>2.72</v>
      </c>
      <c r="AD1071" t="s">
        <v>7217</v>
      </c>
      <c r="AE1071" t="s">
        <v>7218</v>
      </c>
      <c r="AF1071" t="s">
        <v>7217</v>
      </c>
      <c r="AG1071" t="s">
        <v>7218</v>
      </c>
      <c r="AH1071">
        <v>-2.67</v>
      </c>
      <c r="AI1071">
        <v>-4.92</v>
      </c>
      <c r="AJ1071">
        <v>2.06</v>
      </c>
      <c r="AK1071">
        <v>3.63</v>
      </c>
      <c r="AL1071">
        <v>-1</v>
      </c>
      <c r="AM1071">
        <v>-2.31</v>
      </c>
      <c r="AN1071">
        <v>-49.22</v>
      </c>
      <c r="AO1071">
        <v>-12.75</v>
      </c>
      <c r="AP1071">
        <v>-41.82</v>
      </c>
    </row>
    <row r="1072" spans="1:42">
      <c r="A1072">
        <v>1071</v>
      </c>
      <c r="B1072" t="str">
        <f>"605208"</f>
        <v>605208</v>
      </c>
      <c r="C1072" t="s">
        <v>7219</v>
      </c>
      <c r="D1072">
        <v>9.85</v>
      </c>
      <c r="E1072">
        <v>-1.5</v>
      </c>
      <c r="F1072">
        <v>-0.15</v>
      </c>
      <c r="G1072" t="s">
        <v>869</v>
      </c>
      <c r="H1072">
        <v>7346</v>
      </c>
      <c r="I1072">
        <v>9.84</v>
      </c>
      <c r="J1072">
        <v>9.85</v>
      </c>
      <c r="K1072" t="s">
        <v>7215</v>
      </c>
      <c r="L1072">
        <v>11.47</v>
      </c>
      <c r="M1072" t="s">
        <v>46</v>
      </c>
      <c r="N1072" t="s">
        <v>3334</v>
      </c>
      <c r="O1072">
        <v>10.05</v>
      </c>
      <c r="P1072">
        <v>9.75</v>
      </c>
      <c r="Q1072">
        <v>10</v>
      </c>
      <c r="R1072">
        <v>10</v>
      </c>
      <c r="S1072">
        <v>3</v>
      </c>
      <c r="T1072">
        <v>0.87</v>
      </c>
      <c r="U1072">
        <v>-3.41</v>
      </c>
      <c r="V1072">
        <v>-151</v>
      </c>
      <c r="W1072">
        <v>9.85</v>
      </c>
      <c r="X1072" t="s">
        <v>1937</v>
      </c>
      <c r="Y1072" t="s">
        <v>4320</v>
      </c>
      <c r="Z1072">
        <v>1.64</v>
      </c>
      <c r="AA1072">
        <v>1025</v>
      </c>
      <c r="AB1072">
        <v>192</v>
      </c>
      <c r="AC1072">
        <v>1.55</v>
      </c>
      <c r="AD1072" t="s">
        <v>7220</v>
      </c>
      <c r="AE1072" t="s">
        <v>7221</v>
      </c>
      <c r="AF1072" t="s">
        <v>7222</v>
      </c>
      <c r="AG1072" t="s">
        <v>7223</v>
      </c>
      <c r="AH1072">
        <v>-6.28</v>
      </c>
      <c r="AI1072">
        <v>1.86</v>
      </c>
      <c r="AJ1072">
        <v>58.92</v>
      </c>
      <c r="AK1072">
        <v>77.17</v>
      </c>
      <c r="AL1072">
        <v>-3</v>
      </c>
      <c r="AM1072">
        <v>-1.5</v>
      </c>
      <c r="AN1072">
        <v>-3.71</v>
      </c>
      <c r="AO1072">
        <v>6.83</v>
      </c>
      <c r="AP1072">
        <v>-14.5</v>
      </c>
    </row>
    <row r="1073" spans="1:42">
      <c r="A1073">
        <v>1072</v>
      </c>
      <c r="B1073" t="str">
        <f>"600777"</f>
        <v>600777</v>
      </c>
      <c r="C1073" t="s">
        <v>7224</v>
      </c>
      <c r="D1073">
        <v>2.61</v>
      </c>
      <c r="E1073">
        <v>-0.38</v>
      </c>
      <c r="F1073">
        <v>-0.01</v>
      </c>
      <c r="G1073" t="s">
        <v>7225</v>
      </c>
      <c r="H1073" t="s">
        <v>1254</v>
      </c>
      <c r="I1073">
        <v>2.61</v>
      </c>
      <c r="J1073">
        <v>2.62</v>
      </c>
      <c r="K1073" t="s">
        <v>7215</v>
      </c>
      <c r="L1073">
        <v>1.15</v>
      </c>
      <c r="M1073" t="s">
        <v>46</v>
      </c>
      <c r="N1073" t="s">
        <v>7226</v>
      </c>
      <c r="O1073">
        <v>2.62</v>
      </c>
      <c r="P1073">
        <v>2.6</v>
      </c>
      <c r="Q1073">
        <v>2.62</v>
      </c>
      <c r="R1073">
        <v>2.62</v>
      </c>
      <c r="S1073">
        <v>0.76</v>
      </c>
      <c r="T1073">
        <v>0.84</v>
      </c>
      <c r="U1073">
        <v>-15.97</v>
      </c>
      <c r="V1073" t="s">
        <v>7227</v>
      </c>
      <c r="W1073">
        <v>2.61</v>
      </c>
      <c r="X1073" t="s">
        <v>1487</v>
      </c>
      <c r="Y1073" t="s">
        <v>3126</v>
      </c>
      <c r="Z1073">
        <v>1.49</v>
      </c>
      <c r="AA1073" t="s">
        <v>718</v>
      </c>
      <c r="AB1073" t="s">
        <v>5878</v>
      </c>
      <c r="AC1073">
        <v>0.92</v>
      </c>
      <c r="AD1073" t="s">
        <v>7228</v>
      </c>
      <c r="AE1073" t="s">
        <v>7229</v>
      </c>
      <c r="AF1073" t="s">
        <v>1269</v>
      </c>
      <c r="AG1073" t="s">
        <v>7230</v>
      </c>
      <c r="AH1073">
        <v>1.16</v>
      </c>
      <c r="AI1073">
        <v>0.77</v>
      </c>
      <c r="AJ1073">
        <v>3.99</v>
      </c>
      <c r="AK1073">
        <v>7.95</v>
      </c>
      <c r="AL1073">
        <v>-1</v>
      </c>
      <c r="AM1073">
        <v>-0.38</v>
      </c>
      <c r="AN1073">
        <v>19.72</v>
      </c>
      <c r="AO1073">
        <v>1.16</v>
      </c>
      <c r="AP1073">
        <v>7.41</v>
      </c>
    </row>
    <row r="1074" spans="1:42">
      <c r="A1074">
        <v>1073</v>
      </c>
      <c r="B1074" t="str">
        <f>"600422"</f>
        <v>600422</v>
      </c>
      <c r="C1074" t="s">
        <v>7231</v>
      </c>
      <c r="D1074">
        <v>21.38</v>
      </c>
      <c r="E1074">
        <v>1.38</v>
      </c>
      <c r="F1074">
        <v>0.29</v>
      </c>
      <c r="G1074" t="s">
        <v>7232</v>
      </c>
      <c r="H1074">
        <v>865</v>
      </c>
      <c r="I1074">
        <v>21.36</v>
      </c>
      <c r="J1074">
        <v>21.38</v>
      </c>
      <c r="K1074" t="s">
        <v>7215</v>
      </c>
      <c r="L1074">
        <v>1.18</v>
      </c>
      <c r="M1074" t="s">
        <v>46</v>
      </c>
      <c r="N1074" t="s">
        <v>5682</v>
      </c>
      <c r="O1074">
        <v>21.48</v>
      </c>
      <c r="P1074">
        <v>20.97</v>
      </c>
      <c r="Q1074">
        <v>21.06</v>
      </c>
      <c r="R1074">
        <v>21.09</v>
      </c>
      <c r="S1074">
        <v>2.42</v>
      </c>
      <c r="T1074">
        <v>1.21</v>
      </c>
      <c r="U1074">
        <v>-64.39</v>
      </c>
      <c r="V1074">
        <v>-1009</v>
      </c>
      <c r="W1074">
        <v>21.28</v>
      </c>
      <c r="X1074" t="s">
        <v>4761</v>
      </c>
      <c r="Y1074" t="s">
        <v>1503</v>
      </c>
      <c r="Z1074">
        <v>0.57</v>
      </c>
      <c r="AA1074">
        <v>71</v>
      </c>
      <c r="AB1074">
        <v>72</v>
      </c>
      <c r="AC1074">
        <v>3.09</v>
      </c>
      <c r="AD1074" t="s">
        <v>7233</v>
      </c>
      <c r="AE1074" t="s">
        <v>7234</v>
      </c>
      <c r="AF1074" t="s">
        <v>7235</v>
      </c>
      <c r="AG1074" t="s">
        <v>2235</v>
      </c>
      <c r="AH1074">
        <v>0.66</v>
      </c>
      <c r="AI1074">
        <v>-1.66</v>
      </c>
      <c r="AJ1074">
        <v>3.14</v>
      </c>
      <c r="AK1074">
        <v>6.07</v>
      </c>
      <c r="AL1074">
        <v>2</v>
      </c>
      <c r="AM1074">
        <v>1.38</v>
      </c>
      <c r="AN1074">
        <v>53.15</v>
      </c>
      <c r="AO1074">
        <v>5.42</v>
      </c>
      <c r="AP1074">
        <v>31.09</v>
      </c>
    </row>
    <row r="1075" spans="1:42">
      <c r="A1075">
        <v>1074</v>
      </c>
      <c r="B1075" t="str">
        <f>"000557"</f>
        <v>000557</v>
      </c>
      <c r="C1075" t="s">
        <v>7236</v>
      </c>
      <c r="D1075">
        <v>4.92</v>
      </c>
      <c r="E1075">
        <v>5.81</v>
      </c>
      <c r="F1075">
        <v>0.27</v>
      </c>
      <c r="G1075" t="s">
        <v>1695</v>
      </c>
      <c r="H1075">
        <v>3187</v>
      </c>
      <c r="I1075">
        <v>4.91</v>
      </c>
      <c r="J1075">
        <v>4.92</v>
      </c>
      <c r="K1075" t="s">
        <v>7215</v>
      </c>
      <c r="L1075">
        <v>2.66</v>
      </c>
      <c r="M1075" t="s">
        <v>46</v>
      </c>
      <c r="N1075" t="s">
        <v>1568</v>
      </c>
      <c r="O1075">
        <v>5.1</v>
      </c>
      <c r="P1075">
        <v>4.63</v>
      </c>
      <c r="Q1075">
        <v>4.66</v>
      </c>
      <c r="R1075">
        <v>4.65</v>
      </c>
      <c r="S1075">
        <v>10.11</v>
      </c>
      <c r="T1075">
        <v>1.7</v>
      </c>
      <c r="U1075">
        <v>27.97</v>
      </c>
      <c r="V1075">
        <v>1921</v>
      </c>
      <c r="W1075">
        <v>4.89</v>
      </c>
      <c r="X1075" t="s">
        <v>1367</v>
      </c>
      <c r="Y1075" t="s">
        <v>2893</v>
      </c>
      <c r="Z1075">
        <v>0.81</v>
      </c>
      <c r="AA1075">
        <v>733</v>
      </c>
      <c r="AB1075">
        <v>1</v>
      </c>
      <c r="AC1075">
        <v>1.24</v>
      </c>
      <c r="AD1075" t="s">
        <v>7237</v>
      </c>
      <c r="AE1075" t="s">
        <v>7238</v>
      </c>
      <c r="AF1075" t="s">
        <v>7237</v>
      </c>
      <c r="AG1075" t="s">
        <v>7239</v>
      </c>
      <c r="AH1075">
        <v>2.71</v>
      </c>
      <c r="AI1075">
        <v>7.89</v>
      </c>
      <c r="AJ1075">
        <v>4.4</v>
      </c>
      <c r="AK1075">
        <v>10.51</v>
      </c>
      <c r="AL1075">
        <v>1</v>
      </c>
      <c r="AM1075">
        <v>5.81</v>
      </c>
      <c r="AN1075">
        <v>0.41</v>
      </c>
      <c r="AO1075">
        <v>11.31</v>
      </c>
      <c r="AP1075">
        <v>-4.47</v>
      </c>
    </row>
    <row r="1076" spans="1:42">
      <c r="A1076">
        <v>1075</v>
      </c>
      <c r="B1076" t="str">
        <f>"002373"</f>
        <v>002373</v>
      </c>
      <c r="C1076" t="s">
        <v>7240</v>
      </c>
      <c r="D1076">
        <v>12.23</v>
      </c>
      <c r="E1076">
        <v>1.33</v>
      </c>
      <c r="F1076">
        <v>0.16</v>
      </c>
      <c r="G1076" t="s">
        <v>3687</v>
      </c>
      <c r="H1076">
        <v>1558</v>
      </c>
      <c r="I1076">
        <v>12.22</v>
      </c>
      <c r="J1076">
        <v>12.23</v>
      </c>
      <c r="K1076" t="s">
        <v>7215</v>
      </c>
      <c r="L1076">
        <v>1.14</v>
      </c>
      <c r="M1076" t="s">
        <v>46</v>
      </c>
      <c r="N1076" t="s">
        <v>3109</v>
      </c>
      <c r="O1076">
        <v>12.32</v>
      </c>
      <c r="P1076">
        <v>11.8</v>
      </c>
      <c r="Q1076">
        <v>12.05</v>
      </c>
      <c r="R1076">
        <v>12.07</v>
      </c>
      <c r="S1076">
        <v>4.31</v>
      </c>
      <c r="T1076">
        <v>0.86</v>
      </c>
      <c r="U1076">
        <v>-35.28</v>
      </c>
      <c r="V1076">
        <v>-1465</v>
      </c>
      <c r="W1076">
        <v>12.08</v>
      </c>
      <c r="X1076" t="s">
        <v>6231</v>
      </c>
      <c r="Y1076" t="s">
        <v>7241</v>
      </c>
      <c r="Z1076">
        <v>0.99</v>
      </c>
      <c r="AA1076">
        <v>336</v>
      </c>
      <c r="AB1076">
        <v>534</v>
      </c>
      <c r="AC1076">
        <v>1.56</v>
      </c>
      <c r="AD1076" t="s">
        <v>7242</v>
      </c>
      <c r="AE1076" t="s">
        <v>7243</v>
      </c>
      <c r="AF1076" t="s">
        <v>7244</v>
      </c>
      <c r="AG1076" t="s">
        <v>7245</v>
      </c>
      <c r="AH1076">
        <v>0.82</v>
      </c>
      <c r="AI1076">
        <v>-0.65</v>
      </c>
      <c r="AJ1076">
        <v>3.64</v>
      </c>
      <c r="AK1076">
        <v>7.77</v>
      </c>
      <c r="AL1076">
        <v>1</v>
      </c>
      <c r="AM1076">
        <v>1.33</v>
      </c>
      <c r="AN1076">
        <v>37.11</v>
      </c>
      <c r="AO1076">
        <v>5.34</v>
      </c>
      <c r="AP1076">
        <v>31.36</v>
      </c>
    </row>
    <row r="1077" spans="1:42">
      <c r="A1077">
        <v>1076</v>
      </c>
      <c r="B1077" t="str">
        <f>"000428"</f>
        <v>000428</v>
      </c>
      <c r="C1077" t="s">
        <v>7246</v>
      </c>
      <c r="D1077">
        <v>4.52</v>
      </c>
      <c r="E1077">
        <v>-2.16</v>
      </c>
      <c r="F1077">
        <v>-0.1</v>
      </c>
      <c r="G1077" t="s">
        <v>5822</v>
      </c>
      <c r="H1077">
        <v>5049</v>
      </c>
      <c r="I1077">
        <v>4.52</v>
      </c>
      <c r="J1077">
        <v>4.53</v>
      </c>
      <c r="K1077" t="s">
        <v>7215</v>
      </c>
      <c r="L1077">
        <v>4.09</v>
      </c>
      <c r="M1077" t="s">
        <v>46</v>
      </c>
      <c r="N1077" t="s">
        <v>7247</v>
      </c>
      <c r="O1077">
        <v>4.64</v>
      </c>
      <c r="P1077">
        <v>4.5</v>
      </c>
      <c r="Q1077">
        <v>4.6</v>
      </c>
      <c r="R1077">
        <v>4.62</v>
      </c>
      <c r="S1077">
        <v>3.03</v>
      </c>
      <c r="T1077">
        <v>1.15</v>
      </c>
      <c r="U1077">
        <v>5.45</v>
      </c>
      <c r="V1077">
        <v>1838</v>
      </c>
      <c r="W1077">
        <v>4.55</v>
      </c>
      <c r="X1077" t="s">
        <v>2096</v>
      </c>
      <c r="Y1077" t="s">
        <v>1245</v>
      </c>
      <c r="Z1077">
        <v>1.47</v>
      </c>
      <c r="AA1077">
        <v>2898</v>
      </c>
      <c r="AB1077">
        <v>5342</v>
      </c>
      <c r="AC1077">
        <v>2.68</v>
      </c>
      <c r="AD1077" t="s">
        <v>1090</v>
      </c>
      <c r="AE1077" t="s">
        <v>7248</v>
      </c>
      <c r="AF1077" t="s">
        <v>1090</v>
      </c>
      <c r="AG1077" t="s">
        <v>7249</v>
      </c>
      <c r="AH1077">
        <v>4.63</v>
      </c>
      <c r="AI1077">
        <v>7.88</v>
      </c>
      <c r="AJ1077">
        <v>14.26</v>
      </c>
      <c r="AK1077">
        <v>21.9</v>
      </c>
      <c r="AL1077">
        <v>-1</v>
      </c>
      <c r="AM1077">
        <v>-2.16</v>
      </c>
      <c r="AN1077">
        <v>-31.2</v>
      </c>
      <c r="AO1077">
        <v>13.85</v>
      </c>
      <c r="AP1077">
        <v>1.35</v>
      </c>
    </row>
    <row r="1078" spans="1:42">
      <c r="A1078">
        <v>1077</v>
      </c>
      <c r="B1078" t="str">
        <f>"300168"</f>
        <v>300168</v>
      </c>
      <c r="C1078" t="s">
        <v>7250</v>
      </c>
      <c r="D1078">
        <v>9.38</v>
      </c>
      <c r="E1078">
        <v>3.65</v>
      </c>
      <c r="F1078">
        <v>0.33</v>
      </c>
      <c r="G1078" t="s">
        <v>2160</v>
      </c>
      <c r="H1078">
        <v>1294</v>
      </c>
      <c r="I1078">
        <v>9.38</v>
      </c>
      <c r="J1078">
        <v>9.39</v>
      </c>
      <c r="K1078" t="s">
        <v>7040</v>
      </c>
      <c r="L1078">
        <v>1.5</v>
      </c>
      <c r="M1078" t="s">
        <v>46</v>
      </c>
      <c r="N1078" t="s">
        <v>2027</v>
      </c>
      <c r="O1078">
        <v>9.45</v>
      </c>
      <c r="P1078">
        <v>9.03</v>
      </c>
      <c r="Q1078">
        <v>9.06</v>
      </c>
      <c r="R1078">
        <v>9.05</v>
      </c>
      <c r="S1078">
        <v>4.64</v>
      </c>
      <c r="T1078">
        <v>1.25</v>
      </c>
      <c r="U1078">
        <v>-17.46</v>
      </c>
      <c r="V1078">
        <v>-2266</v>
      </c>
      <c r="W1078">
        <v>9.26</v>
      </c>
      <c r="X1078" t="s">
        <v>5974</v>
      </c>
      <c r="Y1078" t="s">
        <v>1937</v>
      </c>
      <c r="Z1078">
        <v>0.71</v>
      </c>
      <c r="AA1078">
        <v>133</v>
      </c>
      <c r="AB1078">
        <v>807</v>
      </c>
      <c r="AC1078">
        <v>4.69</v>
      </c>
      <c r="AD1078" t="s">
        <v>7251</v>
      </c>
      <c r="AE1078" t="s">
        <v>2689</v>
      </c>
      <c r="AF1078" t="s">
        <v>7252</v>
      </c>
      <c r="AG1078" t="s">
        <v>7253</v>
      </c>
      <c r="AH1078">
        <v>0.64</v>
      </c>
      <c r="AI1078">
        <v>-2.29</v>
      </c>
      <c r="AJ1078">
        <v>3.38</v>
      </c>
      <c r="AK1078">
        <v>7.53</v>
      </c>
      <c r="AL1078">
        <v>1</v>
      </c>
      <c r="AM1078">
        <v>3.65</v>
      </c>
      <c r="AN1078">
        <v>11.27</v>
      </c>
      <c r="AO1078">
        <v>3.76</v>
      </c>
      <c r="AP1078">
        <v>0.75</v>
      </c>
    </row>
    <row r="1079" spans="1:42">
      <c r="A1079">
        <v>1078</v>
      </c>
      <c r="B1079" t="str">
        <f>"000050"</f>
        <v>000050</v>
      </c>
      <c r="C1079" t="s">
        <v>7254</v>
      </c>
      <c r="D1079">
        <v>10.8</v>
      </c>
      <c r="E1079">
        <v>-0.64</v>
      </c>
      <c r="F1079">
        <v>-0.07</v>
      </c>
      <c r="G1079" t="s">
        <v>1403</v>
      </c>
      <c r="H1079">
        <v>628</v>
      </c>
      <c r="I1079">
        <v>10.8</v>
      </c>
      <c r="J1079">
        <v>10.81</v>
      </c>
      <c r="K1079" t="s">
        <v>7040</v>
      </c>
      <c r="L1079">
        <v>0.74</v>
      </c>
      <c r="M1079" t="s">
        <v>46</v>
      </c>
      <c r="N1079" t="s">
        <v>7255</v>
      </c>
      <c r="O1079">
        <v>10.89</v>
      </c>
      <c r="P1079">
        <v>10.63</v>
      </c>
      <c r="Q1079">
        <v>10.84</v>
      </c>
      <c r="R1079">
        <v>10.87</v>
      </c>
      <c r="S1079">
        <v>2.39</v>
      </c>
      <c r="T1079">
        <v>0.78</v>
      </c>
      <c r="U1079">
        <v>13.94</v>
      </c>
      <c r="V1079">
        <v>280</v>
      </c>
      <c r="W1079">
        <v>10.78</v>
      </c>
      <c r="X1079" t="s">
        <v>759</v>
      </c>
      <c r="Y1079" t="s">
        <v>7256</v>
      </c>
      <c r="Z1079">
        <v>1.03</v>
      </c>
      <c r="AA1079">
        <v>451</v>
      </c>
      <c r="AB1079">
        <v>2</v>
      </c>
      <c r="AC1079">
        <v>0.94</v>
      </c>
      <c r="AD1079" t="s">
        <v>7257</v>
      </c>
      <c r="AE1079" t="s">
        <v>7258</v>
      </c>
      <c r="AF1079" t="s">
        <v>7259</v>
      </c>
      <c r="AG1079" t="s">
        <v>7260</v>
      </c>
      <c r="AH1079">
        <v>0.37</v>
      </c>
      <c r="AI1079">
        <v>2.66</v>
      </c>
      <c r="AJ1079">
        <v>3.62</v>
      </c>
      <c r="AK1079">
        <v>5.46</v>
      </c>
      <c r="AL1079">
        <v>-2</v>
      </c>
      <c r="AM1079">
        <v>-0.64</v>
      </c>
      <c r="AN1079">
        <v>24.71</v>
      </c>
      <c r="AO1079">
        <v>9.42</v>
      </c>
      <c r="AP1079">
        <v>17.65</v>
      </c>
    </row>
    <row r="1080" spans="1:42">
      <c r="A1080">
        <v>1079</v>
      </c>
      <c r="B1080" t="str">
        <f>"300933"</f>
        <v>300933</v>
      </c>
      <c r="C1080" t="s">
        <v>7261</v>
      </c>
      <c r="D1080">
        <v>9.73</v>
      </c>
      <c r="E1080">
        <v>5.99</v>
      </c>
      <c r="F1080">
        <v>0.55</v>
      </c>
      <c r="G1080" t="s">
        <v>4628</v>
      </c>
      <c r="H1080">
        <v>2878</v>
      </c>
      <c r="I1080">
        <v>9.72</v>
      </c>
      <c r="J1080">
        <v>9.73</v>
      </c>
      <c r="K1080" t="s">
        <v>7040</v>
      </c>
      <c r="L1080">
        <v>8.45</v>
      </c>
      <c r="M1080" t="s">
        <v>46</v>
      </c>
      <c r="N1080" t="s">
        <v>7262</v>
      </c>
      <c r="O1080">
        <v>9.78</v>
      </c>
      <c r="P1080">
        <v>9.19</v>
      </c>
      <c r="Q1080">
        <v>9.21</v>
      </c>
      <c r="R1080">
        <v>9.18</v>
      </c>
      <c r="S1080">
        <v>6.43</v>
      </c>
      <c r="T1080">
        <v>2.12</v>
      </c>
      <c r="U1080">
        <v>-12.15</v>
      </c>
      <c r="V1080">
        <v>-811</v>
      </c>
      <c r="W1080">
        <v>9.55</v>
      </c>
      <c r="X1080" t="s">
        <v>6038</v>
      </c>
      <c r="Y1080" t="s">
        <v>656</v>
      </c>
      <c r="Z1080">
        <v>0.76</v>
      </c>
      <c r="AA1080">
        <v>138</v>
      </c>
      <c r="AB1080">
        <v>948</v>
      </c>
      <c r="AC1080">
        <v>3.01</v>
      </c>
      <c r="AD1080" t="s">
        <v>7263</v>
      </c>
      <c r="AE1080" t="s">
        <v>6641</v>
      </c>
      <c r="AF1080" t="s">
        <v>7264</v>
      </c>
      <c r="AG1080" t="s">
        <v>7265</v>
      </c>
      <c r="AH1080">
        <v>3.29</v>
      </c>
      <c r="AI1080">
        <v>2.96</v>
      </c>
      <c r="AJ1080">
        <v>16.08</v>
      </c>
      <c r="AK1080">
        <v>28.34</v>
      </c>
      <c r="AL1080">
        <v>1</v>
      </c>
      <c r="AM1080">
        <v>5.99</v>
      </c>
      <c r="AN1080">
        <v>30.78</v>
      </c>
      <c r="AO1080">
        <v>1.04</v>
      </c>
      <c r="AP1080">
        <v>25.39</v>
      </c>
    </row>
    <row r="1081" spans="1:42">
      <c r="A1081">
        <v>1080</v>
      </c>
      <c r="B1081" t="str">
        <f>"603936"</f>
        <v>603936</v>
      </c>
      <c r="C1081" t="s">
        <v>7266</v>
      </c>
      <c r="D1081">
        <v>11.19</v>
      </c>
      <c r="E1081">
        <v>0.72</v>
      </c>
      <c r="F1081">
        <v>0.08</v>
      </c>
      <c r="G1081" t="s">
        <v>172</v>
      </c>
      <c r="H1081">
        <v>970</v>
      </c>
      <c r="I1081">
        <v>11.18</v>
      </c>
      <c r="J1081">
        <v>11.19</v>
      </c>
      <c r="K1081" t="s">
        <v>7040</v>
      </c>
      <c r="L1081">
        <v>2.66</v>
      </c>
      <c r="M1081" t="s">
        <v>46</v>
      </c>
      <c r="N1081" t="s">
        <v>7267</v>
      </c>
      <c r="O1081">
        <v>11.38</v>
      </c>
      <c r="P1081">
        <v>11</v>
      </c>
      <c r="Q1081">
        <v>11.3</v>
      </c>
      <c r="R1081">
        <v>11.11</v>
      </c>
      <c r="S1081">
        <v>3.42</v>
      </c>
      <c r="T1081">
        <v>1.07</v>
      </c>
      <c r="U1081">
        <v>-11.79</v>
      </c>
      <c r="V1081">
        <v>-446</v>
      </c>
      <c r="W1081">
        <v>11.16</v>
      </c>
      <c r="X1081" t="s">
        <v>6904</v>
      </c>
      <c r="Y1081" t="s">
        <v>5009</v>
      </c>
      <c r="Z1081">
        <v>1.04</v>
      </c>
      <c r="AA1081">
        <v>300</v>
      </c>
      <c r="AB1081">
        <v>215</v>
      </c>
      <c r="AC1081">
        <v>1.37</v>
      </c>
      <c r="AD1081" t="s">
        <v>7268</v>
      </c>
      <c r="AE1081" t="s">
        <v>7269</v>
      </c>
      <c r="AF1081" t="s">
        <v>7268</v>
      </c>
      <c r="AG1081" t="s">
        <v>7269</v>
      </c>
      <c r="AH1081">
        <v>0.36</v>
      </c>
      <c r="AI1081">
        <v>0.18</v>
      </c>
      <c r="AJ1081">
        <v>10.1</v>
      </c>
      <c r="AK1081">
        <v>15.06</v>
      </c>
      <c r="AL1081">
        <v>1</v>
      </c>
      <c r="AM1081">
        <v>0.72</v>
      </c>
      <c r="AN1081">
        <v>-8.28</v>
      </c>
      <c r="AO1081">
        <v>4.09</v>
      </c>
      <c r="AP1081">
        <v>-24.29</v>
      </c>
    </row>
    <row r="1082" spans="1:42">
      <c r="A1082">
        <v>1081</v>
      </c>
      <c r="B1082" t="str">
        <f>"002444"</f>
        <v>002444</v>
      </c>
      <c r="C1082" t="s">
        <v>7270</v>
      </c>
      <c r="D1082">
        <v>21.81</v>
      </c>
      <c r="E1082">
        <v>0</v>
      </c>
      <c r="F1082">
        <v>0</v>
      </c>
      <c r="G1082" t="s">
        <v>5795</v>
      </c>
      <c r="H1082">
        <v>380</v>
      </c>
      <c r="I1082">
        <v>21.81</v>
      </c>
      <c r="J1082">
        <v>21.83</v>
      </c>
      <c r="K1082" t="s">
        <v>7040</v>
      </c>
      <c r="L1082">
        <v>0.75</v>
      </c>
      <c r="M1082" t="s">
        <v>46</v>
      </c>
      <c r="N1082" t="s">
        <v>7271</v>
      </c>
      <c r="O1082">
        <v>21.95</v>
      </c>
      <c r="P1082">
        <v>21.43</v>
      </c>
      <c r="Q1082">
        <v>21.7</v>
      </c>
      <c r="R1082">
        <v>21.81</v>
      </c>
      <c r="S1082">
        <v>2.38</v>
      </c>
      <c r="T1082">
        <v>0.87</v>
      </c>
      <c r="U1082">
        <v>36.65</v>
      </c>
      <c r="V1082">
        <v>329</v>
      </c>
      <c r="W1082">
        <v>21.77</v>
      </c>
      <c r="X1082" t="s">
        <v>5582</v>
      </c>
      <c r="Y1082" t="s">
        <v>5706</v>
      </c>
      <c r="Z1082">
        <v>1.2</v>
      </c>
      <c r="AA1082">
        <v>312</v>
      </c>
      <c r="AB1082">
        <v>3</v>
      </c>
      <c r="AC1082">
        <v>1.81</v>
      </c>
      <c r="AD1082" t="s">
        <v>3684</v>
      </c>
      <c r="AE1082" t="s">
        <v>7272</v>
      </c>
      <c r="AF1082" t="s">
        <v>906</v>
      </c>
      <c r="AG1082" t="s">
        <v>7273</v>
      </c>
      <c r="AH1082">
        <v>-0.05</v>
      </c>
      <c r="AI1082">
        <v>4.15</v>
      </c>
      <c r="AJ1082">
        <v>2.26</v>
      </c>
      <c r="AK1082">
        <v>5.07</v>
      </c>
      <c r="AL1082">
        <v>0</v>
      </c>
      <c r="AM1082">
        <v>0</v>
      </c>
      <c r="AN1082">
        <v>15.95</v>
      </c>
      <c r="AO1082">
        <v>5.87</v>
      </c>
      <c r="AP1082">
        <v>0.46</v>
      </c>
    </row>
    <row r="1083" spans="1:42">
      <c r="A1083">
        <v>1082</v>
      </c>
      <c r="B1083" t="str">
        <f>"601677"</f>
        <v>601677</v>
      </c>
      <c r="C1083" t="s">
        <v>7274</v>
      </c>
      <c r="D1083">
        <v>11.8</v>
      </c>
      <c r="E1083">
        <v>-1.34</v>
      </c>
      <c r="F1083">
        <v>-0.16</v>
      </c>
      <c r="G1083" t="s">
        <v>561</v>
      </c>
      <c r="H1083">
        <v>606</v>
      </c>
      <c r="I1083">
        <v>11.79</v>
      </c>
      <c r="J1083">
        <v>11.8</v>
      </c>
      <c r="K1083" t="s">
        <v>7040</v>
      </c>
      <c r="L1083">
        <v>1.47</v>
      </c>
      <c r="M1083" t="s">
        <v>46</v>
      </c>
      <c r="N1083" t="s">
        <v>4707</v>
      </c>
      <c r="O1083">
        <v>11.96</v>
      </c>
      <c r="P1083">
        <v>11.59</v>
      </c>
      <c r="Q1083">
        <v>11.96</v>
      </c>
      <c r="R1083">
        <v>11.96</v>
      </c>
      <c r="S1083">
        <v>3.09</v>
      </c>
      <c r="T1083">
        <v>1.61</v>
      </c>
      <c r="U1083">
        <v>-17.98</v>
      </c>
      <c r="V1083">
        <v>-744</v>
      </c>
      <c r="W1083">
        <v>11.74</v>
      </c>
      <c r="X1083" t="s">
        <v>110</v>
      </c>
      <c r="Y1083" t="s">
        <v>6561</v>
      </c>
      <c r="Z1083">
        <v>1.68</v>
      </c>
      <c r="AA1083">
        <v>192</v>
      </c>
      <c r="AB1083">
        <v>228</v>
      </c>
      <c r="AC1083">
        <v>0.96</v>
      </c>
      <c r="AD1083" t="s">
        <v>7275</v>
      </c>
      <c r="AE1083" t="s">
        <v>4878</v>
      </c>
      <c r="AF1083" t="s">
        <v>7276</v>
      </c>
      <c r="AG1083" t="s">
        <v>2786</v>
      </c>
      <c r="AH1083">
        <v>-3.28</v>
      </c>
      <c r="AI1083">
        <v>-3.59</v>
      </c>
      <c r="AJ1083">
        <v>3.53</v>
      </c>
      <c r="AK1083">
        <v>6.04</v>
      </c>
      <c r="AL1083">
        <v>-3</v>
      </c>
      <c r="AM1083">
        <v>-1.34</v>
      </c>
      <c r="AN1083">
        <v>-34.34</v>
      </c>
      <c r="AO1083">
        <v>-3.67</v>
      </c>
      <c r="AP1083">
        <v>-20.16</v>
      </c>
    </row>
    <row r="1084" spans="1:42">
      <c r="A1084">
        <v>1083</v>
      </c>
      <c r="B1084" t="str">
        <f>"600859"</f>
        <v>600859</v>
      </c>
      <c r="C1084" t="s">
        <v>7277</v>
      </c>
      <c r="D1084">
        <v>17.49</v>
      </c>
      <c r="E1084">
        <v>0.75</v>
      </c>
      <c r="F1084">
        <v>0.13</v>
      </c>
      <c r="G1084" t="s">
        <v>2402</v>
      </c>
      <c r="H1084">
        <v>389</v>
      </c>
      <c r="I1084">
        <v>17.49</v>
      </c>
      <c r="J1084">
        <v>17.5</v>
      </c>
      <c r="K1084" t="s">
        <v>7040</v>
      </c>
      <c r="L1084">
        <v>0.99</v>
      </c>
      <c r="M1084" t="s">
        <v>46</v>
      </c>
      <c r="N1084" t="s">
        <v>7278</v>
      </c>
      <c r="O1084">
        <v>17.61</v>
      </c>
      <c r="P1084">
        <v>17.3</v>
      </c>
      <c r="Q1084">
        <v>17.36</v>
      </c>
      <c r="R1084">
        <v>17.36</v>
      </c>
      <c r="S1084">
        <v>1.79</v>
      </c>
      <c r="T1084">
        <v>0.98</v>
      </c>
      <c r="U1084">
        <v>-10.28</v>
      </c>
      <c r="V1084">
        <v>-221</v>
      </c>
      <c r="W1084">
        <v>17.45</v>
      </c>
      <c r="X1084" t="s">
        <v>4168</v>
      </c>
      <c r="Y1084" t="s">
        <v>7279</v>
      </c>
      <c r="Z1084">
        <v>0.76</v>
      </c>
      <c r="AA1084">
        <v>330</v>
      </c>
      <c r="AB1084">
        <v>267</v>
      </c>
      <c r="AC1084">
        <v>1.01</v>
      </c>
      <c r="AD1084" t="s">
        <v>7280</v>
      </c>
      <c r="AE1084" t="s">
        <v>7281</v>
      </c>
      <c r="AF1084" t="s">
        <v>7282</v>
      </c>
      <c r="AG1084" t="s">
        <v>7283</v>
      </c>
      <c r="AH1084">
        <v>-1.46</v>
      </c>
      <c r="AI1084">
        <v>-2.83</v>
      </c>
      <c r="AJ1084">
        <v>2.86</v>
      </c>
      <c r="AK1084">
        <v>6.06</v>
      </c>
      <c r="AL1084">
        <v>1</v>
      </c>
      <c r="AM1084">
        <v>0.75</v>
      </c>
      <c r="AN1084">
        <v>-37.62</v>
      </c>
      <c r="AO1084">
        <v>-1.02</v>
      </c>
      <c r="AP1084">
        <v>-25.1</v>
      </c>
    </row>
    <row r="1085" spans="1:42">
      <c r="A1085">
        <v>1084</v>
      </c>
      <c r="B1085" t="str">
        <f>"000892"</f>
        <v>000892</v>
      </c>
      <c r="C1085" t="s">
        <v>7284</v>
      </c>
      <c r="D1085">
        <v>4.41</v>
      </c>
      <c r="E1085">
        <v>3.76</v>
      </c>
      <c r="F1085">
        <v>0.16</v>
      </c>
      <c r="G1085" t="s">
        <v>2374</v>
      </c>
      <c r="H1085">
        <v>5151</v>
      </c>
      <c r="I1085">
        <v>4.4</v>
      </c>
      <c r="J1085">
        <v>4.41</v>
      </c>
      <c r="K1085" t="s">
        <v>7285</v>
      </c>
      <c r="L1085">
        <v>6.07</v>
      </c>
      <c r="M1085" t="s">
        <v>46</v>
      </c>
      <c r="N1085" t="s">
        <v>4803</v>
      </c>
      <c r="O1085">
        <v>4.42</v>
      </c>
      <c r="P1085">
        <v>4.22</v>
      </c>
      <c r="Q1085">
        <v>4.24</v>
      </c>
      <c r="R1085">
        <v>4.25</v>
      </c>
      <c r="S1085">
        <v>4.71</v>
      </c>
      <c r="T1085">
        <v>1.03</v>
      </c>
      <c r="U1085">
        <v>12.71</v>
      </c>
      <c r="V1085">
        <v>3129</v>
      </c>
      <c r="W1085">
        <v>4.36</v>
      </c>
      <c r="X1085" t="s">
        <v>1439</v>
      </c>
      <c r="Y1085" t="s">
        <v>5163</v>
      </c>
      <c r="Z1085">
        <v>0.63</v>
      </c>
      <c r="AA1085">
        <v>1919</v>
      </c>
      <c r="AB1085">
        <v>4235</v>
      </c>
      <c r="AC1085">
        <v>2.94</v>
      </c>
      <c r="AD1085" t="s">
        <v>7286</v>
      </c>
      <c r="AE1085" t="s">
        <v>7287</v>
      </c>
      <c r="AF1085" t="s">
        <v>7288</v>
      </c>
      <c r="AG1085" t="s">
        <v>7289</v>
      </c>
      <c r="AH1085">
        <v>3.76</v>
      </c>
      <c r="AI1085">
        <v>-1.78</v>
      </c>
      <c r="AJ1085">
        <v>13.36</v>
      </c>
      <c r="AK1085">
        <v>35.44</v>
      </c>
      <c r="AL1085">
        <v>2</v>
      </c>
      <c r="AM1085">
        <v>3.76</v>
      </c>
      <c r="AN1085">
        <v>-1.78</v>
      </c>
      <c r="AO1085">
        <v>14.55</v>
      </c>
      <c r="AP1085">
        <v>13.37</v>
      </c>
    </row>
    <row r="1086" spans="1:42">
      <c r="A1086">
        <v>1085</v>
      </c>
      <c r="B1086" t="str">
        <f>"603319"</f>
        <v>603319</v>
      </c>
      <c r="C1086" t="s">
        <v>7290</v>
      </c>
      <c r="D1086">
        <v>18.99</v>
      </c>
      <c r="E1086">
        <v>0.05</v>
      </c>
      <c r="F1086">
        <v>0.01</v>
      </c>
      <c r="G1086" t="s">
        <v>3734</v>
      </c>
      <c r="H1086">
        <v>731</v>
      </c>
      <c r="I1086">
        <v>18.98</v>
      </c>
      <c r="J1086">
        <v>18.99</v>
      </c>
      <c r="K1086" t="s">
        <v>7285</v>
      </c>
      <c r="L1086">
        <v>4.79</v>
      </c>
      <c r="M1086" t="s">
        <v>46</v>
      </c>
      <c r="N1086" t="s">
        <v>2113</v>
      </c>
      <c r="O1086">
        <v>19.47</v>
      </c>
      <c r="P1086">
        <v>18.5</v>
      </c>
      <c r="Q1086">
        <v>19.14</v>
      </c>
      <c r="R1086">
        <v>18.98</v>
      </c>
      <c r="S1086">
        <v>5.11</v>
      </c>
      <c r="T1086">
        <v>0.44</v>
      </c>
      <c r="U1086">
        <v>-9.5</v>
      </c>
      <c r="V1086">
        <v>-89</v>
      </c>
      <c r="W1086">
        <v>18.99</v>
      </c>
      <c r="X1086" t="s">
        <v>5028</v>
      </c>
      <c r="Y1086" t="s">
        <v>3736</v>
      </c>
      <c r="Z1086">
        <v>0.97</v>
      </c>
      <c r="AA1086">
        <v>5</v>
      </c>
      <c r="AB1086">
        <v>112</v>
      </c>
      <c r="AC1086">
        <v>2.38</v>
      </c>
      <c r="AD1086" t="s">
        <v>7291</v>
      </c>
      <c r="AE1086" t="s">
        <v>7292</v>
      </c>
      <c r="AF1086" t="s">
        <v>2208</v>
      </c>
      <c r="AG1086" t="s">
        <v>7293</v>
      </c>
      <c r="AH1086">
        <v>-5.62</v>
      </c>
      <c r="AI1086">
        <v>-1.86</v>
      </c>
      <c r="AJ1086">
        <v>20.73</v>
      </c>
      <c r="AK1086">
        <v>58.67</v>
      </c>
      <c r="AL1086">
        <v>1</v>
      </c>
      <c r="AM1086">
        <v>0.05</v>
      </c>
      <c r="AN1086">
        <v>29.36</v>
      </c>
      <c r="AO1086">
        <v>10.09</v>
      </c>
      <c r="AP1086">
        <v>14.74</v>
      </c>
    </row>
    <row r="1087" spans="1:42">
      <c r="A1087">
        <v>1086</v>
      </c>
      <c r="B1087" t="str">
        <f>"300169"</f>
        <v>300169</v>
      </c>
      <c r="C1087" t="s">
        <v>7294</v>
      </c>
      <c r="D1087">
        <v>7.64</v>
      </c>
      <c r="E1087">
        <v>0.53</v>
      </c>
      <c r="F1087">
        <v>0.04</v>
      </c>
      <c r="G1087" t="s">
        <v>851</v>
      </c>
      <c r="H1087">
        <v>5556</v>
      </c>
      <c r="I1087">
        <v>7.64</v>
      </c>
      <c r="J1087">
        <v>7.65</v>
      </c>
      <c r="K1087" t="s">
        <v>7285</v>
      </c>
      <c r="L1087">
        <v>8.16</v>
      </c>
      <c r="M1087" t="s">
        <v>46</v>
      </c>
      <c r="N1087" t="s">
        <v>3728</v>
      </c>
      <c r="O1087">
        <v>7.69</v>
      </c>
      <c r="P1087">
        <v>7.52</v>
      </c>
      <c r="Q1087">
        <v>7.52</v>
      </c>
      <c r="R1087">
        <v>7.6</v>
      </c>
      <c r="S1087">
        <v>2.24</v>
      </c>
      <c r="T1087">
        <v>1.1</v>
      </c>
      <c r="U1087">
        <v>-7.4</v>
      </c>
      <c r="V1087">
        <v>-916</v>
      </c>
      <c r="W1087">
        <v>7.62</v>
      </c>
      <c r="X1087" t="s">
        <v>422</v>
      </c>
      <c r="Y1087" t="s">
        <v>422</v>
      </c>
      <c r="Z1087">
        <v>1</v>
      </c>
      <c r="AA1087">
        <v>3</v>
      </c>
      <c r="AB1087">
        <v>629</v>
      </c>
      <c r="AC1087">
        <v>10.49</v>
      </c>
      <c r="AD1087" t="s">
        <v>7295</v>
      </c>
      <c r="AE1087" t="s">
        <v>7296</v>
      </c>
      <c r="AF1087" t="s">
        <v>7297</v>
      </c>
      <c r="AG1087" t="s">
        <v>1481</v>
      </c>
      <c r="AH1087">
        <v>0.92</v>
      </c>
      <c r="AI1087">
        <v>-1.67</v>
      </c>
      <c r="AJ1087">
        <v>22.21</v>
      </c>
      <c r="AK1087">
        <v>45.21</v>
      </c>
      <c r="AL1087">
        <v>2</v>
      </c>
      <c r="AM1087">
        <v>0.53</v>
      </c>
      <c r="AN1087">
        <v>84.99</v>
      </c>
      <c r="AO1087">
        <v>-9.26</v>
      </c>
      <c r="AP1087">
        <v>62.21</v>
      </c>
    </row>
    <row r="1088" spans="1:42">
      <c r="A1088">
        <v>1087</v>
      </c>
      <c r="B1088" t="str">
        <f>"301042"</f>
        <v>301042</v>
      </c>
      <c r="C1088" t="s">
        <v>7298</v>
      </c>
      <c r="D1088">
        <v>40.81</v>
      </c>
      <c r="E1088">
        <v>3.32</v>
      </c>
      <c r="F1088">
        <v>1.31</v>
      </c>
      <c r="G1088" t="s">
        <v>7299</v>
      </c>
      <c r="H1088">
        <v>1118</v>
      </c>
      <c r="I1088">
        <v>40.8</v>
      </c>
      <c r="J1088">
        <v>40.81</v>
      </c>
      <c r="K1088" t="s">
        <v>7285</v>
      </c>
      <c r="L1088">
        <v>11.04</v>
      </c>
      <c r="M1088" t="s">
        <v>46</v>
      </c>
      <c r="N1088" t="s">
        <v>2922</v>
      </c>
      <c r="O1088">
        <v>40.82</v>
      </c>
      <c r="P1088">
        <v>38.93</v>
      </c>
      <c r="Q1088">
        <v>39.17</v>
      </c>
      <c r="R1088">
        <v>39.5</v>
      </c>
      <c r="S1088">
        <v>4.78</v>
      </c>
      <c r="T1088">
        <v>0.57</v>
      </c>
      <c r="U1088">
        <v>15.44</v>
      </c>
      <c r="V1088">
        <v>107</v>
      </c>
      <c r="W1088">
        <v>40.15</v>
      </c>
      <c r="X1088" t="s">
        <v>1212</v>
      </c>
      <c r="Y1088" t="s">
        <v>4037</v>
      </c>
      <c r="Z1088">
        <v>0.93</v>
      </c>
      <c r="AA1088">
        <v>128</v>
      </c>
      <c r="AB1088">
        <v>90</v>
      </c>
      <c r="AC1088">
        <v>2.48</v>
      </c>
      <c r="AD1088" t="s">
        <v>7300</v>
      </c>
      <c r="AE1088" t="s">
        <v>7301</v>
      </c>
      <c r="AF1088" t="s">
        <v>7302</v>
      </c>
      <c r="AG1088" t="s">
        <v>7303</v>
      </c>
      <c r="AH1088">
        <v>-7.67</v>
      </c>
      <c r="AI1088">
        <v>-26.51</v>
      </c>
      <c r="AJ1088">
        <v>44.77</v>
      </c>
      <c r="AK1088">
        <v>107.69</v>
      </c>
      <c r="AL1088">
        <v>1</v>
      </c>
      <c r="AM1088">
        <v>3.32</v>
      </c>
      <c r="AN1088">
        <v>33.32</v>
      </c>
      <c r="AO1088">
        <v>9.53</v>
      </c>
      <c r="AP1088">
        <v>17.61</v>
      </c>
    </row>
    <row r="1089" spans="1:42">
      <c r="A1089">
        <v>1088</v>
      </c>
      <c r="B1089" t="str">
        <f>"603305"</f>
        <v>603305</v>
      </c>
      <c r="C1089" t="s">
        <v>7304</v>
      </c>
      <c r="D1089">
        <v>20.55</v>
      </c>
      <c r="E1089">
        <v>-0.82</v>
      </c>
      <c r="F1089">
        <v>-0.17</v>
      </c>
      <c r="G1089" t="s">
        <v>82</v>
      </c>
      <c r="H1089">
        <v>335</v>
      </c>
      <c r="I1089">
        <v>20.54</v>
      </c>
      <c r="J1089">
        <v>20.55</v>
      </c>
      <c r="K1089" t="s">
        <v>7305</v>
      </c>
      <c r="L1089">
        <v>0.98</v>
      </c>
      <c r="M1089" t="s">
        <v>46</v>
      </c>
      <c r="N1089" t="s">
        <v>7306</v>
      </c>
      <c r="O1089">
        <v>20.8</v>
      </c>
      <c r="P1089">
        <v>20.2</v>
      </c>
      <c r="Q1089">
        <v>20.7</v>
      </c>
      <c r="R1089">
        <v>20.72</v>
      </c>
      <c r="S1089">
        <v>2.9</v>
      </c>
      <c r="T1089">
        <v>1.06</v>
      </c>
      <c r="U1089">
        <v>-16.07</v>
      </c>
      <c r="V1089">
        <v>-141</v>
      </c>
      <c r="W1089">
        <v>20.45</v>
      </c>
      <c r="X1089" t="s">
        <v>3356</v>
      </c>
      <c r="Y1089" t="s">
        <v>2621</v>
      </c>
      <c r="Z1089">
        <v>1.19</v>
      </c>
      <c r="AA1089">
        <v>23</v>
      </c>
      <c r="AB1089">
        <v>157</v>
      </c>
      <c r="AC1089">
        <v>3.14</v>
      </c>
      <c r="AD1089" t="s">
        <v>7307</v>
      </c>
      <c r="AE1089" t="s">
        <v>7308</v>
      </c>
      <c r="AF1089" t="s">
        <v>7307</v>
      </c>
      <c r="AG1089" t="s">
        <v>7308</v>
      </c>
      <c r="AH1089">
        <v>-4.64</v>
      </c>
      <c r="AI1089">
        <v>-8.75</v>
      </c>
      <c r="AJ1089">
        <v>2.88</v>
      </c>
      <c r="AK1089">
        <v>5.6</v>
      </c>
      <c r="AL1089">
        <v>-6</v>
      </c>
      <c r="AM1089">
        <v>-0.82</v>
      </c>
      <c r="AN1089">
        <v>-10.42</v>
      </c>
      <c r="AO1089">
        <v>8.33</v>
      </c>
      <c r="AP1089">
        <v>-21.47</v>
      </c>
    </row>
    <row r="1090" spans="1:42">
      <c r="A1090">
        <v>1089</v>
      </c>
      <c r="B1090" t="str">
        <f>"601108"</f>
        <v>601108</v>
      </c>
      <c r="C1090" t="s">
        <v>7309</v>
      </c>
      <c r="D1090">
        <v>8.11</v>
      </c>
      <c r="E1090">
        <v>0.62</v>
      </c>
      <c r="F1090">
        <v>0.05</v>
      </c>
      <c r="G1090" t="s">
        <v>1031</v>
      </c>
      <c r="H1090">
        <v>5096</v>
      </c>
      <c r="I1090">
        <v>8.11</v>
      </c>
      <c r="J1090">
        <v>8.12</v>
      </c>
      <c r="K1090" t="s">
        <v>7305</v>
      </c>
      <c r="L1090">
        <v>0.5</v>
      </c>
      <c r="M1090" t="s">
        <v>46</v>
      </c>
      <c r="N1090" t="s">
        <v>5483</v>
      </c>
      <c r="O1090">
        <v>8.12</v>
      </c>
      <c r="P1090">
        <v>8.04</v>
      </c>
      <c r="Q1090">
        <v>8.07</v>
      </c>
      <c r="R1090">
        <v>8.06</v>
      </c>
      <c r="S1090">
        <v>0.99</v>
      </c>
      <c r="T1090">
        <v>0.71</v>
      </c>
      <c r="U1090">
        <v>-17.07</v>
      </c>
      <c r="V1090">
        <v>-4065</v>
      </c>
      <c r="W1090">
        <v>8.08</v>
      </c>
      <c r="X1090" t="s">
        <v>1987</v>
      </c>
      <c r="Y1090" t="s">
        <v>110</v>
      </c>
      <c r="Z1090">
        <v>1.29</v>
      </c>
      <c r="AA1090">
        <v>1025</v>
      </c>
      <c r="AB1090">
        <v>4534</v>
      </c>
      <c r="AC1090">
        <v>1.13</v>
      </c>
      <c r="AD1090" t="s">
        <v>7310</v>
      </c>
      <c r="AE1090" t="s">
        <v>7311</v>
      </c>
      <c r="AF1090" t="s">
        <v>7310</v>
      </c>
      <c r="AG1090" t="s">
        <v>7311</v>
      </c>
      <c r="AH1090">
        <v>-0.25</v>
      </c>
      <c r="AI1090">
        <v>-1.82</v>
      </c>
      <c r="AJ1090">
        <v>1.64</v>
      </c>
      <c r="AK1090">
        <v>4.03</v>
      </c>
      <c r="AL1090">
        <v>2</v>
      </c>
      <c r="AM1090">
        <v>0.62</v>
      </c>
      <c r="AN1090">
        <v>16.36</v>
      </c>
      <c r="AO1090">
        <v>2.53</v>
      </c>
      <c r="AP1090">
        <v>11.4</v>
      </c>
    </row>
    <row r="1091" spans="1:42">
      <c r="A1091">
        <v>1090</v>
      </c>
      <c r="B1091" t="str">
        <f>"603206"</f>
        <v>603206</v>
      </c>
      <c r="C1091" t="s">
        <v>7312</v>
      </c>
      <c r="D1091">
        <v>19.32</v>
      </c>
      <c r="E1091">
        <v>4.15</v>
      </c>
      <c r="F1091">
        <v>0.77</v>
      </c>
      <c r="G1091" t="s">
        <v>1513</v>
      </c>
      <c r="H1091">
        <v>1755</v>
      </c>
      <c r="I1091">
        <v>19.32</v>
      </c>
      <c r="J1091">
        <v>19.33</v>
      </c>
      <c r="K1091" t="s">
        <v>7305</v>
      </c>
      <c r="L1091">
        <v>11.26</v>
      </c>
      <c r="M1091" t="s">
        <v>46</v>
      </c>
      <c r="N1091" t="s">
        <v>2246</v>
      </c>
      <c r="O1091">
        <v>19.38</v>
      </c>
      <c r="P1091">
        <v>18.45</v>
      </c>
      <c r="Q1091">
        <v>18.53</v>
      </c>
      <c r="R1091">
        <v>18.55</v>
      </c>
      <c r="S1091">
        <v>5.01</v>
      </c>
      <c r="T1091">
        <v>1.31</v>
      </c>
      <c r="U1091">
        <v>27.9</v>
      </c>
      <c r="V1091">
        <v>725</v>
      </c>
      <c r="W1091">
        <v>19.04</v>
      </c>
      <c r="X1091" t="s">
        <v>5355</v>
      </c>
      <c r="Y1091" t="s">
        <v>3055</v>
      </c>
      <c r="Z1091">
        <v>0.71</v>
      </c>
      <c r="AA1091">
        <v>68</v>
      </c>
      <c r="AB1091">
        <v>346</v>
      </c>
      <c r="AC1091">
        <v>2.77</v>
      </c>
      <c r="AD1091" t="s">
        <v>7313</v>
      </c>
      <c r="AE1091" t="s">
        <v>7314</v>
      </c>
      <c r="AF1091" t="s">
        <v>7315</v>
      </c>
      <c r="AG1091" t="s">
        <v>7316</v>
      </c>
      <c r="AH1091">
        <v>2.6</v>
      </c>
      <c r="AI1091">
        <v>-0.82</v>
      </c>
      <c r="AJ1091">
        <v>25.79</v>
      </c>
      <c r="AK1091">
        <v>54.27</v>
      </c>
      <c r="AL1091">
        <v>1</v>
      </c>
      <c r="AM1091">
        <v>4.15</v>
      </c>
      <c r="AN1091">
        <v>28.2</v>
      </c>
      <c r="AO1091">
        <v>9.71</v>
      </c>
      <c r="AP1091">
        <v>14.52</v>
      </c>
    </row>
    <row r="1092" spans="1:42">
      <c r="A1092">
        <v>1091</v>
      </c>
      <c r="B1092" t="str">
        <f>"600123"</f>
        <v>600123</v>
      </c>
      <c r="C1092" t="s">
        <v>7317</v>
      </c>
      <c r="D1092">
        <v>9.9</v>
      </c>
      <c r="E1092">
        <v>1.12</v>
      </c>
      <c r="F1092">
        <v>0.11</v>
      </c>
      <c r="G1092" t="s">
        <v>3434</v>
      </c>
      <c r="H1092">
        <v>1718</v>
      </c>
      <c r="I1092">
        <v>9.89</v>
      </c>
      <c r="J1092">
        <v>9.9</v>
      </c>
      <c r="K1092" t="s">
        <v>7305</v>
      </c>
      <c r="L1092">
        <v>1.27</v>
      </c>
      <c r="M1092" t="s">
        <v>46</v>
      </c>
      <c r="N1092" t="s">
        <v>7318</v>
      </c>
      <c r="O1092">
        <v>9.95</v>
      </c>
      <c r="P1092">
        <v>9.78</v>
      </c>
      <c r="Q1092">
        <v>9.81</v>
      </c>
      <c r="R1092">
        <v>9.79</v>
      </c>
      <c r="S1092">
        <v>1.74</v>
      </c>
      <c r="T1092">
        <v>1.01</v>
      </c>
      <c r="U1092">
        <v>-26.71</v>
      </c>
      <c r="V1092">
        <v>-3828</v>
      </c>
      <c r="W1092">
        <v>9.88</v>
      </c>
      <c r="X1092" t="s">
        <v>775</v>
      </c>
      <c r="Y1092" t="s">
        <v>5288</v>
      </c>
      <c r="Z1092">
        <v>0.91</v>
      </c>
      <c r="AA1092">
        <v>1400</v>
      </c>
      <c r="AB1092">
        <v>250</v>
      </c>
      <c r="AC1092">
        <v>0.9</v>
      </c>
      <c r="AD1092" t="s">
        <v>1579</v>
      </c>
      <c r="AE1092" t="s">
        <v>7319</v>
      </c>
      <c r="AF1092" t="s">
        <v>1579</v>
      </c>
      <c r="AG1092" t="s">
        <v>7319</v>
      </c>
      <c r="AH1092">
        <v>2.17</v>
      </c>
      <c r="AI1092">
        <v>4.76</v>
      </c>
      <c r="AJ1092">
        <v>3.71</v>
      </c>
      <c r="AK1092">
        <v>7.59</v>
      </c>
      <c r="AL1092">
        <v>1</v>
      </c>
      <c r="AM1092">
        <v>1.12</v>
      </c>
      <c r="AN1092">
        <v>4.32</v>
      </c>
      <c r="AO1092">
        <v>9.15</v>
      </c>
      <c r="AP1092">
        <v>1.12</v>
      </c>
    </row>
    <row r="1093" spans="1:42">
      <c r="A1093">
        <v>1092</v>
      </c>
      <c r="B1093" t="str">
        <f>"603297"</f>
        <v>603297</v>
      </c>
      <c r="C1093" t="s">
        <v>7320</v>
      </c>
      <c r="D1093">
        <v>97</v>
      </c>
      <c r="E1093">
        <v>-1.42</v>
      </c>
      <c r="F1093">
        <v>-1.4</v>
      </c>
      <c r="G1093" t="s">
        <v>882</v>
      </c>
      <c r="H1093">
        <v>216</v>
      </c>
      <c r="I1093">
        <v>96.99</v>
      </c>
      <c r="J1093">
        <v>97</v>
      </c>
      <c r="K1093" t="s">
        <v>7305</v>
      </c>
      <c r="L1093">
        <v>1.74</v>
      </c>
      <c r="M1093" t="s">
        <v>46</v>
      </c>
      <c r="N1093" t="s">
        <v>4583</v>
      </c>
      <c r="O1093">
        <v>99.44</v>
      </c>
      <c r="P1093">
        <v>95.9</v>
      </c>
      <c r="Q1093">
        <v>98</v>
      </c>
      <c r="R1093">
        <v>98.4</v>
      </c>
      <c r="S1093">
        <v>3.6</v>
      </c>
      <c r="T1093">
        <v>0.57</v>
      </c>
      <c r="U1093">
        <v>9.09</v>
      </c>
      <c r="V1093">
        <v>8</v>
      </c>
      <c r="W1093">
        <v>97.37</v>
      </c>
      <c r="X1093" t="s">
        <v>2667</v>
      </c>
      <c r="Y1093">
        <v>7798</v>
      </c>
      <c r="Z1093">
        <v>1.46</v>
      </c>
      <c r="AA1093">
        <v>40</v>
      </c>
      <c r="AB1093">
        <v>24</v>
      </c>
      <c r="AC1093">
        <v>6.09</v>
      </c>
      <c r="AD1093" t="s">
        <v>2638</v>
      </c>
      <c r="AE1093" t="s">
        <v>4187</v>
      </c>
      <c r="AF1093" t="s">
        <v>4054</v>
      </c>
      <c r="AG1093" t="s">
        <v>7321</v>
      </c>
      <c r="AH1093">
        <v>-5.37</v>
      </c>
      <c r="AI1093">
        <v>-4.29</v>
      </c>
      <c r="AJ1093">
        <v>6.86</v>
      </c>
      <c r="AK1093">
        <v>16.96</v>
      </c>
      <c r="AL1093">
        <v>-4</v>
      </c>
      <c r="AM1093">
        <v>-1.42</v>
      </c>
      <c r="AN1093">
        <v>18.22</v>
      </c>
      <c r="AO1093">
        <v>17.09</v>
      </c>
      <c r="AP1093">
        <v>9.26</v>
      </c>
    </row>
    <row r="1094" spans="1:42">
      <c r="A1094">
        <v>1093</v>
      </c>
      <c r="B1094" t="str">
        <f>"600351"</f>
        <v>600351</v>
      </c>
      <c r="C1094" t="s">
        <v>7322</v>
      </c>
      <c r="D1094">
        <v>7.81</v>
      </c>
      <c r="E1094">
        <v>0.26</v>
      </c>
      <c r="F1094">
        <v>0.02</v>
      </c>
      <c r="G1094" t="s">
        <v>2178</v>
      </c>
      <c r="H1094">
        <v>1413</v>
      </c>
      <c r="I1094">
        <v>7.81</v>
      </c>
      <c r="J1094">
        <v>7.82</v>
      </c>
      <c r="K1094" t="s">
        <v>7323</v>
      </c>
      <c r="L1094">
        <v>3.08</v>
      </c>
      <c r="M1094" t="s">
        <v>46</v>
      </c>
      <c r="N1094" t="s">
        <v>3326</v>
      </c>
      <c r="O1094">
        <v>8.03</v>
      </c>
      <c r="P1094">
        <v>7.77</v>
      </c>
      <c r="Q1094">
        <v>7.79</v>
      </c>
      <c r="R1094">
        <v>7.79</v>
      </c>
      <c r="S1094">
        <v>3.34</v>
      </c>
      <c r="T1094">
        <v>0.86</v>
      </c>
      <c r="U1094">
        <v>-8.4</v>
      </c>
      <c r="V1094">
        <v>-764</v>
      </c>
      <c r="W1094">
        <v>7.86</v>
      </c>
      <c r="X1094" t="s">
        <v>1937</v>
      </c>
      <c r="Y1094" t="s">
        <v>1807</v>
      </c>
      <c r="Z1094">
        <v>1.03</v>
      </c>
      <c r="AA1094">
        <v>656</v>
      </c>
      <c r="AB1094">
        <v>442</v>
      </c>
      <c r="AC1094">
        <v>1.97</v>
      </c>
      <c r="AD1094" t="s">
        <v>7324</v>
      </c>
      <c r="AE1094" t="s">
        <v>7325</v>
      </c>
      <c r="AF1094" t="s">
        <v>7324</v>
      </c>
      <c r="AG1094" t="s">
        <v>7325</v>
      </c>
      <c r="AH1094">
        <v>-0.38</v>
      </c>
      <c r="AI1094">
        <v>-3.7</v>
      </c>
      <c r="AJ1094">
        <v>8.3</v>
      </c>
      <c r="AK1094">
        <v>20.95</v>
      </c>
      <c r="AL1094">
        <v>2</v>
      </c>
      <c r="AM1094">
        <v>0.26</v>
      </c>
      <c r="AN1094">
        <v>33.96</v>
      </c>
      <c r="AO1094">
        <v>5.68</v>
      </c>
      <c r="AP1094">
        <v>11.1</v>
      </c>
    </row>
    <row r="1095" spans="1:42">
      <c r="A1095">
        <v>1094</v>
      </c>
      <c r="B1095" t="str">
        <f>"600126"</f>
        <v>600126</v>
      </c>
      <c r="C1095" t="s">
        <v>7326</v>
      </c>
      <c r="D1095">
        <v>5.37</v>
      </c>
      <c r="E1095">
        <v>-1.29</v>
      </c>
      <c r="F1095">
        <v>-0.07</v>
      </c>
      <c r="G1095" t="s">
        <v>1226</v>
      </c>
      <c r="H1095">
        <v>3180</v>
      </c>
      <c r="I1095">
        <v>5.37</v>
      </c>
      <c r="J1095">
        <v>5.38</v>
      </c>
      <c r="K1095" t="s">
        <v>7323</v>
      </c>
      <c r="L1095">
        <v>1.02</v>
      </c>
      <c r="M1095" t="s">
        <v>46</v>
      </c>
      <c r="N1095" t="s">
        <v>6964</v>
      </c>
      <c r="O1095">
        <v>5.47</v>
      </c>
      <c r="P1095">
        <v>5.34</v>
      </c>
      <c r="Q1095">
        <v>5.43</v>
      </c>
      <c r="R1095">
        <v>5.44</v>
      </c>
      <c r="S1095">
        <v>2.39</v>
      </c>
      <c r="T1095">
        <v>0.58</v>
      </c>
      <c r="U1095">
        <v>-32.28</v>
      </c>
      <c r="V1095">
        <v>-6262</v>
      </c>
      <c r="W1095">
        <v>5.38</v>
      </c>
      <c r="X1095" t="s">
        <v>2382</v>
      </c>
      <c r="Y1095" t="s">
        <v>796</v>
      </c>
      <c r="Z1095">
        <v>1.22</v>
      </c>
      <c r="AA1095">
        <v>2095</v>
      </c>
      <c r="AB1095">
        <v>6036</v>
      </c>
      <c r="AC1095">
        <v>0.9</v>
      </c>
      <c r="AD1095" t="s">
        <v>7327</v>
      </c>
      <c r="AE1095" t="s">
        <v>2037</v>
      </c>
      <c r="AF1095" t="s">
        <v>7327</v>
      </c>
      <c r="AG1095" t="s">
        <v>2037</v>
      </c>
      <c r="AH1095">
        <v>-5.12</v>
      </c>
      <c r="AI1095">
        <v>-8.36</v>
      </c>
      <c r="AJ1095">
        <v>4.38</v>
      </c>
      <c r="AK1095">
        <v>9.82</v>
      </c>
      <c r="AL1095">
        <v>-6</v>
      </c>
      <c r="AM1095">
        <v>-1.29</v>
      </c>
      <c r="AN1095">
        <v>31.62</v>
      </c>
      <c r="AO1095">
        <v>26.95</v>
      </c>
      <c r="AP1095">
        <v>28.16</v>
      </c>
    </row>
    <row r="1096" spans="1:42">
      <c r="A1096">
        <v>1095</v>
      </c>
      <c r="B1096" t="str">
        <f>"002080"</f>
        <v>002080</v>
      </c>
      <c r="C1096" t="s">
        <v>7328</v>
      </c>
      <c r="D1096">
        <v>16.66</v>
      </c>
      <c r="E1096">
        <v>-0.83</v>
      </c>
      <c r="F1096">
        <v>-0.14</v>
      </c>
      <c r="G1096" t="s">
        <v>656</v>
      </c>
      <c r="H1096">
        <v>1796</v>
      </c>
      <c r="I1096">
        <v>16.66</v>
      </c>
      <c r="J1096">
        <v>16.67</v>
      </c>
      <c r="K1096" t="s">
        <v>7323</v>
      </c>
      <c r="L1096">
        <v>0.67</v>
      </c>
      <c r="M1096" t="s">
        <v>46</v>
      </c>
      <c r="N1096" t="s">
        <v>7329</v>
      </c>
      <c r="O1096">
        <v>16.96</v>
      </c>
      <c r="P1096">
        <v>16.43</v>
      </c>
      <c r="Q1096">
        <v>16.87</v>
      </c>
      <c r="R1096">
        <v>16.8</v>
      </c>
      <c r="S1096">
        <v>3.15</v>
      </c>
      <c r="T1096">
        <v>1.64</v>
      </c>
      <c r="U1096">
        <v>-35.79</v>
      </c>
      <c r="V1096">
        <v>-814</v>
      </c>
      <c r="W1096">
        <v>16.61</v>
      </c>
      <c r="X1096" t="s">
        <v>4759</v>
      </c>
      <c r="Y1096" t="s">
        <v>4358</v>
      </c>
      <c r="Z1096">
        <v>1.53</v>
      </c>
      <c r="AA1096">
        <v>29</v>
      </c>
      <c r="AB1096">
        <v>12</v>
      </c>
      <c r="AC1096">
        <v>1.56</v>
      </c>
      <c r="AD1096" t="s">
        <v>7330</v>
      </c>
      <c r="AE1096" t="s">
        <v>7331</v>
      </c>
      <c r="AF1096" t="s">
        <v>7330</v>
      </c>
      <c r="AG1096" t="s">
        <v>7331</v>
      </c>
      <c r="AH1096">
        <v>-3.08</v>
      </c>
      <c r="AI1096">
        <v>-3.87</v>
      </c>
      <c r="AJ1096">
        <v>1.7</v>
      </c>
      <c r="AK1096">
        <v>2.7</v>
      </c>
      <c r="AL1096">
        <v>-3</v>
      </c>
      <c r="AM1096">
        <v>-0.83</v>
      </c>
      <c r="AN1096">
        <v>-19.79</v>
      </c>
      <c r="AO1096">
        <v>-3.98</v>
      </c>
      <c r="AP1096">
        <v>-26.54</v>
      </c>
    </row>
    <row r="1097" spans="1:42">
      <c r="A1097">
        <v>1096</v>
      </c>
      <c r="B1097" t="str">
        <f>"002145"</f>
        <v>002145</v>
      </c>
      <c r="C1097" t="s">
        <v>7332</v>
      </c>
      <c r="D1097">
        <v>4.74</v>
      </c>
      <c r="E1097">
        <v>2.6</v>
      </c>
      <c r="F1097">
        <v>0.12</v>
      </c>
      <c r="G1097" t="s">
        <v>5016</v>
      </c>
      <c r="H1097">
        <v>2589</v>
      </c>
      <c r="I1097">
        <v>4.73</v>
      </c>
      <c r="J1097">
        <v>4.74</v>
      </c>
      <c r="K1097" t="s">
        <v>7323</v>
      </c>
      <c r="L1097">
        <v>1.02</v>
      </c>
      <c r="M1097" t="s">
        <v>46</v>
      </c>
      <c r="N1097" t="s">
        <v>7333</v>
      </c>
      <c r="O1097">
        <v>4.77</v>
      </c>
      <c r="P1097">
        <v>4.62</v>
      </c>
      <c r="Q1097">
        <v>4.65</v>
      </c>
      <c r="R1097">
        <v>4.62</v>
      </c>
      <c r="S1097">
        <v>3.25</v>
      </c>
      <c r="T1097">
        <v>1.36</v>
      </c>
      <c r="U1097">
        <v>-38.23</v>
      </c>
      <c r="V1097" t="s">
        <v>7334</v>
      </c>
      <c r="W1097">
        <v>4.7</v>
      </c>
      <c r="X1097" t="s">
        <v>784</v>
      </c>
      <c r="Y1097" t="s">
        <v>272</v>
      </c>
      <c r="Z1097">
        <v>0.54</v>
      </c>
      <c r="AA1097">
        <v>6233</v>
      </c>
      <c r="AB1097">
        <v>1242</v>
      </c>
      <c r="AC1097">
        <v>1.49</v>
      </c>
      <c r="AD1097" t="s">
        <v>7335</v>
      </c>
      <c r="AE1097" t="s">
        <v>2398</v>
      </c>
      <c r="AF1097" t="s">
        <v>7335</v>
      </c>
      <c r="AG1097" t="s">
        <v>2398</v>
      </c>
      <c r="AH1097">
        <v>0</v>
      </c>
      <c r="AI1097">
        <v>-2.27</v>
      </c>
      <c r="AJ1097">
        <v>2.73</v>
      </c>
      <c r="AK1097">
        <v>4.79</v>
      </c>
      <c r="AL1097">
        <v>1</v>
      </c>
      <c r="AM1097">
        <v>2.6</v>
      </c>
      <c r="AN1097">
        <v>-22.42</v>
      </c>
      <c r="AO1097">
        <v>-1.25</v>
      </c>
      <c r="AP1097">
        <v>-32.38</v>
      </c>
    </row>
    <row r="1098" spans="1:42">
      <c r="A1098">
        <v>1097</v>
      </c>
      <c r="B1098" t="str">
        <f>"000408"</f>
        <v>000408</v>
      </c>
      <c r="C1098" t="s">
        <v>7336</v>
      </c>
      <c r="D1098">
        <v>23.89</v>
      </c>
      <c r="E1098">
        <v>-0.13</v>
      </c>
      <c r="F1098">
        <v>-0.03</v>
      </c>
      <c r="G1098" t="s">
        <v>3904</v>
      </c>
      <c r="H1098">
        <v>465</v>
      </c>
      <c r="I1098">
        <v>23.89</v>
      </c>
      <c r="J1098">
        <v>23.92</v>
      </c>
      <c r="K1098" t="s">
        <v>7323</v>
      </c>
      <c r="L1098">
        <v>0.49</v>
      </c>
      <c r="M1098" t="s">
        <v>46</v>
      </c>
      <c r="N1098" t="s">
        <v>7337</v>
      </c>
      <c r="O1098">
        <v>24.23</v>
      </c>
      <c r="P1098">
        <v>23.66</v>
      </c>
      <c r="Q1098">
        <v>23.89</v>
      </c>
      <c r="R1098">
        <v>23.92</v>
      </c>
      <c r="S1098">
        <v>2.38</v>
      </c>
      <c r="T1098">
        <v>1.27</v>
      </c>
      <c r="U1098">
        <v>-0.8</v>
      </c>
      <c r="V1098">
        <v>-7</v>
      </c>
      <c r="W1098">
        <v>23.88</v>
      </c>
      <c r="X1098" t="s">
        <v>7338</v>
      </c>
      <c r="Y1098" t="s">
        <v>4766</v>
      </c>
      <c r="Z1098">
        <v>0.74</v>
      </c>
      <c r="AA1098">
        <v>7</v>
      </c>
      <c r="AB1098">
        <v>51</v>
      </c>
      <c r="AC1098">
        <v>3.05</v>
      </c>
      <c r="AD1098" t="s">
        <v>7242</v>
      </c>
      <c r="AE1098" t="s">
        <v>3035</v>
      </c>
      <c r="AF1098" t="s">
        <v>7242</v>
      </c>
      <c r="AG1098" t="s">
        <v>3035</v>
      </c>
      <c r="AH1098">
        <v>-1.12</v>
      </c>
      <c r="AI1098">
        <v>-2.13</v>
      </c>
      <c r="AJ1098">
        <v>1.36</v>
      </c>
      <c r="AK1098">
        <v>2.44</v>
      </c>
      <c r="AL1098">
        <v>-3</v>
      </c>
      <c r="AM1098">
        <v>-0.13</v>
      </c>
      <c r="AN1098">
        <v>-1.32</v>
      </c>
      <c r="AO1098">
        <v>7.66</v>
      </c>
      <c r="AP1098">
        <v>-15.49</v>
      </c>
    </row>
    <row r="1099" spans="1:42">
      <c r="A1099">
        <v>1098</v>
      </c>
      <c r="B1099" t="str">
        <f>"002870"</f>
        <v>002870</v>
      </c>
      <c r="C1099" t="s">
        <v>7339</v>
      </c>
      <c r="D1099">
        <v>35.61</v>
      </c>
      <c r="E1099">
        <v>-1.49</v>
      </c>
      <c r="F1099">
        <v>-0.54</v>
      </c>
      <c r="G1099" t="s">
        <v>7340</v>
      </c>
      <c r="H1099">
        <v>2002</v>
      </c>
      <c r="I1099">
        <v>35.61</v>
      </c>
      <c r="J1099">
        <v>35.66</v>
      </c>
      <c r="K1099" t="s">
        <v>7323</v>
      </c>
      <c r="L1099">
        <v>4.74</v>
      </c>
      <c r="M1099" t="s">
        <v>46</v>
      </c>
      <c r="N1099" t="s">
        <v>7341</v>
      </c>
      <c r="O1099">
        <v>36.05</v>
      </c>
      <c r="P1099">
        <v>35.03</v>
      </c>
      <c r="Q1099">
        <v>35.75</v>
      </c>
      <c r="R1099">
        <v>36.15</v>
      </c>
      <c r="S1099">
        <v>2.82</v>
      </c>
      <c r="T1099">
        <v>0.59</v>
      </c>
      <c r="U1099">
        <v>86.67</v>
      </c>
      <c r="V1099">
        <v>455</v>
      </c>
      <c r="W1099">
        <v>35.56</v>
      </c>
      <c r="X1099" t="s">
        <v>688</v>
      </c>
      <c r="Y1099" t="s">
        <v>117</v>
      </c>
      <c r="Z1099">
        <v>1.01</v>
      </c>
      <c r="AA1099">
        <v>4</v>
      </c>
      <c r="AB1099">
        <v>5</v>
      </c>
      <c r="AC1099">
        <v>3.2</v>
      </c>
      <c r="AD1099" t="s">
        <v>7342</v>
      </c>
      <c r="AE1099" t="s">
        <v>7343</v>
      </c>
      <c r="AF1099" t="s">
        <v>7344</v>
      </c>
      <c r="AG1099" t="s">
        <v>7345</v>
      </c>
      <c r="AH1099">
        <v>-7.98</v>
      </c>
      <c r="AI1099">
        <v>0.34</v>
      </c>
      <c r="AJ1099">
        <v>30.32</v>
      </c>
      <c r="AK1099">
        <v>44.95</v>
      </c>
      <c r="AL1099">
        <v>-3</v>
      </c>
      <c r="AM1099">
        <v>-1.49</v>
      </c>
      <c r="AN1099">
        <v>36.18</v>
      </c>
      <c r="AO1099">
        <v>-2.7</v>
      </c>
      <c r="AP1099">
        <v>36.18</v>
      </c>
    </row>
    <row r="1100" spans="1:42">
      <c r="A1100">
        <v>1099</v>
      </c>
      <c r="B1100" t="str">
        <f>"605365"</f>
        <v>605365</v>
      </c>
      <c r="C1100" t="s">
        <v>7346</v>
      </c>
      <c r="D1100">
        <v>19.25</v>
      </c>
      <c r="E1100">
        <v>-1.43</v>
      </c>
      <c r="F1100">
        <v>-0.28</v>
      </c>
      <c r="G1100" t="s">
        <v>2058</v>
      </c>
      <c r="H1100">
        <v>1652</v>
      </c>
      <c r="I1100">
        <v>19.25</v>
      </c>
      <c r="J1100">
        <v>19.26</v>
      </c>
      <c r="K1100" t="s">
        <v>7323</v>
      </c>
      <c r="L1100">
        <v>16.64</v>
      </c>
      <c r="M1100" t="s">
        <v>46</v>
      </c>
      <c r="N1100" t="s">
        <v>5912</v>
      </c>
      <c r="O1100">
        <v>19.64</v>
      </c>
      <c r="P1100">
        <v>18.71</v>
      </c>
      <c r="Q1100">
        <v>19.63</v>
      </c>
      <c r="R1100">
        <v>19.53</v>
      </c>
      <c r="S1100">
        <v>4.76</v>
      </c>
      <c r="T1100">
        <v>0.97</v>
      </c>
      <c r="U1100">
        <v>32.63</v>
      </c>
      <c r="V1100">
        <v>464</v>
      </c>
      <c r="W1100">
        <v>19.08</v>
      </c>
      <c r="X1100" t="s">
        <v>5191</v>
      </c>
      <c r="Y1100" t="s">
        <v>7035</v>
      </c>
      <c r="Z1100">
        <v>1.14</v>
      </c>
      <c r="AA1100">
        <v>470</v>
      </c>
      <c r="AB1100">
        <v>31</v>
      </c>
      <c r="AC1100">
        <v>2.83</v>
      </c>
      <c r="AD1100" t="s">
        <v>7347</v>
      </c>
      <c r="AE1100" t="s">
        <v>7348</v>
      </c>
      <c r="AF1100" t="s">
        <v>7349</v>
      </c>
      <c r="AG1100" t="s">
        <v>7350</v>
      </c>
      <c r="AH1100">
        <v>5.71</v>
      </c>
      <c r="AI1100">
        <v>1.69</v>
      </c>
      <c r="AJ1100">
        <v>76.87</v>
      </c>
      <c r="AK1100">
        <v>102.06</v>
      </c>
      <c r="AL1100">
        <v>-2</v>
      </c>
      <c r="AM1100">
        <v>-1.43</v>
      </c>
      <c r="AN1100">
        <v>21.99</v>
      </c>
      <c r="AO1100">
        <v>9.69</v>
      </c>
      <c r="AP1100">
        <v>12.18</v>
      </c>
    </row>
    <row r="1101" spans="1:42">
      <c r="A1101">
        <v>1100</v>
      </c>
      <c r="B1101" t="str">
        <f>"002407"</f>
        <v>002407</v>
      </c>
      <c r="C1101" t="s">
        <v>7351</v>
      </c>
      <c r="D1101">
        <v>15.06</v>
      </c>
      <c r="E1101">
        <v>0.47</v>
      </c>
      <c r="F1101">
        <v>0.07</v>
      </c>
      <c r="G1101" t="s">
        <v>1986</v>
      </c>
      <c r="H1101">
        <v>1651</v>
      </c>
      <c r="I1101">
        <v>15.05</v>
      </c>
      <c r="J1101">
        <v>15.06</v>
      </c>
      <c r="K1101" t="s">
        <v>7323</v>
      </c>
      <c r="L1101">
        <v>1.3</v>
      </c>
      <c r="M1101" t="s">
        <v>46</v>
      </c>
      <c r="N1101" t="s">
        <v>7352</v>
      </c>
      <c r="O1101">
        <v>15.13</v>
      </c>
      <c r="P1101">
        <v>14.71</v>
      </c>
      <c r="Q1101">
        <v>15</v>
      </c>
      <c r="R1101">
        <v>14.99</v>
      </c>
      <c r="S1101">
        <v>2.8</v>
      </c>
      <c r="T1101">
        <v>1.26</v>
      </c>
      <c r="U1101">
        <v>24.52</v>
      </c>
      <c r="V1101">
        <v>1213</v>
      </c>
      <c r="W1101">
        <v>14.92</v>
      </c>
      <c r="X1101" t="s">
        <v>6478</v>
      </c>
      <c r="Y1101" t="s">
        <v>5674</v>
      </c>
      <c r="Z1101">
        <v>1.63</v>
      </c>
      <c r="AA1101">
        <v>1141</v>
      </c>
      <c r="AB1101">
        <v>155</v>
      </c>
      <c r="AC1101">
        <v>2.15</v>
      </c>
      <c r="AD1101" t="s">
        <v>5037</v>
      </c>
      <c r="AE1101" t="s">
        <v>7353</v>
      </c>
      <c r="AF1101" t="s">
        <v>7354</v>
      </c>
      <c r="AG1101" t="s">
        <v>7355</v>
      </c>
      <c r="AH1101">
        <v>-3.15</v>
      </c>
      <c r="AI1101">
        <v>-6.69</v>
      </c>
      <c r="AJ1101">
        <v>3.56</v>
      </c>
      <c r="AK1101">
        <v>6.43</v>
      </c>
      <c r="AL1101">
        <v>1</v>
      </c>
      <c r="AM1101">
        <v>0.47</v>
      </c>
      <c r="AN1101">
        <v>-35.56</v>
      </c>
      <c r="AO1101">
        <v>-4.92</v>
      </c>
      <c r="AP1101">
        <v>-35.28</v>
      </c>
    </row>
    <row r="1102" spans="1:42">
      <c r="A1102">
        <v>1101</v>
      </c>
      <c r="B1102" t="str">
        <f>"002244"</f>
        <v>002244</v>
      </c>
      <c r="C1102" t="s">
        <v>7356</v>
      </c>
      <c r="D1102">
        <v>7.74</v>
      </c>
      <c r="E1102">
        <v>0.26</v>
      </c>
      <c r="F1102">
        <v>0.02</v>
      </c>
      <c r="G1102" t="s">
        <v>1537</v>
      </c>
      <c r="H1102">
        <v>2249</v>
      </c>
      <c r="I1102">
        <v>7.73</v>
      </c>
      <c r="J1102">
        <v>7.74</v>
      </c>
      <c r="K1102" t="s">
        <v>7323</v>
      </c>
      <c r="L1102">
        <v>0.9</v>
      </c>
      <c r="M1102" t="s">
        <v>46</v>
      </c>
      <c r="N1102" t="s">
        <v>1576</v>
      </c>
      <c r="O1102">
        <v>7.85</v>
      </c>
      <c r="P1102">
        <v>7.53</v>
      </c>
      <c r="Q1102">
        <v>7.7</v>
      </c>
      <c r="R1102">
        <v>7.72</v>
      </c>
      <c r="S1102">
        <v>4.15</v>
      </c>
      <c r="T1102">
        <v>0.86</v>
      </c>
      <c r="U1102">
        <v>27.87</v>
      </c>
      <c r="V1102">
        <v>2981</v>
      </c>
      <c r="W1102">
        <v>7.71</v>
      </c>
      <c r="X1102" t="s">
        <v>447</v>
      </c>
      <c r="Y1102" t="s">
        <v>1908</v>
      </c>
      <c r="Z1102">
        <v>1.03</v>
      </c>
      <c r="AA1102">
        <v>694</v>
      </c>
      <c r="AB1102">
        <v>1089</v>
      </c>
      <c r="AC1102">
        <v>0.95</v>
      </c>
      <c r="AD1102" t="s">
        <v>7357</v>
      </c>
      <c r="AE1102" t="s">
        <v>7358</v>
      </c>
      <c r="AF1102" t="s">
        <v>7359</v>
      </c>
      <c r="AG1102" t="s">
        <v>7360</v>
      </c>
      <c r="AH1102">
        <v>-5.26</v>
      </c>
      <c r="AI1102">
        <v>-9.05</v>
      </c>
      <c r="AJ1102">
        <v>2.87</v>
      </c>
      <c r="AK1102">
        <v>6.14</v>
      </c>
      <c r="AL1102">
        <v>1</v>
      </c>
      <c r="AM1102">
        <v>0.26</v>
      </c>
      <c r="AN1102">
        <v>-9.79</v>
      </c>
      <c r="AO1102">
        <v>-5.26</v>
      </c>
      <c r="AP1102">
        <v>-26.15</v>
      </c>
    </row>
    <row r="1103" spans="1:42">
      <c r="A1103">
        <v>1102</v>
      </c>
      <c r="B1103" t="str">
        <f>"600128"</f>
        <v>600128</v>
      </c>
      <c r="C1103" t="s">
        <v>7361</v>
      </c>
      <c r="D1103">
        <v>10</v>
      </c>
      <c r="E1103">
        <v>10.01</v>
      </c>
      <c r="F1103">
        <v>0.91</v>
      </c>
      <c r="G1103" t="s">
        <v>1008</v>
      </c>
      <c r="H1103">
        <v>3666</v>
      </c>
      <c r="I1103">
        <v>10</v>
      </c>
      <c r="J1103" t="s">
        <v>76</v>
      </c>
      <c r="K1103" t="s">
        <v>7362</v>
      </c>
      <c r="L1103">
        <v>7.57</v>
      </c>
      <c r="M1103" t="s">
        <v>46</v>
      </c>
      <c r="N1103" t="s">
        <v>7363</v>
      </c>
      <c r="O1103">
        <v>10</v>
      </c>
      <c r="P1103">
        <v>9.11</v>
      </c>
      <c r="Q1103">
        <v>9.14</v>
      </c>
      <c r="R1103">
        <v>9.09</v>
      </c>
      <c r="S1103">
        <v>9.79</v>
      </c>
      <c r="T1103">
        <v>4.53</v>
      </c>
      <c r="U1103">
        <v>100</v>
      </c>
      <c r="V1103" t="s">
        <v>2560</v>
      </c>
      <c r="W1103">
        <v>9.93</v>
      </c>
      <c r="X1103" t="s">
        <v>1377</v>
      </c>
      <c r="Y1103" t="s">
        <v>5693</v>
      </c>
      <c r="Z1103">
        <v>4.25</v>
      </c>
      <c r="AA1103" t="s">
        <v>5612</v>
      </c>
      <c r="AB1103">
        <v>0</v>
      </c>
      <c r="AC1103">
        <v>1.18</v>
      </c>
      <c r="AD1103" t="s">
        <v>7364</v>
      </c>
      <c r="AE1103" t="s">
        <v>7365</v>
      </c>
      <c r="AF1103" t="s">
        <v>7364</v>
      </c>
      <c r="AG1103" t="s">
        <v>7365</v>
      </c>
      <c r="AH1103">
        <v>11.23</v>
      </c>
      <c r="AI1103">
        <v>11.98</v>
      </c>
      <c r="AJ1103">
        <v>10.97</v>
      </c>
      <c r="AK1103">
        <v>15.92</v>
      </c>
      <c r="AL1103">
        <v>2</v>
      </c>
      <c r="AM1103">
        <v>10.01</v>
      </c>
      <c r="AN1103">
        <v>30.21</v>
      </c>
      <c r="AO1103">
        <v>18.91</v>
      </c>
      <c r="AP1103">
        <v>24.84</v>
      </c>
    </row>
    <row r="1104" spans="1:42">
      <c r="A1104">
        <v>1103</v>
      </c>
      <c r="B1104" t="str">
        <f>"601966"</f>
        <v>601966</v>
      </c>
      <c r="C1104" t="s">
        <v>7366</v>
      </c>
      <c r="D1104">
        <v>19.58</v>
      </c>
      <c r="E1104">
        <v>-1.66</v>
      </c>
      <c r="F1104">
        <v>-0.33</v>
      </c>
      <c r="G1104" t="s">
        <v>7367</v>
      </c>
      <c r="H1104">
        <v>680</v>
      </c>
      <c r="I1104">
        <v>19.57</v>
      </c>
      <c r="J1104">
        <v>19.58</v>
      </c>
      <c r="K1104" t="s">
        <v>7362</v>
      </c>
      <c r="L1104">
        <v>0.64</v>
      </c>
      <c r="M1104" t="s">
        <v>46</v>
      </c>
      <c r="N1104" t="s">
        <v>2876</v>
      </c>
      <c r="O1104">
        <v>19.89</v>
      </c>
      <c r="P1104">
        <v>19.35</v>
      </c>
      <c r="Q1104">
        <v>19.87</v>
      </c>
      <c r="R1104">
        <v>19.91</v>
      </c>
      <c r="S1104">
        <v>2.71</v>
      </c>
      <c r="T1104">
        <v>1.61</v>
      </c>
      <c r="U1104">
        <v>-29.34</v>
      </c>
      <c r="V1104">
        <v>-372</v>
      </c>
      <c r="W1104">
        <v>19.54</v>
      </c>
      <c r="X1104" t="s">
        <v>6732</v>
      </c>
      <c r="Y1104" t="s">
        <v>1559</v>
      </c>
      <c r="Z1104">
        <v>1.56</v>
      </c>
      <c r="AA1104">
        <v>252</v>
      </c>
      <c r="AB1104">
        <v>236</v>
      </c>
      <c r="AC1104">
        <v>1.41</v>
      </c>
      <c r="AD1104" t="s">
        <v>7368</v>
      </c>
      <c r="AE1104" t="s">
        <v>7369</v>
      </c>
      <c r="AF1104" t="s">
        <v>7368</v>
      </c>
      <c r="AG1104" t="s">
        <v>7369</v>
      </c>
      <c r="AH1104">
        <v>-3.88</v>
      </c>
      <c r="AI1104">
        <v>-4.49</v>
      </c>
      <c r="AJ1104">
        <v>1.44</v>
      </c>
      <c r="AK1104">
        <v>2.65</v>
      </c>
      <c r="AL1104">
        <v>-3</v>
      </c>
      <c r="AM1104">
        <v>-1.66</v>
      </c>
      <c r="AN1104">
        <v>-4.11</v>
      </c>
      <c r="AO1104">
        <v>-3.5</v>
      </c>
      <c r="AP1104">
        <v>2.41</v>
      </c>
    </row>
    <row r="1105" spans="1:42">
      <c r="A1105">
        <v>1104</v>
      </c>
      <c r="B1105" t="str">
        <f>"688518"</f>
        <v>688518</v>
      </c>
      <c r="C1105" t="s">
        <v>7370</v>
      </c>
      <c r="D1105">
        <v>23.25</v>
      </c>
      <c r="E1105">
        <v>1.09</v>
      </c>
      <c r="F1105">
        <v>0.25</v>
      </c>
      <c r="G1105" t="s">
        <v>5810</v>
      </c>
      <c r="H1105">
        <v>1003</v>
      </c>
      <c r="I1105">
        <v>23.25</v>
      </c>
      <c r="J1105">
        <v>23.26</v>
      </c>
      <c r="K1105" t="s">
        <v>7362</v>
      </c>
      <c r="L1105">
        <v>2.37</v>
      </c>
      <c r="M1105" t="s">
        <v>46</v>
      </c>
      <c r="N1105" t="s">
        <v>5276</v>
      </c>
      <c r="O1105">
        <v>23.3</v>
      </c>
      <c r="P1105">
        <v>22.53</v>
      </c>
      <c r="Q1105">
        <v>23.02</v>
      </c>
      <c r="R1105">
        <v>23</v>
      </c>
      <c r="S1105">
        <v>3.35</v>
      </c>
      <c r="T1105">
        <v>0.76</v>
      </c>
      <c r="U1105">
        <v>-19.27</v>
      </c>
      <c r="V1105">
        <v>-182</v>
      </c>
      <c r="W1105">
        <v>23</v>
      </c>
      <c r="X1105" t="s">
        <v>5767</v>
      </c>
      <c r="Y1105" t="s">
        <v>5774</v>
      </c>
      <c r="Z1105">
        <v>1.06</v>
      </c>
      <c r="AA1105">
        <v>119</v>
      </c>
      <c r="AB1105">
        <v>117</v>
      </c>
      <c r="AC1105">
        <v>2.64</v>
      </c>
      <c r="AD1105" t="s">
        <v>7371</v>
      </c>
      <c r="AE1105" t="s">
        <v>7372</v>
      </c>
      <c r="AF1105" t="s">
        <v>7371</v>
      </c>
      <c r="AG1105" t="s">
        <v>7372</v>
      </c>
      <c r="AH1105">
        <v>8.64</v>
      </c>
      <c r="AI1105">
        <v>6.21</v>
      </c>
      <c r="AJ1105">
        <v>13.05</v>
      </c>
      <c r="AK1105">
        <v>18</v>
      </c>
      <c r="AL1105">
        <v>1</v>
      </c>
      <c r="AM1105">
        <v>1.09</v>
      </c>
      <c r="AN1105">
        <v>-20.08</v>
      </c>
      <c r="AO1105">
        <v>20.78</v>
      </c>
      <c r="AP1105">
        <v>-24.49</v>
      </c>
    </row>
    <row r="1106" spans="1:42">
      <c r="A1106">
        <v>1105</v>
      </c>
      <c r="B1106" t="str">
        <f>"300398"</f>
        <v>300398</v>
      </c>
      <c r="C1106" t="s">
        <v>7373</v>
      </c>
      <c r="D1106">
        <v>17.58</v>
      </c>
      <c r="E1106">
        <v>-0.11</v>
      </c>
      <c r="F1106">
        <v>-0.02</v>
      </c>
      <c r="G1106" t="s">
        <v>1128</v>
      </c>
      <c r="H1106">
        <v>1169</v>
      </c>
      <c r="I1106">
        <v>17.58</v>
      </c>
      <c r="J1106">
        <v>17.59</v>
      </c>
      <c r="K1106" t="s">
        <v>7362</v>
      </c>
      <c r="L1106">
        <v>2.01</v>
      </c>
      <c r="M1106" t="s">
        <v>46</v>
      </c>
      <c r="N1106" t="s">
        <v>7262</v>
      </c>
      <c r="O1106">
        <v>17.65</v>
      </c>
      <c r="P1106">
        <v>17.34</v>
      </c>
      <c r="Q1106">
        <v>17.56</v>
      </c>
      <c r="R1106">
        <v>17.6</v>
      </c>
      <c r="S1106">
        <v>1.76</v>
      </c>
      <c r="T1106">
        <v>0.81</v>
      </c>
      <c r="U1106">
        <v>-79.07</v>
      </c>
      <c r="V1106">
        <v>-1133</v>
      </c>
      <c r="W1106">
        <v>17.52</v>
      </c>
      <c r="X1106" t="s">
        <v>7374</v>
      </c>
      <c r="Y1106" t="s">
        <v>5917</v>
      </c>
      <c r="Z1106">
        <v>1.07</v>
      </c>
      <c r="AA1106">
        <v>3</v>
      </c>
      <c r="AB1106">
        <v>201</v>
      </c>
      <c r="AC1106">
        <v>2.47</v>
      </c>
      <c r="AD1106" t="s">
        <v>7375</v>
      </c>
      <c r="AE1106" t="s">
        <v>7376</v>
      </c>
      <c r="AF1106" t="s">
        <v>7377</v>
      </c>
      <c r="AG1106" t="s">
        <v>7378</v>
      </c>
      <c r="AH1106">
        <v>-2.87</v>
      </c>
      <c r="AI1106">
        <v>-3.72</v>
      </c>
      <c r="AJ1106">
        <v>6.48</v>
      </c>
      <c r="AK1106">
        <v>14.48</v>
      </c>
      <c r="AL1106">
        <v>-3</v>
      </c>
      <c r="AM1106">
        <v>-0.11</v>
      </c>
      <c r="AN1106">
        <v>2.87</v>
      </c>
      <c r="AO1106">
        <v>-8.25</v>
      </c>
      <c r="AP1106">
        <v>-1.24</v>
      </c>
    </row>
    <row r="1107" spans="1:42">
      <c r="A1107">
        <v>1106</v>
      </c>
      <c r="B1107" t="str">
        <f>"301316"</f>
        <v>301316</v>
      </c>
      <c r="C1107" t="s">
        <v>7379</v>
      </c>
      <c r="D1107">
        <v>25.47</v>
      </c>
      <c r="E1107">
        <v>4.94</v>
      </c>
      <c r="F1107">
        <v>1.2</v>
      </c>
      <c r="G1107" t="s">
        <v>7380</v>
      </c>
      <c r="H1107">
        <v>1291</v>
      </c>
      <c r="I1107">
        <v>25.47</v>
      </c>
      <c r="J1107">
        <v>25.48</v>
      </c>
      <c r="K1107" t="s">
        <v>7362</v>
      </c>
      <c r="L1107">
        <v>3.69</v>
      </c>
      <c r="M1107" t="s">
        <v>46</v>
      </c>
      <c r="N1107" t="s">
        <v>4388</v>
      </c>
      <c r="O1107">
        <v>25.56</v>
      </c>
      <c r="P1107">
        <v>24.1</v>
      </c>
      <c r="Q1107">
        <v>24.35</v>
      </c>
      <c r="R1107">
        <v>24.27</v>
      </c>
      <c r="S1107">
        <v>6.02</v>
      </c>
      <c r="T1107">
        <v>1.29</v>
      </c>
      <c r="U1107">
        <v>-77.32</v>
      </c>
      <c r="V1107">
        <v>-1385</v>
      </c>
      <c r="W1107">
        <v>24.94</v>
      </c>
      <c r="X1107" t="s">
        <v>6025</v>
      </c>
      <c r="Y1107" t="s">
        <v>5871</v>
      </c>
      <c r="Z1107">
        <v>0.89</v>
      </c>
      <c r="AA1107">
        <v>11</v>
      </c>
      <c r="AB1107">
        <v>170</v>
      </c>
      <c r="AC1107">
        <v>10.36</v>
      </c>
      <c r="AD1107" t="s">
        <v>7381</v>
      </c>
      <c r="AE1107" t="s">
        <v>7382</v>
      </c>
      <c r="AF1107" t="s">
        <v>6340</v>
      </c>
      <c r="AG1107" t="s">
        <v>2376</v>
      </c>
      <c r="AH1107">
        <v>1.27</v>
      </c>
      <c r="AI1107">
        <v>-6.63</v>
      </c>
      <c r="AJ1107">
        <v>8.43</v>
      </c>
      <c r="AK1107">
        <v>18.03</v>
      </c>
      <c r="AL1107">
        <v>1</v>
      </c>
      <c r="AM1107">
        <v>4.94</v>
      </c>
      <c r="AN1107">
        <v>33.28</v>
      </c>
      <c r="AO1107">
        <v>-6.7</v>
      </c>
      <c r="AP1107">
        <v>18.91</v>
      </c>
    </row>
    <row r="1108" spans="1:42">
      <c r="A1108">
        <v>1107</v>
      </c>
      <c r="B1108" t="str">
        <f>"002078"</f>
        <v>002078</v>
      </c>
      <c r="C1108" t="s">
        <v>7383</v>
      </c>
      <c r="D1108">
        <v>11.79</v>
      </c>
      <c r="E1108">
        <v>-1.83</v>
      </c>
      <c r="F1108">
        <v>-0.22</v>
      </c>
      <c r="G1108" t="s">
        <v>796</v>
      </c>
      <c r="H1108">
        <v>863</v>
      </c>
      <c r="I1108">
        <v>11.79</v>
      </c>
      <c r="J1108">
        <v>11.8</v>
      </c>
      <c r="K1108" t="s">
        <v>7362</v>
      </c>
      <c r="L1108">
        <v>0.56</v>
      </c>
      <c r="M1108" t="s">
        <v>46</v>
      </c>
      <c r="N1108" t="s">
        <v>7384</v>
      </c>
      <c r="O1108">
        <v>12.15</v>
      </c>
      <c r="P1108">
        <v>11.71</v>
      </c>
      <c r="Q1108">
        <v>12.06</v>
      </c>
      <c r="R1108">
        <v>12.01</v>
      </c>
      <c r="S1108">
        <v>3.66</v>
      </c>
      <c r="T1108">
        <v>1.61</v>
      </c>
      <c r="U1108">
        <v>29.74</v>
      </c>
      <c r="V1108">
        <v>1910</v>
      </c>
      <c r="W1108">
        <v>11.87</v>
      </c>
      <c r="X1108" t="s">
        <v>1128</v>
      </c>
      <c r="Y1108" t="s">
        <v>4708</v>
      </c>
      <c r="Z1108">
        <v>2.16</v>
      </c>
      <c r="AA1108">
        <v>710</v>
      </c>
      <c r="AB1108">
        <v>1404</v>
      </c>
      <c r="AC1108">
        <v>1.31</v>
      </c>
      <c r="AD1108" t="s">
        <v>7385</v>
      </c>
      <c r="AE1108" t="s">
        <v>7386</v>
      </c>
      <c r="AF1108" t="s">
        <v>2728</v>
      </c>
      <c r="AG1108" t="s">
        <v>7387</v>
      </c>
      <c r="AH1108">
        <v>-1.09</v>
      </c>
      <c r="AI1108">
        <v>-1.09</v>
      </c>
      <c r="AJ1108">
        <v>1.34</v>
      </c>
      <c r="AK1108">
        <v>2.31</v>
      </c>
      <c r="AL1108">
        <v>-1</v>
      </c>
      <c r="AM1108">
        <v>-1.83</v>
      </c>
      <c r="AN1108">
        <v>4.15</v>
      </c>
      <c r="AO1108">
        <v>-3.83</v>
      </c>
      <c r="AP1108">
        <v>12.07</v>
      </c>
    </row>
    <row r="1109" spans="1:42">
      <c r="A1109">
        <v>1108</v>
      </c>
      <c r="B1109" t="str">
        <f>"301207"</f>
        <v>301207</v>
      </c>
      <c r="C1109" t="s">
        <v>7388</v>
      </c>
      <c r="D1109">
        <v>31.68</v>
      </c>
      <c r="E1109">
        <v>0.06</v>
      </c>
      <c r="F1109">
        <v>0.02</v>
      </c>
      <c r="G1109" t="s">
        <v>5611</v>
      </c>
      <c r="H1109">
        <v>809</v>
      </c>
      <c r="I1109">
        <v>31.67</v>
      </c>
      <c r="J1109">
        <v>31.68</v>
      </c>
      <c r="K1109" t="s">
        <v>7362</v>
      </c>
      <c r="L1109">
        <v>4.16</v>
      </c>
      <c r="M1109" t="s">
        <v>46</v>
      </c>
      <c r="N1109" t="s">
        <v>392</v>
      </c>
      <c r="O1109">
        <v>31.8</v>
      </c>
      <c r="P1109">
        <v>31.19</v>
      </c>
      <c r="Q1109">
        <v>31.66</v>
      </c>
      <c r="R1109">
        <v>31.66</v>
      </c>
      <c r="S1109">
        <v>1.93</v>
      </c>
      <c r="T1109">
        <v>0.78</v>
      </c>
      <c r="U1109">
        <v>39.57</v>
      </c>
      <c r="V1109">
        <v>294</v>
      </c>
      <c r="W1109">
        <v>31.5</v>
      </c>
      <c r="X1109" t="s">
        <v>7389</v>
      </c>
      <c r="Y1109" t="s">
        <v>6097</v>
      </c>
      <c r="Z1109">
        <v>1.02</v>
      </c>
      <c r="AA1109">
        <v>243</v>
      </c>
      <c r="AB1109">
        <v>70</v>
      </c>
      <c r="AC1109">
        <v>3.15</v>
      </c>
      <c r="AD1109" t="s">
        <v>6426</v>
      </c>
      <c r="AE1109" t="s">
        <v>7390</v>
      </c>
      <c r="AF1109" t="s">
        <v>7391</v>
      </c>
      <c r="AG1109" t="s">
        <v>7392</v>
      </c>
      <c r="AH1109">
        <v>1.93</v>
      </c>
      <c r="AI1109">
        <v>2.16</v>
      </c>
      <c r="AJ1109">
        <v>13.78</v>
      </c>
      <c r="AK1109">
        <v>30.85</v>
      </c>
      <c r="AL1109">
        <v>2</v>
      </c>
      <c r="AM1109">
        <v>0.06</v>
      </c>
      <c r="AN1109">
        <v>7.32</v>
      </c>
      <c r="AO1109">
        <v>7.14</v>
      </c>
      <c r="AP1109">
        <v>-5.26</v>
      </c>
    </row>
    <row r="1110" spans="1:42">
      <c r="A1110">
        <v>1109</v>
      </c>
      <c r="B1110" t="str">
        <f>"000810"</f>
        <v>000810</v>
      </c>
      <c r="C1110" t="s">
        <v>7393</v>
      </c>
      <c r="D1110">
        <v>12.96</v>
      </c>
      <c r="E1110">
        <v>3.02</v>
      </c>
      <c r="F1110">
        <v>0.38</v>
      </c>
      <c r="G1110" t="s">
        <v>44</v>
      </c>
      <c r="H1110">
        <v>1023</v>
      </c>
      <c r="I1110">
        <v>12.95</v>
      </c>
      <c r="J1110">
        <v>12.96</v>
      </c>
      <c r="K1110" t="s">
        <v>987</v>
      </c>
      <c r="L1110">
        <v>1.29</v>
      </c>
      <c r="M1110" t="s">
        <v>46</v>
      </c>
      <c r="N1110" t="s">
        <v>1539</v>
      </c>
      <c r="O1110">
        <v>13.07</v>
      </c>
      <c r="P1110">
        <v>12.5</v>
      </c>
      <c r="Q1110">
        <v>12.58</v>
      </c>
      <c r="R1110">
        <v>12.58</v>
      </c>
      <c r="S1110">
        <v>4.53</v>
      </c>
      <c r="T1110">
        <v>1.23</v>
      </c>
      <c r="U1110">
        <v>-4.37</v>
      </c>
      <c r="V1110">
        <v>-176</v>
      </c>
      <c r="W1110">
        <v>12.82</v>
      </c>
      <c r="X1110" t="s">
        <v>7394</v>
      </c>
      <c r="Y1110" t="s">
        <v>7395</v>
      </c>
      <c r="Z1110">
        <v>0.85</v>
      </c>
      <c r="AA1110">
        <v>705</v>
      </c>
      <c r="AB1110">
        <v>53</v>
      </c>
      <c r="AC1110">
        <v>2.39</v>
      </c>
      <c r="AD1110" t="s">
        <v>915</v>
      </c>
      <c r="AE1110" t="s">
        <v>7396</v>
      </c>
      <c r="AF1110" t="s">
        <v>976</v>
      </c>
      <c r="AG1110" t="s">
        <v>7355</v>
      </c>
      <c r="AH1110">
        <v>-0.69</v>
      </c>
      <c r="AI1110">
        <v>-1.07</v>
      </c>
      <c r="AJ1110">
        <v>2.91</v>
      </c>
      <c r="AK1110">
        <v>6.51</v>
      </c>
      <c r="AL1110">
        <v>1</v>
      </c>
      <c r="AM1110">
        <v>3.02</v>
      </c>
      <c r="AN1110">
        <v>-5.68</v>
      </c>
      <c r="AO1110">
        <v>4.68</v>
      </c>
      <c r="AP1110">
        <v>-15.29</v>
      </c>
    </row>
    <row r="1111" spans="1:42">
      <c r="A1111">
        <v>1110</v>
      </c>
      <c r="B1111" t="str">
        <f>"000564"</f>
        <v>000564</v>
      </c>
      <c r="C1111" t="s">
        <v>7397</v>
      </c>
      <c r="D1111">
        <v>1.45</v>
      </c>
      <c r="E1111">
        <v>1.4</v>
      </c>
      <c r="F1111">
        <v>0.02</v>
      </c>
      <c r="G1111" t="s">
        <v>2486</v>
      </c>
      <c r="H1111" t="s">
        <v>2976</v>
      </c>
      <c r="I1111">
        <v>1.45</v>
      </c>
      <c r="J1111">
        <v>1.46</v>
      </c>
      <c r="K1111" t="s">
        <v>987</v>
      </c>
      <c r="L1111">
        <v>0.83</v>
      </c>
      <c r="M1111" t="s">
        <v>46</v>
      </c>
      <c r="N1111" t="s">
        <v>1419</v>
      </c>
      <c r="O1111">
        <v>1.49</v>
      </c>
      <c r="P1111">
        <v>1.42</v>
      </c>
      <c r="Q1111">
        <v>1.43</v>
      </c>
      <c r="R1111">
        <v>1.43</v>
      </c>
      <c r="S1111">
        <v>4.9</v>
      </c>
      <c r="T1111">
        <v>0.77</v>
      </c>
      <c r="U1111">
        <v>-76.7</v>
      </c>
      <c r="V1111" t="s">
        <v>7398</v>
      </c>
      <c r="W1111">
        <v>1.46</v>
      </c>
      <c r="X1111" t="s">
        <v>7399</v>
      </c>
      <c r="Y1111" t="s">
        <v>2492</v>
      </c>
      <c r="Z1111">
        <v>1.14</v>
      </c>
      <c r="AA1111">
        <v>6636</v>
      </c>
      <c r="AB1111" t="s">
        <v>7400</v>
      </c>
      <c r="AC1111">
        <v>2.18</v>
      </c>
      <c r="AD1111" t="s">
        <v>7401</v>
      </c>
      <c r="AE1111" t="s">
        <v>7402</v>
      </c>
      <c r="AF1111" t="s">
        <v>7403</v>
      </c>
      <c r="AG1111" t="s">
        <v>7404</v>
      </c>
      <c r="AH1111">
        <v>0.69</v>
      </c>
      <c r="AI1111">
        <v>-3.97</v>
      </c>
      <c r="AJ1111">
        <v>2.3</v>
      </c>
      <c r="AK1111">
        <v>6.22</v>
      </c>
      <c r="AL1111">
        <v>2</v>
      </c>
      <c r="AM1111">
        <v>1.4</v>
      </c>
      <c r="AN1111">
        <v>-8.81</v>
      </c>
      <c r="AO1111">
        <v>17.89</v>
      </c>
      <c r="AP1111">
        <v>-17.14</v>
      </c>
    </row>
    <row r="1112" spans="1:42">
      <c r="A1112">
        <v>1111</v>
      </c>
      <c r="B1112" t="str">
        <f>"600410"</f>
        <v>600410</v>
      </c>
      <c r="C1112" t="s">
        <v>7405</v>
      </c>
      <c r="D1112">
        <v>7.53</v>
      </c>
      <c r="E1112">
        <v>2.31</v>
      </c>
      <c r="F1112">
        <v>0.17</v>
      </c>
      <c r="G1112" t="s">
        <v>3527</v>
      </c>
      <c r="H1112">
        <v>3103</v>
      </c>
      <c r="I1112">
        <v>7.53</v>
      </c>
      <c r="J1112">
        <v>7.54</v>
      </c>
      <c r="K1112" t="s">
        <v>987</v>
      </c>
      <c r="L1112">
        <v>2.25</v>
      </c>
      <c r="M1112" t="s">
        <v>46</v>
      </c>
      <c r="N1112" t="s">
        <v>7406</v>
      </c>
      <c r="O1112">
        <v>7.56</v>
      </c>
      <c r="P1112">
        <v>7.34</v>
      </c>
      <c r="Q1112">
        <v>7.36</v>
      </c>
      <c r="R1112">
        <v>7.36</v>
      </c>
      <c r="S1112">
        <v>2.99</v>
      </c>
      <c r="T1112">
        <v>1.02</v>
      </c>
      <c r="U1112">
        <v>-26.08</v>
      </c>
      <c r="V1112">
        <v>-5502</v>
      </c>
      <c r="W1112">
        <v>7.47</v>
      </c>
      <c r="X1112" t="s">
        <v>1232</v>
      </c>
      <c r="Y1112" t="s">
        <v>1493</v>
      </c>
      <c r="Z1112">
        <v>0.69</v>
      </c>
      <c r="AA1112">
        <v>3035</v>
      </c>
      <c r="AB1112">
        <v>2323</v>
      </c>
      <c r="AC1112">
        <v>1.79</v>
      </c>
      <c r="AD1112" t="s">
        <v>7407</v>
      </c>
      <c r="AE1112" t="s">
        <v>7408</v>
      </c>
      <c r="AF1112" t="s">
        <v>7407</v>
      </c>
      <c r="AG1112" t="s">
        <v>7408</v>
      </c>
      <c r="AH1112">
        <v>0</v>
      </c>
      <c r="AI1112">
        <v>-3.46</v>
      </c>
      <c r="AJ1112">
        <v>6.28</v>
      </c>
      <c r="AK1112">
        <v>13.26</v>
      </c>
      <c r="AL1112">
        <v>1</v>
      </c>
      <c r="AM1112">
        <v>2.31</v>
      </c>
      <c r="AN1112">
        <v>53.99</v>
      </c>
      <c r="AO1112">
        <v>-0.66</v>
      </c>
      <c r="AP1112">
        <v>37.16</v>
      </c>
    </row>
    <row r="1113" spans="1:42">
      <c r="A1113">
        <v>1112</v>
      </c>
      <c r="B1113" t="str">
        <f>"300637"</f>
        <v>300637</v>
      </c>
      <c r="C1113" t="s">
        <v>7409</v>
      </c>
      <c r="D1113">
        <v>10.85</v>
      </c>
      <c r="E1113">
        <v>2.46</v>
      </c>
      <c r="F1113">
        <v>0.26</v>
      </c>
      <c r="G1113" t="s">
        <v>2915</v>
      </c>
      <c r="H1113">
        <v>3349</v>
      </c>
      <c r="I1113">
        <v>10.84</v>
      </c>
      <c r="J1113">
        <v>10.85</v>
      </c>
      <c r="K1113" t="s">
        <v>987</v>
      </c>
      <c r="L1113">
        <v>7.33</v>
      </c>
      <c r="M1113" t="s">
        <v>46</v>
      </c>
      <c r="N1113" t="s">
        <v>2635</v>
      </c>
      <c r="O1113">
        <v>10.9</v>
      </c>
      <c r="P1113">
        <v>10.46</v>
      </c>
      <c r="Q1113">
        <v>10.58</v>
      </c>
      <c r="R1113">
        <v>10.59</v>
      </c>
      <c r="S1113">
        <v>4.15</v>
      </c>
      <c r="T1113">
        <v>0.56</v>
      </c>
      <c r="U1113">
        <v>-18.5</v>
      </c>
      <c r="V1113">
        <v>-1145</v>
      </c>
      <c r="W1113">
        <v>10.73</v>
      </c>
      <c r="X1113" t="s">
        <v>4464</v>
      </c>
      <c r="Y1113" t="s">
        <v>2186</v>
      </c>
      <c r="Z1113">
        <v>0.96</v>
      </c>
      <c r="AA1113">
        <v>306</v>
      </c>
      <c r="AB1113">
        <v>491</v>
      </c>
      <c r="AC1113">
        <v>3.32</v>
      </c>
      <c r="AD1113" t="s">
        <v>7264</v>
      </c>
      <c r="AE1113" t="s">
        <v>7410</v>
      </c>
      <c r="AF1113" t="s">
        <v>7411</v>
      </c>
      <c r="AG1113" t="s">
        <v>7412</v>
      </c>
      <c r="AH1113">
        <v>-1.54</v>
      </c>
      <c r="AI1113">
        <v>-10.33</v>
      </c>
      <c r="AJ1113">
        <v>29.15</v>
      </c>
      <c r="AK1113">
        <v>73.27</v>
      </c>
      <c r="AL1113">
        <v>1</v>
      </c>
      <c r="AM1113">
        <v>2.46</v>
      </c>
      <c r="AN1113">
        <v>68.48</v>
      </c>
      <c r="AO1113">
        <v>20.96</v>
      </c>
      <c r="AP1113">
        <v>48.22</v>
      </c>
    </row>
    <row r="1114" spans="1:42">
      <c r="A1114">
        <v>1113</v>
      </c>
      <c r="B1114" t="str">
        <f>"603486"</f>
        <v>603486</v>
      </c>
      <c r="C1114" t="s">
        <v>7413</v>
      </c>
      <c r="D1114">
        <v>42.35</v>
      </c>
      <c r="E1114">
        <v>-0.89</v>
      </c>
      <c r="F1114">
        <v>-0.38</v>
      </c>
      <c r="G1114" t="s">
        <v>6838</v>
      </c>
      <c r="H1114">
        <v>372</v>
      </c>
      <c r="I1114">
        <v>42.35</v>
      </c>
      <c r="J1114">
        <v>42.36</v>
      </c>
      <c r="K1114" t="s">
        <v>987</v>
      </c>
      <c r="L1114">
        <v>0.77</v>
      </c>
      <c r="M1114" t="s">
        <v>46</v>
      </c>
      <c r="N1114" t="s">
        <v>916</v>
      </c>
      <c r="O1114">
        <v>42.8</v>
      </c>
      <c r="P1114">
        <v>41.58</v>
      </c>
      <c r="Q1114">
        <v>42.73</v>
      </c>
      <c r="R1114">
        <v>42.73</v>
      </c>
      <c r="S1114">
        <v>2.86</v>
      </c>
      <c r="T1114">
        <v>1.53</v>
      </c>
      <c r="U1114">
        <v>-42.18</v>
      </c>
      <c r="V1114">
        <v>-178</v>
      </c>
      <c r="W1114">
        <v>42.08</v>
      </c>
      <c r="X1114" t="s">
        <v>587</v>
      </c>
      <c r="Y1114" t="s">
        <v>6580</v>
      </c>
      <c r="Z1114">
        <v>1.1</v>
      </c>
      <c r="AA1114">
        <v>63</v>
      </c>
      <c r="AB1114">
        <v>80</v>
      </c>
      <c r="AC1114">
        <v>3.73</v>
      </c>
      <c r="AD1114" t="s">
        <v>7414</v>
      </c>
      <c r="AE1114" t="s">
        <v>7415</v>
      </c>
      <c r="AF1114" t="s">
        <v>7416</v>
      </c>
      <c r="AG1114" t="s">
        <v>7417</v>
      </c>
      <c r="AH1114">
        <v>-3.57</v>
      </c>
      <c r="AI1114">
        <v>-6.24</v>
      </c>
      <c r="AJ1114">
        <v>1.71</v>
      </c>
      <c r="AK1114">
        <v>3.28</v>
      </c>
      <c r="AL1114">
        <v>-6</v>
      </c>
      <c r="AM1114">
        <v>-0.89</v>
      </c>
      <c r="AN1114">
        <v>-41.21</v>
      </c>
      <c r="AO1114">
        <v>-4.44</v>
      </c>
      <c r="AP1114">
        <v>-40.93</v>
      </c>
    </row>
    <row r="1115" spans="1:42">
      <c r="A1115">
        <v>1114</v>
      </c>
      <c r="B1115" t="str">
        <f>"603605"</f>
        <v>603605</v>
      </c>
      <c r="C1115" t="s">
        <v>7418</v>
      </c>
      <c r="D1115">
        <v>100.09</v>
      </c>
      <c r="E1115">
        <v>-3.2</v>
      </c>
      <c r="F1115">
        <v>-3.31</v>
      </c>
      <c r="G1115" t="s">
        <v>325</v>
      </c>
      <c r="H1115">
        <v>146</v>
      </c>
      <c r="I1115">
        <v>100.08</v>
      </c>
      <c r="J1115">
        <v>100.09</v>
      </c>
      <c r="K1115" t="s">
        <v>987</v>
      </c>
      <c r="L1115">
        <v>0.46</v>
      </c>
      <c r="M1115" t="s">
        <v>46</v>
      </c>
      <c r="N1115" t="s">
        <v>3109</v>
      </c>
      <c r="O1115">
        <v>103.4</v>
      </c>
      <c r="P1115">
        <v>99.35</v>
      </c>
      <c r="Q1115">
        <v>102.46</v>
      </c>
      <c r="R1115">
        <v>103.4</v>
      </c>
      <c r="S1115">
        <v>3.92</v>
      </c>
      <c r="T1115">
        <v>1.3</v>
      </c>
      <c r="U1115">
        <v>-33.3</v>
      </c>
      <c r="V1115">
        <v>-28</v>
      </c>
      <c r="W1115">
        <v>100.52</v>
      </c>
      <c r="X1115" t="s">
        <v>905</v>
      </c>
      <c r="Y1115">
        <v>5880</v>
      </c>
      <c r="Z1115">
        <v>2.11</v>
      </c>
      <c r="AA1115">
        <v>2</v>
      </c>
      <c r="AB1115">
        <v>44</v>
      </c>
      <c r="AC1115">
        <v>10.22</v>
      </c>
      <c r="AD1115" t="s">
        <v>7419</v>
      </c>
      <c r="AE1115" t="s">
        <v>7420</v>
      </c>
      <c r="AF1115" t="s">
        <v>7421</v>
      </c>
      <c r="AG1115" t="s">
        <v>7422</v>
      </c>
      <c r="AH1115">
        <v>-3.26</v>
      </c>
      <c r="AI1115">
        <v>-1.8</v>
      </c>
      <c r="AJ1115">
        <v>1.35</v>
      </c>
      <c r="AK1115">
        <v>2.25</v>
      </c>
      <c r="AL1115">
        <v>-2</v>
      </c>
      <c r="AM1115">
        <v>-3.2</v>
      </c>
      <c r="AN1115">
        <v>-15.63</v>
      </c>
      <c r="AO1115">
        <v>-4.23</v>
      </c>
      <c r="AP1115">
        <v>-15.89</v>
      </c>
    </row>
    <row r="1116" spans="1:42">
      <c r="A1116">
        <v>1115</v>
      </c>
      <c r="B1116" t="str">
        <f>"002725"</f>
        <v>002725</v>
      </c>
      <c r="C1116" t="s">
        <v>7423</v>
      </c>
      <c r="D1116">
        <v>11.96</v>
      </c>
      <c r="E1116">
        <v>1.61</v>
      </c>
      <c r="F1116">
        <v>0.19</v>
      </c>
      <c r="G1116" t="s">
        <v>562</v>
      </c>
      <c r="H1116">
        <v>3443</v>
      </c>
      <c r="I1116">
        <v>11.96</v>
      </c>
      <c r="J1116">
        <v>11.97</v>
      </c>
      <c r="K1116" t="s">
        <v>987</v>
      </c>
      <c r="L1116">
        <v>7.39</v>
      </c>
      <c r="M1116" t="s">
        <v>46</v>
      </c>
      <c r="N1116" t="s">
        <v>7424</v>
      </c>
      <c r="O1116">
        <v>11.98</v>
      </c>
      <c r="P1116">
        <v>11.53</v>
      </c>
      <c r="Q1116">
        <v>11.71</v>
      </c>
      <c r="R1116">
        <v>11.77</v>
      </c>
      <c r="S1116">
        <v>3.82</v>
      </c>
      <c r="T1116">
        <v>0.65</v>
      </c>
      <c r="U1116">
        <v>-24.39</v>
      </c>
      <c r="V1116">
        <v>-1401</v>
      </c>
      <c r="W1116">
        <v>11.83</v>
      </c>
      <c r="X1116" t="s">
        <v>3302</v>
      </c>
      <c r="Y1116" t="s">
        <v>4243</v>
      </c>
      <c r="Z1116">
        <v>0.94</v>
      </c>
      <c r="AA1116">
        <v>786</v>
      </c>
      <c r="AB1116">
        <v>482</v>
      </c>
      <c r="AC1116">
        <v>3.11</v>
      </c>
      <c r="AD1116" t="s">
        <v>1996</v>
      </c>
      <c r="AE1116" t="s">
        <v>7425</v>
      </c>
      <c r="AF1116" t="s">
        <v>7426</v>
      </c>
      <c r="AG1116" t="s">
        <v>7427</v>
      </c>
      <c r="AH1116">
        <v>0.08</v>
      </c>
      <c r="AI1116">
        <v>-3.39</v>
      </c>
      <c r="AJ1116">
        <v>28.09</v>
      </c>
      <c r="AK1116">
        <v>64.3</v>
      </c>
      <c r="AL1116">
        <v>1</v>
      </c>
      <c r="AM1116">
        <v>1.61</v>
      </c>
      <c r="AN1116">
        <v>48.76</v>
      </c>
      <c r="AO1116">
        <v>11.88</v>
      </c>
      <c r="AP1116">
        <v>33.78</v>
      </c>
    </row>
    <row r="1117" spans="1:42">
      <c r="A1117">
        <v>1116</v>
      </c>
      <c r="B1117" t="str">
        <f>"300847"</f>
        <v>300847</v>
      </c>
      <c r="C1117" t="s">
        <v>7428</v>
      </c>
      <c r="D1117">
        <v>16.39</v>
      </c>
      <c r="E1117">
        <v>-2.03</v>
      </c>
      <c r="F1117">
        <v>-0.34</v>
      </c>
      <c r="G1117" t="s">
        <v>262</v>
      </c>
      <c r="H1117">
        <v>1287</v>
      </c>
      <c r="I1117">
        <v>16.37</v>
      </c>
      <c r="J1117">
        <v>16.39</v>
      </c>
      <c r="K1117" t="s">
        <v>7429</v>
      </c>
      <c r="L1117">
        <v>3.82</v>
      </c>
      <c r="M1117" t="s">
        <v>46</v>
      </c>
      <c r="N1117" t="s">
        <v>1813</v>
      </c>
      <c r="O1117">
        <v>16.59</v>
      </c>
      <c r="P1117">
        <v>16</v>
      </c>
      <c r="Q1117">
        <v>16.52</v>
      </c>
      <c r="R1117">
        <v>16.73</v>
      </c>
      <c r="S1117">
        <v>3.53</v>
      </c>
      <c r="T1117">
        <v>1.92</v>
      </c>
      <c r="U1117">
        <v>41.44</v>
      </c>
      <c r="V1117">
        <v>637</v>
      </c>
      <c r="W1117">
        <v>16.24</v>
      </c>
      <c r="X1117" t="s">
        <v>7279</v>
      </c>
      <c r="Y1117" t="s">
        <v>7430</v>
      </c>
      <c r="Z1117">
        <v>1.2</v>
      </c>
      <c r="AA1117">
        <v>28</v>
      </c>
      <c r="AB1117">
        <v>26</v>
      </c>
      <c r="AC1117">
        <v>3.75</v>
      </c>
      <c r="AD1117" t="s">
        <v>7431</v>
      </c>
      <c r="AE1117" t="s">
        <v>7432</v>
      </c>
      <c r="AF1117" t="s">
        <v>7431</v>
      </c>
      <c r="AG1117" t="s">
        <v>7432</v>
      </c>
      <c r="AH1117">
        <v>-0.55</v>
      </c>
      <c r="AI1117">
        <v>-1.92</v>
      </c>
      <c r="AJ1117">
        <v>10.29</v>
      </c>
      <c r="AK1117">
        <v>13.77</v>
      </c>
      <c r="AL1117">
        <v>-1</v>
      </c>
      <c r="AM1117">
        <v>-2.03</v>
      </c>
      <c r="AN1117">
        <v>4.46</v>
      </c>
      <c r="AO1117">
        <v>1.61</v>
      </c>
      <c r="AP1117">
        <v>-18.01</v>
      </c>
    </row>
    <row r="1118" spans="1:42">
      <c r="A1118">
        <v>1117</v>
      </c>
      <c r="B1118" t="str">
        <f>"002095"</f>
        <v>002095</v>
      </c>
      <c r="C1118" t="s">
        <v>7433</v>
      </c>
      <c r="D1118">
        <v>22.53</v>
      </c>
      <c r="E1118">
        <v>3.21</v>
      </c>
      <c r="F1118">
        <v>0.7</v>
      </c>
      <c r="G1118" t="s">
        <v>7434</v>
      </c>
      <c r="H1118">
        <v>732</v>
      </c>
      <c r="I1118">
        <v>22.53</v>
      </c>
      <c r="J1118">
        <v>22.54</v>
      </c>
      <c r="K1118" t="s">
        <v>7429</v>
      </c>
      <c r="L1118">
        <v>3.26</v>
      </c>
      <c r="M1118" t="s">
        <v>46</v>
      </c>
      <c r="N1118" t="s">
        <v>4450</v>
      </c>
      <c r="O1118">
        <v>22.6</v>
      </c>
      <c r="P1118">
        <v>21.73</v>
      </c>
      <c r="Q1118">
        <v>21.75</v>
      </c>
      <c r="R1118">
        <v>21.83</v>
      </c>
      <c r="S1118">
        <v>3.99</v>
      </c>
      <c r="T1118">
        <v>1.24</v>
      </c>
      <c r="U1118">
        <v>-68.72</v>
      </c>
      <c r="V1118">
        <v>-1815</v>
      </c>
      <c r="W1118">
        <v>22.36</v>
      </c>
      <c r="X1118" t="s">
        <v>6418</v>
      </c>
      <c r="Y1118" t="s">
        <v>2649</v>
      </c>
      <c r="Z1118">
        <v>0.52</v>
      </c>
      <c r="AA1118">
        <v>88</v>
      </c>
      <c r="AB1118">
        <v>112</v>
      </c>
      <c r="AC1118">
        <v>6.11</v>
      </c>
      <c r="AD1118" t="s">
        <v>7435</v>
      </c>
      <c r="AE1118" t="s">
        <v>7436</v>
      </c>
      <c r="AF1118" t="s">
        <v>7437</v>
      </c>
      <c r="AG1118" t="s">
        <v>7438</v>
      </c>
      <c r="AH1118">
        <v>0.63</v>
      </c>
      <c r="AI1118">
        <v>-0.92</v>
      </c>
      <c r="AJ1118">
        <v>8.56</v>
      </c>
      <c r="AK1118">
        <v>16.43</v>
      </c>
      <c r="AL1118">
        <v>1</v>
      </c>
      <c r="AM1118">
        <v>3.21</v>
      </c>
      <c r="AN1118">
        <v>-17.92</v>
      </c>
      <c r="AO1118">
        <v>4.69</v>
      </c>
      <c r="AP1118">
        <v>32.14</v>
      </c>
    </row>
    <row r="1119" spans="1:42">
      <c r="A1119">
        <v>1118</v>
      </c>
      <c r="B1119" t="str">
        <f>"300644"</f>
        <v>300644</v>
      </c>
      <c r="C1119" t="s">
        <v>7439</v>
      </c>
      <c r="D1119">
        <v>20.07</v>
      </c>
      <c r="E1119">
        <v>4.15</v>
      </c>
      <c r="F1119">
        <v>0.8</v>
      </c>
      <c r="G1119" t="s">
        <v>2297</v>
      </c>
      <c r="H1119">
        <v>897</v>
      </c>
      <c r="I1119">
        <v>20.07</v>
      </c>
      <c r="J1119">
        <v>20.08</v>
      </c>
      <c r="K1119" t="s">
        <v>7429</v>
      </c>
      <c r="L1119">
        <v>11.01</v>
      </c>
      <c r="M1119" t="s">
        <v>46</v>
      </c>
      <c r="N1119" t="s">
        <v>958</v>
      </c>
      <c r="O1119">
        <v>20.12</v>
      </c>
      <c r="P1119">
        <v>19.44</v>
      </c>
      <c r="Q1119">
        <v>19.56</v>
      </c>
      <c r="R1119">
        <v>19.27</v>
      </c>
      <c r="S1119">
        <v>3.53</v>
      </c>
      <c r="T1119">
        <v>1.64</v>
      </c>
      <c r="U1119">
        <v>5.8</v>
      </c>
      <c r="V1119">
        <v>60</v>
      </c>
      <c r="W1119">
        <v>19.82</v>
      </c>
      <c r="X1119" t="s">
        <v>7440</v>
      </c>
      <c r="Y1119" t="s">
        <v>7441</v>
      </c>
      <c r="Z1119">
        <v>0.91</v>
      </c>
      <c r="AA1119">
        <v>92</v>
      </c>
      <c r="AB1119">
        <v>24</v>
      </c>
      <c r="AC1119">
        <v>2.66</v>
      </c>
      <c r="AD1119" t="s">
        <v>7442</v>
      </c>
      <c r="AE1119" t="s">
        <v>2813</v>
      </c>
      <c r="AF1119" t="s">
        <v>7443</v>
      </c>
      <c r="AG1119" t="s">
        <v>7316</v>
      </c>
      <c r="AH1119">
        <v>-1.38</v>
      </c>
      <c r="AI1119">
        <v>5.47</v>
      </c>
      <c r="AJ1119">
        <v>29.78</v>
      </c>
      <c r="AK1119">
        <v>44.51</v>
      </c>
      <c r="AL1119">
        <v>1</v>
      </c>
      <c r="AM1119">
        <v>4.15</v>
      </c>
      <c r="AN1119">
        <v>46.93</v>
      </c>
      <c r="AO1119">
        <v>9.31</v>
      </c>
      <c r="AP1119">
        <v>30.32</v>
      </c>
    </row>
    <row r="1120" spans="1:42">
      <c r="A1120">
        <v>1119</v>
      </c>
      <c r="B1120" t="str">
        <f>"688385"</f>
        <v>688385</v>
      </c>
      <c r="C1120" t="s">
        <v>7444</v>
      </c>
      <c r="D1120">
        <v>44.61</v>
      </c>
      <c r="E1120">
        <v>-0.31</v>
      </c>
      <c r="F1120">
        <v>-0.14</v>
      </c>
      <c r="G1120" t="s">
        <v>3925</v>
      </c>
      <c r="H1120">
        <v>399</v>
      </c>
      <c r="I1120">
        <v>44.61</v>
      </c>
      <c r="J1120">
        <v>44.66</v>
      </c>
      <c r="K1120" t="s">
        <v>7429</v>
      </c>
      <c r="L1120">
        <v>1.3</v>
      </c>
      <c r="M1120" t="s">
        <v>46</v>
      </c>
      <c r="N1120" t="s">
        <v>1446</v>
      </c>
      <c r="O1120">
        <v>44.94</v>
      </c>
      <c r="P1120">
        <v>44.03</v>
      </c>
      <c r="Q1120">
        <v>44.78</v>
      </c>
      <c r="R1120">
        <v>44.75</v>
      </c>
      <c r="S1120">
        <v>2.03</v>
      </c>
      <c r="T1120">
        <v>1.14</v>
      </c>
      <c r="U1120">
        <v>-69.64</v>
      </c>
      <c r="V1120">
        <v>-448</v>
      </c>
      <c r="W1120">
        <v>44.52</v>
      </c>
      <c r="X1120" t="s">
        <v>4037</v>
      </c>
      <c r="Y1120" t="s">
        <v>1110</v>
      </c>
      <c r="Z1120">
        <v>1.43</v>
      </c>
      <c r="AA1120">
        <v>29</v>
      </c>
      <c r="AB1120">
        <v>80</v>
      </c>
      <c r="AC1120">
        <v>7.06</v>
      </c>
      <c r="AD1120" t="s">
        <v>7445</v>
      </c>
      <c r="AE1120" t="s">
        <v>7446</v>
      </c>
      <c r="AF1120" t="s">
        <v>7447</v>
      </c>
      <c r="AG1120" t="s">
        <v>2611</v>
      </c>
      <c r="AH1120">
        <v>-4.29</v>
      </c>
      <c r="AI1120">
        <v>-4.88</v>
      </c>
      <c r="AJ1120">
        <v>3.96</v>
      </c>
      <c r="AK1120">
        <v>7</v>
      </c>
      <c r="AL1120">
        <v>-4</v>
      </c>
      <c r="AM1120">
        <v>-0.31</v>
      </c>
      <c r="AN1120">
        <v>-35.97</v>
      </c>
      <c r="AO1120">
        <v>-6.02</v>
      </c>
      <c r="AP1120">
        <v>-43.41</v>
      </c>
    </row>
    <row r="1121" spans="1:42">
      <c r="A1121">
        <v>1120</v>
      </c>
      <c r="B1121" t="str">
        <f>"300001"</f>
        <v>300001</v>
      </c>
      <c r="C1121" t="s">
        <v>7448</v>
      </c>
      <c r="D1121">
        <v>18.93</v>
      </c>
      <c r="E1121">
        <v>-1.25</v>
      </c>
      <c r="F1121">
        <v>-0.24</v>
      </c>
      <c r="G1121" t="s">
        <v>4775</v>
      </c>
      <c r="H1121">
        <v>1309</v>
      </c>
      <c r="I1121">
        <v>18.93</v>
      </c>
      <c r="J1121">
        <v>18.94</v>
      </c>
      <c r="K1121" t="s">
        <v>7429</v>
      </c>
      <c r="L1121">
        <v>0.94</v>
      </c>
      <c r="M1121" t="s">
        <v>46</v>
      </c>
      <c r="N1121" t="s">
        <v>7449</v>
      </c>
      <c r="O1121">
        <v>19.28</v>
      </c>
      <c r="P1121">
        <v>18.76</v>
      </c>
      <c r="Q1121">
        <v>19.21</v>
      </c>
      <c r="R1121">
        <v>19.17</v>
      </c>
      <c r="S1121">
        <v>2.71</v>
      </c>
      <c r="T1121">
        <v>1.12</v>
      </c>
      <c r="U1121">
        <v>10.2</v>
      </c>
      <c r="V1121">
        <v>189</v>
      </c>
      <c r="W1121">
        <v>18.94</v>
      </c>
      <c r="X1121" t="s">
        <v>5289</v>
      </c>
      <c r="Y1121" t="s">
        <v>6748</v>
      </c>
      <c r="Z1121">
        <v>1.41</v>
      </c>
      <c r="AA1121">
        <v>306</v>
      </c>
      <c r="AB1121">
        <v>144</v>
      </c>
      <c r="AC1121">
        <v>3.08</v>
      </c>
      <c r="AD1121" t="s">
        <v>7450</v>
      </c>
      <c r="AE1121" t="s">
        <v>4386</v>
      </c>
      <c r="AF1121" t="s">
        <v>304</v>
      </c>
      <c r="AG1121" t="s">
        <v>7451</v>
      </c>
      <c r="AH1121">
        <v>-0.79</v>
      </c>
      <c r="AI1121">
        <v>-0.11</v>
      </c>
      <c r="AJ1121">
        <v>3.08</v>
      </c>
      <c r="AK1121">
        <v>5.14</v>
      </c>
      <c r="AL1121">
        <v>-1</v>
      </c>
      <c r="AM1121">
        <v>-1.25</v>
      </c>
      <c r="AN1121">
        <v>24.87</v>
      </c>
      <c r="AO1121">
        <v>4.3</v>
      </c>
      <c r="AP1121">
        <v>17.14</v>
      </c>
    </row>
    <row r="1122" spans="1:42">
      <c r="A1122">
        <v>1121</v>
      </c>
      <c r="B1122" t="str">
        <f>"300556"</f>
        <v>300556</v>
      </c>
      <c r="C1122" t="s">
        <v>7452</v>
      </c>
      <c r="D1122">
        <v>24.26</v>
      </c>
      <c r="E1122">
        <v>6.97</v>
      </c>
      <c r="F1122">
        <v>1.58</v>
      </c>
      <c r="G1122" t="s">
        <v>6478</v>
      </c>
      <c r="H1122">
        <v>1410</v>
      </c>
      <c r="I1122">
        <v>24.26</v>
      </c>
      <c r="J1122">
        <v>24.28</v>
      </c>
      <c r="K1122" t="s">
        <v>7429</v>
      </c>
      <c r="L1122">
        <v>7.54</v>
      </c>
      <c r="M1122" t="s">
        <v>46</v>
      </c>
      <c r="N1122" t="s">
        <v>1936</v>
      </c>
      <c r="O1122">
        <v>24.35</v>
      </c>
      <c r="P1122">
        <v>22.52</v>
      </c>
      <c r="Q1122">
        <v>22.79</v>
      </c>
      <c r="R1122">
        <v>22.68</v>
      </c>
      <c r="S1122">
        <v>8.07</v>
      </c>
      <c r="T1122">
        <v>1.43</v>
      </c>
      <c r="U1122">
        <v>7.63</v>
      </c>
      <c r="V1122">
        <v>98</v>
      </c>
      <c r="W1122">
        <v>23.68</v>
      </c>
      <c r="X1122" t="s">
        <v>4914</v>
      </c>
      <c r="Y1122" t="s">
        <v>5830</v>
      </c>
      <c r="Z1122">
        <v>0.67</v>
      </c>
      <c r="AA1122">
        <v>83</v>
      </c>
      <c r="AB1122">
        <v>31</v>
      </c>
      <c r="AC1122">
        <v>3.26</v>
      </c>
      <c r="AD1122" t="s">
        <v>6278</v>
      </c>
      <c r="AE1122" t="s">
        <v>7453</v>
      </c>
      <c r="AF1122" t="s">
        <v>7454</v>
      </c>
      <c r="AG1122" t="s">
        <v>4304</v>
      </c>
      <c r="AH1122">
        <v>4.3</v>
      </c>
      <c r="AI1122">
        <v>-0.61</v>
      </c>
      <c r="AJ1122">
        <v>14.76</v>
      </c>
      <c r="AK1122">
        <v>33.98</v>
      </c>
      <c r="AL1122">
        <v>1</v>
      </c>
      <c r="AM1122">
        <v>6.97</v>
      </c>
      <c r="AN1122">
        <v>38.47</v>
      </c>
      <c r="AO1122">
        <v>7.97</v>
      </c>
      <c r="AP1122">
        <v>23.46</v>
      </c>
    </row>
    <row r="1123" spans="1:42">
      <c r="A1123">
        <v>1122</v>
      </c>
      <c r="B1123" t="str">
        <f>"002128"</f>
        <v>002128</v>
      </c>
      <c r="C1123" t="s">
        <v>7455</v>
      </c>
      <c r="D1123">
        <v>14.61</v>
      </c>
      <c r="E1123">
        <v>0.14</v>
      </c>
      <c r="F1123">
        <v>0.02</v>
      </c>
      <c r="G1123" t="s">
        <v>1986</v>
      </c>
      <c r="H1123">
        <v>829</v>
      </c>
      <c r="I1123">
        <v>14.6</v>
      </c>
      <c r="J1123">
        <v>14.61</v>
      </c>
      <c r="K1123" t="s">
        <v>2196</v>
      </c>
      <c r="L1123">
        <v>0.59</v>
      </c>
      <c r="M1123" t="s">
        <v>46</v>
      </c>
      <c r="N1123" t="s">
        <v>7456</v>
      </c>
      <c r="O1123">
        <v>14.85</v>
      </c>
      <c r="P1123">
        <v>14.48</v>
      </c>
      <c r="Q1123">
        <v>14.63</v>
      </c>
      <c r="R1123">
        <v>14.59</v>
      </c>
      <c r="S1123">
        <v>2.54</v>
      </c>
      <c r="T1123">
        <v>0.83</v>
      </c>
      <c r="U1123">
        <v>-72.34</v>
      </c>
      <c r="V1123">
        <v>-2636</v>
      </c>
      <c r="W1123">
        <v>14.61</v>
      </c>
      <c r="X1123" t="s">
        <v>4909</v>
      </c>
      <c r="Y1123" t="s">
        <v>3365</v>
      </c>
      <c r="Z1123">
        <v>1.01</v>
      </c>
      <c r="AA1123">
        <v>78</v>
      </c>
      <c r="AB1123">
        <v>779</v>
      </c>
      <c r="AC1123">
        <v>1.08</v>
      </c>
      <c r="AD1123" t="s">
        <v>7457</v>
      </c>
      <c r="AE1123" t="s">
        <v>2030</v>
      </c>
      <c r="AF1123" t="s">
        <v>7458</v>
      </c>
      <c r="AG1123" t="s">
        <v>7459</v>
      </c>
      <c r="AH1123">
        <v>2.53</v>
      </c>
      <c r="AI1123">
        <v>6.41</v>
      </c>
      <c r="AJ1123">
        <v>2.08</v>
      </c>
      <c r="AK1123">
        <v>4.15</v>
      </c>
      <c r="AL1123">
        <v>5</v>
      </c>
      <c r="AM1123">
        <v>0.14</v>
      </c>
      <c r="AN1123">
        <v>23.4</v>
      </c>
      <c r="AO1123">
        <v>8.38</v>
      </c>
      <c r="AP1123">
        <v>19.46</v>
      </c>
    </row>
    <row r="1124" spans="1:42">
      <c r="A1124">
        <v>1123</v>
      </c>
      <c r="B1124" t="str">
        <f>"603721"</f>
        <v>603721</v>
      </c>
      <c r="C1124" t="s">
        <v>7460</v>
      </c>
      <c r="D1124">
        <v>30.26</v>
      </c>
      <c r="E1124">
        <v>10</v>
      </c>
      <c r="F1124">
        <v>2.75</v>
      </c>
      <c r="G1124" t="s">
        <v>7461</v>
      </c>
      <c r="H1124">
        <v>40</v>
      </c>
      <c r="I1124">
        <v>30.26</v>
      </c>
      <c r="J1124" t="s">
        <v>76</v>
      </c>
      <c r="K1124" t="s">
        <v>2196</v>
      </c>
      <c r="L1124">
        <v>4.65</v>
      </c>
      <c r="M1124" t="s">
        <v>46</v>
      </c>
      <c r="N1124" t="s">
        <v>5956</v>
      </c>
      <c r="O1124">
        <v>30.26</v>
      </c>
      <c r="P1124">
        <v>30.01</v>
      </c>
      <c r="Q1124">
        <v>30.01</v>
      </c>
      <c r="R1124">
        <v>27.51</v>
      </c>
      <c r="S1124">
        <v>0.91</v>
      </c>
      <c r="T1124">
        <v>0.29</v>
      </c>
      <c r="U1124">
        <v>100</v>
      </c>
      <c r="V1124" t="s">
        <v>6314</v>
      </c>
      <c r="W1124">
        <v>30.19</v>
      </c>
      <c r="X1124" t="s">
        <v>4559</v>
      </c>
      <c r="Y1124" t="s">
        <v>5900</v>
      </c>
      <c r="Z1124">
        <v>3.23</v>
      </c>
      <c r="AA1124" t="s">
        <v>5323</v>
      </c>
      <c r="AB1124">
        <v>0</v>
      </c>
      <c r="AC1124">
        <v>7.56</v>
      </c>
      <c r="AD1124" t="s">
        <v>7462</v>
      </c>
      <c r="AE1124" t="s">
        <v>7463</v>
      </c>
      <c r="AF1124" t="s">
        <v>7462</v>
      </c>
      <c r="AG1124" t="s">
        <v>7463</v>
      </c>
      <c r="AH1124">
        <v>16.3</v>
      </c>
      <c r="AI1124">
        <v>28.22</v>
      </c>
      <c r="AJ1124">
        <v>42.08</v>
      </c>
      <c r="AK1124">
        <v>85.33</v>
      </c>
      <c r="AL1124">
        <v>2</v>
      </c>
      <c r="AM1124">
        <v>10</v>
      </c>
      <c r="AN1124">
        <v>80.76</v>
      </c>
      <c r="AO1124">
        <v>65.81</v>
      </c>
      <c r="AP1124">
        <v>116.61</v>
      </c>
    </row>
    <row r="1125" spans="1:42">
      <c r="A1125">
        <v>1124</v>
      </c>
      <c r="B1125" t="str">
        <f>"002849"</f>
        <v>002849</v>
      </c>
      <c r="C1125" t="s">
        <v>7464</v>
      </c>
      <c r="D1125">
        <v>21.66</v>
      </c>
      <c r="E1125">
        <v>-0.41</v>
      </c>
      <c r="F1125">
        <v>-0.09</v>
      </c>
      <c r="G1125" t="s">
        <v>7465</v>
      </c>
      <c r="H1125">
        <v>988</v>
      </c>
      <c r="I1125">
        <v>21.65</v>
      </c>
      <c r="J1125">
        <v>21.66</v>
      </c>
      <c r="K1125" t="s">
        <v>2196</v>
      </c>
      <c r="L1125">
        <v>4.45</v>
      </c>
      <c r="M1125" t="s">
        <v>46</v>
      </c>
      <c r="N1125" t="s">
        <v>1155</v>
      </c>
      <c r="O1125">
        <v>22.06</v>
      </c>
      <c r="P1125">
        <v>21.51</v>
      </c>
      <c r="Q1125">
        <v>21.71</v>
      </c>
      <c r="R1125">
        <v>21.75</v>
      </c>
      <c r="S1125">
        <v>2.53</v>
      </c>
      <c r="T1125">
        <v>0.6</v>
      </c>
      <c r="U1125">
        <v>-15.05</v>
      </c>
      <c r="V1125">
        <v>-320</v>
      </c>
      <c r="W1125">
        <v>21.75</v>
      </c>
      <c r="X1125" t="s">
        <v>1321</v>
      </c>
      <c r="Y1125" t="s">
        <v>6256</v>
      </c>
      <c r="Z1125">
        <v>1.03</v>
      </c>
      <c r="AA1125">
        <v>31</v>
      </c>
      <c r="AB1125">
        <v>1</v>
      </c>
      <c r="AC1125">
        <v>3.67</v>
      </c>
      <c r="AD1125" t="s">
        <v>1140</v>
      </c>
      <c r="AE1125" t="s">
        <v>7466</v>
      </c>
      <c r="AF1125" t="s">
        <v>7467</v>
      </c>
      <c r="AG1125" t="s">
        <v>7468</v>
      </c>
      <c r="AH1125">
        <v>-2.56</v>
      </c>
      <c r="AI1125">
        <v>5.45</v>
      </c>
      <c r="AJ1125">
        <v>16.36</v>
      </c>
      <c r="AK1125">
        <v>41.48</v>
      </c>
      <c r="AL1125">
        <v>-3</v>
      </c>
      <c r="AM1125">
        <v>-0.41</v>
      </c>
      <c r="AN1125">
        <v>64.84</v>
      </c>
      <c r="AO1125">
        <v>19.6</v>
      </c>
      <c r="AP1125">
        <v>68.43</v>
      </c>
    </row>
    <row r="1126" spans="1:42">
      <c r="A1126">
        <v>1125</v>
      </c>
      <c r="B1126" t="str">
        <f>"600258"</f>
        <v>600258</v>
      </c>
      <c r="C1126" t="s">
        <v>7469</v>
      </c>
      <c r="D1126">
        <v>17.11</v>
      </c>
      <c r="E1126">
        <v>-1.04</v>
      </c>
      <c r="F1126">
        <v>-0.18</v>
      </c>
      <c r="G1126" t="s">
        <v>1909</v>
      </c>
      <c r="H1126">
        <v>581</v>
      </c>
      <c r="I1126">
        <v>17.1</v>
      </c>
      <c r="J1126">
        <v>17.11</v>
      </c>
      <c r="K1126" t="s">
        <v>2196</v>
      </c>
      <c r="L1126">
        <v>0.95</v>
      </c>
      <c r="M1126" t="s">
        <v>46</v>
      </c>
      <c r="N1126" t="s">
        <v>6667</v>
      </c>
      <c r="O1126">
        <v>17.36</v>
      </c>
      <c r="P1126">
        <v>16.96</v>
      </c>
      <c r="Q1126">
        <v>17.26</v>
      </c>
      <c r="R1126">
        <v>17.29</v>
      </c>
      <c r="S1126">
        <v>2.31</v>
      </c>
      <c r="T1126">
        <v>0.89</v>
      </c>
      <c r="U1126">
        <v>-11.74</v>
      </c>
      <c r="V1126">
        <v>-149</v>
      </c>
      <c r="W1126">
        <v>17.1</v>
      </c>
      <c r="X1126" t="s">
        <v>5010</v>
      </c>
      <c r="Y1126" t="s">
        <v>5205</v>
      </c>
      <c r="Z1126">
        <v>1.52</v>
      </c>
      <c r="AA1126">
        <v>58</v>
      </c>
      <c r="AB1126">
        <v>71</v>
      </c>
      <c r="AC1126">
        <v>1.73</v>
      </c>
      <c r="AD1126" t="s">
        <v>1024</v>
      </c>
      <c r="AE1126" t="s">
        <v>7470</v>
      </c>
      <c r="AF1126" t="s">
        <v>1024</v>
      </c>
      <c r="AG1126" t="s">
        <v>7470</v>
      </c>
      <c r="AH1126">
        <v>2.15</v>
      </c>
      <c r="AI1126">
        <v>4.01</v>
      </c>
      <c r="AJ1126">
        <v>3.58</v>
      </c>
      <c r="AK1126">
        <v>6.32</v>
      </c>
      <c r="AL1126">
        <v>-1</v>
      </c>
      <c r="AM1126">
        <v>-1.04</v>
      </c>
      <c r="AN1126">
        <v>-31.01</v>
      </c>
      <c r="AO1126">
        <v>4.08</v>
      </c>
      <c r="AP1126">
        <v>-21.15</v>
      </c>
    </row>
    <row r="1127" spans="1:42">
      <c r="A1127">
        <v>1126</v>
      </c>
      <c r="B1127" t="str">
        <f>"300395"</f>
        <v>300395</v>
      </c>
      <c r="C1127" t="s">
        <v>7471</v>
      </c>
      <c r="D1127">
        <v>40.59</v>
      </c>
      <c r="E1127">
        <v>-2.33</v>
      </c>
      <c r="F1127">
        <v>-0.97</v>
      </c>
      <c r="G1127" t="s">
        <v>843</v>
      </c>
      <c r="H1127">
        <v>804</v>
      </c>
      <c r="I1127">
        <v>40.56</v>
      </c>
      <c r="J1127">
        <v>40.59</v>
      </c>
      <c r="K1127" t="s">
        <v>2196</v>
      </c>
      <c r="L1127">
        <v>0.94</v>
      </c>
      <c r="M1127" t="s">
        <v>46</v>
      </c>
      <c r="N1127" t="s">
        <v>2959</v>
      </c>
      <c r="O1127">
        <v>41.7</v>
      </c>
      <c r="P1127">
        <v>40.2</v>
      </c>
      <c r="Q1127">
        <v>41.52</v>
      </c>
      <c r="R1127">
        <v>41.56</v>
      </c>
      <c r="S1127">
        <v>3.61</v>
      </c>
      <c r="T1127">
        <v>1.22</v>
      </c>
      <c r="U1127">
        <v>-49.38</v>
      </c>
      <c r="V1127">
        <v>-80</v>
      </c>
      <c r="W1127">
        <v>40.65</v>
      </c>
      <c r="X1127" t="s">
        <v>7472</v>
      </c>
      <c r="Y1127" t="s">
        <v>3069</v>
      </c>
      <c r="Z1127">
        <v>1.48</v>
      </c>
      <c r="AA1127">
        <v>12</v>
      </c>
      <c r="AB1127">
        <v>14</v>
      </c>
      <c r="AC1127">
        <v>5.66</v>
      </c>
      <c r="AD1127" t="s">
        <v>7473</v>
      </c>
      <c r="AE1127" t="s">
        <v>7474</v>
      </c>
      <c r="AF1127" t="s">
        <v>6227</v>
      </c>
      <c r="AG1127" t="s">
        <v>1843</v>
      </c>
      <c r="AH1127">
        <v>-5.8</v>
      </c>
      <c r="AI1127">
        <v>-5.14</v>
      </c>
      <c r="AJ1127">
        <v>2.17</v>
      </c>
      <c r="AK1127">
        <v>4.77</v>
      </c>
      <c r="AL1127">
        <v>-3</v>
      </c>
      <c r="AM1127">
        <v>-2.33</v>
      </c>
      <c r="AN1127">
        <v>-25.94</v>
      </c>
      <c r="AO1127">
        <v>5.35</v>
      </c>
      <c r="AP1127">
        <v>-29.08</v>
      </c>
    </row>
    <row r="1128" spans="1:42">
      <c r="A1128">
        <v>1127</v>
      </c>
      <c r="B1128" t="str">
        <f>"300603"</f>
        <v>300603</v>
      </c>
      <c r="C1128" t="s">
        <v>7475</v>
      </c>
      <c r="D1128">
        <v>11.03</v>
      </c>
      <c r="E1128">
        <v>3.28</v>
      </c>
      <c r="F1128">
        <v>0.35</v>
      </c>
      <c r="G1128" t="s">
        <v>1439</v>
      </c>
      <c r="H1128">
        <v>2289</v>
      </c>
      <c r="I1128">
        <v>11.03</v>
      </c>
      <c r="J1128">
        <v>11.04</v>
      </c>
      <c r="K1128" t="s">
        <v>2196</v>
      </c>
      <c r="L1128">
        <v>4.72</v>
      </c>
      <c r="M1128" t="s">
        <v>46</v>
      </c>
      <c r="N1128" t="s">
        <v>7476</v>
      </c>
      <c r="O1128">
        <v>11.09</v>
      </c>
      <c r="P1128">
        <v>10.61</v>
      </c>
      <c r="Q1128">
        <v>10.68</v>
      </c>
      <c r="R1128">
        <v>10.68</v>
      </c>
      <c r="S1128">
        <v>4.49</v>
      </c>
      <c r="T1128">
        <v>1.04</v>
      </c>
      <c r="U1128">
        <v>-42.17</v>
      </c>
      <c r="V1128">
        <v>-2275</v>
      </c>
      <c r="W1128">
        <v>10.89</v>
      </c>
      <c r="X1128" t="s">
        <v>700</v>
      </c>
      <c r="Y1128" t="s">
        <v>2366</v>
      </c>
      <c r="Z1128">
        <v>0.84</v>
      </c>
      <c r="AA1128">
        <v>546</v>
      </c>
      <c r="AB1128">
        <v>1016</v>
      </c>
      <c r="AC1128">
        <v>3.53</v>
      </c>
      <c r="AD1128" t="s">
        <v>4042</v>
      </c>
      <c r="AE1128" t="s">
        <v>7477</v>
      </c>
      <c r="AF1128" t="s">
        <v>7478</v>
      </c>
      <c r="AG1128" t="s">
        <v>7479</v>
      </c>
      <c r="AH1128">
        <v>0.09</v>
      </c>
      <c r="AI1128">
        <v>-2.3</v>
      </c>
      <c r="AJ1128">
        <v>12.83</v>
      </c>
      <c r="AK1128">
        <v>27.54</v>
      </c>
      <c r="AL1128">
        <v>1</v>
      </c>
      <c r="AM1128">
        <v>3.28</v>
      </c>
      <c r="AN1128">
        <v>18.09</v>
      </c>
      <c r="AO1128">
        <v>6.57</v>
      </c>
      <c r="AP1128">
        <v>6.67</v>
      </c>
    </row>
    <row r="1129" spans="1:42">
      <c r="A1129">
        <v>1128</v>
      </c>
      <c r="B1129" t="str">
        <f>"600640"</f>
        <v>600640</v>
      </c>
      <c r="C1129" t="s">
        <v>7480</v>
      </c>
      <c r="D1129">
        <v>11.54</v>
      </c>
      <c r="E1129">
        <v>6.75</v>
      </c>
      <c r="F1129">
        <v>0.73</v>
      </c>
      <c r="G1129" t="s">
        <v>561</v>
      </c>
      <c r="H1129">
        <v>5005</v>
      </c>
      <c r="I1129">
        <v>11.53</v>
      </c>
      <c r="J1129">
        <v>11.54</v>
      </c>
      <c r="K1129" t="s">
        <v>2196</v>
      </c>
      <c r="L1129">
        <v>2.02</v>
      </c>
      <c r="M1129" t="s">
        <v>46</v>
      </c>
      <c r="N1129" t="s">
        <v>4024</v>
      </c>
      <c r="O1129">
        <v>11.57</v>
      </c>
      <c r="P1129">
        <v>10.84</v>
      </c>
      <c r="Q1129">
        <v>10.84</v>
      </c>
      <c r="R1129">
        <v>10.81</v>
      </c>
      <c r="S1129">
        <v>6.75</v>
      </c>
      <c r="T1129">
        <v>2.25</v>
      </c>
      <c r="U1129">
        <v>-59.99</v>
      </c>
      <c r="V1129">
        <v>-2138</v>
      </c>
      <c r="W1129">
        <v>11.32</v>
      </c>
      <c r="X1129" t="s">
        <v>7481</v>
      </c>
      <c r="Y1129" t="s">
        <v>2402</v>
      </c>
      <c r="Z1129">
        <v>0.49</v>
      </c>
      <c r="AA1129">
        <v>53</v>
      </c>
      <c r="AB1129">
        <v>225</v>
      </c>
      <c r="AC1129">
        <v>2.31</v>
      </c>
      <c r="AD1129" t="s">
        <v>7482</v>
      </c>
      <c r="AE1129" t="s">
        <v>7483</v>
      </c>
      <c r="AF1129" t="s">
        <v>7482</v>
      </c>
      <c r="AG1129" t="s">
        <v>7483</v>
      </c>
      <c r="AH1129">
        <v>5.48</v>
      </c>
      <c r="AI1129">
        <v>1.14</v>
      </c>
      <c r="AJ1129">
        <v>3.33</v>
      </c>
      <c r="AK1129">
        <v>6.51</v>
      </c>
      <c r="AL1129">
        <v>2</v>
      </c>
      <c r="AM1129">
        <v>6.75</v>
      </c>
      <c r="AN1129">
        <v>19.59</v>
      </c>
      <c r="AO1129">
        <v>11.82</v>
      </c>
      <c r="AP1129">
        <v>15.17</v>
      </c>
    </row>
    <row r="1130" spans="1:42">
      <c r="A1130">
        <v>1129</v>
      </c>
      <c r="B1130" t="str">
        <f>"603882"</f>
        <v>603882</v>
      </c>
      <c r="C1130" t="s">
        <v>7484</v>
      </c>
      <c r="D1130">
        <v>66.02</v>
      </c>
      <c r="E1130">
        <v>0.03</v>
      </c>
      <c r="F1130">
        <v>0.02</v>
      </c>
      <c r="G1130" t="s">
        <v>7485</v>
      </c>
      <c r="H1130">
        <v>371</v>
      </c>
      <c r="I1130">
        <v>66.02</v>
      </c>
      <c r="J1130">
        <v>66.03</v>
      </c>
      <c r="K1130" t="s">
        <v>2196</v>
      </c>
      <c r="L1130">
        <v>0.6</v>
      </c>
      <c r="M1130" t="s">
        <v>46</v>
      </c>
      <c r="N1130" t="s">
        <v>7486</v>
      </c>
      <c r="O1130">
        <v>66.27</v>
      </c>
      <c r="P1130">
        <v>64.96</v>
      </c>
      <c r="Q1130">
        <v>65.67</v>
      </c>
      <c r="R1130">
        <v>66</v>
      </c>
      <c r="S1130">
        <v>1.98</v>
      </c>
      <c r="T1130">
        <v>1.16</v>
      </c>
      <c r="U1130">
        <v>17.66</v>
      </c>
      <c r="V1130">
        <v>13</v>
      </c>
      <c r="W1130">
        <v>65.65</v>
      </c>
      <c r="X1130" t="s">
        <v>7487</v>
      </c>
      <c r="Y1130" t="s">
        <v>1743</v>
      </c>
      <c r="Z1130">
        <v>1.38</v>
      </c>
      <c r="AA1130">
        <v>17</v>
      </c>
      <c r="AB1130">
        <v>3</v>
      </c>
      <c r="AC1130">
        <v>3.64</v>
      </c>
      <c r="AD1130" t="s">
        <v>7488</v>
      </c>
      <c r="AE1130" t="s">
        <v>7489</v>
      </c>
      <c r="AF1130" t="s">
        <v>7490</v>
      </c>
      <c r="AG1130" t="s">
        <v>7491</v>
      </c>
      <c r="AH1130">
        <v>-1.39</v>
      </c>
      <c r="AI1130">
        <v>0.17</v>
      </c>
      <c r="AJ1130">
        <v>1.65</v>
      </c>
      <c r="AK1130">
        <v>3.16</v>
      </c>
      <c r="AL1130">
        <v>1</v>
      </c>
      <c r="AM1130">
        <v>0.03</v>
      </c>
      <c r="AN1130">
        <v>-13.61</v>
      </c>
      <c r="AO1130">
        <v>1.44</v>
      </c>
      <c r="AP1130">
        <v>-5.85</v>
      </c>
    </row>
    <row r="1131" spans="1:42">
      <c r="A1131">
        <v>1130</v>
      </c>
      <c r="B1131" t="str">
        <f>"603099"</f>
        <v>603099</v>
      </c>
      <c r="C1131" t="s">
        <v>7492</v>
      </c>
      <c r="D1131">
        <v>15.38</v>
      </c>
      <c r="E1131">
        <v>-1.47</v>
      </c>
      <c r="F1131">
        <v>-0.23</v>
      </c>
      <c r="G1131" t="s">
        <v>1807</v>
      </c>
      <c r="H1131">
        <v>862</v>
      </c>
      <c r="I1131">
        <v>15.38</v>
      </c>
      <c r="J1131">
        <v>15.39</v>
      </c>
      <c r="K1131" t="s">
        <v>2196</v>
      </c>
      <c r="L1131">
        <v>4.37</v>
      </c>
      <c r="M1131" t="s">
        <v>46</v>
      </c>
      <c r="N1131" t="s">
        <v>7493</v>
      </c>
      <c r="O1131">
        <v>15.99</v>
      </c>
      <c r="P1131">
        <v>15.34</v>
      </c>
      <c r="Q1131">
        <v>15.66</v>
      </c>
      <c r="R1131">
        <v>15.61</v>
      </c>
      <c r="S1131">
        <v>4.16</v>
      </c>
      <c r="T1131">
        <v>1.05</v>
      </c>
      <c r="U1131">
        <v>58.75</v>
      </c>
      <c r="V1131">
        <v>339</v>
      </c>
      <c r="W1131">
        <v>15.6</v>
      </c>
      <c r="X1131" t="s">
        <v>7494</v>
      </c>
      <c r="Y1131" t="s">
        <v>3040</v>
      </c>
      <c r="Z1131">
        <v>1.08</v>
      </c>
      <c r="AA1131">
        <v>41</v>
      </c>
      <c r="AB1131">
        <v>13</v>
      </c>
      <c r="AC1131">
        <v>3.88</v>
      </c>
      <c r="AD1131" t="s">
        <v>7495</v>
      </c>
      <c r="AE1131" t="s">
        <v>7496</v>
      </c>
      <c r="AF1131" t="s">
        <v>7495</v>
      </c>
      <c r="AG1131" t="s">
        <v>7496</v>
      </c>
      <c r="AH1131">
        <v>2.06</v>
      </c>
      <c r="AI1131">
        <v>0.07</v>
      </c>
      <c r="AJ1131">
        <v>11.41</v>
      </c>
      <c r="AK1131">
        <v>25.3</v>
      </c>
      <c r="AL1131">
        <v>-1</v>
      </c>
      <c r="AM1131">
        <v>-1.47</v>
      </c>
      <c r="AN1131">
        <v>41.62</v>
      </c>
      <c r="AO1131">
        <v>11.94</v>
      </c>
      <c r="AP1131">
        <v>76.99</v>
      </c>
    </row>
    <row r="1132" spans="1:42">
      <c r="A1132">
        <v>1131</v>
      </c>
      <c r="B1132" t="str">
        <f>"300106"</f>
        <v>300106</v>
      </c>
      <c r="C1132" t="s">
        <v>7497</v>
      </c>
      <c r="D1132">
        <v>9.54</v>
      </c>
      <c r="E1132">
        <v>-1.24</v>
      </c>
      <c r="F1132">
        <v>-0.12</v>
      </c>
      <c r="G1132" t="s">
        <v>3434</v>
      </c>
      <c r="H1132">
        <v>1751</v>
      </c>
      <c r="I1132">
        <v>9.53</v>
      </c>
      <c r="J1132">
        <v>9.54</v>
      </c>
      <c r="K1132" t="s">
        <v>2196</v>
      </c>
      <c r="L1132">
        <v>8.94</v>
      </c>
      <c r="M1132" t="s">
        <v>46</v>
      </c>
      <c r="N1132" t="s">
        <v>1428</v>
      </c>
      <c r="O1132">
        <v>9.78</v>
      </c>
      <c r="P1132">
        <v>9.46</v>
      </c>
      <c r="Q1132">
        <v>9.54</v>
      </c>
      <c r="R1132">
        <v>9.66</v>
      </c>
      <c r="S1132">
        <v>3.31</v>
      </c>
      <c r="T1132">
        <v>1.33</v>
      </c>
      <c r="U1132">
        <v>-20.02</v>
      </c>
      <c r="V1132">
        <v>-455</v>
      </c>
      <c r="W1132">
        <v>9.62</v>
      </c>
      <c r="X1132" t="s">
        <v>3218</v>
      </c>
      <c r="Y1132" t="s">
        <v>7498</v>
      </c>
      <c r="Z1132">
        <v>1.1</v>
      </c>
      <c r="AA1132">
        <v>50</v>
      </c>
      <c r="AB1132">
        <v>60</v>
      </c>
      <c r="AC1132">
        <v>3.45</v>
      </c>
      <c r="AD1132" t="s">
        <v>7499</v>
      </c>
      <c r="AE1132" t="s">
        <v>7500</v>
      </c>
      <c r="AF1132" t="s">
        <v>7499</v>
      </c>
      <c r="AG1132" t="s">
        <v>7500</v>
      </c>
      <c r="AH1132">
        <v>1.92</v>
      </c>
      <c r="AI1132">
        <v>4.95</v>
      </c>
      <c r="AJ1132">
        <v>21.71</v>
      </c>
      <c r="AK1132">
        <v>42.52</v>
      </c>
      <c r="AL1132">
        <v>-1</v>
      </c>
      <c r="AM1132">
        <v>-1.24</v>
      </c>
      <c r="AN1132">
        <v>-0.73</v>
      </c>
      <c r="AO1132">
        <v>6.95</v>
      </c>
      <c r="AP1132">
        <v>16.91</v>
      </c>
    </row>
    <row r="1133" spans="1:42">
      <c r="A1133">
        <v>1132</v>
      </c>
      <c r="B1133" t="str">
        <f>"002507"</f>
        <v>002507</v>
      </c>
      <c r="C1133" t="s">
        <v>7501</v>
      </c>
      <c r="D1133">
        <v>16.35</v>
      </c>
      <c r="E1133">
        <v>0.68</v>
      </c>
      <c r="F1133">
        <v>0.11</v>
      </c>
      <c r="G1133" t="s">
        <v>829</v>
      </c>
      <c r="H1133">
        <v>982</v>
      </c>
      <c r="I1133">
        <v>16.35</v>
      </c>
      <c r="J1133">
        <v>16.36</v>
      </c>
      <c r="K1133" t="s">
        <v>2196</v>
      </c>
      <c r="L1133">
        <v>0.98</v>
      </c>
      <c r="M1133" t="s">
        <v>46</v>
      </c>
      <c r="N1133" t="s">
        <v>360</v>
      </c>
      <c r="O1133">
        <v>16.42</v>
      </c>
      <c r="P1133">
        <v>16.14</v>
      </c>
      <c r="Q1133">
        <v>16.27</v>
      </c>
      <c r="R1133">
        <v>16.24</v>
      </c>
      <c r="S1133">
        <v>1.72</v>
      </c>
      <c r="T1133">
        <v>1.03</v>
      </c>
      <c r="U1133">
        <v>-17.27</v>
      </c>
      <c r="V1133">
        <v>-410</v>
      </c>
      <c r="W1133">
        <v>16.3</v>
      </c>
      <c r="X1133" t="s">
        <v>3659</v>
      </c>
      <c r="Y1133" t="s">
        <v>7400</v>
      </c>
      <c r="Z1133">
        <v>0.87</v>
      </c>
      <c r="AA1133">
        <v>61</v>
      </c>
      <c r="AB1133">
        <v>321</v>
      </c>
      <c r="AC1133">
        <v>2.34</v>
      </c>
      <c r="AD1133" t="s">
        <v>3858</v>
      </c>
      <c r="AE1133" t="s">
        <v>7502</v>
      </c>
      <c r="AF1133" t="s">
        <v>7503</v>
      </c>
      <c r="AG1133" t="s">
        <v>7504</v>
      </c>
      <c r="AH1133">
        <v>1.05</v>
      </c>
      <c r="AI1133">
        <v>2.77</v>
      </c>
      <c r="AJ1133">
        <v>3.22</v>
      </c>
      <c r="AK1133">
        <v>5.73</v>
      </c>
      <c r="AL1133">
        <v>2</v>
      </c>
      <c r="AM1133">
        <v>0.68</v>
      </c>
      <c r="AN1133">
        <v>-16.28</v>
      </c>
      <c r="AO1133">
        <v>3.94</v>
      </c>
      <c r="AP1133">
        <v>-12.71</v>
      </c>
    </row>
    <row r="1134" spans="1:42">
      <c r="A1134">
        <v>1133</v>
      </c>
      <c r="B1134" t="str">
        <f>"605567"</f>
        <v>605567</v>
      </c>
      <c r="C1134" t="s">
        <v>7505</v>
      </c>
      <c r="D1134">
        <v>13.38</v>
      </c>
      <c r="E1134">
        <v>-1.55</v>
      </c>
      <c r="F1134">
        <v>-0.21</v>
      </c>
      <c r="G1134" t="s">
        <v>368</v>
      </c>
      <c r="H1134">
        <v>744</v>
      </c>
      <c r="I1134">
        <v>13.38</v>
      </c>
      <c r="J1134">
        <v>13.39</v>
      </c>
      <c r="K1134" t="s">
        <v>2196</v>
      </c>
      <c r="L1134">
        <v>10.87</v>
      </c>
      <c r="M1134" t="s">
        <v>46</v>
      </c>
      <c r="N1134" t="s">
        <v>690</v>
      </c>
      <c r="O1134">
        <v>13.88</v>
      </c>
      <c r="P1134">
        <v>13.24</v>
      </c>
      <c r="Q1134">
        <v>13.43</v>
      </c>
      <c r="R1134">
        <v>13.59</v>
      </c>
      <c r="S1134">
        <v>4.71</v>
      </c>
      <c r="T1134">
        <v>1.32</v>
      </c>
      <c r="U1134">
        <v>32.97</v>
      </c>
      <c r="V1134">
        <v>363</v>
      </c>
      <c r="W1134">
        <v>13.51</v>
      </c>
      <c r="X1134" t="s">
        <v>7506</v>
      </c>
      <c r="Y1134" t="s">
        <v>6058</v>
      </c>
      <c r="Z1134">
        <v>1.08</v>
      </c>
      <c r="AA1134">
        <v>126</v>
      </c>
      <c r="AB1134">
        <v>50</v>
      </c>
      <c r="AC1134">
        <v>2.39</v>
      </c>
      <c r="AD1134" t="s">
        <v>5838</v>
      </c>
      <c r="AE1134" t="s">
        <v>7507</v>
      </c>
      <c r="AF1134" t="s">
        <v>7508</v>
      </c>
      <c r="AG1134" t="s">
        <v>7509</v>
      </c>
      <c r="AH1134">
        <v>1.52</v>
      </c>
      <c r="AI1134">
        <v>4.61</v>
      </c>
      <c r="AJ1134">
        <v>29.08</v>
      </c>
      <c r="AK1134">
        <v>52.19</v>
      </c>
      <c r="AL1134">
        <v>-1</v>
      </c>
      <c r="AM1134">
        <v>-1.55</v>
      </c>
      <c r="AN1134">
        <v>-12.43</v>
      </c>
      <c r="AO1134">
        <v>4.29</v>
      </c>
      <c r="AP1134">
        <v>-6.3</v>
      </c>
    </row>
    <row r="1135" spans="1:42">
      <c r="A1135">
        <v>1134</v>
      </c>
      <c r="B1135" t="str">
        <f>"601229"</f>
        <v>601229</v>
      </c>
      <c r="C1135" t="s">
        <v>7510</v>
      </c>
      <c r="D1135">
        <v>5.96</v>
      </c>
      <c r="E1135">
        <v>1.19</v>
      </c>
      <c r="F1135">
        <v>0.07</v>
      </c>
      <c r="G1135" t="s">
        <v>3415</v>
      </c>
      <c r="H1135">
        <v>1809</v>
      </c>
      <c r="I1135">
        <v>5.95</v>
      </c>
      <c r="J1135">
        <v>5.96</v>
      </c>
      <c r="K1135" t="s">
        <v>7511</v>
      </c>
      <c r="L1135">
        <v>0.22</v>
      </c>
      <c r="M1135" t="s">
        <v>46</v>
      </c>
      <c r="N1135" t="s">
        <v>1950</v>
      </c>
      <c r="O1135">
        <v>5.98</v>
      </c>
      <c r="P1135">
        <v>5.89</v>
      </c>
      <c r="Q1135">
        <v>5.9</v>
      </c>
      <c r="R1135">
        <v>5.89</v>
      </c>
      <c r="S1135">
        <v>1.53</v>
      </c>
      <c r="T1135">
        <v>1.33</v>
      </c>
      <c r="U1135">
        <v>-52.97</v>
      </c>
      <c r="V1135" t="s">
        <v>7512</v>
      </c>
      <c r="W1135">
        <v>5.95</v>
      </c>
      <c r="X1135" t="s">
        <v>881</v>
      </c>
      <c r="Y1135" t="s">
        <v>2012</v>
      </c>
      <c r="Z1135">
        <v>0.53</v>
      </c>
      <c r="AA1135">
        <v>249</v>
      </c>
      <c r="AB1135">
        <v>1370</v>
      </c>
      <c r="AC1135">
        <v>0.4</v>
      </c>
      <c r="AD1135" t="s">
        <v>7513</v>
      </c>
      <c r="AE1135" t="s">
        <v>7514</v>
      </c>
      <c r="AF1135" t="s">
        <v>7515</v>
      </c>
      <c r="AG1135" t="s">
        <v>7516</v>
      </c>
      <c r="AH1135">
        <v>0.34</v>
      </c>
      <c r="AI1135">
        <v>-0.5</v>
      </c>
      <c r="AJ1135">
        <v>0.61</v>
      </c>
      <c r="AK1135">
        <v>1.05</v>
      </c>
      <c r="AL1135">
        <v>2</v>
      </c>
      <c r="AM1135">
        <v>1.19</v>
      </c>
      <c r="AN1135">
        <v>8.17</v>
      </c>
      <c r="AO1135">
        <v>-1.97</v>
      </c>
      <c r="AP1135">
        <v>10.17</v>
      </c>
    </row>
    <row r="1136" spans="1:42">
      <c r="A1136">
        <v>1135</v>
      </c>
      <c r="B1136" t="str">
        <f>"301007"</f>
        <v>301007</v>
      </c>
      <c r="C1136" t="s">
        <v>7517</v>
      </c>
      <c r="D1136">
        <v>18.12</v>
      </c>
      <c r="E1136">
        <v>-1.52</v>
      </c>
      <c r="F1136">
        <v>-0.28</v>
      </c>
      <c r="G1136" t="s">
        <v>110</v>
      </c>
      <c r="H1136">
        <v>846</v>
      </c>
      <c r="I1136">
        <v>18.11</v>
      </c>
      <c r="J1136">
        <v>18.12</v>
      </c>
      <c r="K1136" t="s">
        <v>7511</v>
      </c>
      <c r="L1136">
        <v>8.14</v>
      </c>
      <c r="M1136" t="s">
        <v>46</v>
      </c>
      <c r="N1136" t="s">
        <v>7518</v>
      </c>
      <c r="O1136">
        <v>18.5</v>
      </c>
      <c r="P1136">
        <v>17.68</v>
      </c>
      <c r="Q1136">
        <v>18.4</v>
      </c>
      <c r="R1136">
        <v>18.4</v>
      </c>
      <c r="S1136">
        <v>4.46</v>
      </c>
      <c r="T1136">
        <v>0.76</v>
      </c>
      <c r="U1136">
        <v>53.29</v>
      </c>
      <c r="V1136">
        <v>993</v>
      </c>
      <c r="W1136">
        <v>18.01</v>
      </c>
      <c r="X1136" t="s">
        <v>7519</v>
      </c>
      <c r="Y1136" t="s">
        <v>2299</v>
      </c>
      <c r="Z1136">
        <v>1.17</v>
      </c>
      <c r="AA1136">
        <v>860</v>
      </c>
      <c r="AB1136">
        <v>32</v>
      </c>
      <c r="AC1136">
        <v>4.34</v>
      </c>
      <c r="AD1136" t="s">
        <v>7520</v>
      </c>
      <c r="AE1136" t="s">
        <v>7521</v>
      </c>
      <c r="AF1136" t="s">
        <v>7508</v>
      </c>
      <c r="AG1136" t="s">
        <v>7522</v>
      </c>
      <c r="AH1136">
        <v>-5.38</v>
      </c>
      <c r="AI1136">
        <v>-6.45</v>
      </c>
      <c r="AJ1136">
        <v>32.33</v>
      </c>
      <c r="AK1136">
        <v>61.99</v>
      </c>
      <c r="AL1136">
        <v>-3</v>
      </c>
      <c r="AM1136">
        <v>-1.52</v>
      </c>
      <c r="AN1136">
        <v>68.87</v>
      </c>
      <c r="AO1136">
        <v>-1.2</v>
      </c>
      <c r="AP1136">
        <v>50.87</v>
      </c>
    </row>
    <row r="1137" spans="1:42">
      <c r="A1137">
        <v>1136</v>
      </c>
      <c r="B1137" t="str">
        <f>"300600"</f>
        <v>300600</v>
      </c>
      <c r="C1137" t="s">
        <v>7523</v>
      </c>
      <c r="D1137">
        <v>10.59</v>
      </c>
      <c r="E1137">
        <v>-2.58</v>
      </c>
      <c r="F1137">
        <v>-0.28</v>
      </c>
      <c r="G1137" t="s">
        <v>2915</v>
      </c>
      <c r="H1137">
        <v>2295</v>
      </c>
      <c r="I1137">
        <v>10.59</v>
      </c>
      <c r="J1137">
        <v>10.6</v>
      </c>
      <c r="K1137" t="s">
        <v>7511</v>
      </c>
      <c r="L1137">
        <v>6.97</v>
      </c>
      <c r="M1137" t="s">
        <v>46</v>
      </c>
      <c r="N1137" t="s">
        <v>7524</v>
      </c>
      <c r="O1137">
        <v>10.86</v>
      </c>
      <c r="P1137">
        <v>10.41</v>
      </c>
      <c r="Q1137">
        <v>10.8</v>
      </c>
      <c r="R1137">
        <v>10.87</v>
      </c>
      <c r="S1137">
        <v>4.14</v>
      </c>
      <c r="T1137">
        <v>2.45</v>
      </c>
      <c r="U1137">
        <v>38.44</v>
      </c>
      <c r="V1137">
        <v>694</v>
      </c>
      <c r="W1137">
        <v>10.54</v>
      </c>
      <c r="X1137" t="s">
        <v>5726</v>
      </c>
      <c r="Y1137" t="s">
        <v>6698</v>
      </c>
      <c r="Z1137">
        <v>1.26</v>
      </c>
      <c r="AA1137">
        <v>64</v>
      </c>
      <c r="AB1137">
        <v>251</v>
      </c>
      <c r="AC1137">
        <v>3.31</v>
      </c>
      <c r="AD1137" t="s">
        <v>7525</v>
      </c>
      <c r="AE1137" t="s">
        <v>7526</v>
      </c>
      <c r="AF1137" t="s">
        <v>7527</v>
      </c>
      <c r="AG1137" t="s">
        <v>932</v>
      </c>
      <c r="AH1137">
        <v>2.22</v>
      </c>
      <c r="AI1137">
        <v>2.02</v>
      </c>
      <c r="AJ1137">
        <v>17.97</v>
      </c>
      <c r="AK1137">
        <v>21.19</v>
      </c>
      <c r="AL1137">
        <v>-1</v>
      </c>
      <c r="AM1137">
        <v>-2.58</v>
      </c>
      <c r="AN1137">
        <v>43.5</v>
      </c>
      <c r="AO1137">
        <v>4.85</v>
      </c>
      <c r="AP1137">
        <v>29.62</v>
      </c>
    </row>
    <row r="1138" spans="1:42">
      <c r="A1138">
        <v>1137</v>
      </c>
      <c r="B1138" t="str">
        <f>"002889"</f>
        <v>002889</v>
      </c>
      <c r="C1138" t="s">
        <v>7528</v>
      </c>
      <c r="D1138">
        <v>27.48</v>
      </c>
      <c r="E1138">
        <v>2.19</v>
      </c>
      <c r="F1138">
        <v>0.59</v>
      </c>
      <c r="G1138" t="s">
        <v>7529</v>
      </c>
      <c r="H1138">
        <v>1578</v>
      </c>
      <c r="I1138">
        <v>27.48</v>
      </c>
      <c r="J1138">
        <v>27.49</v>
      </c>
      <c r="K1138" t="s">
        <v>7511</v>
      </c>
      <c r="L1138">
        <v>5.3</v>
      </c>
      <c r="M1138" t="s">
        <v>46</v>
      </c>
      <c r="N1138" t="s">
        <v>7530</v>
      </c>
      <c r="O1138">
        <v>27.5</v>
      </c>
      <c r="P1138">
        <v>26.6</v>
      </c>
      <c r="Q1138">
        <v>26.9</v>
      </c>
      <c r="R1138">
        <v>26.89</v>
      </c>
      <c r="S1138">
        <v>3.35</v>
      </c>
      <c r="T1138">
        <v>0.78</v>
      </c>
      <c r="U1138">
        <v>-32.11</v>
      </c>
      <c r="V1138">
        <v>-324</v>
      </c>
      <c r="W1138">
        <v>27.24</v>
      </c>
      <c r="X1138" t="s">
        <v>7531</v>
      </c>
      <c r="Y1138" t="s">
        <v>5266</v>
      </c>
      <c r="Z1138">
        <v>1.14</v>
      </c>
      <c r="AA1138">
        <v>195</v>
      </c>
      <c r="AB1138">
        <v>220</v>
      </c>
      <c r="AC1138">
        <v>2.41</v>
      </c>
      <c r="AD1138" t="s">
        <v>7532</v>
      </c>
      <c r="AE1138" t="s">
        <v>3985</v>
      </c>
      <c r="AF1138" t="s">
        <v>7533</v>
      </c>
      <c r="AG1138" t="s">
        <v>7534</v>
      </c>
      <c r="AH1138">
        <v>1.97</v>
      </c>
      <c r="AI1138">
        <v>-9.4</v>
      </c>
      <c r="AJ1138">
        <v>13.18</v>
      </c>
      <c r="AK1138">
        <v>39.17</v>
      </c>
      <c r="AL1138">
        <v>2</v>
      </c>
      <c r="AM1138">
        <v>2.19</v>
      </c>
      <c r="AN1138">
        <v>70.9</v>
      </c>
      <c r="AO1138">
        <v>-11.78</v>
      </c>
      <c r="AP1138">
        <v>70.15</v>
      </c>
    </row>
    <row r="1139" spans="1:42">
      <c r="A1139">
        <v>1138</v>
      </c>
      <c r="B1139" t="str">
        <f>"688082"</f>
        <v>688082</v>
      </c>
      <c r="C1139" t="s">
        <v>7535</v>
      </c>
      <c r="D1139">
        <v>110.75</v>
      </c>
      <c r="E1139">
        <v>-3.35</v>
      </c>
      <c r="F1139">
        <v>-3.84</v>
      </c>
      <c r="G1139" t="s">
        <v>4943</v>
      </c>
      <c r="H1139">
        <v>111</v>
      </c>
      <c r="I1139">
        <v>110.75</v>
      </c>
      <c r="J1139">
        <v>110.78</v>
      </c>
      <c r="K1139" t="s">
        <v>2549</v>
      </c>
      <c r="L1139">
        <v>2.14</v>
      </c>
      <c r="M1139" t="s">
        <v>46</v>
      </c>
      <c r="N1139" t="s">
        <v>2246</v>
      </c>
      <c r="O1139">
        <v>114.05</v>
      </c>
      <c r="P1139">
        <v>109.29</v>
      </c>
      <c r="Q1139">
        <v>113.5</v>
      </c>
      <c r="R1139">
        <v>114.59</v>
      </c>
      <c r="S1139">
        <v>4.15</v>
      </c>
      <c r="T1139">
        <v>1.37</v>
      </c>
      <c r="U1139">
        <v>83.78</v>
      </c>
      <c r="V1139">
        <v>187</v>
      </c>
      <c r="W1139">
        <v>110.96</v>
      </c>
      <c r="X1139">
        <v>9237</v>
      </c>
      <c r="Y1139">
        <v>7025</v>
      </c>
      <c r="Z1139">
        <v>1.31</v>
      </c>
      <c r="AA1139">
        <v>47</v>
      </c>
      <c r="AB1139">
        <v>2</v>
      </c>
      <c r="AC1139">
        <v>7.84</v>
      </c>
      <c r="AD1139" t="s">
        <v>6533</v>
      </c>
      <c r="AE1139" t="s">
        <v>7536</v>
      </c>
      <c r="AF1139" t="s">
        <v>7537</v>
      </c>
      <c r="AG1139" t="s">
        <v>7538</v>
      </c>
      <c r="AH1139">
        <v>-2.26</v>
      </c>
      <c r="AI1139">
        <v>-0.36</v>
      </c>
      <c r="AJ1139">
        <v>6.34</v>
      </c>
      <c r="AK1139">
        <v>9.96</v>
      </c>
      <c r="AL1139">
        <v>-1</v>
      </c>
      <c r="AM1139">
        <v>-3.35</v>
      </c>
      <c r="AN1139">
        <v>39.26</v>
      </c>
      <c r="AO1139">
        <v>-5.82</v>
      </c>
      <c r="AP1139">
        <v>30.22</v>
      </c>
    </row>
    <row r="1140" spans="1:42">
      <c r="A1140">
        <v>1139</v>
      </c>
      <c r="B1140" t="str">
        <f>"600779"</f>
        <v>600779</v>
      </c>
      <c r="C1140" t="s">
        <v>7539</v>
      </c>
      <c r="D1140">
        <v>57.7</v>
      </c>
      <c r="E1140">
        <v>-1.35</v>
      </c>
      <c r="F1140">
        <v>-0.79</v>
      </c>
      <c r="G1140" t="s">
        <v>2628</v>
      </c>
      <c r="H1140">
        <v>293</v>
      </c>
      <c r="I1140">
        <v>57.69</v>
      </c>
      <c r="J1140">
        <v>57.7</v>
      </c>
      <c r="K1140" t="s">
        <v>2549</v>
      </c>
      <c r="L1140">
        <v>0.64</v>
      </c>
      <c r="M1140" t="s">
        <v>46</v>
      </c>
      <c r="N1140" t="s">
        <v>7333</v>
      </c>
      <c r="O1140">
        <v>58.44</v>
      </c>
      <c r="P1140">
        <v>57.05</v>
      </c>
      <c r="Q1140">
        <v>58.4</v>
      </c>
      <c r="R1140">
        <v>58.49</v>
      </c>
      <c r="S1140">
        <v>2.38</v>
      </c>
      <c r="T1140">
        <v>1.17</v>
      </c>
      <c r="U1140">
        <v>-60</v>
      </c>
      <c r="V1140">
        <v>-99</v>
      </c>
      <c r="W1140">
        <v>57.62</v>
      </c>
      <c r="X1140" t="s">
        <v>1177</v>
      </c>
      <c r="Y1140" t="s">
        <v>3284</v>
      </c>
      <c r="Z1140">
        <v>1.29</v>
      </c>
      <c r="AA1140">
        <v>6</v>
      </c>
      <c r="AB1140">
        <v>45</v>
      </c>
      <c r="AC1140">
        <v>6.8</v>
      </c>
      <c r="AD1140" t="s">
        <v>1329</v>
      </c>
      <c r="AE1140" t="s">
        <v>7540</v>
      </c>
      <c r="AF1140" t="s">
        <v>1329</v>
      </c>
      <c r="AG1140" t="s">
        <v>7540</v>
      </c>
      <c r="AH1140">
        <v>-0.77</v>
      </c>
      <c r="AI1140">
        <v>-3.58</v>
      </c>
      <c r="AJ1140">
        <v>1.57</v>
      </c>
      <c r="AK1140">
        <v>3.38</v>
      </c>
      <c r="AL1140">
        <v>-1</v>
      </c>
      <c r="AM1140">
        <v>-1.35</v>
      </c>
      <c r="AN1140">
        <v>-31.04</v>
      </c>
      <c r="AO1140">
        <v>-3.96</v>
      </c>
      <c r="AP1140">
        <v>-7.53</v>
      </c>
    </row>
    <row r="1141" spans="1:42">
      <c r="A1141">
        <v>1140</v>
      </c>
      <c r="B1141" t="str">
        <f>"002155"</f>
        <v>002155</v>
      </c>
      <c r="C1141" t="s">
        <v>7541</v>
      </c>
      <c r="D1141">
        <v>11.73</v>
      </c>
      <c r="E1141">
        <v>-0.68</v>
      </c>
      <c r="F1141">
        <v>-0.08</v>
      </c>
      <c r="G1141" t="s">
        <v>2291</v>
      </c>
      <c r="H1141">
        <v>3434</v>
      </c>
      <c r="I1141">
        <v>11.73</v>
      </c>
      <c r="J1141">
        <v>11.74</v>
      </c>
      <c r="K1141" t="s">
        <v>2549</v>
      </c>
      <c r="L1141">
        <v>1.28</v>
      </c>
      <c r="M1141" t="s">
        <v>46</v>
      </c>
      <c r="N1141" t="s">
        <v>7542</v>
      </c>
      <c r="O1141">
        <v>11.8</v>
      </c>
      <c r="P1141">
        <v>11.67</v>
      </c>
      <c r="Q1141">
        <v>11.76</v>
      </c>
      <c r="R1141">
        <v>11.81</v>
      </c>
      <c r="S1141">
        <v>1.1</v>
      </c>
      <c r="T1141">
        <v>0.59</v>
      </c>
      <c r="U1141">
        <v>-22.75</v>
      </c>
      <c r="V1141">
        <v>-1428</v>
      </c>
      <c r="W1141">
        <v>11.71</v>
      </c>
      <c r="X1141" t="s">
        <v>7543</v>
      </c>
      <c r="Y1141" t="s">
        <v>6732</v>
      </c>
      <c r="Z1141">
        <v>1.66</v>
      </c>
      <c r="AA1141">
        <v>118</v>
      </c>
      <c r="AB1141">
        <v>982</v>
      </c>
      <c r="AC1141">
        <v>2.31</v>
      </c>
      <c r="AD1141" t="s">
        <v>838</v>
      </c>
      <c r="AE1141" t="s">
        <v>2611</v>
      </c>
      <c r="AF1141" t="s">
        <v>838</v>
      </c>
      <c r="AG1141" t="s">
        <v>2611</v>
      </c>
      <c r="AH1141">
        <v>0.17</v>
      </c>
      <c r="AI1141">
        <v>1.73</v>
      </c>
      <c r="AJ1141">
        <v>6.59</v>
      </c>
      <c r="AK1141">
        <v>12.2</v>
      </c>
      <c r="AL1141">
        <v>-2</v>
      </c>
      <c r="AM1141">
        <v>-0.68</v>
      </c>
      <c r="AN1141">
        <v>-8.72</v>
      </c>
      <c r="AO1141">
        <v>2.89</v>
      </c>
      <c r="AP1141">
        <v>-18.94</v>
      </c>
    </row>
    <row r="1142" spans="1:42">
      <c r="A1142">
        <v>1141</v>
      </c>
      <c r="B1142" t="str">
        <f>"300403"</f>
        <v>300403</v>
      </c>
      <c r="C1142" t="s">
        <v>7544</v>
      </c>
      <c r="D1142">
        <v>8.5</v>
      </c>
      <c r="E1142">
        <v>-1.16</v>
      </c>
      <c r="F1142">
        <v>-0.1</v>
      </c>
      <c r="G1142" t="s">
        <v>553</v>
      </c>
      <c r="H1142">
        <v>2633</v>
      </c>
      <c r="I1142">
        <v>8.49</v>
      </c>
      <c r="J1142">
        <v>8.5</v>
      </c>
      <c r="K1142" t="s">
        <v>2549</v>
      </c>
      <c r="L1142">
        <v>5.25</v>
      </c>
      <c r="M1142" t="s">
        <v>46</v>
      </c>
      <c r="N1142" t="s">
        <v>1685</v>
      </c>
      <c r="O1142">
        <v>8.55</v>
      </c>
      <c r="P1142">
        <v>8.32</v>
      </c>
      <c r="Q1142">
        <v>8.44</v>
      </c>
      <c r="R1142">
        <v>8.6</v>
      </c>
      <c r="S1142">
        <v>2.67</v>
      </c>
      <c r="T1142">
        <v>0.93</v>
      </c>
      <c r="U1142">
        <v>22.52</v>
      </c>
      <c r="V1142">
        <v>1616</v>
      </c>
      <c r="W1142">
        <v>8.45</v>
      </c>
      <c r="X1142" t="s">
        <v>1807</v>
      </c>
      <c r="Y1142" t="s">
        <v>3241</v>
      </c>
      <c r="Z1142">
        <v>1.2</v>
      </c>
      <c r="AA1142">
        <v>503</v>
      </c>
      <c r="AB1142">
        <v>459</v>
      </c>
      <c r="AC1142">
        <v>2.76</v>
      </c>
      <c r="AD1142" t="s">
        <v>7545</v>
      </c>
      <c r="AE1142" t="s">
        <v>1017</v>
      </c>
      <c r="AF1142" t="s">
        <v>7546</v>
      </c>
      <c r="AG1142" t="s">
        <v>7547</v>
      </c>
      <c r="AH1142">
        <v>0.24</v>
      </c>
      <c r="AI1142">
        <v>-1.62</v>
      </c>
      <c r="AJ1142">
        <v>19.63</v>
      </c>
      <c r="AK1142">
        <v>33.6</v>
      </c>
      <c r="AL1142">
        <v>-1</v>
      </c>
      <c r="AM1142">
        <v>-1.16</v>
      </c>
      <c r="AN1142">
        <v>50.71</v>
      </c>
      <c r="AO1142">
        <v>6.25</v>
      </c>
      <c r="AP1142">
        <v>30.57</v>
      </c>
    </row>
    <row r="1143" spans="1:42">
      <c r="A1143">
        <v>1142</v>
      </c>
      <c r="B1143" t="str">
        <f>"600153"</f>
        <v>600153</v>
      </c>
      <c r="C1143" t="s">
        <v>7548</v>
      </c>
      <c r="D1143">
        <v>9.61</v>
      </c>
      <c r="E1143">
        <v>1.48</v>
      </c>
      <c r="F1143">
        <v>0.14</v>
      </c>
      <c r="G1143" t="s">
        <v>3785</v>
      </c>
      <c r="H1143">
        <v>2006</v>
      </c>
      <c r="I1143">
        <v>9.6</v>
      </c>
      <c r="J1143">
        <v>9.61</v>
      </c>
      <c r="K1143" t="s">
        <v>2549</v>
      </c>
      <c r="L1143">
        <v>0.66</v>
      </c>
      <c r="M1143" t="s">
        <v>46</v>
      </c>
      <c r="N1143" t="s">
        <v>7549</v>
      </c>
      <c r="O1143">
        <v>9.64</v>
      </c>
      <c r="P1143">
        <v>9.43</v>
      </c>
      <c r="Q1143">
        <v>9.47</v>
      </c>
      <c r="R1143">
        <v>9.47</v>
      </c>
      <c r="S1143">
        <v>2.22</v>
      </c>
      <c r="T1143">
        <v>0.84</v>
      </c>
      <c r="U1143">
        <v>-34.12</v>
      </c>
      <c r="V1143">
        <v>-5504</v>
      </c>
      <c r="W1143">
        <v>9.57</v>
      </c>
      <c r="X1143" t="s">
        <v>4221</v>
      </c>
      <c r="Y1143" t="s">
        <v>4369</v>
      </c>
      <c r="Z1143">
        <v>0.66</v>
      </c>
      <c r="AA1143">
        <v>135</v>
      </c>
      <c r="AB1143">
        <v>546</v>
      </c>
      <c r="AC1143">
        <v>0.52</v>
      </c>
      <c r="AD1143" t="s">
        <v>4000</v>
      </c>
      <c r="AE1143" t="s">
        <v>6300</v>
      </c>
      <c r="AF1143" t="s">
        <v>7550</v>
      </c>
      <c r="AG1143" t="s">
        <v>7551</v>
      </c>
      <c r="AH1143">
        <v>-0.83</v>
      </c>
      <c r="AI1143">
        <v>-2.34</v>
      </c>
      <c r="AJ1143">
        <v>2.18</v>
      </c>
      <c r="AK1143">
        <v>4.6</v>
      </c>
      <c r="AL1143">
        <v>2</v>
      </c>
      <c r="AM1143">
        <v>1.48</v>
      </c>
      <c r="AN1143">
        <v>-25.21</v>
      </c>
      <c r="AO1143">
        <v>-0.41</v>
      </c>
      <c r="AP1143">
        <v>-24.75</v>
      </c>
    </row>
    <row r="1144" spans="1:42">
      <c r="A1144">
        <v>1143</v>
      </c>
      <c r="B1144" t="str">
        <f>"300338"</f>
        <v>300338</v>
      </c>
      <c r="C1144" t="s">
        <v>7552</v>
      </c>
      <c r="D1144">
        <v>5.12</v>
      </c>
      <c r="E1144">
        <v>3.64</v>
      </c>
      <c r="F1144">
        <v>0.18</v>
      </c>
      <c r="G1144" t="s">
        <v>1157</v>
      </c>
      <c r="H1144">
        <v>4362</v>
      </c>
      <c r="I1144">
        <v>5.12</v>
      </c>
      <c r="J1144">
        <v>5.13</v>
      </c>
      <c r="K1144" t="s">
        <v>2549</v>
      </c>
      <c r="L1144">
        <v>11.54</v>
      </c>
      <c r="M1144" t="s">
        <v>46</v>
      </c>
      <c r="N1144" t="s">
        <v>4921</v>
      </c>
      <c r="O1144">
        <v>5.39</v>
      </c>
      <c r="P1144">
        <v>4.97</v>
      </c>
      <c r="Q1144">
        <v>5.05</v>
      </c>
      <c r="R1144">
        <v>4.94</v>
      </c>
      <c r="S1144">
        <v>8.5</v>
      </c>
      <c r="T1144">
        <v>1.63</v>
      </c>
      <c r="U1144">
        <v>-7.23</v>
      </c>
      <c r="V1144">
        <v>-747</v>
      </c>
      <c r="W1144">
        <v>5.12</v>
      </c>
      <c r="X1144" t="s">
        <v>561</v>
      </c>
      <c r="Y1144" t="s">
        <v>2382</v>
      </c>
      <c r="Z1144">
        <v>0.85</v>
      </c>
      <c r="AA1144">
        <v>801</v>
      </c>
      <c r="AB1144">
        <v>19</v>
      </c>
      <c r="AC1144">
        <v>18.28</v>
      </c>
      <c r="AD1144" t="s">
        <v>7553</v>
      </c>
      <c r="AE1144" t="s">
        <v>7554</v>
      </c>
      <c r="AF1144" t="s">
        <v>7555</v>
      </c>
      <c r="AG1144" t="s">
        <v>7556</v>
      </c>
      <c r="AH1144">
        <v>7.79</v>
      </c>
      <c r="AI1144">
        <v>4.92</v>
      </c>
      <c r="AJ1144">
        <v>37.79</v>
      </c>
      <c r="AK1144">
        <v>46.97</v>
      </c>
      <c r="AL1144">
        <v>1</v>
      </c>
      <c r="AM1144">
        <v>3.64</v>
      </c>
      <c r="AN1144">
        <v>14.29</v>
      </c>
      <c r="AO1144">
        <v>19.07</v>
      </c>
      <c r="AP1144">
        <v>0.2</v>
      </c>
    </row>
    <row r="1145" spans="1:42">
      <c r="A1145">
        <v>1144</v>
      </c>
      <c r="B1145" t="str">
        <f>"000921"</f>
        <v>000921</v>
      </c>
      <c r="C1145" t="s">
        <v>7557</v>
      </c>
      <c r="D1145">
        <v>21.81</v>
      </c>
      <c r="E1145">
        <v>-0.91</v>
      </c>
      <c r="F1145">
        <v>-0.2</v>
      </c>
      <c r="G1145" t="s">
        <v>5741</v>
      </c>
      <c r="H1145">
        <v>396</v>
      </c>
      <c r="I1145">
        <v>21.8</v>
      </c>
      <c r="J1145">
        <v>21.81</v>
      </c>
      <c r="K1145" t="s">
        <v>2549</v>
      </c>
      <c r="L1145">
        <v>0.92</v>
      </c>
      <c r="M1145" t="s">
        <v>46</v>
      </c>
      <c r="N1145" t="s">
        <v>7558</v>
      </c>
      <c r="O1145">
        <v>22.16</v>
      </c>
      <c r="P1145">
        <v>21.41</v>
      </c>
      <c r="Q1145">
        <v>22.1</v>
      </c>
      <c r="R1145">
        <v>22.01</v>
      </c>
      <c r="S1145">
        <v>3.41</v>
      </c>
      <c r="T1145">
        <v>1.91</v>
      </c>
      <c r="U1145">
        <v>49.29</v>
      </c>
      <c r="V1145">
        <v>173</v>
      </c>
      <c r="W1145">
        <v>21.73</v>
      </c>
      <c r="X1145" t="s">
        <v>456</v>
      </c>
      <c r="Y1145" t="s">
        <v>2973</v>
      </c>
      <c r="Z1145">
        <v>1.12</v>
      </c>
      <c r="AA1145">
        <v>141</v>
      </c>
      <c r="AB1145">
        <v>25</v>
      </c>
      <c r="AC1145">
        <v>2.29</v>
      </c>
      <c r="AD1145" t="s">
        <v>7559</v>
      </c>
      <c r="AE1145" t="s">
        <v>7560</v>
      </c>
      <c r="AF1145" t="s">
        <v>7561</v>
      </c>
      <c r="AG1145" t="s">
        <v>7562</v>
      </c>
      <c r="AH1145">
        <v>-4.34</v>
      </c>
      <c r="AI1145">
        <v>-5.3</v>
      </c>
      <c r="AJ1145">
        <v>2.01</v>
      </c>
      <c r="AK1145">
        <v>3.32</v>
      </c>
      <c r="AL1145">
        <v>-5</v>
      </c>
      <c r="AM1145">
        <v>-0.91</v>
      </c>
      <c r="AN1145">
        <v>72.41</v>
      </c>
      <c r="AO1145">
        <v>-5.99</v>
      </c>
      <c r="AP1145">
        <v>84.52</v>
      </c>
    </row>
    <row r="1146" spans="1:42">
      <c r="A1146">
        <v>1145</v>
      </c>
      <c r="B1146" t="str">
        <f>"601077"</f>
        <v>601077</v>
      </c>
      <c r="C1146" t="s">
        <v>7563</v>
      </c>
      <c r="D1146">
        <v>4.1</v>
      </c>
      <c r="E1146">
        <v>0.74</v>
      </c>
      <c r="F1146">
        <v>0.03</v>
      </c>
      <c r="G1146" t="s">
        <v>253</v>
      </c>
      <c r="H1146">
        <v>2539</v>
      </c>
      <c r="I1146">
        <v>4.09</v>
      </c>
      <c r="J1146">
        <v>4.1</v>
      </c>
      <c r="K1146" t="s">
        <v>2549</v>
      </c>
      <c r="L1146">
        <v>0.5</v>
      </c>
      <c r="M1146" t="s">
        <v>46</v>
      </c>
      <c r="N1146" t="s">
        <v>615</v>
      </c>
      <c r="O1146">
        <v>4.11</v>
      </c>
      <c r="P1146">
        <v>4.06</v>
      </c>
      <c r="Q1146">
        <v>4.07</v>
      </c>
      <c r="R1146">
        <v>4.07</v>
      </c>
      <c r="S1146">
        <v>1.23</v>
      </c>
      <c r="T1146">
        <v>0.98</v>
      </c>
      <c r="U1146">
        <v>-31.54</v>
      </c>
      <c r="V1146" t="s">
        <v>7564</v>
      </c>
      <c r="W1146">
        <v>4.09</v>
      </c>
      <c r="X1146" t="s">
        <v>99</v>
      </c>
      <c r="Y1146" t="s">
        <v>1411</v>
      </c>
      <c r="Z1146">
        <v>0.73</v>
      </c>
      <c r="AA1146" t="s">
        <v>905</v>
      </c>
      <c r="AB1146">
        <v>115</v>
      </c>
      <c r="AC1146">
        <v>0.41</v>
      </c>
      <c r="AD1146" t="s">
        <v>7565</v>
      </c>
      <c r="AE1146" t="s">
        <v>7566</v>
      </c>
      <c r="AF1146" t="s">
        <v>7567</v>
      </c>
      <c r="AG1146" t="s">
        <v>7568</v>
      </c>
      <c r="AH1146">
        <v>1.23</v>
      </c>
      <c r="AI1146">
        <v>1.74</v>
      </c>
      <c r="AJ1146">
        <v>1.27</v>
      </c>
      <c r="AK1146">
        <v>3.04</v>
      </c>
      <c r="AL1146">
        <v>2</v>
      </c>
      <c r="AM1146">
        <v>0.74</v>
      </c>
      <c r="AN1146">
        <v>25.77</v>
      </c>
      <c r="AO1146">
        <v>-0.73</v>
      </c>
      <c r="AP1146">
        <v>26.15</v>
      </c>
    </row>
    <row r="1147" spans="1:42">
      <c r="A1147">
        <v>1146</v>
      </c>
      <c r="B1147" t="str">
        <f>"688050"</f>
        <v>688050</v>
      </c>
      <c r="C1147" t="s">
        <v>7569</v>
      </c>
      <c r="D1147">
        <v>196.5</v>
      </c>
      <c r="E1147">
        <v>0.43</v>
      </c>
      <c r="F1147">
        <v>0.85</v>
      </c>
      <c r="G1147">
        <v>9181</v>
      </c>
      <c r="H1147">
        <v>22</v>
      </c>
      <c r="I1147">
        <v>196.05</v>
      </c>
      <c r="J1147">
        <v>196.5</v>
      </c>
      <c r="K1147" t="s">
        <v>2549</v>
      </c>
      <c r="L1147">
        <v>0.87</v>
      </c>
      <c r="M1147" t="s">
        <v>46</v>
      </c>
      <c r="N1147" t="s">
        <v>7570</v>
      </c>
      <c r="O1147">
        <v>198</v>
      </c>
      <c r="P1147">
        <v>193.1</v>
      </c>
      <c r="Q1147">
        <v>194.88</v>
      </c>
      <c r="R1147">
        <v>195.65</v>
      </c>
      <c r="S1147">
        <v>2.5</v>
      </c>
      <c r="T1147">
        <v>1.22</v>
      </c>
      <c r="U1147">
        <v>8.45</v>
      </c>
      <c r="V1147">
        <v>3</v>
      </c>
      <c r="W1147">
        <v>195.85</v>
      </c>
      <c r="X1147">
        <v>4708</v>
      </c>
      <c r="Y1147">
        <v>4473</v>
      </c>
      <c r="Z1147">
        <v>1.05</v>
      </c>
      <c r="AA1147">
        <v>5</v>
      </c>
      <c r="AB1147">
        <v>1</v>
      </c>
      <c r="AC1147">
        <v>9.96</v>
      </c>
      <c r="AD1147" t="s">
        <v>7571</v>
      </c>
      <c r="AE1147" t="s">
        <v>7572</v>
      </c>
      <c r="AF1147" t="s">
        <v>7571</v>
      </c>
      <c r="AG1147" t="s">
        <v>7572</v>
      </c>
      <c r="AH1147">
        <v>1.47</v>
      </c>
      <c r="AI1147">
        <v>7.41</v>
      </c>
      <c r="AJ1147">
        <v>2.35</v>
      </c>
      <c r="AK1147">
        <v>4.44</v>
      </c>
      <c r="AL1147">
        <v>2</v>
      </c>
      <c r="AM1147">
        <v>0.43</v>
      </c>
      <c r="AN1147">
        <v>-14.64</v>
      </c>
      <c r="AO1147">
        <v>8.95</v>
      </c>
      <c r="AP1147">
        <v>-8.47</v>
      </c>
    </row>
    <row r="1148" spans="1:42">
      <c r="A1148">
        <v>1147</v>
      </c>
      <c r="B1148" t="str">
        <f>"600797"</f>
        <v>600797</v>
      </c>
      <c r="C1148" t="s">
        <v>7573</v>
      </c>
      <c r="D1148">
        <v>6.93</v>
      </c>
      <c r="E1148">
        <v>3.13</v>
      </c>
      <c r="F1148">
        <v>0.21</v>
      </c>
      <c r="G1148" t="s">
        <v>721</v>
      </c>
      <c r="H1148">
        <v>2712</v>
      </c>
      <c r="I1148">
        <v>6.92</v>
      </c>
      <c r="J1148">
        <v>6.93</v>
      </c>
      <c r="K1148" t="s">
        <v>2549</v>
      </c>
      <c r="L1148">
        <v>2.55</v>
      </c>
      <c r="M1148" t="s">
        <v>46</v>
      </c>
      <c r="N1148" t="s">
        <v>7574</v>
      </c>
      <c r="O1148">
        <v>6.95</v>
      </c>
      <c r="P1148">
        <v>6.68</v>
      </c>
      <c r="Q1148">
        <v>6.72</v>
      </c>
      <c r="R1148">
        <v>6.72</v>
      </c>
      <c r="S1148">
        <v>4.02</v>
      </c>
      <c r="T1148">
        <v>1.15</v>
      </c>
      <c r="U1148">
        <v>-21.91</v>
      </c>
      <c r="V1148">
        <v>-3896</v>
      </c>
      <c r="W1148">
        <v>6.85</v>
      </c>
      <c r="X1148" t="s">
        <v>740</v>
      </c>
      <c r="Y1148" t="s">
        <v>5021</v>
      </c>
      <c r="Z1148">
        <v>0.66</v>
      </c>
      <c r="AA1148">
        <v>1729</v>
      </c>
      <c r="AB1148">
        <v>1050</v>
      </c>
      <c r="AC1148">
        <v>2.15</v>
      </c>
      <c r="AD1148" t="s">
        <v>304</v>
      </c>
      <c r="AE1148" t="s">
        <v>7575</v>
      </c>
      <c r="AF1148" t="s">
        <v>304</v>
      </c>
      <c r="AG1148" t="s">
        <v>7575</v>
      </c>
      <c r="AH1148">
        <v>1.46</v>
      </c>
      <c r="AI1148">
        <v>-0.14</v>
      </c>
      <c r="AJ1148">
        <v>6.03</v>
      </c>
      <c r="AK1148">
        <v>13.69</v>
      </c>
      <c r="AL1148">
        <v>1</v>
      </c>
      <c r="AM1148">
        <v>3.13</v>
      </c>
      <c r="AN1148">
        <v>19.07</v>
      </c>
      <c r="AO1148">
        <v>5.8</v>
      </c>
      <c r="AP1148">
        <v>11.24</v>
      </c>
    </row>
    <row r="1149" spans="1:42">
      <c r="A1149">
        <v>1148</v>
      </c>
      <c r="B1149" t="str">
        <f>"600346"</f>
        <v>600346</v>
      </c>
      <c r="C1149" t="s">
        <v>7576</v>
      </c>
      <c r="D1149">
        <v>13.68</v>
      </c>
      <c r="E1149">
        <v>-2.49</v>
      </c>
      <c r="F1149">
        <v>-0.35</v>
      </c>
      <c r="G1149" t="s">
        <v>1987</v>
      </c>
      <c r="H1149">
        <v>2321</v>
      </c>
      <c r="I1149">
        <v>13.67</v>
      </c>
      <c r="J1149">
        <v>13.68</v>
      </c>
      <c r="K1149" t="s">
        <v>2549</v>
      </c>
      <c r="L1149">
        <v>0.19</v>
      </c>
      <c r="M1149" t="s">
        <v>46</v>
      </c>
      <c r="N1149" t="s">
        <v>7577</v>
      </c>
      <c r="O1149">
        <v>14.08</v>
      </c>
      <c r="P1149">
        <v>13.63</v>
      </c>
      <c r="Q1149">
        <v>14.05</v>
      </c>
      <c r="R1149">
        <v>14.03</v>
      </c>
      <c r="S1149">
        <v>3.21</v>
      </c>
      <c r="T1149">
        <v>1.61</v>
      </c>
      <c r="U1149">
        <v>33.33</v>
      </c>
      <c r="V1149">
        <v>1039</v>
      </c>
      <c r="W1149">
        <v>13.77</v>
      </c>
      <c r="X1149" t="s">
        <v>6355</v>
      </c>
      <c r="Y1149" t="s">
        <v>777</v>
      </c>
      <c r="Z1149">
        <v>2.04</v>
      </c>
      <c r="AA1149">
        <v>560</v>
      </c>
      <c r="AB1149">
        <v>114</v>
      </c>
      <c r="AC1149">
        <v>1.64</v>
      </c>
      <c r="AD1149" t="s">
        <v>7578</v>
      </c>
      <c r="AE1149" t="s">
        <v>7579</v>
      </c>
      <c r="AF1149" t="s">
        <v>7578</v>
      </c>
      <c r="AG1149" t="s">
        <v>7579</v>
      </c>
      <c r="AH1149">
        <v>-2.56</v>
      </c>
      <c r="AI1149">
        <v>-2.15</v>
      </c>
      <c r="AJ1149">
        <v>0.41</v>
      </c>
      <c r="AK1149">
        <v>0.76</v>
      </c>
      <c r="AL1149">
        <v>-1</v>
      </c>
      <c r="AM1149">
        <v>-2.49</v>
      </c>
      <c r="AN1149">
        <v>-11.91</v>
      </c>
      <c r="AO1149">
        <v>-6.81</v>
      </c>
      <c r="AP1149">
        <v>-16.23</v>
      </c>
    </row>
    <row r="1150" spans="1:42">
      <c r="A1150">
        <v>1149</v>
      </c>
      <c r="B1150" t="str">
        <f>"000423"</f>
        <v>000423</v>
      </c>
      <c r="C1150" t="s">
        <v>7580</v>
      </c>
      <c r="D1150">
        <v>50.92</v>
      </c>
      <c r="E1150">
        <v>1.03</v>
      </c>
      <c r="F1150">
        <v>0.52</v>
      </c>
      <c r="G1150" t="s">
        <v>4527</v>
      </c>
      <c r="H1150">
        <v>267</v>
      </c>
      <c r="I1150">
        <v>50.92</v>
      </c>
      <c r="J1150">
        <v>50.99</v>
      </c>
      <c r="K1150" t="s">
        <v>3757</v>
      </c>
      <c r="L1150">
        <v>0.55</v>
      </c>
      <c r="M1150" t="s">
        <v>46</v>
      </c>
      <c r="N1150" t="s">
        <v>5950</v>
      </c>
      <c r="O1150">
        <v>51.5</v>
      </c>
      <c r="P1150">
        <v>50.27</v>
      </c>
      <c r="Q1150">
        <v>50.62</v>
      </c>
      <c r="R1150">
        <v>50.4</v>
      </c>
      <c r="S1150">
        <v>2.44</v>
      </c>
      <c r="T1150">
        <v>1.12</v>
      </c>
      <c r="U1150">
        <v>-46.09</v>
      </c>
      <c r="V1150">
        <v>-119</v>
      </c>
      <c r="W1150">
        <v>50.93</v>
      </c>
      <c r="X1150" t="s">
        <v>432</v>
      </c>
      <c r="Y1150" t="s">
        <v>1456</v>
      </c>
      <c r="Z1150">
        <v>1.05</v>
      </c>
      <c r="AA1150">
        <v>10</v>
      </c>
      <c r="AB1150">
        <v>18</v>
      </c>
      <c r="AC1150">
        <v>3.17</v>
      </c>
      <c r="AD1150" t="s">
        <v>7581</v>
      </c>
      <c r="AE1150" t="s">
        <v>7582</v>
      </c>
      <c r="AF1150" t="s">
        <v>7581</v>
      </c>
      <c r="AG1150" t="s">
        <v>7582</v>
      </c>
      <c r="AH1150">
        <v>0.89</v>
      </c>
      <c r="AI1150">
        <v>2.08</v>
      </c>
      <c r="AJ1150">
        <v>1.47</v>
      </c>
      <c r="AK1150">
        <v>2.99</v>
      </c>
      <c r="AL1150">
        <v>2</v>
      </c>
      <c r="AM1150">
        <v>1.03</v>
      </c>
      <c r="AN1150">
        <v>28.85</v>
      </c>
      <c r="AO1150">
        <v>9.6</v>
      </c>
      <c r="AP1150">
        <v>40.97</v>
      </c>
    </row>
    <row r="1151" spans="1:42">
      <c r="A1151">
        <v>1150</v>
      </c>
      <c r="B1151" t="str">
        <f>"600814"</f>
        <v>600814</v>
      </c>
      <c r="C1151" t="s">
        <v>7583</v>
      </c>
      <c r="D1151">
        <v>7.6</v>
      </c>
      <c r="E1151">
        <v>-2.44</v>
      </c>
      <c r="F1151">
        <v>-0.19</v>
      </c>
      <c r="G1151" t="s">
        <v>351</v>
      </c>
      <c r="H1151">
        <v>4739</v>
      </c>
      <c r="I1151">
        <v>7.6</v>
      </c>
      <c r="J1151">
        <v>7.61</v>
      </c>
      <c r="K1151" t="s">
        <v>3757</v>
      </c>
      <c r="L1151">
        <v>3.25</v>
      </c>
      <c r="M1151" t="s">
        <v>46</v>
      </c>
      <c r="N1151" t="s">
        <v>7188</v>
      </c>
      <c r="O1151">
        <v>7.83</v>
      </c>
      <c r="P1151">
        <v>7.6</v>
      </c>
      <c r="Q1151">
        <v>7.77</v>
      </c>
      <c r="R1151">
        <v>7.79</v>
      </c>
      <c r="S1151">
        <v>2.95</v>
      </c>
      <c r="T1151">
        <v>0.64</v>
      </c>
      <c r="U1151">
        <v>23.94</v>
      </c>
      <c r="V1151">
        <v>2298</v>
      </c>
      <c r="W1151">
        <v>7.68</v>
      </c>
      <c r="X1151" t="s">
        <v>44</v>
      </c>
      <c r="Y1151" t="s">
        <v>646</v>
      </c>
      <c r="Z1151">
        <v>1.61</v>
      </c>
      <c r="AA1151">
        <v>1673</v>
      </c>
      <c r="AB1151">
        <v>103</v>
      </c>
      <c r="AC1151">
        <v>1.62</v>
      </c>
      <c r="AD1151" t="s">
        <v>7584</v>
      </c>
      <c r="AE1151" t="s">
        <v>6163</v>
      </c>
      <c r="AF1151" t="s">
        <v>7585</v>
      </c>
      <c r="AG1151" t="s">
        <v>7586</v>
      </c>
      <c r="AH1151">
        <v>-6.86</v>
      </c>
      <c r="AI1151">
        <v>1.2</v>
      </c>
      <c r="AJ1151">
        <v>12.22</v>
      </c>
      <c r="AK1151">
        <v>28.75</v>
      </c>
      <c r="AL1151">
        <v>-3</v>
      </c>
      <c r="AM1151">
        <v>-2.44</v>
      </c>
      <c r="AN1151">
        <v>4.68</v>
      </c>
      <c r="AO1151">
        <v>7.5</v>
      </c>
      <c r="AP1151">
        <v>16.03</v>
      </c>
    </row>
    <row r="1152" spans="1:42">
      <c r="A1152">
        <v>1151</v>
      </c>
      <c r="B1152" t="str">
        <f>"300773"</f>
        <v>300773</v>
      </c>
      <c r="C1152" t="s">
        <v>7587</v>
      </c>
      <c r="D1152">
        <v>17.2</v>
      </c>
      <c r="E1152">
        <v>2.5</v>
      </c>
      <c r="F1152">
        <v>0.42</v>
      </c>
      <c r="G1152" t="s">
        <v>881</v>
      </c>
      <c r="H1152">
        <v>1261</v>
      </c>
      <c r="I1152">
        <v>17.2</v>
      </c>
      <c r="J1152">
        <v>17.21</v>
      </c>
      <c r="K1152" t="s">
        <v>7588</v>
      </c>
      <c r="L1152">
        <v>1.42</v>
      </c>
      <c r="M1152" t="s">
        <v>46</v>
      </c>
      <c r="N1152" t="s">
        <v>7589</v>
      </c>
      <c r="O1152">
        <v>17.36</v>
      </c>
      <c r="P1152">
        <v>16.73</v>
      </c>
      <c r="Q1152">
        <v>16.85</v>
      </c>
      <c r="R1152">
        <v>16.78</v>
      </c>
      <c r="S1152">
        <v>3.75</v>
      </c>
      <c r="T1152">
        <v>1.15</v>
      </c>
      <c r="U1152">
        <v>-17.35</v>
      </c>
      <c r="V1152">
        <v>-519</v>
      </c>
      <c r="W1152">
        <v>17.05</v>
      </c>
      <c r="X1152" t="s">
        <v>4724</v>
      </c>
      <c r="Y1152" t="s">
        <v>5010</v>
      </c>
      <c r="Z1152">
        <v>0.63</v>
      </c>
      <c r="AA1152">
        <v>46</v>
      </c>
      <c r="AB1152">
        <v>385</v>
      </c>
      <c r="AC1152">
        <v>3.52</v>
      </c>
      <c r="AD1152" t="s">
        <v>7590</v>
      </c>
      <c r="AE1152" t="s">
        <v>7591</v>
      </c>
      <c r="AF1152" t="s">
        <v>7592</v>
      </c>
      <c r="AG1152" t="s">
        <v>7593</v>
      </c>
      <c r="AH1152">
        <v>0.47</v>
      </c>
      <c r="AI1152">
        <v>-2.55</v>
      </c>
      <c r="AJ1152">
        <v>3.44</v>
      </c>
      <c r="AK1152">
        <v>7.62</v>
      </c>
      <c r="AL1152">
        <v>1</v>
      </c>
      <c r="AM1152">
        <v>2.5</v>
      </c>
      <c r="AN1152">
        <v>1.9</v>
      </c>
      <c r="AO1152">
        <v>-0.46</v>
      </c>
      <c r="AP1152">
        <v>16.93</v>
      </c>
    </row>
    <row r="1153" spans="1:42">
      <c r="A1153">
        <v>1152</v>
      </c>
      <c r="B1153" t="str">
        <f>"600160"</f>
        <v>600160</v>
      </c>
      <c r="C1153" t="s">
        <v>7594</v>
      </c>
      <c r="D1153">
        <v>15.87</v>
      </c>
      <c r="E1153">
        <v>-0.13</v>
      </c>
      <c r="F1153">
        <v>-0.02</v>
      </c>
      <c r="G1153" t="s">
        <v>262</v>
      </c>
      <c r="H1153">
        <v>609</v>
      </c>
      <c r="I1153">
        <v>15.87</v>
      </c>
      <c r="J1153">
        <v>15.88</v>
      </c>
      <c r="K1153" t="s">
        <v>7588</v>
      </c>
      <c r="L1153">
        <v>0.42</v>
      </c>
      <c r="M1153" t="s">
        <v>46</v>
      </c>
      <c r="N1153" t="s">
        <v>2010</v>
      </c>
      <c r="O1153">
        <v>15.91</v>
      </c>
      <c r="P1153">
        <v>15.67</v>
      </c>
      <c r="Q1153">
        <v>15.91</v>
      </c>
      <c r="R1153">
        <v>15.89</v>
      </c>
      <c r="S1153">
        <v>1.51</v>
      </c>
      <c r="T1153">
        <v>0.81</v>
      </c>
      <c r="U1153">
        <v>-53.9</v>
      </c>
      <c r="V1153">
        <v>-1179</v>
      </c>
      <c r="W1153">
        <v>15.8</v>
      </c>
      <c r="X1153" t="s">
        <v>7068</v>
      </c>
      <c r="Y1153" t="s">
        <v>523</v>
      </c>
      <c r="Z1153">
        <v>0.89</v>
      </c>
      <c r="AA1153">
        <v>27</v>
      </c>
      <c r="AB1153">
        <v>50</v>
      </c>
      <c r="AC1153">
        <v>2.76</v>
      </c>
      <c r="AD1153" t="s">
        <v>7595</v>
      </c>
      <c r="AE1153" t="s">
        <v>7596</v>
      </c>
      <c r="AF1153" t="s">
        <v>7595</v>
      </c>
      <c r="AG1153" t="s">
        <v>7596</v>
      </c>
      <c r="AH1153">
        <v>-1.79</v>
      </c>
      <c r="AI1153">
        <v>-2.04</v>
      </c>
      <c r="AJ1153">
        <v>1.39</v>
      </c>
      <c r="AK1153">
        <v>3</v>
      </c>
      <c r="AL1153">
        <v>-2</v>
      </c>
      <c r="AM1153">
        <v>-0.13</v>
      </c>
      <c r="AN1153">
        <v>4.13</v>
      </c>
      <c r="AO1153">
        <v>5.52</v>
      </c>
      <c r="AP1153">
        <v>-5.65</v>
      </c>
    </row>
    <row r="1154" spans="1:42">
      <c r="A1154">
        <v>1153</v>
      </c>
      <c r="B1154" t="str">
        <f>"300253"</f>
        <v>300253</v>
      </c>
      <c r="C1154" t="s">
        <v>7597</v>
      </c>
      <c r="D1154">
        <v>7.79</v>
      </c>
      <c r="E1154">
        <v>2.64</v>
      </c>
      <c r="F1154">
        <v>0.2</v>
      </c>
      <c r="G1154" t="s">
        <v>1934</v>
      </c>
      <c r="H1154">
        <v>3118</v>
      </c>
      <c r="I1154">
        <v>7.78</v>
      </c>
      <c r="J1154">
        <v>7.79</v>
      </c>
      <c r="K1154" t="s">
        <v>7588</v>
      </c>
      <c r="L1154">
        <v>1.25</v>
      </c>
      <c r="M1154" t="s">
        <v>46</v>
      </c>
      <c r="N1154" t="s">
        <v>1511</v>
      </c>
      <c r="O1154">
        <v>7.84</v>
      </c>
      <c r="P1154">
        <v>7.58</v>
      </c>
      <c r="Q1154">
        <v>7.62</v>
      </c>
      <c r="R1154">
        <v>7.59</v>
      </c>
      <c r="S1154">
        <v>3.43</v>
      </c>
      <c r="T1154">
        <v>1.2</v>
      </c>
      <c r="U1154">
        <v>3.59</v>
      </c>
      <c r="V1154">
        <v>343</v>
      </c>
      <c r="W1154">
        <v>7.71</v>
      </c>
      <c r="X1154" t="s">
        <v>881</v>
      </c>
      <c r="Y1154" t="s">
        <v>1986</v>
      </c>
      <c r="Z1154">
        <v>0.84</v>
      </c>
      <c r="AA1154">
        <v>1110</v>
      </c>
      <c r="AB1154">
        <v>926</v>
      </c>
      <c r="AC1154">
        <v>3.2</v>
      </c>
      <c r="AD1154" t="s">
        <v>4311</v>
      </c>
      <c r="AE1154" t="s">
        <v>7598</v>
      </c>
      <c r="AF1154" t="s">
        <v>7599</v>
      </c>
      <c r="AG1154" t="s">
        <v>5331</v>
      </c>
      <c r="AH1154">
        <v>0.13</v>
      </c>
      <c r="AI1154">
        <v>-2.75</v>
      </c>
      <c r="AJ1154">
        <v>3.09</v>
      </c>
      <c r="AK1154">
        <v>6.46</v>
      </c>
      <c r="AL1154">
        <v>1</v>
      </c>
      <c r="AM1154">
        <v>2.64</v>
      </c>
      <c r="AN1154">
        <v>-24.15</v>
      </c>
      <c r="AO1154">
        <v>3.45</v>
      </c>
      <c r="AP1154">
        <v>-18.09</v>
      </c>
    </row>
    <row r="1155" spans="1:42">
      <c r="A1155">
        <v>1154</v>
      </c>
      <c r="B1155" t="str">
        <f>"000828"</f>
        <v>000828</v>
      </c>
      <c r="C1155" t="s">
        <v>7600</v>
      </c>
      <c r="D1155">
        <v>10.72</v>
      </c>
      <c r="E1155">
        <v>0.85</v>
      </c>
      <c r="F1155">
        <v>0.09</v>
      </c>
      <c r="G1155" t="s">
        <v>2778</v>
      </c>
      <c r="H1155">
        <v>3193</v>
      </c>
      <c r="I1155">
        <v>10.71</v>
      </c>
      <c r="J1155">
        <v>10.72</v>
      </c>
      <c r="K1155" t="s">
        <v>7588</v>
      </c>
      <c r="L1155">
        <v>1.6</v>
      </c>
      <c r="M1155" t="s">
        <v>46</v>
      </c>
      <c r="N1155" t="s">
        <v>1311</v>
      </c>
      <c r="O1155">
        <v>10.76</v>
      </c>
      <c r="P1155">
        <v>10.58</v>
      </c>
      <c r="Q1155">
        <v>10.66</v>
      </c>
      <c r="R1155">
        <v>10.63</v>
      </c>
      <c r="S1155">
        <v>1.69</v>
      </c>
      <c r="T1155">
        <v>0.84</v>
      </c>
      <c r="U1155">
        <v>-4.8</v>
      </c>
      <c r="V1155">
        <v>-674</v>
      </c>
      <c r="W1155">
        <v>10.7</v>
      </c>
      <c r="X1155" t="s">
        <v>7498</v>
      </c>
      <c r="Y1155" t="s">
        <v>3201</v>
      </c>
      <c r="Z1155">
        <v>1.18</v>
      </c>
      <c r="AA1155">
        <v>829</v>
      </c>
      <c r="AB1155">
        <v>988</v>
      </c>
      <c r="AC1155">
        <v>1.18</v>
      </c>
      <c r="AD1155" t="s">
        <v>2460</v>
      </c>
      <c r="AE1155" t="s">
        <v>7601</v>
      </c>
      <c r="AF1155" t="s">
        <v>2460</v>
      </c>
      <c r="AG1155" t="s">
        <v>7601</v>
      </c>
      <c r="AH1155">
        <v>0.19</v>
      </c>
      <c r="AI1155">
        <v>-2.99</v>
      </c>
      <c r="AJ1155">
        <v>5.14</v>
      </c>
      <c r="AK1155">
        <v>11.1</v>
      </c>
      <c r="AL1155">
        <v>2</v>
      </c>
      <c r="AM1155">
        <v>0.85</v>
      </c>
      <c r="AN1155">
        <v>22.94</v>
      </c>
      <c r="AO1155">
        <v>18.85</v>
      </c>
      <c r="AP1155">
        <v>19.64</v>
      </c>
    </row>
    <row r="1156" spans="1:42">
      <c r="A1156">
        <v>1155</v>
      </c>
      <c r="B1156" t="str">
        <f>"300676"</f>
        <v>300676</v>
      </c>
      <c r="C1156" t="s">
        <v>7602</v>
      </c>
      <c r="D1156">
        <v>51.68</v>
      </c>
      <c r="E1156">
        <v>0.72</v>
      </c>
      <c r="F1156">
        <v>0.37</v>
      </c>
      <c r="G1156" t="s">
        <v>7058</v>
      </c>
      <c r="H1156">
        <v>343</v>
      </c>
      <c r="I1156">
        <v>51.68</v>
      </c>
      <c r="J1156">
        <v>51.7</v>
      </c>
      <c r="K1156" t="s">
        <v>7588</v>
      </c>
      <c r="L1156">
        <v>0.83</v>
      </c>
      <c r="M1156" t="s">
        <v>46</v>
      </c>
      <c r="N1156" t="s">
        <v>6112</v>
      </c>
      <c r="O1156">
        <v>53</v>
      </c>
      <c r="P1156">
        <v>51.29</v>
      </c>
      <c r="Q1156">
        <v>51.32</v>
      </c>
      <c r="R1156">
        <v>51.31</v>
      </c>
      <c r="S1156">
        <v>3.33</v>
      </c>
      <c r="T1156">
        <v>0.97</v>
      </c>
      <c r="U1156">
        <v>0</v>
      </c>
      <c r="V1156">
        <v>0</v>
      </c>
      <c r="W1156">
        <v>51.95</v>
      </c>
      <c r="X1156" t="s">
        <v>1072</v>
      </c>
      <c r="Y1156" t="s">
        <v>5951</v>
      </c>
      <c r="Z1156">
        <v>1.2</v>
      </c>
      <c r="AA1156">
        <v>66</v>
      </c>
      <c r="AB1156">
        <v>5</v>
      </c>
      <c r="AC1156">
        <v>2.15</v>
      </c>
      <c r="AD1156" t="s">
        <v>7023</v>
      </c>
      <c r="AE1156" t="s">
        <v>789</v>
      </c>
      <c r="AF1156" t="s">
        <v>7603</v>
      </c>
      <c r="AG1156" t="s">
        <v>1228</v>
      </c>
      <c r="AH1156">
        <v>-1.2</v>
      </c>
      <c r="AI1156">
        <v>-2.82</v>
      </c>
      <c r="AJ1156">
        <v>2.04</v>
      </c>
      <c r="AK1156">
        <v>5.11</v>
      </c>
      <c r="AL1156">
        <v>1</v>
      </c>
      <c r="AM1156">
        <v>0.72</v>
      </c>
      <c r="AN1156">
        <v>1.95</v>
      </c>
      <c r="AO1156">
        <v>4.45</v>
      </c>
      <c r="AP1156">
        <v>-12.73</v>
      </c>
    </row>
    <row r="1157" spans="1:42">
      <c r="A1157">
        <v>1156</v>
      </c>
      <c r="B1157" t="str">
        <f>"002747"</f>
        <v>002747</v>
      </c>
      <c r="C1157" t="s">
        <v>7604</v>
      </c>
      <c r="D1157">
        <v>19.1</v>
      </c>
      <c r="E1157">
        <v>-0.37</v>
      </c>
      <c r="F1157">
        <v>-0.07</v>
      </c>
      <c r="G1157" t="s">
        <v>6159</v>
      </c>
      <c r="H1157">
        <v>1787</v>
      </c>
      <c r="I1157">
        <v>19.1</v>
      </c>
      <c r="J1157">
        <v>19.11</v>
      </c>
      <c r="K1157" t="s">
        <v>7605</v>
      </c>
      <c r="L1157">
        <v>1.19</v>
      </c>
      <c r="M1157" t="s">
        <v>46</v>
      </c>
      <c r="N1157" t="s">
        <v>2404</v>
      </c>
      <c r="O1157">
        <v>19.19</v>
      </c>
      <c r="P1157">
        <v>18.82</v>
      </c>
      <c r="Q1157">
        <v>19.04</v>
      </c>
      <c r="R1157">
        <v>19.17</v>
      </c>
      <c r="S1157">
        <v>1.93</v>
      </c>
      <c r="T1157">
        <v>0.9</v>
      </c>
      <c r="U1157">
        <v>7.59</v>
      </c>
      <c r="V1157">
        <v>243</v>
      </c>
      <c r="W1157">
        <v>18.97</v>
      </c>
      <c r="X1157" t="s">
        <v>4639</v>
      </c>
      <c r="Y1157" t="s">
        <v>459</v>
      </c>
      <c r="Z1157">
        <v>1.15</v>
      </c>
      <c r="AA1157">
        <v>729</v>
      </c>
      <c r="AB1157">
        <v>215</v>
      </c>
      <c r="AC1157">
        <v>6.06</v>
      </c>
      <c r="AD1157" t="s">
        <v>7606</v>
      </c>
      <c r="AE1157" t="s">
        <v>2454</v>
      </c>
      <c r="AF1157" t="s">
        <v>7607</v>
      </c>
      <c r="AG1157" t="s">
        <v>7608</v>
      </c>
      <c r="AH1157">
        <v>-1.9</v>
      </c>
      <c r="AI1157">
        <v>-4.21</v>
      </c>
      <c r="AJ1157">
        <v>3.93</v>
      </c>
      <c r="AK1157">
        <v>7.82</v>
      </c>
      <c r="AL1157">
        <v>-4</v>
      </c>
      <c r="AM1157">
        <v>-0.37</v>
      </c>
      <c r="AN1157">
        <v>-11.78</v>
      </c>
      <c r="AO1157">
        <v>-1.85</v>
      </c>
      <c r="AP1157">
        <v>-13.69</v>
      </c>
    </row>
    <row r="1158" spans="1:42">
      <c r="A1158">
        <v>1157</v>
      </c>
      <c r="B1158" t="str">
        <f>"600587"</f>
        <v>600587</v>
      </c>
      <c r="C1158" t="s">
        <v>7609</v>
      </c>
      <c r="D1158">
        <v>26.82</v>
      </c>
      <c r="E1158">
        <v>-0.74</v>
      </c>
      <c r="F1158">
        <v>-0.2</v>
      </c>
      <c r="G1158" t="s">
        <v>5513</v>
      </c>
      <c r="H1158">
        <v>132</v>
      </c>
      <c r="I1158">
        <v>26.81</v>
      </c>
      <c r="J1158">
        <v>26.82</v>
      </c>
      <c r="K1158" t="s">
        <v>7605</v>
      </c>
      <c r="L1158">
        <v>1.49</v>
      </c>
      <c r="M1158" t="s">
        <v>46</v>
      </c>
      <c r="N1158" t="s">
        <v>7610</v>
      </c>
      <c r="O1158">
        <v>27.28</v>
      </c>
      <c r="P1158">
        <v>26.67</v>
      </c>
      <c r="Q1158">
        <v>26.9</v>
      </c>
      <c r="R1158">
        <v>27.02</v>
      </c>
      <c r="S1158">
        <v>2.26</v>
      </c>
      <c r="T1158">
        <v>0.65</v>
      </c>
      <c r="U1158">
        <v>-27.89</v>
      </c>
      <c r="V1158">
        <v>-246</v>
      </c>
      <c r="W1158">
        <v>26.87</v>
      </c>
      <c r="X1158" t="s">
        <v>6645</v>
      </c>
      <c r="Y1158" t="s">
        <v>5444</v>
      </c>
      <c r="Z1158">
        <v>1.46</v>
      </c>
      <c r="AA1158">
        <v>114</v>
      </c>
      <c r="AB1158">
        <v>54</v>
      </c>
      <c r="AC1158">
        <v>1.73</v>
      </c>
      <c r="AD1158" t="s">
        <v>7611</v>
      </c>
      <c r="AE1158" t="s">
        <v>602</v>
      </c>
      <c r="AF1158" t="s">
        <v>7612</v>
      </c>
      <c r="AG1158" t="s">
        <v>7613</v>
      </c>
      <c r="AH1158">
        <v>-1.32</v>
      </c>
      <c r="AI1158">
        <v>3.71</v>
      </c>
      <c r="AJ1158">
        <v>5.06</v>
      </c>
      <c r="AK1158">
        <v>12.94</v>
      </c>
      <c r="AL1158">
        <v>-1</v>
      </c>
      <c r="AM1158">
        <v>-0.74</v>
      </c>
      <c r="AN1158">
        <v>26.09</v>
      </c>
      <c r="AO1158">
        <v>12.55</v>
      </c>
      <c r="AP1158">
        <v>7.84</v>
      </c>
    </row>
    <row r="1159" spans="1:42">
      <c r="A1159">
        <v>1158</v>
      </c>
      <c r="B1159" t="str">
        <f>"603833"</f>
        <v>603833</v>
      </c>
      <c r="C1159" t="s">
        <v>7614</v>
      </c>
      <c r="D1159">
        <v>77.7</v>
      </c>
      <c r="E1159">
        <v>-1.65</v>
      </c>
      <c r="F1159">
        <v>-1.3</v>
      </c>
      <c r="G1159" t="s">
        <v>587</v>
      </c>
      <c r="H1159">
        <v>70</v>
      </c>
      <c r="I1159">
        <v>77.7</v>
      </c>
      <c r="J1159">
        <v>77.71</v>
      </c>
      <c r="K1159" t="s">
        <v>7605</v>
      </c>
      <c r="L1159">
        <v>0.38</v>
      </c>
      <c r="M1159" t="s">
        <v>46</v>
      </c>
      <c r="N1159" t="s">
        <v>2801</v>
      </c>
      <c r="O1159">
        <v>79.3</v>
      </c>
      <c r="P1159">
        <v>77</v>
      </c>
      <c r="Q1159">
        <v>79.13</v>
      </c>
      <c r="R1159">
        <v>79</v>
      </c>
      <c r="S1159">
        <v>2.91</v>
      </c>
      <c r="T1159">
        <v>1.7</v>
      </c>
      <c r="U1159">
        <v>63.04</v>
      </c>
      <c r="V1159">
        <v>58</v>
      </c>
      <c r="W1159">
        <v>77.59</v>
      </c>
      <c r="X1159" t="s">
        <v>218</v>
      </c>
      <c r="Y1159" t="s">
        <v>4792</v>
      </c>
      <c r="Z1159">
        <v>0.86</v>
      </c>
      <c r="AA1159">
        <v>32</v>
      </c>
      <c r="AB1159">
        <v>1</v>
      </c>
      <c r="AC1159">
        <v>2.77</v>
      </c>
      <c r="AD1159" t="s">
        <v>7615</v>
      </c>
      <c r="AE1159" t="s">
        <v>7616</v>
      </c>
      <c r="AF1159" t="s">
        <v>7615</v>
      </c>
      <c r="AG1159" t="s">
        <v>7616</v>
      </c>
      <c r="AH1159">
        <v>-3.81</v>
      </c>
      <c r="AI1159">
        <v>-5.86</v>
      </c>
      <c r="AJ1159">
        <v>0.83</v>
      </c>
      <c r="AK1159">
        <v>1.48</v>
      </c>
      <c r="AL1159">
        <v>-3</v>
      </c>
      <c r="AM1159">
        <v>-1.65</v>
      </c>
      <c r="AN1159">
        <v>-35.12</v>
      </c>
      <c r="AO1159">
        <v>-9.64</v>
      </c>
      <c r="AP1159">
        <v>-23.18</v>
      </c>
    </row>
    <row r="1160" spans="1:42">
      <c r="A1160">
        <v>1159</v>
      </c>
      <c r="B1160" t="str">
        <f>"600973"</f>
        <v>600973</v>
      </c>
      <c r="C1160" t="s">
        <v>7617</v>
      </c>
      <c r="D1160">
        <v>4.94</v>
      </c>
      <c r="E1160">
        <v>-1.98</v>
      </c>
      <c r="F1160">
        <v>-0.1</v>
      </c>
      <c r="G1160" t="s">
        <v>999</v>
      </c>
      <c r="H1160">
        <v>5942</v>
      </c>
      <c r="I1160">
        <v>4.94</v>
      </c>
      <c r="J1160">
        <v>4.95</v>
      </c>
      <c r="K1160" t="s">
        <v>7605</v>
      </c>
      <c r="L1160">
        <v>2.63</v>
      </c>
      <c r="M1160" t="s">
        <v>46</v>
      </c>
      <c r="N1160" t="s">
        <v>7618</v>
      </c>
      <c r="O1160">
        <v>4.99</v>
      </c>
      <c r="P1160">
        <v>4.8</v>
      </c>
      <c r="Q1160">
        <v>4.99</v>
      </c>
      <c r="R1160">
        <v>5.04</v>
      </c>
      <c r="S1160">
        <v>3.77</v>
      </c>
      <c r="T1160">
        <v>1.28</v>
      </c>
      <c r="U1160">
        <v>1.01</v>
      </c>
      <c r="V1160">
        <v>281</v>
      </c>
      <c r="W1160">
        <v>4.92</v>
      </c>
      <c r="X1160" t="s">
        <v>1509</v>
      </c>
      <c r="Y1160" t="s">
        <v>3155</v>
      </c>
      <c r="Z1160">
        <v>1.19</v>
      </c>
      <c r="AA1160">
        <v>4143</v>
      </c>
      <c r="AB1160">
        <v>1955</v>
      </c>
      <c r="AC1160">
        <v>1.8</v>
      </c>
      <c r="AD1160" t="s">
        <v>4971</v>
      </c>
      <c r="AE1160" t="s">
        <v>7619</v>
      </c>
      <c r="AF1160" t="s">
        <v>4971</v>
      </c>
      <c r="AG1160" t="s">
        <v>7619</v>
      </c>
      <c r="AH1160">
        <v>-5.36</v>
      </c>
      <c r="AI1160">
        <v>-4.26</v>
      </c>
      <c r="AJ1160">
        <v>7.67</v>
      </c>
      <c r="AK1160">
        <v>12.91</v>
      </c>
      <c r="AL1160">
        <v>-2</v>
      </c>
      <c r="AM1160">
        <v>-1.98</v>
      </c>
      <c r="AN1160">
        <v>3.56</v>
      </c>
      <c r="AO1160">
        <v>-2.95</v>
      </c>
      <c r="AP1160">
        <v>4.22</v>
      </c>
    </row>
    <row r="1161" spans="1:42">
      <c r="A1161">
        <v>1160</v>
      </c>
      <c r="B1161" t="str">
        <f>"002001"</f>
        <v>002001</v>
      </c>
      <c r="C1161" t="s">
        <v>7620</v>
      </c>
      <c r="D1161">
        <v>16.99</v>
      </c>
      <c r="E1161">
        <v>-0.18</v>
      </c>
      <c r="F1161">
        <v>-0.03</v>
      </c>
      <c r="G1161" t="s">
        <v>740</v>
      </c>
      <c r="H1161">
        <v>634</v>
      </c>
      <c r="I1161">
        <v>16.98</v>
      </c>
      <c r="J1161">
        <v>16.99</v>
      </c>
      <c r="K1161" t="s">
        <v>7605</v>
      </c>
      <c r="L1161">
        <v>0.34</v>
      </c>
      <c r="M1161" t="s">
        <v>46</v>
      </c>
      <c r="N1161" t="s">
        <v>1958</v>
      </c>
      <c r="O1161">
        <v>17.18</v>
      </c>
      <c r="P1161">
        <v>16.85</v>
      </c>
      <c r="Q1161">
        <v>16.99</v>
      </c>
      <c r="R1161">
        <v>17.02</v>
      </c>
      <c r="S1161">
        <v>1.94</v>
      </c>
      <c r="T1161">
        <v>0.72</v>
      </c>
      <c r="U1161">
        <v>-47.65</v>
      </c>
      <c r="V1161">
        <v>-1660</v>
      </c>
      <c r="W1161">
        <v>17</v>
      </c>
      <c r="X1161" t="s">
        <v>3737</v>
      </c>
      <c r="Y1161" t="s">
        <v>1038</v>
      </c>
      <c r="Z1161">
        <v>0.88</v>
      </c>
      <c r="AA1161">
        <v>246</v>
      </c>
      <c r="AB1161">
        <v>190</v>
      </c>
      <c r="AC1161">
        <v>2.17</v>
      </c>
      <c r="AD1161" t="s">
        <v>7621</v>
      </c>
      <c r="AE1161" t="s">
        <v>7622</v>
      </c>
      <c r="AF1161" t="s">
        <v>3646</v>
      </c>
      <c r="AG1161" t="s">
        <v>7623</v>
      </c>
      <c r="AH1161">
        <v>1.61</v>
      </c>
      <c r="AI1161">
        <v>1.8</v>
      </c>
      <c r="AJ1161">
        <v>1.25</v>
      </c>
      <c r="AK1161">
        <v>2.7</v>
      </c>
      <c r="AL1161">
        <v>-1</v>
      </c>
      <c r="AM1161">
        <v>-0.18</v>
      </c>
      <c r="AN1161">
        <v>-6.9</v>
      </c>
      <c r="AO1161">
        <v>4.88</v>
      </c>
      <c r="AP1161">
        <v>-13.67</v>
      </c>
    </row>
    <row r="1162" spans="1:42">
      <c r="A1162">
        <v>1161</v>
      </c>
      <c r="B1162" t="str">
        <f>"300959"</f>
        <v>300959</v>
      </c>
      <c r="C1162" t="s">
        <v>7624</v>
      </c>
      <c r="D1162">
        <v>39.84</v>
      </c>
      <c r="E1162">
        <v>6.72</v>
      </c>
      <c r="F1162">
        <v>2.51</v>
      </c>
      <c r="G1162" t="s">
        <v>1502</v>
      </c>
      <c r="H1162">
        <v>591</v>
      </c>
      <c r="I1162">
        <v>39.83</v>
      </c>
      <c r="J1162">
        <v>39.84</v>
      </c>
      <c r="K1162" t="s">
        <v>7605</v>
      </c>
      <c r="L1162">
        <v>12.13</v>
      </c>
      <c r="M1162" t="s">
        <v>46</v>
      </c>
      <c r="N1162" t="s">
        <v>5236</v>
      </c>
      <c r="O1162">
        <v>39.94</v>
      </c>
      <c r="P1162">
        <v>37.31</v>
      </c>
      <c r="Q1162">
        <v>37.33</v>
      </c>
      <c r="R1162">
        <v>37.33</v>
      </c>
      <c r="S1162">
        <v>7.05</v>
      </c>
      <c r="T1162">
        <v>2.35</v>
      </c>
      <c r="U1162">
        <v>-6.83</v>
      </c>
      <c r="V1162">
        <v>-44</v>
      </c>
      <c r="W1162">
        <v>39.27</v>
      </c>
      <c r="X1162" t="s">
        <v>1456</v>
      </c>
      <c r="Y1162" t="s">
        <v>3032</v>
      </c>
      <c r="Z1162">
        <v>0.62</v>
      </c>
      <c r="AA1162">
        <v>145</v>
      </c>
      <c r="AB1162">
        <v>108</v>
      </c>
      <c r="AC1162">
        <v>2.68</v>
      </c>
      <c r="AD1162" t="s">
        <v>3612</v>
      </c>
      <c r="AE1162" t="s">
        <v>2823</v>
      </c>
      <c r="AF1162" t="s">
        <v>7625</v>
      </c>
      <c r="AG1162" t="s">
        <v>623</v>
      </c>
      <c r="AH1162">
        <v>5.54</v>
      </c>
      <c r="AI1162">
        <v>1.74</v>
      </c>
      <c r="AJ1162">
        <v>19.42</v>
      </c>
      <c r="AK1162">
        <v>37.99</v>
      </c>
      <c r="AL1162">
        <v>1</v>
      </c>
      <c r="AM1162">
        <v>6.72</v>
      </c>
      <c r="AN1162">
        <v>45.19</v>
      </c>
      <c r="AO1162">
        <v>10.51</v>
      </c>
      <c r="AP1162">
        <v>22.62</v>
      </c>
    </row>
    <row r="1163" spans="1:42">
      <c r="A1163">
        <v>1162</v>
      </c>
      <c r="B1163" t="str">
        <f>"002782"</f>
        <v>002782</v>
      </c>
      <c r="C1163" t="s">
        <v>7626</v>
      </c>
      <c r="D1163">
        <v>14.54</v>
      </c>
      <c r="E1163">
        <v>1.75</v>
      </c>
      <c r="F1163">
        <v>0.25</v>
      </c>
      <c r="G1163" t="s">
        <v>447</v>
      </c>
      <c r="H1163">
        <v>1968</v>
      </c>
      <c r="I1163">
        <v>14.54</v>
      </c>
      <c r="J1163">
        <v>14.55</v>
      </c>
      <c r="K1163" t="s">
        <v>7605</v>
      </c>
      <c r="L1163">
        <v>2.48</v>
      </c>
      <c r="M1163" t="s">
        <v>46</v>
      </c>
      <c r="N1163" t="s">
        <v>7627</v>
      </c>
      <c r="O1163">
        <v>14.84</v>
      </c>
      <c r="P1163">
        <v>14.18</v>
      </c>
      <c r="Q1163">
        <v>14.4</v>
      </c>
      <c r="R1163">
        <v>14.29</v>
      </c>
      <c r="S1163">
        <v>4.62</v>
      </c>
      <c r="T1163">
        <v>0.83</v>
      </c>
      <c r="U1163">
        <v>-31.06</v>
      </c>
      <c r="V1163">
        <v>-954</v>
      </c>
      <c r="W1163">
        <v>14.55</v>
      </c>
      <c r="X1163" t="s">
        <v>1919</v>
      </c>
      <c r="Y1163" t="s">
        <v>7628</v>
      </c>
      <c r="Z1163">
        <v>0.9</v>
      </c>
      <c r="AA1163">
        <v>214</v>
      </c>
      <c r="AB1163">
        <v>247</v>
      </c>
      <c r="AC1163">
        <v>3.91</v>
      </c>
      <c r="AD1163" t="s">
        <v>7629</v>
      </c>
      <c r="AE1163" t="s">
        <v>7630</v>
      </c>
      <c r="AF1163" t="s">
        <v>7631</v>
      </c>
      <c r="AG1163" t="s">
        <v>1489</v>
      </c>
      <c r="AH1163">
        <v>-3</v>
      </c>
      <c r="AI1163">
        <v>-4.47</v>
      </c>
      <c r="AJ1163">
        <v>9.91</v>
      </c>
      <c r="AK1163">
        <v>17.47</v>
      </c>
      <c r="AL1163">
        <v>1</v>
      </c>
      <c r="AM1163">
        <v>1.75</v>
      </c>
      <c r="AN1163">
        <v>-15.17</v>
      </c>
      <c r="AO1163">
        <v>4.08</v>
      </c>
      <c r="AP1163">
        <v>-24.51</v>
      </c>
    </row>
    <row r="1164" spans="1:42">
      <c r="A1164">
        <v>1163</v>
      </c>
      <c r="B1164" t="str">
        <f>"000519"</f>
        <v>000519</v>
      </c>
      <c r="C1164" t="s">
        <v>7632</v>
      </c>
      <c r="D1164">
        <v>14.93</v>
      </c>
      <c r="E1164">
        <v>0.47</v>
      </c>
      <c r="F1164">
        <v>0.07</v>
      </c>
      <c r="G1164" t="s">
        <v>1908</v>
      </c>
      <c r="H1164">
        <v>1996</v>
      </c>
      <c r="I1164">
        <v>14.92</v>
      </c>
      <c r="J1164">
        <v>14.93</v>
      </c>
      <c r="K1164" t="s">
        <v>7605</v>
      </c>
      <c r="L1164">
        <v>0.86</v>
      </c>
      <c r="M1164" t="s">
        <v>46</v>
      </c>
      <c r="N1164" t="s">
        <v>7151</v>
      </c>
      <c r="O1164">
        <v>14.99</v>
      </c>
      <c r="P1164">
        <v>14.73</v>
      </c>
      <c r="Q1164">
        <v>14.94</v>
      </c>
      <c r="R1164">
        <v>14.86</v>
      </c>
      <c r="S1164">
        <v>1.75</v>
      </c>
      <c r="T1164">
        <v>0.83</v>
      </c>
      <c r="U1164">
        <v>-2.92</v>
      </c>
      <c r="V1164">
        <v>-146</v>
      </c>
      <c r="W1164">
        <v>14.84</v>
      </c>
      <c r="X1164" t="s">
        <v>6381</v>
      </c>
      <c r="Y1164" t="s">
        <v>3040</v>
      </c>
      <c r="Z1164">
        <v>1.13</v>
      </c>
      <c r="AA1164">
        <v>431</v>
      </c>
      <c r="AB1164">
        <v>190</v>
      </c>
      <c r="AC1164">
        <v>2.1</v>
      </c>
      <c r="AD1164" t="s">
        <v>7633</v>
      </c>
      <c r="AE1164" t="s">
        <v>7634</v>
      </c>
      <c r="AF1164" t="s">
        <v>7633</v>
      </c>
      <c r="AG1164" t="s">
        <v>7634</v>
      </c>
      <c r="AH1164">
        <v>-2.35</v>
      </c>
      <c r="AI1164">
        <v>-5.27</v>
      </c>
      <c r="AJ1164">
        <v>2.91</v>
      </c>
      <c r="AK1164">
        <v>5.99</v>
      </c>
      <c r="AL1164">
        <v>1</v>
      </c>
      <c r="AM1164">
        <v>0.47</v>
      </c>
      <c r="AN1164">
        <v>-23.75</v>
      </c>
      <c r="AO1164">
        <v>4.41</v>
      </c>
      <c r="AP1164">
        <v>-33.11</v>
      </c>
    </row>
    <row r="1165" spans="1:42">
      <c r="A1165">
        <v>1164</v>
      </c>
      <c r="B1165" t="str">
        <f>"300904"</f>
        <v>300904</v>
      </c>
      <c r="C1165" t="s">
        <v>7635</v>
      </c>
      <c r="D1165">
        <v>75.79</v>
      </c>
      <c r="E1165">
        <v>-2.02</v>
      </c>
      <c r="F1165">
        <v>-1.56</v>
      </c>
      <c r="G1165" t="s">
        <v>314</v>
      </c>
      <c r="H1165">
        <v>424</v>
      </c>
      <c r="I1165">
        <v>75.78</v>
      </c>
      <c r="J1165">
        <v>75.79</v>
      </c>
      <c r="K1165" t="s">
        <v>7605</v>
      </c>
      <c r="L1165">
        <v>13.63</v>
      </c>
      <c r="M1165" t="s">
        <v>46</v>
      </c>
      <c r="N1165" t="s">
        <v>3435</v>
      </c>
      <c r="O1165">
        <v>76.86</v>
      </c>
      <c r="P1165">
        <v>74.59</v>
      </c>
      <c r="Q1165">
        <v>76.19</v>
      </c>
      <c r="R1165">
        <v>77.35</v>
      </c>
      <c r="S1165">
        <v>2.93</v>
      </c>
      <c r="T1165">
        <v>1.18</v>
      </c>
      <c r="U1165">
        <v>-40.99</v>
      </c>
      <c r="V1165">
        <v>-43</v>
      </c>
      <c r="W1165">
        <v>75.5</v>
      </c>
      <c r="X1165" t="s">
        <v>5446</v>
      </c>
      <c r="Y1165">
        <v>9410</v>
      </c>
      <c r="Z1165">
        <v>1.49</v>
      </c>
      <c r="AA1165">
        <v>7</v>
      </c>
      <c r="AB1165">
        <v>9</v>
      </c>
      <c r="AC1165">
        <v>6.64</v>
      </c>
      <c r="AD1165" t="s">
        <v>7636</v>
      </c>
      <c r="AE1165" t="s">
        <v>7637</v>
      </c>
      <c r="AF1165" t="s">
        <v>7638</v>
      </c>
      <c r="AG1165" t="s">
        <v>7639</v>
      </c>
      <c r="AH1165">
        <v>-1.42</v>
      </c>
      <c r="AI1165">
        <v>-3.03</v>
      </c>
      <c r="AJ1165">
        <v>41.52</v>
      </c>
      <c r="AK1165">
        <v>71.27</v>
      </c>
      <c r="AL1165">
        <v>-1</v>
      </c>
      <c r="AM1165">
        <v>-2.02</v>
      </c>
      <c r="AN1165">
        <v>116.79</v>
      </c>
      <c r="AO1165">
        <v>-2.46</v>
      </c>
      <c r="AP1165">
        <v>116.79</v>
      </c>
    </row>
    <row r="1166" spans="1:42">
      <c r="A1166">
        <v>1165</v>
      </c>
      <c r="B1166" t="str">
        <f>"002649"</f>
        <v>002649</v>
      </c>
      <c r="C1166" t="s">
        <v>7640</v>
      </c>
      <c r="D1166">
        <v>12.49</v>
      </c>
      <c r="E1166">
        <v>3.48</v>
      </c>
      <c r="F1166">
        <v>0.42</v>
      </c>
      <c r="G1166" t="s">
        <v>2081</v>
      </c>
      <c r="H1166">
        <v>1408</v>
      </c>
      <c r="I1166">
        <v>12.49</v>
      </c>
      <c r="J1166">
        <v>12.5</v>
      </c>
      <c r="K1166" t="s">
        <v>7605</v>
      </c>
      <c r="L1166">
        <v>2.59</v>
      </c>
      <c r="M1166" t="s">
        <v>46</v>
      </c>
      <c r="N1166" t="s">
        <v>7641</v>
      </c>
      <c r="O1166">
        <v>12.53</v>
      </c>
      <c r="P1166">
        <v>12.03</v>
      </c>
      <c r="Q1166">
        <v>12.1</v>
      </c>
      <c r="R1166">
        <v>12.07</v>
      </c>
      <c r="S1166">
        <v>4.14</v>
      </c>
      <c r="T1166">
        <v>1.58</v>
      </c>
      <c r="U1166">
        <v>-51.7</v>
      </c>
      <c r="V1166">
        <v>-4116</v>
      </c>
      <c r="W1166">
        <v>12.32</v>
      </c>
      <c r="X1166" t="s">
        <v>7642</v>
      </c>
      <c r="Y1166" t="s">
        <v>4722</v>
      </c>
      <c r="Z1166">
        <v>0.56</v>
      </c>
      <c r="AA1166">
        <v>124</v>
      </c>
      <c r="AB1166">
        <v>2756</v>
      </c>
      <c r="AC1166">
        <v>1.82</v>
      </c>
      <c r="AD1166" t="s">
        <v>7643</v>
      </c>
      <c r="AE1166" t="s">
        <v>7644</v>
      </c>
      <c r="AF1166" t="s">
        <v>7645</v>
      </c>
      <c r="AG1166" t="s">
        <v>7646</v>
      </c>
      <c r="AH1166">
        <v>1.38</v>
      </c>
      <c r="AI1166">
        <v>-0.24</v>
      </c>
      <c r="AJ1166">
        <v>5.49</v>
      </c>
      <c r="AK1166">
        <v>10.8</v>
      </c>
      <c r="AL1166">
        <v>1</v>
      </c>
      <c r="AM1166">
        <v>3.48</v>
      </c>
      <c r="AN1166">
        <v>23.79</v>
      </c>
      <c r="AO1166">
        <v>5.67</v>
      </c>
      <c r="AP1166">
        <v>14.59</v>
      </c>
    </row>
    <row r="1167" spans="1:42">
      <c r="A1167">
        <v>1166</v>
      </c>
      <c r="B1167" t="str">
        <f>"300363"</f>
        <v>300363</v>
      </c>
      <c r="C1167" t="s">
        <v>7647</v>
      </c>
      <c r="D1167">
        <v>28.86</v>
      </c>
      <c r="E1167">
        <v>-0.17</v>
      </c>
      <c r="F1167">
        <v>-0.05</v>
      </c>
      <c r="G1167" t="s">
        <v>4517</v>
      </c>
      <c r="H1167">
        <v>468</v>
      </c>
      <c r="I1167">
        <v>28.85</v>
      </c>
      <c r="J1167">
        <v>28.86</v>
      </c>
      <c r="K1167" t="s">
        <v>7605</v>
      </c>
      <c r="L1167">
        <v>1.23</v>
      </c>
      <c r="M1167" t="s">
        <v>46</v>
      </c>
      <c r="N1167" t="s">
        <v>7648</v>
      </c>
      <c r="O1167">
        <v>29.04</v>
      </c>
      <c r="P1167">
        <v>28.41</v>
      </c>
      <c r="Q1167">
        <v>28.94</v>
      </c>
      <c r="R1167">
        <v>28.91</v>
      </c>
      <c r="S1167">
        <v>2.18</v>
      </c>
      <c r="T1167">
        <v>0.85</v>
      </c>
      <c r="U1167">
        <v>-23.46</v>
      </c>
      <c r="V1167">
        <v>-374</v>
      </c>
      <c r="W1167">
        <v>28.71</v>
      </c>
      <c r="X1167" t="s">
        <v>5675</v>
      </c>
      <c r="Y1167" t="s">
        <v>7649</v>
      </c>
      <c r="Z1167">
        <v>1.08</v>
      </c>
      <c r="AA1167">
        <v>167</v>
      </c>
      <c r="AB1167">
        <v>50</v>
      </c>
      <c r="AC1167">
        <v>2.64</v>
      </c>
      <c r="AD1167" t="s">
        <v>7650</v>
      </c>
      <c r="AE1167" t="s">
        <v>7651</v>
      </c>
      <c r="AF1167" t="s">
        <v>7652</v>
      </c>
      <c r="AG1167" t="s">
        <v>364</v>
      </c>
      <c r="AH1167">
        <v>-1.1</v>
      </c>
      <c r="AI1167">
        <v>-2.04</v>
      </c>
      <c r="AJ1167">
        <v>4.03</v>
      </c>
      <c r="AK1167">
        <v>8.46</v>
      </c>
      <c r="AL1167">
        <v>-1</v>
      </c>
      <c r="AM1167">
        <v>-0.17</v>
      </c>
      <c r="AN1167">
        <v>-27.38</v>
      </c>
      <c r="AO1167">
        <v>-4.63</v>
      </c>
      <c r="AP1167">
        <v>-32.59</v>
      </c>
    </row>
    <row r="1168" spans="1:42">
      <c r="A1168">
        <v>1167</v>
      </c>
      <c r="B1168" t="str">
        <f>"688700"</f>
        <v>688700</v>
      </c>
      <c r="C1168" t="s">
        <v>7653</v>
      </c>
      <c r="D1168">
        <v>68.36</v>
      </c>
      <c r="E1168">
        <v>3.01</v>
      </c>
      <c r="F1168">
        <v>2</v>
      </c>
      <c r="G1168" t="s">
        <v>1639</v>
      </c>
      <c r="H1168">
        <v>240</v>
      </c>
      <c r="I1168">
        <v>68.35</v>
      </c>
      <c r="J1168">
        <v>68.36</v>
      </c>
      <c r="K1168" t="s">
        <v>7654</v>
      </c>
      <c r="L1168">
        <v>1.78</v>
      </c>
      <c r="M1168" t="s">
        <v>46</v>
      </c>
      <c r="N1168" t="s">
        <v>7655</v>
      </c>
      <c r="O1168">
        <v>69</v>
      </c>
      <c r="P1168">
        <v>65.8</v>
      </c>
      <c r="Q1168">
        <v>66.65</v>
      </c>
      <c r="R1168">
        <v>66.36</v>
      </c>
      <c r="S1168">
        <v>4.82</v>
      </c>
      <c r="T1168">
        <v>0.77</v>
      </c>
      <c r="U1168">
        <v>-51.81</v>
      </c>
      <c r="V1168">
        <v>-151</v>
      </c>
      <c r="W1168">
        <v>67.41</v>
      </c>
      <c r="X1168" t="s">
        <v>2667</v>
      </c>
      <c r="Y1168" t="s">
        <v>7656</v>
      </c>
      <c r="Z1168">
        <v>0.77</v>
      </c>
      <c r="AA1168">
        <v>2</v>
      </c>
      <c r="AB1168">
        <v>4</v>
      </c>
      <c r="AC1168">
        <v>9.05</v>
      </c>
      <c r="AD1168" t="s">
        <v>7657</v>
      </c>
      <c r="AE1168" t="s">
        <v>4807</v>
      </c>
      <c r="AF1168" t="s">
        <v>6574</v>
      </c>
      <c r="AG1168" t="s">
        <v>7658</v>
      </c>
      <c r="AH1168">
        <v>6.1</v>
      </c>
      <c r="AI1168">
        <v>5.97</v>
      </c>
      <c r="AJ1168">
        <v>8.4</v>
      </c>
      <c r="AK1168">
        <v>13.42</v>
      </c>
      <c r="AL1168">
        <v>1</v>
      </c>
      <c r="AM1168">
        <v>3.01</v>
      </c>
      <c r="AN1168">
        <v>-29.11</v>
      </c>
      <c r="AO1168">
        <v>29.84</v>
      </c>
      <c r="AP1168">
        <v>-39.24</v>
      </c>
    </row>
    <row r="1169" spans="1:42">
      <c r="A1169">
        <v>1168</v>
      </c>
      <c r="B1169" t="str">
        <f>"836826"</f>
        <v>836826</v>
      </c>
      <c r="C1169" t="s">
        <v>7659</v>
      </c>
      <c r="D1169">
        <v>9.72</v>
      </c>
      <c r="E1169">
        <v>-7.07</v>
      </c>
      <c r="F1169">
        <v>-0.74</v>
      </c>
      <c r="G1169" t="s">
        <v>3155</v>
      </c>
      <c r="H1169">
        <v>1655</v>
      </c>
      <c r="I1169">
        <v>9.71</v>
      </c>
      <c r="J1169">
        <v>9.72</v>
      </c>
      <c r="K1169" t="s">
        <v>7654</v>
      </c>
      <c r="L1169">
        <v>32.31</v>
      </c>
      <c r="M1169" t="s">
        <v>46</v>
      </c>
      <c r="N1169" t="s">
        <v>2259</v>
      </c>
      <c r="O1169">
        <v>11.5</v>
      </c>
      <c r="P1169">
        <v>9.42</v>
      </c>
      <c r="Q1169">
        <v>10.09</v>
      </c>
      <c r="R1169">
        <v>10.46</v>
      </c>
      <c r="S1169">
        <v>19.89</v>
      </c>
      <c r="T1169">
        <v>1.02</v>
      </c>
      <c r="U1169">
        <v>51.68</v>
      </c>
      <c r="V1169">
        <v>404</v>
      </c>
      <c r="W1169">
        <v>10.7</v>
      </c>
      <c r="X1169" t="s">
        <v>5843</v>
      </c>
      <c r="Y1169" t="s">
        <v>6478</v>
      </c>
      <c r="Z1169">
        <v>1.13</v>
      </c>
      <c r="AA1169">
        <v>391</v>
      </c>
      <c r="AB1169">
        <v>169</v>
      </c>
      <c r="AC1169">
        <v>3.64</v>
      </c>
      <c r="AD1169" t="s">
        <v>7660</v>
      </c>
      <c r="AE1169" t="s">
        <v>7503</v>
      </c>
      <c r="AF1169" t="s">
        <v>7661</v>
      </c>
      <c r="AG1169" t="s">
        <v>7662</v>
      </c>
      <c r="AH1169">
        <v>5.08</v>
      </c>
      <c r="AI1169">
        <v>52.83</v>
      </c>
      <c r="AJ1169">
        <v>103.31</v>
      </c>
      <c r="AK1169">
        <v>191.55</v>
      </c>
      <c r="AL1169">
        <v>-1</v>
      </c>
      <c r="AM1169">
        <v>-7.07</v>
      </c>
      <c r="AN1169">
        <v>28.06</v>
      </c>
      <c r="AO1169">
        <v>81.01</v>
      </c>
      <c r="AP1169">
        <v>36.33</v>
      </c>
    </row>
    <row r="1170" spans="1:42">
      <c r="A1170">
        <v>1169</v>
      </c>
      <c r="B1170" t="str">
        <f>"301428"</f>
        <v>301428</v>
      </c>
      <c r="C1170" t="s">
        <v>7663</v>
      </c>
      <c r="D1170">
        <v>40.8</v>
      </c>
      <c r="E1170">
        <v>4.62</v>
      </c>
      <c r="F1170">
        <v>1.8</v>
      </c>
      <c r="G1170" t="s">
        <v>6838</v>
      </c>
      <c r="H1170">
        <v>588</v>
      </c>
      <c r="I1170">
        <v>40.79</v>
      </c>
      <c r="J1170">
        <v>40.81</v>
      </c>
      <c r="K1170" t="s">
        <v>7654</v>
      </c>
      <c r="L1170">
        <v>17.73</v>
      </c>
      <c r="M1170" t="s">
        <v>46</v>
      </c>
      <c r="N1170" t="s">
        <v>7664</v>
      </c>
      <c r="O1170">
        <v>41.14</v>
      </c>
      <c r="P1170">
        <v>38.7</v>
      </c>
      <c r="Q1170">
        <v>38.97</v>
      </c>
      <c r="R1170">
        <v>39</v>
      </c>
      <c r="S1170">
        <v>6.26</v>
      </c>
      <c r="T1170">
        <v>0.68</v>
      </c>
      <c r="U1170">
        <v>-61.6</v>
      </c>
      <c r="V1170">
        <v>-77</v>
      </c>
      <c r="W1170">
        <v>40.2</v>
      </c>
      <c r="X1170" t="s">
        <v>5997</v>
      </c>
      <c r="Y1170" t="s">
        <v>3456</v>
      </c>
      <c r="Z1170">
        <v>0.62</v>
      </c>
      <c r="AA1170">
        <v>5</v>
      </c>
      <c r="AB1170">
        <v>5</v>
      </c>
      <c r="AC1170">
        <v>3.31</v>
      </c>
      <c r="AD1170" t="s">
        <v>7665</v>
      </c>
      <c r="AE1170" t="s">
        <v>7666</v>
      </c>
      <c r="AF1170" t="s">
        <v>7667</v>
      </c>
      <c r="AG1170" t="s">
        <v>555</v>
      </c>
      <c r="AH1170">
        <v>-3.59</v>
      </c>
      <c r="AI1170">
        <v>-6.51</v>
      </c>
      <c r="AJ1170">
        <v>56.9</v>
      </c>
      <c r="AK1170">
        <v>148.29</v>
      </c>
      <c r="AL1170">
        <v>1</v>
      </c>
      <c r="AM1170">
        <v>4.62</v>
      </c>
      <c r="AN1170">
        <v>54.84</v>
      </c>
      <c r="AO1170">
        <v>7.54</v>
      </c>
      <c r="AP1170">
        <v>54.84</v>
      </c>
    </row>
    <row r="1171" spans="1:42">
      <c r="A1171">
        <v>1170</v>
      </c>
      <c r="B1171" t="str">
        <f>"300188"</f>
        <v>300188</v>
      </c>
      <c r="C1171" t="s">
        <v>7668</v>
      </c>
      <c r="D1171">
        <v>16.26</v>
      </c>
      <c r="E1171">
        <v>3.57</v>
      </c>
      <c r="F1171">
        <v>0.56</v>
      </c>
      <c r="G1171" t="s">
        <v>1438</v>
      </c>
      <c r="H1171">
        <v>1404</v>
      </c>
      <c r="I1171">
        <v>16.25</v>
      </c>
      <c r="J1171">
        <v>16.26</v>
      </c>
      <c r="K1171" t="s">
        <v>7654</v>
      </c>
      <c r="L1171">
        <v>1.52</v>
      </c>
      <c r="M1171" t="s">
        <v>46</v>
      </c>
      <c r="N1171" t="s">
        <v>1839</v>
      </c>
      <c r="O1171">
        <v>16.29</v>
      </c>
      <c r="P1171">
        <v>15.63</v>
      </c>
      <c r="Q1171">
        <v>15.7</v>
      </c>
      <c r="R1171">
        <v>15.7</v>
      </c>
      <c r="S1171">
        <v>4.2</v>
      </c>
      <c r="T1171">
        <v>1.13</v>
      </c>
      <c r="U1171">
        <v>-62.94</v>
      </c>
      <c r="V1171">
        <v>-2456</v>
      </c>
      <c r="W1171">
        <v>16.02</v>
      </c>
      <c r="X1171" t="s">
        <v>3204</v>
      </c>
      <c r="Y1171" t="s">
        <v>5010</v>
      </c>
      <c r="Z1171">
        <v>0.71</v>
      </c>
      <c r="AA1171">
        <v>130</v>
      </c>
      <c r="AB1171">
        <v>7</v>
      </c>
      <c r="AC1171">
        <v>3.7</v>
      </c>
      <c r="AD1171" t="s">
        <v>7669</v>
      </c>
      <c r="AE1171" t="s">
        <v>4519</v>
      </c>
      <c r="AF1171" t="s">
        <v>7670</v>
      </c>
      <c r="AG1171" t="s">
        <v>7671</v>
      </c>
      <c r="AH1171">
        <v>0.49</v>
      </c>
      <c r="AI1171">
        <v>-3.67</v>
      </c>
      <c r="AJ1171">
        <v>3.89</v>
      </c>
      <c r="AK1171">
        <v>8.24</v>
      </c>
      <c r="AL1171">
        <v>1</v>
      </c>
      <c r="AM1171">
        <v>3.57</v>
      </c>
      <c r="AN1171">
        <v>26.93</v>
      </c>
      <c r="AO1171">
        <v>8.76</v>
      </c>
      <c r="AP1171">
        <v>19.47</v>
      </c>
    </row>
    <row r="1172" spans="1:42">
      <c r="A1172">
        <v>1171</v>
      </c>
      <c r="B1172" t="str">
        <f>"000301"</f>
        <v>000301</v>
      </c>
      <c r="C1172" t="s">
        <v>7672</v>
      </c>
      <c r="D1172">
        <v>9.98</v>
      </c>
      <c r="E1172">
        <v>-1.38</v>
      </c>
      <c r="F1172">
        <v>-0.14</v>
      </c>
      <c r="G1172" t="s">
        <v>1403</v>
      </c>
      <c r="H1172">
        <v>1162</v>
      </c>
      <c r="I1172">
        <v>9.97</v>
      </c>
      <c r="J1172">
        <v>9.98</v>
      </c>
      <c r="K1172" t="s">
        <v>7654</v>
      </c>
      <c r="L1172">
        <v>0.32</v>
      </c>
      <c r="M1172" t="s">
        <v>46</v>
      </c>
      <c r="N1172" t="s">
        <v>4322</v>
      </c>
      <c r="O1172">
        <v>10.09</v>
      </c>
      <c r="P1172">
        <v>9.93</v>
      </c>
      <c r="Q1172">
        <v>10.09</v>
      </c>
      <c r="R1172">
        <v>10.12</v>
      </c>
      <c r="S1172">
        <v>1.58</v>
      </c>
      <c r="T1172">
        <v>1.56</v>
      </c>
      <c r="U1172">
        <v>-25.4</v>
      </c>
      <c r="V1172">
        <v>-3468</v>
      </c>
      <c r="W1172">
        <v>10</v>
      </c>
      <c r="X1172" t="s">
        <v>6089</v>
      </c>
      <c r="Y1172" t="s">
        <v>7395</v>
      </c>
      <c r="Z1172">
        <v>1.25</v>
      </c>
      <c r="AA1172">
        <v>142</v>
      </c>
      <c r="AB1172">
        <v>411</v>
      </c>
      <c r="AC1172">
        <v>1.8</v>
      </c>
      <c r="AD1172" t="s">
        <v>6995</v>
      </c>
      <c r="AE1172" t="s">
        <v>7673</v>
      </c>
      <c r="AF1172" t="s">
        <v>7674</v>
      </c>
      <c r="AG1172" t="s">
        <v>7675</v>
      </c>
      <c r="AH1172">
        <v>-2.16</v>
      </c>
      <c r="AI1172">
        <v>-3.39</v>
      </c>
      <c r="AJ1172">
        <v>0.69</v>
      </c>
      <c r="AK1172">
        <v>1.34</v>
      </c>
      <c r="AL1172">
        <v>-1</v>
      </c>
      <c r="AM1172">
        <v>-1.38</v>
      </c>
      <c r="AN1172">
        <v>-22.87</v>
      </c>
      <c r="AO1172">
        <v>-5.22</v>
      </c>
      <c r="AP1172">
        <v>-23.29</v>
      </c>
    </row>
    <row r="1173" spans="1:42">
      <c r="A1173">
        <v>1172</v>
      </c>
      <c r="B1173" t="str">
        <f>"300408"</f>
        <v>300408</v>
      </c>
      <c r="C1173" t="s">
        <v>7676</v>
      </c>
      <c r="D1173">
        <v>29.52</v>
      </c>
      <c r="E1173">
        <v>0.68</v>
      </c>
      <c r="F1173">
        <v>0.2</v>
      </c>
      <c r="G1173" t="s">
        <v>7677</v>
      </c>
      <c r="H1173">
        <v>276</v>
      </c>
      <c r="I1173">
        <v>29.52</v>
      </c>
      <c r="J1173">
        <v>29.53</v>
      </c>
      <c r="K1173" t="s">
        <v>7654</v>
      </c>
      <c r="L1173">
        <v>0.32</v>
      </c>
      <c r="M1173" t="s">
        <v>46</v>
      </c>
      <c r="N1173" t="s">
        <v>7678</v>
      </c>
      <c r="O1173">
        <v>29.7</v>
      </c>
      <c r="P1173">
        <v>28.89</v>
      </c>
      <c r="Q1173">
        <v>29.58</v>
      </c>
      <c r="R1173">
        <v>29.32</v>
      </c>
      <c r="S1173">
        <v>2.76</v>
      </c>
      <c r="T1173">
        <v>1.01</v>
      </c>
      <c r="U1173">
        <v>66.52</v>
      </c>
      <c r="V1173">
        <v>731</v>
      </c>
      <c r="W1173">
        <v>29.37</v>
      </c>
      <c r="X1173" t="s">
        <v>3456</v>
      </c>
      <c r="Y1173" t="s">
        <v>7679</v>
      </c>
      <c r="Z1173">
        <v>0.82</v>
      </c>
      <c r="AA1173">
        <v>38</v>
      </c>
      <c r="AB1173">
        <v>1</v>
      </c>
      <c r="AC1173">
        <v>3.19</v>
      </c>
      <c r="AD1173" t="s">
        <v>7680</v>
      </c>
      <c r="AE1173" t="s">
        <v>7681</v>
      </c>
      <c r="AF1173" t="s">
        <v>7682</v>
      </c>
      <c r="AG1173" t="s">
        <v>7683</v>
      </c>
      <c r="AH1173">
        <v>-0.44</v>
      </c>
      <c r="AI1173">
        <v>-0.64</v>
      </c>
      <c r="AJ1173">
        <v>0.91</v>
      </c>
      <c r="AK1173">
        <v>1.93</v>
      </c>
      <c r="AL1173">
        <v>1</v>
      </c>
      <c r="AM1173">
        <v>0.68</v>
      </c>
      <c r="AN1173">
        <v>-3.09</v>
      </c>
      <c r="AO1173">
        <v>-5.2</v>
      </c>
      <c r="AP1173">
        <v>-0.51</v>
      </c>
    </row>
    <row r="1174" spans="1:42">
      <c r="A1174">
        <v>1173</v>
      </c>
      <c r="B1174" t="str">
        <f>"600026"</f>
        <v>600026</v>
      </c>
      <c r="C1174" t="s">
        <v>7684</v>
      </c>
      <c r="D1174">
        <v>13.18</v>
      </c>
      <c r="E1174">
        <v>0</v>
      </c>
      <c r="F1174">
        <v>0</v>
      </c>
      <c r="G1174" t="s">
        <v>368</v>
      </c>
      <c r="H1174">
        <v>1275</v>
      </c>
      <c r="I1174">
        <v>13.18</v>
      </c>
      <c r="J1174">
        <v>13.19</v>
      </c>
      <c r="K1174" t="s">
        <v>7685</v>
      </c>
      <c r="L1174">
        <v>0.38</v>
      </c>
      <c r="M1174" t="s">
        <v>46</v>
      </c>
      <c r="N1174" t="s">
        <v>7686</v>
      </c>
      <c r="O1174">
        <v>13.31</v>
      </c>
      <c r="P1174">
        <v>13.01</v>
      </c>
      <c r="Q1174">
        <v>13.25</v>
      </c>
      <c r="R1174">
        <v>13.18</v>
      </c>
      <c r="S1174">
        <v>2.28</v>
      </c>
      <c r="T1174">
        <v>0.87</v>
      </c>
      <c r="U1174">
        <v>10.99</v>
      </c>
      <c r="V1174">
        <v>520</v>
      </c>
      <c r="W1174">
        <v>13.12</v>
      </c>
      <c r="X1174" t="s">
        <v>3091</v>
      </c>
      <c r="Y1174" t="s">
        <v>2028</v>
      </c>
      <c r="Z1174">
        <v>1.2</v>
      </c>
      <c r="AA1174">
        <v>207</v>
      </c>
      <c r="AB1174">
        <v>532</v>
      </c>
      <c r="AC1174">
        <v>1.8</v>
      </c>
      <c r="AD1174" t="s">
        <v>7687</v>
      </c>
      <c r="AE1174" t="s">
        <v>7688</v>
      </c>
      <c r="AF1174" t="s">
        <v>7689</v>
      </c>
      <c r="AG1174" t="s">
        <v>7690</v>
      </c>
      <c r="AH1174">
        <v>-1.42</v>
      </c>
      <c r="AI1174">
        <v>-5.86</v>
      </c>
      <c r="AJ1174">
        <v>1.31</v>
      </c>
      <c r="AK1174">
        <v>2.6</v>
      </c>
      <c r="AL1174">
        <v>0</v>
      </c>
      <c r="AM1174">
        <v>0</v>
      </c>
      <c r="AN1174">
        <v>10.76</v>
      </c>
      <c r="AO1174">
        <v>-9.04</v>
      </c>
      <c r="AP1174">
        <v>-30.96</v>
      </c>
    </row>
    <row r="1175" spans="1:42">
      <c r="A1175">
        <v>1174</v>
      </c>
      <c r="B1175" t="str">
        <f>"600332"</f>
        <v>600332</v>
      </c>
      <c r="C1175" t="s">
        <v>7691</v>
      </c>
      <c r="D1175">
        <v>30.06</v>
      </c>
      <c r="E1175">
        <v>-0.3</v>
      </c>
      <c r="F1175">
        <v>-0.09</v>
      </c>
      <c r="G1175" t="s">
        <v>525</v>
      </c>
      <c r="H1175">
        <v>359</v>
      </c>
      <c r="I1175">
        <v>30.06</v>
      </c>
      <c r="J1175">
        <v>30.07</v>
      </c>
      <c r="K1175" t="s">
        <v>7685</v>
      </c>
      <c r="L1175">
        <v>0.42</v>
      </c>
      <c r="M1175" t="s">
        <v>46</v>
      </c>
      <c r="N1175" t="s">
        <v>7692</v>
      </c>
      <c r="O1175">
        <v>30.17</v>
      </c>
      <c r="P1175">
        <v>29.9</v>
      </c>
      <c r="Q1175">
        <v>30.05</v>
      </c>
      <c r="R1175">
        <v>30.15</v>
      </c>
      <c r="S1175">
        <v>0.9</v>
      </c>
      <c r="T1175">
        <v>0.79</v>
      </c>
      <c r="U1175">
        <v>-8.01</v>
      </c>
      <c r="V1175">
        <v>-52</v>
      </c>
      <c r="W1175">
        <v>30.02</v>
      </c>
      <c r="X1175" t="s">
        <v>206</v>
      </c>
      <c r="Y1175" t="s">
        <v>5444</v>
      </c>
      <c r="Z1175">
        <v>1.17</v>
      </c>
      <c r="AA1175">
        <v>18</v>
      </c>
      <c r="AB1175">
        <v>9</v>
      </c>
      <c r="AC1175">
        <v>1.41</v>
      </c>
      <c r="AD1175" t="s">
        <v>7693</v>
      </c>
      <c r="AE1175" t="s">
        <v>7694</v>
      </c>
      <c r="AF1175" t="s">
        <v>7695</v>
      </c>
      <c r="AG1175" t="s">
        <v>7696</v>
      </c>
      <c r="AH1175">
        <v>-1.22</v>
      </c>
      <c r="AI1175">
        <v>-0.82</v>
      </c>
      <c r="AJ1175">
        <v>1.24</v>
      </c>
      <c r="AK1175">
        <v>3.06</v>
      </c>
      <c r="AL1175">
        <v>-1</v>
      </c>
      <c r="AM1175">
        <v>-0.3</v>
      </c>
      <c r="AN1175">
        <v>3.44</v>
      </c>
      <c r="AO1175">
        <v>1.73</v>
      </c>
      <c r="AP1175">
        <v>4.7</v>
      </c>
    </row>
    <row r="1176" spans="1:42">
      <c r="A1176">
        <v>1175</v>
      </c>
      <c r="B1176" t="str">
        <f>"688122"</f>
        <v>688122</v>
      </c>
      <c r="C1176" t="s">
        <v>7697</v>
      </c>
      <c r="D1176">
        <v>51.88</v>
      </c>
      <c r="E1176">
        <v>-1.12</v>
      </c>
      <c r="F1176">
        <v>-0.59</v>
      </c>
      <c r="G1176" t="s">
        <v>6365</v>
      </c>
      <c r="H1176">
        <v>222</v>
      </c>
      <c r="I1176">
        <v>51.87</v>
      </c>
      <c r="J1176">
        <v>51.88</v>
      </c>
      <c r="K1176" t="s">
        <v>7685</v>
      </c>
      <c r="L1176">
        <v>0.52</v>
      </c>
      <c r="M1176" t="s">
        <v>46</v>
      </c>
      <c r="N1176" t="s">
        <v>7698</v>
      </c>
      <c r="O1176">
        <v>52.95</v>
      </c>
      <c r="P1176">
        <v>51.56</v>
      </c>
      <c r="Q1176">
        <v>52.11</v>
      </c>
      <c r="R1176">
        <v>52.47</v>
      </c>
      <c r="S1176">
        <v>2.65</v>
      </c>
      <c r="T1176">
        <v>0.89</v>
      </c>
      <c r="U1176">
        <v>62.79</v>
      </c>
      <c r="V1176">
        <v>211</v>
      </c>
      <c r="W1176">
        <v>52.21</v>
      </c>
      <c r="X1176" t="s">
        <v>3793</v>
      </c>
      <c r="Y1176" t="s">
        <v>2723</v>
      </c>
      <c r="Z1176">
        <v>0.81</v>
      </c>
      <c r="AA1176">
        <v>185</v>
      </c>
      <c r="AB1176">
        <v>17</v>
      </c>
      <c r="AC1176">
        <v>5.48</v>
      </c>
      <c r="AD1176" t="s">
        <v>7699</v>
      </c>
      <c r="AE1176" t="s">
        <v>5475</v>
      </c>
      <c r="AF1176" t="s">
        <v>7699</v>
      </c>
      <c r="AG1176" t="s">
        <v>5475</v>
      </c>
      <c r="AH1176">
        <v>-1.61</v>
      </c>
      <c r="AI1176">
        <v>-2.11</v>
      </c>
      <c r="AJ1176">
        <v>1.47</v>
      </c>
      <c r="AK1176">
        <v>3.42</v>
      </c>
      <c r="AL1176">
        <v>-3</v>
      </c>
      <c r="AM1176">
        <v>-1.12</v>
      </c>
      <c r="AN1176">
        <v>-22.47</v>
      </c>
      <c r="AO1176">
        <v>13.55</v>
      </c>
      <c r="AP1176">
        <v>-29.14</v>
      </c>
    </row>
    <row r="1177" spans="1:42">
      <c r="A1177">
        <v>1176</v>
      </c>
      <c r="B1177" t="str">
        <f>"002425"</f>
        <v>002425</v>
      </c>
      <c r="C1177" t="s">
        <v>7700</v>
      </c>
      <c r="D1177">
        <v>5.14</v>
      </c>
      <c r="E1177">
        <v>6.64</v>
      </c>
      <c r="F1177">
        <v>0.32</v>
      </c>
      <c r="G1177" t="s">
        <v>898</v>
      </c>
      <c r="H1177">
        <v>7828</v>
      </c>
      <c r="I1177">
        <v>5.13</v>
      </c>
      <c r="J1177">
        <v>5.14</v>
      </c>
      <c r="K1177" t="s">
        <v>7685</v>
      </c>
      <c r="L1177">
        <v>3.63</v>
      </c>
      <c r="M1177" t="s">
        <v>46</v>
      </c>
      <c r="N1177" t="s">
        <v>5382</v>
      </c>
      <c r="O1177">
        <v>5.17</v>
      </c>
      <c r="P1177">
        <v>4.81</v>
      </c>
      <c r="Q1177">
        <v>4.82</v>
      </c>
      <c r="R1177">
        <v>4.82</v>
      </c>
      <c r="S1177">
        <v>7.47</v>
      </c>
      <c r="T1177">
        <v>2.47</v>
      </c>
      <c r="U1177">
        <v>-15.88</v>
      </c>
      <c r="V1177">
        <v>-4104</v>
      </c>
      <c r="W1177">
        <v>5.04</v>
      </c>
      <c r="X1177" t="s">
        <v>446</v>
      </c>
      <c r="Y1177" t="s">
        <v>2609</v>
      </c>
      <c r="Z1177">
        <v>0.58</v>
      </c>
      <c r="AA1177">
        <v>2208</v>
      </c>
      <c r="AB1177">
        <v>2720</v>
      </c>
      <c r="AC1177">
        <v>1.16</v>
      </c>
      <c r="AD1177" t="s">
        <v>7701</v>
      </c>
      <c r="AE1177" t="s">
        <v>2209</v>
      </c>
      <c r="AF1177" t="s">
        <v>7702</v>
      </c>
      <c r="AG1177" t="s">
        <v>3973</v>
      </c>
      <c r="AH1177">
        <v>5.11</v>
      </c>
      <c r="AI1177">
        <v>1.38</v>
      </c>
      <c r="AJ1177">
        <v>6.17</v>
      </c>
      <c r="AK1177">
        <v>10.97</v>
      </c>
      <c r="AL1177">
        <v>1</v>
      </c>
      <c r="AM1177">
        <v>6.64</v>
      </c>
      <c r="AN1177">
        <v>8.21</v>
      </c>
      <c r="AO1177">
        <v>7.53</v>
      </c>
      <c r="AP1177">
        <v>5.11</v>
      </c>
    </row>
    <row r="1178" spans="1:42">
      <c r="A1178">
        <v>1177</v>
      </c>
      <c r="B1178" t="str">
        <f>"000798"</f>
        <v>000798</v>
      </c>
      <c r="C1178" t="s">
        <v>7703</v>
      </c>
      <c r="D1178">
        <v>9.42</v>
      </c>
      <c r="E1178">
        <v>1.51</v>
      </c>
      <c r="F1178">
        <v>0.14</v>
      </c>
      <c r="G1178" t="s">
        <v>1008</v>
      </c>
      <c r="H1178">
        <v>1594</v>
      </c>
      <c r="I1178">
        <v>9.41</v>
      </c>
      <c r="J1178">
        <v>9.42</v>
      </c>
      <c r="K1178" t="s">
        <v>7685</v>
      </c>
      <c r="L1178">
        <v>5.1</v>
      </c>
      <c r="M1178" t="s">
        <v>46</v>
      </c>
      <c r="N1178" t="s">
        <v>2909</v>
      </c>
      <c r="O1178">
        <v>9.56</v>
      </c>
      <c r="P1178">
        <v>9.15</v>
      </c>
      <c r="Q1178">
        <v>9.26</v>
      </c>
      <c r="R1178">
        <v>9.28</v>
      </c>
      <c r="S1178">
        <v>4.42</v>
      </c>
      <c r="T1178">
        <v>1.29</v>
      </c>
      <c r="U1178">
        <v>28.68</v>
      </c>
      <c r="V1178">
        <v>1376</v>
      </c>
      <c r="W1178">
        <v>9.36</v>
      </c>
      <c r="X1178" t="s">
        <v>4635</v>
      </c>
      <c r="Y1178" t="s">
        <v>7704</v>
      </c>
      <c r="Z1178">
        <v>0.95</v>
      </c>
      <c r="AA1178">
        <v>884</v>
      </c>
      <c r="AB1178">
        <v>263</v>
      </c>
      <c r="AC1178">
        <v>5.59</v>
      </c>
      <c r="AD1178" t="s">
        <v>7705</v>
      </c>
      <c r="AE1178" t="s">
        <v>7706</v>
      </c>
      <c r="AF1178" t="s">
        <v>7707</v>
      </c>
      <c r="AG1178" t="s">
        <v>7706</v>
      </c>
      <c r="AH1178">
        <v>4.32</v>
      </c>
      <c r="AI1178">
        <v>6.08</v>
      </c>
      <c r="AJ1178">
        <v>13.91</v>
      </c>
      <c r="AK1178">
        <v>24.89</v>
      </c>
      <c r="AL1178">
        <v>3</v>
      </c>
      <c r="AM1178">
        <v>1.51</v>
      </c>
      <c r="AN1178">
        <v>-14.29</v>
      </c>
      <c r="AO1178">
        <v>8.65</v>
      </c>
      <c r="AP1178">
        <v>-8.99</v>
      </c>
    </row>
    <row r="1179" spans="1:42">
      <c r="A1179">
        <v>1178</v>
      </c>
      <c r="B1179" t="str">
        <f>"301270"</f>
        <v>301270</v>
      </c>
      <c r="C1179" t="s">
        <v>7708</v>
      </c>
      <c r="D1179">
        <v>40.9</v>
      </c>
      <c r="E1179">
        <v>4.2</v>
      </c>
      <c r="F1179">
        <v>1.65</v>
      </c>
      <c r="G1179" t="s">
        <v>616</v>
      </c>
      <c r="H1179">
        <v>613</v>
      </c>
      <c r="I1179">
        <v>40.9</v>
      </c>
      <c r="J1179">
        <v>40.91</v>
      </c>
      <c r="K1179" t="s">
        <v>7709</v>
      </c>
      <c r="L1179">
        <v>5.86</v>
      </c>
      <c r="M1179" t="s">
        <v>46</v>
      </c>
      <c r="N1179" t="s">
        <v>3811</v>
      </c>
      <c r="O1179">
        <v>41.06</v>
      </c>
      <c r="P1179">
        <v>38.76</v>
      </c>
      <c r="Q1179">
        <v>39.24</v>
      </c>
      <c r="R1179">
        <v>39.25</v>
      </c>
      <c r="S1179">
        <v>5.86</v>
      </c>
      <c r="T1179">
        <v>1.17</v>
      </c>
      <c r="U1179">
        <v>32.26</v>
      </c>
      <c r="V1179">
        <v>148</v>
      </c>
      <c r="W1179">
        <v>40.18</v>
      </c>
      <c r="X1179" t="s">
        <v>1255</v>
      </c>
      <c r="Y1179" t="s">
        <v>4257</v>
      </c>
      <c r="Z1179">
        <v>0.7</v>
      </c>
      <c r="AA1179">
        <v>225</v>
      </c>
      <c r="AB1179">
        <v>22</v>
      </c>
      <c r="AC1179">
        <v>3.79</v>
      </c>
      <c r="AD1179" t="s">
        <v>5976</v>
      </c>
      <c r="AE1179" t="s">
        <v>7710</v>
      </c>
      <c r="AF1179" t="s">
        <v>7711</v>
      </c>
      <c r="AG1179" t="s">
        <v>6532</v>
      </c>
      <c r="AH1179">
        <v>-0.39</v>
      </c>
      <c r="AI1179">
        <v>-7.3</v>
      </c>
      <c r="AJ1179">
        <v>17.25</v>
      </c>
      <c r="AK1179">
        <v>30.99</v>
      </c>
      <c r="AL1179">
        <v>2</v>
      </c>
      <c r="AM1179">
        <v>4.2</v>
      </c>
      <c r="AN1179">
        <v>37.71</v>
      </c>
      <c r="AO1179">
        <v>4.04</v>
      </c>
      <c r="AP1179">
        <v>7.77</v>
      </c>
    </row>
    <row r="1180" spans="1:42">
      <c r="A1180">
        <v>1179</v>
      </c>
      <c r="B1180" t="str">
        <f>"601567"</f>
        <v>601567</v>
      </c>
      <c r="C1180" t="s">
        <v>7712</v>
      </c>
      <c r="D1180">
        <v>19.25</v>
      </c>
      <c r="E1180">
        <v>-1.28</v>
      </c>
      <c r="F1180">
        <v>-0.25</v>
      </c>
      <c r="G1180" t="s">
        <v>775</v>
      </c>
      <c r="H1180">
        <v>968</v>
      </c>
      <c r="I1180">
        <v>19.24</v>
      </c>
      <c r="J1180">
        <v>19.25</v>
      </c>
      <c r="K1180" t="s">
        <v>7709</v>
      </c>
      <c r="L1180">
        <v>0.65</v>
      </c>
      <c r="M1180" t="s">
        <v>46</v>
      </c>
      <c r="N1180" t="s">
        <v>7713</v>
      </c>
      <c r="O1180">
        <v>19.75</v>
      </c>
      <c r="P1180">
        <v>19.13</v>
      </c>
      <c r="Q1180">
        <v>19.39</v>
      </c>
      <c r="R1180">
        <v>19.5</v>
      </c>
      <c r="S1180">
        <v>3.18</v>
      </c>
      <c r="T1180">
        <v>0.85</v>
      </c>
      <c r="U1180">
        <v>18.36</v>
      </c>
      <c r="V1180">
        <v>221</v>
      </c>
      <c r="W1180">
        <v>19.32</v>
      </c>
      <c r="X1180" t="s">
        <v>2752</v>
      </c>
      <c r="Y1180" t="s">
        <v>4708</v>
      </c>
      <c r="Z1180">
        <v>0.83</v>
      </c>
      <c r="AA1180">
        <v>74</v>
      </c>
      <c r="AB1180">
        <v>300</v>
      </c>
      <c r="AC1180">
        <v>2.56</v>
      </c>
      <c r="AD1180" t="s">
        <v>7714</v>
      </c>
      <c r="AE1180" t="s">
        <v>7715</v>
      </c>
      <c r="AF1180" t="s">
        <v>7716</v>
      </c>
      <c r="AG1180" t="s">
        <v>7717</v>
      </c>
      <c r="AH1180">
        <v>2.83</v>
      </c>
      <c r="AI1180">
        <v>8.09</v>
      </c>
      <c r="AJ1180">
        <v>2.26</v>
      </c>
      <c r="AK1180">
        <v>4.44</v>
      </c>
      <c r="AL1180">
        <v>-1</v>
      </c>
      <c r="AM1180">
        <v>-1.28</v>
      </c>
      <c r="AN1180">
        <v>46.61</v>
      </c>
      <c r="AO1180">
        <v>18.1</v>
      </c>
      <c r="AP1180">
        <v>49.81</v>
      </c>
    </row>
    <row r="1181" spans="1:42">
      <c r="A1181">
        <v>1180</v>
      </c>
      <c r="B1181" t="str">
        <f>"000932"</f>
        <v>000932</v>
      </c>
      <c r="C1181" t="s">
        <v>7718</v>
      </c>
      <c r="D1181">
        <v>5.52</v>
      </c>
      <c r="E1181">
        <v>-0.18</v>
      </c>
      <c r="F1181">
        <v>-0.01</v>
      </c>
      <c r="G1181" t="s">
        <v>2066</v>
      </c>
      <c r="H1181">
        <v>1067</v>
      </c>
      <c r="I1181">
        <v>5.52</v>
      </c>
      <c r="J1181">
        <v>5.53</v>
      </c>
      <c r="K1181" t="s">
        <v>7709</v>
      </c>
      <c r="L1181">
        <v>0.45</v>
      </c>
      <c r="M1181" t="s">
        <v>46</v>
      </c>
      <c r="N1181" t="s">
        <v>7719</v>
      </c>
      <c r="O1181">
        <v>5.58</v>
      </c>
      <c r="P1181">
        <v>5.5</v>
      </c>
      <c r="Q1181">
        <v>5.52</v>
      </c>
      <c r="R1181">
        <v>5.53</v>
      </c>
      <c r="S1181">
        <v>1.45</v>
      </c>
      <c r="T1181">
        <v>0.76</v>
      </c>
      <c r="U1181">
        <v>-20.85</v>
      </c>
      <c r="V1181">
        <v>-8995</v>
      </c>
      <c r="W1181">
        <v>5.54</v>
      </c>
      <c r="X1181" t="s">
        <v>2859</v>
      </c>
      <c r="Y1181" t="s">
        <v>1493</v>
      </c>
      <c r="Z1181">
        <v>1.16</v>
      </c>
      <c r="AA1181">
        <v>3345</v>
      </c>
      <c r="AB1181" t="s">
        <v>209</v>
      </c>
      <c r="AC1181">
        <v>0.73</v>
      </c>
      <c r="AD1181" t="s">
        <v>7720</v>
      </c>
      <c r="AE1181" t="s">
        <v>7721</v>
      </c>
      <c r="AF1181" t="s">
        <v>7720</v>
      </c>
      <c r="AG1181" t="s">
        <v>7721</v>
      </c>
      <c r="AH1181">
        <v>-2.13</v>
      </c>
      <c r="AI1181">
        <v>-2.82</v>
      </c>
      <c r="AJ1181">
        <v>1.8</v>
      </c>
      <c r="AK1181">
        <v>3.47</v>
      </c>
      <c r="AL1181">
        <v>-1</v>
      </c>
      <c r="AM1181">
        <v>-0.18</v>
      </c>
      <c r="AN1181">
        <v>23.77</v>
      </c>
      <c r="AO1181">
        <v>-2.47</v>
      </c>
      <c r="AP1181">
        <v>27.19</v>
      </c>
    </row>
    <row r="1182" spans="1:42">
      <c r="A1182">
        <v>1181</v>
      </c>
      <c r="B1182" t="str">
        <f>"688303"</f>
        <v>688303</v>
      </c>
      <c r="C1182" t="s">
        <v>7722</v>
      </c>
      <c r="D1182">
        <v>30.47</v>
      </c>
      <c r="E1182">
        <v>-1.04</v>
      </c>
      <c r="F1182">
        <v>-0.32</v>
      </c>
      <c r="G1182" t="s">
        <v>5192</v>
      </c>
      <c r="H1182">
        <v>391</v>
      </c>
      <c r="I1182">
        <v>30.47</v>
      </c>
      <c r="J1182">
        <v>30.48</v>
      </c>
      <c r="K1182" t="s">
        <v>7709</v>
      </c>
      <c r="L1182">
        <v>1.1</v>
      </c>
      <c r="M1182" t="s">
        <v>46</v>
      </c>
      <c r="N1182" t="s">
        <v>7723</v>
      </c>
      <c r="O1182">
        <v>30.77</v>
      </c>
      <c r="P1182">
        <v>30.15</v>
      </c>
      <c r="Q1182">
        <v>30.75</v>
      </c>
      <c r="R1182">
        <v>30.79</v>
      </c>
      <c r="S1182">
        <v>2.01</v>
      </c>
      <c r="T1182">
        <v>1.04</v>
      </c>
      <c r="U1182">
        <v>-19.29</v>
      </c>
      <c r="V1182">
        <v>-310</v>
      </c>
      <c r="W1182">
        <v>30.44</v>
      </c>
      <c r="X1182" t="s">
        <v>6418</v>
      </c>
      <c r="Y1182" t="s">
        <v>541</v>
      </c>
      <c r="Z1182">
        <v>0.98</v>
      </c>
      <c r="AA1182">
        <v>334</v>
      </c>
      <c r="AB1182">
        <v>21</v>
      </c>
      <c r="AC1182">
        <v>1.51</v>
      </c>
      <c r="AD1182" t="s">
        <v>169</v>
      </c>
      <c r="AE1182" t="s">
        <v>7724</v>
      </c>
      <c r="AF1182" t="s">
        <v>7725</v>
      </c>
      <c r="AG1182" t="s">
        <v>7726</v>
      </c>
      <c r="AH1182">
        <v>-3.76</v>
      </c>
      <c r="AI1182">
        <v>-8.25</v>
      </c>
      <c r="AJ1182">
        <v>3.36</v>
      </c>
      <c r="AK1182">
        <v>6.38</v>
      </c>
      <c r="AL1182">
        <v>-6</v>
      </c>
      <c r="AM1182">
        <v>-1.04</v>
      </c>
      <c r="AN1182">
        <v>-30.88</v>
      </c>
      <c r="AO1182">
        <v>-13.02</v>
      </c>
      <c r="AP1182">
        <v>-40.3</v>
      </c>
    </row>
    <row r="1183" spans="1:42">
      <c r="A1183">
        <v>1182</v>
      </c>
      <c r="B1183" t="str">
        <f>"002316"</f>
        <v>002316</v>
      </c>
      <c r="C1183" t="s">
        <v>7727</v>
      </c>
      <c r="D1183">
        <v>6.32</v>
      </c>
      <c r="E1183">
        <v>2.6</v>
      </c>
      <c r="F1183">
        <v>0.16</v>
      </c>
      <c r="G1183" t="s">
        <v>282</v>
      </c>
      <c r="H1183">
        <v>6649</v>
      </c>
      <c r="I1183">
        <v>6.32</v>
      </c>
      <c r="J1183">
        <v>6.33</v>
      </c>
      <c r="K1183" t="s">
        <v>7709</v>
      </c>
      <c r="L1183">
        <v>8.79</v>
      </c>
      <c r="M1183" t="s">
        <v>46</v>
      </c>
      <c r="N1183" t="s">
        <v>2281</v>
      </c>
      <c r="O1183">
        <v>6.34</v>
      </c>
      <c r="P1183">
        <v>6.15</v>
      </c>
      <c r="Q1183">
        <v>6.18</v>
      </c>
      <c r="R1183">
        <v>6.16</v>
      </c>
      <c r="S1183">
        <v>3.08</v>
      </c>
      <c r="T1183">
        <v>0.76</v>
      </c>
      <c r="U1183">
        <v>-5.08</v>
      </c>
      <c r="V1183">
        <v>-942</v>
      </c>
      <c r="W1183">
        <v>6.27</v>
      </c>
      <c r="X1183" t="s">
        <v>2960</v>
      </c>
      <c r="Y1183" t="s">
        <v>561</v>
      </c>
      <c r="Z1183">
        <v>0.72</v>
      </c>
      <c r="AA1183">
        <v>1481</v>
      </c>
      <c r="AB1183">
        <v>1923</v>
      </c>
      <c r="AC1183">
        <v>29.12</v>
      </c>
      <c r="AD1183" t="s">
        <v>7728</v>
      </c>
      <c r="AE1183" t="s">
        <v>7729</v>
      </c>
      <c r="AF1183" t="s">
        <v>7730</v>
      </c>
      <c r="AG1183" t="s">
        <v>7731</v>
      </c>
      <c r="AH1183">
        <v>-1.1</v>
      </c>
      <c r="AI1183">
        <v>2.6</v>
      </c>
      <c r="AJ1183">
        <v>30.49</v>
      </c>
      <c r="AK1183">
        <v>66.61</v>
      </c>
      <c r="AL1183">
        <v>1</v>
      </c>
      <c r="AM1183">
        <v>2.6</v>
      </c>
      <c r="AN1183">
        <v>80.06</v>
      </c>
      <c r="AO1183">
        <v>9.53</v>
      </c>
      <c r="AP1183">
        <v>70.35</v>
      </c>
    </row>
    <row r="1184" spans="1:42">
      <c r="A1184">
        <v>1183</v>
      </c>
      <c r="B1184" t="str">
        <f>"300457"</f>
        <v>300457</v>
      </c>
      <c r="C1184" t="s">
        <v>7732</v>
      </c>
      <c r="D1184">
        <v>18.42</v>
      </c>
      <c r="E1184">
        <v>0.93</v>
      </c>
      <c r="F1184">
        <v>0.17</v>
      </c>
      <c r="G1184" t="s">
        <v>7733</v>
      </c>
      <c r="H1184">
        <v>762</v>
      </c>
      <c r="I1184">
        <v>18.41</v>
      </c>
      <c r="J1184">
        <v>18.42</v>
      </c>
      <c r="K1184" t="s">
        <v>7709</v>
      </c>
      <c r="L1184">
        <v>1.81</v>
      </c>
      <c r="M1184" t="s">
        <v>46</v>
      </c>
      <c r="N1184" t="s">
        <v>7734</v>
      </c>
      <c r="O1184">
        <v>18.43</v>
      </c>
      <c r="P1184">
        <v>18.08</v>
      </c>
      <c r="Q1184">
        <v>18.25</v>
      </c>
      <c r="R1184">
        <v>18.25</v>
      </c>
      <c r="S1184">
        <v>1.92</v>
      </c>
      <c r="T1184">
        <v>0.77</v>
      </c>
      <c r="U1184">
        <v>-12.49</v>
      </c>
      <c r="V1184">
        <v>-171</v>
      </c>
      <c r="W1184">
        <v>18.28</v>
      </c>
      <c r="X1184" t="s">
        <v>7735</v>
      </c>
      <c r="Y1184" t="s">
        <v>6203</v>
      </c>
      <c r="Z1184">
        <v>0.98</v>
      </c>
      <c r="AA1184">
        <v>366</v>
      </c>
      <c r="AB1184">
        <v>161</v>
      </c>
      <c r="AC1184">
        <v>1.95</v>
      </c>
      <c r="AD1184" t="s">
        <v>7736</v>
      </c>
      <c r="AE1184" t="s">
        <v>7737</v>
      </c>
      <c r="AF1184" t="s">
        <v>7738</v>
      </c>
      <c r="AG1184" t="s">
        <v>7739</v>
      </c>
      <c r="AH1184">
        <v>-3.1</v>
      </c>
      <c r="AI1184">
        <v>-5.34</v>
      </c>
      <c r="AJ1184">
        <v>6.99</v>
      </c>
      <c r="AK1184">
        <v>13.49</v>
      </c>
      <c r="AL1184">
        <v>1</v>
      </c>
      <c r="AM1184">
        <v>0.93</v>
      </c>
      <c r="AN1184">
        <v>5.56</v>
      </c>
      <c r="AO1184">
        <v>-6.73</v>
      </c>
      <c r="AP1184">
        <v>-6.21</v>
      </c>
    </row>
    <row r="1185" spans="1:42">
      <c r="A1185">
        <v>1184</v>
      </c>
      <c r="B1185" t="str">
        <f>"002194"</f>
        <v>002194</v>
      </c>
      <c r="C1185" t="s">
        <v>7740</v>
      </c>
      <c r="D1185">
        <v>10.77</v>
      </c>
      <c r="E1185">
        <v>1.99</v>
      </c>
      <c r="F1185">
        <v>0.21</v>
      </c>
      <c r="G1185" t="s">
        <v>665</v>
      </c>
      <c r="H1185">
        <v>2342</v>
      </c>
      <c r="I1185">
        <v>10.77</v>
      </c>
      <c r="J1185">
        <v>10.78</v>
      </c>
      <c r="K1185" t="s">
        <v>7741</v>
      </c>
      <c r="L1185">
        <v>3.19</v>
      </c>
      <c r="M1185" t="s">
        <v>46</v>
      </c>
      <c r="N1185" t="s">
        <v>7742</v>
      </c>
      <c r="O1185">
        <v>10.78</v>
      </c>
      <c r="P1185">
        <v>10.48</v>
      </c>
      <c r="Q1185">
        <v>10.56</v>
      </c>
      <c r="R1185">
        <v>10.56</v>
      </c>
      <c r="S1185">
        <v>2.84</v>
      </c>
      <c r="T1185">
        <v>1.18</v>
      </c>
      <c r="U1185">
        <v>-41.02</v>
      </c>
      <c r="V1185">
        <v>-3598</v>
      </c>
      <c r="W1185">
        <v>10.67</v>
      </c>
      <c r="X1185" t="s">
        <v>7743</v>
      </c>
      <c r="Y1185" t="s">
        <v>4987</v>
      </c>
      <c r="Z1185">
        <v>0.67</v>
      </c>
      <c r="AA1185">
        <v>24</v>
      </c>
      <c r="AB1185">
        <v>2743</v>
      </c>
      <c r="AC1185">
        <v>2.85</v>
      </c>
      <c r="AD1185" t="s">
        <v>2362</v>
      </c>
      <c r="AE1185" t="s">
        <v>7744</v>
      </c>
      <c r="AF1185" t="s">
        <v>7745</v>
      </c>
      <c r="AG1185" t="s">
        <v>7746</v>
      </c>
      <c r="AH1185">
        <v>0.37</v>
      </c>
      <c r="AI1185">
        <v>-1.55</v>
      </c>
      <c r="AJ1185">
        <v>7.94</v>
      </c>
      <c r="AK1185">
        <v>16.68</v>
      </c>
      <c r="AL1185">
        <v>1</v>
      </c>
      <c r="AM1185">
        <v>1.99</v>
      </c>
      <c r="AN1185">
        <v>20.88</v>
      </c>
      <c r="AO1185">
        <v>0.37</v>
      </c>
      <c r="AP1185">
        <v>1.7</v>
      </c>
    </row>
    <row r="1186" spans="1:42">
      <c r="A1186">
        <v>1185</v>
      </c>
      <c r="B1186" t="str">
        <f>"301310"</f>
        <v>301310</v>
      </c>
      <c r="C1186" t="s">
        <v>7747</v>
      </c>
      <c r="D1186">
        <v>52.2</v>
      </c>
      <c r="E1186">
        <v>-1.14</v>
      </c>
      <c r="F1186">
        <v>-0.6</v>
      </c>
      <c r="G1186" t="s">
        <v>1600</v>
      </c>
      <c r="H1186">
        <v>852</v>
      </c>
      <c r="I1186">
        <v>52.2</v>
      </c>
      <c r="J1186">
        <v>52.21</v>
      </c>
      <c r="K1186" t="s">
        <v>7741</v>
      </c>
      <c r="L1186">
        <v>14.8</v>
      </c>
      <c r="M1186" t="s">
        <v>46</v>
      </c>
      <c r="N1186" t="s">
        <v>1592</v>
      </c>
      <c r="O1186">
        <v>54.75</v>
      </c>
      <c r="P1186">
        <v>51.8</v>
      </c>
      <c r="Q1186">
        <v>52.7</v>
      </c>
      <c r="R1186">
        <v>52.8</v>
      </c>
      <c r="S1186">
        <v>5.59</v>
      </c>
      <c r="T1186">
        <v>1.03</v>
      </c>
      <c r="U1186">
        <v>32.1</v>
      </c>
      <c r="V1186">
        <v>52</v>
      </c>
      <c r="W1186">
        <v>52.95</v>
      </c>
      <c r="X1186" t="s">
        <v>2878</v>
      </c>
      <c r="Y1186" t="s">
        <v>1769</v>
      </c>
      <c r="Z1186">
        <v>1.25</v>
      </c>
      <c r="AA1186">
        <v>71</v>
      </c>
      <c r="AB1186">
        <v>1</v>
      </c>
      <c r="AC1186">
        <v>2.25</v>
      </c>
      <c r="AD1186" t="s">
        <v>7748</v>
      </c>
      <c r="AE1186" t="s">
        <v>7749</v>
      </c>
      <c r="AF1186" t="s">
        <v>7750</v>
      </c>
      <c r="AG1186" t="s">
        <v>5330</v>
      </c>
      <c r="AH1186">
        <v>-1.97</v>
      </c>
      <c r="AI1186">
        <v>-1.42</v>
      </c>
      <c r="AJ1186">
        <v>69.02</v>
      </c>
      <c r="AK1186">
        <v>87.04</v>
      </c>
      <c r="AL1186">
        <v>-2</v>
      </c>
      <c r="AM1186">
        <v>-1.14</v>
      </c>
      <c r="AN1186">
        <v>-21.83</v>
      </c>
      <c r="AO1186">
        <v>2.96</v>
      </c>
      <c r="AP1186">
        <v>-21.83</v>
      </c>
    </row>
    <row r="1187" spans="1:42">
      <c r="A1187">
        <v>1186</v>
      </c>
      <c r="B1187" t="str">
        <f>"300313"</f>
        <v>300313</v>
      </c>
      <c r="C1187" t="s">
        <v>7751</v>
      </c>
      <c r="D1187">
        <v>11.71</v>
      </c>
      <c r="E1187">
        <v>2.18</v>
      </c>
      <c r="F1187">
        <v>0.25</v>
      </c>
      <c r="G1187" t="s">
        <v>598</v>
      </c>
      <c r="H1187">
        <v>2303</v>
      </c>
      <c r="I1187">
        <v>11.71</v>
      </c>
      <c r="J1187">
        <v>11.72</v>
      </c>
      <c r="K1187" t="s">
        <v>7741</v>
      </c>
      <c r="L1187">
        <v>8.04</v>
      </c>
      <c r="M1187" t="s">
        <v>46</v>
      </c>
      <c r="N1187" t="s">
        <v>7752</v>
      </c>
      <c r="O1187">
        <v>11.95</v>
      </c>
      <c r="P1187">
        <v>11.31</v>
      </c>
      <c r="Q1187">
        <v>11.5</v>
      </c>
      <c r="R1187">
        <v>11.46</v>
      </c>
      <c r="S1187">
        <v>5.58</v>
      </c>
      <c r="T1187">
        <v>0.78</v>
      </c>
      <c r="U1187">
        <v>20.48</v>
      </c>
      <c r="V1187">
        <v>377</v>
      </c>
      <c r="W1187">
        <v>11.69</v>
      </c>
      <c r="X1187" t="s">
        <v>7753</v>
      </c>
      <c r="Y1187" t="s">
        <v>494</v>
      </c>
      <c r="Z1187">
        <v>0.94</v>
      </c>
      <c r="AA1187">
        <v>254</v>
      </c>
      <c r="AB1187">
        <v>81</v>
      </c>
      <c r="AC1187">
        <v>51.46</v>
      </c>
      <c r="AD1187" t="s">
        <v>1647</v>
      </c>
      <c r="AE1187" t="s">
        <v>7754</v>
      </c>
      <c r="AF1187" t="s">
        <v>7755</v>
      </c>
      <c r="AG1187" t="s">
        <v>7756</v>
      </c>
      <c r="AH1187">
        <v>-7.43</v>
      </c>
      <c r="AI1187">
        <v>-8.59</v>
      </c>
      <c r="AJ1187">
        <v>27.41</v>
      </c>
      <c r="AK1187">
        <v>59.34</v>
      </c>
      <c r="AL1187">
        <v>1</v>
      </c>
      <c r="AM1187">
        <v>2.18</v>
      </c>
      <c r="AN1187">
        <v>90.1</v>
      </c>
      <c r="AO1187">
        <v>-12.28</v>
      </c>
      <c r="AP1187">
        <v>85.28</v>
      </c>
    </row>
    <row r="1188" spans="1:42">
      <c r="A1188">
        <v>1187</v>
      </c>
      <c r="B1188" t="str">
        <f>"000837"</f>
        <v>000837</v>
      </c>
      <c r="C1188" t="s">
        <v>7757</v>
      </c>
      <c r="D1188">
        <v>11.34</v>
      </c>
      <c r="E1188">
        <v>-1.48</v>
      </c>
      <c r="F1188">
        <v>-0.17</v>
      </c>
      <c r="G1188" t="s">
        <v>978</v>
      </c>
      <c r="H1188">
        <v>2321</v>
      </c>
      <c r="I1188">
        <v>11.34</v>
      </c>
      <c r="J1188">
        <v>11.35</v>
      </c>
      <c r="K1188" t="s">
        <v>7741</v>
      </c>
      <c r="L1188">
        <v>2.2</v>
      </c>
      <c r="M1188" t="s">
        <v>46</v>
      </c>
      <c r="N1188" t="s">
        <v>3138</v>
      </c>
      <c r="O1188">
        <v>11.4</v>
      </c>
      <c r="P1188">
        <v>11.25</v>
      </c>
      <c r="Q1188">
        <v>11.38</v>
      </c>
      <c r="R1188">
        <v>11.51</v>
      </c>
      <c r="S1188">
        <v>1.3</v>
      </c>
      <c r="T1188">
        <v>0.88</v>
      </c>
      <c r="U1188">
        <v>12.44</v>
      </c>
      <c r="V1188">
        <v>1236</v>
      </c>
      <c r="W1188">
        <v>11.32</v>
      </c>
      <c r="X1188" t="s">
        <v>2131</v>
      </c>
      <c r="Y1188" t="s">
        <v>2705</v>
      </c>
      <c r="Z1188">
        <v>1.43</v>
      </c>
      <c r="AA1188">
        <v>1489</v>
      </c>
      <c r="AB1188">
        <v>694</v>
      </c>
      <c r="AC1188">
        <v>2.39</v>
      </c>
      <c r="AD1188" t="s">
        <v>7758</v>
      </c>
      <c r="AE1188" t="s">
        <v>7759</v>
      </c>
      <c r="AF1188" t="s">
        <v>7760</v>
      </c>
      <c r="AG1188" t="s">
        <v>7761</v>
      </c>
      <c r="AH1188">
        <v>-0.53</v>
      </c>
      <c r="AI1188">
        <v>-3.16</v>
      </c>
      <c r="AJ1188">
        <v>8.21</v>
      </c>
      <c r="AK1188">
        <v>14.76</v>
      </c>
      <c r="AL1188">
        <v>-2</v>
      </c>
      <c r="AM1188">
        <v>-1.48</v>
      </c>
      <c r="AN1188">
        <v>18.37</v>
      </c>
      <c r="AO1188">
        <v>3.18</v>
      </c>
      <c r="AP1188">
        <v>7.28</v>
      </c>
    </row>
    <row r="1189" spans="1:42">
      <c r="A1189">
        <v>1188</v>
      </c>
      <c r="B1189" t="str">
        <f>"002963"</f>
        <v>002963</v>
      </c>
      <c r="C1189" t="s">
        <v>7762</v>
      </c>
      <c r="D1189">
        <v>16.28</v>
      </c>
      <c r="E1189">
        <v>1.12</v>
      </c>
      <c r="F1189">
        <v>0.18</v>
      </c>
      <c r="G1189" t="s">
        <v>881</v>
      </c>
      <c r="H1189">
        <v>717</v>
      </c>
      <c r="I1189">
        <v>16.28</v>
      </c>
      <c r="J1189">
        <v>16.29</v>
      </c>
      <c r="K1189" t="s">
        <v>7741</v>
      </c>
      <c r="L1189">
        <v>8.52</v>
      </c>
      <c r="M1189" t="s">
        <v>46</v>
      </c>
      <c r="N1189" t="s">
        <v>2281</v>
      </c>
      <c r="O1189">
        <v>16.91</v>
      </c>
      <c r="P1189">
        <v>16.18</v>
      </c>
      <c r="Q1189">
        <v>16.33</v>
      </c>
      <c r="R1189">
        <v>16.1</v>
      </c>
      <c r="S1189">
        <v>4.53</v>
      </c>
      <c r="T1189">
        <v>2.47</v>
      </c>
      <c r="U1189">
        <v>-30.17</v>
      </c>
      <c r="V1189">
        <v>-369</v>
      </c>
      <c r="W1189">
        <v>16.5</v>
      </c>
      <c r="X1189" t="s">
        <v>1988</v>
      </c>
      <c r="Y1189" t="s">
        <v>7763</v>
      </c>
      <c r="Z1189">
        <v>1</v>
      </c>
      <c r="AA1189">
        <v>22</v>
      </c>
      <c r="AB1189">
        <v>173</v>
      </c>
      <c r="AC1189">
        <v>1.61</v>
      </c>
      <c r="AD1189" t="s">
        <v>7764</v>
      </c>
      <c r="AE1189" t="s">
        <v>7765</v>
      </c>
      <c r="AF1189" t="s">
        <v>7766</v>
      </c>
      <c r="AG1189" t="s">
        <v>7767</v>
      </c>
      <c r="AH1189">
        <v>4.16</v>
      </c>
      <c r="AI1189">
        <v>4.16</v>
      </c>
      <c r="AJ1189">
        <v>19.52</v>
      </c>
      <c r="AK1189">
        <v>25.78</v>
      </c>
      <c r="AL1189">
        <v>2</v>
      </c>
      <c r="AM1189">
        <v>1.12</v>
      </c>
      <c r="AN1189">
        <v>18.4</v>
      </c>
      <c r="AO1189">
        <v>-1.45</v>
      </c>
      <c r="AP1189">
        <v>19.53</v>
      </c>
    </row>
    <row r="1190" spans="1:42">
      <c r="A1190">
        <v>1189</v>
      </c>
      <c r="B1190" t="str">
        <f>"603190"</f>
        <v>603190</v>
      </c>
      <c r="C1190" t="s">
        <v>7768</v>
      </c>
      <c r="D1190">
        <v>34.3</v>
      </c>
      <c r="E1190">
        <v>1.78</v>
      </c>
      <c r="F1190">
        <v>0.6</v>
      </c>
      <c r="G1190" t="s">
        <v>3722</v>
      </c>
      <c r="H1190">
        <v>704</v>
      </c>
      <c r="I1190">
        <v>34.29</v>
      </c>
      <c r="J1190">
        <v>34.3</v>
      </c>
      <c r="K1190" t="s">
        <v>7741</v>
      </c>
      <c r="L1190">
        <v>16.82</v>
      </c>
      <c r="M1190" t="s">
        <v>46</v>
      </c>
      <c r="N1190" t="s">
        <v>517</v>
      </c>
      <c r="O1190">
        <v>35.17</v>
      </c>
      <c r="P1190">
        <v>33.03</v>
      </c>
      <c r="Q1190">
        <v>34</v>
      </c>
      <c r="R1190">
        <v>33.7</v>
      </c>
      <c r="S1190">
        <v>6.35</v>
      </c>
      <c r="T1190">
        <v>1.75</v>
      </c>
      <c r="U1190">
        <v>24.03</v>
      </c>
      <c r="V1190">
        <v>136</v>
      </c>
      <c r="W1190">
        <v>34.21</v>
      </c>
      <c r="X1190" t="s">
        <v>4013</v>
      </c>
      <c r="Y1190" t="s">
        <v>4422</v>
      </c>
      <c r="Z1190">
        <v>0.97</v>
      </c>
      <c r="AA1190">
        <v>64</v>
      </c>
      <c r="AB1190">
        <v>3</v>
      </c>
      <c r="AC1190">
        <v>2.02</v>
      </c>
      <c r="AD1190" t="s">
        <v>5210</v>
      </c>
      <c r="AE1190" t="s">
        <v>6799</v>
      </c>
      <c r="AF1190" t="s">
        <v>7769</v>
      </c>
      <c r="AG1190" t="s">
        <v>7770</v>
      </c>
      <c r="AH1190">
        <v>1.45</v>
      </c>
      <c r="AI1190">
        <v>1.24</v>
      </c>
      <c r="AJ1190">
        <v>36.49</v>
      </c>
      <c r="AK1190">
        <v>64.91</v>
      </c>
      <c r="AL1190">
        <v>2</v>
      </c>
      <c r="AM1190">
        <v>1.78</v>
      </c>
      <c r="AN1190">
        <v>19.14</v>
      </c>
      <c r="AO1190">
        <v>5.9</v>
      </c>
      <c r="AP1190">
        <v>19.14</v>
      </c>
    </row>
    <row r="1191" spans="1:42">
      <c r="A1191">
        <v>1190</v>
      </c>
      <c r="B1191" t="str">
        <f>"300346"</f>
        <v>300346</v>
      </c>
      <c r="C1191" t="s">
        <v>7771</v>
      </c>
      <c r="D1191">
        <v>28.93</v>
      </c>
      <c r="E1191">
        <v>0.7</v>
      </c>
      <c r="F1191">
        <v>0.2</v>
      </c>
      <c r="G1191" t="s">
        <v>6561</v>
      </c>
      <c r="H1191">
        <v>952</v>
      </c>
      <c r="I1191">
        <v>28.92</v>
      </c>
      <c r="J1191">
        <v>28.93</v>
      </c>
      <c r="K1191" t="s">
        <v>7741</v>
      </c>
      <c r="L1191">
        <v>1.17</v>
      </c>
      <c r="M1191" t="s">
        <v>46</v>
      </c>
      <c r="N1191" t="s">
        <v>5022</v>
      </c>
      <c r="O1191">
        <v>28.98</v>
      </c>
      <c r="P1191">
        <v>28.57</v>
      </c>
      <c r="Q1191">
        <v>28.72</v>
      </c>
      <c r="R1191">
        <v>28.73</v>
      </c>
      <c r="S1191">
        <v>1.43</v>
      </c>
      <c r="T1191">
        <v>0.97</v>
      </c>
      <c r="U1191">
        <v>-46.89</v>
      </c>
      <c r="V1191">
        <v>-766</v>
      </c>
      <c r="W1191">
        <v>28.75</v>
      </c>
      <c r="X1191" t="s">
        <v>5266</v>
      </c>
      <c r="Y1191" t="s">
        <v>6097</v>
      </c>
      <c r="Z1191">
        <v>1.07</v>
      </c>
      <c r="AA1191">
        <v>79</v>
      </c>
      <c r="AB1191">
        <v>355</v>
      </c>
      <c r="AC1191">
        <v>7.2</v>
      </c>
      <c r="AD1191" t="s">
        <v>7772</v>
      </c>
      <c r="AE1191" t="s">
        <v>7773</v>
      </c>
      <c r="AF1191" t="s">
        <v>7774</v>
      </c>
      <c r="AG1191" t="s">
        <v>7775</v>
      </c>
      <c r="AH1191">
        <v>-1.97</v>
      </c>
      <c r="AI1191">
        <v>-3.37</v>
      </c>
      <c r="AJ1191">
        <v>3.68</v>
      </c>
      <c r="AK1191">
        <v>7.17</v>
      </c>
      <c r="AL1191">
        <v>1</v>
      </c>
      <c r="AM1191">
        <v>0.7</v>
      </c>
      <c r="AN1191">
        <v>0</v>
      </c>
      <c r="AO1191">
        <v>-6.47</v>
      </c>
      <c r="AP1191">
        <v>-15.29</v>
      </c>
    </row>
    <row r="1192" spans="1:42">
      <c r="A1192">
        <v>1191</v>
      </c>
      <c r="B1192" t="str">
        <f>"300467"</f>
        <v>300467</v>
      </c>
      <c r="C1192" t="s">
        <v>7776</v>
      </c>
      <c r="D1192">
        <v>17.25</v>
      </c>
      <c r="E1192">
        <v>4.04</v>
      </c>
      <c r="F1192">
        <v>0.67</v>
      </c>
      <c r="G1192" t="s">
        <v>110</v>
      </c>
      <c r="H1192">
        <v>1938</v>
      </c>
      <c r="I1192">
        <v>17.24</v>
      </c>
      <c r="J1192">
        <v>17.25</v>
      </c>
      <c r="K1192" t="s">
        <v>7741</v>
      </c>
      <c r="L1192">
        <v>6.11</v>
      </c>
      <c r="M1192" t="s">
        <v>46</v>
      </c>
      <c r="N1192" t="s">
        <v>5008</v>
      </c>
      <c r="O1192">
        <v>17.42</v>
      </c>
      <c r="P1192">
        <v>16.38</v>
      </c>
      <c r="Q1192">
        <v>16.51</v>
      </c>
      <c r="R1192">
        <v>16.58</v>
      </c>
      <c r="S1192">
        <v>6.27</v>
      </c>
      <c r="T1192">
        <v>1.85</v>
      </c>
      <c r="U1192">
        <v>56.99</v>
      </c>
      <c r="V1192">
        <v>779</v>
      </c>
      <c r="W1192">
        <v>17.05</v>
      </c>
      <c r="X1192" t="s">
        <v>3103</v>
      </c>
      <c r="Y1192" t="s">
        <v>4584</v>
      </c>
      <c r="Z1192">
        <v>0.77</v>
      </c>
      <c r="AA1192">
        <v>670</v>
      </c>
      <c r="AB1192">
        <v>61</v>
      </c>
      <c r="AC1192">
        <v>5.66</v>
      </c>
      <c r="AD1192" t="s">
        <v>7777</v>
      </c>
      <c r="AE1192" t="s">
        <v>7778</v>
      </c>
      <c r="AF1192" t="s">
        <v>7779</v>
      </c>
      <c r="AG1192" t="s">
        <v>853</v>
      </c>
      <c r="AH1192">
        <v>5.5</v>
      </c>
      <c r="AI1192">
        <v>2.56</v>
      </c>
      <c r="AJ1192">
        <v>12.03</v>
      </c>
      <c r="AK1192">
        <v>22.63</v>
      </c>
      <c r="AL1192">
        <v>4</v>
      </c>
      <c r="AM1192">
        <v>4.04</v>
      </c>
      <c r="AN1192">
        <v>44.84</v>
      </c>
      <c r="AO1192">
        <v>12.09</v>
      </c>
      <c r="AP1192">
        <v>50.26</v>
      </c>
    </row>
    <row r="1193" spans="1:42">
      <c r="A1193">
        <v>1192</v>
      </c>
      <c r="B1193" t="str">
        <f>"688728"</f>
        <v>688728</v>
      </c>
      <c r="C1193" t="s">
        <v>7780</v>
      </c>
      <c r="D1193">
        <v>20.64</v>
      </c>
      <c r="E1193">
        <v>0.54</v>
      </c>
      <c r="F1193">
        <v>0.11</v>
      </c>
      <c r="G1193" t="s">
        <v>3743</v>
      </c>
      <c r="H1193">
        <v>630</v>
      </c>
      <c r="I1193">
        <v>20.64</v>
      </c>
      <c r="J1193">
        <v>20.65</v>
      </c>
      <c r="K1193" t="s">
        <v>7741</v>
      </c>
      <c r="L1193">
        <v>0.75</v>
      </c>
      <c r="M1193" t="s">
        <v>46</v>
      </c>
      <c r="N1193" t="s">
        <v>3390</v>
      </c>
      <c r="O1193">
        <v>20.9</v>
      </c>
      <c r="P1193">
        <v>20.33</v>
      </c>
      <c r="Q1193">
        <v>20.9</v>
      </c>
      <c r="R1193">
        <v>20.53</v>
      </c>
      <c r="S1193">
        <v>2.78</v>
      </c>
      <c r="T1193">
        <v>0.73</v>
      </c>
      <c r="U1193">
        <v>-55.12</v>
      </c>
      <c r="V1193">
        <v>-328</v>
      </c>
      <c r="W1193">
        <v>20.61</v>
      </c>
      <c r="X1193" t="s">
        <v>6833</v>
      </c>
      <c r="Y1193" t="s">
        <v>7781</v>
      </c>
      <c r="Z1193">
        <v>1.34</v>
      </c>
      <c r="AA1193">
        <v>23</v>
      </c>
      <c r="AB1193">
        <v>75</v>
      </c>
      <c r="AC1193">
        <v>6.75</v>
      </c>
      <c r="AD1193" t="s">
        <v>7782</v>
      </c>
      <c r="AE1193" t="s">
        <v>136</v>
      </c>
      <c r="AF1193" t="s">
        <v>7783</v>
      </c>
      <c r="AG1193" t="s">
        <v>4919</v>
      </c>
      <c r="AH1193">
        <v>2.58</v>
      </c>
      <c r="AI1193">
        <v>6.01</v>
      </c>
      <c r="AJ1193">
        <v>2.75</v>
      </c>
      <c r="AK1193">
        <v>5.87</v>
      </c>
      <c r="AL1193">
        <v>1</v>
      </c>
      <c r="AM1193">
        <v>0.54</v>
      </c>
      <c r="AN1193">
        <v>17.88</v>
      </c>
      <c r="AO1193">
        <v>9.32</v>
      </c>
      <c r="AP1193">
        <v>17.21</v>
      </c>
    </row>
    <row r="1194" spans="1:42">
      <c r="A1194">
        <v>1193</v>
      </c>
      <c r="B1194" t="str">
        <f>"002372"</f>
        <v>002372</v>
      </c>
      <c r="C1194" t="s">
        <v>7784</v>
      </c>
      <c r="D1194">
        <v>14.75</v>
      </c>
      <c r="E1194">
        <v>-1.4</v>
      </c>
      <c r="F1194">
        <v>-0.21</v>
      </c>
      <c r="G1194" t="s">
        <v>1807</v>
      </c>
      <c r="H1194">
        <v>717</v>
      </c>
      <c r="I1194">
        <v>14.74</v>
      </c>
      <c r="J1194">
        <v>14.75</v>
      </c>
      <c r="K1194" t="s">
        <v>7785</v>
      </c>
      <c r="L1194">
        <v>0.8</v>
      </c>
      <c r="M1194" t="s">
        <v>46</v>
      </c>
      <c r="N1194" t="s">
        <v>7786</v>
      </c>
      <c r="O1194">
        <v>14.96</v>
      </c>
      <c r="P1194">
        <v>14.55</v>
      </c>
      <c r="Q1194">
        <v>14.89</v>
      </c>
      <c r="R1194">
        <v>14.96</v>
      </c>
      <c r="S1194">
        <v>2.74</v>
      </c>
      <c r="T1194">
        <v>1.2</v>
      </c>
      <c r="U1194">
        <v>4.91</v>
      </c>
      <c r="V1194">
        <v>76</v>
      </c>
      <c r="W1194">
        <v>14.7</v>
      </c>
      <c r="X1194" t="s">
        <v>3090</v>
      </c>
      <c r="Y1194" t="s">
        <v>7787</v>
      </c>
      <c r="Z1194">
        <v>1.03</v>
      </c>
      <c r="AA1194">
        <v>65</v>
      </c>
      <c r="AB1194">
        <v>15</v>
      </c>
      <c r="AC1194">
        <v>4.47</v>
      </c>
      <c r="AD1194" t="s">
        <v>7788</v>
      </c>
      <c r="AE1194" t="s">
        <v>7789</v>
      </c>
      <c r="AF1194" t="s">
        <v>7790</v>
      </c>
      <c r="AG1194" t="s">
        <v>7791</v>
      </c>
      <c r="AH1194">
        <v>-4.22</v>
      </c>
      <c r="AI1194">
        <v>-5.87</v>
      </c>
      <c r="AJ1194">
        <v>2.15</v>
      </c>
      <c r="AK1194">
        <v>4.13</v>
      </c>
      <c r="AL1194">
        <v>-3</v>
      </c>
      <c r="AM1194">
        <v>-1.4</v>
      </c>
      <c r="AN1194">
        <v>-28.88</v>
      </c>
      <c r="AO1194">
        <v>-10.61</v>
      </c>
      <c r="AP1194">
        <v>-26.65</v>
      </c>
    </row>
    <row r="1195" spans="1:42">
      <c r="A1195">
        <v>1194</v>
      </c>
      <c r="B1195" t="str">
        <f>"002275"</f>
        <v>002275</v>
      </c>
      <c r="C1195" t="s">
        <v>7792</v>
      </c>
      <c r="D1195">
        <v>15.5</v>
      </c>
      <c r="E1195">
        <v>-1.52</v>
      </c>
      <c r="F1195">
        <v>-0.24</v>
      </c>
      <c r="G1195" t="s">
        <v>829</v>
      </c>
      <c r="H1195">
        <v>1978</v>
      </c>
      <c r="I1195">
        <v>15.5</v>
      </c>
      <c r="J1195">
        <v>15.51</v>
      </c>
      <c r="K1195" t="s">
        <v>7785</v>
      </c>
      <c r="L1195">
        <v>1.98</v>
      </c>
      <c r="M1195" t="s">
        <v>46</v>
      </c>
      <c r="N1195" t="s">
        <v>6370</v>
      </c>
      <c r="O1195">
        <v>15.79</v>
      </c>
      <c r="P1195">
        <v>15.47</v>
      </c>
      <c r="Q1195">
        <v>15.6</v>
      </c>
      <c r="R1195">
        <v>15.74</v>
      </c>
      <c r="S1195">
        <v>2.03</v>
      </c>
      <c r="T1195">
        <v>0.43</v>
      </c>
      <c r="U1195">
        <v>35.94</v>
      </c>
      <c r="V1195">
        <v>857</v>
      </c>
      <c r="W1195">
        <v>15.57</v>
      </c>
      <c r="X1195" t="s">
        <v>2685</v>
      </c>
      <c r="Y1195" t="s">
        <v>6237</v>
      </c>
      <c r="Z1195">
        <v>1.06</v>
      </c>
      <c r="AA1195">
        <v>277</v>
      </c>
      <c r="AB1195">
        <v>352</v>
      </c>
      <c r="AC1195">
        <v>3.26</v>
      </c>
      <c r="AD1195" t="s">
        <v>7793</v>
      </c>
      <c r="AE1195" t="s">
        <v>7794</v>
      </c>
      <c r="AF1195" t="s">
        <v>7795</v>
      </c>
      <c r="AG1195" t="s">
        <v>7796</v>
      </c>
      <c r="AH1195">
        <v>-2.7</v>
      </c>
      <c r="AI1195">
        <v>-5.37</v>
      </c>
      <c r="AJ1195">
        <v>6.94</v>
      </c>
      <c r="AK1195">
        <v>24.75</v>
      </c>
      <c r="AL1195">
        <v>-1</v>
      </c>
      <c r="AM1195">
        <v>-1.52</v>
      </c>
      <c r="AN1195">
        <v>23.8</v>
      </c>
      <c r="AO1195">
        <v>7.79</v>
      </c>
      <c r="AP1195">
        <v>8.62</v>
      </c>
    </row>
    <row r="1196" spans="1:42">
      <c r="A1196">
        <v>1195</v>
      </c>
      <c r="B1196" t="str">
        <f>"002845"</f>
        <v>002845</v>
      </c>
      <c r="C1196" t="s">
        <v>7797</v>
      </c>
      <c r="D1196">
        <v>18.42</v>
      </c>
      <c r="E1196">
        <v>0.6</v>
      </c>
      <c r="F1196">
        <v>0.11</v>
      </c>
      <c r="G1196" t="s">
        <v>7798</v>
      </c>
      <c r="H1196">
        <v>1644</v>
      </c>
      <c r="I1196">
        <v>18.41</v>
      </c>
      <c r="J1196">
        <v>18.42</v>
      </c>
      <c r="K1196" t="s">
        <v>7785</v>
      </c>
      <c r="L1196">
        <v>4.2</v>
      </c>
      <c r="M1196" t="s">
        <v>46</v>
      </c>
      <c r="N1196" t="s">
        <v>7799</v>
      </c>
      <c r="O1196">
        <v>18.48</v>
      </c>
      <c r="P1196">
        <v>18</v>
      </c>
      <c r="Q1196">
        <v>18.3</v>
      </c>
      <c r="R1196">
        <v>18.31</v>
      </c>
      <c r="S1196">
        <v>2.62</v>
      </c>
      <c r="T1196">
        <v>0.58</v>
      </c>
      <c r="U1196">
        <v>12.38</v>
      </c>
      <c r="V1196">
        <v>284</v>
      </c>
      <c r="W1196">
        <v>18.32</v>
      </c>
      <c r="X1196" t="s">
        <v>4827</v>
      </c>
      <c r="Y1196" t="s">
        <v>7441</v>
      </c>
      <c r="Z1196">
        <v>0.95</v>
      </c>
      <c r="AA1196">
        <v>813</v>
      </c>
      <c r="AB1196">
        <v>248</v>
      </c>
      <c r="AC1196">
        <v>2.26</v>
      </c>
      <c r="AD1196" t="s">
        <v>7800</v>
      </c>
      <c r="AE1196" t="s">
        <v>7801</v>
      </c>
      <c r="AF1196" t="s">
        <v>7802</v>
      </c>
      <c r="AG1196" t="s">
        <v>7803</v>
      </c>
      <c r="AH1196">
        <v>-1.44</v>
      </c>
      <c r="AI1196">
        <v>-1.02</v>
      </c>
      <c r="AJ1196">
        <v>19.91</v>
      </c>
      <c r="AK1196">
        <v>40.5</v>
      </c>
      <c r="AL1196">
        <v>1</v>
      </c>
      <c r="AM1196">
        <v>0.6</v>
      </c>
      <c r="AN1196">
        <v>35.14</v>
      </c>
      <c r="AO1196">
        <v>-3.26</v>
      </c>
      <c r="AP1196">
        <v>25.91</v>
      </c>
    </row>
    <row r="1197" spans="1:42">
      <c r="A1197">
        <v>1196</v>
      </c>
      <c r="B1197" t="str">
        <f>"002745"</f>
        <v>002745</v>
      </c>
      <c r="C1197" t="s">
        <v>7804</v>
      </c>
      <c r="D1197">
        <v>9.11</v>
      </c>
      <c r="E1197">
        <v>-0.22</v>
      </c>
      <c r="F1197">
        <v>-0.02</v>
      </c>
      <c r="G1197" t="s">
        <v>1960</v>
      </c>
      <c r="H1197">
        <v>2526</v>
      </c>
      <c r="I1197">
        <v>9.1</v>
      </c>
      <c r="J1197">
        <v>9.11</v>
      </c>
      <c r="K1197" t="s">
        <v>7785</v>
      </c>
      <c r="L1197">
        <v>1.93</v>
      </c>
      <c r="M1197" t="s">
        <v>46</v>
      </c>
      <c r="N1197" t="s">
        <v>7805</v>
      </c>
      <c r="O1197">
        <v>9.15</v>
      </c>
      <c r="P1197">
        <v>8.79</v>
      </c>
      <c r="Q1197">
        <v>9.12</v>
      </c>
      <c r="R1197">
        <v>9.13</v>
      </c>
      <c r="S1197">
        <v>3.94</v>
      </c>
      <c r="T1197">
        <v>1.32</v>
      </c>
      <c r="U1197">
        <v>14.33</v>
      </c>
      <c r="V1197">
        <v>930</v>
      </c>
      <c r="W1197">
        <v>9</v>
      </c>
      <c r="X1197" t="s">
        <v>7806</v>
      </c>
      <c r="Y1197" t="s">
        <v>7543</v>
      </c>
      <c r="Z1197">
        <v>0.98</v>
      </c>
      <c r="AA1197">
        <v>247</v>
      </c>
      <c r="AB1197">
        <v>66</v>
      </c>
      <c r="AC1197">
        <v>0.99</v>
      </c>
      <c r="AD1197" t="s">
        <v>7807</v>
      </c>
      <c r="AE1197" t="s">
        <v>7808</v>
      </c>
      <c r="AF1197" t="s">
        <v>7809</v>
      </c>
      <c r="AG1197" t="s">
        <v>7810</v>
      </c>
      <c r="AH1197">
        <v>-3.6</v>
      </c>
      <c r="AI1197">
        <v>-1.73</v>
      </c>
      <c r="AJ1197">
        <v>5.06</v>
      </c>
      <c r="AK1197">
        <v>9.23</v>
      </c>
      <c r="AL1197">
        <v>-3</v>
      </c>
      <c r="AM1197">
        <v>-0.22</v>
      </c>
      <c r="AN1197">
        <v>13.73</v>
      </c>
      <c r="AO1197">
        <v>-1.73</v>
      </c>
      <c r="AP1197">
        <v>5.56</v>
      </c>
    </row>
    <row r="1198" spans="1:42">
      <c r="A1198">
        <v>1197</v>
      </c>
      <c r="B1198" t="str">
        <f>"688019"</f>
        <v>688019</v>
      </c>
      <c r="C1198" t="s">
        <v>7811</v>
      </c>
      <c r="D1198">
        <v>171.12</v>
      </c>
      <c r="E1198">
        <v>-1.65</v>
      </c>
      <c r="F1198">
        <v>-2.87</v>
      </c>
      <c r="G1198" t="s">
        <v>2074</v>
      </c>
      <c r="H1198">
        <v>68</v>
      </c>
      <c r="I1198">
        <v>171.12</v>
      </c>
      <c r="J1198">
        <v>171.36</v>
      </c>
      <c r="K1198" t="s">
        <v>7785</v>
      </c>
      <c r="L1198">
        <v>1.02</v>
      </c>
      <c r="M1198" t="s">
        <v>46</v>
      </c>
      <c r="N1198" t="s">
        <v>7812</v>
      </c>
      <c r="O1198">
        <v>173.15</v>
      </c>
      <c r="P1198">
        <v>168.15</v>
      </c>
      <c r="Q1198">
        <v>173.15</v>
      </c>
      <c r="R1198">
        <v>173.99</v>
      </c>
      <c r="S1198">
        <v>2.87</v>
      </c>
      <c r="T1198">
        <v>0.92</v>
      </c>
      <c r="U1198">
        <v>43.4</v>
      </c>
      <c r="V1198">
        <v>35</v>
      </c>
      <c r="W1198">
        <v>170</v>
      </c>
      <c r="X1198">
        <v>5591</v>
      </c>
      <c r="Y1198">
        <v>4502</v>
      </c>
      <c r="Z1198">
        <v>1.24</v>
      </c>
      <c r="AA1198">
        <v>3</v>
      </c>
      <c r="AB1198">
        <v>4</v>
      </c>
      <c r="AC1198">
        <v>8.37</v>
      </c>
      <c r="AD1198" t="s">
        <v>7813</v>
      </c>
      <c r="AE1198" t="s">
        <v>7814</v>
      </c>
      <c r="AF1198" t="s">
        <v>7813</v>
      </c>
      <c r="AG1198" t="s">
        <v>7814</v>
      </c>
      <c r="AH1198">
        <v>-0.45</v>
      </c>
      <c r="AI1198">
        <v>-1.09</v>
      </c>
      <c r="AJ1198">
        <v>3.35</v>
      </c>
      <c r="AK1198">
        <v>6.56</v>
      </c>
      <c r="AL1198">
        <v>-2</v>
      </c>
      <c r="AM1198">
        <v>-1.65</v>
      </c>
      <c r="AN1198">
        <v>23.87</v>
      </c>
      <c r="AO1198">
        <v>-6.01</v>
      </c>
      <c r="AP1198">
        <v>12.4</v>
      </c>
    </row>
    <row r="1199" spans="1:42">
      <c r="A1199">
        <v>1198</v>
      </c>
      <c r="B1199" t="str">
        <f>"002041"</f>
        <v>002041</v>
      </c>
      <c r="C1199" t="s">
        <v>7815</v>
      </c>
      <c r="D1199">
        <v>16.01</v>
      </c>
      <c r="E1199">
        <v>-2.26</v>
      </c>
      <c r="F1199">
        <v>-0.37</v>
      </c>
      <c r="G1199" t="s">
        <v>1909</v>
      </c>
      <c r="H1199">
        <v>3035</v>
      </c>
      <c r="I1199">
        <v>16</v>
      </c>
      <c r="J1199">
        <v>16.01</v>
      </c>
      <c r="K1199" t="s">
        <v>7816</v>
      </c>
      <c r="L1199">
        <v>1.21</v>
      </c>
      <c r="M1199" t="s">
        <v>46</v>
      </c>
      <c r="N1199" t="s">
        <v>4116</v>
      </c>
      <c r="O1199">
        <v>16.35</v>
      </c>
      <c r="P1199">
        <v>15.86</v>
      </c>
      <c r="Q1199">
        <v>16.28</v>
      </c>
      <c r="R1199">
        <v>16.38</v>
      </c>
      <c r="S1199">
        <v>2.99</v>
      </c>
      <c r="T1199">
        <v>0.73</v>
      </c>
      <c r="U1199">
        <v>-15.84</v>
      </c>
      <c r="V1199">
        <v>-320</v>
      </c>
      <c r="W1199">
        <v>16.06</v>
      </c>
      <c r="X1199" t="s">
        <v>4753</v>
      </c>
      <c r="Y1199" t="s">
        <v>7817</v>
      </c>
      <c r="Z1199">
        <v>1.25</v>
      </c>
      <c r="AA1199">
        <v>104</v>
      </c>
      <c r="AB1199">
        <v>496</v>
      </c>
      <c r="AC1199">
        <v>4.13</v>
      </c>
      <c r="AD1199" t="s">
        <v>7818</v>
      </c>
      <c r="AE1199" t="s">
        <v>7819</v>
      </c>
      <c r="AF1199" t="s">
        <v>7818</v>
      </c>
      <c r="AG1199" t="s">
        <v>7819</v>
      </c>
      <c r="AH1199">
        <v>-4.07</v>
      </c>
      <c r="AI1199">
        <v>5.19</v>
      </c>
      <c r="AJ1199">
        <v>3.32</v>
      </c>
      <c r="AK1199">
        <v>9.48</v>
      </c>
      <c r="AL1199">
        <v>-3</v>
      </c>
      <c r="AM1199">
        <v>-2.26</v>
      </c>
      <c r="AN1199">
        <v>-19.22</v>
      </c>
      <c r="AO1199">
        <v>6.52</v>
      </c>
      <c r="AP1199">
        <v>-20.59</v>
      </c>
    </row>
    <row r="1200" spans="1:42">
      <c r="A1200">
        <v>1199</v>
      </c>
      <c r="B1200" t="str">
        <f>"300293"</f>
        <v>300293</v>
      </c>
      <c r="C1200" t="s">
        <v>7820</v>
      </c>
      <c r="D1200">
        <v>15.96</v>
      </c>
      <c r="E1200">
        <v>1.85</v>
      </c>
      <c r="F1200">
        <v>0.29</v>
      </c>
      <c r="G1200" t="s">
        <v>1949</v>
      </c>
      <c r="H1200">
        <v>3751</v>
      </c>
      <c r="I1200">
        <v>15.95</v>
      </c>
      <c r="J1200">
        <v>15.96</v>
      </c>
      <c r="K1200" t="s">
        <v>7816</v>
      </c>
      <c r="L1200">
        <v>3.87</v>
      </c>
      <c r="M1200" t="s">
        <v>46</v>
      </c>
      <c r="N1200" t="s">
        <v>3436</v>
      </c>
      <c r="O1200">
        <v>15.97</v>
      </c>
      <c r="P1200">
        <v>15.56</v>
      </c>
      <c r="Q1200">
        <v>15.75</v>
      </c>
      <c r="R1200">
        <v>15.67</v>
      </c>
      <c r="S1200">
        <v>2.62</v>
      </c>
      <c r="T1200">
        <v>0.5</v>
      </c>
      <c r="U1200">
        <v>-55.1</v>
      </c>
      <c r="V1200">
        <v>-1534</v>
      </c>
      <c r="W1200">
        <v>15.78</v>
      </c>
      <c r="X1200" t="s">
        <v>1985</v>
      </c>
      <c r="Y1200" t="s">
        <v>4145</v>
      </c>
      <c r="Z1200">
        <v>0.95</v>
      </c>
      <c r="AA1200">
        <v>340</v>
      </c>
      <c r="AB1200">
        <v>70</v>
      </c>
      <c r="AC1200">
        <v>6.19</v>
      </c>
      <c r="AD1200" t="s">
        <v>4889</v>
      </c>
      <c r="AE1200" t="s">
        <v>7821</v>
      </c>
      <c r="AF1200" t="s">
        <v>7822</v>
      </c>
      <c r="AG1200" t="s">
        <v>7823</v>
      </c>
      <c r="AH1200">
        <v>-3.91</v>
      </c>
      <c r="AI1200">
        <v>-6.01</v>
      </c>
      <c r="AJ1200">
        <v>15.71</v>
      </c>
      <c r="AK1200">
        <v>42.64</v>
      </c>
      <c r="AL1200">
        <v>1</v>
      </c>
      <c r="AM1200">
        <v>1.85</v>
      </c>
      <c r="AN1200">
        <v>86.89</v>
      </c>
      <c r="AO1200">
        <v>-2.98</v>
      </c>
      <c r="AP1200">
        <v>62.69</v>
      </c>
    </row>
    <row r="1201" spans="1:42">
      <c r="A1201">
        <v>1200</v>
      </c>
      <c r="B1201" t="str">
        <f>"001337"</f>
        <v>001337</v>
      </c>
      <c r="C1201" t="s">
        <v>7824</v>
      </c>
      <c r="D1201">
        <v>28.67</v>
      </c>
      <c r="E1201">
        <v>-1.78</v>
      </c>
      <c r="F1201">
        <v>-0.52</v>
      </c>
      <c r="G1201" t="s">
        <v>3090</v>
      </c>
      <c r="H1201">
        <v>1077</v>
      </c>
      <c r="I1201">
        <v>28.66</v>
      </c>
      <c r="J1201">
        <v>28.67</v>
      </c>
      <c r="K1201" t="s">
        <v>7816</v>
      </c>
      <c r="L1201">
        <v>9.92</v>
      </c>
      <c r="M1201" t="s">
        <v>46</v>
      </c>
      <c r="N1201" t="s">
        <v>2789</v>
      </c>
      <c r="O1201">
        <v>29.27</v>
      </c>
      <c r="P1201">
        <v>28.5</v>
      </c>
      <c r="Q1201">
        <v>29.01</v>
      </c>
      <c r="R1201">
        <v>29.19</v>
      </c>
      <c r="S1201">
        <v>2.64</v>
      </c>
      <c r="T1201">
        <v>0.95</v>
      </c>
      <c r="U1201">
        <v>2.8</v>
      </c>
      <c r="V1201">
        <v>71</v>
      </c>
      <c r="W1201">
        <v>28.79</v>
      </c>
      <c r="X1201" t="s">
        <v>1044</v>
      </c>
      <c r="Y1201" t="s">
        <v>4963</v>
      </c>
      <c r="Z1201">
        <v>1.75</v>
      </c>
      <c r="AA1201">
        <v>590</v>
      </c>
      <c r="AB1201">
        <v>2</v>
      </c>
      <c r="AC1201">
        <v>9.21</v>
      </c>
      <c r="AD1201" t="s">
        <v>7825</v>
      </c>
      <c r="AE1201" t="s">
        <v>7826</v>
      </c>
      <c r="AF1201" t="s">
        <v>7827</v>
      </c>
      <c r="AG1201" t="s">
        <v>4659</v>
      </c>
      <c r="AH1201">
        <v>1.88</v>
      </c>
      <c r="AI1201">
        <v>1.16</v>
      </c>
      <c r="AJ1201">
        <v>47.65</v>
      </c>
      <c r="AK1201">
        <v>62.01</v>
      </c>
      <c r="AL1201">
        <v>-2</v>
      </c>
      <c r="AM1201">
        <v>-1.78</v>
      </c>
      <c r="AN1201">
        <v>316.11</v>
      </c>
      <c r="AO1201">
        <v>-0.69</v>
      </c>
      <c r="AP1201">
        <v>316.11</v>
      </c>
    </row>
    <row r="1202" spans="1:42">
      <c r="A1202">
        <v>1201</v>
      </c>
      <c r="B1202" t="str">
        <f>"603912"</f>
        <v>603912</v>
      </c>
      <c r="C1202" t="s">
        <v>7828</v>
      </c>
      <c r="D1202">
        <v>9.73</v>
      </c>
      <c r="E1202">
        <v>2.42</v>
      </c>
      <c r="F1202">
        <v>0.23</v>
      </c>
      <c r="G1202" t="s">
        <v>625</v>
      </c>
      <c r="H1202">
        <v>2490</v>
      </c>
      <c r="I1202">
        <v>9.73</v>
      </c>
      <c r="J1202">
        <v>9.74</v>
      </c>
      <c r="K1202" t="s">
        <v>7816</v>
      </c>
      <c r="L1202">
        <v>3.27</v>
      </c>
      <c r="M1202" t="s">
        <v>46</v>
      </c>
      <c r="N1202" t="s">
        <v>7829</v>
      </c>
      <c r="O1202">
        <v>9.77</v>
      </c>
      <c r="P1202">
        <v>9.46</v>
      </c>
      <c r="Q1202">
        <v>9.52</v>
      </c>
      <c r="R1202">
        <v>9.5</v>
      </c>
      <c r="S1202">
        <v>3.26</v>
      </c>
      <c r="T1202">
        <v>1.01</v>
      </c>
      <c r="U1202">
        <v>-21.62</v>
      </c>
      <c r="V1202">
        <v>-2206</v>
      </c>
      <c r="W1202">
        <v>9.65</v>
      </c>
      <c r="X1202" t="s">
        <v>2835</v>
      </c>
      <c r="Y1202" t="s">
        <v>1232</v>
      </c>
      <c r="Z1202">
        <v>0.77</v>
      </c>
      <c r="AA1202">
        <v>507</v>
      </c>
      <c r="AB1202">
        <v>1430</v>
      </c>
      <c r="AC1202">
        <v>2.88</v>
      </c>
      <c r="AD1202" t="s">
        <v>7830</v>
      </c>
      <c r="AE1202" t="s">
        <v>6991</v>
      </c>
      <c r="AF1202" t="s">
        <v>7830</v>
      </c>
      <c r="AG1202" t="s">
        <v>6991</v>
      </c>
      <c r="AH1202">
        <v>0.62</v>
      </c>
      <c r="AI1202">
        <v>-3.85</v>
      </c>
      <c r="AJ1202">
        <v>8.23</v>
      </c>
      <c r="AK1202">
        <v>19.44</v>
      </c>
      <c r="AL1202">
        <v>1</v>
      </c>
      <c r="AM1202">
        <v>2.42</v>
      </c>
      <c r="AN1202">
        <v>9.33</v>
      </c>
      <c r="AO1202">
        <v>0.62</v>
      </c>
      <c r="AP1202">
        <v>31.66</v>
      </c>
    </row>
    <row r="1203" spans="1:42">
      <c r="A1203">
        <v>1202</v>
      </c>
      <c r="B1203" t="str">
        <f>"300337"</f>
        <v>300337</v>
      </c>
      <c r="C1203" t="s">
        <v>7831</v>
      </c>
      <c r="D1203">
        <v>8.29</v>
      </c>
      <c r="E1203">
        <v>0.36</v>
      </c>
      <c r="F1203">
        <v>0.03</v>
      </c>
      <c r="G1203" t="s">
        <v>2930</v>
      </c>
      <c r="H1203">
        <v>7089</v>
      </c>
      <c r="I1203">
        <v>8.28</v>
      </c>
      <c r="J1203">
        <v>8.29</v>
      </c>
      <c r="K1203" t="s">
        <v>7816</v>
      </c>
      <c r="L1203">
        <v>2.92</v>
      </c>
      <c r="M1203" t="s">
        <v>46</v>
      </c>
      <c r="N1203" t="s">
        <v>7832</v>
      </c>
      <c r="O1203">
        <v>8.31</v>
      </c>
      <c r="P1203">
        <v>8.18</v>
      </c>
      <c r="Q1203">
        <v>8.28</v>
      </c>
      <c r="R1203">
        <v>8.26</v>
      </c>
      <c r="S1203">
        <v>1.57</v>
      </c>
      <c r="T1203">
        <v>0.74</v>
      </c>
      <c r="U1203">
        <v>-7.02</v>
      </c>
      <c r="V1203">
        <v>-615</v>
      </c>
      <c r="W1203">
        <v>8.24</v>
      </c>
      <c r="X1203" t="s">
        <v>740</v>
      </c>
      <c r="Y1203" t="s">
        <v>740</v>
      </c>
      <c r="Z1203">
        <v>1</v>
      </c>
      <c r="AA1203">
        <v>846</v>
      </c>
      <c r="AB1203">
        <v>155</v>
      </c>
      <c r="AC1203">
        <v>4.13</v>
      </c>
      <c r="AD1203" t="s">
        <v>7833</v>
      </c>
      <c r="AE1203" t="s">
        <v>3941</v>
      </c>
      <c r="AF1203" t="s">
        <v>70</v>
      </c>
      <c r="AG1203" t="s">
        <v>7834</v>
      </c>
      <c r="AH1203">
        <v>-2.13</v>
      </c>
      <c r="AI1203">
        <v>-7.17</v>
      </c>
      <c r="AJ1203">
        <v>9.64</v>
      </c>
      <c r="AK1203">
        <v>22.58</v>
      </c>
      <c r="AL1203">
        <v>1</v>
      </c>
      <c r="AM1203">
        <v>0.36</v>
      </c>
      <c r="AN1203">
        <v>6.83</v>
      </c>
      <c r="AO1203">
        <v>-11.15</v>
      </c>
      <c r="AP1203">
        <v>1.34</v>
      </c>
    </row>
    <row r="1204" spans="1:42">
      <c r="A1204">
        <v>1203</v>
      </c>
      <c r="B1204" t="str">
        <f>"301293"</f>
        <v>301293</v>
      </c>
      <c r="C1204" t="s">
        <v>7835</v>
      </c>
      <c r="D1204">
        <v>67</v>
      </c>
      <c r="E1204">
        <v>1.72</v>
      </c>
      <c r="F1204">
        <v>1.13</v>
      </c>
      <c r="G1204" t="s">
        <v>4036</v>
      </c>
      <c r="H1204">
        <v>371</v>
      </c>
      <c r="I1204">
        <v>67</v>
      </c>
      <c r="J1204">
        <v>67.01</v>
      </c>
      <c r="K1204" t="s">
        <v>7816</v>
      </c>
      <c r="L1204">
        <v>7.2</v>
      </c>
      <c r="M1204" t="s">
        <v>46</v>
      </c>
      <c r="N1204" t="s">
        <v>1197</v>
      </c>
      <c r="O1204">
        <v>67.45</v>
      </c>
      <c r="P1204">
        <v>64.83</v>
      </c>
      <c r="Q1204">
        <v>65.12</v>
      </c>
      <c r="R1204">
        <v>65.87</v>
      </c>
      <c r="S1204">
        <v>3.98</v>
      </c>
      <c r="T1204">
        <v>1.03</v>
      </c>
      <c r="U1204">
        <v>48.5</v>
      </c>
      <c r="V1204">
        <v>197</v>
      </c>
      <c r="W1204">
        <v>65.95</v>
      </c>
      <c r="X1204" t="s">
        <v>4959</v>
      </c>
      <c r="Y1204" t="s">
        <v>7836</v>
      </c>
      <c r="Z1204">
        <v>0.77</v>
      </c>
      <c r="AA1204">
        <v>27</v>
      </c>
      <c r="AB1204">
        <v>3</v>
      </c>
      <c r="AC1204">
        <v>4.57</v>
      </c>
      <c r="AD1204" t="s">
        <v>7837</v>
      </c>
      <c r="AE1204" t="s">
        <v>366</v>
      </c>
      <c r="AF1204" t="s">
        <v>7838</v>
      </c>
      <c r="AG1204" t="s">
        <v>7839</v>
      </c>
      <c r="AH1204">
        <v>1.45</v>
      </c>
      <c r="AI1204">
        <v>-4.27</v>
      </c>
      <c r="AJ1204">
        <v>21.82</v>
      </c>
      <c r="AK1204">
        <v>42.17</v>
      </c>
      <c r="AL1204">
        <v>1</v>
      </c>
      <c r="AM1204">
        <v>1.72</v>
      </c>
      <c r="AN1204">
        <v>126.35</v>
      </c>
      <c r="AO1204">
        <v>4.12</v>
      </c>
      <c r="AP1204">
        <v>126.35</v>
      </c>
    </row>
    <row r="1205" spans="1:42">
      <c r="A1205">
        <v>1204</v>
      </c>
      <c r="B1205" t="str">
        <f>"002065"</f>
        <v>002065</v>
      </c>
      <c r="C1205" t="s">
        <v>7840</v>
      </c>
      <c r="D1205">
        <v>6.58</v>
      </c>
      <c r="E1205">
        <v>3.13</v>
      </c>
      <c r="F1205">
        <v>0.2</v>
      </c>
      <c r="G1205" t="s">
        <v>1032</v>
      </c>
      <c r="H1205">
        <v>5662</v>
      </c>
      <c r="I1205">
        <v>6.57</v>
      </c>
      <c r="J1205">
        <v>6.58</v>
      </c>
      <c r="K1205" t="s">
        <v>7816</v>
      </c>
      <c r="L1205">
        <v>0.91</v>
      </c>
      <c r="M1205" t="s">
        <v>46</v>
      </c>
      <c r="N1205" t="s">
        <v>776</v>
      </c>
      <c r="O1205">
        <v>6.59</v>
      </c>
      <c r="P1205">
        <v>6.37</v>
      </c>
      <c r="Q1205">
        <v>6.39</v>
      </c>
      <c r="R1205">
        <v>6.38</v>
      </c>
      <c r="S1205">
        <v>3.45</v>
      </c>
      <c r="T1205">
        <v>1.19</v>
      </c>
      <c r="U1205">
        <v>-31.18</v>
      </c>
      <c r="V1205">
        <v>-7594</v>
      </c>
      <c r="W1205">
        <v>6.5</v>
      </c>
      <c r="X1205" t="s">
        <v>3254</v>
      </c>
      <c r="Y1205" t="s">
        <v>3143</v>
      </c>
      <c r="Z1205">
        <v>0.61</v>
      </c>
      <c r="AA1205">
        <v>542</v>
      </c>
      <c r="AB1205">
        <v>2484</v>
      </c>
      <c r="AC1205">
        <v>1.83</v>
      </c>
      <c r="AD1205" t="s">
        <v>5327</v>
      </c>
      <c r="AE1205" t="s">
        <v>7841</v>
      </c>
      <c r="AF1205" t="s">
        <v>7842</v>
      </c>
      <c r="AG1205" t="s">
        <v>7843</v>
      </c>
      <c r="AH1205">
        <v>0.92</v>
      </c>
      <c r="AI1205">
        <v>-1.94</v>
      </c>
      <c r="AJ1205">
        <v>2.26</v>
      </c>
      <c r="AK1205">
        <v>4.71</v>
      </c>
      <c r="AL1205">
        <v>1</v>
      </c>
      <c r="AM1205">
        <v>3.13</v>
      </c>
      <c r="AN1205">
        <v>17.29</v>
      </c>
      <c r="AO1205">
        <v>3.13</v>
      </c>
      <c r="AP1205">
        <v>9.3</v>
      </c>
    </row>
    <row r="1206" spans="1:42">
      <c r="A1206">
        <v>1205</v>
      </c>
      <c r="B1206" t="str">
        <f>"600515"</f>
        <v>600515</v>
      </c>
      <c r="C1206" t="s">
        <v>7844</v>
      </c>
      <c r="D1206">
        <v>4.1</v>
      </c>
      <c r="E1206">
        <v>0.74</v>
      </c>
      <c r="F1206">
        <v>0.03</v>
      </c>
      <c r="G1206" t="s">
        <v>7845</v>
      </c>
      <c r="H1206">
        <v>3540</v>
      </c>
      <c r="I1206">
        <v>4.1</v>
      </c>
      <c r="J1206">
        <v>4.11</v>
      </c>
      <c r="K1206" t="s">
        <v>7816</v>
      </c>
      <c r="L1206">
        <v>0.46</v>
      </c>
      <c r="M1206" t="s">
        <v>46</v>
      </c>
      <c r="N1206" t="s">
        <v>7846</v>
      </c>
      <c r="O1206">
        <v>4.11</v>
      </c>
      <c r="P1206">
        <v>4.04</v>
      </c>
      <c r="Q1206">
        <v>4.07</v>
      </c>
      <c r="R1206">
        <v>4.07</v>
      </c>
      <c r="S1206">
        <v>1.72</v>
      </c>
      <c r="T1206">
        <v>0.81</v>
      </c>
      <c r="U1206">
        <v>-63.53</v>
      </c>
      <c r="V1206" t="s">
        <v>7847</v>
      </c>
      <c r="W1206">
        <v>4.09</v>
      </c>
      <c r="X1206" t="s">
        <v>562</v>
      </c>
      <c r="Y1206" t="s">
        <v>1032</v>
      </c>
      <c r="Z1206">
        <v>0.59</v>
      </c>
      <c r="AA1206">
        <v>14</v>
      </c>
      <c r="AB1206" t="s">
        <v>2371</v>
      </c>
      <c r="AC1206">
        <v>2.02</v>
      </c>
      <c r="AD1206" t="s">
        <v>7848</v>
      </c>
      <c r="AE1206" t="s">
        <v>7849</v>
      </c>
      <c r="AF1206" t="s">
        <v>7850</v>
      </c>
      <c r="AG1206" t="s">
        <v>3832</v>
      </c>
      <c r="AH1206">
        <v>3.02</v>
      </c>
      <c r="AI1206">
        <v>6.77</v>
      </c>
      <c r="AJ1206">
        <v>1.61</v>
      </c>
      <c r="AK1206">
        <v>3.27</v>
      </c>
      <c r="AL1206">
        <v>2</v>
      </c>
      <c r="AM1206">
        <v>0.74</v>
      </c>
      <c r="AN1206">
        <v>-18.33</v>
      </c>
      <c r="AO1206">
        <v>8.47</v>
      </c>
      <c r="AP1206">
        <v>0</v>
      </c>
    </row>
    <row r="1207" spans="1:42">
      <c r="A1207">
        <v>1206</v>
      </c>
      <c r="B1207" t="str">
        <f>"300733"</f>
        <v>300733</v>
      </c>
      <c r="C1207" t="s">
        <v>7851</v>
      </c>
      <c r="D1207">
        <v>13.49</v>
      </c>
      <c r="E1207">
        <v>-3.78</v>
      </c>
      <c r="F1207">
        <v>-0.53</v>
      </c>
      <c r="G1207" t="s">
        <v>1986</v>
      </c>
      <c r="H1207">
        <v>879</v>
      </c>
      <c r="I1207">
        <v>13.48</v>
      </c>
      <c r="J1207">
        <v>13.49</v>
      </c>
      <c r="K1207" t="s">
        <v>7816</v>
      </c>
      <c r="L1207">
        <v>5.58</v>
      </c>
      <c r="M1207" t="s">
        <v>46</v>
      </c>
      <c r="N1207" t="s">
        <v>1419</v>
      </c>
      <c r="O1207">
        <v>14.09</v>
      </c>
      <c r="P1207">
        <v>13.44</v>
      </c>
      <c r="Q1207">
        <v>13.9</v>
      </c>
      <c r="R1207">
        <v>14.02</v>
      </c>
      <c r="S1207">
        <v>4.64</v>
      </c>
      <c r="T1207">
        <v>0.99</v>
      </c>
      <c r="U1207">
        <v>-38.29</v>
      </c>
      <c r="V1207">
        <v>-1093</v>
      </c>
      <c r="W1207">
        <v>13.63</v>
      </c>
      <c r="X1207" t="s">
        <v>5844</v>
      </c>
      <c r="Y1207" t="s">
        <v>7519</v>
      </c>
      <c r="Z1207">
        <v>1.31</v>
      </c>
      <c r="AA1207">
        <v>34</v>
      </c>
      <c r="AB1207">
        <v>180</v>
      </c>
      <c r="AC1207">
        <v>2.44</v>
      </c>
      <c r="AD1207" t="s">
        <v>7852</v>
      </c>
      <c r="AE1207" t="s">
        <v>3499</v>
      </c>
      <c r="AF1207" t="s">
        <v>7853</v>
      </c>
      <c r="AG1207" t="s">
        <v>7854</v>
      </c>
      <c r="AH1207">
        <v>-8.73</v>
      </c>
      <c r="AI1207">
        <v>-1.75</v>
      </c>
      <c r="AJ1207">
        <v>15.62</v>
      </c>
      <c r="AK1207">
        <v>33.83</v>
      </c>
      <c r="AL1207">
        <v>-3</v>
      </c>
      <c r="AM1207">
        <v>-3.78</v>
      </c>
      <c r="AN1207">
        <v>4.9</v>
      </c>
      <c r="AO1207">
        <v>6.72</v>
      </c>
      <c r="AP1207">
        <v>-12.97</v>
      </c>
    </row>
    <row r="1208" spans="1:42">
      <c r="A1208">
        <v>1207</v>
      </c>
      <c r="B1208" t="str">
        <f>"600131"</f>
        <v>600131</v>
      </c>
      <c r="C1208" t="s">
        <v>7855</v>
      </c>
      <c r="D1208">
        <v>15.71</v>
      </c>
      <c r="E1208">
        <v>2.28</v>
      </c>
      <c r="F1208">
        <v>0.35</v>
      </c>
      <c r="G1208" t="s">
        <v>1949</v>
      </c>
      <c r="H1208">
        <v>1534</v>
      </c>
      <c r="I1208">
        <v>15.71</v>
      </c>
      <c r="J1208">
        <v>15.72</v>
      </c>
      <c r="K1208" t="s">
        <v>7816</v>
      </c>
      <c r="L1208">
        <v>0.91</v>
      </c>
      <c r="M1208" t="s">
        <v>46</v>
      </c>
      <c r="N1208" t="s">
        <v>445</v>
      </c>
      <c r="O1208">
        <v>15.89</v>
      </c>
      <c r="P1208">
        <v>15.32</v>
      </c>
      <c r="Q1208">
        <v>15.37</v>
      </c>
      <c r="R1208">
        <v>15.36</v>
      </c>
      <c r="S1208">
        <v>3.71</v>
      </c>
      <c r="T1208">
        <v>1.57</v>
      </c>
      <c r="U1208">
        <v>15.84</v>
      </c>
      <c r="V1208">
        <v>204</v>
      </c>
      <c r="W1208">
        <v>15.63</v>
      </c>
      <c r="X1208" t="s">
        <v>1951</v>
      </c>
      <c r="Y1208" t="s">
        <v>1919</v>
      </c>
      <c r="Z1208">
        <v>0.89</v>
      </c>
      <c r="AA1208">
        <v>83</v>
      </c>
      <c r="AB1208">
        <v>290</v>
      </c>
      <c r="AC1208">
        <v>3.24</v>
      </c>
      <c r="AD1208" t="s">
        <v>838</v>
      </c>
      <c r="AE1208" t="s">
        <v>7856</v>
      </c>
      <c r="AF1208" t="s">
        <v>5037</v>
      </c>
      <c r="AG1208" t="s">
        <v>7857</v>
      </c>
      <c r="AH1208">
        <v>1.88</v>
      </c>
      <c r="AI1208">
        <v>0.64</v>
      </c>
      <c r="AJ1208">
        <v>2.08</v>
      </c>
      <c r="AK1208">
        <v>3.83</v>
      </c>
      <c r="AL1208">
        <v>1</v>
      </c>
      <c r="AM1208">
        <v>2.28</v>
      </c>
      <c r="AN1208">
        <v>6.44</v>
      </c>
      <c r="AO1208">
        <v>15.35</v>
      </c>
      <c r="AP1208">
        <v>-8.61</v>
      </c>
    </row>
    <row r="1209" spans="1:42">
      <c r="A1209">
        <v>1208</v>
      </c>
      <c r="B1209" t="str">
        <f>"002119"</f>
        <v>002119</v>
      </c>
      <c r="C1209" t="s">
        <v>7858</v>
      </c>
      <c r="D1209">
        <v>13.84</v>
      </c>
      <c r="E1209">
        <v>0.8</v>
      </c>
      <c r="F1209">
        <v>0.11</v>
      </c>
      <c r="G1209" t="s">
        <v>1261</v>
      </c>
      <c r="H1209">
        <v>1523</v>
      </c>
      <c r="I1209">
        <v>13.84</v>
      </c>
      <c r="J1209">
        <v>13.85</v>
      </c>
      <c r="K1209" t="s">
        <v>7816</v>
      </c>
      <c r="L1209">
        <v>3.31</v>
      </c>
      <c r="M1209" t="s">
        <v>46</v>
      </c>
      <c r="N1209" t="s">
        <v>4069</v>
      </c>
      <c r="O1209">
        <v>13.89</v>
      </c>
      <c r="P1209">
        <v>13.41</v>
      </c>
      <c r="Q1209">
        <v>13.7</v>
      </c>
      <c r="R1209">
        <v>13.73</v>
      </c>
      <c r="S1209">
        <v>3.5</v>
      </c>
      <c r="T1209">
        <v>0.48</v>
      </c>
      <c r="U1209">
        <v>16.53</v>
      </c>
      <c r="V1209">
        <v>813</v>
      </c>
      <c r="W1209">
        <v>13.74</v>
      </c>
      <c r="X1209" t="s">
        <v>1577</v>
      </c>
      <c r="Y1209" t="s">
        <v>3828</v>
      </c>
      <c r="Z1209">
        <v>0.88</v>
      </c>
      <c r="AA1209">
        <v>1977</v>
      </c>
      <c r="AB1209">
        <v>116</v>
      </c>
      <c r="AC1209">
        <v>4.08</v>
      </c>
      <c r="AD1209" t="s">
        <v>7859</v>
      </c>
      <c r="AE1209" t="s">
        <v>7860</v>
      </c>
      <c r="AF1209" t="s">
        <v>7859</v>
      </c>
      <c r="AG1209" t="s">
        <v>7860</v>
      </c>
      <c r="AH1209">
        <v>-1.7</v>
      </c>
      <c r="AI1209">
        <v>-8.28</v>
      </c>
      <c r="AJ1209">
        <v>12.32</v>
      </c>
      <c r="AK1209">
        <v>37.72</v>
      </c>
      <c r="AL1209">
        <v>1</v>
      </c>
      <c r="AM1209">
        <v>0.8</v>
      </c>
      <c r="AN1209">
        <v>21.4</v>
      </c>
      <c r="AO1209">
        <v>-0.86</v>
      </c>
      <c r="AP1209">
        <v>0.73</v>
      </c>
    </row>
    <row r="1210" spans="1:42">
      <c r="A1210">
        <v>1209</v>
      </c>
      <c r="B1210" t="str">
        <f>"300539"</f>
        <v>300539</v>
      </c>
      <c r="C1210" t="s">
        <v>7861</v>
      </c>
      <c r="D1210">
        <v>13.17</v>
      </c>
      <c r="E1210">
        <v>-2.88</v>
      </c>
      <c r="F1210">
        <v>-0.39</v>
      </c>
      <c r="G1210" t="s">
        <v>1915</v>
      </c>
      <c r="H1210">
        <v>2004</v>
      </c>
      <c r="I1210">
        <v>13.16</v>
      </c>
      <c r="J1210">
        <v>13.17</v>
      </c>
      <c r="K1210" t="s">
        <v>7816</v>
      </c>
      <c r="L1210">
        <v>7.55</v>
      </c>
      <c r="M1210" t="s">
        <v>46</v>
      </c>
      <c r="N1210" t="s">
        <v>2789</v>
      </c>
      <c r="O1210">
        <v>13.6</v>
      </c>
      <c r="P1210">
        <v>13.04</v>
      </c>
      <c r="Q1210">
        <v>13.56</v>
      </c>
      <c r="R1210">
        <v>13.56</v>
      </c>
      <c r="S1210">
        <v>4.13</v>
      </c>
      <c r="T1210">
        <v>1.09</v>
      </c>
      <c r="U1210">
        <v>30.86</v>
      </c>
      <c r="V1210">
        <v>475</v>
      </c>
      <c r="W1210">
        <v>13.18</v>
      </c>
      <c r="X1210" t="s">
        <v>7862</v>
      </c>
      <c r="Y1210" t="s">
        <v>3175</v>
      </c>
      <c r="Z1210">
        <v>1.05</v>
      </c>
      <c r="AA1210">
        <v>128</v>
      </c>
      <c r="AB1210">
        <v>141</v>
      </c>
      <c r="AC1210">
        <v>5.53</v>
      </c>
      <c r="AD1210" t="s">
        <v>2847</v>
      </c>
      <c r="AE1210" t="s">
        <v>7863</v>
      </c>
      <c r="AF1210" t="s">
        <v>7864</v>
      </c>
      <c r="AG1210" t="s">
        <v>6299</v>
      </c>
      <c r="AH1210">
        <v>0.3</v>
      </c>
      <c r="AI1210">
        <v>1.54</v>
      </c>
      <c r="AJ1210">
        <v>28.75</v>
      </c>
      <c r="AK1210">
        <v>42.06</v>
      </c>
      <c r="AL1210">
        <v>-1</v>
      </c>
      <c r="AM1210">
        <v>-2.88</v>
      </c>
      <c r="AN1210">
        <v>32.36</v>
      </c>
      <c r="AO1210">
        <v>-11.97</v>
      </c>
      <c r="AP1210">
        <v>33.16</v>
      </c>
    </row>
    <row r="1211" spans="1:42">
      <c r="A1211">
        <v>1210</v>
      </c>
      <c r="B1211" t="str">
        <f>"600203"</f>
        <v>600203</v>
      </c>
      <c r="C1211" t="s">
        <v>7865</v>
      </c>
      <c r="D1211">
        <v>7.88</v>
      </c>
      <c r="E1211">
        <v>1.68</v>
      </c>
      <c r="F1211">
        <v>0.13</v>
      </c>
      <c r="G1211" t="s">
        <v>2609</v>
      </c>
      <c r="H1211">
        <v>5338</v>
      </c>
      <c r="I1211">
        <v>7.87</v>
      </c>
      <c r="J1211">
        <v>7.88</v>
      </c>
      <c r="K1211" t="s">
        <v>7816</v>
      </c>
      <c r="L1211">
        <v>3.7</v>
      </c>
      <c r="M1211" t="s">
        <v>46</v>
      </c>
      <c r="N1211" t="s">
        <v>7866</v>
      </c>
      <c r="O1211">
        <v>7.88</v>
      </c>
      <c r="P1211">
        <v>7.59</v>
      </c>
      <c r="Q1211">
        <v>7.68</v>
      </c>
      <c r="R1211">
        <v>7.75</v>
      </c>
      <c r="S1211">
        <v>3.74</v>
      </c>
      <c r="T1211">
        <v>0.47</v>
      </c>
      <c r="U1211">
        <v>-18.13</v>
      </c>
      <c r="V1211">
        <v>-1738</v>
      </c>
      <c r="W1211">
        <v>7.78</v>
      </c>
      <c r="X1211" t="s">
        <v>881</v>
      </c>
      <c r="Y1211" t="s">
        <v>4356</v>
      </c>
      <c r="Z1211">
        <v>0.91</v>
      </c>
      <c r="AA1211">
        <v>1245</v>
      </c>
      <c r="AB1211">
        <v>1009</v>
      </c>
      <c r="AC1211">
        <v>2.11</v>
      </c>
      <c r="AD1211" t="s">
        <v>7867</v>
      </c>
      <c r="AE1211" t="s">
        <v>7868</v>
      </c>
      <c r="AF1211" t="s">
        <v>7867</v>
      </c>
      <c r="AG1211" t="s">
        <v>7868</v>
      </c>
      <c r="AH1211">
        <v>-6.52</v>
      </c>
      <c r="AI1211">
        <v>-9.43</v>
      </c>
      <c r="AJ1211">
        <v>16.4</v>
      </c>
      <c r="AK1211">
        <v>43.48</v>
      </c>
      <c r="AL1211">
        <v>1</v>
      </c>
      <c r="AM1211">
        <v>1.68</v>
      </c>
      <c r="AN1211">
        <v>34.7</v>
      </c>
      <c r="AO1211">
        <v>-7.94</v>
      </c>
      <c r="AP1211">
        <v>30.25</v>
      </c>
    </row>
    <row r="1212" spans="1:42">
      <c r="A1212">
        <v>1211</v>
      </c>
      <c r="B1212" t="str">
        <f>"600875"</f>
        <v>600875</v>
      </c>
      <c r="C1212" t="s">
        <v>7869</v>
      </c>
      <c r="D1212">
        <v>14.37</v>
      </c>
      <c r="E1212">
        <v>-1.37</v>
      </c>
      <c r="F1212">
        <v>-0.2</v>
      </c>
      <c r="G1212" t="s">
        <v>1908</v>
      </c>
      <c r="H1212">
        <v>738</v>
      </c>
      <c r="I1212">
        <v>14.37</v>
      </c>
      <c r="J1212">
        <v>14.38</v>
      </c>
      <c r="K1212" t="s">
        <v>7870</v>
      </c>
      <c r="L1212">
        <v>0.59</v>
      </c>
      <c r="M1212" t="s">
        <v>46</v>
      </c>
      <c r="N1212" t="s">
        <v>7871</v>
      </c>
      <c r="O1212">
        <v>14.55</v>
      </c>
      <c r="P1212">
        <v>14.19</v>
      </c>
      <c r="Q1212">
        <v>14.5</v>
      </c>
      <c r="R1212">
        <v>14.57</v>
      </c>
      <c r="S1212">
        <v>2.47</v>
      </c>
      <c r="T1212">
        <v>1.61</v>
      </c>
      <c r="U1212">
        <v>-29.29</v>
      </c>
      <c r="V1212">
        <v>-1493</v>
      </c>
      <c r="W1212">
        <v>14.32</v>
      </c>
      <c r="X1212" t="s">
        <v>4740</v>
      </c>
      <c r="Y1212" t="s">
        <v>4087</v>
      </c>
      <c r="Z1212">
        <v>1.82</v>
      </c>
      <c r="AA1212">
        <v>562</v>
      </c>
      <c r="AB1212">
        <v>1343</v>
      </c>
      <c r="AC1212">
        <v>1.22</v>
      </c>
      <c r="AD1212" t="s">
        <v>7872</v>
      </c>
      <c r="AE1212" t="s">
        <v>7873</v>
      </c>
      <c r="AF1212" t="s">
        <v>4240</v>
      </c>
      <c r="AG1212" t="s">
        <v>7874</v>
      </c>
      <c r="AH1212">
        <v>-2.77</v>
      </c>
      <c r="AI1212">
        <v>-3.69</v>
      </c>
      <c r="AJ1212">
        <v>1.33</v>
      </c>
      <c r="AK1212">
        <v>2.42</v>
      </c>
      <c r="AL1212">
        <v>-1</v>
      </c>
      <c r="AM1212">
        <v>-1.37</v>
      </c>
      <c r="AN1212">
        <v>-30.55</v>
      </c>
      <c r="AO1212">
        <v>-5.77</v>
      </c>
      <c r="AP1212">
        <v>-41.35</v>
      </c>
    </row>
    <row r="1213" spans="1:42">
      <c r="A1213">
        <v>1212</v>
      </c>
      <c r="B1213" t="str">
        <f>"600741"</f>
        <v>600741</v>
      </c>
      <c r="C1213" t="s">
        <v>7875</v>
      </c>
      <c r="D1213">
        <v>17.27</v>
      </c>
      <c r="E1213">
        <v>-0.75</v>
      </c>
      <c r="F1213">
        <v>-0.13</v>
      </c>
      <c r="G1213" t="s">
        <v>3218</v>
      </c>
      <c r="H1213">
        <v>452</v>
      </c>
      <c r="I1213">
        <v>17.26</v>
      </c>
      <c r="J1213">
        <v>17.27</v>
      </c>
      <c r="K1213" t="s">
        <v>7870</v>
      </c>
      <c r="L1213">
        <v>0.31</v>
      </c>
      <c r="M1213" t="s">
        <v>46</v>
      </c>
      <c r="N1213" t="s">
        <v>7876</v>
      </c>
      <c r="O1213">
        <v>17.45</v>
      </c>
      <c r="P1213">
        <v>17.1</v>
      </c>
      <c r="Q1213">
        <v>17.37</v>
      </c>
      <c r="R1213">
        <v>17.4</v>
      </c>
      <c r="S1213">
        <v>2.01</v>
      </c>
      <c r="T1213">
        <v>1.04</v>
      </c>
      <c r="U1213">
        <v>-17.36</v>
      </c>
      <c r="V1213">
        <v>-313</v>
      </c>
      <c r="W1213">
        <v>17.22</v>
      </c>
      <c r="X1213" t="s">
        <v>1503</v>
      </c>
      <c r="Y1213" t="s">
        <v>7877</v>
      </c>
      <c r="Z1213">
        <v>1.36</v>
      </c>
      <c r="AA1213">
        <v>138</v>
      </c>
      <c r="AB1213">
        <v>18</v>
      </c>
      <c r="AC1213">
        <v>0.99</v>
      </c>
      <c r="AD1213" t="s">
        <v>7878</v>
      </c>
      <c r="AE1213" t="s">
        <v>7879</v>
      </c>
      <c r="AF1213" t="s">
        <v>7878</v>
      </c>
      <c r="AG1213" t="s">
        <v>7879</v>
      </c>
      <c r="AH1213">
        <v>-2.54</v>
      </c>
      <c r="AI1213">
        <v>-1.71</v>
      </c>
      <c r="AJ1213">
        <v>0.92</v>
      </c>
      <c r="AK1213">
        <v>1.82</v>
      </c>
      <c r="AL1213">
        <v>-3</v>
      </c>
      <c r="AM1213">
        <v>-0.75</v>
      </c>
      <c r="AN1213">
        <v>4.98</v>
      </c>
      <c r="AO1213">
        <v>-2.48</v>
      </c>
      <c r="AP1213">
        <v>1.77</v>
      </c>
    </row>
    <row r="1214" spans="1:42">
      <c r="A1214">
        <v>1213</v>
      </c>
      <c r="B1214" t="str">
        <f>"600582"</f>
        <v>600582</v>
      </c>
      <c r="C1214" t="s">
        <v>7880</v>
      </c>
      <c r="D1214">
        <v>5.25</v>
      </c>
      <c r="E1214">
        <v>1.94</v>
      </c>
      <c r="F1214">
        <v>0.1</v>
      </c>
      <c r="G1214" t="s">
        <v>3448</v>
      </c>
      <c r="H1214">
        <v>1437</v>
      </c>
      <c r="I1214">
        <v>5.25</v>
      </c>
      <c r="J1214">
        <v>5.26</v>
      </c>
      <c r="K1214" t="s">
        <v>7870</v>
      </c>
      <c r="L1214">
        <v>0.78</v>
      </c>
      <c r="M1214" t="s">
        <v>46</v>
      </c>
      <c r="N1214" t="s">
        <v>615</v>
      </c>
      <c r="O1214">
        <v>5.28</v>
      </c>
      <c r="P1214">
        <v>5.14</v>
      </c>
      <c r="Q1214">
        <v>5.16</v>
      </c>
      <c r="R1214">
        <v>5.15</v>
      </c>
      <c r="S1214">
        <v>2.72</v>
      </c>
      <c r="T1214">
        <v>2.19</v>
      </c>
      <c r="U1214">
        <v>-32.95</v>
      </c>
      <c r="V1214">
        <v>-9479</v>
      </c>
      <c r="W1214">
        <v>5.24</v>
      </c>
      <c r="X1214" t="s">
        <v>598</v>
      </c>
      <c r="Y1214" t="s">
        <v>1403</v>
      </c>
      <c r="Z1214">
        <v>0.84</v>
      </c>
      <c r="AA1214">
        <v>3286</v>
      </c>
      <c r="AB1214">
        <v>2453</v>
      </c>
      <c r="AC1214">
        <v>0.96</v>
      </c>
      <c r="AD1214" t="s">
        <v>7881</v>
      </c>
      <c r="AE1214" t="s">
        <v>7882</v>
      </c>
      <c r="AF1214" t="s">
        <v>7881</v>
      </c>
      <c r="AG1214" t="s">
        <v>7882</v>
      </c>
      <c r="AH1214">
        <v>0.96</v>
      </c>
      <c r="AI1214">
        <v>1.94</v>
      </c>
      <c r="AJ1214">
        <v>1.46</v>
      </c>
      <c r="AK1214">
        <v>2.57</v>
      </c>
      <c r="AL1214">
        <v>1</v>
      </c>
      <c r="AM1214">
        <v>1.94</v>
      </c>
      <c r="AN1214">
        <v>5</v>
      </c>
      <c r="AO1214">
        <v>1.94</v>
      </c>
      <c r="AP1214">
        <v>0.38</v>
      </c>
    </row>
    <row r="1215" spans="1:42">
      <c r="A1215">
        <v>1214</v>
      </c>
      <c r="B1215" t="str">
        <f>"600889"</f>
        <v>600889</v>
      </c>
      <c r="C1215" t="s">
        <v>7883</v>
      </c>
      <c r="D1215">
        <v>5.83</v>
      </c>
      <c r="E1215">
        <v>2.46</v>
      </c>
      <c r="F1215">
        <v>0.14</v>
      </c>
      <c r="G1215" t="s">
        <v>1394</v>
      </c>
      <c r="H1215">
        <v>3128</v>
      </c>
      <c r="I1215">
        <v>5.83</v>
      </c>
      <c r="J1215">
        <v>5.84</v>
      </c>
      <c r="K1215" t="s">
        <v>7870</v>
      </c>
      <c r="L1215">
        <v>7.72</v>
      </c>
      <c r="M1215" t="s">
        <v>46</v>
      </c>
      <c r="N1215" t="s">
        <v>7884</v>
      </c>
      <c r="O1215">
        <v>6.26</v>
      </c>
      <c r="P1215">
        <v>5.69</v>
      </c>
      <c r="Q1215">
        <v>5.72</v>
      </c>
      <c r="R1215">
        <v>5.69</v>
      </c>
      <c r="S1215">
        <v>10.02</v>
      </c>
      <c r="T1215">
        <v>9.03</v>
      </c>
      <c r="U1215">
        <v>-0.24</v>
      </c>
      <c r="V1215">
        <v>-8</v>
      </c>
      <c r="W1215">
        <v>5.99</v>
      </c>
      <c r="X1215" t="s">
        <v>3155</v>
      </c>
      <c r="Y1215" t="s">
        <v>1908</v>
      </c>
      <c r="Z1215">
        <v>1.38</v>
      </c>
      <c r="AA1215">
        <v>376</v>
      </c>
      <c r="AB1215">
        <v>425</v>
      </c>
      <c r="AC1215">
        <v>2.23</v>
      </c>
      <c r="AD1215" t="s">
        <v>7885</v>
      </c>
      <c r="AE1215" t="s">
        <v>7886</v>
      </c>
      <c r="AF1215" t="s">
        <v>7885</v>
      </c>
      <c r="AG1215" t="s">
        <v>7886</v>
      </c>
      <c r="AH1215">
        <v>2.28</v>
      </c>
      <c r="AI1215">
        <v>3</v>
      </c>
      <c r="AJ1215">
        <v>9.27</v>
      </c>
      <c r="AK1215">
        <v>12</v>
      </c>
      <c r="AL1215">
        <v>2</v>
      </c>
      <c r="AM1215">
        <v>2.46</v>
      </c>
      <c r="AN1215">
        <v>17.07</v>
      </c>
      <c r="AO1215">
        <v>10.63</v>
      </c>
      <c r="AP1215">
        <v>14.54</v>
      </c>
    </row>
    <row r="1216" spans="1:42">
      <c r="A1216">
        <v>1215</v>
      </c>
      <c r="B1216" t="str">
        <f>"002520"</f>
        <v>002520</v>
      </c>
      <c r="C1216" t="s">
        <v>7887</v>
      </c>
      <c r="D1216">
        <v>6.43</v>
      </c>
      <c r="E1216">
        <v>-0.62</v>
      </c>
      <c r="F1216">
        <v>-0.04</v>
      </c>
      <c r="G1216" t="s">
        <v>1015</v>
      </c>
      <c r="H1216">
        <v>5004</v>
      </c>
      <c r="I1216">
        <v>6.43</v>
      </c>
      <c r="J1216">
        <v>6.44</v>
      </c>
      <c r="K1216" t="s">
        <v>7888</v>
      </c>
      <c r="L1216">
        <v>4.09</v>
      </c>
      <c r="M1216" t="s">
        <v>46</v>
      </c>
      <c r="N1216" t="s">
        <v>4326</v>
      </c>
      <c r="O1216">
        <v>6.47</v>
      </c>
      <c r="P1216">
        <v>6.35</v>
      </c>
      <c r="Q1216">
        <v>6.41</v>
      </c>
      <c r="R1216">
        <v>6.47</v>
      </c>
      <c r="S1216">
        <v>1.85</v>
      </c>
      <c r="T1216">
        <v>0.72</v>
      </c>
      <c r="U1216">
        <v>-12.92</v>
      </c>
      <c r="V1216">
        <v>-1635</v>
      </c>
      <c r="W1216">
        <v>6.42</v>
      </c>
      <c r="X1216" t="s">
        <v>1377</v>
      </c>
      <c r="Y1216" t="s">
        <v>262</v>
      </c>
      <c r="Z1216">
        <v>1.34</v>
      </c>
      <c r="AA1216">
        <v>29</v>
      </c>
      <c r="AB1216">
        <v>1279</v>
      </c>
      <c r="AC1216">
        <v>2.44</v>
      </c>
      <c r="AD1216" t="s">
        <v>7889</v>
      </c>
      <c r="AE1216" t="s">
        <v>7890</v>
      </c>
      <c r="AF1216" t="s">
        <v>7891</v>
      </c>
      <c r="AG1216" t="s">
        <v>7892</v>
      </c>
      <c r="AH1216">
        <v>-2.58</v>
      </c>
      <c r="AI1216">
        <v>-3.45</v>
      </c>
      <c r="AJ1216">
        <v>15.32</v>
      </c>
      <c r="AK1216">
        <v>32.37</v>
      </c>
      <c r="AL1216">
        <v>-3</v>
      </c>
      <c r="AM1216">
        <v>-0.62</v>
      </c>
      <c r="AN1216">
        <v>-8.79</v>
      </c>
      <c r="AO1216">
        <v>15.23</v>
      </c>
      <c r="AP1216">
        <v>10.1</v>
      </c>
    </row>
    <row r="1217" spans="1:42">
      <c r="A1217">
        <v>1216</v>
      </c>
      <c r="B1217" t="str">
        <f>"832171"</f>
        <v>832171</v>
      </c>
      <c r="C1217" t="s">
        <v>7893</v>
      </c>
      <c r="D1217">
        <v>9.81</v>
      </c>
      <c r="E1217">
        <v>-26.9</v>
      </c>
      <c r="F1217">
        <v>-3.61</v>
      </c>
      <c r="G1217" t="s">
        <v>561</v>
      </c>
      <c r="H1217">
        <v>2232</v>
      </c>
      <c r="I1217">
        <v>9.81</v>
      </c>
      <c r="J1217">
        <v>9.82</v>
      </c>
      <c r="K1217" t="s">
        <v>7888</v>
      </c>
      <c r="L1217">
        <v>23.97</v>
      </c>
      <c r="M1217" t="s">
        <v>46</v>
      </c>
      <c r="N1217" t="s">
        <v>7894</v>
      </c>
      <c r="O1217">
        <v>11.66</v>
      </c>
      <c r="P1217">
        <v>9.68</v>
      </c>
      <c r="Q1217">
        <v>10.99</v>
      </c>
      <c r="R1217">
        <v>13.42</v>
      </c>
      <c r="S1217">
        <v>14.75</v>
      </c>
      <c r="T1217">
        <v>1.32</v>
      </c>
      <c r="U1217">
        <v>33.26</v>
      </c>
      <c r="V1217">
        <v>322</v>
      </c>
      <c r="W1217">
        <v>10.52</v>
      </c>
      <c r="X1217" t="s">
        <v>5150</v>
      </c>
      <c r="Y1217" t="s">
        <v>3462</v>
      </c>
      <c r="Z1217">
        <v>1.3</v>
      </c>
      <c r="AA1217">
        <v>273</v>
      </c>
      <c r="AB1217">
        <v>8</v>
      </c>
      <c r="AC1217">
        <v>2.65</v>
      </c>
      <c r="AD1217" t="s">
        <v>7895</v>
      </c>
      <c r="AE1217" t="s">
        <v>5377</v>
      </c>
      <c r="AF1217" t="s">
        <v>7896</v>
      </c>
      <c r="AG1217" t="s">
        <v>7897</v>
      </c>
      <c r="AH1217">
        <v>-26.9</v>
      </c>
      <c r="AI1217">
        <v>10.72</v>
      </c>
      <c r="AJ1217">
        <v>23.97</v>
      </c>
      <c r="AK1217">
        <v>81.5</v>
      </c>
      <c r="AL1217">
        <v>-1</v>
      </c>
      <c r="AM1217">
        <v>-26.9</v>
      </c>
      <c r="AN1217">
        <v>130.28</v>
      </c>
      <c r="AO1217">
        <v>170.99</v>
      </c>
      <c r="AP1217">
        <v>106.96</v>
      </c>
    </row>
    <row r="1218" spans="1:42">
      <c r="A1218">
        <v>1217</v>
      </c>
      <c r="B1218" t="str">
        <f>"002797"</f>
        <v>002797</v>
      </c>
      <c r="C1218" t="s">
        <v>7898</v>
      </c>
      <c r="D1218">
        <v>6.13</v>
      </c>
      <c r="E1218">
        <v>0.33</v>
      </c>
      <c r="F1218">
        <v>0.02</v>
      </c>
      <c r="G1218" t="s">
        <v>282</v>
      </c>
      <c r="H1218">
        <v>4871</v>
      </c>
      <c r="I1218">
        <v>6.12</v>
      </c>
      <c r="J1218">
        <v>6.13</v>
      </c>
      <c r="K1218" t="s">
        <v>7888</v>
      </c>
      <c r="L1218">
        <v>0.67</v>
      </c>
      <c r="M1218" t="s">
        <v>46</v>
      </c>
      <c r="N1218" t="s">
        <v>2027</v>
      </c>
      <c r="O1218">
        <v>6.14</v>
      </c>
      <c r="P1218">
        <v>6.09</v>
      </c>
      <c r="Q1218">
        <v>6.11</v>
      </c>
      <c r="R1218">
        <v>6.11</v>
      </c>
      <c r="S1218">
        <v>0.82</v>
      </c>
      <c r="T1218">
        <v>0.85</v>
      </c>
      <c r="U1218">
        <v>23.34</v>
      </c>
      <c r="V1218" t="s">
        <v>1254</v>
      </c>
      <c r="W1218">
        <v>6.11</v>
      </c>
      <c r="X1218" t="s">
        <v>598</v>
      </c>
      <c r="Y1218" t="s">
        <v>1915</v>
      </c>
      <c r="Z1218">
        <v>1.15</v>
      </c>
      <c r="AA1218">
        <v>3663</v>
      </c>
      <c r="AB1218">
        <v>4063</v>
      </c>
      <c r="AC1218">
        <v>1.74</v>
      </c>
      <c r="AD1218" t="s">
        <v>4990</v>
      </c>
      <c r="AE1218" t="s">
        <v>1664</v>
      </c>
      <c r="AF1218" t="s">
        <v>7899</v>
      </c>
      <c r="AG1218" t="s">
        <v>7900</v>
      </c>
      <c r="AH1218">
        <v>-0.33</v>
      </c>
      <c r="AI1218">
        <v>-1.76</v>
      </c>
      <c r="AJ1218">
        <v>2.27</v>
      </c>
      <c r="AK1218">
        <v>4.61</v>
      </c>
      <c r="AL1218">
        <v>2</v>
      </c>
      <c r="AM1218">
        <v>0.33</v>
      </c>
      <c r="AN1218">
        <v>9.66</v>
      </c>
      <c r="AO1218">
        <v>4.97</v>
      </c>
      <c r="AP1218">
        <v>4.61</v>
      </c>
    </row>
    <row r="1219" spans="1:42">
      <c r="A1219">
        <v>1218</v>
      </c>
      <c r="B1219" t="str">
        <f>"002530"</f>
        <v>002530</v>
      </c>
      <c r="C1219" t="s">
        <v>7901</v>
      </c>
      <c r="D1219">
        <v>9.07</v>
      </c>
      <c r="E1219">
        <v>1.23</v>
      </c>
      <c r="F1219">
        <v>0.11</v>
      </c>
      <c r="G1219" t="s">
        <v>1008</v>
      </c>
      <c r="H1219">
        <v>2417</v>
      </c>
      <c r="I1219">
        <v>9.06</v>
      </c>
      <c r="J1219">
        <v>9.07</v>
      </c>
      <c r="K1219" t="s">
        <v>7888</v>
      </c>
      <c r="L1219">
        <v>2.75</v>
      </c>
      <c r="M1219" t="s">
        <v>46</v>
      </c>
      <c r="N1219" t="s">
        <v>1484</v>
      </c>
      <c r="O1219">
        <v>9.15</v>
      </c>
      <c r="P1219">
        <v>8.92</v>
      </c>
      <c r="Q1219">
        <v>8.95</v>
      </c>
      <c r="R1219">
        <v>8.96</v>
      </c>
      <c r="S1219">
        <v>2.57</v>
      </c>
      <c r="T1219">
        <v>0.93</v>
      </c>
      <c r="U1219">
        <v>21.92</v>
      </c>
      <c r="V1219">
        <v>2028</v>
      </c>
      <c r="W1219">
        <v>9.04</v>
      </c>
      <c r="X1219" t="s">
        <v>3540</v>
      </c>
      <c r="Y1219" t="s">
        <v>6189</v>
      </c>
      <c r="Z1219">
        <v>0.98</v>
      </c>
      <c r="AA1219">
        <v>1123</v>
      </c>
      <c r="AB1219">
        <v>707</v>
      </c>
      <c r="AC1219">
        <v>5.34</v>
      </c>
      <c r="AD1219" t="s">
        <v>7902</v>
      </c>
      <c r="AE1219" t="s">
        <v>7903</v>
      </c>
      <c r="AF1219" t="s">
        <v>7904</v>
      </c>
      <c r="AG1219" t="s">
        <v>7905</v>
      </c>
      <c r="AH1219">
        <v>0.78</v>
      </c>
      <c r="AI1219">
        <v>-2.47</v>
      </c>
      <c r="AJ1219">
        <v>6.95</v>
      </c>
      <c r="AK1219">
        <v>17.58</v>
      </c>
      <c r="AL1219">
        <v>1</v>
      </c>
      <c r="AM1219">
        <v>1.23</v>
      </c>
      <c r="AN1219">
        <v>25.28</v>
      </c>
      <c r="AO1219">
        <v>0.55</v>
      </c>
      <c r="AP1219">
        <v>14.81</v>
      </c>
    </row>
    <row r="1220" spans="1:42">
      <c r="A1220">
        <v>1219</v>
      </c>
      <c r="B1220" t="str">
        <f>"300567"</f>
        <v>300567</v>
      </c>
      <c r="C1220" t="s">
        <v>7906</v>
      </c>
      <c r="D1220">
        <v>83.69</v>
      </c>
      <c r="E1220">
        <v>0.7</v>
      </c>
      <c r="F1220">
        <v>0.58</v>
      </c>
      <c r="G1220" t="s">
        <v>3372</v>
      </c>
      <c r="H1220">
        <v>72</v>
      </c>
      <c r="I1220">
        <v>83.68</v>
      </c>
      <c r="J1220">
        <v>83.69</v>
      </c>
      <c r="K1220" t="s">
        <v>7888</v>
      </c>
      <c r="L1220">
        <v>0.99</v>
      </c>
      <c r="M1220" t="s">
        <v>46</v>
      </c>
      <c r="N1220" t="s">
        <v>3409</v>
      </c>
      <c r="O1220">
        <v>84</v>
      </c>
      <c r="P1220">
        <v>80.96</v>
      </c>
      <c r="Q1220">
        <v>83</v>
      </c>
      <c r="R1220">
        <v>83.11</v>
      </c>
      <c r="S1220">
        <v>3.66</v>
      </c>
      <c r="T1220">
        <v>0.67</v>
      </c>
      <c r="U1220">
        <v>32.65</v>
      </c>
      <c r="V1220">
        <v>32</v>
      </c>
      <c r="W1220">
        <v>82.57</v>
      </c>
      <c r="X1220">
        <v>9169</v>
      </c>
      <c r="Y1220" t="s">
        <v>4959</v>
      </c>
      <c r="Z1220">
        <v>0.81</v>
      </c>
      <c r="AA1220">
        <v>25</v>
      </c>
      <c r="AB1220">
        <v>5</v>
      </c>
      <c r="AC1220">
        <v>7.21</v>
      </c>
      <c r="AD1220" t="s">
        <v>7907</v>
      </c>
      <c r="AE1220" t="s">
        <v>7908</v>
      </c>
      <c r="AF1220" t="s">
        <v>6829</v>
      </c>
      <c r="AG1220" t="s">
        <v>7909</v>
      </c>
      <c r="AH1220">
        <v>0.56</v>
      </c>
      <c r="AI1220">
        <v>4.34</v>
      </c>
      <c r="AJ1220">
        <v>3.65</v>
      </c>
      <c r="AK1220">
        <v>8.34</v>
      </c>
      <c r="AL1220">
        <v>1</v>
      </c>
      <c r="AM1220">
        <v>0.7</v>
      </c>
      <c r="AN1220">
        <v>67.72</v>
      </c>
      <c r="AO1220">
        <v>1.83</v>
      </c>
      <c r="AP1220">
        <v>49.26</v>
      </c>
    </row>
    <row r="1221" spans="1:42">
      <c r="A1221">
        <v>1220</v>
      </c>
      <c r="B1221" t="str">
        <f>"301345"</f>
        <v>301345</v>
      </c>
      <c r="C1221" t="s">
        <v>7910</v>
      </c>
      <c r="D1221">
        <v>56.19</v>
      </c>
      <c r="E1221">
        <v>7.66</v>
      </c>
      <c r="F1221">
        <v>4</v>
      </c>
      <c r="G1221" t="s">
        <v>7205</v>
      </c>
      <c r="H1221">
        <v>315</v>
      </c>
      <c r="I1221">
        <v>56.18</v>
      </c>
      <c r="J1221">
        <v>56.19</v>
      </c>
      <c r="K1221" t="s">
        <v>7888</v>
      </c>
      <c r="L1221">
        <v>12.12</v>
      </c>
      <c r="M1221" t="s">
        <v>46</v>
      </c>
      <c r="N1221" t="s">
        <v>2900</v>
      </c>
      <c r="O1221">
        <v>57.16</v>
      </c>
      <c r="P1221">
        <v>51.61</v>
      </c>
      <c r="Q1221">
        <v>52.67</v>
      </c>
      <c r="R1221">
        <v>52.19</v>
      </c>
      <c r="S1221">
        <v>10.63</v>
      </c>
      <c r="T1221">
        <v>3.97</v>
      </c>
      <c r="U1221">
        <v>38.99</v>
      </c>
      <c r="V1221">
        <v>214</v>
      </c>
      <c r="W1221">
        <v>55.15</v>
      </c>
      <c r="X1221" t="s">
        <v>1170</v>
      </c>
      <c r="Y1221" t="s">
        <v>1177</v>
      </c>
      <c r="Z1221">
        <v>0.74</v>
      </c>
      <c r="AA1221">
        <v>13</v>
      </c>
      <c r="AB1221">
        <v>42</v>
      </c>
      <c r="AC1221">
        <v>2.14</v>
      </c>
      <c r="AD1221" t="s">
        <v>7911</v>
      </c>
      <c r="AE1221" t="s">
        <v>7912</v>
      </c>
      <c r="AF1221" t="s">
        <v>7913</v>
      </c>
      <c r="AG1221" t="s">
        <v>663</v>
      </c>
      <c r="AH1221">
        <v>4.38</v>
      </c>
      <c r="AI1221">
        <v>5.72</v>
      </c>
      <c r="AJ1221">
        <v>17.4</v>
      </c>
      <c r="AK1221">
        <v>27.39</v>
      </c>
      <c r="AL1221">
        <v>1</v>
      </c>
      <c r="AM1221">
        <v>7.66</v>
      </c>
      <c r="AN1221">
        <v>-21.9</v>
      </c>
      <c r="AO1221">
        <v>15.64</v>
      </c>
      <c r="AP1221">
        <v>-21.9</v>
      </c>
    </row>
    <row r="1222" spans="1:42">
      <c r="A1222">
        <v>1221</v>
      </c>
      <c r="B1222" t="str">
        <f>"300352"</f>
        <v>300352</v>
      </c>
      <c r="C1222" t="s">
        <v>7914</v>
      </c>
      <c r="D1222">
        <v>5.33</v>
      </c>
      <c r="E1222">
        <v>2.9</v>
      </c>
      <c r="F1222">
        <v>0.15</v>
      </c>
      <c r="G1222" t="s">
        <v>5719</v>
      </c>
      <c r="H1222">
        <v>3639</v>
      </c>
      <c r="I1222">
        <v>5.33</v>
      </c>
      <c r="J1222">
        <v>5.34</v>
      </c>
      <c r="K1222" t="s">
        <v>7888</v>
      </c>
      <c r="L1222">
        <v>2.62</v>
      </c>
      <c r="M1222" t="s">
        <v>46</v>
      </c>
      <c r="N1222" t="s">
        <v>2996</v>
      </c>
      <c r="O1222">
        <v>5.37</v>
      </c>
      <c r="P1222">
        <v>5.17</v>
      </c>
      <c r="Q1222">
        <v>5.17</v>
      </c>
      <c r="R1222">
        <v>5.18</v>
      </c>
      <c r="S1222">
        <v>3.86</v>
      </c>
      <c r="T1222">
        <v>1.08</v>
      </c>
      <c r="U1222">
        <v>-28.01</v>
      </c>
      <c r="V1222" t="s">
        <v>7915</v>
      </c>
      <c r="W1222">
        <v>5.28</v>
      </c>
      <c r="X1222" t="s">
        <v>1986</v>
      </c>
      <c r="Y1222" t="s">
        <v>1509</v>
      </c>
      <c r="Z1222">
        <v>0.64</v>
      </c>
      <c r="AA1222">
        <v>1442</v>
      </c>
      <c r="AB1222">
        <v>4463</v>
      </c>
      <c r="AC1222">
        <v>4.98</v>
      </c>
      <c r="AD1222" t="s">
        <v>7916</v>
      </c>
      <c r="AE1222" t="s">
        <v>7917</v>
      </c>
      <c r="AF1222" t="s">
        <v>1457</v>
      </c>
      <c r="AG1222" t="s">
        <v>7918</v>
      </c>
      <c r="AH1222">
        <v>1.14</v>
      </c>
      <c r="AI1222">
        <v>-3.27</v>
      </c>
      <c r="AJ1222">
        <v>6.39</v>
      </c>
      <c r="AK1222">
        <v>14.82</v>
      </c>
      <c r="AL1222">
        <v>1</v>
      </c>
      <c r="AM1222">
        <v>2.9</v>
      </c>
      <c r="AN1222">
        <v>30.64</v>
      </c>
      <c r="AO1222">
        <v>4.72</v>
      </c>
      <c r="AP1222">
        <v>15.37</v>
      </c>
    </row>
    <row r="1223" spans="1:42">
      <c r="A1223">
        <v>1222</v>
      </c>
      <c r="B1223" t="str">
        <f>"601877"</f>
        <v>601877</v>
      </c>
      <c r="C1223" t="s">
        <v>7919</v>
      </c>
      <c r="D1223">
        <v>21.78</v>
      </c>
      <c r="E1223">
        <v>-0.68</v>
      </c>
      <c r="F1223">
        <v>-0.15</v>
      </c>
      <c r="G1223" t="s">
        <v>7395</v>
      </c>
      <c r="H1223">
        <v>461</v>
      </c>
      <c r="I1223">
        <v>21.77</v>
      </c>
      <c r="J1223">
        <v>21.78</v>
      </c>
      <c r="K1223" t="s">
        <v>7888</v>
      </c>
      <c r="L1223">
        <v>0.36</v>
      </c>
      <c r="M1223" t="s">
        <v>46</v>
      </c>
      <c r="N1223" t="s">
        <v>7920</v>
      </c>
      <c r="O1223">
        <v>21.95</v>
      </c>
      <c r="P1223">
        <v>21.52</v>
      </c>
      <c r="Q1223">
        <v>21.95</v>
      </c>
      <c r="R1223">
        <v>21.93</v>
      </c>
      <c r="S1223">
        <v>1.96</v>
      </c>
      <c r="T1223">
        <v>1.32</v>
      </c>
      <c r="U1223">
        <v>-42.14</v>
      </c>
      <c r="V1223">
        <v>-517</v>
      </c>
      <c r="W1223">
        <v>21.66</v>
      </c>
      <c r="X1223" t="s">
        <v>3925</v>
      </c>
      <c r="Y1223" t="s">
        <v>2189</v>
      </c>
      <c r="Z1223">
        <v>1.11</v>
      </c>
      <c r="AA1223">
        <v>25</v>
      </c>
      <c r="AB1223">
        <v>294</v>
      </c>
      <c r="AC1223">
        <v>1.23</v>
      </c>
      <c r="AD1223" t="s">
        <v>7921</v>
      </c>
      <c r="AE1223" t="s">
        <v>7922</v>
      </c>
      <c r="AF1223" t="s">
        <v>7921</v>
      </c>
      <c r="AG1223" t="s">
        <v>7922</v>
      </c>
      <c r="AH1223">
        <v>-3.2</v>
      </c>
      <c r="AI1223">
        <v>-4.64</v>
      </c>
      <c r="AJ1223">
        <v>1</v>
      </c>
      <c r="AK1223">
        <v>1.74</v>
      </c>
      <c r="AL1223">
        <v>-3</v>
      </c>
      <c r="AM1223">
        <v>-0.68</v>
      </c>
      <c r="AN1223">
        <v>-20.22</v>
      </c>
      <c r="AO1223">
        <v>-6.16</v>
      </c>
      <c r="AP1223">
        <v>-22.13</v>
      </c>
    </row>
    <row r="1224" spans="1:42">
      <c r="A1224">
        <v>1223</v>
      </c>
      <c r="B1224" t="str">
        <f>"600728"</f>
        <v>600728</v>
      </c>
      <c r="C1224" t="s">
        <v>7923</v>
      </c>
      <c r="D1224">
        <v>5.85</v>
      </c>
      <c r="E1224">
        <v>2.45</v>
      </c>
      <c r="F1224">
        <v>0.14</v>
      </c>
      <c r="G1224" t="s">
        <v>2811</v>
      </c>
      <c r="H1224">
        <v>2535</v>
      </c>
      <c r="I1224">
        <v>5.84</v>
      </c>
      <c r="J1224">
        <v>5.85</v>
      </c>
      <c r="K1224" t="s">
        <v>7888</v>
      </c>
      <c r="L1224">
        <v>1.37</v>
      </c>
      <c r="M1224" t="s">
        <v>46</v>
      </c>
      <c r="N1224" t="s">
        <v>7924</v>
      </c>
      <c r="O1224">
        <v>5.85</v>
      </c>
      <c r="P1224">
        <v>5.7</v>
      </c>
      <c r="Q1224">
        <v>5.71</v>
      </c>
      <c r="R1224">
        <v>5.71</v>
      </c>
      <c r="S1224">
        <v>2.63</v>
      </c>
      <c r="T1224">
        <v>1.05</v>
      </c>
      <c r="U1224">
        <v>-27.31</v>
      </c>
      <c r="V1224" t="s">
        <v>7925</v>
      </c>
      <c r="W1224">
        <v>5.78</v>
      </c>
      <c r="X1224" t="s">
        <v>1909</v>
      </c>
      <c r="Y1224" t="s">
        <v>99</v>
      </c>
      <c r="Z1224">
        <v>0.58</v>
      </c>
      <c r="AA1224">
        <v>2539</v>
      </c>
      <c r="AB1224">
        <v>7427</v>
      </c>
      <c r="AC1224">
        <v>1.66</v>
      </c>
      <c r="AD1224" t="s">
        <v>7926</v>
      </c>
      <c r="AE1224" t="s">
        <v>7927</v>
      </c>
      <c r="AF1224" t="s">
        <v>7928</v>
      </c>
      <c r="AG1224" t="s">
        <v>1818</v>
      </c>
      <c r="AH1224">
        <v>0.34</v>
      </c>
      <c r="AI1224">
        <v>-2.5</v>
      </c>
      <c r="AJ1224">
        <v>3.71</v>
      </c>
      <c r="AK1224">
        <v>7.9</v>
      </c>
      <c r="AL1224">
        <v>1</v>
      </c>
      <c r="AM1224">
        <v>2.45</v>
      </c>
      <c r="AN1224">
        <v>10.8</v>
      </c>
      <c r="AO1224">
        <v>2.09</v>
      </c>
      <c r="AP1224">
        <v>-1.68</v>
      </c>
    </row>
    <row r="1225" spans="1:42">
      <c r="A1225">
        <v>1224</v>
      </c>
      <c r="B1225" t="str">
        <f>"600088"</f>
        <v>600088</v>
      </c>
      <c r="C1225" t="s">
        <v>7929</v>
      </c>
      <c r="D1225">
        <v>13.46</v>
      </c>
      <c r="E1225">
        <v>6.07</v>
      </c>
      <c r="F1225">
        <v>0.77</v>
      </c>
      <c r="G1225" t="s">
        <v>3971</v>
      </c>
      <c r="H1225">
        <v>1747</v>
      </c>
      <c r="I1225">
        <v>13.45</v>
      </c>
      <c r="J1225">
        <v>13.46</v>
      </c>
      <c r="K1225" t="s">
        <v>7888</v>
      </c>
      <c r="L1225">
        <v>3.21</v>
      </c>
      <c r="M1225" t="s">
        <v>46</v>
      </c>
      <c r="N1225" t="s">
        <v>3183</v>
      </c>
      <c r="O1225">
        <v>13.55</v>
      </c>
      <c r="P1225">
        <v>12.69</v>
      </c>
      <c r="Q1225">
        <v>12.69</v>
      </c>
      <c r="R1225">
        <v>12.69</v>
      </c>
      <c r="S1225">
        <v>6.78</v>
      </c>
      <c r="T1225">
        <v>1.77</v>
      </c>
      <c r="U1225">
        <v>-79.04</v>
      </c>
      <c r="V1225">
        <v>-3491</v>
      </c>
      <c r="W1225">
        <v>13.23</v>
      </c>
      <c r="X1225" t="s">
        <v>7430</v>
      </c>
      <c r="Y1225" t="s">
        <v>3201</v>
      </c>
      <c r="Z1225">
        <v>0.67</v>
      </c>
      <c r="AA1225">
        <v>115</v>
      </c>
      <c r="AB1225">
        <v>1672</v>
      </c>
      <c r="AC1225">
        <v>4.06</v>
      </c>
      <c r="AD1225" t="s">
        <v>7930</v>
      </c>
      <c r="AE1225" t="s">
        <v>7931</v>
      </c>
      <c r="AF1225" t="s">
        <v>7930</v>
      </c>
      <c r="AG1225" t="s">
        <v>7931</v>
      </c>
      <c r="AH1225">
        <v>4.02</v>
      </c>
      <c r="AI1225">
        <v>-0.81</v>
      </c>
      <c r="AJ1225">
        <v>5.37</v>
      </c>
      <c r="AK1225">
        <v>12.29</v>
      </c>
      <c r="AL1225">
        <v>1</v>
      </c>
      <c r="AM1225">
        <v>6.07</v>
      </c>
      <c r="AN1225">
        <v>36.23</v>
      </c>
      <c r="AO1225">
        <v>7.85</v>
      </c>
      <c r="AP1225">
        <v>50.73</v>
      </c>
    </row>
    <row r="1226" spans="1:42">
      <c r="A1226">
        <v>1225</v>
      </c>
      <c r="B1226" t="str">
        <f>"600372"</f>
        <v>600372</v>
      </c>
      <c r="C1226" t="s">
        <v>7932</v>
      </c>
      <c r="D1226">
        <v>12.97</v>
      </c>
      <c r="E1226">
        <v>0.54</v>
      </c>
      <c r="F1226">
        <v>0.07</v>
      </c>
      <c r="G1226" t="s">
        <v>830</v>
      </c>
      <c r="H1226">
        <v>766</v>
      </c>
      <c r="I1226">
        <v>12.97</v>
      </c>
      <c r="J1226">
        <v>12.98</v>
      </c>
      <c r="K1226" t="s">
        <v>7888</v>
      </c>
      <c r="L1226">
        <v>0.29</v>
      </c>
      <c r="M1226" t="s">
        <v>46</v>
      </c>
      <c r="N1226" t="s">
        <v>7933</v>
      </c>
      <c r="O1226">
        <v>13.04</v>
      </c>
      <c r="P1226">
        <v>12.87</v>
      </c>
      <c r="Q1226">
        <v>12.87</v>
      </c>
      <c r="R1226">
        <v>12.9</v>
      </c>
      <c r="S1226">
        <v>1.32</v>
      </c>
      <c r="T1226">
        <v>0.75</v>
      </c>
      <c r="U1226">
        <v>1.95</v>
      </c>
      <c r="V1226">
        <v>109</v>
      </c>
      <c r="W1226">
        <v>12.93</v>
      </c>
      <c r="X1226" t="s">
        <v>5452</v>
      </c>
      <c r="Y1226" t="s">
        <v>5779</v>
      </c>
      <c r="Z1226">
        <v>1.09</v>
      </c>
      <c r="AA1226">
        <v>368</v>
      </c>
      <c r="AB1226">
        <v>369</v>
      </c>
      <c r="AC1226">
        <v>1.78</v>
      </c>
      <c r="AD1226" t="s">
        <v>7934</v>
      </c>
      <c r="AE1226" t="s">
        <v>7935</v>
      </c>
      <c r="AF1226" t="s">
        <v>7936</v>
      </c>
      <c r="AG1226" t="s">
        <v>7937</v>
      </c>
      <c r="AH1226">
        <v>-0.99</v>
      </c>
      <c r="AI1226">
        <v>-3.78</v>
      </c>
      <c r="AJ1226">
        <v>1.02</v>
      </c>
      <c r="AK1226">
        <v>2.23</v>
      </c>
      <c r="AL1226">
        <v>1</v>
      </c>
      <c r="AM1226">
        <v>0.54</v>
      </c>
      <c r="AN1226">
        <v>-18.17</v>
      </c>
      <c r="AO1226">
        <v>-4.63</v>
      </c>
      <c r="AP1226">
        <v>-26.68</v>
      </c>
    </row>
    <row r="1227" spans="1:42">
      <c r="A1227">
        <v>1226</v>
      </c>
      <c r="B1227" t="str">
        <f>"601098"</f>
        <v>601098</v>
      </c>
      <c r="C1227" t="s">
        <v>7938</v>
      </c>
      <c r="D1227">
        <v>11.1</v>
      </c>
      <c r="E1227">
        <v>2.78</v>
      </c>
      <c r="F1227">
        <v>0.3</v>
      </c>
      <c r="G1227" t="s">
        <v>978</v>
      </c>
      <c r="H1227">
        <v>697</v>
      </c>
      <c r="I1227">
        <v>11.1</v>
      </c>
      <c r="J1227">
        <v>11.11</v>
      </c>
      <c r="K1227" t="s">
        <v>7888</v>
      </c>
      <c r="L1227">
        <v>0.85</v>
      </c>
      <c r="M1227" t="s">
        <v>46</v>
      </c>
      <c r="N1227" t="s">
        <v>7939</v>
      </c>
      <c r="O1227">
        <v>11.16</v>
      </c>
      <c r="P1227">
        <v>10.8</v>
      </c>
      <c r="Q1227">
        <v>10.81</v>
      </c>
      <c r="R1227">
        <v>10.8</v>
      </c>
      <c r="S1227">
        <v>3.33</v>
      </c>
      <c r="T1227">
        <v>0.9</v>
      </c>
      <c r="U1227">
        <v>-56.96</v>
      </c>
      <c r="V1227">
        <v>-1622</v>
      </c>
      <c r="W1227">
        <v>11</v>
      </c>
      <c r="X1227" t="s">
        <v>7940</v>
      </c>
      <c r="Y1227" t="s">
        <v>7941</v>
      </c>
      <c r="Z1227">
        <v>0.75</v>
      </c>
      <c r="AA1227">
        <v>134</v>
      </c>
      <c r="AB1227">
        <v>7</v>
      </c>
      <c r="AC1227">
        <v>1.35</v>
      </c>
      <c r="AD1227" t="s">
        <v>7942</v>
      </c>
      <c r="AE1227" t="s">
        <v>7943</v>
      </c>
      <c r="AF1227" t="s">
        <v>7942</v>
      </c>
      <c r="AG1227" t="s">
        <v>7943</v>
      </c>
      <c r="AH1227">
        <v>0.09</v>
      </c>
      <c r="AI1227">
        <v>-6.25</v>
      </c>
      <c r="AJ1227">
        <v>2.59</v>
      </c>
      <c r="AK1227">
        <v>5.59</v>
      </c>
      <c r="AL1227">
        <v>2</v>
      </c>
      <c r="AM1227">
        <v>2.78</v>
      </c>
      <c r="AN1227">
        <v>18.34</v>
      </c>
      <c r="AO1227">
        <v>-1.6</v>
      </c>
      <c r="AP1227">
        <v>20</v>
      </c>
    </row>
    <row r="1228" spans="1:42">
      <c r="A1228">
        <v>1227</v>
      </c>
      <c r="B1228" t="str">
        <f>"002338"</f>
        <v>002338</v>
      </c>
      <c r="C1228" t="s">
        <v>7944</v>
      </c>
      <c r="D1228">
        <v>34.35</v>
      </c>
      <c r="E1228">
        <v>1.18</v>
      </c>
      <c r="F1228">
        <v>0.4</v>
      </c>
      <c r="G1228" t="s">
        <v>4264</v>
      </c>
      <c r="H1228">
        <v>794</v>
      </c>
      <c r="I1228">
        <v>34.34</v>
      </c>
      <c r="J1228">
        <v>34.35</v>
      </c>
      <c r="K1228" t="s">
        <v>7888</v>
      </c>
      <c r="L1228">
        <v>2.06</v>
      </c>
      <c r="M1228" t="s">
        <v>46</v>
      </c>
      <c r="N1228" t="s">
        <v>7945</v>
      </c>
      <c r="O1228">
        <v>34.41</v>
      </c>
      <c r="P1228">
        <v>33.68</v>
      </c>
      <c r="Q1228">
        <v>33.78</v>
      </c>
      <c r="R1228">
        <v>33.95</v>
      </c>
      <c r="S1228">
        <v>2.15</v>
      </c>
      <c r="T1228">
        <v>0.59</v>
      </c>
      <c r="U1228">
        <v>17.04</v>
      </c>
      <c r="V1228">
        <v>161</v>
      </c>
      <c r="W1228">
        <v>34.11</v>
      </c>
      <c r="X1228" t="s">
        <v>7946</v>
      </c>
      <c r="Y1228" t="s">
        <v>299</v>
      </c>
      <c r="Z1228">
        <v>1.06</v>
      </c>
      <c r="AA1228">
        <v>18</v>
      </c>
      <c r="AB1228">
        <v>83</v>
      </c>
      <c r="AC1228">
        <v>6.74</v>
      </c>
      <c r="AD1228" t="s">
        <v>4237</v>
      </c>
      <c r="AE1228" t="s">
        <v>7947</v>
      </c>
      <c r="AF1228" t="s">
        <v>4237</v>
      </c>
      <c r="AG1228" t="s">
        <v>7947</v>
      </c>
      <c r="AH1228">
        <v>-1.58</v>
      </c>
      <c r="AI1228">
        <v>-1.89</v>
      </c>
      <c r="AJ1228">
        <v>7.84</v>
      </c>
      <c r="AK1228">
        <v>19.38</v>
      </c>
      <c r="AL1228">
        <v>1</v>
      </c>
      <c r="AM1228">
        <v>1.18</v>
      </c>
      <c r="AN1228">
        <v>54.17</v>
      </c>
      <c r="AO1228">
        <v>3.56</v>
      </c>
      <c r="AP1228">
        <v>36.74</v>
      </c>
    </row>
    <row r="1229" spans="1:42">
      <c r="A1229">
        <v>1228</v>
      </c>
      <c r="B1229" t="str">
        <f>"300231"</f>
        <v>300231</v>
      </c>
      <c r="C1229" t="s">
        <v>7948</v>
      </c>
      <c r="D1229">
        <v>11.31</v>
      </c>
      <c r="E1229">
        <v>2.17</v>
      </c>
      <c r="F1229">
        <v>0.24</v>
      </c>
      <c r="G1229" t="s">
        <v>1377</v>
      </c>
      <c r="H1229">
        <v>3792</v>
      </c>
      <c r="I1229">
        <v>11.31</v>
      </c>
      <c r="J1229">
        <v>11.32</v>
      </c>
      <c r="K1229" t="s">
        <v>2558</v>
      </c>
      <c r="L1229">
        <v>4.38</v>
      </c>
      <c r="M1229" t="s">
        <v>46</v>
      </c>
      <c r="N1229" t="s">
        <v>5078</v>
      </c>
      <c r="O1229">
        <v>11.32</v>
      </c>
      <c r="P1229">
        <v>11.01</v>
      </c>
      <c r="Q1229">
        <v>11.08</v>
      </c>
      <c r="R1229">
        <v>11.07</v>
      </c>
      <c r="S1229">
        <v>2.8</v>
      </c>
      <c r="T1229">
        <v>0.95</v>
      </c>
      <c r="U1229">
        <v>-19.74</v>
      </c>
      <c r="V1229">
        <v>-1294</v>
      </c>
      <c r="W1229">
        <v>11.18</v>
      </c>
      <c r="X1229" t="s">
        <v>2367</v>
      </c>
      <c r="Y1229" t="s">
        <v>1045</v>
      </c>
      <c r="Z1229">
        <v>0.84</v>
      </c>
      <c r="AA1229">
        <v>23</v>
      </c>
      <c r="AB1229">
        <v>1568</v>
      </c>
      <c r="AC1229">
        <v>3.04</v>
      </c>
      <c r="AD1229" t="s">
        <v>7949</v>
      </c>
      <c r="AE1229" t="s">
        <v>7950</v>
      </c>
      <c r="AF1229" t="s">
        <v>7951</v>
      </c>
      <c r="AG1229" t="s">
        <v>7952</v>
      </c>
      <c r="AH1229">
        <v>0.8</v>
      </c>
      <c r="AI1229">
        <v>-4.15</v>
      </c>
      <c r="AJ1229">
        <v>11.59</v>
      </c>
      <c r="AK1229">
        <v>27.53</v>
      </c>
      <c r="AL1229">
        <v>2</v>
      </c>
      <c r="AM1229">
        <v>2.17</v>
      </c>
      <c r="AN1229">
        <v>59.52</v>
      </c>
      <c r="AO1229">
        <v>-9.66</v>
      </c>
      <c r="AP1229">
        <v>50.6</v>
      </c>
    </row>
    <row r="1230" spans="1:42">
      <c r="A1230">
        <v>1229</v>
      </c>
      <c r="B1230" t="str">
        <f>"000546"</f>
        <v>000546</v>
      </c>
      <c r="C1230" t="s">
        <v>7953</v>
      </c>
      <c r="D1230">
        <v>7.41</v>
      </c>
      <c r="E1230">
        <v>2.49</v>
      </c>
      <c r="F1230">
        <v>0.18</v>
      </c>
      <c r="G1230" t="s">
        <v>291</v>
      </c>
      <c r="H1230">
        <v>5524</v>
      </c>
      <c r="I1230">
        <v>7.4</v>
      </c>
      <c r="J1230">
        <v>7.41</v>
      </c>
      <c r="K1230" t="s">
        <v>2558</v>
      </c>
      <c r="L1230">
        <v>3.22</v>
      </c>
      <c r="M1230" t="s">
        <v>46</v>
      </c>
      <c r="N1230" t="s">
        <v>3409</v>
      </c>
      <c r="O1230">
        <v>7.54</v>
      </c>
      <c r="P1230">
        <v>7.2</v>
      </c>
      <c r="Q1230">
        <v>7.27</v>
      </c>
      <c r="R1230">
        <v>7.23</v>
      </c>
      <c r="S1230">
        <v>4.7</v>
      </c>
      <c r="T1230">
        <v>1.1</v>
      </c>
      <c r="U1230">
        <v>-6.09</v>
      </c>
      <c r="V1230">
        <v>-579</v>
      </c>
      <c r="W1230">
        <v>7.35</v>
      </c>
      <c r="X1230" t="s">
        <v>1128</v>
      </c>
      <c r="Y1230" t="s">
        <v>422</v>
      </c>
      <c r="Z1230">
        <v>0.86</v>
      </c>
      <c r="AA1230">
        <v>454</v>
      </c>
      <c r="AB1230">
        <v>379</v>
      </c>
      <c r="AC1230">
        <v>1.2</v>
      </c>
      <c r="AD1230" t="s">
        <v>7954</v>
      </c>
      <c r="AE1230" t="s">
        <v>7955</v>
      </c>
      <c r="AF1230" t="s">
        <v>7956</v>
      </c>
      <c r="AG1230" t="s">
        <v>7957</v>
      </c>
      <c r="AH1230">
        <v>-1.07</v>
      </c>
      <c r="AI1230">
        <v>-3.01</v>
      </c>
      <c r="AJ1230">
        <v>8.47</v>
      </c>
      <c r="AK1230">
        <v>17.87</v>
      </c>
      <c r="AL1230">
        <v>1</v>
      </c>
      <c r="AM1230">
        <v>2.49</v>
      </c>
      <c r="AN1230">
        <v>-38.86</v>
      </c>
      <c r="AO1230">
        <v>3.06</v>
      </c>
      <c r="AP1230">
        <v>-51.09</v>
      </c>
    </row>
    <row r="1231" spans="1:42">
      <c r="A1231">
        <v>1230</v>
      </c>
      <c r="B1231" t="str">
        <f>"002028"</f>
        <v>002028</v>
      </c>
      <c r="C1231" t="s">
        <v>7958</v>
      </c>
      <c r="D1231">
        <v>49.44</v>
      </c>
      <c r="E1231">
        <v>-0.2</v>
      </c>
      <c r="F1231">
        <v>-0.1</v>
      </c>
      <c r="G1231" t="s">
        <v>1806</v>
      </c>
      <c r="H1231">
        <v>338</v>
      </c>
      <c r="I1231">
        <v>49.44</v>
      </c>
      <c r="J1231">
        <v>49.45</v>
      </c>
      <c r="K1231" t="s">
        <v>2558</v>
      </c>
      <c r="L1231">
        <v>0.57</v>
      </c>
      <c r="M1231" t="s">
        <v>46</v>
      </c>
      <c r="N1231" t="s">
        <v>7959</v>
      </c>
      <c r="O1231">
        <v>49.68</v>
      </c>
      <c r="P1231">
        <v>48.45</v>
      </c>
      <c r="Q1231">
        <v>49.42</v>
      </c>
      <c r="R1231">
        <v>49.54</v>
      </c>
      <c r="S1231">
        <v>2.48</v>
      </c>
      <c r="T1231">
        <v>0.62</v>
      </c>
      <c r="U1231">
        <v>35.56</v>
      </c>
      <c r="V1231">
        <v>81</v>
      </c>
      <c r="W1231">
        <v>49.07</v>
      </c>
      <c r="X1231" t="s">
        <v>2371</v>
      </c>
      <c r="Y1231" t="s">
        <v>2329</v>
      </c>
      <c r="Z1231">
        <v>0.79</v>
      </c>
      <c r="AA1231">
        <v>24</v>
      </c>
      <c r="AB1231">
        <v>29</v>
      </c>
      <c r="AC1231">
        <v>3.79</v>
      </c>
      <c r="AD1231" t="s">
        <v>7960</v>
      </c>
      <c r="AE1231" t="s">
        <v>7961</v>
      </c>
      <c r="AF1231" t="s">
        <v>7962</v>
      </c>
      <c r="AG1231" t="s">
        <v>7963</v>
      </c>
      <c r="AH1231">
        <v>0.41</v>
      </c>
      <c r="AI1231">
        <v>2.32</v>
      </c>
      <c r="AJ1231">
        <v>2.08</v>
      </c>
      <c r="AK1231">
        <v>5.14</v>
      </c>
      <c r="AL1231">
        <v>-1</v>
      </c>
      <c r="AM1231">
        <v>-0.2</v>
      </c>
      <c r="AN1231">
        <v>30.38</v>
      </c>
      <c r="AO1231">
        <v>0.18</v>
      </c>
      <c r="AP1231">
        <v>26.54</v>
      </c>
    </row>
    <row r="1232" spans="1:42">
      <c r="A1232">
        <v>1231</v>
      </c>
      <c r="B1232" t="str">
        <f>"688007"</f>
        <v>688007</v>
      </c>
      <c r="C1232" t="s">
        <v>7964</v>
      </c>
      <c r="D1232">
        <v>28.48</v>
      </c>
      <c r="E1232">
        <v>1.24</v>
      </c>
      <c r="F1232">
        <v>0.35</v>
      </c>
      <c r="G1232" t="s">
        <v>3090</v>
      </c>
      <c r="H1232">
        <v>842</v>
      </c>
      <c r="I1232">
        <v>28.43</v>
      </c>
      <c r="J1232">
        <v>28.48</v>
      </c>
      <c r="K1232" t="s">
        <v>2558</v>
      </c>
      <c r="L1232">
        <v>1.29</v>
      </c>
      <c r="M1232" t="s">
        <v>46</v>
      </c>
      <c r="N1232" t="s">
        <v>7965</v>
      </c>
      <c r="O1232">
        <v>28.55</v>
      </c>
      <c r="P1232">
        <v>27.6</v>
      </c>
      <c r="Q1232">
        <v>28.04</v>
      </c>
      <c r="R1232">
        <v>28.13</v>
      </c>
      <c r="S1232">
        <v>3.38</v>
      </c>
      <c r="T1232">
        <v>0.94</v>
      </c>
      <c r="U1232">
        <v>-20.38</v>
      </c>
      <c r="V1232">
        <v>-233</v>
      </c>
      <c r="W1232">
        <v>28.23</v>
      </c>
      <c r="X1232" t="s">
        <v>5553</v>
      </c>
      <c r="Y1232" t="s">
        <v>7966</v>
      </c>
      <c r="Z1232">
        <v>0.87</v>
      </c>
      <c r="AA1232">
        <v>102</v>
      </c>
      <c r="AB1232">
        <v>249</v>
      </c>
      <c r="AC1232">
        <v>4.65</v>
      </c>
      <c r="AD1232" t="s">
        <v>7967</v>
      </c>
      <c r="AE1232" t="s">
        <v>2406</v>
      </c>
      <c r="AF1232" t="s">
        <v>7967</v>
      </c>
      <c r="AG1232" t="s">
        <v>2406</v>
      </c>
      <c r="AH1232">
        <v>2.63</v>
      </c>
      <c r="AI1232">
        <v>1.1</v>
      </c>
      <c r="AJ1232">
        <v>4.7</v>
      </c>
      <c r="AK1232">
        <v>8.15</v>
      </c>
      <c r="AL1232">
        <v>1</v>
      </c>
      <c r="AM1232">
        <v>1.24</v>
      </c>
      <c r="AN1232">
        <v>14.79</v>
      </c>
      <c r="AO1232">
        <v>4.67</v>
      </c>
      <c r="AP1232">
        <v>19.66</v>
      </c>
    </row>
    <row r="1233" spans="1:42">
      <c r="A1233">
        <v>1232</v>
      </c>
      <c r="B1233" t="str">
        <f>"300697"</f>
        <v>300697</v>
      </c>
      <c r="C1233" t="s">
        <v>7968</v>
      </c>
      <c r="D1233">
        <v>12.55</v>
      </c>
      <c r="E1233">
        <v>2.2</v>
      </c>
      <c r="F1233">
        <v>0.27</v>
      </c>
      <c r="G1233" t="s">
        <v>368</v>
      </c>
      <c r="H1233">
        <v>3267</v>
      </c>
      <c r="I1233">
        <v>12.54</v>
      </c>
      <c r="J1233">
        <v>12.55</v>
      </c>
      <c r="K1233" t="s">
        <v>2558</v>
      </c>
      <c r="L1233">
        <v>8.76</v>
      </c>
      <c r="M1233" t="s">
        <v>46</v>
      </c>
      <c r="N1233" t="s">
        <v>4602</v>
      </c>
      <c r="O1233">
        <v>12.67</v>
      </c>
      <c r="P1233">
        <v>12.3</v>
      </c>
      <c r="Q1233">
        <v>12.37</v>
      </c>
      <c r="R1233">
        <v>12.28</v>
      </c>
      <c r="S1233">
        <v>3.01</v>
      </c>
      <c r="T1233">
        <v>0.46</v>
      </c>
      <c r="U1233">
        <v>43.45</v>
      </c>
      <c r="V1233">
        <v>718</v>
      </c>
      <c r="W1233">
        <v>12.52</v>
      </c>
      <c r="X1233" t="s">
        <v>1721</v>
      </c>
      <c r="Y1233" t="s">
        <v>6113</v>
      </c>
      <c r="Z1233">
        <v>0.99</v>
      </c>
      <c r="AA1233">
        <v>27</v>
      </c>
      <c r="AB1233">
        <v>0</v>
      </c>
      <c r="AC1233">
        <v>4.07</v>
      </c>
      <c r="AD1233" t="s">
        <v>7969</v>
      </c>
      <c r="AE1233" t="s">
        <v>7970</v>
      </c>
      <c r="AF1233" t="s">
        <v>7971</v>
      </c>
      <c r="AG1233" t="s">
        <v>7972</v>
      </c>
      <c r="AH1233">
        <v>-8.13</v>
      </c>
      <c r="AI1233">
        <v>7.45</v>
      </c>
      <c r="AJ1233">
        <v>38.56</v>
      </c>
      <c r="AK1233">
        <v>103.61</v>
      </c>
      <c r="AL1233">
        <v>1</v>
      </c>
      <c r="AM1233">
        <v>2.2</v>
      </c>
      <c r="AN1233">
        <v>30.46</v>
      </c>
      <c r="AO1233">
        <v>16.2</v>
      </c>
      <c r="AP1233">
        <v>21.61</v>
      </c>
    </row>
    <row r="1234" spans="1:42">
      <c r="A1234">
        <v>1233</v>
      </c>
      <c r="B1234" t="str">
        <f>"003031"</f>
        <v>003031</v>
      </c>
      <c r="C1234" t="s">
        <v>7973</v>
      </c>
      <c r="D1234">
        <v>94.7</v>
      </c>
      <c r="E1234">
        <v>-1.99</v>
      </c>
      <c r="F1234">
        <v>-1.92</v>
      </c>
      <c r="G1234" t="s">
        <v>1177</v>
      </c>
      <c r="H1234">
        <v>286</v>
      </c>
      <c r="I1234">
        <v>94.7</v>
      </c>
      <c r="J1234">
        <v>94.85</v>
      </c>
      <c r="K1234" t="s">
        <v>2558</v>
      </c>
      <c r="L1234">
        <v>2.53</v>
      </c>
      <c r="M1234" t="s">
        <v>46</v>
      </c>
      <c r="N1234" t="s">
        <v>2027</v>
      </c>
      <c r="O1234">
        <v>98</v>
      </c>
      <c r="P1234">
        <v>94.18</v>
      </c>
      <c r="Q1234">
        <v>97.03</v>
      </c>
      <c r="R1234">
        <v>96.62</v>
      </c>
      <c r="S1234">
        <v>3.95</v>
      </c>
      <c r="T1234">
        <v>0.87</v>
      </c>
      <c r="U1234">
        <v>20.53</v>
      </c>
      <c r="V1234">
        <v>31</v>
      </c>
      <c r="W1234">
        <v>95.57</v>
      </c>
      <c r="X1234" t="s">
        <v>7974</v>
      </c>
      <c r="Y1234">
        <v>6754</v>
      </c>
      <c r="Z1234">
        <v>1.6</v>
      </c>
      <c r="AA1234">
        <v>1</v>
      </c>
      <c r="AB1234">
        <v>5</v>
      </c>
      <c r="AC1234">
        <v>5.58</v>
      </c>
      <c r="AD1234" t="s">
        <v>7975</v>
      </c>
      <c r="AE1234" t="s">
        <v>7976</v>
      </c>
      <c r="AF1234" t="s">
        <v>7977</v>
      </c>
      <c r="AG1234" t="s">
        <v>7978</v>
      </c>
      <c r="AH1234">
        <v>0.28</v>
      </c>
      <c r="AI1234">
        <v>2.08</v>
      </c>
      <c r="AJ1234">
        <v>11.12</v>
      </c>
      <c r="AK1234">
        <v>17.04</v>
      </c>
      <c r="AL1234">
        <v>-2</v>
      </c>
      <c r="AM1234">
        <v>-1.99</v>
      </c>
      <c r="AN1234">
        <v>-1.66</v>
      </c>
      <c r="AO1234">
        <v>-1.33</v>
      </c>
      <c r="AP1234">
        <v>-10.22</v>
      </c>
    </row>
    <row r="1235" spans="1:42">
      <c r="A1235">
        <v>1234</v>
      </c>
      <c r="B1235" t="str">
        <f>"002697"</f>
        <v>002697</v>
      </c>
      <c r="C1235" t="s">
        <v>7979</v>
      </c>
      <c r="D1235">
        <v>5.42</v>
      </c>
      <c r="E1235">
        <v>-0.91</v>
      </c>
      <c r="F1235">
        <v>-0.05</v>
      </c>
      <c r="G1235" t="s">
        <v>7980</v>
      </c>
      <c r="H1235">
        <v>2886</v>
      </c>
      <c r="I1235">
        <v>5.42</v>
      </c>
      <c r="J1235">
        <v>5.43</v>
      </c>
      <c r="K1235" t="s">
        <v>2558</v>
      </c>
      <c r="L1235">
        <v>2.85</v>
      </c>
      <c r="M1235" t="s">
        <v>46</v>
      </c>
      <c r="N1235" t="s">
        <v>7981</v>
      </c>
      <c r="O1235">
        <v>5.53</v>
      </c>
      <c r="P1235">
        <v>5.41</v>
      </c>
      <c r="Q1235">
        <v>5.43</v>
      </c>
      <c r="R1235">
        <v>5.47</v>
      </c>
      <c r="S1235">
        <v>2.19</v>
      </c>
      <c r="T1235">
        <v>0.98</v>
      </c>
      <c r="U1235">
        <v>-3.74</v>
      </c>
      <c r="V1235">
        <v>-703</v>
      </c>
      <c r="W1235">
        <v>5.46</v>
      </c>
      <c r="X1235" t="s">
        <v>5021</v>
      </c>
      <c r="Y1235" t="s">
        <v>2222</v>
      </c>
      <c r="Z1235">
        <v>1.06</v>
      </c>
      <c r="AA1235">
        <v>1166</v>
      </c>
      <c r="AB1235">
        <v>1631</v>
      </c>
      <c r="AC1235">
        <v>1.86</v>
      </c>
      <c r="AD1235" t="s">
        <v>7174</v>
      </c>
      <c r="AE1235" t="s">
        <v>7982</v>
      </c>
      <c r="AF1235" t="s">
        <v>5935</v>
      </c>
      <c r="AG1235" t="s">
        <v>7983</v>
      </c>
      <c r="AH1235">
        <v>-0.18</v>
      </c>
      <c r="AI1235">
        <v>1.5</v>
      </c>
      <c r="AJ1235">
        <v>8.3</v>
      </c>
      <c r="AK1235">
        <v>17.37</v>
      </c>
      <c r="AL1235">
        <v>-1</v>
      </c>
      <c r="AM1235">
        <v>-0.91</v>
      </c>
      <c r="AN1235">
        <v>4.43</v>
      </c>
      <c r="AO1235">
        <v>4.63</v>
      </c>
      <c r="AP1235">
        <v>15.57</v>
      </c>
    </row>
    <row r="1236" spans="1:42">
      <c r="A1236">
        <v>1235</v>
      </c>
      <c r="B1236" t="str">
        <f>"300177"</f>
        <v>300177</v>
      </c>
      <c r="C1236" t="s">
        <v>7984</v>
      </c>
      <c r="D1236">
        <v>8</v>
      </c>
      <c r="E1236">
        <v>2.7</v>
      </c>
      <c r="F1236">
        <v>0.21</v>
      </c>
      <c r="G1236" t="s">
        <v>1007</v>
      </c>
      <c r="H1236">
        <v>2657</v>
      </c>
      <c r="I1236">
        <v>8</v>
      </c>
      <c r="J1236">
        <v>8.01</v>
      </c>
      <c r="K1236" t="s">
        <v>2558</v>
      </c>
      <c r="L1236">
        <v>3.5</v>
      </c>
      <c r="M1236" t="s">
        <v>46</v>
      </c>
      <c r="N1236" t="s">
        <v>5673</v>
      </c>
      <c r="O1236">
        <v>8.04</v>
      </c>
      <c r="P1236">
        <v>7.73</v>
      </c>
      <c r="Q1236">
        <v>7.77</v>
      </c>
      <c r="R1236">
        <v>7.79</v>
      </c>
      <c r="S1236">
        <v>3.98</v>
      </c>
      <c r="T1236">
        <v>0.86</v>
      </c>
      <c r="U1236">
        <v>-54.99</v>
      </c>
      <c r="V1236">
        <v>-6417</v>
      </c>
      <c r="W1236">
        <v>7.91</v>
      </c>
      <c r="X1236" t="s">
        <v>5203</v>
      </c>
      <c r="Y1236" t="s">
        <v>1986</v>
      </c>
      <c r="Z1236">
        <v>0.69</v>
      </c>
      <c r="AA1236">
        <v>550</v>
      </c>
      <c r="AB1236">
        <v>1871</v>
      </c>
      <c r="AC1236">
        <v>2.86</v>
      </c>
      <c r="AD1236" t="s">
        <v>7985</v>
      </c>
      <c r="AE1236" t="s">
        <v>3197</v>
      </c>
      <c r="AF1236" t="s">
        <v>7986</v>
      </c>
      <c r="AG1236" t="s">
        <v>6252</v>
      </c>
      <c r="AH1236">
        <v>-1.36</v>
      </c>
      <c r="AI1236">
        <v>-2.68</v>
      </c>
      <c r="AJ1236">
        <v>11.27</v>
      </c>
      <c r="AK1236">
        <v>23.78</v>
      </c>
      <c r="AL1236">
        <v>1</v>
      </c>
      <c r="AM1236">
        <v>2.7</v>
      </c>
      <c r="AN1236">
        <v>30.51</v>
      </c>
      <c r="AO1236">
        <v>6.38</v>
      </c>
      <c r="AP1236">
        <v>14.78</v>
      </c>
    </row>
    <row r="1237" spans="1:42">
      <c r="A1237">
        <v>1236</v>
      </c>
      <c r="B1237" t="str">
        <f>"600765"</f>
        <v>600765</v>
      </c>
      <c r="C1237" t="s">
        <v>7987</v>
      </c>
      <c r="D1237">
        <v>21.37</v>
      </c>
      <c r="E1237">
        <v>0.56</v>
      </c>
      <c r="F1237">
        <v>0.12</v>
      </c>
      <c r="G1237" t="s">
        <v>6703</v>
      </c>
      <c r="H1237">
        <v>923</v>
      </c>
      <c r="I1237">
        <v>21.37</v>
      </c>
      <c r="J1237">
        <v>21.39</v>
      </c>
      <c r="K1237" t="s">
        <v>2558</v>
      </c>
      <c r="L1237">
        <v>0.53</v>
      </c>
      <c r="M1237" t="s">
        <v>46</v>
      </c>
      <c r="N1237" t="s">
        <v>7988</v>
      </c>
      <c r="O1237">
        <v>21.51</v>
      </c>
      <c r="P1237">
        <v>21.08</v>
      </c>
      <c r="Q1237">
        <v>21.27</v>
      </c>
      <c r="R1237">
        <v>21.25</v>
      </c>
      <c r="S1237">
        <v>2.02</v>
      </c>
      <c r="T1237">
        <v>1.49</v>
      </c>
      <c r="U1237">
        <v>-29.6</v>
      </c>
      <c r="V1237">
        <v>-498</v>
      </c>
      <c r="W1237">
        <v>21.35</v>
      </c>
      <c r="X1237" t="s">
        <v>4914</v>
      </c>
      <c r="Y1237" t="s">
        <v>5674</v>
      </c>
      <c r="Z1237">
        <v>0.65</v>
      </c>
      <c r="AA1237">
        <v>429</v>
      </c>
      <c r="AB1237">
        <v>60</v>
      </c>
      <c r="AC1237">
        <v>2.81</v>
      </c>
      <c r="AD1237" t="s">
        <v>133</v>
      </c>
      <c r="AE1237" t="s">
        <v>7989</v>
      </c>
      <c r="AF1237" t="s">
        <v>7990</v>
      </c>
      <c r="AG1237" t="s">
        <v>7991</v>
      </c>
      <c r="AH1237">
        <v>0.05</v>
      </c>
      <c r="AI1237">
        <v>-2.55</v>
      </c>
      <c r="AJ1237">
        <v>1.23</v>
      </c>
      <c r="AK1237">
        <v>2.33</v>
      </c>
      <c r="AL1237">
        <v>2</v>
      </c>
      <c r="AM1237">
        <v>0.56</v>
      </c>
      <c r="AN1237">
        <v>-30.89</v>
      </c>
      <c r="AO1237">
        <v>1.23</v>
      </c>
      <c r="AP1237">
        <v>-31.62</v>
      </c>
    </row>
    <row r="1238" spans="1:42">
      <c r="A1238">
        <v>1237</v>
      </c>
      <c r="B1238" t="str">
        <f>"301202"</f>
        <v>301202</v>
      </c>
      <c r="C1238" t="s">
        <v>7992</v>
      </c>
      <c r="D1238">
        <v>36</v>
      </c>
      <c r="E1238">
        <v>-2.57</v>
      </c>
      <c r="F1238">
        <v>-0.95</v>
      </c>
      <c r="G1238" t="s">
        <v>5644</v>
      </c>
      <c r="H1238">
        <v>637</v>
      </c>
      <c r="I1238">
        <v>36</v>
      </c>
      <c r="J1238">
        <v>36.02</v>
      </c>
      <c r="K1238" t="s">
        <v>2558</v>
      </c>
      <c r="L1238">
        <v>14.39</v>
      </c>
      <c r="M1238" t="s">
        <v>46</v>
      </c>
      <c r="N1238" t="s">
        <v>2122</v>
      </c>
      <c r="O1238">
        <v>36.89</v>
      </c>
      <c r="P1238">
        <v>35.6</v>
      </c>
      <c r="Q1238">
        <v>36.89</v>
      </c>
      <c r="R1238">
        <v>36.95</v>
      </c>
      <c r="S1238">
        <v>3.49</v>
      </c>
      <c r="T1238">
        <v>1.38</v>
      </c>
      <c r="U1238">
        <v>82.3</v>
      </c>
      <c r="V1238">
        <v>530</v>
      </c>
      <c r="W1238">
        <v>36.02</v>
      </c>
      <c r="X1238" t="s">
        <v>7993</v>
      </c>
      <c r="Y1238" t="s">
        <v>6012</v>
      </c>
      <c r="Z1238">
        <v>1.52</v>
      </c>
      <c r="AA1238">
        <v>63</v>
      </c>
      <c r="AB1238">
        <v>12</v>
      </c>
      <c r="AC1238">
        <v>4.03</v>
      </c>
      <c r="AD1238" t="s">
        <v>7994</v>
      </c>
      <c r="AE1238" t="s">
        <v>6438</v>
      </c>
      <c r="AF1238" t="s">
        <v>7995</v>
      </c>
      <c r="AG1238" t="s">
        <v>7996</v>
      </c>
      <c r="AH1238">
        <v>2.45</v>
      </c>
      <c r="AI1238">
        <v>-0.39</v>
      </c>
      <c r="AJ1238">
        <v>43.5</v>
      </c>
      <c r="AK1238">
        <v>66.42</v>
      </c>
      <c r="AL1238">
        <v>-1</v>
      </c>
      <c r="AM1238">
        <v>-2.57</v>
      </c>
      <c r="AN1238">
        <v>41.62</v>
      </c>
      <c r="AO1238">
        <v>10.46</v>
      </c>
      <c r="AP1238">
        <v>41.62</v>
      </c>
    </row>
    <row r="1239" spans="1:42">
      <c r="A1239">
        <v>1238</v>
      </c>
      <c r="B1239" t="str">
        <f>"600864"</f>
        <v>600864</v>
      </c>
      <c r="C1239" t="s">
        <v>7997</v>
      </c>
      <c r="D1239">
        <v>5.77</v>
      </c>
      <c r="E1239">
        <v>0.35</v>
      </c>
      <c r="F1239">
        <v>0.02</v>
      </c>
      <c r="G1239" t="s">
        <v>2811</v>
      </c>
      <c r="H1239">
        <v>7716</v>
      </c>
      <c r="I1239">
        <v>5.76</v>
      </c>
      <c r="J1239">
        <v>5.77</v>
      </c>
      <c r="K1239" t="s">
        <v>7998</v>
      </c>
      <c r="L1239">
        <v>1.4</v>
      </c>
      <c r="M1239" t="s">
        <v>46</v>
      </c>
      <c r="N1239" t="s">
        <v>4278</v>
      </c>
      <c r="O1239">
        <v>5.78</v>
      </c>
      <c r="P1239">
        <v>5.7</v>
      </c>
      <c r="Q1239">
        <v>5.76</v>
      </c>
      <c r="R1239">
        <v>5.75</v>
      </c>
      <c r="S1239">
        <v>1.39</v>
      </c>
      <c r="T1239">
        <v>1.23</v>
      </c>
      <c r="U1239">
        <v>4.62</v>
      </c>
      <c r="V1239">
        <v>1240</v>
      </c>
      <c r="W1239">
        <v>5.74</v>
      </c>
      <c r="X1239" t="s">
        <v>1439</v>
      </c>
      <c r="Y1239" t="s">
        <v>1261</v>
      </c>
      <c r="Z1239">
        <v>1.34</v>
      </c>
      <c r="AA1239">
        <v>3508</v>
      </c>
      <c r="AB1239">
        <v>592</v>
      </c>
      <c r="AC1239">
        <v>0.99</v>
      </c>
      <c r="AD1239" t="s">
        <v>6039</v>
      </c>
      <c r="AE1239" t="s">
        <v>7999</v>
      </c>
      <c r="AF1239" t="s">
        <v>6039</v>
      </c>
      <c r="AG1239" t="s">
        <v>7999</v>
      </c>
      <c r="AH1239">
        <v>-0.35</v>
      </c>
      <c r="AI1239">
        <v>-4.15</v>
      </c>
      <c r="AJ1239">
        <v>3.67</v>
      </c>
      <c r="AK1239">
        <v>7.12</v>
      </c>
      <c r="AL1239">
        <v>1</v>
      </c>
      <c r="AM1239">
        <v>0.35</v>
      </c>
      <c r="AN1239">
        <v>22.77</v>
      </c>
      <c r="AO1239">
        <v>-2.04</v>
      </c>
      <c r="AP1239">
        <v>14.48</v>
      </c>
    </row>
    <row r="1240" spans="1:42">
      <c r="A1240">
        <v>1239</v>
      </c>
      <c r="B1240" t="str">
        <f>"301183"</f>
        <v>301183</v>
      </c>
      <c r="C1240" t="s">
        <v>8000</v>
      </c>
      <c r="D1240">
        <v>46.99</v>
      </c>
      <c r="E1240">
        <v>2.78</v>
      </c>
      <c r="F1240">
        <v>1.27</v>
      </c>
      <c r="G1240" t="s">
        <v>4974</v>
      </c>
      <c r="H1240">
        <v>653</v>
      </c>
      <c r="I1240">
        <v>46.99</v>
      </c>
      <c r="J1240">
        <v>47</v>
      </c>
      <c r="K1240" t="s">
        <v>7998</v>
      </c>
      <c r="L1240">
        <v>7.82</v>
      </c>
      <c r="M1240" t="s">
        <v>46</v>
      </c>
      <c r="N1240" t="s">
        <v>2159</v>
      </c>
      <c r="O1240">
        <v>47.46</v>
      </c>
      <c r="P1240">
        <v>45.08</v>
      </c>
      <c r="Q1240">
        <v>45.72</v>
      </c>
      <c r="R1240">
        <v>45.72</v>
      </c>
      <c r="S1240">
        <v>5.21</v>
      </c>
      <c r="T1240">
        <v>1.02</v>
      </c>
      <c r="U1240">
        <v>7.93</v>
      </c>
      <c r="V1240">
        <v>26</v>
      </c>
      <c r="W1240">
        <v>46.45</v>
      </c>
      <c r="X1240" t="s">
        <v>390</v>
      </c>
      <c r="Y1240" t="s">
        <v>6425</v>
      </c>
      <c r="Z1240">
        <v>0.85</v>
      </c>
      <c r="AA1240">
        <v>152</v>
      </c>
      <c r="AB1240">
        <v>18</v>
      </c>
      <c r="AC1240">
        <v>4.6</v>
      </c>
      <c r="AD1240" t="s">
        <v>3612</v>
      </c>
      <c r="AE1240" t="s">
        <v>8001</v>
      </c>
      <c r="AF1240" t="s">
        <v>8002</v>
      </c>
      <c r="AG1240" t="s">
        <v>8003</v>
      </c>
      <c r="AH1240">
        <v>-1.07</v>
      </c>
      <c r="AI1240">
        <v>-2.65</v>
      </c>
      <c r="AJ1240">
        <v>21.8</v>
      </c>
      <c r="AK1240">
        <v>46.31</v>
      </c>
      <c r="AL1240">
        <v>1</v>
      </c>
      <c r="AM1240">
        <v>2.78</v>
      </c>
      <c r="AN1240">
        <v>112.62</v>
      </c>
      <c r="AO1240">
        <v>8.05</v>
      </c>
      <c r="AP1240">
        <v>92.03</v>
      </c>
    </row>
    <row r="1241" spans="1:42">
      <c r="A1241">
        <v>1240</v>
      </c>
      <c r="B1241" t="str">
        <f>"601696"</f>
        <v>601696</v>
      </c>
      <c r="C1241" t="s">
        <v>8004</v>
      </c>
      <c r="D1241">
        <v>10.83</v>
      </c>
      <c r="E1241">
        <v>0.56</v>
      </c>
      <c r="F1241">
        <v>0.06</v>
      </c>
      <c r="G1241" t="s">
        <v>562</v>
      </c>
      <c r="H1241">
        <v>4413</v>
      </c>
      <c r="I1241">
        <v>10.82</v>
      </c>
      <c r="J1241">
        <v>10.83</v>
      </c>
      <c r="K1241" t="s">
        <v>7998</v>
      </c>
      <c r="L1241">
        <v>0.56</v>
      </c>
      <c r="M1241" t="s">
        <v>46</v>
      </c>
      <c r="N1241" t="s">
        <v>3326</v>
      </c>
      <c r="O1241">
        <v>10.83</v>
      </c>
      <c r="P1241">
        <v>10.72</v>
      </c>
      <c r="Q1241">
        <v>10.75</v>
      </c>
      <c r="R1241">
        <v>10.77</v>
      </c>
      <c r="S1241">
        <v>1.02</v>
      </c>
      <c r="T1241">
        <v>0.88</v>
      </c>
      <c r="U1241">
        <v>-8.12</v>
      </c>
      <c r="V1241">
        <v>-1192</v>
      </c>
      <c r="W1241">
        <v>10.78</v>
      </c>
      <c r="X1241" t="s">
        <v>2782</v>
      </c>
      <c r="Y1241" t="s">
        <v>3539</v>
      </c>
      <c r="Z1241">
        <v>1.07</v>
      </c>
      <c r="AA1241">
        <v>625</v>
      </c>
      <c r="AB1241">
        <v>117</v>
      </c>
      <c r="AC1241">
        <v>1.76</v>
      </c>
      <c r="AD1241" t="s">
        <v>8005</v>
      </c>
      <c r="AE1241" t="s">
        <v>8006</v>
      </c>
      <c r="AF1241" t="s">
        <v>8005</v>
      </c>
      <c r="AG1241" t="s">
        <v>8006</v>
      </c>
      <c r="AH1241">
        <v>0.28</v>
      </c>
      <c r="AI1241">
        <v>-2.43</v>
      </c>
      <c r="AJ1241">
        <v>1.66</v>
      </c>
      <c r="AK1241">
        <v>3.75</v>
      </c>
      <c r="AL1241">
        <v>2</v>
      </c>
      <c r="AM1241">
        <v>0.56</v>
      </c>
      <c r="AN1241">
        <v>2.75</v>
      </c>
      <c r="AO1241">
        <v>0.37</v>
      </c>
      <c r="AP1241">
        <v>-3.04</v>
      </c>
    </row>
    <row r="1242" spans="1:42">
      <c r="A1242">
        <v>1241</v>
      </c>
      <c r="B1242" t="str">
        <f>"002008"</f>
        <v>002008</v>
      </c>
      <c r="C1242" t="s">
        <v>8007</v>
      </c>
      <c r="D1242">
        <v>21.95</v>
      </c>
      <c r="E1242">
        <v>0.32</v>
      </c>
      <c r="F1242">
        <v>0.07</v>
      </c>
      <c r="G1242" t="s">
        <v>8008</v>
      </c>
      <c r="H1242">
        <v>1080</v>
      </c>
      <c r="I1242">
        <v>21.94</v>
      </c>
      <c r="J1242">
        <v>21.95</v>
      </c>
      <c r="K1242" t="s">
        <v>7998</v>
      </c>
      <c r="L1242">
        <v>0.78</v>
      </c>
      <c r="M1242" t="s">
        <v>46</v>
      </c>
      <c r="N1242" t="s">
        <v>4290</v>
      </c>
      <c r="O1242">
        <v>21.99</v>
      </c>
      <c r="P1242">
        <v>21.63</v>
      </c>
      <c r="Q1242">
        <v>21.88</v>
      </c>
      <c r="R1242">
        <v>21.88</v>
      </c>
      <c r="S1242">
        <v>1.65</v>
      </c>
      <c r="T1242">
        <v>0.96</v>
      </c>
      <c r="U1242">
        <v>-14.08</v>
      </c>
      <c r="V1242">
        <v>-330</v>
      </c>
      <c r="W1242">
        <v>21.8</v>
      </c>
      <c r="X1242" t="s">
        <v>8009</v>
      </c>
      <c r="Y1242" t="s">
        <v>2973</v>
      </c>
      <c r="Z1242">
        <v>0.96</v>
      </c>
      <c r="AA1242">
        <v>291</v>
      </c>
      <c r="AB1242">
        <v>122</v>
      </c>
      <c r="AC1242">
        <v>1.43</v>
      </c>
      <c r="AD1242" t="s">
        <v>5332</v>
      </c>
      <c r="AE1242" t="s">
        <v>8010</v>
      </c>
      <c r="AF1242" t="s">
        <v>8011</v>
      </c>
      <c r="AG1242" t="s">
        <v>8012</v>
      </c>
      <c r="AH1242">
        <v>-1.83</v>
      </c>
      <c r="AI1242">
        <v>-2.49</v>
      </c>
      <c r="AJ1242">
        <v>2.4</v>
      </c>
      <c r="AK1242">
        <v>4.88</v>
      </c>
      <c r="AL1242">
        <v>1</v>
      </c>
      <c r="AM1242">
        <v>0.32</v>
      </c>
      <c r="AN1242">
        <v>-13.75</v>
      </c>
      <c r="AO1242">
        <v>0.37</v>
      </c>
      <c r="AP1242">
        <v>-18.31</v>
      </c>
    </row>
    <row r="1243" spans="1:42">
      <c r="A1243">
        <v>1242</v>
      </c>
      <c r="B1243" t="str">
        <f>"002126"</f>
        <v>002126</v>
      </c>
      <c r="C1243" t="s">
        <v>8013</v>
      </c>
      <c r="D1243">
        <v>18.2</v>
      </c>
      <c r="E1243">
        <v>-1.3</v>
      </c>
      <c r="F1243">
        <v>-0.24</v>
      </c>
      <c r="G1243" t="s">
        <v>79</v>
      </c>
      <c r="H1243">
        <v>755</v>
      </c>
      <c r="I1243">
        <v>18.2</v>
      </c>
      <c r="J1243">
        <v>18.21</v>
      </c>
      <c r="K1243" t="s">
        <v>7998</v>
      </c>
      <c r="L1243">
        <v>1.22</v>
      </c>
      <c r="M1243" t="s">
        <v>46</v>
      </c>
      <c r="N1243" t="s">
        <v>8014</v>
      </c>
      <c r="O1243">
        <v>18.58</v>
      </c>
      <c r="P1243">
        <v>18.09</v>
      </c>
      <c r="Q1243">
        <v>18.5</v>
      </c>
      <c r="R1243">
        <v>18.44</v>
      </c>
      <c r="S1243">
        <v>2.66</v>
      </c>
      <c r="T1243">
        <v>0.78</v>
      </c>
      <c r="U1243">
        <v>35.18</v>
      </c>
      <c r="V1243">
        <v>978</v>
      </c>
      <c r="W1243">
        <v>18.2</v>
      </c>
      <c r="X1243" t="s">
        <v>2386</v>
      </c>
      <c r="Y1243" t="s">
        <v>6748</v>
      </c>
      <c r="Z1243">
        <v>1.29</v>
      </c>
      <c r="AA1243">
        <v>197</v>
      </c>
      <c r="AB1243">
        <v>25</v>
      </c>
      <c r="AC1243">
        <v>2.86</v>
      </c>
      <c r="AD1243" t="s">
        <v>8015</v>
      </c>
      <c r="AE1243" t="s">
        <v>8016</v>
      </c>
      <c r="AF1243" t="s">
        <v>8017</v>
      </c>
      <c r="AG1243" t="s">
        <v>4459</v>
      </c>
      <c r="AH1243">
        <v>-3.75</v>
      </c>
      <c r="AI1243">
        <v>-2.67</v>
      </c>
      <c r="AJ1243">
        <v>3.93</v>
      </c>
      <c r="AK1243">
        <v>8.99</v>
      </c>
      <c r="AL1243">
        <v>-3</v>
      </c>
      <c r="AM1243">
        <v>-1.3</v>
      </c>
      <c r="AN1243">
        <v>47.61</v>
      </c>
      <c r="AO1243">
        <v>3.06</v>
      </c>
      <c r="AP1243">
        <v>38.72</v>
      </c>
    </row>
    <row r="1244" spans="1:42">
      <c r="A1244">
        <v>1243</v>
      </c>
      <c r="B1244" t="str">
        <f>"002726"</f>
        <v>002726</v>
      </c>
      <c r="C1244" t="s">
        <v>8018</v>
      </c>
      <c r="D1244">
        <v>7.83</v>
      </c>
      <c r="E1244">
        <v>-0.63</v>
      </c>
      <c r="F1244">
        <v>-0.05</v>
      </c>
      <c r="G1244" t="s">
        <v>1125</v>
      </c>
      <c r="H1244">
        <v>1810</v>
      </c>
      <c r="I1244">
        <v>7.82</v>
      </c>
      <c r="J1244">
        <v>7.83</v>
      </c>
      <c r="K1244" t="s">
        <v>7998</v>
      </c>
      <c r="L1244">
        <v>1.96</v>
      </c>
      <c r="M1244" t="s">
        <v>46</v>
      </c>
      <c r="N1244" t="s">
        <v>8019</v>
      </c>
      <c r="O1244">
        <v>8.13</v>
      </c>
      <c r="P1244">
        <v>7.8</v>
      </c>
      <c r="Q1244">
        <v>7.9</v>
      </c>
      <c r="R1244">
        <v>7.88</v>
      </c>
      <c r="S1244">
        <v>4.19</v>
      </c>
      <c r="T1244">
        <v>1.69</v>
      </c>
      <c r="U1244">
        <v>13.08</v>
      </c>
      <c r="V1244">
        <v>763</v>
      </c>
      <c r="W1244">
        <v>7.94</v>
      </c>
      <c r="X1244" t="s">
        <v>829</v>
      </c>
      <c r="Y1244" t="s">
        <v>4706</v>
      </c>
      <c r="Z1244">
        <v>1.11</v>
      </c>
      <c r="AA1244">
        <v>775</v>
      </c>
      <c r="AB1244">
        <v>74</v>
      </c>
      <c r="AC1244">
        <v>3.58</v>
      </c>
      <c r="AD1244" t="s">
        <v>7009</v>
      </c>
      <c r="AE1244" t="s">
        <v>8020</v>
      </c>
      <c r="AF1244" t="s">
        <v>8021</v>
      </c>
      <c r="AG1244" t="s">
        <v>8022</v>
      </c>
      <c r="AH1244">
        <v>2.22</v>
      </c>
      <c r="AI1244">
        <v>3.3</v>
      </c>
      <c r="AJ1244">
        <v>4.37</v>
      </c>
      <c r="AK1244">
        <v>7.75</v>
      </c>
      <c r="AL1244">
        <v>-1</v>
      </c>
      <c r="AM1244">
        <v>-0.63</v>
      </c>
      <c r="AN1244">
        <v>-14.61</v>
      </c>
      <c r="AO1244">
        <v>2.76</v>
      </c>
      <c r="AP1244">
        <v>-15.72</v>
      </c>
    </row>
    <row r="1245" spans="1:42">
      <c r="A1245">
        <v>1244</v>
      </c>
      <c r="B1245" t="str">
        <f>"603236"</f>
        <v>603236</v>
      </c>
      <c r="C1245" t="s">
        <v>8023</v>
      </c>
      <c r="D1245">
        <v>52.84</v>
      </c>
      <c r="E1245">
        <v>1.48</v>
      </c>
      <c r="F1245">
        <v>0.77</v>
      </c>
      <c r="G1245" t="s">
        <v>5675</v>
      </c>
      <c r="H1245">
        <v>704</v>
      </c>
      <c r="I1245">
        <v>52.83</v>
      </c>
      <c r="J1245">
        <v>52.84</v>
      </c>
      <c r="K1245" t="s">
        <v>7998</v>
      </c>
      <c r="L1245">
        <v>1.21</v>
      </c>
      <c r="M1245" t="s">
        <v>46</v>
      </c>
      <c r="N1245" t="s">
        <v>8024</v>
      </c>
      <c r="O1245">
        <v>53</v>
      </c>
      <c r="P1245">
        <v>51.4</v>
      </c>
      <c r="Q1245">
        <v>52</v>
      </c>
      <c r="R1245">
        <v>52.07</v>
      </c>
      <c r="S1245">
        <v>3.07</v>
      </c>
      <c r="T1245">
        <v>0.91</v>
      </c>
      <c r="U1245">
        <v>-52.13</v>
      </c>
      <c r="V1245">
        <v>-196</v>
      </c>
      <c r="W1245">
        <v>52.25</v>
      </c>
      <c r="X1245" t="s">
        <v>390</v>
      </c>
      <c r="Y1245" t="s">
        <v>578</v>
      </c>
      <c r="Z1245">
        <v>1.08</v>
      </c>
      <c r="AA1245">
        <v>1</v>
      </c>
      <c r="AB1245">
        <v>82</v>
      </c>
      <c r="AC1245">
        <v>3.99</v>
      </c>
      <c r="AD1245" t="s">
        <v>8025</v>
      </c>
      <c r="AE1245" t="s">
        <v>4519</v>
      </c>
      <c r="AF1245" t="s">
        <v>8025</v>
      </c>
      <c r="AG1245" t="s">
        <v>4519</v>
      </c>
      <c r="AH1245">
        <v>0.44</v>
      </c>
      <c r="AI1245">
        <v>-0.4</v>
      </c>
      <c r="AJ1245">
        <v>4.36</v>
      </c>
      <c r="AK1245">
        <v>7.89</v>
      </c>
      <c r="AL1245">
        <v>1</v>
      </c>
      <c r="AM1245">
        <v>1.48</v>
      </c>
      <c r="AN1245">
        <v>-25.89</v>
      </c>
      <c r="AO1245">
        <v>8.63</v>
      </c>
      <c r="AP1245">
        <v>-33.69</v>
      </c>
    </row>
    <row r="1246" spans="1:42">
      <c r="A1246">
        <v>1245</v>
      </c>
      <c r="B1246" t="str">
        <f>"301529"</f>
        <v>301529</v>
      </c>
      <c r="C1246" t="s">
        <v>8026</v>
      </c>
      <c r="D1246">
        <v>47.7</v>
      </c>
      <c r="E1246">
        <v>-1.75</v>
      </c>
      <c r="F1246">
        <v>-0.85</v>
      </c>
      <c r="G1246" t="s">
        <v>5693</v>
      </c>
      <c r="H1246">
        <v>400</v>
      </c>
      <c r="I1246">
        <v>47.69</v>
      </c>
      <c r="J1246">
        <v>47.7</v>
      </c>
      <c r="K1246" t="s">
        <v>7998</v>
      </c>
      <c r="L1246">
        <v>18.53</v>
      </c>
      <c r="M1246" t="s">
        <v>46</v>
      </c>
      <c r="N1246" t="s">
        <v>2139</v>
      </c>
      <c r="O1246">
        <v>48.5</v>
      </c>
      <c r="P1246">
        <v>45.92</v>
      </c>
      <c r="Q1246">
        <v>48.01</v>
      </c>
      <c r="R1246">
        <v>48.55</v>
      </c>
      <c r="S1246">
        <v>5.31</v>
      </c>
      <c r="T1246">
        <v>0.7</v>
      </c>
      <c r="U1246">
        <v>82.3</v>
      </c>
      <c r="V1246">
        <v>121</v>
      </c>
      <c r="W1246">
        <v>46.98</v>
      </c>
      <c r="X1246" t="s">
        <v>7053</v>
      </c>
      <c r="Y1246" t="s">
        <v>4717</v>
      </c>
      <c r="Z1246">
        <v>1.53</v>
      </c>
      <c r="AA1246">
        <v>43</v>
      </c>
      <c r="AB1246">
        <v>2</v>
      </c>
      <c r="AC1246">
        <v>3.38</v>
      </c>
      <c r="AD1246" t="s">
        <v>3070</v>
      </c>
      <c r="AE1246" t="s">
        <v>8027</v>
      </c>
      <c r="AF1246" t="s">
        <v>8028</v>
      </c>
      <c r="AG1246" t="s">
        <v>8029</v>
      </c>
      <c r="AH1246">
        <v>-1.77</v>
      </c>
      <c r="AI1246">
        <v>-6.05</v>
      </c>
      <c r="AJ1246">
        <v>74</v>
      </c>
      <c r="AK1246">
        <v>151.55</v>
      </c>
      <c r="AL1246">
        <v>-2</v>
      </c>
      <c r="AM1246">
        <v>-1.75</v>
      </c>
      <c r="AN1246">
        <v>30.33</v>
      </c>
      <c r="AO1246">
        <v>5.84</v>
      </c>
      <c r="AP1246">
        <v>30.33</v>
      </c>
    </row>
    <row r="1247" spans="1:42">
      <c r="A1247">
        <v>1246</v>
      </c>
      <c r="B1247" t="str">
        <f>"300951"</f>
        <v>300951</v>
      </c>
      <c r="C1247" t="s">
        <v>8030</v>
      </c>
      <c r="D1247">
        <v>65.51</v>
      </c>
      <c r="E1247">
        <v>1.05</v>
      </c>
      <c r="F1247">
        <v>0.68</v>
      </c>
      <c r="G1247" t="s">
        <v>4036</v>
      </c>
      <c r="H1247">
        <v>500</v>
      </c>
      <c r="I1247">
        <v>65.5</v>
      </c>
      <c r="J1247">
        <v>65.51</v>
      </c>
      <c r="K1247" t="s">
        <v>7998</v>
      </c>
      <c r="L1247">
        <v>4.52</v>
      </c>
      <c r="M1247" t="s">
        <v>46</v>
      </c>
      <c r="N1247" t="s">
        <v>8031</v>
      </c>
      <c r="O1247">
        <v>66.09</v>
      </c>
      <c r="P1247">
        <v>63.16</v>
      </c>
      <c r="Q1247">
        <v>64.98</v>
      </c>
      <c r="R1247">
        <v>64.83</v>
      </c>
      <c r="S1247">
        <v>4.52</v>
      </c>
      <c r="T1247">
        <v>0.69</v>
      </c>
      <c r="U1247">
        <v>-33.33</v>
      </c>
      <c r="V1247">
        <v>-46</v>
      </c>
      <c r="W1247">
        <v>64.59</v>
      </c>
      <c r="X1247" t="s">
        <v>1427</v>
      </c>
      <c r="Y1247" t="s">
        <v>1427</v>
      </c>
      <c r="Z1247">
        <v>1</v>
      </c>
      <c r="AA1247">
        <v>7</v>
      </c>
      <c r="AB1247">
        <v>40</v>
      </c>
      <c r="AC1247">
        <v>3.64</v>
      </c>
      <c r="AD1247" t="s">
        <v>8032</v>
      </c>
      <c r="AE1247" t="s">
        <v>8033</v>
      </c>
      <c r="AF1247" t="s">
        <v>8034</v>
      </c>
      <c r="AG1247" t="s">
        <v>8035</v>
      </c>
      <c r="AH1247">
        <v>-3.45</v>
      </c>
      <c r="AI1247">
        <v>-4.32</v>
      </c>
      <c r="AJ1247">
        <v>16.37</v>
      </c>
      <c r="AK1247">
        <v>37.38</v>
      </c>
      <c r="AL1247">
        <v>1</v>
      </c>
      <c r="AM1247">
        <v>1.05</v>
      </c>
      <c r="AN1247">
        <v>41.34</v>
      </c>
      <c r="AO1247">
        <v>29.54</v>
      </c>
      <c r="AP1247">
        <v>24.17</v>
      </c>
    </row>
    <row r="1248" spans="1:42">
      <c r="A1248">
        <v>1247</v>
      </c>
      <c r="B1248" t="str">
        <f>"300499"</f>
        <v>300499</v>
      </c>
      <c r="C1248" t="s">
        <v>8036</v>
      </c>
      <c r="D1248">
        <v>14.98</v>
      </c>
      <c r="E1248">
        <v>1.49</v>
      </c>
      <c r="F1248">
        <v>0.22</v>
      </c>
      <c r="G1248" t="s">
        <v>262</v>
      </c>
      <c r="H1248">
        <v>1943</v>
      </c>
      <c r="I1248">
        <v>14.98</v>
      </c>
      <c r="J1248">
        <v>14.99</v>
      </c>
      <c r="K1248" t="s">
        <v>7998</v>
      </c>
      <c r="L1248">
        <v>4.14</v>
      </c>
      <c r="M1248" t="s">
        <v>46</v>
      </c>
      <c r="N1248" t="s">
        <v>3575</v>
      </c>
      <c r="O1248">
        <v>15.1</v>
      </c>
      <c r="P1248">
        <v>14.55</v>
      </c>
      <c r="Q1248">
        <v>14.8</v>
      </c>
      <c r="R1248">
        <v>14.76</v>
      </c>
      <c r="S1248">
        <v>3.73</v>
      </c>
      <c r="T1248">
        <v>0.9</v>
      </c>
      <c r="U1248">
        <v>-66.35</v>
      </c>
      <c r="V1248">
        <v>-1475</v>
      </c>
      <c r="W1248">
        <v>14.81</v>
      </c>
      <c r="X1248" t="s">
        <v>6237</v>
      </c>
      <c r="Y1248" t="s">
        <v>8037</v>
      </c>
      <c r="Z1248">
        <v>0.91</v>
      </c>
      <c r="AA1248">
        <v>175</v>
      </c>
      <c r="AB1248">
        <v>130</v>
      </c>
      <c r="AC1248">
        <v>3.25</v>
      </c>
      <c r="AD1248" t="s">
        <v>5441</v>
      </c>
      <c r="AE1248" t="s">
        <v>2497</v>
      </c>
      <c r="AF1248" t="s">
        <v>8038</v>
      </c>
      <c r="AG1248" t="s">
        <v>8039</v>
      </c>
      <c r="AH1248">
        <v>-1.9</v>
      </c>
      <c r="AI1248">
        <v>-3.48</v>
      </c>
      <c r="AJ1248">
        <v>16.41</v>
      </c>
      <c r="AK1248">
        <v>27.16</v>
      </c>
      <c r="AL1248">
        <v>1</v>
      </c>
      <c r="AM1248">
        <v>1.49</v>
      </c>
      <c r="AN1248">
        <v>52.7</v>
      </c>
      <c r="AO1248">
        <v>-6.84</v>
      </c>
      <c r="AP1248">
        <v>26.09</v>
      </c>
    </row>
    <row r="1249" spans="1:42">
      <c r="A1249">
        <v>1248</v>
      </c>
      <c r="B1249" t="str">
        <f>"832491"</f>
        <v>832491</v>
      </c>
      <c r="C1249" t="s">
        <v>8040</v>
      </c>
      <c r="D1249">
        <v>16.3</v>
      </c>
      <c r="E1249">
        <v>-11.36</v>
      </c>
      <c r="F1249">
        <v>-2.09</v>
      </c>
      <c r="G1249" t="s">
        <v>2058</v>
      </c>
      <c r="H1249">
        <v>840</v>
      </c>
      <c r="I1249">
        <v>16.3</v>
      </c>
      <c r="J1249">
        <v>16.31</v>
      </c>
      <c r="K1249" t="s">
        <v>7998</v>
      </c>
      <c r="L1249">
        <v>9.12</v>
      </c>
      <c r="M1249" t="s">
        <v>46</v>
      </c>
      <c r="N1249" t="s">
        <v>4277</v>
      </c>
      <c r="O1249">
        <v>18.49</v>
      </c>
      <c r="P1249">
        <v>16.25</v>
      </c>
      <c r="Q1249">
        <v>18.39</v>
      </c>
      <c r="R1249">
        <v>18.39</v>
      </c>
      <c r="S1249">
        <v>12.18</v>
      </c>
      <c r="T1249">
        <v>0.63</v>
      </c>
      <c r="U1249">
        <v>25.38</v>
      </c>
      <c r="V1249">
        <v>137</v>
      </c>
      <c r="W1249">
        <v>17.12</v>
      </c>
      <c r="X1249" t="s">
        <v>8037</v>
      </c>
      <c r="Y1249" t="s">
        <v>4846</v>
      </c>
      <c r="Z1249">
        <v>1.54</v>
      </c>
      <c r="AA1249">
        <v>126</v>
      </c>
      <c r="AB1249">
        <v>17</v>
      </c>
      <c r="AC1249">
        <v>2.47</v>
      </c>
      <c r="AD1249" t="s">
        <v>8041</v>
      </c>
      <c r="AE1249" t="s">
        <v>2933</v>
      </c>
      <c r="AF1249" t="s">
        <v>8042</v>
      </c>
      <c r="AG1249" t="s">
        <v>8043</v>
      </c>
      <c r="AH1249">
        <v>-21.1</v>
      </c>
      <c r="AI1249">
        <v>7.45</v>
      </c>
      <c r="AJ1249">
        <v>33.25</v>
      </c>
      <c r="AK1249">
        <v>82.05</v>
      </c>
      <c r="AL1249">
        <v>-1</v>
      </c>
      <c r="AM1249">
        <v>-11.36</v>
      </c>
      <c r="AN1249">
        <v>70.5</v>
      </c>
      <c r="AO1249">
        <v>24.9</v>
      </c>
      <c r="AP1249">
        <v>63.33</v>
      </c>
    </row>
    <row r="1250" spans="1:42">
      <c r="A1250">
        <v>1249</v>
      </c>
      <c r="B1250" t="str">
        <f>"600183"</f>
        <v>600183</v>
      </c>
      <c r="C1250" t="s">
        <v>8044</v>
      </c>
      <c r="D1250">
        <v>17.18</v>
      </c>
      <c r="E1250">
        <v>0.29</v>
      </c>
      <c r="F1250">
        <v>0.05</v>
      </c>
      <c r="G1250" t="s">
        <v>8045</v>
      </c>
      <c r="H1250">
        <v>577</v>
      </c>
      <c r="I1250">
        <v>17.18</v>
      </c>
      <c r="J1250">
        <v>17.19</v>
      </c>
      <c r="K1250" t="s">
        <v>7998</v>
      </c>
      <c r="L1250">
        <v>0.42</v>
      </c>
      <c r="M1250" t="s">
        <v>46</v>
      </c>
      <c r="N1250" t="s">
        <v>8046</v>
      </c>
      <c r="O1250">
        <v>17.23</v>
      </c>
      <c r="P1250">
        <v>16.91</v>
      </c>
      <c r="Q1250">
        <v>17.1</v>
      </c>
      <c r="R1250">
        <v>17.13</v>
      </c>
      <c r="S1250">
        <v>1.87</v>
      </c>
      <c r="T1250">
        <v>0.86</v>
      </c>
      <c r="U1250">
        <v>-50.22</v>
      </c>
      <c r="V1250">
        <v>-696</v>
      </c>
      <c r="W1250">
        <v>17.07</v>
      </c>
      <c r="X1250" t="s">
        <v>4399</v>
      </c>
      <c r="Y1250" t="s">
        <v>4035</v>
      </c>
      <c r="Z1250">
        <v>0.95</v>
      </c>
      <c r="AA1250">
        <v>1</v>
      </c>
      <c r="AB1250">
        <v>116</v>
      </c>
      <c r="AC1250">
        <v>2.95</v>
      </c>
      <c r="AD1250" t="s">
        <v>8047</v>
      </c>
      <c r="AE1250" t="s">
        <v>8048</v>
      </c>
      <c r="AF1250" t="s">
        <v>8047</v>
      </c>
      <c r="AG1250" t="s">
        <v>8048</v>
      </c>
      <c r="AH1250">
        <v>0.29</v>
      </c>
      <c r="AI1250">
        <v>0.41</v>
      </c>
      <c r="AJ1250">
        <v>1.23</v>
      </c>
      <c r="AK1250">
        <v>2.85</v>
      </c>
      <c r="AL1250">
        <v>1</v>
      </c>
      <c r="AM1250">
        <v>0.29</v>
      </c>
      <c r="AN1250">
        <v>23.07</v>
      </c>
      <c r="AO1250">
        <v>-1.66</v>
      </c>
      <c r="AP1250">
        <v>14.15</v>
      </c>
    </row>
    <row r="1251" spans="1:42">
      <c r="A1251">
        <v>1250</v>
      </c>
      <c r="B1251" t="str">
        <f>"301357"</f>
        <v>301357</v>
      </c>
      <c r="C1251" t="s">
        <v>8049</v>
      </c>
      <c r="D1251">
        <v>55.95</v>
      </c>
      <c r="E1251">
        <v>2.32</v>
      </c>
      <c r="F1251">
        <v>1.27</v>
      </c>
      <c r="G1251" t="s">
        <v>8050</v>
      </c>
      <c r="H1251">
        <v>335</v>
      </c>
      <c r="I1251">
        <v>55.95</v>
      </c>
      <c r="J1251">
        <v>55.96</v>
      </c>
      <c r="K1251" t="s">
        <v>7998</v>
      </c>
      <c r="L1251">
        <v>17.56</v>
      </c>
      <c r="M1251" t="s">
        <v>46</v>
      </c>
      <c r="N1251" t="s">
        <v>8051</v>
      </c>
      <c r="O1251">
        <v>57.3</v>
      </c>
      <c r="P1251">
        <v>54</v>
      </c>
      <c r="Q1251">
        <v>54.69</v>
      </c>
      <c r="R1251">
        <v>54.68</v>
      </c>
      <c r="S1251">
        <v>6.04</v>
      </c>
      <c r="T1251">
        <v>1.18</v>
      </c>
      <c r="U1251">
        <v>14.05</v>
      </c>
      <c r="V1251">
        <v>34</v>
      </c>
      <c r="W1251">
        <v>55.83</v>
      </c>
      <c r="X1251" t="s">
        <v>61</v>
      </c>
      <c r="Y1251" t="s">
        <v>7836</v>
      </c>
      <c r="Z1251">
        <v>1.04</v>
      </c>
      <c r="AA1251">
        <v>7</v>
      </c>
      <c r="AB1251">
        <v>7</v>
      </c>
      <c r="AC1251">
        <v>3.35</v>
      </c>
      <c r="AD1251" t="s">
        <v>8052</v>
      </c>
      <c r="AE1251" t="s">
        <v>8053</v>
      </c>
      <c r="AF1251" t="s">
        <v>8054</v>
      </c>
      <c r="AG1251" t="s">
        <v>8055</v>
      </c>
      <c r="AH1251">
        <v>-1.57</v>
      </c>
      <c r="AI1251">
        <v>-3.53</v>
      </c>
      <c r="AJ1251">
        <v>40.36</v>
      </c>
      <c r="AK1251">
        <v>91.72</v>
      </c>
      <c r="AL1251">
        <v>1</v>
      </c>
      <c r="AM1251">
        <v>2.32</v>
      </c>
      <c r="AN1251">
        <v>13.24</v>
      </c>
      <c r="AO1251">
        <v>-0.16</v>
      </c>
      <c r="AP1251">
        <v>13.24</v>
      </c>
    </row>
    <row r="1252" spans="1:42">
      <c r="A1252">
        <v>1251</v>
      </c>
      <c r="B1252" t="str">
        <f>"002659"</f>
        <v>002659</v>
      </c>
      <c r="C1252" t="s">
        <v>8056</v>
      </c>
      <c r="D1252">
        <v>4.7</v>
      </c>
      <c r="E1252">
        <v>4.68</v>
      </c>
      <c r="F1252">
        <v>0.21</v>
      </c>
      <c r="G1252" t="s">
        <v>1399</v>
      </c>
      <c r="H1252">
        <v>1931</v>
      </c>
      <c r="I1252">
        <v>4.69</v>
      </c>
      <c r="J1252">
        <v>4.7</v>
      </c>
      <c r="K1252" t="s">
        <v>8057</v>
      </c>
      <c r="L1252">
        <v>6</v>
      </c>
      <c r="M1252" t="s">
        <v>46</v>
      </c>
      <c r="N1252" t="s">
        <v>7187</v>
      </c>
      <c r="O1252">
        <v>4.74</v>
      </c>
      <c r="P1252">
        <v>4.48</v>
      </c>
      <c r="Q1252">
        <v>4.49</v>
      </c>
      <c r="R1252">
        <v>4.49</v>
      </c>
      <c r="S1252">
        <v>5.79</v>
      </c>
      <c r="T1252">
        <v>2.46</v>
      </c>
      <c r="U1252">
        <v>-50.78</v>
      </c>
      <c r="V1252">
        <v>-6450</v>
      </c>
      <c r="W1252">
        <v>4.64</v>
      </c>
      <c r="X1252" t="s">
        <v>960</v>
      </c>
      <c r="Y1252" t="s">
        <v>2609</v>
      </c>
      <c r="Z1252">
        <v>0.64</v>
      </c>
      <c r="AA1252">
        <v>376</v>
      </c>
      <c r="AB1252">
        <v>73</v>
      </c>
      <c r="AC1252">
        <v>1.26</v>
      </c>
      <c r="AD1252" t="s">
        <v>8058</v>
      </c>
      <c r="AE1252" t="s">
        <v>8059</v>
      </c>
      <c r="AF1252" t="s">
        <v>8058</v>
      </c>
      <c r="AG1252" t="s">
        <v>8059</v>
      </c>
      <c r="AH1252">
        <v>3.75</v>
      </c>
      <c r="AI1252">
        <v>2.84</v>
      </c>
      <c r="AJ1252">
        <v>13.88</v>
      </c>
      <c r="AK1252">
        <v>18.21</v>
      </c>
      <c r="AL1252">
        <v>1</v>
      </c>
      <c r="AM1252">
        <v>4.68</v>
      </c>
      <c r="AN1252">
        <v>3.3</v>
      </c>
      <c r="AO1252">
        <v>8.8</v>
      </c>
      <c r="AP1252">
        <v>-4.28</v>
      </c>
    </row>
    <row r="1253" spans="1:42">
      <c r="A1253">
        <v>1252</v>
      </c>
      <c r="B1253" t="str">
        <f>"600535"</f>
        <v>600535</v>
      </c>
      <c r="C1253" t="s">
        <v>8060</v>
      </c>
      <c r="D1253">
        <v>15.29</v>
      </c>
      <c r="E1253">
        <v>-0.13</v>
      </c>
      <c r="F1253">
        <v>-0.02</v>
      </c>
      <c r="G1253" t="s">
        <v>1949</v>
      </c>
      <c r="H1253">
        <v>934</v>
      </c>
      <c r="I1253">
        <v>15.28</v>
      </c>
      <c r="J1253">
        <v>15.29</v>
      </c>
      <c r="K1253" t="s">
        <v>8057</v>
      </c>
      <c r="L1253">
        <v>0.72</v>
      </c>
      <c r="M1253" t="s">
        <v>46</v>
      </c>
      <c r="N1253" t="s">
        <v>8061</v>
      </c>
      <c r="O1253">
        <v>15.44</v>
      </c>
      <c r="P1253">
        <v>15.23</v>
      </c>
      <c r="Q1253">
        <v>15.36</v>
      </c>
      <c r="R1253">
        <v>15.31</v>
      </c>
      <c r="S1253">
        <v>1.37</v>
      </c>
      <c r="T1253">
        <v>0.96</v>
      </c>
      <c r="U1253">
        <v>9.13</v>
      </c>
      <c r="V1253">
        <v>278</v>
      </c>
      <c r="W1253">
        <v>15.33</v>
      </c>
      <c r="X1253" t="s">
        <v>5779</v>
      </c>
      <c r="Y1253" t="s">
        <v>2300</v>
      </c>
      <c r="Z1253">
        <v>1.36</v>
      </c>
      <c r="AA1253">
        <v>93</v>
      </c>
      <c r="AB1253">
        <v>19</v>
      </c>
      <c r="AC1253">
        <v>1.85</v>
      </c>
      <c r="AD1253" t="s">
        <v>3481</v>
      </c>
      <c r="AE1253" t="s">
        <v>8062</v>
      </c>
      <c r="AF1253" t="s">
        <v>3481</v>
      </c>
      <c r="AG1253" t="s">
        <v>8062</v>
      </c>
      <c r="AH1253">
        <v>-0.33</v>
      </c>
      <c r="AI1253">
        <v>0.07</v>
      </c>
      <c r="AJ1253">
        <v>1.97</v>
      </c>
      <c r="AK1253">
        <v>4.48</v>
      </c>
      <c r="AL1253">
        <v>-1</v>
      </c>
      <c r="AM1253">
        <v>-0.13</v>
      </c>
      <c r="AN1253">
        <v>46.6</v>
      </c>
      <c r="AO1253">
        <v>4.16</v>
      </c>
      <c r="AP1253">
        <v>31.36</v>
      </c>
    </row>
    <row r="1254" spans="1:42">
      <c r="A1254">
        <v>1253</v>
      </c>
      <c r="B1254" t="str">
        <f>"300303"</f>
        <v>300303</v>
      </c>
      <c r="C1254" t="s">
        <v>8063</v>
      </c>
      <c r="D1254">
        <v>5.95</v>
      </c>
      <c r="E1254">
        <v>0.68</v>
      </c>
      <c r="F1254">
        <v>0.04</v>
      </c>
      <c r="G1254" t="s">
        <v>92</v>
      </c>
      <c r="H1254">
        <v>4031</v>
      </c>
      <c r="I1254">
        <v>5.95</v>
      </c>
      <c r="J1254">
        <v>5.96</v>
      </c>
      <c r="K1254" t="s">
        <v>8057</v>
      </c>
      <c r="L1254">
        <v>2.25</v>
      </c>
      <c r="M1254" t="s">
        <v>46</v>
      </c>
      <c r="N1254" t="s">
        <v>5506</v>
      </c>
      <c r="O1254">
        <v>5.97</v>
      </c>
      <c r="P1254">
        <v>5.82</v>
      </c>
      <c r="Q1254">
        <v>5.9</v>
      </c>
      <c r="R1254">
        <v>5.91</v>
      </c>
      <c r="S1254">
        <v>2.54</v>
      </c>
      <c r="T1254">
        <v>0.64</v>
      </c>
      <c r="U1254">
        <v>-31.95</v>
      </c>
      <c r="V1254">
        <v>-7914</v>
      </c>
      <c r="W1254">
        <v>5.89</v>
      </c>
      <c r="X1254" t="s">
        <v>44</v>
      </c>
      <c r="Y1254" t="s">
        <v>2753</v>
      </c>
      <c r="Z1254">
        <v>1.05</v>
      </c>
      <c r="AA1254">
        <v>3201</v>
      </c>
      <c r="AB1254">
        <v>3645</v>
      </c>
      <c r="AC1254">
        <v>2.73</v>
      </c>
      <c r="AD1254" t="s">
        <v>8064</v>
      </c>
      <c r="AE1254" t="s">
        <v>8065</v>
      </c>
      <c r="AF1254" t="s">
        <v>8066</v>
      </c>
      <c r="AG1254" t="s">
        <v>8067</v>
      </c>
      <c r="AH1254">
        <v>-2.46</v>
      </c>
      <c r="AI1254">
        <v>-2.46</v>
      </c>
      <c r="AJ1254">
        <v>9.51</v>
      </c>
      <c r="AK1254">
        <v>19.77</v>
      </c>
      <c r="AL1254">
        <v>1</v>
      </c>
      <c r="AM1254">
        <v>0.68</v>
      </c>
      <c r="AN1254">
        <v>55.76</v>
      </c>
      <c r="AO1254">
        <v>5.5</v>
      </c>
      <c r="AP1254">
        <v>42.34</v>
      </c>
    </row>
    <row r="1255" spans="1:42">
      <c r="A1255">
        <v>1254</v>
      </c>
      <c r="B1255" t="str">
        <f>"300663"</f>
        <v>300663</v>
      </c>
      <c r="C1255" t="s">
        <v>8068</v>
      </c>
      <c r="D1255">
        <v>15.42</v>
      </c>
      <c r="E1255">
        <v>2.46</v>
      </c>
      <c r="F1255">
        <v>0.37</v>
      </c>
      <c r="G1255" t="s">
        <v>2402</v>
      </c>
      <c r="H1255">
        <v>1343</v>
      </c>
      <c r="I1255">
        <v>15.41</v>
      </c>
      <c r="J1255">
        <v>15.42</v>
      </c>
      <c r="K1255" t="s">
        <v>8057</v>
      </c>
      <c r="L1255">
        <v>2.68</v>
      </c>
      <c r="M1255" t="s">
        <v>46</v>
      </c>
      <c r="N1255" t="s">
        <v>1870</v>
      </c>
      <c r="O1255">
        <v>15.49</v>
      </c>
      <c r="P1255">
        <v>15.08</v>
      </c>
      <c r="Q1255">
        <v>15.08</v>
      </c>
      <c r="R1255">
        <v>15.05</v>
      </c>
      <c r="S1255">
        <v>2.72</v>
      </c>
      <c r="T1255">
        <v>0.91</v>
      </c>
      <c r="U1255">
        <v>-38.37</v>
      </c>
      <c r="V1255">
        <v>-1014</v>
      </c>
      <c r="W1255">
        <v>15.31</v>
      </c>
      <c r="X1255" t="s">
        <v>4639</v>
      </c>
      <c r="Y1255" t="s">
        <v>3030</v>
      </c>
      <c r="Z1255">
        <v>0.86</v>
      </c>
      <c r="AA1255">
        <v>151</v>
      </c>
      <c r="AB1255">
        <v>25</v>
      </c>
      <c r="AC1255">
        <v>6.34</v>
      </c>
      <c r="AD1255" t="s">
        <v>7967</v>
      </c>
      <c r="AE1255" t="s">
        <v>1489</v>
      </c>
      <c r="AF1255" t="s">
        <v>8069</v>
      </c>
      <c r="AG1255" t="s">
        <v>8070</v>
      </c>
      <c r="AH1255">
        <v>-1.03</v>
      </c>
      <c r="AI1255">
        <v>-3.2</v>
      </c>
      <c r="AJ1255">
        <v>8.3</v>
      </c>
      <c r="AK1255">
        <v>17.44</v>
      </c>
      <c r="AL1255">
        <v>1</v>
      </c>
      <c r="AM1255">
        <v>2.46</v>
      </c>
      <c r="AN1255">
        <v>17.98</v>
      </c>
      <c r="AO1255">
        <v>2.73</v>
      </c>
      <c r="AP1255">
        <v>4.4</v>
      </c>
    </row>
    <row r="1256" spans="1:42">
      <c r="A1256">
        <v>1255</v>
      </c>
      <c r="B1256" t="str">
        <f>"603477"</f>
        <v>603477</v>
      </c>
      <c r="C1256" t="s">
        <v>8071</v>
      </c>
      <c r="D1256">
        <v>33.09</v>
      </c>
      <c r="E1256">
        <v>-0.78</v>
      </c>
      <c r="F1256">
        <v>-0.26</v>
      </c>
      <c r="G1256" t="s">
        <v>3722</v>
      </c>
      <c r="H1256">
        <v>207</v>
      </c>
      <c r="I1256">
        <v>33.09</v>
      </c>
      <c r="J1256">
        <v>33.1</v>
      </c>
      <c r="K1256" t="s">
        <v>8057</v>
      </c>
      <c r="L1256">
        <v>1</v>
      </c>
      <c r="M1256" t="s">
        <v>46</v>
      </c>
      <c r="N1256" t="s">
        <v>7151</v>
      </c>
      <c r="O1256">
        <v>33.46</v>
      </c>
      <c r="P1256">
        <v>32.23</v>
      </c>
      <c r="Q1256">
        <v>33.25</v>
      </c>
      <c r="R1256">
        <v>33.35</v>
      </c>
      <c r="S1256">
        <v>3.69</v>
      </c>
      <c r="T1256">
        <v>0.8</v>
      </c>
      <c r="U1256">
        <v>-75.09</v>
      </c>
      <c r="V1256">
        <v>-404</v>
      </c>
      <c r="W1256">
        <v>32.86</v>
      </c>
      <c r="X1256" t="s">
        <v>8072</v>
      </c>
      <c r="Y1256" t="s">
        <v>8073</v>
      </c>
      <c r="Z1256">
        <v>1.45</v>
      </c>
      <c r="AA1256">
        <v>1</v>
      </c>
      <c r="AB1256">
        <v>16</v>
      </c>
      <c r="AC1256">
        <v>5.49</v>
      </c>
      <c r="AD1256" t="s">
        <v>8074</v>
      </c>
      <c r="AE1256" t="s">
        <v>8075</v>
      </c>
      <c r="AF1256" t="s">
        <v>8074</v>
      </c>
      <c r="AG1256" t="s">
        <v>8075</v>
      </c>
      <c r="AH1256">
        <v>0.88</v>
      </c>
      <c r="AI1256">
        <v>-0.03</v>
      </c>
      <c r="AJ1256">
        <v>2.92</v>
      </c>
      <c r="AK1256">
        <v>7.21</v>
      </c>
      <c r="AL1256">
        <v>-1</v>
      </c>
      <c r="AM1256">
        <v>-0.78</v>
      </c>
      <c r="AN1256">
        <v>35.84</v>
      </c>
      <c r="AO1256">
        <v>3.18</v>
      </c>
      <c r="AP1256">
        <v>61.81</v>
      </c>
    </row>
    <row r="1257" spans="1:42">
      <c r="A1257">
        <v>1256</v>
      </c>
      <c r="B1257" t="str">
        <f>"002567"</f>
        <v>002567</v>
      </c>
      <c r="C1257" t="s">
        <v>8076</v>
      </c>
      <c r="D1257">
        <v>6.71</v>
      </c>
      <c r="E1257">
        <v>-0.15</v>
      </c>
      <c r="F1257">
        <v>-0.01</v>
      </c>
      <c r="G1257" t="s">
        <v>851</v>
      </c>
      <c r="H1257">
        <v>1860</v>
      </c>
      <c r="I1257">
        <v>6.71</v>
      </c>
      <c r="J1257">
        <v>6.72</v>
      </c>
      <c r="K1257" t="s">
        <v>3234</v>
      </c>
      <c r="L1257">
        <v>1.8</v>
      </c>
      <c r="M1257" t="s">
        <v>46</v>
      </c>
      <c r="N1257" t="s">
        <v>8077</v>
      </c>
      <c r="O1257">
        <v>6.78</v>
      </c>
      <c r="P1257">
        <v>6.65</v>
      </c>
      <c r="Q1257">
        <v>6.72</v>
      </c>
      <c r="R1257">
        <v>6.72</v>
      </c>
      <c r="S1257">
        <v>1.93</v>
      </c>
      <c r="T1257">
        <v>0.69</v>
      </c>
      <c r="U1257">
        <v>-65.84</v>
      </c>
      <c r="V1257">
        <v>-8117</v>
      </c>
      <c r="W1257">
        <v>6.71</v>
      </c>
      <c r="X1257" t="s">
        <v>4369</v>
      </c>
      <c r="Y1257" t="s">
        <v>263</v>
      </c>
      <c r="Z1257">
        <v>0.87</v>
      </c>
      <c r="AA1257">
        <v>286</v>
      </c>
      <c r="AB1257">
        <v>148</v>
      </c>
      <c r="AC1257">
        <v>1.55</v>
      </c>
      <c r="AD1257" t="s">
        <v>8078</v>
      </c>
      <c r="AE1257" t="s">
        <v>8079</v>
      </c>
      <c r="AF1257" t="s">
        <v>8080</v>
      </c>
      <c r="AG1257" t="s">
        <v>8081</v>
      </c>
      <c r="AH1257">
        <v>0.3</v>
      </c>
      <c r="AI1257">
        <v>0.45</v>
      </c>
      <c r="AJ1257">
        <v>4.77</v>
      </c>
      <c r="AK1257">
        <v>14.82</v>
      </c>
      <c r="AL1257">
        <v>-2</v>
      </c>
      <c r="AM1257">
        <v>-0.15</v>
      </c>
      <c r="AN1257">
        <v>-4.69</v>
      </c>
      <c r="AO1257">
        <v>1.51</v>
      </c>
      <c r="AP1257">
        <v>-5.23</v>
      </c>
    </row>
    <row r="1258" spans="1:42">
      <c r="A1258">
        <v>1257</v>
      </c>
      <c r="B1258" t="str">
        <f>"300468"</f>
        <v>300468</v>
      </c>
      <c r="C1258" t="s">
        <v>8082</v>
      </c>
      <c r="D1258">
        <v>11.33</v>
      </c>
      <c r="E1258">
        <v>3</v>
      </c>
      <c r="F1258">
        <v>0.33</v>
      </c>
      <c r="G1258" t="s">
        <v>2217</v>
      </c>
      <c r="H1258">
        <v>1619</v>
      </c>
      <c r="I1258">
        <v>11.33</v>
      </c>
      <c r="J1258">
        <v>11.34</v>
      </c>
      <c r="K1258" t="s">
        <v>3234</v>
      </c>
      <c r="L1258">
        <v>2.78</v>
      </c>
      <c r="M1258" t="s">
        <v>46</v>
      </c>
      <c r="N1258" t="s">
        <v>4496</v>
      </c>
      <c r="O1258">
        <v>11.36</v>
      </c>
      <c r="P1258">
        <v>10.96</v>
      </c>
      <c r="Q1258">
        <v>11</v>
      </c>
      <c r="R1258">
        <v>11</v>
      </c>
      <c r="S1258">
        <v>3.64</v>
      </c>
      <c r="T1258">
        <v>1.4</v>
      </c>
      <c r="U1258">
        <v>-75.9</v>
      </c>
      <c r="V1258">
        <v>-6657</v>
      </c>
      <c r="W1258">
        <v>11.23</v>
      </c>
      <c r="X1258" t="s">
        <v>6732</v>
      </c>
      <c r="Y1258" t="s">
        <v>4476</v>
      </c>
      <c r="Z1258">
        <v>0.65</v>
      </c>
      <c r="AA1258">
        <v>134</v>
      </c>
      <c r="AB1258">
        <v>1427</v>
      </c>
      <c r="AC1258">
        <v>3.69</v>
      </c>
      <c r="AD1258" t="s">
        <v>8083</v>
      </c>
      <c r="AE1258" t="s">
        <v>8084</v>
      </c>
      <c r="AF1258" t="s">
        <v>8085</v>
      </c>
      <c r="AG1258" t="s">
        <v>8086</v>
      </c>
      <c r="AH1258">
        <v>1.52</v>
      </c>
      <c r="AI1258">
        <v>-0.09</v>
      </c>
      <c r="AJ1258">
        <v>6.2</v>
      </c>
      <c r="AK1258">
        <v>12.69</v>
      </c>
      <c r="AL1258">
        <v>1</v>
      </c>
      <c r="AM1258">
        <v>3</v>
      </c>
      <c r="AN1258">
        <v>13.98</v>
      </c>
      <c r="AO1258">
        <v>4.81</v>
      </c>
      <c r="AP1258">
        <v>-3.16</v>
      </c>
    </row>
    <row r="1259" spans="1:42">
      <c r="A1259">
        <v>1258</v>
      </c>
      <c r="B1259" t="str">
        <f>"603161"</f>
        <v>603161</v>
      </c>
      <c r="C1259" t="s">
        <v>8087</v>
      </c>
      <c r="D1259">
        <v>17.57</v>
      </c>
      <c r="E1259">
        <v>-2.23</v>
      </c>
      <c r="F1259">
        <v>-0.4</v>
      </c>
      <c r="G1259" t="s">
        <v>3812</v>
      </c>
      <c r="H1259">
        <v>1467</v>
      </c>
      <c r="I1259">
        <v>17.56</v>
      </c>
      <c r="J1259">
        <v>17.57</v>
      </c>
      <c r="K1259" t="s">
        <v>3234</v>
      </c>
      <c r="L1259">
        <v>6.98</v>
      </c>
      <c r="M1259" t="s">
        <v>46</v>
      </c>
      <c r="N1259" t="s">
        <v>2027</v>
      </c>
      <c r="O1259">
        <v>18</v>
      </c>
      <c r="P1259">
        <v>17.46</v>
      </c>
      <c r="Q1259">
        <v>17.77</v>
      </c>
      <c r="R1259">
        <v>17.97</v>
      </c>
      <c r="S1259">
        <v>3.01</v>
      </c>
      <c r="T1259">
        <v>1.01</v>
      </c>
      <c r="U1259">
        <v>51.98</v>
      </c>
      <c r="V1259">
        <v>498</v>
      </c>
      <c r="W1259">
        <v>17.7</v>
      </c>
      <c r="X1259" t="s">
        <v>1951</v>
      </c>
      <c r="Y1259" t="s">
        <v>5767</v>
      </c>
      <c r="Z1259">
        <v>1.24</v>
      </c>
      <c r="AA1259">
        <v>129</v>
      </c>
      <c r="AB1259">
        <v>142</v>
      </c>
      <c r="AC1259">
        <v>1.73</v>
      </c>
      <c r="AD1259" t="s">
        <v>8088</v>
      </c>
      <c r="AE1259" t="s">
        <v>8089</v>
      </c>
      <c r="AF1259" t="s">
        <v>8088</v>
      </c>
      <c r="AG1259" t="s">
        <v>8089</v>
      </c>
      <c r="AH1259">
        <v>-3.36</v>
      </c>
      <c r="AI1259">
        <v>-0.68</v>
      </c>
      <c r="AJ1259">
        <v>22.14</v>
      </c>
      <c r="AK1259">
        <v>41.41</v>
      </c>
      <c r="AL1259">
        <v>-1</v>
      </c>
      <c r="AM1259">
        <v>-2.23</v>
      </c>
      <c r="AN1259">
        <v>40.79</v>
      </c>
      <c r="AO1259">
        <v>2.21</v>
      </c>
      <c r="AP1259">
        <v>21.34</v>
      </c>
    </row>
    <row r="1260" spans="1:42">
      <c r="A1260">
        <v>1259</v>
      </c>
      <c r="B1260" t="str">
        <f>"301307"</f>
        <v>301307</v>
      </c>
      <c r="C1260" t="s">
        <v>8090</v>
      </c>
      <c r="D1260">
        <v>36.9</v>
      </c>
      <c r="E1260">
        <v>-0.78</v>
      </c>
      <c r="F1260">
        <v>-0.29</v>
      </c>
      <c r="G1260" t="s">
        <v>5963</v>
      </c>
      <c r="H1260">
        <v>683</v>
      </c>
      <c r="I1260">
        <v>36.9</v>
      </c>
      <c r="J1260">
        <v>36.91</v>
      </c>
      <c r="K1260" t="s">
        <v>3234</v>
      </c>
      <c r="L1260">
        <v>8.92</v>
      </c>
      <c r="M1260" t="s">
        <v>46</v>
      </c>
      <c r="N1260" t="s">
        <v>3195</v>
      </c>
      <c r="O1260">
        <v>36.97</v>
      </c>
      <c r="P1260">
        <v>36.16</v>
      </c>
      <c r="Q1260">
        <v>36.92</v>
      </c>
      <c r="R1260">
        <v>37.19</v>
      </c>
      <c r="S1260">
        <v>2.18</v>
      </c>
      <c r="T1260">
        <v>0.55</v>
      </c>
      <c r="U1260">
        <v>39.68</v>
      </c>
      <c r="V1260">
        <v>332</v>
      </c>
      <c r="W1260">
        <v>36.61</v>
      </c>
      <c r="X1260" t="s">
        <v>914</v>
      </c>
      <c r="Y1260" t="s">
        <v>6012</v>
      </c>
      <c r="Z1260">
        <v>1.45</v>
      </c>
      <c r="AA1260">
        <v>177</v>
      </c>
      <c r="AB1260">
        <v>50</v>
      </c>
      <c r="AC1260">
        <v>2.38</v>
      </c>
      <c r="AD1260" t="s">
        <v>8091</v>
      </c>
      <c r="AE1260" t="s">
        <v>8092</v>
      </c>
      <c r="AF1260" t="s">
        <v>8093</v>
      </c>
      <c r="AG1260" t="s">
        <v>8094</v>
      </c>
      <c r="AH1260">
        <v>-4.95</v>
      </c>
      <c r="AI1260">
        <v>-2.64</v>
      </c>
      <c r="AJ1260">
        <v>33.93</v>
      </c>
      <c r="AK1260">
        <v>90.34</v>
      </c>
      <c r="AL1260">
        <v>-4</v>
      </c>
      <c r="AM1260">
        <v>-0.78</v>
      </c>
      <c r="AN1260">
        <v>14.1</v>
      </c>
      <c r="AO1260">
        <v>10.41</v>
      </c>
      <c r="AP1260">
        <v>14.1</v>
      </c>
    </row>
    <row r="1261" spans="1:42">
      <c r="A1261">
        <v>1260</v>
      </c>
      <c r="B1261" t="str">
        <f>"603057"</f>
        <v>603057</v>
      </c>
      <c r="C1261" t="s">
        <v>8095</v>
      </c>
      <c r="D1261">
        <v>23.11</v>
      </c>
      <c r="E1261">
        <v>-2.37</v>
      </c>
      <c r="F1261">
        <v>-0.56</v>
      </c>
      <c r="G1261" t="s">
        <v>4169</v>
      </c>
      <c r="H1261">
        <v>469</v>
      </c>
      <c r="I1261">
        <v>23.11</v>
      </c>
      <c r="J1261">
        <v>23.12</v>
      </c>
      <c r="K1261" t="s">
        <v>8096</v>
      </c>
      <c r="L1261">
        <v>10.32</v>
      </c>
      <c r="M1261" t="s">
        <v>46</v>
      </c>
      <c r="N1261" t="s">
        <v>8097</v>
      </c>
      <c r="O1261">
        <v>23.97</v>
      </c>
      <c r="P1261">
        <v>22.92</v>
      </c>
      <c r="Q1261">
        <v>23.35</v>
      </c>
      <c r="R1261">
        <v>23.67</v>
      </c>
      <c r="S1261">
        <v>4.44</v>
      </c>
      <c r="T1261">
        <v>1.87</v>
      </c>
      <c r="U1261">
        <v>91.13</v>
      </c>
      <c r="V1261">
        <v>1295</v>
      </c>
      <c r="W1261">
        <v>23.41</v>
      </c>
      <c r="X1261" t="s">
        <v>5774</v>
      </c>
      <c r="Y1261" t="s">
        <v>2628</v>
      </c>
      <c r="Z1261">
        <v>1.25</v>
      </c>
      <c r="AA1261">
        <v>704</v>
      </c>
      <c r="AB1261">
        <v>8</v>
      </c>
      <c r="AC1261">
        <v>4.59</v>
      </c>
      <c r="AD1261" t="s">
        <v>8098</v>
      </c>
      <c r="AE1261" t="s">
        <v>8099</v>
      </c>
      <c r="AF1261" t="s">
        <v>8100</v>
      </c>
      <c r="AG1261" t="s">
        <v>8101</v>
      </c>
      <c r="AH1261">
        <v>2.94</v>
      </c>
      <c r="AI1261">
        <v>0.87</v>
      </c>
      <c r="AJ1261">
        <v>24.19</v>
      </c>
      <c r="AK1261">
        <v>37.87</v>
      </c>
      <c r="AL1261">
        <v>-1</v>
      </c>
      <c r="AM1261">
        <v>-2.37</v>
      </c>
      <c r="AN1261">
        <v>-24.77</v>
      </c>
      <c r="AO1261">
        <v>0.13</v>
      </c>
      <c r="AP1261">
        <v>-13.41</v>
      </c>
    </row>
    <row r="1262" spans="1:42">
      <c r="A1262">
        <v>1261</v>
      </c>
      <c r="B1262" t="str">
        <f>"600879"</f>
        <v>600879</v>
      </c>
      <c r="C1262" t="s">
        <v>8102</v>
      </c>
      <c r="D1262">
        <v>7.84</v>
      </c>
      <c r="E1262">
        <v>1.16</v>
      </c>
      <c r="F1262">
        <v>0.09</v>
      </c>
      <c r="G1262" t="s">
        <v>1125</v>
      </c>
      <c r="H1262">
        <v>1328</v>
      </c>
      <c r="I1262">
        <v>7.84</v>
      </c>
      <c r="J1262">
        <v>7.85</v>
      </c>
      <c r="K1262" t="s">
        <v>8096</v>
      </c>
      <c r="L1262">
        <v>0.77</v>
      </c>
      <c r="M1262" t="s">
        <v>46</v>
      </c>
      <c r="N1262" t="s">
        <v>5996</v>
      </c>
      <c r="O1262">
        <v>7.87</v>
      </c>
      <c r="P1262">
        <v>7.73</v>
      </c>
      <c r="Q1262">
        <v>7.74</v>
      </c>
      <c r="R1262">
        <v>7.75</v>
      </c>
      <c r="S1262">
        <v>1.81</v>
      </c>
      <c r="T1262">
        <v>1.02</v>
      </c>
      <c r="U1262">
        <v>-14.55</v>
      </c>
      <c r="V1262">
        <v>-1827</v>
      </c>
      <c r="W1262">
        <v>7.8</v>
      </c>
      <c r="X1262" t="s">
        <v>4577</v>
      </c>
      <c r="Y1262" t="s">
        <v>1540</v>
      </c>
      <c r="Z1262">
        <v>0.79</v>
      </c>
      <c r="AA1262">
        <v>2166</v>
      </c>
      <c r="AB1262">
        <v>1219</v>
      </c>
      <c r="AC1262">
        <v>1.29</v>
      </c>
      <c r="AD1262" t="s">
        <v>8103</v>
      </c>
      <c r="AE1262" t="s">
        <v>8104</v>
      </c>
      <c r="AF1262" t="s">
        <v>8105</v>
      </c>
      <c r="AG1262" t="s">
        <v>8106</v>
      </c>
      <c r="AH1262">
        <v>-0.38</v>
      </c>
      <c r="AI1262">
        <v>-2.49</v>
      </c>
      <c r="AJ1262">
        <v>2.27</v>
      </c>
      <c r="AK1262">
        <v>4.59</v>
      </c>
      <c r="AL1262">
        <v>1</v>
      </c>
      <c r="AM1262">
        <v>1.16</v>
      </c>
      <c r="AN1262">
        <v>16.49</v>
      </c>
      <c r="AO1262">
        <v>-3.92</v>
      </c>
      <c r="AP1262">
        <v>14.96</v>
      </c>
    </row>
    <row r="1263" spans="1:42">
      <c r="A1263">
        <v>1262</v>
      </c>
      <c r="B1263" t="str">
        <f>"000650"</f>
        <v>000650</v>
      </c>
      <c r="C1263" t="s">
        <v>8107</v>
      </c>
      <c r="D1263">
        <v>6.94</v>
      </c>
      <c r="E1263">
        <v>-0.57</v>
      </c>
      <c r="F1263">
        <v>-0.04</v>
      </c>
      <c r="G1263" t="s">
        <v>1366</v>
      </c>
      <c r="H1263">
        <v>1876</v>
      </c>
      <c r="I1263">
        <v>6.94</v>
      </c>
      <c r="J1263">
        <v>6.95</v>
      </c>
      <c r="K1263" t="s">
        <v>8096</v>
      </c>
      <c r="L1263">
        <v>1.76</v>
      </c>
      <c r="M1263" t="s">
        <v>46</v>
      </c>
      <c r="N1263" t="s">
        <v>8108</v>
      </c>
      <c r="O1263">
        <v>7.02</v>
      </c>
      <c r="P1263">
        <v>6.9</v>
      </c>
      <c r="Q1263">
        <v>6.99</v>
      </c>
      <c r="R1263">
        <v>6.98</v>
      </c>
      <c r="S1263">
        <v>1.72</v>
      </c>
      <c r="T1263">
        <v>0.85</v>
      </c>
      <c r="U1263">
        <v>25.19</v>
      </c>
      <c r="V1263">
        <v>5196</v>
      </c>
      <c r="W1263">
        <v>6.95</v>
      </c>
      <c r="X1263" t="s">
        <v>2753</v>
      </c>
      <c r="Y1263" t="s">
        <v>2520</v>
      </c>
      <c r="Z1263">
        <v>1.4</v>
      </c>
      <c r="AA1263">
        <v>1312</v>
      </c>
      <c r="AB1263">
        <v>476</v>
      </c>
      <c r="AC1263">
        <v>1.62</v>
      </c>
      <c r="AD1263" t="s">
        <v>8109</v>
      </c>
      <c r="AE1263" t="s">
        <v>8110</v>
      </c>
      <c r="AF1263" t="s">
        <v>8064</v>
      </c>
      <c r="AG1263" t="s">
        <v>8111</v>
      </c>
      <c r="AH1263">
        <v>-1.84</v>
      </c>
      <c r="AI1263">
        <v>-1.7</v>
      </c>
      <c r="AJ1263">
        <v>4.8</v>
      </c>
      <c r="AK1263">
        <v>12.12</v>
      </c>
      <c r="AL1263">
        <v>-1</v>
      </c>
      <c r="AM1263">
        <v>-0.57</v>
      </c>
      <c r="AN1263">
        <v>15.86</v>
      </c>
      <c r="AO1263">
        <v>1.76</v>
      </c>
      <c r="AP1263">
        <v>3.74</v>
      </c>
    </row>
    <row r="1264" spans="1:42">
      <c r="A1264">
        <v>1263</v>
      </c>
      <c r="B1264" t="str">
        <f>"002531"</f>
        <v>002531</v>
      </c>
      <c r="C1264" t="s">
        <v>8112</v>
      </c>
      <c r="D1264">
        <v>12.33</v>
      </c>
      <c r="E1264">
        <v>-1.28</v>
      </c>
      <c r="F1264">
        <v>-0.16</v>
      </c>
      <c r="G1264" t="s">
        <v>1759</v>
      </c>
      <c r="H1264">
        <v>1133</v>
      </c>
      <c r="I1264">
        <v>12.33</v>
      </c>
      <c r="J1264">
        <v>12.34</v>
      </c>
      <c r="K1264" t="s">
        <v>8096</v>
      </c>
      <c r="L1264">
        <v>0.74</v>
      </c>
      <c r="M1264" t="s">
        <v>46</v>
      </c>
      <c r="N1264" t="s">
        <v>5757</v>
      </c>
      <c r="O1264">
        <v>12.55</v>
      </c>
      <c r="P1264">
        <v>12.25</v>
      </c>
      <c r="Q1264">
        <v>12.51</v>
      </c>
      <c r="R1264">
        <v>12.49</v>
      </c>
      <c r="S1264">
        <v>2.4</v>
      </c>
      <c r="T1264">
        <v>0.87</v>
      </c>
      <c r="U1264">
        <v>-15.2</v>
      </c>
      <c r="V1264">
        <v>-558</v>
      </c>
      <c r="W1264">
        <v>12.33</v>
      </c>
      <c r="X1264" t="s">
        <v>5795</v>
      </c>
      <c r="Y1264" t="s">
        <v>4559</v>
      </c>
      <c r="Z1264">
        <v>1.88</v>
      </c>
      <c r="AA1264">
        <v>158</v>
      </c>
      <c r="AB1264">
        <v>352</v>
      </c>
      <c r="AC1264">
        <v>2.51</v>
      </c>
      <c r="AD1264" t="s">
        <v>5318</v>
      </c>
      <c r="AE1264" t="s">
        <v>8113</v>
      </c>
      <c r="AF1264" t="s">
        <v>2240</v>
      </c>
      <c r="AG1264" t="s">
        <v>8114</v>
      </c>
      <c r="AH1264">
        <v>-4.05</v>
      </c>
      <c r="AI1264">
        <v>-5.3</v>
      </c>
      <c r="AJ1264">
        <v>2.17</v>
      </c>
      <c r="AK1264">
        <v>5.02</v>
      </c>
      <c r="AL1264">
        <v>-3</v>
      </c>
      <c r="AM1264">
        <v>-1.28</v>
      </c>
      <c r="AN1264">
        <v>-18.51</v>
      </c>
      <c r="AO1264">
        <v>-11.42</v>
      </c>
      <c r="AP1264">
        <v>-13.96</v>
      </c>
    </row>
    <row r="1265" spans="1:42">
      <c r="A1265">
        <v>1264</v>
      </c>
      <c r="B1265" t="str">
        <f>"002970"</f>
        <v>002970</v>
      </c>
      <c r="C1265" t="s">
        <v>8115</v>
      </c>
      <c r="D1265">
        <v>33.39</v>
      </c>
      <c r="E1265">
        <v>1.95</v>
      </c>
      <c r="F1265">
        <v>0.64</v>
      </c>
      <c r="G1265" t="s">
        <v>3319</v>
      </c>
      <c r="H1265">
        <v>899</v>
      </c>
      <c r="I1265">
        <v>33.38</v>
      </c>
      <c r="J1265">
        <v>33.39</v>
      </c>
      <c r="K1265" t="s">
        <v>8096</v>
      </c>
      <c r="L1265">
        <v>5.41</v>
      </c>
      <c r="M1265" t="s">
        <v>46</v>
      </c>
      <c r="N1265" t="s">
        <v>5397</v>
      </c>
      <c r="O1265">
        <v>33.66</v>
      </c>
      <c r="P1265">
        <v>32.2</v>
      </c>
      <c r="Q1265">
        <v>32.72</v>
      </c>
      <c r="R1265">
        <v>32.75</v>
      </c>
      <c r="S1265">
        <v>4.46</v>
      </c>
      <c r="T1265">
        <v>1.18</v>
      </c>
      <c r="U1265">
        <v>26.89</v>
      </c>
      <c r="V1265">
        <v>253</v>
      </c>
      <c r="W1265">
        <v>33.13</v>
      </c>
      <c r="X1265" t="s">
        <v>6419</v>
      </c>
      <c r="Y1265" t="s">
        <v>1077</v>
      </c>
      <c r="Z1265">
        <v>0.92</v>
      </c>
      <c r="AA1265">
        <v>153</v>
      </c>
      <c r="AB1265">
        <v>174</v>
      </c>
      <c r="AC1265">
        <v>4.15</v>
      </c>
      <c r="AD1265" t="s">
        <v>8116</v>
      </c>
      <c r="AE1265" t="s">
        <v>8117</v>
      </c>
      <c r="AF1265" t="s">
        <v>8118</v>
      </c>
      <c r="AG1265" t="s">
        <v>3646</v>
      </c>
      <c r="AH1265">
        <v>2.61</v>
      </c>
      <c r="AI1265">
        <v>2.3</v>
      </c>
      <c r="AJ1265">
        <v>18.03</v>
      </c>
      <c r="AK1265">
        <v>28.39</v>
      </c>
      <c r="AL1265">
        <v>1</v>
      </c>
      <c r="AM1265">
        <v>1.95</v>
      </c>
      <c r="AN1265">
        <v>74.73</v>
      </c>
      <c r="AO1265">
        <v>14.58</v>
      </c>
      <c r="AP1265">
        <v>44.61</v>
      </c>
    </row>
    <row r="1266" spans="1:42">
      <c r="A1266">
        <v>1265</v>
      </c>
      <c r="B1266" t="str">
        <f>"688362"</f>
        <v>688362</v>
      </c>
      <c r="C1266" t="s">
        <v>8119</v>
      </c>
      <c r="D1266">
        <v>28.68</v>
      </c>
      <c r="E1266">
        <v>1.52</v>
      </c>
      <c r="F1266">
        <v>0.43</v>
      </c>
      <c r="G1266" t="s">
        <v>8120</v>
      </c>
      <c r="H1266">
        <v>535</v>
      </c>
      <c r="I1266">
        <v>28.68</v>
      </c>
      <c r="J1266">
        <v>28.69</v>
      </c>
      <c r="K1266" t="s">
        <v>8096</v>
      </c>
      <c r="L1266">
        <v>2.09</v>
      </c>
      <c r="M1266" t="s">
        <v>46</v>
      </c>
      <c r="N1266" t="s">
        <v>6370</v>
      </c>
      <c r="O1266">
        <v>28.84</v>
      </c>
      <c r="P1266">
        <v>27.91</v>
      </c>
      <c r="Q1266">
        <v>28.16</v>
      </c>
      <c r="R1266">
        <v>28.25</v>
      </c>
      <c r="S1266">
        <v>3.29</v>
      </c>
      <c r="T1266">
        <v>0.86</v>
      </c>
      <c r="U1266">
        <v>35.09</v>
      </c>
      <c r="V1266">
        <v>390</v>
      </c>
      <c r="W1266">
        <v>28.45</v>
      </c>
      <c r="X1266" t="s">
        <v>5553</v>
      </c>
      <c r="Y1266" t="s">
        <v>8050</v>
      </c>
      <c r="Z1266">
        <v>0.93</v>
      </c>
      <c r="AA1266">
        <v>117</v>
      </c>
      <c r="AB1266">
        <v>47</v>
      </c>
      <c r="AC1266">
        <v>4.84</v>
      </c>
      <c r="AD1266" t="s">
        <v>8121</v>
      </c>
      <c r="AE1266" t="s">
        <v>8122</v>
      </c>
      <c r="AF1266" t="s">
        <v>8123</v>
      </c>
      <c r="AG1266" t="s">
        <v>8124</v>
      </c>
      <c r="AH1266">
        <v>-1.07</v>
      </c>
      <c r="AI1266">
        <v>-2.22</v>
      </c>
      <c r="AJ1266">
        <v>6.23</v>
      </c>
      <c r="AK1266">
        <v>14.25</v>
      </c>
      <c r="AL1266">
        <v>1</v>
      </c>
      <c r="AM1266">
        <v>1.52</v>
      </c>
      <c r="AN1266">
        <v>32.23</v>
      </c>
      <c r="AO1266">
        <v>-12.64</v>
      </c>
      <c r="AP1266">
        <v>4.06</v>
      </c>
    </row>
    <row r="1267" spans="1:42">
      <c r="A1267">
        <v>1266</v>
      </c>
      <c r="B1267" t="str">
        <f>"300565"</f>
        <v>300565</v>
      </c>
      <c r="C1267" t="s">
        <v>8125</v>
      </c>
      <c r="D1267">
        <v>16.38</v>
      </c>
      <c r="E1267">
        <v>1.17</v>
      </c>
      <c r="F1267">
        <v>0.19</v>
      </c>
      <c r="G1267" t="s">
        <v>110</v>
      </c>
      <c r="H1267">
        <v>1356</v>
      </c>
      <c r="I1267">
        <v>16.38</v>
      </c>
      <c r="J1267">
        <v>16.39</v>
      </c>
      <c r="K1267" t="s">
        <v>8096</v>
      </c>
      <c r="L1267">
        <v>5.39</v>
      </c>
      <c r="M1267" t="s">
        <v>46</v>
      </c>
      <c r="N1267" t="s">
        <v>3556</v>
      </c>
      <c r="O1267">
        <v>16.44</v>
      </c>
      <c r="P1267">
        <v>15.6</v>
      </c>
      <c r="Q1267">
        <v>16.24</v>
      </c>
      <c r="R1267">
        <v>16.19</v>
      </c>
      <c r="S1267">
        <v>5.19</v>
      </c>
      <c r="T1267">
        <v>0.6</v>
      </c>
      <c r="U1267">
        <v>-50.55</v>
      </c>
      <c r="V1267">
        <v>-920</v>
      </c>
      <c r="W1267">
        <v>16.13</v>
      </c>
      <c r="X1267" t="s">
        <v>4988</v>
      </c>
      <c r="Y1267" t="s">
        <v>1985</v>
      </c>
      <c r="Z1267">
        <v>0.91</v>
      </c>
      <c r="AA1267">
        <v>118</v>
      </c>
      <c r="AB1267">
        <v>683</v>
      </c>
      <c r="AC1267">
        <v>7.93</v>
      </c>
      <c r="AD1267" t="s">
        <v>8126</v>
      </c>
      <c r="AE1267" t="s">
        <v>8127</v>
      </c>
      <c r="AF1267" t="s">
        <v>8128</v>
      </c>
      <c r="AG1267" t="s">
        <v>8129</v>
      </c>
      <c r="AH1267">
        <v>-4.32</v>
      </c>
      <c r="AI1267">
        <v>5.27</v>
      </c>
      <c r="AJ1267">
        <v>21.15</v>
      </c>
      <c r="AK1267">
        <v>50.56</v>
      </c>
      <c r="AL1267">
        <v>1</v>
      </c>
      <c r="AM1267">
        <v>1.17</v>
      </c>
      <c r="AN1267">
        <v>-29.58</v>
      </c>
      <c r="AO1267">
        <v>11.13</v>
      </c>
      <c r="AP1267">
        <v>-37.88</v>
      </c>
    </row>
    <row r="1268" spans="1:42">
      <c r="A1268">
        <v>1267</v>
      </c>
      <c r="B1268" t="str">
        <f>"300554"</f>
        <v>300554</v>
      </c>
      <c r="C1268" t="s">
        <v>8130</v>
      </c>
      <c r="D1268">
        <v>27.72</v>
      </c>
      <c r="E1268">
        <v>1.17</v>
      </c>
      <c r="F1268">
        <v>0.32</v>
      </c>
      <c r="G1268" t="s">
        <v>7400</v>
      </c>
      <c r="H1268">
        <v>1723</v>
      </c>
      <c r="I1268">
        <v>27.71</v>
      </c>
      <c r="J1268">
        <v>27.72</v>
      </c>
      <c r="K1268" t="s">
        <v>8096</v>
      </c>
      <c r="L1268">
        <v>7.8</v>
      </c>
      <c r="M1268" t="s">
        <v>46</v>
      </c>
      <c r="N1268" t="s">
        <v>8131</v>
      </c>
      <c r="O1268">
        <v>27.74</v>
      </c>
      <c r="P1268">
        <v>27</v>
      </c>
      <c r="Q1268">
        <v>27.39</v>
      </c>
      <c r="R1268">
        <v>27.4</v>
      </c>
      <c r="S1268">
        <v>2.7</v>
      </c>
      <c r="T1268">
        <v>0.47</v>
      </c>
      <c r="U1268">
        <v>-18.38</v>
      </c>
      <c r="V1268">
        <v>-100</v>
      </c>
      <c r="W1268">
        <v>27.4</v>
      </c>
      <c r="X1268" t="s">
        <v>4733</v>
      </c>
      <c r="Y1268" t="s">
        <v>6418</v>
      </c>
      <c r="Z1268">
        <v>1.12</v>
      </c>
      <c r="AA1268">
        <v>103</v>
      </c>
      <c r="AB1268">
        <v>34</v>
      </c>
      <c r="AC1268">
        <v>3.9</v>
      </c>
      <c r="AD1268" t="s">
        <v>8132</v>
      </c>
      <c r="AE1268" t="s">
        <v>8133</v>
      </c>
      <c r="AF1268" t="s">
        <v>8134</v>
      </c>
      <c r="AG1268" t="s">
        <v>8135</v>
      </c>
      <c r="AH1268">
        <v>-7.54</v>
      </c>
      <c r="AI1268">
        <v>-4.61</v>
      </c>
      <c r="AJ1268">
        <v>42.47</v>
      </c>
      <c r="AK1268">
        <v>91.2</v>
      </c>
      <c r="AL1268">
        <v>2</v>
      </c>
      <c r="AM1268">
        <v>1.17</v>
      </c>
      <c r="AN1268">
        <v>12.23</v>
      </c>
      <c r="AO1268">
        <v>40.21</v>
      </c>
      <c r="AP1268">
        <v>-3.38</v>
      </c>
    </row>
    <row r="1269" spans="1:42">
      <c r="A1269">
        <v>1268</v>
      </c>
      <c r="B1269" t="str">
        <f>"688177"</f>
        <v>688177</v>
      </c>
      <c r="C1269" t="s">
        <v>8136</v>
      </c>
      <c r="D1269">
        <v>43.69</v>
      </c>
      <c r="E1269">
        <v>5.45</v>
      </c>
      <c r="F1269">
        <v>2.26</v>
      </c>
      <c r="G1269" t="s">
        <v>1044</v>
      </c>
      <c r="H1269">
        <v>357</v>
      </c>
      <c r="I1269">
        <v>43.69</v>
      </c>
      <c r="J1269">
        <v>43.7</v>
      </c>
      <c r="K1269" t="s">
        <v>6883</v>
      </c>
      <c r="L1269">
        <v>0.91</v>
      </c>
      <c r="M1269" t="s">
        <v>46</v>
      </c>
      <c r="N1269" t="s">
        <v>1295</v>
      </c>
      <c r="O1269">
        <v>44.09</v>
      </c>
      <c r="P1269">
        <v>42.14</v>
      </c>
      <c r="Q1269">
        <v>42.14</v>
      </c>
      <c r="R1269">
        <v>41.43</v>
      </c>
      <c r="S1269">
        <v>4.71</v>
      </c>
      <c r="T1269">
        <v>1.52</v>
      </c>
      <c r="U1269">
        <v>-1.47</v>
      </c>
      <c r="V1269">
        <v>-5</v>
      </c>
      <c r="W1269">
        <v>43.28</v>
      </c>
      <c r="X1269" t="s">
        <v>8137</v>
      </c>
      <c r="Y1269" t="s">
        <v>7210</v>
      </c>
      <c r="Z1269">
        <v>0.78</v>
      </c>
      <c r="AA1269">
        <v>23</v>
      </c>
      <c r="AB1269">
        <v>8</v>
      </c>
      <c r="AC1269">
        <v>14.77</v>
      </c>
      <c r="AD1269" t="s">
        <v>8138</v>
      </c>
      <c r="AE1269" t="s">
        <v>5437</v>
      </c>
      <c r="AF1269" t="s">
        <v>8138</v>
      </c>
      <c r="AG1269" t="s">
        <v>5437</v>
      </c>
      <c r="AH1269">
        <v>8.09</v>
      </c>
      <c r="AI1269">
        <v>9.8</v>
      </c>
      <c r="AJ1269">
        <v>2.14</v>
      </c>
      <c r="AK1269">
        <v>3.91</v>
      </c>
      <c r="AL1269">
        <v>3</v>
      </c>
      <c r="AM1269">
        <v>5.45</v>
      </c>
      <c r="AN1269">
        <v>100.6</v>
      </c>
      <c r="AO1269">
        <v>18.98</v>
      </c>
      <c r="AP1269">
        <v>85.13</v>
      </c>
    </row>
    <row r="1270" spans="1:42">
      <c r="A1270">
        <v>1269</v>
      </c>
      <c r="B1270" t="str">
        <f>"000413"</f>
        <v>000413</v>
      </c>
      <c r="C1270" t="s">
        <v>8139</v>
      </c>
      <c r="D1270">
        <v>2.28</v>
      </c>
      <c r="E1270">
        <v>1.33</v>
      </c>
      <c r="F1270">
        <v>0.03</v>
      </c>
      <c r="G1270" t="s">
        <v>2138</v>
      </c>
      <c r="H1270">
        <v>9474</v>
      </c>
      <c r="I1270">
        <v>2.28</v>
      </c>
      <c r="J1270">
        <v>2.29</v>
      </c>
      <c r="K1270" t="s">
        <v>6883</v>
      </c>
      <c r="L1270">
        <v>1.43</v>
      </c>
      <c r="M1270" t="s">
        <v>46</v>
      </c>
      <c r="N1270" t="s">
        <v>1311</v>
      </c>
      <c r="O1270">
        <v>2.3</v>
      </c>
      <c r="P1270">
        <v>2.24</v>
      </c>
      <c r="Q1270">
        <v>2.26</v>
      </c>
      <c r="R1270">
        <v>2.25</v>
      </c>
      <c r="S1270">
        <v>2.67</v>
      </c>
      <c r="T1270">
        <v>0.74</v>
      </c>
      <c r="U1270">
        <v>-15.76</v>
      </c>
      <c r="V1270" t="s">
        <v>8140</v>
      </c>
      <c r="W1270">
        <v>2.27</v>
      </c>
      <c r="X1270" t="s">
        <v>2066</v>
      </c>
      <c r="Y1270" t="s">
        <v>1056</v>
      </c>
      <c r="Z1270">
        <v>0.77</v>
      </c>
      <c r="AA1270" t="s">
        <v>4443</v>
      </c>
      <c r="AB1270" t="s">
        <v>4422</v>
      </c>
      <c r="AC1270">
        <v>0.58</v>
      </c>
      <c r="AD1270" t="s">
        <v>8141</v>
      </c>
      <c r="AE1270" t="s">
        <v>1249</v>
      </c>
      <c r="AF1270" t="s">
        <v>8142</v>
      </c>
      <c r="AG1270" t="s">
        <v>8143</v>
      </c>
      <c r="AH1270">
        <v>-1.72</v>
      </c>
      <c r="AI1270">
        <v>-3.39</v>
      </c>
      <c r="AJ1270">
        <v>4.98</v>
      </c>
      <c r="AK1270">
        <v>11.05</v>
      </c>
      <c r="AL1270">
        <v>1</v>
      </c>
      <c r="AM1270">
        <v>1.33</v>
      </c>
      <c r="AN1270">
        <v>28.81</v>
      </c>
      <c r="AO1270">
        <v>5.07</v>
      </c>
      <c r="AP1270">
        <v>20.63</v>
      </c>
    </row>
    <row r="1271" spans="1:42">
      <c r="A1271">
        <v>1270</v>
      </c>
      <c r="B1271" t="str">
        <f>"688126"</f>
        <v>688126</v>
      </c>
      <c r="C1271" t="s">
        <v>8144</v>
      </c>
      <c r="D1271">
        <v>17.58</v>
      </c>
      <c r="E1271">
        <v>-0.45</v>
      </c>
      <c r="F1271">
        <v>-0.08</v>
      </c>
      <c r="G1271" t="s">
        <v>8145</v>
      </c>
      <c r="H1271">
        <v>744</v>
      </c>
      <c r="I1271">
        <v>17.57</v>
      </c>
      <c r="J1271">
        <v>17.58</v>
      </c>
      <c r="K1271" t="s">
        <v>6883</v>
      </c>
      <c r="L1271">
        <v>0.35</v>
      </c>
      <c r="M1271" t="s">
        <v>46</v>
      </c>
      <c r="N1271" t="s">
        <v>8146</v>
      </c>
      <c r="O1271">
        <v>17.75</v>
      </c>
      <c r="P1271">
        <v>17.05</v>
      </c>
      <c r="Q1271">
        <v>17.64</v>
      </c>
      <c r="R1271">
        <v>17.66</v>
      </c>
      <c r="S1271">
        <v>3.96</v>
      </c>
      <c r="T1271">
        <v>1.11</v>
      </c>
      <c r="U1271">
        <v>-12.54</v>
      </c>
      <c r="V1271">
        <v>-112</v>
      </c>
      <c r="W1271">
        <v>17.38</v>
      </c>
      <c r="X1271" t="s">
        <v>5645</v>
      </c>
      <c r="Y1271" t="s">
        <v>6203</v>
      </c>
      <c r="Z1271">
        <v>0.95</v>
      </c>
      <c r="AA1271">
        <v>78</v>
      </c>
      <c r="AB1271">
        <v>116</v>
      </c>
      <c r="AC1271">
        <v>3.25</v>
      </c>
      <c r="AD1271" t="s">
        <v>8147</v>
      </c>
      <c r="AE1271" t="s">
        <v>6410</v>
      </c>
      <c r="AF1271" t="s">
        <v>8148</v>
      </c>
      <c r="AG1271" t="s">
        <v>8149</v>
      </c>
      <c r="AH1271">
        <v>-2.93</v>
      </c>
      <c r="AI1271">
        <v>-1.01</v>
      </c>
      <c r="AJ1271">
        <v>0.96</v>
      </c>
      <c r="AK1271">
        <v>1.9</v>
      </c>
      <c r="AL1271">
        <v>-3</v>
      </c>
      <c r="AM1271">
        <v>-0.45</v>
      </c>
      <c r="AN1271">
        <v>-0.17</v>
      </c>
      <c r="AO1271">
        <v>-4.3</v>
      </c>
      <c r="AP1271">
        <v>-13.4</v>
      </c>
    </row>
    <row r="1272" spans="1:42">
      <c r="A1272">
        <v>1271</v>
      </c>
      <c r="B1272" t="str">
        <f>"601519"</f>
        <v>601519</v>
      </c>
      <c r="C1272" t="s">
        <v>8150</v>
      </c>
      <c r="D1272">
        <v>7.72</v>
      </c>
      <c r="E1272">
        <v>1.85</v>
      </c>
      <c r="F1272">
        <v>0.14</v>
      </c>
      <c r="G1272" t="s">
        <v>553</v>
      </c>
      <c r="H1272">
        <v>2246</v>
      </c>
      <c r="I1272">
        <v>7.71</v>
      </c>
      <c r="J1272">
        <v>7.72</v>
      </c>
      <c r="K1272" t="s">
        <v>6883</v>
      </c>
      <c r="L1272">
        <v>1.06</v>
      </c>
      <c r="M1272" t="s">
        <v>46</v>
      </c>
      <c r="N1272" t="s">
        <v>2566</v>
      </c>
      <c r="O1272">
        <v>7.73</v>
      </c>
      <c r="P1272">
        <v>7.56</v>
      </c>
      <c r="Q1272">
        <v>7.58</v>
      </c>
      <c r="R1272">
        <v>7.58</v>
      </c>
      <c r="S1272">
        <v>2.24</v>
      </c>
      <c r="T1272">
        <v>1.15</v>
      </c>
      <c r="U1272">
        <v>-17.49</v>
      </c>
      <c r="V1272">
        <v>-3636</v>
      </c>
      <c r="W1272">
        <v>7.67</v>
      </c>
      <c r="X1272" t="s">
        <v>5215</v>
      </c>
      <c r="Y1272" t="s">
        <v>1986</v>
      </c>
      <c r="Z1272">
        <v>0.7</v>
      </c>
      <c r="AA1272">
        <v>194</v>
      </c>
      <c r="AB1272">
        <v>4270</v>
      </c>
      <c r="AC1272">
        <v>8.35</v>
      </c>
      <c r="AD1272" t="s">
        <v>8151</v>
      </c>
      <c r="AE1272" t="s">
        <v>8152</v>
      </c>
      <c r="AF1272" t="s">
        <v>8153</v>
      </c>
      <c r="AG1272" t="s">
        <v>8154</v>
      </c>
      <c r="AH1272">
        <v>0.65</v>
      </c>
      <c r="AI1272">
        <v>-2.15</v>
      </c>
      <c r="AJ1272">
        <v>2.53</v>
      </c>
      <c r="AK1272">
        <v>5.68</v>
      </c>
      <c r="AL1272">
        <v>1</v>
      </c>
      <c r="AM1272">
        <v>1.85</v>
      </c>
      <c r="AN1272">
        <v>34.26</v>
      </c>
      <c r="AO1272">
        <v>1.18</v>
      </c>
      <c r="AP1272">
        <v>25.53</v>
      </c>
    </row>
    <row r="1273" spans="1:42">
      <c r="A1273">
        <v>1272</v>
      </c>
      <c r="B1273" t="str">
        <f>"301211"</f>
        <v>301211</v>
      </c>
      <c r="C1273" t="s">
        <v>8155</v>
      </c>
      <c r="D1273">
        <v>23.58</v>
      </c>
      <c r="E1273">
        <v>-1.21</v>
      </c>
      <c r="F1273">
        <v>-0.29</v>
      </c>
      <c r="G1273" t="s">
        <v>2367</v>
      </c>
      <c r="H1273">
        <v>775</v>
      </c>
      <c r="I1273">
        <v>23.58</v>
      </c>
      <c r="J1273">
        <v>23.59</v>
      </c>
      <c r="K1273" t="s">
        <v>6883</v>
      </c>
      <c r="L1273">
        <v>9.69</v>
      </c>
      <c r="M1273" t="s">
        <v>46</v>
      </c>
      <c r="N1273" t="s">
        <v>664</v>
      </c>
      <c r="O1273">
        <v>24.09</v>
      </c>
      <c r="P1273">
        <v>23.51</v>
      </c>
      <c r="Q1273">
        <v>23.7</v>
      </c>
      <c r="R1273">
        <v>23.87</v>
      </c>
      <c r="S1273">
        <v>2.43</v>
      </c>
      <c r="T1273">
        <v>0.47</v>
      </c>
      <c r="U1273">
        <v>70.15</v>
      </c>
      <c r="V1273">
        <v>1278</v>
      </c>
      <c r="W1273">
        <v>23.75</v>
      </c>
      <c r="X1273" t="s">
        <v>8156</v>
      </c>
      <c r="Y1273" t="s">
        <v>4914</v>
      </c>
      <c r="Z1273">
        <v>1.22</v>
      </c>
      <c r="AA1273">
        <v>233</v>
      </c>
      <c r="AB1273">
        <v>53</v>
      </c>
      <c r="AC1273">
        <v>2.92</v>
      </c>
      <c r="AD1273" t="s">
        <v>8157</v>
      </c>
      <c r="AE1273" t="s">
        <v>8158</v>
      </c>
      <c r="AF1273" t="s">
        <v>8159</v>
      </c>
      <c r="AG1273" t="s">
        <v>1670</v>
      </c>
      <c r="AH1273">
        <v>-4.8</v>
      </c>
      <c r="AI1273">
        <v>-5.72</v>
      </c>
      <c r="AJ1273">
        <v>33.51</v>
      </c>
      <c r="AK1273">
        <v>113.1</v>
      </c>
      <c r="AL1273">
        <v>-5</v>
      </c>
      <c r="AM1273">
        <v>-1.21</v>
      </c>
      <c r="AN1273">
        <v>-17.38</v>
      </c>
      <c r="AO1273">
        <v>5.41</v>
      </c>
      <c r="AP1273">
        <v>6.5</v>
      </c>
    </row>
    <row r="1274" spans="1:42">
      <c r="A1274">
        <v>1273</v>
      </c>
      <c r="B1274" t="str">
        <f>"301488"</f>
        <v>301488</v>
      </c>
      <c r="C1274" t="s">
        <v>8160</v>
      </c>
      <c r="D1274">
        <v>81.14</v>
      </c>
      <c r="E1274">
        <v>1.01</v>
      </c>
      <c r="F1274">
        <v>0.81</v>
      </c>
      <c r="G1274" t="s">
        <v>2976</v>
      </c>
      <c r="H1274">
        <v>276</v>
      </c>
      <c r="I1274">
        <v>81.14</v>
      </c>
      <c r="J1274">
        <v>81.15</v>
      </c>
      <c r="K1274" t="s">
        <v>6883</v>
      </c>
      <c r="L1274">
        <v>10.17</v>
      </c>
      <c r="M1274" t="s">
        <v>46</v>
      </c>
      <c r="N1274" t="s">
        <v>3650</v>
      </c>
      <c r="O1274">
        <v>81.9</v>
      </c>
      <c r="P1274">
        <v>78.12</v>
      </c>
      <c r="Q1274">
        <v>80.18</v>
      </c>
      <c r="R1274">
        <v>80.33</v>
      </c>
      <c r="S1274">
        <v>4.71</v>
      </c>
      <c r="T1274">
        <v>0.42</v>
      </c>
      <c r="U1274">
        <v>46.88</v>
      </c>
      <c r="V1274">
        <v>97</v>
      </c>
      <c r="W1274">
        <v>80.56</v>
      </c>
      <c r="X1274" t="s">
        <v>1646</v>
      </c>
      <c r="Y1274" t="s">
        <v>2615</v>
      </c>
      <c r="Z1274">
        <v>1.02</v>
      </c>
      <c r="AA1274">
        <v>26</v>
      </c>
      <c r="AB1274">
        <v>20</v>
      </c>
      <c r="AC1274">
        <v>6.17</v>
      </c>
      <c r="AD1274" t="s">
        <v>8161</v>
      </c>
      <c r="AE1274" t="s">
        <v>8162</v>
      </c>
      <c r="AF1274" t="s">
        <v>8163</v>
      </c>
      <c r="AG1274" t="s">
        <v>8164</v>
      </c>
      <c r="AH1274">
        <v>-4.66</v>
      </c>
      <c r="AI1274">
        <v>1.86</v>
      </c>
      <c r="AJ1274">
        <v>46.35</v>
      </c>
      <c r="AK1274">
        <v>130.69</v>
      </c>
      <c r="AL1274">
        <v>1</v>
      </c>
      <c r="AM1274">
        <v>1.01</v>
      </c>
      <c r="AN1274">
        <v>106.57</v>
      </c>
      <c r="AO1274">
        <v>4</v>
      </c>
      <c r="AP1274">
        <v>106.57</v>
      </c>
    </row>
    <row r="1275" spans="1:42">
      <c r="A1275">
        <v>1274</v>
      </c>
      <c r="B1275" t="str">
        <f>"603863"</f>
        <v>603863</v>
      </c>
      <c r="C1275" t="s">
        <v>8165</v>
      </c>
      <c r="D1275">
        <v>42.66</v>
      </c>
      <c r="E1275">
        <v>-0.91</v>
      </c>
      <c r="F1275">
        <v>-0.39</v>
      </c>
      <c r="G1275" t="s">
        <v>8166</v>
      </c>
      <c r="H1275">
        <v>880</v>
      </c>
      <c r="I1275">
        <v>42.65</v>
      </c>
      <c r="J1275">
        <v>42.66</v>
      </c>
      <c r="K1275" t="s">
        <v>6883</v>
      </c>
      <c r="L1275">
        <v>1.87</v>
      </c>
      <c r="M1275" t="s">
        <v>46</v>
      </c>
      <c r="N1275" t="s">
        <v>8167</v>
      </c>
      <c r="O1275">
        <v>43.29</v>
      </c>
      <c r="P1275">
        <v>42.26</v>
      </c>
      <c r="Q1275">
        <v>43.01</v>
      </c>
      <c r="R1275">
        <v>43.05</v>
      </c>
      <c r="S1275">
        <v>2.39</v>
      </c>
      <c r="T1275">
        <v>0.48</v>
      </c>
      <c r="U1275">
        <v>-21.2</v>
      </c>
      <c r="V1275">
        <v>-106</v>
      </c>
      <c r="W1275">
        <v>42.66</v>
      </c>
      <c r="X1275" t="s">
        <v>4509</v>
      </c>
      <c r="Y1275" t="s">
        <v>4977</v>
      </c>
      <c r="Z1275">
        <v>1.41</v>
      </c>
      <c r="AA1275">
        <v>15</v>
      </c>
      <c r="AB1275">
        <v>55</v>
      </c>
      <c r="AC1275">
        <v>12.07</v>
      </c>
      <c r="AD1275" t="s">
        <v>6351</v>
      </c>
      <c r="AE1275" t="s">
        <v>8168</v>
      </c>
      <c r="AF1275" t="s">
        <v>6351</v>
      </c>
      <c r="AG1275" t="s">
        <v>8168</v>
      </c>
      <c r="AH1275">
        <v>0.49</v>
      </c>
      <c r="AI1275">
        <v>12</v>
      </c>
      <c r="AJ1275">
        <v>8.26</v>
      </c>
      <c r="AK1275">
        <v>21.21</v>
      </c>
      <c r="AL1275">
        <v>-1</v>
      </c>
      <c r="AM1275">
        <v>-0.91</v>
      </c>
      <c r="AN1275">
        <v>231.98</v>
      </c>
      <c r="AO1275">
        <v>13.76</v>
      </c>
      <c r="AP1275">
        <v>242.93</v>
      </c>
    </row>
    <row r="1276" spans="1:42">
      <c r="A1276">
        <v>1275</v>
      </c>
      <c r="B1276" t="str">
        <f>"300264"</f>
        <v>300264</v>
      </c>
      <c r="C1276" t="s">
        <v>8169</v>
      </c>
      <c r="D1276">
        <v>6.94</v>
      </c>
      <c r="E1276">
        <v>4.2</v>
      </c>
      <c r="F1276">
        <v>0.28</v>
      </c>
      <c r="G1276" t="s">
        <v>3598</v>
      </c>
      <c r="H1276">
        <v>4274</v>
      </c>
      <c r="I1276">
        <v>6.93</v>
      </c>
      <c r="J1276">
        <v>6.94</v>
      </c>
      <c r="K1276" t="s">
        <v>6883</v>
      </c>
      <c r="L1276">
        <v>6.45</v>
      </c>
      <c r="M1276" t="s">
        <v>46</v>
      </c>
      <c r="N1276" t="s">
        <v>8170</v>
      </c>
      <c r="O1276">
        <v>7</v>
      </c>
      <c r="P1276">
        <v>6.66</v>
      </c>
      <c r="Q1276">
        <v>6.66</v>
      </c>
      <c r="R1276">
        <v>6.66</v>
      </c>
      <c r="S1276">
        <v>5.11</v>
      </c>
      <c r="T1276">
        <v>0.71</v>
      </c>
      <c r="U1276">
        <v>-60.7</v>
      </c>
      <c r="V1276">
        <v>-5446</v>
      </c>
      <c r="W1276">
        <v>6.86</v>
      </c>
      <c r="X1276" t="s">
        <v>3777</v>
      </c>
      <c r="Y1276" t="s">
        <v>1493</v>
      </c>
      <c r="Z1276">
        <v>0.62</v>
      </c>
      <c r="AA1276">
        <v>312</v>
      </c>
      <c r="AB1276">
        <v>132</v>
      </c>
      <c r="AC1276">
        <v>25.4</v>
      </c>
      <c r="AD1276" t="s">
        <v>8171</v>
      </c>
      <c r="AE1276" t="s">
        <v>8172</v>
      </c>
      <c r="AF1276" t="s">
        <v>8173</v>
      </c>
      <c r="AG1276" t="s">
        <v>8174</v>
      </c>
      <c r="AH1276">
        <v>-3.07</v>
      </c>
      <c r="AI1276">
        <v>-2.8</v>
      </c>
      <c r="AJ1276">
        <v>20.14</v>
      </c>
      <c r="AK1276">
        <v>51.85</v>
      </c>
      <c r="AL1276">
        <v>1</v>
      </c>
      <c r="AM1276">
        <v>4.2</v>
      </c>
      <c r="AN1276">
        <v>15.09</v>
      </c>
      <c r="AO1276">
        <v>6.61</v>
      </c>
      <c r="AP1276">
        <v>2.97</v>
      </c>
    </row>
    <row r="1277" spans="1:42">
      <c r="A1277">
        <v>1276</v>
      </c>
      <c r="B1277" t="str">
        <f>"600405"</f>
        <v>600405</v>
      </c>
      <c r="C1277" t="s">
        <v>8175</v>
      </c>
      <c r="D1277">
        <v>5.68</v>
      </c>
      <c r="E1277">
        <v>-1.39</v>
      </c>
      <c r="F1277">
        <v>-0.08</v>
      </c>
      <c r="G1277" t="s">
        <v>711</v>
      </c>
      <c r="H1277">
        <v>4682</v>
      </c>
      <c r="I1277">
        <v>5.67</v>
      </c>
      <c r="J1277">
        <v>5.68</v>
      </c>
      <c r="K1277" t="s">
        <v>6883</v>
      </c>
      <c r="L1277">
        <v>5.17</v>
      </c>
      <c r="M1277" t="s">
        <v>46</v>
      </c>
      <c r="N1277" t="s">
        <v>8176</v>
      </c>
      <c r="O1277">
        <v>5.79</v>
      </c>
      <c r="P1277">
        <v>5.61</v>
      </c>
      <c r="Q1277">
        <v>5.76</v>
      </c>
      <c r="R1277">
        <v>5.76</v>
      </c>
      <c r="S1277">
        <v>3.12</v>
      </c>
      <c r="T1277">
        <v>1.06</v>
      </c>
      <c r="U1277">
        <v>2.68</v>
      </c>
      <c r="V1277">
        <v>366</v>
      </c>
      <c r="W1277">
        <v>5.68</v>
      </c>
      <c r="X1277" t="s">
        <v>1439</v>
      </c>
      <c r="Y1277" t="s">
        <v>1908</v>
      </c>
      <c r="Z1277">
        <v>1.41</v>
      </c>
      <c r="AA1277">
        <v>876</v>
      </c>
      <c r="AB1277">
        <v>2334</v>
      </c>
      <c r="AC1277">
        <v>4.02</v>
      </c>
      <c r="AD1277" t="s">
        <v>5834</v>
      </c>
      <c r="AE1277" t="s">
        <v>8177</v>
      </c>
      <c r="AF1277" t="s">
        <v>5834</v>
      </c>
      <c r="AG1277" t="s">
        <v>8177</v>
      </c>
      <c r="AH1277">
        <v>0</v>
      </c>
      <c r="AI1277">
        <v>1.97</v>
      </c>
      <c r="AJ1277">
        <v>25.74</v>
      </c>
      <c r="AK1277">
        <v>29.61</v>
      </c>
      <c r="AL1277">
        <v>-2</v>
      </c>
      <c r="AM1277">
        <v>-1.39</v>
      </c>
      <c r="AN1277">
        <v>-1.56</v>
      </c>
      <c r="AO1277">
        <v>6.57</v>
      </c>
      <c r="AP1277">
        <v>-6.43</v>
      </c>
    </row>
    <row r="1278" spans="1:42">
      <c r="A1278">
        <v>1277</v>
      </c>
      <c r="B1278" t="str">
        <f>"002179"</f>
        <v>002179</v>
      </c>
      <c r="C1278" t="s">
        <v>8178</v>
      </c>
      <c r="D1278">
        <v>39.62</v>
      </c>
      <c r="E1278">
        <v>-0.23</v>
      </c>
      <c r="F1278">
        <v>-0.09</v>
      </c>
      <c r="G1278" t="s">
        <v>6256</v>
      </c>
      <c r="H1278">
        <v>365</v>
      </c>
      <c r="I1278">
        <v>39.61</v>
      </c>
      <c r="J1278">
        <v>39.62</v>
      </c>
      <c r="K1278" t="s">
        <v>6883</v>
      </c>
      <c r="L1278">
        <v>0.2</v>
      </c>
      <c r="M1278" t="s">
        <v>46</v>
      </c>
      <c r="N1278" t="s">
        <v>8179</v>
      </c>
      <c r="O1278">
        <v>39.82</v>
      </c>
      <c r="P1278">
        <v>39.25</v>
      </c>
      <c r="Q1278">
        <v>39.61</v>
      </c>
      <c r="R1278">
        <v>39.71</v>
      </c>
      <c r="S1278">
        <v>1.44</v>
      </c>
      <c r="T1278">
        <v>0.95</v>
      </c>
      <c r="U1278">
        <v>17.04</v>
      </c>
      <c r="V1278">
        <v>106</v>
      </c>
      <c r="W1278">
        <v>39.49</v>
      </c>
      <c r="X1278" t="s">
        <v>2877</v>
      </c>
      <c r="Y1278" t="s">
        <v>2716</v>
      </c>
      <c r="Z1278">
        <v>0.92</v>
      </c>
      <c r="AA1278">
        <v>132</v>
      </c>
      <c r="AB1278">
        <v>11</v>
      </c>
      <c r="AC1278">
        <v>4.22</v>
      </c>
      <c r="AD1278" t="s">
        <v>8180</v>
      </c>
      <c r="AE1278" t="s">
        <v>8181</v>
      </c>
      <c r="AF1278" t="s">
        <v>280</v>
      </c>
      <c r="AG1278" t="s">
        <v>8182</v>
      </c>
      <c r="AH1278">
        <v>-0.78</v>
      </c>
      <c r="AI1278">
        <v>-1.98</v>
      </c>
      <c r="AJ1278">
        <v>0.62</v>
      </c>
      <c r="AK1278">
        <v>1.26</v>
      </c>
      <c r="AL1278">
        <v>-1</v>
      </c>
      <c r="AM1278">
        <v>-0.23</v>
      </c>
      <c r="AN1278">
        <v>-9.98</v>
      </c>
      <c r="AO1278">
        <v>0.71</v>
      </c>
      <c r="AP1278">
        <v>-15.11</v>
      </c>
    </row>
    <row r="1279" spans="1:42">
      <c r="A1279">
        <v>1278</v>
      </c>
      <c r="B1279" t="str">
        <f>"601872"</f>
        <v>601872</v>
      </c>
      <c r="C1279" t="s">
        <v>8183</v>
      </c>
      <c r="D1279">
        <v>5.99</v>
      </c>
      <c r="E1279">
        <v>-0.33</v>
      </c>
      <c r="F1279">
        <v>-0.02</v>
      </c>
      <c r="G1279" t="s">
        <v>1293</v>
      </c>
      <c r="H1279">
        <v>2983</v>
      </c>
      <c r="I1279">
        <v>5.99</v>
      </c>
      <c r="J1279">
        <v>6</v>
      </c>
      <c r="K1279" t="s">
        <v>8184</v>
      </c>
      <c r="L1279">
        <v>0.33</v>
      </c>
      <c r="M1279" t="s">
        <v>46</v>
      </c>
      <c r="N1279" t="s">
        <v>3364</v>
      </c>
      <c r="O1279">
        <v>6.07</v>
      </c>
      <c r="P1279">
        <v>5.93</v>
      </c>
      <c r="Q1279">
        <v>6.03</v>
      </c>
      <c r="R1279">
        <v>6.01</v>
      </c>
      <c r="S1279">
        <v>2.33</v>
      </c>
      <c r="T1279">
        <v>0.9</v>
      </c>
      <c r="U1279">
        <v>-10.28</v>
      </c>
      <c r="V1279">
        <v>-2573</v>
      </c>
      <c r="W1279">
        <v>5.99</v>
      </c>
      <c r="X1279" t="s">
        <v>2291</v>
      </c>
      <c r="Y1279" t="s">
        <v>1807</v>
      </c>
      <c r="Z1279">
        <v>1.31</v>
      </c>
      <c r="AA1279">
        <v>3047</v>
      </c>
      <c r="AB1279">
        <v>1104</v>
      </c>
      <c r="AC1279">
        <v>1.34</v>
      </c>
      <c r="AD1279" t="s">
        <v>8185</v>
      </c>
      <c r="AE1279" t="s">
        <v>8186</v>
      </c>
      <c r="AF1279" t="s">
        <v>8185</v>
      </c>
      <c r="AG1279" t="s">
        <v>8186</v>
      </c>
      <c r="AH1279">
        <v>-0.5</v>
      </c>
      <c r="AI1279">
        <v>-0.17</v>
      </c>
      <c r="AJ1279">
        <v>1.21</v>
      </c>
      <c r="AK1279">
        <v>2.18</v>
      </c>
      <c r="AL1279">
        <v>-1</v>
      </c>
      <c r="AM1279">
        <v>-0.33</v>
      </c>
      <c r="AN1279">
        <v>10.93</v>
      </c>
      <c r="AO1279">
        <v>-9.1</v>
      </c>
      <c r="AP1279">
        <v>-16.92</v>
      </c>
    </row>
    <row r="1280" spans="1:42">
      <c r="A1280">
        <v>1279</v>
      </c>
      <c r="B1280" t="str">
        <f>"601100"</f>
        <v>601100</v>
      </c>
      <c r="C1280" t="s">
        <v>8187</v>
      </c>
      <c r="D1280">
        <v>55.63</v>
      </c>
      <c r="E1280">
        <v>-1.19</v>
      </c>
      <c r="F1280">
        <v>-0.67</v>
      </c>
      <c r="G1280" t="s">
        <v>6395</v>
      </c>
      <c r="H1280">
        <v>357</v>
      </c>
      <c r="I1280">
        <v>55.63</v>
      </c>
      <c r="J1280">
        <v>55.7</v>
      </c>
      <c r="K1280" t="s">
        <v>8184</v>
      </c>
      <c r="L1280">
        <v>0.22</v>
      </c>
      <c r="M1280" t="s">
        <v>46</v>
      </c>
      <c r="N1280" t="s">
        <v>8188</v>
      </c>
      <c r="O1280">
        <v>56.41</v>
      </c>
      <c r="P1280">
        <v>55.25</v>
      </c>
      <c r="Q1280">
        <v>56.41</v>
      </c>
      <c r="R1280">
        <v>56.3</v>
      </c>
      <c r="S1280">
        <v>2.06</v>
      </c>
      <c r="T1280">
        <v>1.25</v>
      </c>
      <c r="U1280">
        <v>61.56</v>
      </c>
      <c r="V1280">
        <v>51</v>
      </c>
      <c r="W1280">
        <v>55.61</v>
      </c>
      <c r="X1280" t="s">
        <v>7487</v>
      </c>
      <c r="Y1280" t="s">
        <v>1170</v>
      </c>
      <c r="Z1280">
        <v>1.23</v>
      </c>
      <c r="AA1280">
        <v>2</v>
      </c>
      <c r="AB1280">
        <v>1</v>
      </c>
      <c r="AC1280">
        <v>5.48</v>
      </c>
      <c r="AD1280" t="s">
        <v>8189</v>
      </c>
      <c r="AE1280" t="s">
        <v>8190</v>
      </c>
      <c r="AF1280" t="s">
        <v>8189</v>
      </c>
      <c r="AG1280" t="s">
        <v>8190</v>
      </c>
      <c r="AH1280">
        <v>-1.01</v>
      </c>
      <c r="AI1280">
        <v>-2.91</v>
      </c>
      <c r="AJ1280">
        <v>0.52</v>
      </c>
      <c r="AK1280">
        <v>1.09</v>
      </c>
      <c r="AL1280">
        <v>-1</v>
      </c>
      <c r="AM1280">
        <v>-1.19</v>
      </c>
      <c r="AN1280">
        <v>-11.03</v>
      </c>
      <c r="AO1280">
        <v>-2.51</v>
      </c>
      <c r="AP1280">
        <v>-13.39</v>
      </c>
    </row>
    <row r="1281" spans="1:42">
      <c r="A1281">
        <v>1280</v>
      </c>
      <c r="B1281" t="str">
        <f>"002837"</f>
        <v>002837</v>
      </c>
      <c r="C1281" t="s">
        <v>8191</v>
      </c>
      <c r="D1281">
        <v>27.3</v>
      </c>
      <c r="E1281">
        <v>-0.66</v>
      </c>
      <c r="F1281">
        <v>-0.18</v>
      </c>
      <c r="G1281" t="s">
        <v>8192</v>
      </c>
      <c r="H1281">
        <v>540</v>
      </c>
      <c r="I1281">
        <v>27.29</v>
      </c>
      <c r="J1281">
        <v>27.3</v>
      </c>
      <c r="K1281" t="s">
        <v>8184</v>
      </c>
      <c r="L1281">
        <v>1.24</v>
      </c>
      <c r="M1281" t="s">
        <v>46</v>
      </c>
      <c r="N1281" t="s">
        <v>2474</v>
      </c>
      <c r="O1281">
        <v>27.33</v>
      </c>
      <c r="P1281">
        <v>26.72</v>
      </c>
      <c r="Q1281">
        <v>27.31</v>
      </c>
      <c r="R1281">
        <v>27.48</v>
      </c>
      <c r="S1281">
        <v>2.22</v>
      </c>
      <c r="T1281">
        <v>0.72</v>
      </c>
      <c r="U1281">
        <v>-51.77</v>
      </c>
      <c r="V1281">
        <v>-696</v>
      </c>
      <c r="W1281">
        <v>27.05</v>
      </c>
      <c r="X1281" t="s">
        <v>1312</v>
      </c>
      <c r="Y1281" t="s">
        <v>1335</v>
      </c>
      <c r="Z1281">
        <v>1.63</v>
      </c>
      <c r="AA1281">
        <v>1</v>
      </c>
      <c r="AB1281">
        <v>546</v>
      </c>
      <c r="AC1281">
        <v>6.66</v>
      </c>
      <c r="AD1281" t="s">
        <v>2624</v>
      </c>
      <c r="AE1281" t="s">
        <v>8193</v>
      </c>
      <c r="AF1281" t="s">
        <v>8194</v>
      </c>
      <c r="AG1281" t="s">
        <v>8195</v>
      </c>
      <c r="AH1281">
        <v>2.67</v>
      </c>
      <c r="AI1281">
        <v>-1.02</v>
      </c>
      <c r="AJ1281">
        <v>6.38</v>
      </c>
      <c r="AK1281">
        <v>9.84</v>
      </c>
      <c r="AL1281">
        <v>-1</v>
      </c>
      <c r="AM1281">
        <v>-0.66</v>
      </c>
      <c r="AN1281">
        <v>7.14</v>
      </c>
      <c r="AO1281">
        <v>8.55</v>
      </c>
      <c r="AP1281">
        <v>10.53</v>
      </c>
    </row>
    <row r="1282" spans="1:42">
      <c r="A1282">
        <v>1281</v>
      </c>
      <c r="B1282" t="str">
        <f>"688390"</f>
        <v>688390</v>
      </c>
      <c r="C1282" t="s">
        <v>8196</v>
      </c>
      <c r="D1282">
        <v>107.31</v>
      </c>
      <c r="E1282">
        <v>-0.47</v>
      </c>
      <c r="F1282">
        <v>-0.51</v>
      </c>
      <c r="G1282" t="s">
        <v>2371</v>
      </c>
      <c r="H1282">
        <v>192</v>
      </c>
      <c r="I1282">
        <v>107.3</v>
      </c>
      <c r="J1282">
        <v>107.31</v>
      </c>
      <c r="K1282" t="s">
        <v>8184</v>
      </c>
      <c r="L1282">
        <v>0.88</v>
      </c>
      <c r="M1282" t="s">
        <v>46</v>
      </c>
      <c r="N1282" t="s">
        <v>2620</v>
      </c>
      <c r="O1282">
        <v>107.9</v>
      </c>
      <c r="P1282">
        <v>106</v>
      </c>
      <c r="Q1282">
        <v>107.29</v>
      </c>
      <c r="R1282">
        <v>107.82</v>
      </c>
      <c r="S1282">
        <v>1.76</v>
      </c>
      <c r="T1282">
        <v>0.74</v>
      </c>
      <c r="U1282">
        <v>68.02</v>
      </c>
      <c r="V1282">
        <v>119</v>
      </c>
      <c r="W1282">
        <v>106.99</v>
      </c>
      <c r="X1282">
        <v>8601</v>
      </c>
      <c r="Y1282">
        <v>6530</v>
      </c>
      <c r="Z1282">
        <v>1.32</v>
      </c>
      <c r="AA1282">
        <v>68</v>
      </c>
      <c r="AB1282">
        <v>1</v>
      </c>
      <c r="AC1282">
        <v>6.17</v>
      </c>
      <c r="AD1282" t="s">
        <v>8116</v>
      </c>
      <c r="AE1282" t="s">
        <v>8197</v>
      </c>
      <c r="AF1282" t="s">
        <v>8116</v>
      </c>
      <c r="AG1282" t="s">
        <v>8197</v>
      </c>
      <c r="AH1282">
        <v>-0.06</v>
      </c>
      <c r="AI1282">
        <v>-4.34</v>
      </c>
      <c r="AJ1282">
        <v>3.17</v>
      </c>
      <c r="AK1282">
        <v>6.82</v>
      </c>
      <c r="AL1282">
        <v>-1</v>
      </c>
      <c r="AM1282">
        <v>-0.47</v>
      </c>
      <c r="AN1282">
        <v>-53.27</v>
      </c>
      <c r="AO1282">
        <v>-5.79</v>
      </c>
      <c r="AP1282">
        <v>-51.83</v>
      </c>
    </row>
    <row r="1283" spans="1:42">
      <c r="A1283">
        <v>1282</v>
      </c>
      <c r="B1283" t="str">
        <f>"300820"</f>
        <v>300820</v>
      </c>
      <c r="C1283" t="s">
        <v>8198</v>
      </c>
      <c r="D1283">
        <v>60.42</v>
      </c>
      <c r="E1283">
        <v>0.99</v>
      </c>
      <c r="F1283">
        <v>0.59</v>
      </c>
      <c r="G1283" t="s">
        <v>3456</v>
      </c>
      <c r="H1283">
        <v>632</v>
      </c>
      <c r="I1283">
        <v>60.42</v>
      </c>
      <c r="J1283">
        <v>60.52</v>
      </c>
      <c r="K1283" t="s">
        <v>8184</v>
      </c>
      <c r="L1283">
        <v>2.56</v>
      </c>
      <c r="M1283" t="s">
        <v>46</v>
      </c>
      <c r="N1283" t="s">
        <v>1778</v>
      </c>
      <c r="O1283">
        <v>60.98</v>
      </c>
      <c r="P1283">
        <v>58.81</v>
      </c>
      <c r="Q1283">
        <v>60.31</v>
      </c>
      <c r="R1283">
        <v>59.83</v>
      </c>
      <c r="S1283">
        <v>3.63</v>
      </c>
      <c r="T1283">
        <v>0.48</v>
      </c>
      <c r="U1283">
        <v>29.9</v>
      </c>
      <c r="V1283">
        <v>32</v>
      </c>
      <c r="W1283">
        <v>60.03</v>
      </c>
      <c r="X1283" t="s">
        <v>6867</v>
      </c>
      <c r="Y1283" t="s">
        <v>682</v>
      </c>
      <c r="Z1283">
        <v>1.14</v>
      </c>
      <c r="AA1283">
        <v>5</v>
      </c>
      <c r="AB1283">
        <v>4</v>
      </c>
      <c r="AC1283">
        <v>6.73</v>
      </c>
      <c r="AD1283" t="s">
        <v>8199</v>
      </c>
      <c r="AE1283" t="s">
        <v>8200</v>
      </c>
      <c r="AF1283" t="s">
        <v>8201</v>
      </c>
      <c r="AG1283" t="s">
        <v>8202</v>
      </c>
      <c r="AH1283">
        <v>-2.63</v>
      </c>
      <c r="AI1283">
        <v>0.03</v>
      </c>
      <c r="AJ1283">
        <v>12.37</v>
      </c>
      <c r="AK1283">
        <v>29.39</v>
      </c>
      <c r="AL1283">
        <v>1</v>
      </c>
      <c r="AM1283">
        <v>0.99</v>
      </c>
      <c r="AN1283">
        <v>24.19</v>
      </c>
      <c r="AO1283">
        <v>22.38</v>
      </c>
      <c r="AP1283">
        <v>-1.92</v>
      </c>
    </row>
    <row r="1284" spans="1:42">
      <c r="A1284">
        <v>1283</v>
      </c>
      <c r="B1284" t="str">
        <f>"300369"</f>
        <v>300369</v>
      </c>
      <c r="C1284" t="s">
        <v>8203</v>
      </c>
      <c r="D1284">
        <v>10.02</v>
      </c>
      <c r="E1284">
        <v>3.73</v>
      </c>
      <c r="F1284">
        <v>0.36</v>
      </c>
      <c r="G1284" t="s">
        <v>3143</v>
      </c>
      <c r="H1284">
        <v>2622</v>
      </c>
      <c r="I1284">
        <v>10.01</v>
      </c>
      <c r="J1284">
        <v>10.02</v>
      </c>
      <c r="K1284" t="s">
        <v>4700</v>
      </c>
      <c r="L1284">
        <v>2.21</v>
      </c>
      <c r="M1284" t="s">
        <v>46</v>
      </c>
      <c r="N1284" t="s">
        <v>654</v>
      </c>
      <c r="O1284">
        <v>10.08</v>
      </c>
      <c r="P1284">
        <v>9.62</v>
      </c>
      <c r="Q1284">
        <v>9.65</v>
      </c>
      <c r="R1284">
        <v>9.66</v>
      </c>
      <c r="S1284">
        <v>4.76</v>
      </c>
      <c r="T1284">
        <v>1.28</v>
      </c>
      <c r="U1284">
        <v>-17.94</v>
      </c>
      <c r="V1284">
        <v>-1336</v>
      </c>
      <c r="W1284">
        <v>9.88</v>
      </c>
      <c r="X1284" t="s">
        <v>3030</v>
      </c>
      <c r="Y1284" t="s">
        <v>740</v>
      </c>
      <c r="Z1284">
        <v>0.56</v>
      </c>
      <c r="AA1284">
        <v>215</v>
      </c>
      <c r="AB1284">
        <v>52</v>
      </c>
      <c r="AC1284">
        <v>2.52</v>
      </c>
      <c r="AD1284" t="s">
        <v>8204</v>
      </c>
      <c r="AE1284" t="s">
        <v>991</v>
      </c>
      <c r="AF1284" t="s">
        <v>8205</v>
      </c>
      <c r="AG1284" t="s">
        <v>8206</v>
      </c>
      <c r="AH1284">
        <v>1.42</v>
      </c>
      <c r="AI1284">
        <v>-1.47</v>
      </c>
      <c r="AJ1284">
        <v>5.63</v>
      </c>
      <c r="AK1284">
        <v>10.83</v>
      </c>
      <c r="AL1284">
        <v>1</v>
      </c>
      <c r="AM1284">
        <v>3.73</v>
      </c>
      <c r="AN1284">
        <v>-1.76</v>
      </c>
      <c r="AO1284">
        <v>7.51</v>
      </c>
      <c r="AP1284">
        <v>-12.64</v>
      </c>
    </row>
    <row r="1285" spans="1:42">
      <c r="A1285">
        <v>1284</v>
      </c>
      <c r="B1285" t="str">
        <f>"600239"</f>
        <v>600239</v>
      </c>
      <c r="C1285" t="s">
        <v>8207</v>
      </c>
      <c r="D1285">
        <v>2.85</v>
      </c>
      <c r="E1285">
        <v>1.42</v>
      </c>
      <c r="F1285">
        <v>0.04</v>
      </c>
      <c r="G1285" t="s">
        <v>2820</v>
      </c>
      <c r="H1285">
        <v>4051</v>
      </c>
      <c r="I1285">
        <v>2.84</v>
      </c>
      <c r="J1285">
        <v>2.85</v>
      </c>
      <c r="K1285" t="s">
        <v>4700</v>
      </c>
      <c r="L1285">
        <v>3.52</v>
      </c>
      <c r="M1285" t="s">
        <v>46</v>
      </c>
      <c r="N1285" t="s">
        <v>1190</v>
      </c>
      <c r="O1285">
        <v>2.89</v>
      </c>
      <c r="P1285">
        <v>2.8</v>
      </c>
      <c r="Q1285">
        <v>2.82</v>
      </c>
      <c r="R1285">
        <v>2.81</v>
      </c>
      <c r="S1285">
        <v>3.2</v>
      </c>
      <c r="T1285">
        <v>0.86</v>
      </c>
      <c r="U1285">
        <v>-0.58</v>
      </c>
      <c r="V1285">
        <v>-388</v>
      </c>
      <c r="W1285">
        <v>2.85</v>
      </c>
      <c r="X1285" t="s">
        <v>1293</v>
      </c>
      <c r="Y1285" t="s">
        <v>4077</v>
      </c>
      <c r="Z1285">
        <v>0.92</v>
      </c>
      <c r="AA1285">
        <v>4562</v>
      </c>
      <c r="AB1285">
        <v>5617</v>
      </c>
      <c r="AC1285">
        <v>2.87</v>
      </c>
      <c r="AD1285" t="s">
        <v>8208</v>
      </c>
      <c r="AE1285" t="s">
        <v>5425</v>
      </c>
      <c r="AF1285" t="s">
        <v>8208</v>
      </c>
      <c r="AG1285" t="s">
        <v>5425</v>
      </c>
      <c r="AH1285">
        <v>0.71</v>
      </c>
      <c r="AI1285">
        <v>-5</v>
      </c>
      <c r="AJ1285">
        <v>9.88</v>
      </c>
      <c r="AK1285">
        <v>24.09</v>
      </c>
      <c r="AL1285">
        <v>2</v>
      </c>
      <c r="AM1285">
        <v>1.42</v>
      </c>
      <c r="AN1285">
        <v>47.67</v>
      </c>
      <c r="AO1285">
        <v>1.42</v>
      </c>
      <c r="AP1285">
        <v>54.89</v>
      </c>
    </row>
    <row r="1286" spans="1:42">
      <c r="A1286">
        <v>1285</v>
      </c>
      <c r="B1286" t="str">
        <f>"300073"</f>
        <v>300073</v>
      </c>
      <c r="C1286" t="s">
        <v>8209</v>
      </c>
      <c r="D1286">
        <v>40.31</v>
      </c>
      <c r="E1286">
        <v>-1.56</v>
      </c>
      <c r="F1286">
        <v>-0.64</v>
      </c>
      <c r="G1286" t="s">
        <v>4941</v>
      </c>
      <c r="H1286">
        <v>577</v>
      </c>
      <c r="I1286">
        <v>40.3</v>
      </c>
      <c r="J1286">
        <v>40.31</v>
      </c>
      <c r="K1286" t="s">
        <v>4700</v>
      </c>
      <c r="L1286">
        <v>0.81</v>
      </c>
      <c r="M1286" t="s">
        <v>46</v>
      </c>
      <c r="N1286" t="s">
        <v>8210</v>
      </c>
      <c r="O1286">
        <v>40.9</v>
      </c>
      <c r="P1286">
        <v>40.17</v>
      </c>
      <c r="Q1286">
        <v>40.69</v>
      </c>
      <c r="R1286">
        <v>40.95</v>
      </c>
      <c r="S1286">
        <v>1.78</v>
      </c>
      <c r="T1286">
        <v>1.14</v>
      </c>
      <c r="U1286">
        <v>10.69</v>
      </c>
      <c r="V1286">
        <v>56</v>
      </c>
      <c r="W1286">
        <v>40.44</v>
      </c>
      <c r="X1286" t="s">
        <v>8211</v>
      </c>
      <c r="Y1286" t="s">
        <v>8212</v>
      </c>
      <c r="Z1286">
        <v>1.54</v>
      </c>
      <c r="AA1286">
        <v>214</v>
      </c>
      <c r="AB1286">
        <v>59</v>
      </c>
      <c r="AC1286">
        <v>1.61</v>
      </c>
      <c r="AD1286" t="s">
        <v>8213</v>
      </c>
      <c r="AE1286" t="s">
        <v>1713</v>
      </c>
      <c r="AF1286" t="s">
        <v>8214</v>
      </c>
      <c r="AG1286" t="s">
        <v>7562</v>
      </c>
      <c r="AH1286">
        <v>-2.87</v>
      </c>
      <c r="AI1286">
        <v>-4.86</v>
      </c>
      <c r="AJ1286">
        <v>2.36</v>
      </c>
      <c r="AK1286">
        <v>4.39</v>
      </c>
      <c r="AL1286">
        <v>-3</v>
      </c>
      <c r="AM1286">
        <v>-1.56</v>
      </c>
      <c r="AN1286">
        <v>-27.67</v>
      </c>
      <c r="AO1286">
        <v>-6.06</v>
      </c>
      <c r="AP1286">
        <v>-31.75</v>
      </c>
    </row>
    <row r="1287" spans="1:42">
      <c r="A1287">
        <v>1286</v>
      </c>
      <c r="B1287" t="str">
        <f>"600892"</f>
        <v>600892</v>
      </c>
      <c r="C1287" t="s">
        <v>8215</v>
      </c>
      <c r="D1287">
        <v>5.94</v>
      </c>
      <c r="E1287">
        <v>5.13</v>
      </c>
      <c r="F1287">
        <v>0.29</v>
      </c>
      <c r="G1287" t="s">
        <v>8216</v>
      </c>
      <c r="H1287">
        <v>2566</v>
      </c>
      <c r="I1287">
        <v>5.93</v>
      </c>
      <c r="J1287">
        <v>5.94</v>
      </c>
      <c r="K1287" t="s">
        <v>4700</v>
      </c>
      <c r="L1287">
        <v>4.89</v>
      </c>
      <c r="M1287" t="s">
        <v>46</v>
      </c>
      <c r="N1287" t="s">
        <v>3234</v>
      </c>
      <c r="O1287">
        <v>5.97</v>
      </c>
      <c r="P1287">
        <v>5.61</v>
      </c>
      <c r="Q1287">
        <v>5.62</v>
      </c>
      <c r="R1287">
        <v>5.65</v>
      </c>
      <c r="S1287">
        <v>6.37</v>
      </c>
      <c r="T1287">
        <v>2.31</v>
      </c>
      <c r="U1287">
        <v>-32.63</v>
      </c>
      <c r="V1287">
        <v>-5047</v>
      </c>
      <c r="W1287">
        <v>5.87</v>
      </c>
      <c r="X1287" t="s">
        <v>3971</v>
      </c>
      <c r="Y1287" t="s">
        <v>2217</v>
      </c>
      <c r="Z1287">
        <v>0.86</v>
      </c>
      <c r="AA1287">
        <v>1059</v>
      </c>
      <c r="AB1287">
        <v>530</v>
      </c>
      <c r="AC1287">
        <v>17.64</v>
      </c>
      <c r="AD1287" t="s">
        <v>8217</v>
      </c>
      <c r="AE1287" t="s">
        <v>8218</v>
      </c>
      <c r="AF1287" t="s">
        <v>7795</v>
      </c>
      <c r="AG1287" t="s">
        <v>4316</v>
      </c>
      <c r="AH1287">
        <v>6.64</v>
      </c>
      <c r="AI1287">
        <v>1.89</v>
      </c>
      <c r="AJ1287">
        <v>8.13</v>
      </c>
      <c r="AK1287">
        <v>15.47</v>
      </c>
      <c r="AL1287">
        <v>3</v>
      </c>
      <c r="AM1287">
        <v>5.13</v>
      </c>
      <c r="AN1287">
        <v>12.5</v>
      </c>
      <c r="AO1287">
        <v>10.82</v>
      </c>
      <c r="AP1287">
        <v>13.14</v>
      </c>
    </row>
    <row r="1288" spans="1:42">
      <c r="A1288">
        <v>1287</v>
      </c>
      <c r="B1288" t="str">
        <f>"600325"</f>
        <v>600325</v>
      </c>
      <c r="C1288" t="s">
        <v>8219</v>
      </c>
      <c r="D1288">
        <v>7.45</v>
      </c>
      <c r="E1288">
        <v>-0.53</v>
      </c>
      <c r="F1288">
        <v>-0.04</v>
      </c>
      <c r="G1288" t="s">
        <v>1786</v>
      </c>
      <c r="H1288">
        <v>1319</v>
      </c>
      <c r="I1288">
        <v>7.45</v>
      </c>
      <c r="J1288">
        <v>7.46</v>
      </c>
      <c r="K1288" t="s">
        <v>8220</v>
      </c>
      <c r="L1288">
        <v>1.02</v>
      </c>
      <c r="M1288" t="s">
        <v>46</v>
      </c>
      <c r="N1288" t="s">
        <v>8221</v>
      </c>
      <c r="O1288">
        <v>7.52</v>
      </c>
      <c r="P1288">
        <v>7.37</v>
      </c>
      <c r="Q1288">
        <v>7.5</v>
      </c>
      <c r="R1288">
        <v>7.49</v>
      </c>
      <c r="S1288">
        <v>2</v>
      </c>
      <c r="T1288">
        <v>0.77</v>
      </c>
      <c r="U1288">
        <v>-4.92</v>
      </c>
      <c r="V1288">
        <v>-608</v>
      </c>
      <c r="W1288">
        <v>7.43</v>
      </c>
      <c r="X1288" t="s">
        <v>4356</v>
      </c>
      <c r="Y1288" t="s">
        <v>110</v>
      </c>
      <c r="Z1288">
        <v>1.15</v>
      </c>
      <c r="AA1288">
        <v>1748</v>
      </c>
      <c r="AB1288">
        <v>334</v>
      </c>
      <c r="AC1288">
        <v>0.88</v>
      </c>
      <c r="AD1288" t="s">
        <v>4001</v>
      </c>
      <c r="AE1288" t="s">
        <v>8222</v>
      </c>
      <c r="AF1288" t="s">
        <v>8223</v>
      </c>
      <c r="AG1288" t="s">
        <v>8224</v>
      </c>
      <c r="AH1288">
        <v>-5.34</v>
      </c>
      <c r="AI1288">
        <v>-10.89</v>
      </c>
      <c r="AJ1288">
        <v>4.2</v>
      </c>
      <c r="AK1288">
        <v>7.63</v>
      </c>
      <c r="AL1288">
        <v>-1</v>
      </c>
      <c r="AM1288">
        <v>-0.53</v>
      </c>
      <c r="AN1288">
        <v>-14.27</v>
      </c>
      <c r="AO1288">
        <v>-7.34</v>
      </c>
      <c r="AP1288">
        <v>-20.74</v>
      </c>
    </row>
    <row r="1289" spans="1:42">
      <c r="A1289">
        <v>1288</v>
      </c>
      <c r="B1289" t="str">
        <f>"603696"</f>
        <v>603696</v>
      </c>
      <c r="C1289" t="s">
        <v>8225</v>
      </c>
      <c r="D1289">
        <v>10.46</v>
      </c>
      <c r="E1289">
        <v>2.55</v>
      </c>
      <c r="F1289">
        <v>0.26</v>
      </c>
      <c r="G1289" t="s">
        <v>2291</v>
      </c>
      <c r="H1289">
        <v>908</v>
      </c>
      <c r="I1289">
        <v>10.46</v>
      </c>
      <c r="J1289">
        <v>10.47</v>
      </c>
      <c r="K1289" t="s">
        <v>8220</v>
      </c>
      <c r="L1289">
        <v>6.54</v>
      </c>
      <c r="M1289" t="s">
        <v>46</v>
      </c>
      <c r="N1289" t="s">
        <v>2843</v>
      </c>
      <c r="O1289">
        <v>10.6</v>
      </c>
      <c r="P1289">
        <v>10.07</v>
      </c>
      <c r="Q1289">
        <v>10.1</v>
      </c>
      <c r="R1289">
        <v>10.2</v>
      </c>
      <c r="S1289">
        <v>5.2</v>
      </c>
      <c r="T1289">
        <v>2.94</v>
      </c>
      <c r="U1289">
        <v>40.35</v>
      </c>
      <c r="V1289">
        <v>810</v>
      </c>
      <c r="W1289">
        <v>10.42</v>
      </c>
      <c r="X1289" t="s">
        <v>3224</v>
      </c>
      <c r="Y1289" t="s">
        <v>8226</v>
      </c>
      <c r="Z1289">
        <v>0.88</v>
      </c>
      <c r="AA1289">
        <v>733</v>
      </c>
      <c r="AB1289">
        <v>27</v>
      </c>
      <c r="AC1289">
        <v>4.43</v>
      </c>
      <c r="AD1289" t="s">
        <v>8227</v>
      </c>
      <c r="AE1289" t="s">
        <v>8228</v>
      </c>
      <c r="AF1289" t="s">
        <v>8227</v>
      </c>
      <c r="AG1289" t="s">
        <v>8228</v>
      </c>
      <c r="AH1289">
        <v>4.81</v>
      </c>
      <c r="AI1289">
        <v>5.13</v>
      </c>
      <c r="AJ1289">
        <v>13.82</v>
      </c>
      <c r="AK1289">
        <v>17.64</v>
      </c>
      <c r="AL1289">
        <v>4</v>
      </c>
      <c r="AM1289">
        <v>2.55</v>
      </c>
      <c r="AN1289">
        <v>-2.88</v>
      </c>
      <c r="AO1289">
        <v>6.63</v>
      </c>
      <c r="AP1289">
        <v>9.41</v>
      </c>
    </row>
    <row r="1290" spans="1:42">
      <c r="A1290">
        <v>1289</v>
      </c>
      <c r="B1290" t="str">
        <f>"300324"</f>
        <v>300324</v>
      </c>
      <c r="C1290" t="s">
        <v>8229</v>
      </c>
      <c r="D1290">
        <v>3.67</v>
      </c>
      <c r="E1290">
        <v>2.8</v>
      </c>
      <c r="F1290">
        <v>0.1</v>
      </c>
      <c r="G1290" t="s">
        <v>2244</v>
      </c>
      <c r="H1290">
        <v>5604</v>
      </c>
      <c r="I1290">
        <v>3.67</v>
      </c>
      <c r="J1290">
        <v>3.68</v>
      </c>
      <c r="K1290" t="s">
        <v>8220</v>
      </c>
      <c r="L1290">
        <v>2.58</v>
      </c>
      <c r="M1290" t="s">
        <v>46</v>
      </c>
      <c r="N1290" t="s">
        <v>1557</v>
      </c>
      <c r="O1290">
        <v>3.67</v>
      </c>
      <c r="P1290">
        <v>3.56</v>
      </c>
      <c r="Q1290">
        <v>3.58</v>
      </c>
      <c r="R1290">
        <v>3.57</v>
      </c>
      <c r="S1290">
        <v>3.08</v>
      </c>
      <c r="T1290">
        <v>0.95</v>
      </c>
      <c r="U1290">
        <v>-3.5</v>
      </c>
      <c r="V1290">
        <v>-1937</v>
      </c>
      <c r="W1290">
        <v>3.63</v>
      </c>
      <c r="X1290" t="s">
        <v>2778</v>
      </c>
      <c r="Y1290" t="s">
        <v>2901</v>
      </c>
      <c r="Z1290">
        <v>0.6</v>
      </c>
      <c r="AA1290">
        <v>1478</v>
      </c>
      <c r="AB1290" t="s">
        <v>1400</v>
      </c>
      <c r="AC1290">
        <v>1.93</v>
      </c>
      <c r="AD1290" t="s">
        <v>5971</v>
      </c>
      <c r="AE1290" t="s">
        <v>3747</v>
      </c>
      <c r="AF1290" t="s">
        <v>8230</v>
      </c>
      <c r="AG1290" t="s">
        <v>8231</v>
      </c>
      <c r="AH1290">
        <v>-0.54</v>
      </c>
      <c r="AI1290">
        <v>-4.43</v>
      </c>
      <c r="AJ1290">
        <v>7.43</v>
      </c>
      <c r="AK1290">
        <v>16.17</v>
      </c>
      <c r="AL1290">
        <v>1</v>
      </c>
      <c r="AM1290">
        <v>2.8</v>
      </c>
      <c r="AN1290">
        <v>32.97</v>
      </c>
      <c r="AO1290">
        <v>3.38</v>
      </c>
      <c r="AP1290">
        <v>17.25</v>
      </c>
    </row>
    <row r="1291" spans="1:42">
      <c r="A1291">
        <v>1290</v>
      </c>
      <c r="B1291" t="str">
        <f>"301159"</f>
        <v>301159</v>
      </c>
      <c r="C1291" t="s">
        <v>8232</v>
      </c>
      <c r="D1291">
        <v>51.84</v>
      </c>
      <c r="E1291">
        <v>2.55</v>
      </c>
      <c r="F1291">
        <v>1.29</v>
      </c>
      <c r="G1291" t="s">
        <v>4914</v>
      </c>
      <c r="H1291">
        <v>424</v>
      </c>
      <c r="I1291">
        <v>51.84</v>
      </c>
      <c r="J1291">
        <v>51.85</v>
      </c>
      <c r="K1291" t="s">
        <v>8220</v>
      </c>
      <c r="L1291">
        <v>9.49</v>
      </c>
      <c r="M1291" t="s">
        <v>46</v>
      </c>
      <c r="N1291" t="s">
        <v>8233</v>
      </c>
      <c r="O1291">
        <v>52.5</v>
      </c>
      <c r="P1291">
        <v>50.17</v>
      </c>
      <c r="Q1291">
        <v>51</v>
      </c>
      <c r="R1291">
        <v>50.55</v>
      </c>
      <c r="S1291">
        <v>4.61</v>
      </c>
      <c r="T1291">
        <v>0.73</v>
      </c>
      <c r="U1291">
        <v>58.16</v>
      </c>
      <c r="V1291">
        <v>303</v>
      </c>
      <c r="W1291">
        <v>51.58</v>
      </c>
      <c r="X1291" t="s">
        <v>5900</v>
      </c>
      <c r="Y1291" t="s">
        <v>5997</v>
      </c>
      <c r="Z1291">
        <v>0.85</v>
      </c>
      <c r="AA1291">
        <v>140</v>
      </c>
      <c r="AB1291">
        <v>21</v>
      </c>
      <c r="AC1291">
        <v>5.1</v>
      </c>
      <c r="AD1291" t="s">
        <v>8234</v>
      </c>
      <c r="AE1291" t="s">
        <v>8235</v>
      </c>
      <c r="AF1291" t="s">
        <v>8236</v>
      </c>
      <c r="AG1291" t="s">
        <v>8237</v>
      </c>
      <c r="AH1291">
        <v>-2.06</v>
      </c>
      <c r="AI1291">
        <v>-0.23</v>
      </c>
      <c r="AJ1291">
        <v>27.38</v>
      </c>
      <c r="AK1291">
        <v>74.36</v>
      </c>
      <c r="AL1291">
        <v>1</v>
      </c>
      <c r="AM1291">
        <v>2.55</v>
      </c>
      <c r="AN1291">
        <v>98.77</v>
      </c>
      <c r="AO1291">
        <v>21.15</v>
      </c>
      <c r="AP1291">
        <v>62.97</v>
      </c>
    </row>
    <row r="1292" spans="1:42">
      <c r="A1292">
        <v>1291</v>
      </c>
      <c r="B1292" t="str">
        <f>"301231"</f>
        <v>301231</v>
      </c>
      <c r="C1292" t="s">
        <v>8238</v>
      </c>
      <c r="D1292">
        <v>28.5</v>
      </c>
      <c r="E1292">
        <v>5.87</v>
      </c>
      <c r="F1292">
        <v>1.58</v>
      </c>
      <c r="G1292" t="s">
        <v>1503</v>
      </c>
      <c r="H1292">
        <v>1023</v>
      </c>
      <c r="I1292">
        <v>28.5</v>
      </c>
      <c r="J1292">
        <v>28.51</v>
      </c>
      <c r="K1292" t="s">
        <v>8220</v>
      </c>
      <c r="L1292">
        <v>10.56</v>
      </c>
      <c r="M1292" t="s">
        <v>46</v>
      </c>
      <c r="N1292" t="s">
        <v>6710</v>
      </c>
      <c r="O1292">
        <v>28.79</v>
      </c>
      <c r="P1292">
        <v>26.81</v>
      </c>
      <c r="Q1292">
        <v>26.99</v>
      </c>
      <c r="R1292">
        <v>26.92</v>
      </c>
      <c r="S1292">
        <v>7.36</v>
      </c>
      <c r="T1292">
        <v>2</v>
      </c>
      <c r="U1292">
        <v>-2.3</v>
      </c>
      <c r="V1292">
        <v>-20</v>
      </c>
      <c r="W1292">
        <v>28.04</v>
      </c>
      <c r="X1292" t="s">
        <v>377</v>
      </c>
      <c r="Y1292" t="s">
        <v>762</v>
      </c>
      <c r="Z1292">
        <v>0.63</v>
      </c>
      <c r="AA1292">
        <v>163</v>
      </c>
      <c r="AB1292">
        <v>129</v>
      </c>
      <c r="AC1292">
        <v>2.61</v>
      </c>
      <c r="AD1292" t="s">
        <v>8239</v>
      </c>
      <c r="AE1292" t="s">
        <v>8240</v>
      </c>
      <c r="AF1292" t="s">
        <v>8241</v>
      </c>
      <c r="AG1292" t="s">
        <v>3768</v>
      </c>
      <c r="AH1292">
        <v>4.97</v>
      </c>
      <c r="AI1292">
        <v>1.06</v>
      </c>
      <c r="AJ1292">
        <v>19.09</v>
      </c>
      <c r="AK1292">
        <v>36.99</v>
      </c>
      <c r="AL1292">
        <v>2</v>
      </c>
      <c r="AM1292">
        <v>5.87</v>
      </c>
      <c r="AN1292">
        <v>36.89</v>
      </c>
      <c r="AO1292">
        <v>6.03</v>
      </c>
      <c r="AP1292">
        <v>25</v>
      </c>
    </row>
    <row r="1293" spans="1:42">
      <c r="A1293">
        <v>1292</v>
      </c>
      <c r="B1293" t="str">
        <f>"000004"</f>
        <v>000004</v>
      </c>
      <c r="C1293" t="s">
        <v>8242</v>
      </c>
      <c r="D1293">
        <v>17.92</v>
      </c>
      <c r="E1293">
        <v>3.29</v>
      </c>
      <c r="F1293">
        <v>0.57</v>
      </c>
      <c r="G1293" t="s">
        <v>8243</v>
      </c>
      <c r="H1293">
        <v>1079</v>
      </c>
      <c r="I1293">
        <v>17.91</v>
      </c>
      <c r="J1293">
        <v>17.92</v>
      </c>
      <c r="K1293" t="s">
        <v>8220</v>
      </c>
      <c r="L1293">
        <v>7.09</v>
      </c>
      <c r="M1293" t="s">
        <v>46</v>
      </c>
      <c r="N1293" t="s">
        <v>8244</v>
      </c>
      <c r="O1293">
        <v>18.2</v>
      </c>
      <c r="P1293">
        <v>17.41</v>
      </c>
      <c r="Q1293">
        <v>17.48</v>
      </c>
      <c r="R1293">
        <v>17.35</v>
      </c>
      <c r="S1293">
        <v>4.55</v>
      </c>
      <c r="T1293">
        <v>1.25</v>
      </c>
      <c r="U1293">
        <v>27.91</v>
      </c>
      <c r="V1293">
        <v>702</v>
      </c>
      <c r="W1293">
        <v>17.83</v>
      </c>
      <c r="X1293" t="s">
        <v>5767</v>
      </c>
      <c r="Y1293" t="s">
        <v>4928</v>
      </c>
      <c r="Z1293">
        <v>0.87</v>
      </c>
      <c r="AA1293">
        <v>801</v>
      </c>
      <c r="AB1293">
        <v>379</v>
      </c>
      <c r="AC1293">
        <v>7.48</v>
      </c>
      <c r="AD1293" t="s">
        <v>8245</v>
      </c>
      <c r="AE1293" t="s">
        <v>8246</v>
      </c>
      <c r="AF1293" t="s">
        <v>8247</v>
      </c>
      <c r="AG1293" t="s">
        <v>219</v>
      </c>
      <c r="AH1293">
        <v>0.5</v>
      </c>
      <c r="AI1293">
        <v>-4.12</v>
      </c>
      <c r="AJ1293">
        <v>15.82</v>
      </c>
      <c r="AK1293">
        <v>35.51</v>
      </c>
      <c r="AL1293">
        <v>1</v>
      </c>
      <c r="AM1293">
        <v>3.29</v>
      </c>
      <c r="AN1293">
        <v>85.12</v>
      </c>
      <c r="AO1293">
        <v>8.41</v>
      </c>
      <c r="AP1293">
        <v>55.15</v>
      </c>
    </row>
    <row r="1294" spans="1:42">
      <c r="A1294">
        <v>1293</v>
      </c>
      <c r="B1294" t="str">
        <f>"872808"</f>
        <v>872808</v>
      </c>
      <c r="C1294" t="s">
        <v>8248</v>
      </c>
      <c r="D1294">
        <v>40.07</v>
      </c>
      <c r="E1294">
        <v>-3.7</v>
      </c>
      <c r="F1294">
        <v>-1.54</v>
      </c>
      <c r="G1294" t="s">
        <v>4941</v>
      </c>
      <c r="H1294">
        <v>347</v>
      </c>
      <c r="I1294">
        <v>40.05</v>
      </c>
      <c r="J1294">
        <v>40.07</v>
      </c>
      <c r="K1294" t="s">
        <v>8220</v>
      </c>
      <c r="L1294">
        <v>2.06</v>
      </c>
      <c r="M1294" t="s">
        <v>46</v>
      </c>
      <c r="N1294" t="s">
        <v>2768</v>
      </c>
      <c r="O1294">
        <v>42.8</v>
      </c>
      <c r="P1294">
        <v>38.9</v>
      </c>
      <c r="Q1294">
        <v>42.06</v>
      </c>
      <c r="R1294">
        <v>41.61</v>
      </c>
      <c r="S1294">
        <v>9.37</v>
      </c>
      <c r="T1294">
        <v>0.68</v>
      </c>
      <c r="U1294">
        <v>19.11</v>
      </c>
      <c r="V1294">
        <v>97</v>
      </c>
      <c r="W1294">
        <v>40.19</v>
      </c>
      <c r="X1294" t="s">
        <v>4963</v>
      </c>
      <c r="Y1294" t="s">
        <v>432</v>
      </c>
      <c r="Z1294">
        <v>1.21</v>
      </c>
      <c r="AA1294">
        <v>31</v>
      </c>
      <c r="AB1294">
        <v>11</v>
      </c>
      <c r="AC1294">
        <v>13.7</v>
      </c>
      <c r="AD1294" t="s">
        <v>5838</v>
      </c>
      <c r="AE1294" t="s">
        <v>5662</v>
      </c>
      <c r="AF1294" t="s">
        <v>8249</v>
      </c>
      <c r="AG1294" t="s">
        <v>8250</v>
      </c>
      <c r="AH1294">
        <v>-10.78</v>
      </c>
      <c r="AI1294">
        <v>-9.1</v>
      </c>
      <c r="AJ1294">
        <v>6.32</v>
      </c>
      <c r="AK1294">
        <v>17.11</v>
      </c>
      <c r="AL1294">
        <v>-4</v>
      </c>
      <c r="AM1294">
        <v>-3.7</v>
      </c>
      <c r="AN1294">
        <v>266.27</v>
      </c>
      <c r="AO1294">
        <v>23.14</v>
      </c>
      <c r="AP1294">
        <v>242.19</v>
      </c>
    </row>
    <row r="1295" spans="1:42">
      <c r="A1295">
        <v>1294</v>
      </c>
      <c r="B1295" t="str">
        <f>"688118"</f>
        <v>688118</v>
      </c>
      <c r="C1295" t="s">
        <v>8251</v>
      </c>
      <c r="D1295">
        <v>35.45</v>
      </c>
      <c r="E1295">
        <v>3.87</v>
      </c>
      <c r="F1295">
        <v>1.32</v>
      </c>
      <c r="G1295" t="s">
        <v>7035</v>
      </c>
      <c r="H1295">
        <v>437</v>
      </c>
      <c r="I1295">
        <v>35.45</v>
      </c>
      <c r="J1295">
        <v>35.51</v>
      </c>
      <c r="K1295" t="s">
        <v>3811</v>
      </c>
      <c r="L1295">
        <v>4.78</v>
      </c>
      <c r="M1295" t="s">
        <v>46</v>
      </c>
      <c r="N1295" t="s">
        <v>4921</v>
      </c>
      <c r="O1295">
        <v>35.9</v>
      </c>
      <c r="P1295">
        <v>33.81</v>
      </c>
      <c r="Q1295">
        <v>34.4</v>
      </c>
      <c r="R1295">
        <v>34.13</v>
      </c>
      <c r="S1295">
        <v>6.12</v>
      </c>
      <c r="T1295">
        <v>1.15</v>
      </c>
      <c r="U1295">
        <v>87.15</v>
      </c>
      <c r="V1295">
        <v>400</v>
      </c>
      <c r="W1295">
        <v>34.95</v>
      </c>
      <c r="X1295" t="s">
        <v>3327</v>
      </c>
      <c r="Y1295" t="s">
        <v>1710</v>
      </c>
      <c r="Z1295">
        <v>0.98</v>
      </c>
      <c r="AA1295">
        <v>83</v>
      </c>
      <c r="AB1295">
        <v>8</v>
      </c>
      <c r="AC1295">
        <v>4.03</v>
      </c>
      <c r="AD1295" t="s">
        <v>8252</v>
      </c>
      <c r="AE1295" t="s">
        <v>8253</v>
      </c>
      <c r="AF1295" t="s">
        <v>8252</v>
      </c>
      <c r="AG1295" t="s">
        <v>8253</v>
      </c>
      <c r="AH1295">
        <v>2.43</v>
      </c>
      <c r="AI1295">
        <v>-6.59</v>
      </c>
      <c r="AJ1295">
        <v>10.69</v>
      </c>
      <c r="AK1295">
        <v>25.5</v>
      </c>
      <c r="AL1295">
        <v>1</v>
      </c>
      <c r="AM1295">
        <v>3.87</v>
      </c>
      <c r="AN1295">
        <v>100.4</v>
      </c>
      <c r="AO1295">
        <v>26.11</v>
      </c>
      <c r="AP1295">
        <v>77.43</v>
      </c>
    </row>
    <row r="1296" spans="1:42">
      <c r="A1296">
        <v>1295</v>
      </c>
      <c r="B1296" t="str">
        <f>"688648"</f>
        <v>688648</v>
      </c>
      <c r="C1296" t="s">
        <v>8254</v>
      </c>
      <c r="D1296">
        <v>27.89</v>
      </c>
      <c r="E1296">
        <v>4.26</v>
      </c>
      <c r="F1296">
        <v>1.14</v>
      </c>
      <c r="G1296" t="s">
        <v>7787</v>
      </c>
      <c r="H1296">
        <v>701</v>
      </c>
      <c r="I1296">
        <v>27.89</v>
      </c>
      <c r="J1296">
        <v>27.9</v>
      </c>
      <c r="K1296" t="s">
        <v>3811</v>
      </c>
      <c r="L1296">
        <v>20.12</v>
      </c>
      <c r="M1296" t="s">
        <v>46</v>
      </c>
      <c r="N1296" t="s">
        <v>5105</v>
      </c>
      <c r="O1296">
        <v>28.44</v>
      </c>
      <c r="P1296">
        <v>26.52</v>
      </c>
      <c r="Q1296">
        <v>26.76</v>
      </c>
      <c r="R1296">
        <v>26.75</v>
      </c>
      <c r="S1296">
        <v>7.18</v>
      </c>
      <c r="T1296">
        <v>1.33</v>
      </c>
      <c r="U1296">
        <v>-3.93</v>
      </c>
      <c r="V1296">
        <v>-8</v>
      </c>
      <c r="W1296">
        <v>27.52</v>
      </c>
      <c r="X1296" t="s">
        <v>4257</v>
      </c>
      <c r="Y1296" t="s">
        <v>8255</v>
      </c>
      <c r="Z1296">
        <v>0.79</v>
      </c>
      <c r="AA1296">
        <v>9</v>
      </c>
      <c r="AB1296">
        <v>32</v>
      </c>
      <c r="AC1296">
        <v>2.26</v>
      </c>
      <c r="AD1296" t="s">
        <v>8256</v>
      </c>
      <c r="AE1296" t="s">
        <v>8257</v>
      </c>
      <c r="AF1296" t="s">
        <v>8258</v>
      </c>
      <c r="AG1296" t="s">
        <v>8259</v>
      </c>
      <c r="AH1296">
        <v>-2</v>
      </c>
      <c r="AI1296">
        <v>-1.62</v>
      </c>
      <c r="AJ1296">
        <v>47.87</v>
      </c>
      <c r="AK1296">
        <v>95.91</v>
      </c>
      <c r="AL1296">
        <v>1</v>
      </c>
      <c r="AM1296">
        <v>4.26</v>
      </c>
      <c r="AN1296">
        <v>83.73</v>
      </c>
      <c r="AO1296">
        <v>83.73</v>
      </c>
      <c r="AP1296">
        <v>83.73</v>
      </c>
    </row>
    <row r="1297" spans="1:42">
      <c r="A1297">
        <v>1296</v>
      </c>
      <c r="B1297" t="str">
        <f>"002387"</f>
        <v>002387</v>
      </c>
      <c r="C1297" t="s">
        <v>8260</v>
      </c>
      <c r="D1297">
        <v>11.05</v>
      </c>
      <c r="E1297">
        <v>0</v>
      </c>
      <c r="F1297">
        <v>0</v>
      </c>
      <c r="G1297" t="s">
        <v>2081</v>
      </c>
      <c r="H1297">
        <v>1206</v>
      </c>
      <c r="I1297">
        <v>11.04</v>
      </c>
      <c r="J1297">
        <v>11.05</v>
      </c>
      <c r="K1297" t="s">
        <v>3811</v>
      </c>
      <c r="L1297">
        <v>1.04</v>
      </c>
      <c r="M1297" t="s">
        <v>46</v>
      </c>
      <c r="N1297" t="s">
        <v>8261</v>
      </c>
      <c r="O1297">
        <v>11.29</v>
      </c>
      <c r="P1297">
        <v>11</v>
      </c>
      <c r="Q1297">
        <v>11.05</v>
      </c>
      <c r="R1297">
        <v>11.05</v>
      </c>
      <c r="S1297">
        <v>2.62</v>
      </c>
      <c r="T1297">
        <v>0.7</v>
      </c>
      <c r="U1297">
        <v>63.16</v>
      </c>
      <c r="V1297">
        <v>3000</v>
      </c>
      <c r="W1297">
        <v>11.1</v>
      </c>
      <c r="X1297" t="s">
        <v>8262</v>
      </c>
      <c r="Y1297" t="s">
        <v>5815</v>
      </c>
      <c r="Z1297">
        <v>0.97</v>
      </c>
      <c r="AA1297">
        <v>796</v>
      </c>
      <c r="AB1297">
        <v>232</v>
      </c>
      <c r="AC1297">
        <v>1.67</v>
      </c>
      <c r="AD1297" t="s">
        <v>7172</v>
      </c>
      <c r="AE1297" t="s">
        <v>8263</v>
      </c>
      <c r="AF1297" t="s">
        <v>8264</v>
      </c>
      <c r="AG1297" t="s">
        <v>8265</v>
      </c>
      <c r="AH1297">
        <v>-2.21</v>
      </c>
      <c r="AI1297">
        <v>0.36</v>
      </c>
      <c r="AJ1297">
        <v>3.91</v>
      </c>
      <c r="AK1297">
        <v>8.45</v>
      </c>
      <c r="AL1297">
        <v>0</v>
      </c>
      <c r="AM1297">
        <v>0</v>
      </c>
      <c r="AN1297">
        <v>74.29</v>
      </c>
      <c r="AO1297">
        <v>-0.18</v>
      </c>
      <c r="AP1297">
        <v>80.26</v>
      </c>
    </row>
    <row r="1298" spans="1:42">
      <c r="A1298">
        <v>1297</v>
      </c>
      <c r="B1298" t="str">
        <f>"002965"</f>
        <v>002965</v>
      </c>
      <c r="C1298" t="s">
        <v>8266</v>
      </c>
      <c r="D1298">
        <v>43.06</v>
      </c>
      <c r="E1298">
        <v>-1.17</v>
      </c>
      <c r="F1298">
        <v>-0.51</v>
      </c>
      <c r="G1298" t="s">
        <v>1312</v>
      </c>
      <c r="H1298">
        <v>447</v>
      </c>
      <c r="I1298">
        <v>43.06</v>
      </c>
      <c r="J1298">
        <v>43.07</v>
      </c>
      <c r="K1298" t="s">
        <v>3811</v>
      </c>
      <c r="L1298">
        <v>2.95</v>
      </c>
      <c r="M1298" t="s">
        <v>46</v>
      </c>
      <c r="N1298" t="s">
        <v>3349</v>
      </c>
      <c r="O1298">
        <v>43.56</v>
      </c>
      <c r="P1298">
        <v>42.59</v>
      </c>
      <c r="Q1298">
        <v>43.46</v>
      </c>
      <c r="R1298">
        <v>43.57</v>
      </c>
      <c r="S1298">
        <v>2.23</v>
      </c>
      <c r="T1298">
        <v>0.9</v>
      </c>
      <c r="U1298">
        <v>-42.07</v>
      </c>
      <c r="V1298">
        <v>-181</v>
      </c>
      <c r="W1298">
        <v>42.86</v>
      </c>
      <c r="X1298" t="s">
        <v>8267</v>
      </c>
      <c r="Y1298" t="s">
        <v>6595</v>
      </c>
      <c r="Z1298">
        <v>1.49</v>
      </c>
      <c r="AA1298">
        <v>10</v>
      </c>
      <c r="AB1298">
        <v>40</v>
      </c>
      <c r="AC1298">
        <v>2.61</v>
      </c>
      <c r="AD1298" t="s">
        <v>8268</v>
      </c>
      <c r="AE1298" t="s">
        <v>8269</v>
      </c>
      <c r="AF1298" t="s">
        <v>8270</v>
      </c>
      <c r="AG1298" t="s">
        <v>8271</v>
      </c>
      <c r="AH1298">
        <v>-3.15</v>
      </c>
      <c r="AI1298">
        <v>-3.71</v>
      </c>
      <c r="AJ1298">
        <v>9.17</v>
      </c>
      <c r="AK1298">
        <v>19.39</v>
      </c>
      <c r="AL1298">
        <v>-3</v>
      </c>
      <c r="AM1298">
        <v>-1.17</v>
      </c>
      <c r="AN1298">
        <v>-25.46</v>
      </c>
      <c r="AO1298">
        <v>-2.91</v>
      </c>
      <c r="AP1298">
        <v>-17.13</v>
      </c>
    </row>
    <row r="1299" spans="1:42">
      <c r="A1299">
        <v>1298</v>
      </c>
      <c r="B1299" t="str">
        <f>"002432"</f>
        <v>002432</v>
      </c>
      <c r="C1299" t="s">
        <v>8272</v>
      </c>
      <c r="D1299">
        <v>37.23</v>
      </c>
      <c r="E1299">
        <v>0.62</v>
      </c>
      <c r="F1299">
        <v>0.23</v>
      </c>
      <c r="G1299" t="s">
        <v>3959</v>
      </c>
      <c r="H1299">
        <v>667</v>
      </c>
      <c r="I1299">
        <v>37.22</v>
      </c>
      <c r="J1299">
        <v>37.23</v>
      </c>
      <c r="K1299" t="s">
        <v>3811</v>
      </c>
      <c r="L1299">
        <v>0.94</v>
      </c>
      <c r="M1299" t="s">
        <v>46</v>
      </c>
      <c r="N1299" t="s">
        <v>2246</v>
      </c>
      <c r="O1299">
        <v>37.35</v>
      </c>
      <c r="P1299">
        <v>36.96</v>
      </c>
      <c r="Q1299">
        <v>37.01</v>
      </c>
      <c r="R1299">
        <v>37</v>
      </c>
      <c r="S1299">
        <v>1.05</v>
      </c>
      <c r="T1299">
        <v>0.72</v>
      </c>
      <c r="U1299">
        <v>6.8</v>
      </c>
      <c r="V1299">
        <v>129</v>
      </c>
      <c r="W1299">
        <v>37.17</v>
      </c>
      <c r="X1299" t="s">
        <v>882</v>
      </c>
      <c r="Y1299" t="s">
        <v>3151</v>
      </c>
      <c r="Z1299">
        <v>0.82</v>
      </c>
      <c r="AA1299">
        <v>621</v>
      </c>
      <c r="AB1299">
        <v>126</v>
      </c>
      <c r="AC1299">
        <v>0.93</v>
      </c>
      <c r="AD1299" t="s">
        <v>8273</v>
      </c>
      <c r="AE1299" t="s">
        <v>8274</v>
      </c>
      <c r="AF1299" t="s">
        <v>8275</v>
      </c>
      <c r="AG1299" t="s">
        <v>8276</v>
      </c>
      <c r="AH1299">
        <v>0.81</v>
      </c>
      <c r="AI1299">
        <v>0.3</v>
      </c>
      <c r="AJ1299">
        <v>3.06</v>
      </c>
      <c r="AK1299">
        <v>7.53</v>
      </c>
      <c r="AL1299">
        <v>4</v>
      </c>
      <c r="AM1299">
        <v>0.62</v>
      </c>
      <c r="AN1299">
        <v>-23.41</v>
      </c>
      <c r="AO1299">
        <v>2.9</v>
      </c>
      <c r="AP1299">
        <v>-27.23</v>
      </c>
    </row>
    <row r="1300" spans="1:42">
      <c r="A1300">
        <v>1299</v>
      </c>
      <c r="B1300" t="str">
        <f>"000970"</f>
        <v>000970</v>
      </c>
      <c r="C1300" t="s">
        <v>8277</v>
      </c>
      <c r="D1300">
        <v>10.56</v>
      </c>
      <c r="E1300">
        <v>-1.95</v>
      </c>
      <c r="F1300">
        <v>-0.21</v>
      </c>
      <c r="G1300" t="s">
        <v>2222</v>
      </c>
      <c r="H1300">
        <v>1201</v>
      </c>
      <c r="I1300">
        <v>10.55</v>
      </c>
      <c r="J1300">
        <v>10.56</v>
      </c>
      <c r="K1300" t="s">
        <v>3811</v>
      </c>
      <c r="L1300">
        <v>1.24</v>
      </c>
      <c r="M1300" t="s">
        <v>46</v>
      </c>
      <c r="N1300" t="s">
        <v>8278</v>
      </c>
      <c r="O1300">
        <v>10.77</v>
      </c>
      <c r="P1300">
        <v>10.45</v>
      </c>
      <c r="Q1300">
        <v>10.74</v>
      </c>
      <c r="R1300">
        <v>10.77</v>
      </c>
      <c r="S1300">
        <v>2.97</v>
      </c>
      <c r="T1300">
        <v>1.78</v>
      </c>
      <c r="U1300">
        <v>-14.73</v>
      </c>
      <c r="V1300">
        <v>-963</v>
      </c>
      <c r="W1300">
        <v>10.55</v>
      </c>
      <c r="X1300" t="s">
        <v>3463</v>
      </c>
      <c r="Y1300" t="s">
        <v>4968</v>
      </c>
      <c r="Z1300">
        <v>1.72</v>
      </c>
      <c r="AA1300">
        <v>726</v>
      </c>
      <c r="AB1300">
        <v>858</v>
      </c>
      <c r="AC1300">
        <v>1.97</v>
      </c>
      <c r="AD1300" t="s">
        <v>1322</v>
      </c>
      <c r="AE1300" t="s">
        <v>1249</v>
      </c>
      <c r="AF1300" t="s">
        <v>1322</v>
      </c>
      <c r="AG1300" t="s">
        <v>1249</v>
      </c>
      <c r="AH1300">
        <v>-1.31</v>
      </c>
      <c r="AI1300">
        <v>-3.03</v>
      </c>
      <c r="AJ1300">
        <v>3.03</v>
      </c>
      <c r="AK1300">
        <v>4.71</v>
      </c>
      <c r="AL1300">
        <v>-1</v>
      </c>
      <c r="AM1300">
        <v>-1.95</v>
      </c>
      <c r="AN1300">
        <v>-22.01</v>
      </c>
      <c r="AO1300">
        <v>-0.47</v>
      </c>
      <c r="AP1300">
        <v>-19.14</v>
      </c>
    </row>
    <row r="1301" spans="1:42">
      <c r="A1301">
        <v>1300</v>
      </c>
      <c r="B1301" t="str">
        <f>"000723"</f>
        <v>000723</v>
      </c>
      <c r="C1301" t="s">
        <v>8279</v>
      </c>
      <c r="D1301">
        <v>7.23</v>
      </c>
      <c r="E1301">
        <v>0</v>
      </c>
      <c r="F1301">
        <v>0</v>
      </c>
      <c r="G1301" t="s">
        <v>4553</v>
      </c>
      <c r="H1301">
        <v>1723</v>
      </c>
      <c r="I1301">
        <v>7.23</v>
      </c>
      <c r="J1301">
        <v>7.24</v>
      </c>
      <c r="K1301" t="s">
        <v>8280</v>
      </c>
      <c r="L1301">
        <v>0.55</v>
      </c>
      <c r="M1301" t="s">
        <v>46</v>
      </c>
      <c r="N1301" t="s">
        <v>8281</v>
      </c>
      <c r="O1301">
        <v>7.25</v>
      </c>
      <c r="P1301">
        <v>7.13</v>
      </c>
      <c r="Q1301">
        <v>7.23</v>
      </c>
      <c r="R1301">
        <v>7.23</v>
      </c>
      <c r="S1301">
        <v>1.66</v>
      </c>
      <c r="T1301">
        <v>0.68</v>
      </c>
      <c r="U1301">
        <v>0.71</v>
      </c>
      <c r="V1301">
        <v>135</v>
      </c>
      <c r="W1301">
        <v>7.21</v>
      </c>
      <c r="X1301" t="s">
        <v>1540</v>
      </c>
      <c r="Y1301" t="s">
        <v>110</v>
      </c>
      <c r="Z1301">
        <v>1.17</v>
      </c>
      <c r="AA1301">
        <v>2141</v>
      </c>
      <c r="AB1301">
        <v>809</v>
      </c>
      <c r="AC1301">
        <v>2.15</v>
      </c>
      <c r="AD1301" t="s">
        <v>7287</v>
      </c>
      <c r="AE1301" t="s">
        <v>8282</v>
      </c>
      <c r="AF1301" t="s">
        <v>8283</v>
      </c>
      <c r="AG1301" t="s">
        <v>8284</v>
      </c>
      <c r="AH1301">
        <v>-2.43</v>
      </c>
      <c r="AI1301">
        <v>-0.55</v>
      </c>
      <c r="AJ1301">
        <v>2.07</v>
      </c>
      <c r="AK1301">
        <v>4.61</v>
      </c>
      <c r="AL1301">
        <v>0</v>
      </c>
      <c r="AM1301">
        <v>0</v>
      </c>
      <c r="AN1301">
        <v>-19.84</v>
      </c>
      <c r="AO1301">
        <v>3.14</v>
      </c>
      <c r="AP1301">
        <v>-23.73</v>
      </c>
    </row>
    <row r="1302" spans="1:42">
      <c r="A1302">
        <v>1301</v>
      </c>
      <c r="B1302" t="str">
        <f>"603538"</f>
        <v>603538</v>
      </c>
      <c r="C1302" t="s">
        <v>8285</v>
      </c>
      <c r="D1302">
        <v>21.01</v>
      </c>
      <c r="E1302">
        <v>0.86</v>
      </c>
      <c r="F1302">
        <v>0.18</v>
      </c>
      <c r="G1302" t="s">
        <v>8286</v>
      </c>
      <c r="H1302">
        <v>449</v>
      </c>
      <c r="I1302">
        <v>21</v>
      </c>
      <c r="J1302">
        <v>21.01</v>
      </c>
      <c r="K1302" t="s">
        <v>8280</v>
      </c>
      <c r="L1302">
        <v>3.56</v>
      </c>
      <c r="M1302" t="s">
        <v>46</v>
      </c>
      <c r="N1302" t="s">
        <v>8287</v>
      </c>
      <c r="O1302">
        <v>21.44</v>
      </c>
      <c r="P1302">
        <v>20.64</v>
      </c>
      <c r="Q1302">
        <v>20.8</v>
      </c>
      <c r="R1302">
        <v>20.83</v>
      </c>
      <c r="S1302">
        <v>3.84</v>
      </c>
      <c r="T1302">
        <v>1.17</v>
      </c>
      <c r="U1302">
        <v>-40.55</v>
      </c>
      <c r="V1302">
        <v>-581</v>
      </c>
      <c r="W1302">
        <v>20.97</v>
      </c>
      <c r="X1302" t="s">
        <v>7338</v>
      </c>
      <c r="Y1302" t="s">
        <v>5877</v>
      </c>
      <c r="Z1302">
        <v>0.79</v>
      </c>
      <c r="AA1302">
        <v>237</v>
      </c>
      <c r="AB1302">
        <v>773</v>
      </c>
      <c r="AC1302">
        <v>2.18</v>
      </c>
      <c r="AD1302" t="s">
        <v>8288</v>
      </c>
      <c r="AE1302" t="s">
        <v>8289</v>
      </c>
      <c r="AF1302" t="s">
        <v>8290</v>
      </c>
      <c r="AG1302" t="s">
        <v>8291</v>
      </c>
      <c r="AH1302">
        <v>2.49</v>
      </c>
      <c r="AI1302">
        <v>0.05</v>
      </c>
      <c r="AJ1302">
        <v>7.89</v>
      </c>
      <c r="AK1302">
        <v>18.82</v>
      </c>
      <c r="AL1302">
        <v>2</v>
      </c>
      <c r="AM1302">
        <v>0.86</v>
      </c>
      <c r="AN1302">
        <v>-17.87</v>
      </c>
      <c r="AO1302">
        <v>3.96</v>
      </c>
      <c r="AP1302">
        <v>-28.78</v>
      </c>
    </row>
    <row r="1303" spans="1:42">
      <c r="A1303">
        <v>1302</v>
      </c>
      <c r="B1303" t="str">
        <f>"300007"</f>
        <v>300007</v>
      </c>
      <c r="C1303" t="s">
        <v>8292</v>
      </c>
      <c r="D1303">
        <v>18.38</v>
      </c>
      <c r="E1303">
        <v>0.38</v>
      </c>
      <c r="F1303">
        <v>0.07</v>
      </c>
      <c r="G1303" t="s">
        <v>6904</v>
      </c>
      <c r="H1303">
        <v>1030</v>
      </c>
      <c r="I1303">
        <v>18.38</v>
      </c>
      <c r="J1303">
        <v>18.39</v>
      </c>
      <c r="K1303" t="s">
        <v>8280</v>
      </c>
      <c r="L1303">
        <v>3.07</v>
      </c>
      <c r="M1303" t="s">
        <v>46</v>
      </c>
      <c r="N1303" t="s">
        <v>3409</v>
      </c>
      <c r="O1303">
        <v>18.43</v>
      </c>
      <c r="P1303">
        <v>18.08</v>
      </c>
      <c r="Q1303">
        <v>18.2</v>
      </c>
      <c r="R1303">
        <v>18.31</v>
      </c>
      <c r="S1303">
        <v>1.91</v>
      </c>
      <c r="T1303">
        <v>0.65</v>
      </c>
      <c r="U1303">
        <v>-50.17</v>
      </c>
      <c r="V1303">
        <v>-993</v>
      </c>
      <c r="W1303">
        <v>18.22</v>
      </c>
      <c r="X1303" t="s">
        <v>5785</v>
      </c>
      <c r="Y1303" t="s">
        <v>456</v>
      </c>
      <c r="Z1303">
        <v>0.98</v>
      </c>
      <c r="AA1303">
        <v>255</v>
      </c>
      <c r="AB1303">
        <v>304</v>
      </c>
      <c r="AC1303">
        <v>2.11</v>
      </c>
      <c r="AD1303" t="s">
        <v>4418</v>
      </c>
      <c r="AE1303" t="s">
        <v>8293</v>
      </c>
      <c r="AF1303" t="s">
        <v>8294</v>
      </c>
      <c r="AG1303" t="s">
        <v>8295</v>
      </c>
      <c r="AH1303">
        <v>-0.7</v>
      </c>
      <c r="AI1303">
        <v>-0.27</v>
      </c>
      <c r="AJ1303">
        <v>11.87</v>
      </c>
      <c r="AK1303">
        <v>26.62</v>
      </c>
      <c r="AL1303">
        <v>1</v>
      </c>
      <c r="AM1303">
        <v>0.38</v>
      </c>
      <c r="AN1303">
        <v>9.54</v>
      </c>
      <c r="AO1303">
        <v>8.12</v>
      </c>
      <c r="AP1303">
        <v>-4.07</v>
      </c>
    </row>
    <row r="1304" spans="1:42">
      <c r="A1304">
        <v>1303</v>
      </c>
      <c r="B1304" t="str">
        <f>"300416"</f>
        <v>300416</v>
      </c>
      <c r="C1304" t="s">
        <v>8296</v>
      </c>
      <c r="D1304">
        <v>18.18</v>
      </c>
      <c r="E1304">
        <v>1.73</v>
      </c>
      <c r="F1304">
        <v>0.31</v>
      </c>
      <c r="G1304" t="s">
        <v>175</v>
      </c>
      <c r="H1304">
        <v>507</v>
      </c>
      <c r="I1304">
        <v>18.18</v>
      </c>
      <c r="J1304">
        <v>18.19</v>
      </c>
      <c r="K1304" t="s">
        <v>8280</v>
      </c>
      <c r="L1304">
        <v>1.72</v>
      </c>
      <c r="M1304" t="s">
        <v>46</v>
      </c>
      <c r="N1304" t="s">
        <v>3203</v>
      </c>
      <c r="O1304">
        <v>18.31</v>
      </c>
      <c r="P1304">
        <v>17.68</v>
      </c>
      <c r="Q1304">
        <v>17.78</v>
      </c>
      <c r="R1304">
        <v>17.87</v>
      </c>
      <c r="S1304">
        <v>3.53</v>
      </c>
      <c r="T1304">
        <v>1.34</v>
      </c>
      <c r="U1304">
        <v>73.47</v>
      </c>
      <c r="V1304">
        <v>234</v>
      </c>
      <c r="W1304">
        <v>18.13</v>
      </c>
      <c r="X1304" t="s">
        <v>5706</v>
      </c>
      <c r="Y1304" t="s">
        <v>7817</v>
      </c>
      <c r="Z1304">
        <v>0.83</v>
      </c>
      <c r="AA1304">
        <v>51</v>
      </c>
      <c r="AB1304">
        <v>3</v>
      </c>
      <c r="AC1304">
        <v>3.77</v>
      </c>
      <c r="AD1304" t="s">
        <v>8297</v>
      </c>
      <c r="AE1304" t="s">
        <v>8298</v>
      </c>
      <c r="AF1304" t="s">
        <v>8299</v>
      </c>
      <c r="AG1304" t="s">
        <v>8300</v>
      </c>
      <c r="AH1304">
        <v>4.12</v>
      </c>
      <c r="AI1304">
        <v>4.12</v>
      </c>
      <c r="AJ1304">
        <v>5.25</v>
      </c>
      <c r="AK1304">
        <v>8.16</v>
      </c>
      <c r="AL1304">
        <v>1</v>
      </c>
      <c r="AM1304">
        <v>1.73</v>
      </c>
      <c r="AN1304">
        <v>-21.23</v>
      </c>
      <c r="AO1304">
        <v>12.78</v>
      </c>
      <c r="AP1304">
        <v>-27.05</v>
      </c>
    </row>
    <row r="1305" spans="1:42">
      <c r="A1305">
        <v>1304</v>
      </c>
      <c r="B1305" t="str">
        <f>"601333"</f>
        <v>601333</v>
      </c>
      <c r="C1305" t="s">
        <v>8301</v>
      </c>
      <c r="D1305">
        <v>2.69</v>
      </c>
      <c r="E1305">
        <v>1.89</v>
      </c>
      <c r="F1305">
        <v>0.05</v>
      </c>
      <c r="G1305" t="s">
        <v>8302</v>
      </c>
      <c r="H1305">
        <v>3374</v>
      </c>
      <c r="I1305">
        <v>2.68</v>
      </c>
      <c r="J1305">
        <v>2.69</v>
      </c>
      <c r="K1305" t="s">
        <v>4410</v>
      </c>
      <c r="L1305">
        <v>1.04</v>
      </c>
      <c r="M1305" t="s">
        <v>46</v>
      </c>
      <c r="N1305" t="s">
        <v>8303</v>
      </c>
      <c r="O1305">
        <v>2.71</v>
      </c>
      <c r="P1305">
        <v>2.63</v>
      </c>
      <c r="Q1305">
        <v>2.63</v>
      </c>
      <c r="R1305">
        <v>2.64</v>
      </c>
      <c r="S1305">
        <v>3.03</v>
      </c>
      <c r="T1305">
        <v>1.37</v>
      </c>
      <c r="U1305">
        <v>-34.71</v>
      </c>
      <c r="V1305" t="s">
        <v>8304</v>
      </c>
      <c r="W1305">
        <v>2.68</v>
      </c>
      <c r="X1305" t="s">
        <v>4301</v>
      </c>
      <c r="Y1305" t="s">
        <v>166</v>
      </c>
      <c r="Z1305">
        <v>0.55</v>
      </c>
      <c r="AA1305">
        <v>2663</v>
      </c>
      <c r="AB1305" t="s">
        <v>2878</v>
      </c>
      <c r="AC1305">
        <v>0.72</v>
      </c>
      <c r="AD1305" t="s">
        <v>8305</v>
      </c>
      <c r="AE1305" t="s">
        <v>8306</v>
      </c>
      <c r="AF1305" t="s">
        <v>8307</v>
      </c>
      <c r="AG1305" t="s">
        <v>8308</v>
      </c>
      <c r="AH1305">
        <v>0.75</v>
      </c>
      <c r="AI1305">
        <v>-1.47</v>
      </c>
      <c r="AJ1305">
        <v>2.6</v>
      </c>
      <c r="AK1305">
        <v>4.82</v>
      </c>
      <c r="AL1305">
        <v>2</v>
      </c>
      <c r="AM1305">
        <v>1.89</v>
      </c>
      <c r="AN1305">
        <v>18.5</v>
      </c>
      <c r="AO1305">
        <v>3.86</v>
      </c>
      <c r="AP1305">
        <v>31.86</v>
      </c>
    </row>
    <row r="1306" spans="1:42">
      <c r="A1306">
        <v>1305</v>
      </c>
      <c r="B1306" t="str">
        <f>"600066"</f>
        <v>600066</v>
      </c>
      <c r="C1306" t="s">
        <v>8309</v>
      </c>
      <c r="D1306">
        <v>13.25</v>
      </c>
      <c r="E1306">
        <v>-1.56</v>
      </c>
      <c r="F1306">
        <v>-0.21</v>
      </c>
      <c r="G1306" t="s">
        <v>1540</v>
      </c>
      <c r="H1306">
        <v>1148</v>
      </c>
      <c r="I1306">
        <v>13.24</v>
      </c>
      <c r="J1306">
        <v>13.25</v>
      </c>
      <c r="K1306" t="s">
        <v>4410</v>
      </c>
      <c r="L1306">
        <v>0.53</v>
      </c>
      <c r="M1306" t="s">
        <v>46</v>
      </c>
      <c r="N1306" t="s">
        <v>3364</v>
      </c>
      <c r="O1306">
        <v>13.51</v>
      </c>
      <c r="P1306">
        <v>13.11</v>
      </c>
      <c r="Q1306">
        <v>13.51</v>
      </c>
      <c r="R1306">
        <v>13.46</v>
      </c>
      <c r="S1306">
        <v>2.97</v>
      </c>
      <c r="T1306">
        <v>0.91</v>
      </c>
      <c r="U1306">
        <v>80.33</v>
      </c>
      <c r="V1306">
        <v>2745</v>
      </c>
      <c r="W1306">
        <v>13.26</v>
      </c>
      <c r="X1306" t="s">
        <v>5289</v>
      </c>
      <c r="Y1306" t="s">
        <v>8310</v>
      </c>
      <c r="Z1306">
        <v>0.92</v>
      </c>
      <c r="AA1306">
        <v>563</v>
      </c>
      <c r="AB1306">
        <v>37</v>
      </c>
      <c r="AC1306">
        <v>2.2</v>
      </c>
      <c r="AD1306" t="s">
        <v>7069</v>
      </c>
      <c r="AE1306" t="s">
        <v>8311</v>
      </c>
      <c r="AF1306" t="s">
        <v>7069</v>
      </c>
      <c r="AG1306" t="s">
        <v>8311</v>
      </c>
      <c r="AH1306">
        <v>-0.15</v>
      </c>
      <c r="AI1306">
        <v>1.92</v>
      </c>
      <c r="AJ1306">
        <v>1.65</v>
      </c>
      <c r="AK1306">
        <v>3.46</v>
      </c>
      <c r="AL1306">
        <v>-1</v>
      </c>
      <c r="AM1306">
        <v>-1.56</v>
      </c>
      <c r="AN1306">
        <v>103.53</v>
      </c>
      <c r="AO1306">
        <v>-2.43</v>
      </c>
      <c r="AP1306">
        <v>99.25</v>
      </c>
    </row>
    <row r="1307" spans="1:42">
      <c r="A1307">
        <v>1306</v>
      </c>
      <c r="B1307" t="str">
        <f>"600827"</f>
        <v>600827</v>
      </c>
      <c r="C1307" t="s">
        <v>8312</v>
      </c>
      <c r="D1307">
        <v>10.18</v>
      </c>
      <c r="E1307">
        <v>0.69</v>
      </c>
      <c r="F1307">
        <v>0.07</v>
      </c>
      <c r="G1307" t="s">
        <v>978</v>
      </c>
      <c r="H1307">
        <v>2018</v>
      </c>
      <c r="I1307">
        <v>10.18</v>
      </c>
      <c r="J1307">
        <v>10.19</v>
      </c>
      <c r="K1307" t="s">
        <v>4410</v>
      </c>
      <c r="L1307">
        <v>0.95</v>
      </c>
      <c r="M1307" t="s">
        <v>46</v>
      </c>
      <c r="N1307" t="s">
        <v>8313</v>
      </c>
      <c r="O1307">
        <v>10.37</v>
      </c>
      <c r="P1307">
        <v>10.05</v>
      </c>
      <c r="Q1307">
        <v>10.11</v>
      </c>
      <c r="R1307">
        <v>10.11</v>
      </c>
      <c r="S1307">
        <v>3.17</v>
      </c>
      <c r="T1307">
        <v>1.33</v>
      </c>
      <c r="U1307">
        <v>28.01</v>
      </c>
      <c r="V1307">
        <v>1617</v>
      </c>
      <c r="W1307">
        <v>10.24</v>
      </c>
      <c r="X1307" t="s">
        <v>4376</v>
      </c>
      <c r="Y1307" t="s">
        <v>4243</v>
      </c>
      <c r="Z1307">
        <v>0.91</v>
      </c>
      <c r="AA1307">
        <v>574</v>
      </c>
      <c r="AB1307">
        <v>111</v>
      </c>
      <c r="AC1307">
        <v>1.01</v>
      </c>
      <c r="AD1307" t="s">
        <v>5816</v>
      </c>
      <c r="AE1307" t="s">
        <v>8314</v>
      </c>
      <c r="AF1307" t="s">
        <v>569</v>
      </c>
      <c r="AG1307" t="s">
        <v>8315</v>
      </c>
      <c r="AH1307">
        <v>0.3</v>
      </c>
      <c r="AI1307">
        <v>0.59</v>
      </c>
      <c r="AJ1307">
        <v>2.37</v>
      </c>
      <c r="AK1307">
        <v>4.53</v>
      </c>
      <c r="AL1307">
        <v>2</v>
      </c>
      <c r="AM1307">
        <v>0.69</v>
      </c>
      <c r="AN1307">
        <v>-15.17</v>
      </c>
      <c r="AO1307">
        <v>-0.78</v>
      </c>
      <c r="AP1307">
        <v>-4.23</v>
      </c>
    </row>
    <row r="1308" spans="1:42">
      <c r="A1308">
        <v>1307</v>
      </c>
      <c r="B1308" t="str">
        <f>"300643"</f>
        <v>300643</v>
      </c>
      <c r="C1308" t="s">
        <v>8316</v>
      </c>
      <c r="D1308">
        <v>13.59</v>
      </c>
      <c r="E1308">
        <v>-2.09</v>
      </c>
      <c r="F1308">
        <v>-0.29</v>
      </c>
      <c r="G1308" t="s">
        <v>4356</v>
      </c>
      <c r="H1308">
        <v>1127</v>
      </c>
      <c r="I1308">
        <v>13.59</v>
      </c>
      <c r="J1308">
        <v>13.6</v>
      </c>
      <c r="K1308" t="s">
        <v>5956</v>
      </c>
      <c r="L1308">
        <v>5.02</v>
      </c>
      <c r="M1308" t="s">
        <v>46</v>
      </c>
      <c r="N1308" t="s">
        <v>5558</v>
      </c>
      <c r="O1308">
        <v>13.85</v>
      </c>
      <c r="P1308">
        <v>13.32</v>
      </c>
      <c r="Q1308">
        <v>13.85</v>
      </c>
      <c r="R1308">
        <v>13.88</v>
      </c>
      <c r="S1308">
        <v>3.82</v>
      </c>
      <c r="T1308">
        <v>0.44</v>
      </c>
      <c r="U1308">
        <v>-39.87</v>
      </c>
      <c r="V1308">
        <v>-1118</v>
      </c>
      <c r="W1308">
        <v>13.56</v>
      </c>
      <c r="X1308" t="s">
        <v>7214</v>
      </c>
      <c r="Y1308" t="s">
        <v>4981</v>
      </c>
      <c r="Z1308">
        <v>1.14</v>
      </c>
      <c r="AA1308">
        <v>15</v>
      </c>
      <c r="AB1308">
        <v>1399</v>
      </c>
      <c r="AC1308">
        <v>3.07</v>
      </c>
      <c r="AD1308" t="s">
        <v>1791</v>
      </c>
      <c r="AE1308" t="s">
        <v>4955</v>
      </c>
      <c r="AF1308" t="s">
        <v>8317</v>
      </c>
      <c r="AG1308" t="s">
        <v>8318</v>
      </c>
      <c r="AH1308">
        <v>-8.73</v>
      </c>
      <c r="AI1308">
        <v>-1.59</v>
      </c>
      <c r="AJ1308">
        <v>23</v>
      </c>
      <c r="AK1308">
        <v>61.96</v>
      </c>
      <c r="AL1308">
        <v>-4</v>
      </c>
      <c r="AM1308">
        <v>-2.09</v>
      </c>
      <c r="AN1308">
        <v>-3.62</v>
      </c>
      <c r="AO1308">
        <v>5.19</v>
      </c>
      <c r="AP1308">
        <v>-20.48</v>
      </c>
    </row>
    <row r="1309" spans="1:42">
      <c r="A1309">
        <v>1308</v>
      </c>
      <c r="B1309" t="str">
        <f>"002875"</f>
        <v>002875</v>
      </c>
      <c r="C1309" t="s">
        <v>8319</v>
      </c>
      <c r="D1309">
        <v>13.7</v>
      </c>
      <c r="E1309">
        <v>1.26</v>
      </c>
      <c r="F1309">
        <v>0.17</v>
      </c>
      <c r="G1309" t="s">
        <v>4369</v>
      </c>
      <c r="H1309">
        <v>2816</v>
      </c>
      <c r="I1309">
        <v>13.7</v>
      </c>
      <c r="J1309">
        <v>13.71</v>
      </c>
      <c r="K1309" t="s">
        <v>5956</v>
      </c>
      <c r="L1309">
        <v>6.59</v>
      </c>
      <c r="M1309" t="s">
        <v>46</v>
      </c>
      <c r="N1309" t="s">
        <v>8320</v>
      </c>
      <c r="O1309">
        <v>13.93</v>
      </c>
      <c r="P1309">
        <v>13.35</v>
      </c>
      <c r="Q1309">
        <v>13.4</v>
      </c>
      <c r="R1309">
        <v>13.53</v>
      </c>
      <c r="S1309">
        <v>4.29</v>
      </c>
      <c r="T1309">
        <v>0.72</v>
      </c>
      <c r="U1309">
        <v>17.07</v>
      </c>
      <c r="V1309">
        <v>436</v>
      </c>
      <c r="W1309">
        <v>13.69</v>
      </c>
      <c r="X1309" t="s">
        <v>4639</v>
      </c>
      <c r="Y1309" t="s">
        <v>8321</v>
      </c>
      <c r="Z1309">
        <v>0.78</v>
      </c>
      <c r="AA1309">
        <v>295</v>
      </c>
      <c r="AB1309">
        <v>311</v>
      </c>
      <c r="AC1309">
        <v>3.45</v>
      </c>
      <c r="AD1309" t="s">
        <v>8322</v>
      </c>
      <c r="AE1309" t="s">
        <v>8323</v>
      </c>
      <c r="AF1309" t="s">
        <v>8324</v>
      </c>
      <c r="AG1309" t="s">
        <v>6341</v>
      </c>
      <c r="AH1309">
        <v>0.59</v>
      </c>
      <c r="AI1309">
        <v>3.16</v>
      </c>
      <c r="AJ1309">
        <v>20.08</v>
      </c>
      <c r="AK1309">
        <v>52.23</v>
      </c>
      <c r="AL1309">
        <v>2</v>
      </c>
      <c r="AM1309">
        <v>1.26</v>
      </c>
      <c r="AN1309">
        <v>-48.11</v>
      </c>
      <c r="AO1309">
        <v>17.09</v>
      </c>
      <c r="AP1309">
        <v>41.09</v>
      </c>
    </row>
    <row r="1310" spans="1:42">
      <c r="A1310">
        <v>1309</v>
      </c>
      <c r="B1310" t="str">
        <f>"603179"</f>
        <v>603179</v>
      </c>
      <c r="C1310" t="s">
        <v>8325</v>
      </c>
      <c r="D1310">
        <v>50.96</v>
      </c>
      <c r="E1310">
        <v>-0.23</v>
      </c>
      <c r="F1310">
        <v>-0.12</v>
      </c>
      <c r="G1310" t="s">
        <v>7205</v>
      </c>
      <c r="H1310">
        <v>100</v>
      </c>
      <c r="I1310">
        <v>50.9</v>
      </c>
      <c r="J1310">
        <v>50.96</v>
      </c>
      <c r="K1310" t="s">
        <v>5956</v>
      </c>
      <c r="L1310">
        <v>0.63</v>
      </c>
      <c r="M1310" t="s">
        <v>46</v>
      </c>
      <c r="N1310" t="s">
        <v>7610</v>
      </c>
      <c r="O1310">
        <v>51.5</v>
      </c>
      <c r="P1310">
        <v>50.28</v>
      </c>
      <c r="Q1310">
        <v>51.2</v>
      </c>
      <c r="R1310">
        <v>51.08</v>
      </c>
      <c r="S1310">
        <v>2.39</v>
      </c>
      <c r="T1310">
        <v>1.21</v>
      </c>
      <c r="U1310">
        <v>85.82</v>
      </c>
      <c r="V1310">
        <v>811</v>
      </c>
      <c r="W1310">
        <v>50.9</v>
      </c>
      <c r="X1310" t="s">
        <v>7487</v>
      </c>
      <c r="Y1310" t="s">
        <v>7836</v>
      </c>
      <c r="Z1310">
        <v>1.1</v>
      </c>
      <c r="AA1310">
        <v>3</v>
      </c>
      <c r="AB1310">
        <v>3</v>
      </c>
      <c r="AC1310">
        <v>5.52</v>
      </c>
      <c r="AD1310" t="s">
        <v>8326</v>
      </c>
      <c r="AE1310" t="s">
        <v>8327</v>
      </c>
      <c r="AF1310" t="s">
        <v>8326</v>
      </c>
      <c r="AG1310" t="s">
        <v>8327</v>
      </c>
      <c r="AH1310">
        <v>-1.81</v>
      </c>
      <c r="AI1310">
        <v>-3.3</v>
      </c>
      <c r="AJ1310">
        <v>1.4</v>
      </c>
      <c r="AK1310">
        <v>3.23</v>
      </c>
      <c r="AL1310">
        <v>-6</v>
      </c>
      <c r="AM1310">
        <v>-0.23</v>
      </c>
      <c r="AN1310">
        <v>33.44</v>
      </c>
      <c r="AO1310">
        <v>8.91</v>
      </c>
      <c r="AP1310">
        <v>22.65</v>
      </c>
    </row>
    <row r="1311" spans="1:42">
      <c r="A1311">
        <v>1310</v>
      </c>
      <c r="B1311" t="str">
        <f>"688378"</f>
        <v>688378</v>
      </c>
      <c r="C1311" t="s">
        <v>8328</v>
      </c>
      <c r="D1311">
        <v>49.9</v>
      </c>
      <c r="E1311">
        <v>2.42</v>
      </c>
      <c r="F1311">
        <v>1.18</v>
      </c>
      <c r="G1311" t="s">
        <v>8329</v>
      </c>
      <c r="H1311">
        <v>143</v>
      </c>
      <c r="I1311">
        <v>49.89</v>
      </c>
      <c r="J1311">
        <v>49.9</v>
      </c>
      <c r="K1311" t="s">
        <v>5956</v>
      </c>
      <c r="L1311">
        <v>3.41</v>
      </c>
      <c r="M1311" t="s">
        <v>46</v>
      </c>
      <c r="N1311" t="s">
        <v>8330</v>
      </c>
      <c r="O1311">
        <v>51.29</v>
      </c>
      <c r="P1311">
        <v>46.7</v>
      </c>
      <c r="Q1311">
        <v>49.04</v>
      </c>
      <c r="R1311">
        <v>48.72</v>
      </c>
      <c r="S1311">
        <v>9.42</v>
      </c>
      <c r="T1311">
        <v>0.89</v>
      </c>
      <c r="U1311">
        <v>-14.98</v>
      </c>
      <c r="V1311">
        <v>-17</v>
      </c>
      <c r="W1311">
        <v>48.33</v>
      </c>
      <c r="X1311" t="s">
        <v>141</v>
      </c>
      <c r="Y1311" t="s">
        <v>8137</v>
      </c>
      <c r="Z1311">
        <v>0.96</v>
      </c>
      <c r="AA1311">
        <v>32</v>
      </c>
      <c r="AB1311">
        <v>43</v>
      </c>
      <c r="AC1311">
        <v>4.21</v>
      </c>
      <c r="AD1311" t="s">
        <v>8331</v>
      </c>
      <c r="AE1311" t="s">
        <v>8332</v>
      </c>
      <c r="AF1311" t="s">
        <v>8333</v>
      </c>
      <c r="AG1311" t="s">
        <v>8334</v>
      </c>
      <c r="AH1311">
        <v>-0.81</v>
      </c>
      <c r="AI1311">
        <v>8.13</v>
      </c>
      <c r="AJ1311">
        <v>13.94</v>
      </c>
      <c r="AK1311">
        <v>22.47</v>
      </c>
      <c r="AL1311">
        <v>1</v>
      </c>
      <c r="AM1311">
        <v>2.42</v>
      </c>
      <c r="AN1311">
        <v>41.12</v>
      </c>
      <c r="AO1311">
        <v>30.25</v>
      </c>
      <c r="AP1311">
        <v>52.32</v>
      </c>
    </row>
    <row r="1312" spans="1:42">
      <c r="A1312">
        <v>1311</v>
      </c>
      <c r="B1312" t="str">
        <f>"688213"</f>
        <v>688213</v>
      </c>
      <c r="C1312" t="s">
        <v>8335</v>
      </c>
      <c r="D1312">
        <v>51.48</v>
      </c>
      <c r="E1312">
        <v>-0.52</v>
      </c>
      <c r="F1312">
        <v>-0.27</v>
      </c>
      <c r="G1312" t="s">
        <v>3033</v>
      </c>
      <c r="H1312">
        <v>138</v>
      </c>
      <c r="I1312">
        <v>51.48</v>
      </c>
      <c r="J1312">
        <v>51.5</v>
      </c>
      <c r="K1312" t="s">
        <v>5956</v>
      </c>
      <c r="L1312">
        <v>0.95</v>
      </c>
      <c r="M1312" t="s">
        <v>46</v>
      </c>
      <c r="N1312" t="s">
        <v>4602</v>
      </c>
      <c r="O1312">
        <v>52.22</v>
      </c>
      <c r="P1312">
        <v>50.4</v>
      </c>
      <c r="Q1312">
        <v>52.13</v>
      </c>
      <c r="R1312">
        <v>51.75</v>
      </c>
      <c r="S1312">
        <v>3.52</v>
      </c>
      <c r="T1312">
        <v>0.8</v>
      </c>
      <c r="U1312">
        <v>17.09</v>
      </c>
      <c r="V1312">
        <v>45</v>
      </c>
      <c r="W1312">
        <v>51.27</v>
      </c>
      <c r="X1312" t="s">
        <v>390</v>
      </c>
      <c r="Y1312" t="s">
        <v>4525</v>
      </c>
      <c r="Z1312">
        <v>1.2</v>
      </c>
      <c r="AA1312">
        <v>44</v>
      </c>
      <c r="AB1312">
        <v>15</v>
      </c>
      <c r="AC1312">
        <v>5.59</v>
      </c>
      <c r="AD1312" t="s">
        <v>7381</v>
      </c>
      <c r="AE1312" t="s">
        <v>8336</v>
      </c>
      <c r="AF1312" t="s">
        <v>8337</v>
      </c>
      <c r="AG1312" t="s">
        <v>8338</v>
      </c>
      <c r="AH1312">
        <v>-0.62</v>
      </c>
      <c r="AI1312">
        <v>-2.7</v>
      </c>
      <c r="AJ1312">
        <v>4.29</v>
      </c>
      <c r="AK1312">
        <v>6.89</v>
      </c>
      <c r="AL1312">
        <v>-2</v>
      </c>
      <c r="AM1312">
        <v>-0.52</v>
      </c>
      <c r="AN1312">
        <v>32.68</v>
      </c>
      <c r="AO1312">
        <v>-2.05</v>
      </c>
      <c r="AP1312">
        <v>13.17</v>
      </c>
    </row>
    <row r="1313" spans="1:42">
      <c r="A1313">
        <v>1312</v>
      </c>
      <c r="B1313" t="str">
        <f>"000400"</f>
        <v>000400</v>
      </c>
      <c r="C1313" t="s">
        <v>8339</v>
      </c>
      <c r="D1313">
        <v>20.54</v>
      </c>
      <c r="E1313">
        <v>0.29</v>
      </c>
      <c r="F1313">
        <v>0.06</v>
      </c>
      <c r="G1313" t="s">
        <v>6698</v>
      </c>
      <c r="H1313">
        <v>921</v>
      </c>
      <c r="I1313">
        <v>20.54</v>
      </c>
      <c r="J1313">
        <v>20.55</v>
      </c>
      <c r="K1313" t="s">
        <v>5956</v>
      </c>
      <c r="L1313">
        <v>0.75</v>
      </c>
      <c r="M1313" t="s">
        <v>46</v>
      </c>
      <c r="N1313" t="s">
        <v>2466</v>
      </c>
      <c r="O1313">
        <v>20.69</v>
      </c>
      <c r="P1313">
        <v>20.4</v>
      </c>
      <c r="Q1313">
        <v>20.4</v>
      </c>
      <c r="R1313">
        <v>20.48</v>
      </c>
      <c r="S1313">
        <v>1.42</v>
      </c>
      <c r="T1313">
        <v>0.5</v>
      </c>
      <c r="U1313">
        <v>-36.98</v>
      </c>
      <c r="V1313">
        <v>-635</v>
      </c>
      <c r="W1313">
        <v>20.53</v>
      </c>
      <c r="X1313" t="s">
        <v>2691</v>
      </c>
      <c r="Y1313" t="s">
        <v>3716</v>
      </c>
      <c r="Z1313">
        <v>0.97</v>
      </c>
      <c r="AA1313">
        <v>173</v>
      </c>
      <c r="AB1313">
        <v>386</v>
      </c>
      <c r="AC1313">
        <v>1.95</v>
      </c>
      <c r="AD1313" t="s">
        <v>1090</v>
      </c>
      <c r="AE1313" t="s">
        <v>8340</v>
      </c>
      <c r="AF1313" t="s">
        <v>3449</v>
      </c>
      <c r="AG1313" t="s">
        <v>8341</v>
      </c>
      <c r="AH1313">
        <v>3.58</v>
      </c>
      <c r="AI1313">
        <v>4.64</v>
      </c>
      <c r="AJ1313">
        <v>4.59</v>
      </c>
      <c r="AK1313">
        <v>8.24</v>
      </c>
      <c r="AL1313">
        <v>1</v>
      </c>
      <c r="AM1313">
        <v>0.29</v>
      </c>
      <c r="AN1313">
        <v>3.58</v>
      </c>
      <c r="AO1313">
        <v>16.64</v>
      </c>
      <c r="AP1313">
        <v>-6.89</v>
      </c>
    </row>
    <row r="1314" spans="1:42">
      <c r="A1314">
        <v>1313</v>
      </c>
      <c r="B1314" t="str">
        <f>"000541"</f>
        <v>000541</v>
      </c>
      <c r="C1314" t="s">
        <v>8342</v>
      </c>
      <c r="D1314">
        <v>7.27</v>
      </c>
      <c r="E1314">
        <v>0.55</v>
      </c>
      <c r="F1314">
        <v>0.04</v>
      </c>
      <c r="G1314" t="s">
        <v>2893</v>
      </c>
      <c r="H1314">
        <v>2339</v>
      </c>
      <c r="I1314">
        <v>7.26</v>
      </c>
      <c r="J1314">
        <v>7.27</v>
      </c>
      <c r="K1314" t="s">
        <v>5956</v>
      </c>
      <c r="L1314">
        <v>2.03</v>
      </c>
      <c r="M1314" t="s">
        <v>46</v>
      </c>
      <c r="N1314" t="s">
        <v>8343</v>
      </c>
      <c r="O1314">
        <v>7.33</v>
      </c>
      <c r="P1314">
        <v>7.15</v>
      </c>
      <c r="Q1314">
        <v>7.18</v>
      </c>
      <c r="R1314">
        <v>7.23</v>
      </c>
      <c r="S1314">
        <v>2.49</v>
      </c>
      <c r="T1314">
        <v>0.71</v>
      </c>
      <c r="U1314">
        <v>-7.05</v>
      </c>
      <c r="V1314">
        <v>-672</v>
      </c>
      <c r="W1314">
        <v>7.25</v>
      </c>
      <c r="X1314" t="s">
        <v>656</v>
      </c>
      <c r="Y1314" t="s">
        <v>3402</v>
      </c>
      <c r="Z1314">
        <v>1.08</v>
      </c>
      <c r="AA1314">
        <v>1238</v>
      </c>
      <c r="AB1314">
        <v>40</v>
      </c>
      <c r="AC1314">
        <v>1.91</v>
      </c>
      <c r="AD1314" t="s">
        <v>8344</v>
      </c>
      <c r="AE1314" t="s">
        <v>8345</v>
      </c>
      <c r="AF1314" t="s">
        <v>8346</v>
      </c>
      <c r="AG1314" t="s">
        <v>8347</v>
      </c>
      <c r="AH1314">
        <v>-1.36</v>
      </c>
      <c r="AI1314">
        <v>0</v>
      </c>
      <c r="AJ1314">
        <v>9.28</v>
      </c>
      <c r="AK1314">
        <v>16.39</v>
      </c>
      <c r="AL1314">
        <v>1</v>
      </c>
      <c r="AM1314">
        <v>0.55</v>
      </c>
      <c r="AN1314">
        <v>50.83</v>
      </c>
      <c r="AO1314">
        <v>-0.55</v>
      </c>
      <c r="AP1314">
        <v>43.68</v>
      </c>
    </row>
    <row r="1315" spans="1:42">
      <c r="A1315">
        <v>1314</v>
      </c>
      <c r="B1315" t="str">
        <f>"002181"</f>
        <v>002181</v>
      </c>
      <c r="C1315" t="s">
        <v>8348</v>
      </c>
      <c r="D1315">
        <v>5.41</v>
      </c>
      <c r="E1315">
        <v>3.44</v>
      </c>
      <c r="F1315">
        <v>0.18</v>
      </c>
      <c r="G1315" t="s">
        <v>2857</v>
      </c>
      <c r="H1315">
        <v>3899</v>
      </c>
      <c r="I1315">
        <v>5.4</v>
      </c>
      <c r="J1315">
        <v>5.41</v>
      </c>
      <c r="K1315" t="s">
        <v>8349</v>
      </c>
      <c r="L1315">
        <v>2.56</v>
      </c>
      <c r="M1315" t="s">
        <v>46</v>
      </c>
      <c r="N1315" t="s">
        <v>3901</v>
      </c>
      <c r="O1315">
        <v>5.43</v>
      </c>
      <c r="P1315">
        <v>5.23</v>
      </c>
      <c r="Q1315">
        <v>5.25</v>
      </c>
      <c r="R1315">
        <v>5.23</v>
      </c>
      <c r="S1315">
        <v>3.82</v>
      </c>
      <c r="T1315">
        <v>0.96</v>
      </c>
      <c r="U1315">
        <v>-47.85</v>
      </c>
      <c r="V1315" t="s">
        <v>2701</v>
      </c>
      <c r="W1315">
        <v>5.36</v>
      </c>
      <c r="X1315" t="s">
        <v>2025</v>
      </c>
      <c r="Y1315" t="s">
        <v>3155</v>
      </c>
      <c r="Z1315">
        <v>0.77</v>
      </c>
      <c r="AA1315">
        <v>1469</v>
      </c>
      <c r="AB1315">
        <v>2199</v>
      </c>
      <c r="AC1315">
        <v>1.41</v>
      </c>
      <c r="AD1315" t="s">
        <v>3838</v>
      </c>
      <c r="AE1315" t="s">
        <v>8350</v>
      </c>
      <c r="AF1315" t="s">
        <v>6808</v>
      </c>
      <c r="AG1315" t="s">
        <v>8351</v>
      </c>
      <c r="AH1315">
        <v>0.19</v>
      </c>
      <c r="AI1315">
        <v>-1.64</v>
      </c>
      <c r="AJ1315">
        <v>6.38</v>
      </c>
      <c r="AK1315">
        <v>15.93</v>
      </c>
      <c r="AL1315">
        <v>1</v>
      </c>
      <c r="AM1315">
        <v>3.44</v>
      </c>
      <c r="AN1315">
        <v>-0.37</v>
      </c>
      <c r="AO1315">
        <v>17.86</v>
      </c>
      <c r="AP1315">
        <v>-21.93</v>
      </c>
    </row>
    <row r="1316" spans="1:42">
      <c r="A1316">
        <v>1315</v>
      </c>
      <c r="B1316" t="str">
        <f>"300194"</f>
        <v>300194</v>
      </c>
      <c r="C1316" t="s">
        <v>8352</v>
      </c>
      <c r="D1316">
        <v>4.72</v>
      </c>
      <c r="E1316">
        <v>0.85</v>
      </c>
      <c r="F1316">
        <v>0.04</v>
      </c>
      <c r="G1316" t="s">
        <v>8353</v>
      </c>
      <c r="H1316">
        <v>1679</v>
      </c>
      <c r="I1316">
        <v>4.72</v>
      </c>
      <c r="J1316">
        <v>4.73</v>
      </c>
      <c r="K1316" t="s">
        <v>8349</v>
      </c>
      <c r="L1316">
        <v>3.38</v>
      </c>
      <c r="M1316" t="s">
        <v>46</v>
      </c>
      <c r="N1316" t="s">
        <v>3547</v>
      </c>
      <c r="O1316">
        <v>4.8</v>
      </c>
      <c r="P1316">
        <v>4.67</v>
      </c>
      <c r="Q1316">
        <v>4.7</v>
      </c>
      <c r="R1316">
        <v>4.68</v>
      </c>
      <c r="S1316">
        <v>2.78</v>
      </c>
      <c r="T1316">
        <v>0.6</v>
      </c>
      <c r="U1316">
        <v>0.49</v>
      </c>
      <c r="V1316">
        <v>135</v>
      </c>
      <c r="W1316">
        <v>4.74</v>
      </c>
      <c r="X1316" t="s">
        <v>1439</v>
      </c>
      <c r="Y1316" t="s">
        <v>561</v>
      </c>
      <c r="Z1316">
        <v>1.04</v>
      </c>
      <c r="AA1316">
        <v>2233</v>
      </c>
      <c r="AB1316">
        <v>1384</v>
      </c>
      <c r="AC1316">
        <v>1.35</v>
      </c>
      <c r="AD1316" t="s">
        <v>8354</v>
      </c>
      <c r="AE1316" t="s">
        <v>8355</v>
      </c>
      <c r="AF1316" t="s">
        <v>8356</v>
      </c>
      <c r="AG1316" t="s">
        <v>8357</v>
      </c>
      <c r="AH1316">
        <v>-2.07</v>
      </c>
      <c r="AI1316">
        <v>-1.46</v>
      </c>
      <c r="AJ1316">
        <v>9.99</v>
      </c>
      <c r="AK1316">
        <v>31.82</v>
      </c>
      <c r="AL1316">
        <v>1</v>
      </c>
      <c r="AM1316">
        <v>0.85</v>
      </c>
      <c r="AN1316">
        <v>32.96</v>
      </c>
      <c r="AO1316">
        <v>1.94</v>
      </c>
      <c r="AP1316">
        <v>21.96</v>
      </c>
    </row>
    <row r="1317" spans="1:42">
      <c r="A1317">
        <v>1316</v>
      </c>
      <c r="B1317" t="str">
        <f>"002773"</f>
        <v>002773</v>
      </c>
      <c r="C1317" t="s">
        <v>8358</v>
      </c>
      <c r="D1317">
        <v>18.79</v>
      </c>
      <c r="E1317">
        <v>-1.16</v>
      </c>
      <c r="F1317">
        <v>-0.22</v>
      </c>
      <c r="G1317" t="s">
        <v>176</v>
      </c>
      <c r="H1317">
        <v>458</v>
      </c>
      <c r="I1317">
        <v>18.78</v>
      </c>
      <c r="J1317">
        <v>18.79</v>
      </c>
      <c r="K1317" t="s">
        <v>8349</v>
      </c>
      <c r="L1317">
        <v>1.2</v>
      </c>
      <c r="M1317" t="s">
        <v>46</v>
      </c>
      <c r="N1317" t="s">
        <v>8359</v>
      </c>
      <c r="O1317">
        <v>19.08</v>
      </c>
      <c r="P1317">
        <v>18.61</v>
      </c>
      <c r="Q1317">
        <v>18.98</v>
      </c>
      <c r="R1317">
        <v>19.01</v>
      </c>
      <c r="S1317">
        <v>2.47</v>
      </c>
      <c r="T1317">
        <v>0.97</v>
      </c>
      <c r="U1317">
        <v>-23.85</v>
      </c>
      <c r="V1317">
        <v>-213</v>
      </c>
      <c r="W1317">
        <v>18.8</v>
      </c>
      <c r="X1317" t="s">
        <v>6408</v>
      </c>
      <c r="Y1317" t="s">
        <v>5383</v>
      </c>
      <c r="Z1317">
        <v>1.06</v>
      </c>
      <c r="AA1317">
        <v>123</v>
      </c>
      <c r="AB1317">
        <v>259</v>
      </c>
      <c r="AC1317">
        <v>2.28</v>
      </c>
      <c r="AD1317" t="s">
        <v>8360</v>
      </c>
      <c r="AE1317" t="s">
        <v>8361</v>
      </c>
      <c r="AF1317" t="s">
        <v>8362</v>
      </c>
      <c r="AG1317" t="s">
        <v>1596</v>
      </c>
      <c r="AH1317">
        <v>-0.69</v>
      </c>
      <c r="AI1317">
        <v>-0.95</v>
      </c>
      <c r="AJ1317">
        <v>3.04</v>
      </c>
      <c r="AK1317">
        <v>7.39</v>
      </c>
      <c r="AL1317">
        <v>-1</v>
      </c>
      <c r="AM1317">
        <v>-1.16</v>
      </c>
      <c r="AN1317">
        <v>20.91</v>
      </c>
      <c r="AO1317">
        <v>7</v>
      </c>
      <c r="AP1317">
        <v>11.85</v>
      </c>
    </row>
    <row r="1318" spans="1:42">
      <c r="A1318">
        <v>1317</v>
      </c>
      <c r="B1318" t="str">
        <f>"688363"</f>
        <v>688363</v>
      </c>
      <c r="C1318" t="s">
        <v>8363</v>
      </c>
      <c r="D1318">
        <v>69.75</v>
      </c>
      <c r="E1318">
        <v>-2.05</v>
      </c>
      <c r="F1318">
        <v>-1.46</v>
      </c>
      <c r="G1318" t="s">
        <v>8267</v>
      </c>
      <c r="H1318">
        <v>223</v>
      </c>
      <c r="I1318">
        <v>69.75</v>
      </c>
      <c r="J1318">
        <v>69.76</v>
      </c>
      <c r="K1318" t="s">
        <v>8349</v>
      </c>
      <c r="L1318">
        <v>1.12</v>
      </c>
      <c r="M1318" t="s">
        <v>46</v>
      </c>
      <c r="N1318" t="s">
        <v>8364</v>
      </c>
      <c r="O1318">
        <v>71.59</v>
      </c>
      <c r="P1318">
        <v>69.48</v>
      </c>
      <c r="Q1318">
        <v>71.01</v>
      </c>
      <c r="R1318">
        <v>71.21</v>
      </c>
      <c r="S1318">
        <v>2.96</v>
      </c>
      <c r="T1318">
        <v>1.35</v>
      </c>
      <c r="U1318">
        <v>55.93</v>
      </c>
      <c r="V1318">
        <v>115</v>
      </c>
      <c r="W1318">
        <v>70</v>
      </c>
      <c r="X1318" t="s">
        <v>1967</v>
      </c>
      <c r="Y1318">
        <v>9013</v>
      </c>
      <c r="Z1318">
        <v>1.46</v>
      </c>
      <c r="AA1318">
        <v>33</v>
      </c>
      <c r="AB1318">
        <v>3</v>
      </c>
      <c r="AC1318">
        <v>4.85</v>
      </c>
      <c r="AD1318" t="s">
        <v>2769</v>
      </c>
      <c r="AE1318" t="s">
        <v>8365</v>
      </c>
      <c r="AF1318" t="s">
        <v>8366</v>
      </c>
      <c r="AG1318" t="s">
        <v>8367</v>
      </c>
      <c r="AH1318">
        <v>-6.94</v>
      </c>
      <c r="AI1318">
        <v>-8.45</v>
      </c>
      <c r="AJ1318">
        <v>3.36</v>
      </c>
      <c r="AK1318">
        <v>5.27</v>
      </c>
      <c r="AL1318">
        <v>-3</v>
      </c>
      <c r="AM1318">
        <v>-2.05</v>
      </c>
      <c r="AN1318">
        <v>-48.21</v>
      </c>
      <c r="AO1318">
        <v>-8.82</v>
      </c>
      <c r="AP1318">
        <v>-35.11</v>
      </c>
    </row>
    <row r="1319" spans="1:42">
      <c r="A1319">
        <v>1318</v>
      </c>
      <c r="B1319" t="str">
        <f>"300373"</f>
        <v>300373</v>
      </c>
      <c r="C1319" t="s">
        <v>8368</v>
      </c>
      <c r="D1319">
        <v>37.36</v>
      </c>
      <c r="E1319">
        <v>-0.27</v>
      </c>
      <c r="F1319">
        <v>-0.1</v>
      </c>
      <c r="G1319" t="s">
        <v>7062</v>
      </c>
      <c r="H1319">
        <v>567</v>
      </c>
      <c r="I1319">
        <v>37.33</v>
      </c>
      <c r="J1319">
        <v>37.36</v>
      </c>
      <c r="K1319" t="s">
        <v>8349</v>
      </c>
      <c r="L1319">
        <v>0.77</v>
      </c>
      <c r="M1319" t="s">
        <v>46</v>
      </c>
      <c r="N1319" t="s">
        <v>2328</v>
      </c>
      <c r="O1319">
        <v>37.65</v>
      </c>
      <c r="P1319">
        <v>36.9</v>
      </c>
      <c r="Q1319">
        <v>37.5</v>
      </c>
      <c r="R1319">
        <v>37.46</v>
      </c>
      <c r="S1319">
        <v>2</v>
      </c>
      <c r="T1319">
        <v>0.94</v>
      </c>
      <c r="U1319">
        <v>-24.88</v>
      </c>
      <c r="V1319">
        <v>-172</v>
      </c>
      <c r="W1319">
        <v>37.29</v>
      </c>
      <c r="X1319" t="s">
        <v>4013</v>
      </c>
      <c r="Y1319" t="s">
        <v>1110</v>
      </c>
      <c r="Z1319">
        <v>1.47</v>
      </c>
      <c r="AA1319">
        <v>36</v>
      </c>
      <c r="AB1319">
        <v>9</v>
      </c>
      <c r="AC1319">
        <v>2.56</v>
      </c>
      <c r="AD1319" t="s">
        <v>8369</v>
      </c>
      <c r="AE1319" t="s">
        <v>8370</v>
      </c>
      <c r="AF1319" t="s">
        <v>8371</v>
      </c>
      <c r="AG1319" t="s">
        <v>8372</v>
      </c>
      <c r="AH1319">
        <v>-1.61</v>
      </c>
      <c r="AI1319">
        <v>-1.48</v>
      </c>
      <c r="AJ1319">
        <v>2.75</v>
      </c>
      <c r="AK1319">
        <v>4.85</v>
      </c>
      <c r="AL1319">
        <v>-2</v>
      </c>
      <c r="AM1319">
        <v>-0.27</v>
      </c>
      <c r="AN1319">
        <v>-28.29</v>
      </c>
      <c r="AO1319">
        <v>-6.88</v>
      </c>
      <c r="AP1319">
        <v>-35.47</v>
      </c>
    </row>
    <row r="1320" spans="1:42">
      <c r="A1320">
        <v>1319</v>
      </c>
      <c r="B1320" t="str">
        <f>"871478"</f>
        <v>871478</v>
      </c>
      <c r="C1320" t="s">
        <v>8373</v>
      </c>
      <c r="D1320">
        <v>18.2</v>
      </c>
      <c r="E1320">
        <v>-17.57</v>
      </c>
      <c r="F1320">
        <v>-3.88</v>
      </c>
      <c r="G1320" t="s">
        <v>655</v>
      </c>
      <c r="H1320">
        <v>728</v>
      </c>
      <c r="I1320">
        <v>18.2</v>
      </c>
      <c r="J1320">
        <v>18.21</v>
      </c>
      <c r="K1320" t="s">
        <v>8349</v>
      </c>
      <c r="L1320">
        <v>34.71</v>
      </c>
      <c r="M1320" t="s">
        <v>46</v>
      </c>
      <c r="N1320" t="s">
        <v>424</v>
      </c>
      <c r="O1320">
        <v>21</v>
      </c>
      <c r="P1320">
        <v>18.18</v>
      </c>
      <c r="Q1320">
        <v>20</v>
      </c>
      <c r="R1320">
        <v>22.08</v>
      </c>
      <c r="S1320">
        <v>12.77</v>
      </c>
      <c r="T1320">
        <v>1.02</v>
      </c>
      <c r="U1320">
        <v>6.38</v>
      </c>
      <c r="V1320">
        <v>52</v>
      </c>
      <c r="W1320">
        <v>19.44</v>
      </c>
      <c r="X1320" t="s">
        <v>6045</v>
      </c>
      <c r="Y1320" t="s">
        <v>401</v>
      </c>
      <c r="Z1320">
        <v>1.61</v>
      </c>
      <c r="AA1320">
        <v>277</v>
      </c>
      <c r="AB1320">
        <v>53</v>
      </c>
      <c r="AC1320">
        <v>5.49</v>
      </c>
      <c r="AD1320" t="s">
        <v>8374</v>
      </c>
      <c r="AE1320" t="s">
        <v>8375</v>
      </c>
      <c r="AF1320" t="s">
        <v>8376</v>
      </c>
      <c r="AG1320" t="s">
        <v>8377</v>
      </c>
      <c r="AH1320">
        <v>-5.11</v>
      </c>
      <c r="AI1320">
        <v>-1.46</v>
      </c>
      <c r="AJ1320">
        <v>115.72</v>
      </c>
      <c r="AK1320">
        <v>204.89</v>
      </c>
      <c r="AL1320">
        <v>-1</v>
      </c>
      <c r="AM1320">
        <v>-17.57</v>
      </c>
      <c r="AN1320">
        <v>-8.95</v>
      </c>
      <c r="AO1320">
        <v>33.33</v>
      </c>
      <c r="AP1320">
        <v>-8.95</v>
      </c>
    </row>
    <row r="1321" spans="1:42">
      <c r="A1321">
        <v>1320</v>
      </c>
      <c r="B1321" t="str">
        <f>"600916"</f>
        <v>600916</v>
      </c>
      <c r="C1321" t="s">
        <v>8378</v>
      </c>
      <c r="D1321">
        <v>10.01</v>
      </c>
      <c r="E1321">
        <v>-0.5</v>
      </c>
      <c r="F1321">
        <v>-0.05</v>
      </c>
      <c r="G1321" t="s">
        <v>796</v>
      </c>
      <c r="H1321">
        <v>780</v>
      </c>
      <c r="I1321">
        <v>10</v>
      </c>
      <c r="J1321">
        <v>10.01</v>
      </c>
      <c r="K1321" t="s">
        <v>8349</v>
      </c>
      <c r="L1321">
        <v>1.9</v>
      </c>
      <c r="M1321" t="s">
        <v>46</v>
      </c>
      <c r="N1321" t="s">
        <v>3084</v>
      </c>
      <c r="O1321">
        <v>10.06</v>
      </c>
      <c r="P1321">
        <v>9.88</v>
      </c>
      <c r="Q1321">
        <v>10.05</v>
      </c>
      <c r="R1321">
        <v>10.06</v>
      </c>
      <c r="S1321">
        <v>1.79</v>
      </c>
      <c r="T1321">
        <v>1.38</v>
      </c>
      <c r="U1321">
        <v>12.46</v>
      </c>
      <c r="V1321">
        <v>1157</v>
      </c>
      <c r="W1321">
        <v>9.94</v>
      </c>
      <c r="X1321" t="s">
        <v>8379</v>
      </c>
      <c r="Y1321" t="s">
        <v>5270</v>
      </c>
      <c r="Z1321">
        <v>1.34</v>
      </c>
      <c r="AA1321">
        <v>1013</v>
      </c>
      <c r="AB1321">
        <v>1226</v>
      </c>
      <c r="AC1321">
        <v>2.35</v>
      </c>
      <c r="AD1321" t="s">
        <v>8380</v>
      </c>
      <c r="AE1321" t="s">
        <v>8381</v>
      </c>
      <c r="AF1321" t="s">
        <v>8382</v>
      </c>
      <c r="AG1321" t="s">
        <v>8383</v>
      </c>
      <c r="AH1321">
        <v>-2.25</v>
      </c>
      <c r="AI1321">
        <v>-3</v>
      </c>
      <c r="AJ1321">
        <v>5.65</v>
      </c>
      <c r="AK1321">
        <v>8.76</v>
      </c>
      <c r="AL1321">
        <v>-4</v>
      </c>
      <c r="AM1321">
        <v>-0.5</v>
      </c>
      <c r="AN1321">
        <v>-18.88</v>
      </c>
      <c r="AO1321">
        <v>-4.3</v>
      </c>
      <c r="AP1321">
        <v>-16.65</v>
      </c>
    </row>
    <row r="1322" spans="1:42">
      <c r="A1322">
        <v>1321</v>
      </c>
      <c r="B1322" t="str">
        <f>"688292"</f>
        <v>688292</v>
      </c>
      <c r="C1322" t="s">
        <v>8384</v>
      </c>
      <c r="D1322">
        <v>30.07</v>
      </c>
      <c r="E1322">
        <v>5.58</v>
      </c>
      <c r="F1322">
        <v>1.59</v>
      </c>
      <c r="G1322" t="s">
        <v>6573</v>
      </c>
      <c r="H1322">
        <v>606</v>
      </c>
      <c r="I1322">
        <v>30.07</v>
      </c>
      <c r="J1322">
        <v>30.08</v>
      </c>
      <c r="K1322" t="s">
        <v>8349</v>
      </c>
      <c r="L1322">
        <v>6.49</v>
      </c>
      <c r="M1322" t="s">
        <v>46</v>
      </c>
      <c r="N1322" t="s">
        <v>3850</v>
      </c>
      <c r="O1322">
        <v>30.25</v>
      </c>
      <c r="P1322">
        <v>28.15</v>
      </c>
      <c r="Q1322">
        <v>28.52</v>
      </c>
      <c r="R1322">
        <v>28.48</v>
      </c>
      <c r="S1322">
        <v>7.37</v>
      </c>
      <c r="T1322">
        <v>1.17</v>
      </c>
      <c r="U1322">
        <v>17.2</v>
      </c>
      <c r="V1322">
        <v>120</v>
      </c>
      <c r="W1322">
        <v>29.41</v>
      </c>
      <c r="X1322" t="s">
        <v>377</v>
      </c>
      <c r="Y1322" t="s">
        <v>925</v>
      </c>
      <c r="Z1322">
        <v>0.71</v>
      </c>
      <c r="AA1322">
        <v>7</v>
      </c>
      <c r="AB1322">
        <v>43</v>
      </c>
      <c r="AC1322">
        <v>4.6</v>
      </c>
      <c r="AD1322" t="s">
        <v>8385</v>
      </c>
      <c r="AE1322" t="s">
        <v>8386</v>
      </c>
      <c r="AF1322" t="s">
        <v>8387</v>
      </c>
      <c r="AG1322" t="s">
        <v>8388</v>
      </c>
      <c r="AH1322">
        <v>2.38</v>
      </c>
      <c r="AI1322">
        <v>0.07</v>
      </c>
      <c r="AJ1322">
        <v>14</v>
      </c>
      <c r="AK1322">
        <v>34.15</v>
      </c>
      <c r="AL1322">
        <v>1</v>
      </c>
      <c r="AM1322">
        <v>5.58</v>
      </c>
      <c r="AN1322">
        <v>97.18</v>
      </c>
      <c r="AO1322">
        <v>11.99</v>
      </c>
      <c r="AP1322">
        <v>51.41</v>
      </c>
    </row>
    <row r="1323" spans="1:42">
      <c r="A1323">
        <v>1322</v>
      </c>
      <c r="B1323" t="str">
        <f>"603062"</f>
        <v>603062</v>
      </c>
      <c r="C1323" t="s">
        <v>8389</v>
      </c>
      <c r="D1323">
        <v>65.49</v>
      </c>
      <c r="E1323">
        <v>1.16</v>
      </c>
      <c r="F1323">
        <v>0.75</v>
      </c>
      <c r="G1323" t="s">
        <v>299</v>
      </c>
      <c r="H1323">
        <v>431</v>
      </c>
      <c r="I1323">
        <v>65.48</v>
      </c>
      <c r="J1323">
        <v>65.49</v>
      </c>
      <c r="K1323" t="s">
        <v>8349</v>
      </c>
      <c r="L1323">
        <v>9.08</v>
      </c>
      <c r="M1323" t="s">
        <v>46</v>
      </c>
      <c r="N1323" t="s">
        <v>8390</v>
      </c>
      <c r="O1323">
        <v>65.49</v>
      </c>
      <c r="P1323">
        <v>63.64</v>
      </c>
      <c r="Q1323">
        <v>64.86</v>
      </c>
      <c r="R1323">
        <v>64.74</v>
      </c>
      <c r="S1323">
        <v>2.86</v>
      </c>
      <c r="T1323">
        <v>0.61</v>
      </c>
      <c r="U1323">
        <v>-58.54</v>
      </c>
      <c r="V1323">
        <v>-48</v>
      </c>
      <c r="W1323">
        <v>64.53</v>
      </c>
      <c r="X1323" t="s">
        <v>2667</v>
      </c>
      <c r="Y1323" t="s">
        <v>682</v>
      </c>
      <c r="Z1323">
        <v>0.91</v>
      </c>
      <c r="AA1323">
        <v>6</v>
      </c>
      <c r="AB1323">
        <v>4</v>
      </c>
      <c r="AC1323">
        <v>3.16</v>
      </c>
      <c r="AD1323" t="s">
        <v>8391</v>
      </c>
      <c r="AE1323" t="s">
        <v>8392</v>
      </c>
      <c r="AF1323" t="s">
        <v>8393</v>
      </c>
      <c r="AG1323" t="s">
        <v>8394</v>
      </c>
      <c r="AH1323">
        <v>-4.62</v>
      </c>
      <c r="AI1323">
        <v>-1.81</v>
      </c>
      <c r="AJ1323">
        <v>30.86</v>
      </c>
      <c r="AK1323">
        <v>83.85</v>
      </c>
      <c r="AL1323">
        <v>1</v>
      </c>
      <c r="AM1323">
        <v>1.16</v>
      </c>
      <c r="AN1323">
        <v>12.76</v>
      </c>
      <c r="AO1323">
        <v>12.76</v>
      </c>
      <c r="AP1323">
        <v>12.76</v>
      </c>
    </row>
    <row r="1324" spans="1:42">
      <c r="A1324">
        <v>1323</v>
      </c>
      <c r="B1324" t="str">
        <f>"605151"</f>
        <v>605151</v>
      </c>
      <c r="C1324" t="s">
        <v>8395</v>
      </c>
      <c r="D1324">
        <v>22.67</v>
      </c>
      <c r="E1324">
        <v>10</v>
      </c>
      <c r="F1324">
        <v>2.06</v>
      </c>
      <c r="G1324" t="s">
        <v>3207</v>
      </c>
      <c r="H1324">
        <v>150</v>
      </c>
      <c r="I1324">
        <v>22.67</v>
      </c>
      <c r="J1324" t="s">
        <v>76</v>
      </c>
      <c r="K1324" t="s">
        <v>8349</v>
      </c>
      <c r="L1324">
        <v>11.15</v>
      </c>
      <c r="M1324" t="s">
        <v>46</v>
      </c>
      <c r="N1324" t="s">
        <v>1401</v>
      </c>
      <c r="O1324">
        <v>22.67</v>
      </c>
      <c r="P1324">
        <v>20.12</v>
      </c>
      <c r="Q1324">
        <v>20.65</v>
      </c>
      <c r="R1324">
        <v>20.61</v>
      </c>
      <c r="S1324">
        <v>12.37</v>
      </c>
      <c r="T1324">
        <v>1.79</v>
      </c>
      <c r="U1324">
        <v>100</v>
      </c>
      <c r="V1324" t="s">
        <v>3110</v>
      </c>
      <c r="W1324">
        <v>21.7</v>
      </c>
      <c r="X1324" t="s">
        <v>4569</v>
      </c>
      <c r="Y1324" t="s">
        <v>2727</v>
      </c>
      <c r="Z1324">
        <v>1.48</v>
      </c>
      <c r="AA1324" t="s">
        <v>8396</v>
      </c>
      <c r="AB1324">
        <v>0</v>
      </c>
      <c r="AC1324">
        <v>2.27</v>
      </c>
      <c r="AD1324" t="s">
        <v>3514</v>
      </c>
      <c r="AE1324" t="s">
        <v>8397</v>
      </c>
      <c r="AF1324" t="s">
        <v>8398</v>
      </c>
      <c r="AG1324" t="s">
        <v>8399</v>
      </c>
      <c r="AH1324">
        <v>6.43</v>
      </c>
      <c r="AI1324">
        <v>7.44</v>
      </c>
      <c r="AJ1324">
        <v>21.65</v>
      </c>
      <c r="AK1324">
        <v>42.31</v>
      </c>
      <c r="AL1324">
        <v>1</v>
      </c>
      <c r="AM1324">
        <v>10</v>
      </c>
      <c r="AN1324">
        <v>21.49</v>
      </c>
      <c r="AO1324">
        <v>13.92</v>
      </c>
      <c r="AP1324">
        <v>5.89</v>
      </c>
    </row>
    <row r="1325" spans="1:42">
      <c r="A1325">
        <v>1324</v>
      </c>
      <c r="B1325" t="str">
        <f>"688018"</f>
        <v>688018</v>
      </c>
      <c r="C1325" t="s">
        <v>8400</v>
      </c>
      <c r="D1325">
        <v>106.73</v>
      </c>
      <c r="E1325">
        <v>-0.46</v>
      </c>
      <c r="F1325">
        <v>-0.49</v>
      </c>
      <c r="G1325" t="s">
        <v>3130</v>
      </c>
      <c r="H1325">
        <v>73</v>
      </c>
      <c r="I1325">
        <v>106.66</v>
      </c>
      <c r="J1325">
        <v>106.73</v>
      </c>
      <c r="K1325" t="s">
        <v>8349</v>
      </c>
      <c r="L1325">
        <v>1.82</v>
      </c>
      <c r="M1325" t="s">
        <v>46</v>
      </c>
      <c r="N1325" t="s">
        <v>185</v>
      </c>
      <c r="O1325">
        <v>107.85</v>
      </c>
      <c r="P1325">
        <v>103.52</v>
      </c>
      <c r="Q1325">
        <v>106.02</v>
      </c>
      <c r="R1325">
        <v>107.22</v>
      </c>
      <c r="S1325">
        <v>4.04</v>
      </c>
      <c r="T1325">
        <v>1.45</v>
      </c>
      <c r="U1325">
        <v>-0.44</v>
      </c>
      <c r="V1325">
        <v>0</v>
      </c>
      <c r="W1325">
        <v>105.14</v>
      </c>
      <c r="X1325">
        <v>7305</v>
      </c>
      <c r="Y1325">
        <v>7393</v>
      </c>
      <c r="Z1325">
        <v>0.99</v>
      </c>
      <c r="AA1325">
        <v>2</v>
      </c>
      <c r="AB1325">
        <v>6</v>
      </c>
      <c r="AC1325">
        <v>4.47</v>
      </c>
      <c r="AD1325" t="s">
        <v>8401</v>
      </c>
      <c r="AE1325" t="s">
        <v>8402</v>
      </c>
      <c r="AF1325" t="s">
        <v>8401</v>
      </c>
      <c r="AG1325" t="s">
        <v>8402</v>
      </c>
      <c r="AH1325">
        <v>-3.27</v>
      </c>
      <c r="AI1325">
        <v>-3.16</v>
      </c>
      <c r="AJ1325">
        <v>4.72</v>
      </c>
      <c r="AK1325">
        <v>8.1</v>
      </c>
      <c r="AL1325">
        <v>-2</v>
      </c>
      <c r="AM1325">
        <v>-0.46</v>
      </c>
      <c r="AN1325">
        <v>18.39</v>
      </c>
      <c r="AO1325">
        <v>-0.51</v>
      </c>
      <c r="AP1325">
        <v>6.28</v>
      </c>
    </row>
    <row r="1326" spans="1:42">
      <c r="A1326">
        <v>1325</v>
      </c>
      <c r="B1326" t="str">
        <f>"603239"</f>
        <v>603239</v>
      </c>
      <c r="C1326" t="s">
        <v>8403</v>
      </c>
      <c r="D1326">
        <v>17.19</v>
      </c>
      <c r="E1326">
        <v>-2</v>
      </c>
      <c r="F1326">
        <v>-0.35</v>
      </c>
      <c r="G1326" t="s">
        <v>3275</v>
      </c>
      <c r="H1326">
        <v>2135</v>
      </c>
      <c r="I1326">
        <v>17.19</v>
      </c>
      <c r="J1326">
        <v>17.2</v>
      </c>
      <c r="K1326" t="s">
        <v>8349</v>
      </c>
      <c r="L1326">
        <v>3.33</v>
      </c>
      <c r="M1326" t="s">
        <v>46</v>
      </c>
      <c r="N1326" t="s">
        <v>6788</v>
      </c>
      <c r="O1326">
        <v>17.65</v>
      </c>
      <c r="P1326">
        <v>16.87</v>
      </c>
      <c r="Q1326">
        <v>17.63</v>
      </c>
      <c r="R1326">
        <v>17.54</v>
      </c>
      <c r="S1326">
        <v>4.45</v>
      </c>
      <c r="T1326">
        <v>0.49</v>
      </c>
      <c r="U1326">
        <v>39.24</v>
      </c>
      <c r="V1326">
        <v>518</v>
      </c>
      <c r="W1326">
        <v>17.13</v>
      </c>
      <c r="X1326" t="s">
        <v>5660</v>
      </c>
      <c r="Y1326" t="s">
        <v>8404</v>
      </c>
      <c r="Z1326">
        <v>1.25</v>
      </c>
      <c r="AA1326">
        <v>7</v>
      </c>
      <c r="AB1326">
        <v>93</v>
      </c>
      <c r="AC1326">
        <v>4.58</v>
      </c>
      <c r="AD1326" t="s">
        <v>8405</v>
      </c>
      <c r="AE1326" t="s">
        <v>8406</v>
      </c>
      <c r="AF1326" t="s">
        <v>8405</v>
      </c>
      <c r="AG1326" t="s">
        <v>8406</v>
      </c>
      <c r="AH1326">
        <v>-4.23</v>
      </c>
      <c r="AI1326">
        <v>0.29</v>
      </c>
      <c r="AJ1326">
        <v>17.81</v>
      </c>
      <c r="AK1326">
        <v>37.66</v>
      </c>
      <c r="AL1326">
        <v>-2</v>
      </c>
      <c r="AM1326">
        <v>-2</v>
      </c>
      <c r="AN1326">
        <v>20.04</v>
      </c>
      <c r="AO1326">
        <v>-4.18</v>
      </c>
      <c r="AP1326">
        <v>16.94</v>
      </c>
    </row>
    <row r="1327" spans="1:42">
      <c r="A1327">
        <v>1326</v>
      </c>
      <c r="B1327" t="str">
        <f>"300783"</f>
        <v>300783</v>
      </c>
      <c r="C1327" t="s">
        <v>8407</v>
      </c>
      <c r="D1327">
        <v>19.01</v>
      </c>
      <c r="E1327">
        <v>1.01</v>
      </c>
      <c r="F1327">
        <v>0.19</v>
      </c>
      <c r="G1327" t="s">
        <v>8408</v>
      </c>
      <c r="H1327">
        <v>283</v>
      </c>
      <c r="I1327">
        <v>19.01</v>
      </c>
      <c r="J1327">
        <v>19.02</v>
      </c>
      <c r="K1327" t="s">
        <v>8409</v>
      </c>
      <c r="L1327">
        <v>2.88</v>
      </c>
      <c r="M1327" t="s">
        <v>46</v>
      </c>
      <c r="N1327" t="s">
        <v>6024</v>
      </c>
      <c r="O1327">
        <v>19.44</v>
      </c>
      <c r="P1327">
        <v>18.83</v>
      </c>
      <c r="Q1327">
        <v>18.86</v>
      </c>
      <c r="R1327">
        <v>18.82</v>
      </c>
      <c r="S1327">
        <v>3.24</v>
      </c>
      <c r="T1327">
        <v>2.76</v>
      </c>
      <c r="U1327">
        <v>-61.66</v>
      </c>
      <c r="V1327">
        <v>-772</v>
      </c>
      <c r="W1327">
        <v>19.15</v>
      </c>
      <c r="X1327" t="s">
        <v>5645</v>
      </c>
      <c r="Y1327" t="s">
        <v>6025</v>
      </c>
      <c r="Z1327">
        <v>1.32</v>
      </c>
      <c r="AA1327">
        <v>48</v>
      </c>
      <c r="AB1327">
        <v>391</v>
      </c>
      <c r="AC1327">
        <v>3.11</v>
      </c>
      <c r="AD1327" t="s">
        <v>945</v>
      </c>
      <c r="AE1327" t="s">
        <v>8410</v>
      </c>
      <c r="AF1327" t="s">
        <v>8411</v>
      </c>
      <c r="AG1327" t="s">
        <v>2903</v>
      </c>
      <c r="AH1327">
        <v>1.17</v>
      </c>
      <c r="AI1327">
        <v>-0.16</v>
      </c>
      <c r="AJ1327">
        <v>4.67</v>
      </c>
      <c r="AK1327">
        <v>8.09</v>
      </c>
      <c r="AL1327">
        <v>2</v>
      </c>
      <c r="AM1327">
        <v>1.01</v>
      </c>
      <c r="AN1327">
        <v>-10.79</v>
      </c>
      <c r="AO1327">
        <v>4.05</v>
      </c>
      <c r="AP1327">
        <v>3.82</v>
      </c>
    </row>
    <row r="1328" spans="1:42">
      <c r="A1328">
        <v>1327</v>
      </c>
      <c r="B1328" t="str">
        <f>"603586"</f>
        <v>603586</v>
      </c>
      <c r="C1328" t="s">
        <v>8412</v>
      </c>
      <c r="D1328">
        <v>17.09</v>
      </c>
      <c r="E1328">
        <v>2.09</v>
      </c>
      <c r="F1328">
        <v>0.35</v>
      </c>
      <c r="G1328" t="s">
        <v>4497</v>
      </c>
      <c r="H1328">
        <v>1799</v>
      </c>
      <c r="I1328">
        <v>17.09</v>
      </c>
      <c r="J1328">
        <v>17.1</v>
      </c>
      <c r="K1328" t="s">
        <v>8409</v>
      </c>
      <c r="L1328">
        <v>4.67</v>
      </c>
      <c r="M1328" t="s">
        <v>46</v>
      </c>
      <c r="N1328" t="s">
        <v>5397</v>
      </c>
      <c r="O1328">
        <v>17.26</v>
      </c>
      <c r="P1328">
        <v>16.45</v>
      </c>
      <c r="Q1328">
        <v>16.78</v>
      </c>
      <c r="R1328">
        <v>16.74</v>
      </c>
      <c r="S1328">
        <v>4.84</v>
      </c>
      <c r="T1328">
        <v>0.64</v>
      </c>
      <c r="U1328">
        <v>16.52</v>
      </c>
      <c r="V1328">
        <v>218</v>
      </c>
      <c r="W1328">
        <v>16.84</v>
      </c>
      <c r="X1328" t="s">
        <v>3204</v>
      </c>
      <c r="Y1328" t="s">
        <v>4559</v>
      </c>
      <c r="Z1328">
        <v>0.98</v>
      </c>
      <c r="AA1328">
        <v>101</v>
      </c>
      <c r="AB1328">
        <v>234</v>
      </c>
      <c r="AC1328">
        <v>1.51</v>
      </c>
      <c r="AD1328" t="s">
        <v>8413</v>
      </c>
      <c r="AE1328" t="s">
        <v>8414</v>
      </c>
      <c r="AF1328" t="s">
        <v>8413</v>
      </c>
      <c r="AG1328" t="s">
        <v>8414</v>
      </c>
      <c r="AH1328">
        <v>-0.35</v>
      </c>
      <c r="AI1328">
        <v>-11.17</v>
      </c>
      <c r="AJ1328">
        <v>14.23</v>
      </c>
      <c r="AK1328">
        <v>40.91</v>
      </c>
      <c r="AL1328">
        <v>1</v>
      </c>
      <c r="AM1328">
        <v>2.09</v>
      </c>
      <c r="AN1328">
        <v>34.78</v>
      </c>
      <c r="AO1328">
        <v>21.64</v>
      </c>
      <c r="AP1328">
        <v>23.04</v>
      </c>
    </row>
    <row r="1329" spans="1:42">
      <c r="A1329">
        <v>1328</v>
      </c>
      <c r="B1329" t="str">
        <f>"300925"</f>
        <v>300925</v>
      </c>
      <c r="C1329" t="s">
        <v>8415</v>
      </c>
      <c r="D1329">
        <v>15.1</v>
      </c>
      <c r="E1329">
        <v>1.89</v>
      </c>
      <c r="F1329">
        <v>0.28</v>
      </c>
      <c r="G1329" t="s">
        <v>740</v>
      </c>
      <c r="H1329">
        <v>1697</v>
      </c>
      <c r="I1329">
        <v>15.09</v>
      </c>
      <c r="J1329">
        <v>15.1</v>
      </c>
      <c r="K1329" t="s">
        <v>8409</v>
      </c>
      <c r="L1329">
        <v>5.17</v>
      </c>
      <c r="M1329" t="s">
        <v>46</v>
      </c>
      <c r="N1329" t="s">
        <v>8416</v>
      </c>
      <c r="O1329">
        <v>15.14</v>
      </c>
      <c r="P1329">
        <v>14.66</v>
      </c>
      <c r="Q1329">
        <v>14.78</v>
      </c>
      <c r="R1329">
        <v>14.82</v>
      </c>
      <c r="S1329">
        <v>3.24</v>
      </c>
      <c r="T1329">
        <v>0.85</v>
      </c>
      <c r="U1329">
        <v>-38.74</v>
      </c>
      <c r="V1329">
        <v>-849</v>
      </c>
      <c r="W1329">
        <v>14.9</v>
      </c>
      <c r="X1329" t="s">
        <v>5191</v>
      </c>
      <c r="Y1329" t="s">
        <v>3659</v>
      </c>
      <c r="Z1329">
        <v>1</v>
      </c>
      <c r="AA1329">
        <v>52</v>
      </c>
      <c r="AB1329">
        <v>336</v>
      </c>
      <c r="AC1329">
        <v>4.02</v>
      </c>
      <c r="AD1329" t="s">
        <v>8417</v>
      </c>
      <c r="AE1329" t="s">
        <v>8418</v>
      </c>
      <c r="AF1329" t="s">
        <v>3663</v>
      </c>
      <c r="AG1329" t="s">
        <v>8419</v>
      </c>
      <c r="AH1329">
        <v>2.65</v>
      </c>
      <c r="AI1329">
        <v>-3.45</v>
      </c>
      <c r="AJ1329">
        <v>15.13</v>
      </c>
      <c r="AK1329">
        <v>35.67</v>
      </c>
      <c r="AL1329">
        <v>1</v>
      </c>
      <c r="AM1329">
        <v>1.89</v>
      </c>
      <c r="AN1329">
        <v>16.96</v>
      </c>
      <c r="AO1329">
        <v>18.43</v>
      </c>
      <c r="AP1329">
        <v>14.48</v>
      </c>
    </row>
    <row r="1330" spans="1:42">
      <c r="A1330">
        <v>1329</v>
      </c>
      <c r="B1330" t="str">
        <f>"002063"</f>
        <v>002063</v>
      </c>
      <c r="C1330" t="s">
        <v>8420</v>
      </c>
      <c r="D1330">
        <v>6.16</v>
      </c>
      <c r="E1330">
        <v>0.98</v>
      </c>
      <c r="F1330">
        <v>0.06</v>
      </c>
      <c r="G1330" t="s">
        <v>1347</v>
      </c>
      <c r="H1330">
        <v>1382</v>
      </c>
      <c r="I1330">
        <v>6.16</v>
      </c>
      <c r="J1330">
        <v>6.17</v>
      </c>
      <c r="K1330" t="s">
        <v>8409</v>
      </c>
      <c r="L1330">
        <v>1.43</v>
      </c>
      <c r="M1330" t="s">
        <v>46</v>
      </c>
      <c r="N1330" t="s">
        <v>1386</v>
      </c>
      <c r="O1330">
        <v>6.18</v>
      </c>
      <c r="P1330">
        <v>6.05</v>
      </c>
      <c r="Q1330">
        <v>6.1</v>
      </c>
      <c r="R1330">
        <v>6.1</v>
      </c>
      <c r="S1330">
        <v>2.13</v>
      </c>
      <c r="T1330">
        <v>1.35</v>
      </c>
      <c r="U1330">
        <v>-34.06</v>
      </c>
      <c r="V1330">
        <v>-6202</v>
      </c>
      <c r="W1330">
        <v>6.12</v>
      </c>
      <c r="X1330" t="s">
        <v>6159</v>
      </c>
      <c r="Y1330" t="s">
        <v>5021</v>
      </c>
      <c r="Z1330">
        <v>0.59</v>
      </c>
      <c r="AA1330">
        <v>846</v>
      </c>
      <c r="AB1330">
        <v>2093</v>
      </c>
      <c r="AC1330">
        <v>3.62</v>
      </c>
      <c r="AD1330" t="s">
        <v>413</v>
      </c>
      <c r="AE1330" t="s">
        <v>1732</v>
      </c>
      <c r="AF1330" t="s">
        <v>8421</v>
      </c>
      <c r="AG1330" t="s">
        <v>8422</v>
      </c>
      <c r="AH1330">
        <v>1.15</v>
      </c>
      <c r="AI1330">
        <v>-1.12</v>
      </c>
      <c r="AJ1330">
        <v>3.4</v>
      </c>
      <c r="AK1330">
        <v>6.76</v>
      </c>
      <c r="AL1330">
        <v>1</v>
      </c>
      <c r="AM1330">
        <v>0.98</v>
      </c>
      <c r="AN1330">
        <v>-1.91</v>
      </c>
      <c r="AO1330">
        <v>6.39</v>
      </c>
      <c r="AP1330">
        <v>-6.67</v>
      </c>
    </row>
    <row r="1331" spans="1:42">
      <c r="A1331">
        <v>1330</v>
      </c>
      <c r="B1331" t="str">
        <f>"605499"</f>
        <v>605499</v>
      </c>
      <c r="C1331" t="s">
        <v>8423</v>
      </c>
      <c r="D1331">
        <v>194.6</v>
      </c>
      <c r="E1331">
        <v>-1.3</v>
      </c>
      <c r="F1331">
        <v>-2.56</v>
      </c>
      <c r="G1331">
        <v>7917</v>
      </c>
      <c r="H1331">
        <v>27</v>
      </c>
      <c r="I1331">
        <v>194.55</v>
      </c>
      <c r="J1331">
        <v>194.71</v>
      </c>
      <c r="K1331" t="s">
        <v>8409</v>
      </c>
      <c r="L1331">
        <v>0.5</v>
      </c>
      <c r="M1331" t="s">
        <v>46</v>
      </c>
      <c r="N1331" t="s">
        <v>8424</v>
      </c>
      <c r="O1331">
        <v>197</v>
      </c>
      <c r="P1331">
        <v>192.38</v>
      </c>
      <c r="Q1331">
        <v>197</v>
      </c>
      <c r="R1331">
        <v>197.16</v>
      </c>
      <c r="S1331">
        <v>2.34</v>
      </c>
      <c r="T1331">
        <v>0.79</v>
      </c>
      <c r="U1331">
        <v>-1.03</v>
      </c>
      <c r="V1331">
        <v>-1</v>
      </c>
      <c r="W1331">
        <v>194.18</v>
      </c>
      <c r="X1331">
        <v>5009</v>
      </c>
      <c r="Y1331">
        <v>2908</v>
      </c>
      <c r="Z1331">
        <v>1.72</v>
      </c>
      <c r="AA1331">
        <v>2</v>
      </c>
      <c r="AB1331">
        <v>2</v>
      </c>
      <c r="AC1331">
        <v>13.03</v>
      </c>
      <c r="AD1331" t="s">
        <v>7381</v>
      </c>
      <c r="AE1331" t="s">
        <v>8425</v>
      </c>
      <c r="AF1331" t="s">
        <v>8426</v>
      </c>
      <c r="AG1331" t="s">
        <v>6077</v>
      </c>
      <c r="AH1331">
        <v>1.41</v>
      </c>
      <c r="AI1331">
        <v>-1.9</v>
      </c>
      <c r="AJ1331">
        <v>1.65</v>
      </c>
      <c r="AK1331">
        <v>3.66</v>
      </c>
      <c r="AL1331">
        <v>-1</v>
      </c>
      <c r="AM1331">
        <v>-1.3</v>
      </c>
      <c r="AN1331">
        <v>10.63</v>
      </c>
      <c r="AO1331">
        <v>6.64</v>
      </c>
      <c r="AP1331">
        <v>13.19</v>
      </c>
    </row>
    <row r="1332" spans="1:42">
      <c r="A1332">
        <v>1331</v>
      </c>
      <c r="B1332" t="str">
        <f>"300455"</f>
        <v>300455</v>
      </c>
      <c r="C1332" t="s">
        <v>8427</v>
      </c>
      <c r="D1332">
        <v>12.69</v>
      </c>
      <c r="E1332">
        <v>0.63</v>
      </c>
      <c r="F1332">
        <v>0.08</v>
      </c>
      <c r="G1332" t="s">
        <v>1790</v>
      </c>
      <c r="H1332">
        <v>1777</v>
      </c>
      <c r="I1332">
        <v>12.68</v>
      </c>
      <c r="J1332">
        <v>12.69</v>
      </c>
      <c r="K1332" t="s">
        <v>8409</v>
      </c>
      <c r="L1332">
        <v>1.71</v>
      </c>
      <c r="M1332" t="s">
        <v>46</v>
      </c>
      <c r="N1332" t="s">
        <v>8428</v>
      </c>
      <c r="O1332">
        <v>12.8</v>
      </c>
      <c r="P1332">
        <v>12.53</v>
      </c>
      <c r="Q1332">
        <v>12.66</v>
      </c>
      <c r="R1332">
        <v>12.61</v>
      </c>
      <c r="S1332">
        <v>2.14</v>
      </c>
      <c r="T1332">
        <v>0.87</v>
      </c>
      <c r="U1332">
        <v>44.26</v>
      </c>
      <c r="V1332">
        <v>1053</v>
      </c>
      <c r="W1332">
        <v>12.65</v>
      </c>
      <c r="X1332" t="s">
        <v>1503</v>
      </c>
      <c r="Y1332" t="s">
        <v>6465</v>
      </c>
      <c r="Z1332">
        <v>0.88</v>
      </c>
      <c r="AA1332">
        <v>532</v>
      </c>
      <c r="AB1332">
        <v>102</v>
      </c>
      <c r="AC1332">
        <v>5.26</v>
      </c>
      <c r="AD1332" t="s">
        <v>8429</v>
      </c>
      <c r="AE1332" t="s">
        <v>1931</v>
      </c>
      <c r="AF1332" t="s">
        <v>8430</v>
      </c>
      <c r="AG1332" t="s">
        <v>8431</v>
      </c>
      <c r="AH1332">
        <v>-1.4</v>
      </c>
      <c r="AI1332">
        <v>-3.86</v>
      </c>
      <c r="AJ1332">
        <v>5.68</v>
      </c>
      <c r="AK1332">
        <v>11.6</v>
      </c>
      <c r="AL1332">
        <v>1</v>
      </c>
      <c r="AM1332">
        <v>0.63</v>
      </c>
      <c r="AN1332">
        <v>71.72</v>
      </c>
      <c r="AO1332">
        <v>4.19</v>
      </c>
      <c r="AP1332">
        <v>49.47</v>
      </c>
    </row>
    <row r="1333" spans="1:42">
      <c r="A1333">
        <v>1332</v>
      </c>
      <c r="B1333" t="str">
        <f>"000155"</f>
        <v>000155</v>
      </c>
      <c r="C1333" t="s">
        <v>8432</v>
      </c>
      <c r="D1333">
        <v>11.65</v>
      </c>
      <c r="E1333">
        <v>-0.09</v>
      </c>
      <c r="F1333">
        <v>-0.01</v>
      </c>
      <c r="G1333" t="s">
        <v>263</v>
      </c>
      <c r="H1333">
        <v>3218</v>
      </c>
      <c r="I1333">
        <v>11.64</v>
      </c>
      <c r="J1333">
        <v>11.65</v>
      </c>
      <c r="K1333" t="s">
        <v>8409</v>
      </c>
      <c r="L1333">
        <v>1.02</v>
      </c>
      <c r="M1333" t="s">
        <v>46</v>
      </c>
      <c r="N1333" t="s">
        <v>7574</v>
      </c>
      <c r="O1333">
        <v>11.78</v>
      </c>
      <c r="P1333">
        <v>11.55</v>
      </c>
      <c r="Q1333">
        <v>11.69</v>
      </c>
      <c r="R1333">
        <v>11.66</v>
      </c>
      <c r="S1333">
        <v>1.97</v>
      </c>
      <c r="T1333">
        <v>1.01</v>
      </c>
      <c r="U1333">
        <v>16.18</v>
      </c>
      <c r="V1333">
        <v>669</v>
      </c>
      <c r="W1333">
        <v>11.65</v>
      </c>
      <c r="X1333" t="s">
        <v>8433</v>
      </c>
      <c r="Y1333" t="s">
        <v>1503</v>
      </c>
      <c r="Z1333">
        <v>1.32</v>
      </c>
      <c r="AA1333">
        <v>550</v>
      </c>
      <c r="AB1333">
        <v>517</v>
      </c>
      <c r="AC1333">
        <v>2.9</v>
      </c>
      <c r="AD1333" t="s">
        <v>8434</v>
      </c>
      <c r="AE1333" t="s">
        <v>4597</v>
      </c>
      <c r="AF1333" t="s">
        <v>750</v>
      </c>
      <c r="AG1333" t="s">
        <v>2545</v>
      </c>
      <c r="AH1333">
        <v>-4.27</v>
      </c>
      <c r="AI1333">
        <v>-7.83</v>
      </c>
      <c r="AJ1333">
        <v>3.32</v>
      </c>
      <c r="AK1333">
        <v>6.03</v>
      </c>
      <c r="AL1333">
        <v>-3</v>
      </c>
      <c r="AM1333">
        <v>-0.09</v>
      </c>
      <c r="AN1333">
        <v>-34.7</v>
      </c>
      <c r="AO1333">
        <v>0.43</v>
      </c>
      <c r="AP1333">
        <v>-42.81</v>
      </c>
    </row>
    <row r="1334" spans="1:42">
      <c r="A1334">
        <v>1333</v>
      </c>
      <c r="B1334" t="str">
        <f>"000006"</f>
        <v>000006</v>
      </c>
      <c r="C1334" t="s">
        <v>8435</v>
      </c>
      <c r="D1334">
        <v>4.67</v>
      </c>
      <c r="E1334">
        <v>0.86</v>
      </c>
      <c r="F1334">
        <v>0.04</v>
      </c>
      <c r="G1334" t="s">
        <v>3704</v>
      </c>
      <c r="H1334">
        <v>6420</v>
      </c>
      <c r="I1334">
        <v>4.67</v>
      </c>
      <c r="J1334">
        <v>4.68</v>
      </c>
      <c r="K1334" t="s">
        <v>3289</v>
      </c>
      <c r="L1334">
        <v>2.45</v>
      </c>
      <c r="M1334" t="s">
        <v>46</v>
      </c>
      <c r="N1334" t="s">
        <v>1477</v>
      </c>
      <c r="O1334">
        <v>4.69</v>
      </c>
      <c r="P1334">
        <v>4.56</v>
      </c>
      <c r="Q1334">
        <v>4.61</v>
      </c>
      <c r="R1334">
        <v>4.63</v>
      </c>
      <c r="S1334">
        <v>2.81</v>
      </c>
      <c r="T1334">
        <v>0.57</v>
      </c>
      <c r="U1334">
        <v>-14.6</v>
      </c>
      <c r="V1334">
        <v>-3243</v>
      </c>
      <c r="W1334">
        <v>4.65</v>
      </c>
      <c r="X1334" t="s">
        <v>3687</v>
      </c>
      <c r="Y1334" t="s">
        <v>1367</v>
      </c>
      <c r="Z1334">
        <v>0.91</v>
      </c>
      <c r="AA1334">
        <v>2516</v>
      </c>
      <c r="AB1334">
        <v>1824</v>
      </c>
      <c r="AC1334">
        <v>0.81</v>
      </c>
      <c r="AD1334" t="s">
        <v>8436</v>
      </c>
      <c r="AE1334" t="s">
        <v>5057</v>
      </c>
      <c r="AF1334" t="s">
        <v>8436</v>
      </c>
      <c r="AG1334" t="s">
        <v>5057</v>
      </c>
      <c r="AH1334">
        <v>0</v>
      </c>
      <c r="AI1334">
        <v>-7.52</v>
      </c>
      <c r="AJ1334">
        <v>8.57</v>
      </c>
      <c r="AK1334">
        <v>23.89</v>
      </c>
      <c r="AL1334">
        <v>2</v>
      </c>
      <c r="AM1334">
        <v>0.86</v>
      </c>
      <c r="AN1334">
        <v>-24.8</v>
      </c>
      <c r="AO1334">
        <v>5.9</v>
      </c>
      <c r="AP1334">
        <v>17.04</v>
      </c>
    </row>
    <row r="1335" spans="1:42">
      <c r="A1335">
        <v>1334</v>
      </c>
      <c r="B1335" t="str">
        <f>"002577"</f>
        <v>002577</v>
      </c>
      <c r="C1335" t="s">
        <v>8437</v>
      </c>
      <c r="D1335">
        <v>18.56</v>
      </c>
      <c r="E1335">
        <v>1.09</v>
      </c>
      <c r="F1335">
        <v>0.2</v>
      </c>
      <c r="G1335" t="s">
        <v>6356</v>
      </c>
      <c r="H1335">
        <v>1972</v>
      </c>
      <c r="I1335">
        <v>18.56</v>
      </c>
      <c r="J1335">
        <v>18.57</v>
      </c>
      <c r="K1335" t="s">
        <v>3289</v>
      </c>
      <c r="L1335">
        <v>2.93</v>
      </c>
      <c r="M1335" t="s">
        <v>46</v>
      </c>
      <c r="N1335" t="s">
        <v>4723</v>
      </c>
      <c r="O1335">
        <v>18.64</v>
      </c>
      <c r="P1335">
        <v>18.21</v>
      </c>
      <c r="Q1335">
        <v>18.36</v>
      </c>
      <c r="R1335">
        <v>18.36</v>
      </c>
      <c r="S1335">
        <v>2.34</v>
      </c>
      <c r="T1335">
        <v>0.41</v>
      </c>
      <c r="U1335">
        <v>-56.89</v>
      </c>
      <c r="V1335">
        <v>-1021</v>
      </c>
      <c r="W1335">
        <v>18.47</v>
      </c>
      <c r="X1335" t="s">
        <v>2337</v>
      </c>
      <c r="Y1335" t="s">
        <v>3925</v>
      </c>
      <c r="Z1335">
        <v>1.02</v>
      </c>
      <c r="AA1335">
        <v>135</v>
      </c>
      <c r="AB1335">
        <v>190</v>
      </c>
      <c r="AC1335">
        <v>4.53</v>
      </c>
      <c r="AD1335" t="s">
        <v>8438</v>
      </c>
      <c r="AE1335" t="s">
        <v>8439</v>
      </c>
      <c r="AF1335" t="s">
        <v>8438</v>
      </c>
      <c r="AG1335" t="s">
        <v>8439</v>
      </c>
      <c r="AH1335">
        <v>-8.93</v>
      </c>
      <c r="AI1335">
        <v>-2.52</v>
      </c>
      <c r="AJ1335">
        <v>13.25</v>
      </c>
      <c r="AK1335">
        <v>38.72</v>
      </c>
      <c r="AL1335">
        <v>1</v>
      </c>
      <c r="AM1335">
        <v>1.09</v>
      </c>
      <c r="AN1335">
        <v>65.71</v>
      </c>
      <c r="AO1335">
        <v>15.07</v>
      </c>
      <c r="AP1335">
        <v>49.32</v>
      </c>
    </row>
    <row r="1336" spans="1:42">
      <c r="A1336">
        <v>1335</v>
      </c>
      <c r="B1336" t="str">
        <f>"600446"</f>
        <v>600446</v>
      </c>
      <c r="C1336" t="s">
        <v>8440</v>
      </c>
      <c r="D1336">
        <v>11.99</v>
      </c>
      <c r="E1336">
        <v>2.65</v>
      </c>
      <c r="F1336">
        <v>0.31</v>
      </c>
      <c r="G1336" t="s">
        <v>1915</v>
      </c>
      <c r="H1336">
        <v>1761</v>
      </c>
      <c r="I1336">
        <v>11.98</v>
      </c>
      <c r="J1336">
        <v>11.99</v>
      </c>
      <c r="K1336" t="s">
        <v>3289</v>
      </c>
      <c r="L1336">
        <v>1.37</v>
      </c>
      <c r="M1336" t="s">
        <v>46</v>
      </c>
      <c r="N1336" t="s">
        <v>543</v>
      </c>
      <c r="O1336">
        <v>12.05</v>
      </c>
      <c r="P1336">
        <v>11.63</v>
      </c>
      <c r="Q1336">
        <v>11.65</v>
      </c>
      <c r="R1336">
        <v>11.68</v>
      </c>
      <c r="S1336">
        <v>3.6</v>
      </c>
      <c r="T1336">
        <v>1.09</v>
      </c>
      <c r="U1336">
        <v>-1.3</v>
      </c>
      <c r="V1336">
        <v>-54</v>
      </c>
      <c r="W1336">
        <v>11.85</v>
      </c>
      <c r="X1336" t="s">
        <v>6890</v>
      </c>
      <c r="Y1336" t="s">
        <v>3302</v>
      </c>
      <c r="Z1336">
        <v>0.72</v>
      </c>
      <c r="AA1336">
        <v>842</v>
      </c>
      <c r="AB1336">
        <v>156</v>
      </c>
      <c r="AC1336">
        <v>3.15</v>
      </c>
      <c r="AD1336" t="s">
        <v>8441</v>
      </c>
      <c r="AE1336" t="s">
        <v>8442</v>
      </c>
      <c r="AF1336" t="s">
        <v>8441</v>
      </c>
      <c r="AG1336" t="s">
        <v>8442</v>
      </c>
      <c r="AH1336">
        <v>0.25</v>
      </c>
      <c r="AI1336">
        <v>-2.91</v>
      </c>
      <c r="AJ1336">
        <v>3.37</v>
      </c>
      <c r="AK1336">
        <v>7.63</v>
      </c>
      <c r="AL1336">
        <v>1</v>
      </c>
      <c r="AM1336">
        <v>2.65</v>
      </c>
      <c r="AN1336">
        <v>16.86</v>
      </c>
      <c r="AO1336">
        <v>1.27</v>
      </c>
      <c r="AP1336">
        <v>7.44</v>
      </c>
    </row>
    <row r="1337" spans="1:42">
      <c r="A1337">
        <v>1336</v>
      </c>
      <c r="B1337" t="str">
        <f>"603200"</f>
        <v>603200</v>
      </c>
      <c r="C1337" t="s">
        <v>8443</v>
      </c>
      <c r="D1337">
        <v>20.7</v>
      </c>
      <c r="E1337">
        <v>0.73</v>
      </c>
      <c r="F1337">
        <v>0.15</v>
      </c>
      <c r="G1337" t="s">
        <v>5969</v>
      </c>
      <c r="H1337">
        <v>572</v>
      </c>
      <c r="I1337">
        <v>20.69</v>
      </c>
      <c r="J1337">
        <v>20.7</v>
      </c>
      <c r="K1337" t="s">
        <v>3289</v>
      </c>
      <c r="L1337">
        <v>4.28</v>
      </c>
      <c r="M1337" t="s">
        <v>46</v>
      </c>
      <c r="N1337" t="s">
        <v>3810</v>
      </c>
      <c r="O1337">
        <v>20.8</v>
      </c>
      <c r="P1337">
        <v>20.11</v>
      </c>
      <c r="Q1337">
        <v>20.7</v>
      </c>
      <c r="R1337">
        <v>20.55</v>
      </c>
      <c r="S1337">
        <v>3.36</v>
      </c>
      <c r="T1337">
        <v>1.42</v>
      </c>
      <c r="U1337">
        <v>0.41</v>
      </c>
      <c r="V1337">
        <v>1</v>
      </c>
      <c r="W1337">
        <v>20.5</v>
      </c>
      <c r="X1337" t="s">
        <v>7389</v>
      </c>
      <c r="Y1337" t="s">
        <v>5963</v>
      </c>
      <c r="Z1337">
        <v>0.66</v>
      </c>
      <c r="AA1337">
        <v>2</v>
      </c>
      <c r="AB1337">
        <v>8</v>
      </c>
      <c r="AC1337">
        <v>3.94</v>
      </c>
      <c r="AD1337" t="s">
        <v>8444</v>
      </c>
      <c r="AE1337" t="s">
        <v>8445</v>
      </c>
      <c r="AF1337" t="s">
        <v>8444</v>
      </c>
      <c r="AG1337" t="s">
        <v>8445</v>
      </c>
      <c r="AH1337">
        <v>7.42</v>
      </c>
      <c r="AI1337">
        <v>9.47</v>
      </c>
      <c r="AJ1337">
        <v>14.54</v>
      </c>
      <c r="AK1337">
        <v>19.31</v>
      </c>
      <c r="AL1337">
        <v>5</v>
      </c>
      <c r="AM1337">
        <v>0.73</v>
      </c>
      <c r="AN1337">
        <v>25.45</v>
      </c>
      <c r="AO1337">
        <v>15.13</v>
      </c>
      <c r="AP1337">
        <v>14.11</v>
      </c>
    </row>
    <row r="1338" spans="1:42">
      <c r="A1338">
        <v>1337</v>
      </c>
      <c r="B1338" t="str">
        <f>"688116"</f>
        <v>688116</v>
      </c>
      <c r="C1338" t="s">
        <v>8446</v>
      </c>
      <c r="D1338">
        <v>27.74</v>
      </c>
      <c r="E1338">
        <v>-2.91</v>
      </c>
      <c r="F1338">
        <v>-0.83</v>
      </c>
      <c r="G1338" t="s">
        <v>2405</v>
      </c>
      <c r="H1338">
        <v>347</v>
      </c>
      <c r="I1338">
        <v>27.74</v>
      </c>
      <c r="J1338">
        <v>27.75</v>
      </c>
      <c r="K1338" t="s">
        <v>3289</v>
      </c>
      <c r="L1338">
        <v>1.6</v>
      </c>
      <c r="M1338" t="s">
        <v>46</v>
      </c>
      <c r="N1338" t="s">
        <v>5944</v>
      </c>
      <c r="O1338">
        <v>28.57</v>
      </c>
      <c r="P1338">
        <v>27.4</v>
      </c>
      <c r="Q1338">
        <v>28.57</v>
      </c>
      <c r="R1338">
        <v>28.57</v>
      </c>
      <c r="S1338">
        <v>4.1</v>
      </c>
      <c r="T1338">
        <v>1.17</v>
      </c>
      <c r="U1338">
        <v>66.37</v>
      </c>
      <c r="V1338">
        <v>269</v>
      </c>
      <c r="W1338">
        <v>27.74</v>
      </c>
      <c r="X1338" t="s">
        <v>3033</v>
      </c>
      <c r="Y1338" t="s">
        <v>3662</v>
      </c>
      <c r="Z1338">
        <v>1.24</v>
      </c>
      <c r="AA1338">
        <v>53</v>
      </c>
      <c r="AB1338">
        <v>14</v>
      </c>
      <c r="AC1338">
        <v>3.83</v>
      </c>
      <c r="AD1338" t="s">
        <v>8447</v>
      </c>
      <c r="AE1338" t="s">
        <v>8448</v>
      </c>
      <c r="AF1338" t="s">
        <v>8447</v>
      </c>
      <c r="AG1338" t="s">
        <v>8448</v>
      </c>
      <c r="AH1338">
        <v>-3.71</v>
      </c>
      <c r="AI1338">
        <v>-3.85</v>
      </c>
      <c r="AJ1338">
        <v>4.97</v>
      </c>
      <c r="AK1338">
        <v>8.42</v>
      </c>
      <c r="AL1338">
        <v>-2</v>
      </c>
      <c r="AM1338">
        <v>-2.91</v>
      </c>
      <c r="AN1338">
        <v>-46.72</v>
      </c>
      <c r="AO1338">
        <v>-3.01</v>
      </c>
      <c r="AP1338">
        <v>-57.67</v>
      </c>
    </row>
    <row r="1339" spans="1:42">
      <c r="A1339">
        <v>1338</v>
      </c>
      <c r="B1339" t="str">
        <f>"600172"</f>
        <v>600172</v>
      </c>
      <c r="C1339" t="s">
        <v>8449</v>
      </c>
      <c r="D1339">
        <v>4.03</v>
      </c>
      <c r="E1339">
        <v>0.75</v>
      </c>
      <c r="F1339">
        <v>0.03</v>
      </c>
      <c r="G1339" t="s">
        <v>1326</v>
      </c>
      <c r="H1339">
        <v>7896</v>
      </c>
      <c r="I1339">
        <v>4.02</v>
      </c>
      <c r="J1339">
        <v>4.03</v>
      </c>
      <c r="K1339" t="s">
        <v>3289</v>
      </c>
      <c r="L1339">
        <v>2.99</v>
      </c>
      <c r="M1339" t="s">
        <v>46</v>
      </c>
      <c r="N1339" t="s">
        <v>4326</v>
      </c>
      <c r="O1339">
        <v>4.03</v>
      </c>
      <c r="P1339">
        <v>3.93</v>
      </c>
      <c r="Q1339">
        <v>3.99</v>
      </c>
      <c r="R1339">
        <v>4</v>
      </c>
      <c r="S1339">
        <v>2.5</v>
      </c>
      <c r="T1339">
        <v>0.49</v>
      </c>
      <c r="U1339">
        <v>-11.45</v>
      </c>
      <c r="V1339">
        <v>-5761</v>
      </c>
      <c r="W1339">
        <v>4</v>
      </c>
      <c r="X1339" t="s">
        <v>652</v>
      </c>
      <c r="Y1339" t="s">
        <v>2382</v>
      </c>
      <c r="Z1339">
        <v>1.01</v>
      </c>
      <c r="AA1339">
        <v>1369</v>
      </c>
      <c r="AB1339">
        <v>3130</v>
      </c>
      <c r="AC1339">
        <v>1.99</v>
      </c>
      <c r="AD1339" t="s">
        <v>8450</v>
      </c>
      <c r="AE1339" t="s">
        <v>8451</v>
      </c>
      <c r="AF1339" t="s">
        <v>8452</v>
      </c>
      <c r="AG1339" t="s">
        <v>8453</v>
      </c>
      <c r="AH1339">
        <v>-3.12</v>
      </c>
      <c r="AI1339">
        <v>-6.28</v>
      </c>
      <c r="AJ1339">
        <v>12.83</v>
      </c>
      <c r="AK1339">
        <v>33.57</v>
      </c>
      <c r="AL1339">
        <v>1</v>
      </c>
      <c r="AM1339">
        <v>0.75</v>
      </c>
      <c r="AN1339">
        <v>-16.74</v>
      </c>
      <c r="AO1339">
        <v>13.84</v>
      </c>
      <c r="AP1339">
        <v>-25.78</v>
      </c>
    </row>
    <row r="1340" spans="1:42">
      <c r="A1340">
        <v>1339</v>
      </c>
      <c r="B1340" t="str">
        <f>"300547"</f>
        <v>300547</v>
      </c>
      <c r="C1340" t="s">
        <v>8454</v>
      </c>
      <c r="D1340">
        <v>17.97</v>
      </c>
      <c r="E1340">
        <v>-1.16</v>
      </c>
      <c r="F1340">
        <v>-0.21</v>
      </c>
      <c r="G1340" t="s">
        <v>2502</v>
      </c>
      <c r="H1340">
        <v>2368</v>
      </c>
      <c r="I1340">
        <v>17.96</v>
      </c>
      <c r="J1340">
        <v>17.97</v>
      </c>
      <c r="K1340" t="s">
        <v>3289</v>
      </c>
      <c r="L1340">
        <v>4.82</v>
      </c>
      <c r="M1340" t="s">
        <v>46</v>
      </c>
      <c r="N1340" t="s">
        <v>6795</v>
      </c>
      <c r="O1340">
        <v>18.42</v>
      </c>
      <c r="P1340">
        <v>17.63</v>
      </c>
      <c r="Q1340">
        <v>18.42</v>
      </c>
      <c r="R1340">
        <v>18.18</v>
      </c>
      <c r="S1340">
        <v>4.35</v>
      </c>
      <c r="T1340">
        <v>0.51</v>
      </c>
      <c r="U1340">
        <v>-30.12</v>
      </c>
      <c r="V1340">
        <v>-543</v>
      </c>
      <c r="W1340">
        <v>17.85</v>
      </c>
      <c r="X1340" t="s">
        <v>3255</v>
      </c>
      <c r="Y1340" t="s">
        <v>4148</v>
      </c>
      <c r="Z1340">
        <v>1.4</v>
      </c>
      <c r="AA1340">
        <v>56</v>
      </c>
      <c r="AB1340">
        <v>232</v>
      </c>
      <c r="AC1340">
        <v>3.77</v>
      </c>
      <c r="AD1340" t="s">
        <v>8455</v>
      </c>
      <c r="AE1340" t="s">
        <v>8456</v>
      </c>
      <c r="AF1340" t="s">
        <v>8457</v>
      </c>
      <c r="AG1340" t="s">
        <v>8458</v>
      </c>
      <c r="AH1340">
        <v>-3.39</v>
      </c>
      <c r="AI1340">
        <v>-3.13</v>
      </c>
      <c r="AJ1340">
        <v>24.83</v>
      </c>
      <c r="AK1340">
        <v>51.89</v>
      </c>
      <c r="AL1340">
        <v>-2</v>
      </c>
      <c r="AM1340">
        <v>-1.16</v>
      </c>
      <c r="AN1340">
        <v>26.91</v>
      </c>
      <c r="AO1340">
        <v>6.52</v>
      </c>
      <c r="AP1340">
        <v>5.96</v>
      </c>
    </row>
    <row r="1341" spans="1:42">
      <c r="A1341">
        <v>1340</v>
      </c>
      <c r="B1341" t="str">
        <f>"600918"</f>
        <v>600918</v>
      </c>
      <c r="C1341" t="s">
        <v>8459</v>
      </c>
      <c r="D1341">
        <v>7.26</v>
      </c>
      <c r="E1341">
        <v>0.97</v>
      </c>
      <c r="F1341">
        <v>0.07</v>
      </c>
      <c r="G1341" t="s">
        <v>1125</v>
      </c>
      <c r="H1341">
        <v>5262</v>
      </c>
      <c r="I1341">
        <v>7.25</v>
      </c>
      <c r="J1341">
        <v>7.26</v>
      </c>
      <c r="K1341" t="s">
        <v>3289</v>
      </c>
      <c r="L1341">
        <v>0.53</v>
      </c>
      <c r="M1341" t="s">
        <v>46</v>
      </c>
      <c r="N1341" t="s">
        <v>8460</v>
      </c>
      <c r="O1341">
        <v>7.26</v>
      </c>
      <c r="P1341">
        <v>7.17</v>
      </c>
      <c r="Q1341">
        <v>7.19</v>
      </c>
      <c r="R1341">
        <v>7.19</v>
      </c>
      <c r="S1341">
        <v>1.25</v>
      </c>
      <c r="T1341">
        <v>1.21</v>
      </c>
      <c r="U1341">
        <v>-49.49</v>
      </c>
      <c r="V1341" t="s">
        <v>7915</v>
      </c>
      <c r="W1341">
        <v>7.22</v>
      </c>
      <c r="X1341" t="s">
        <v>8145</v>
      </c>
      <c r="Y1341" t="s">
        <v>1807</v>
      </c>
      <c r="Z1341">
        <v>0.8</v>
      </c>
      <c r="AA1341">
        <v>655</v>
      </c>
      <c r="AB1341">
        <v>336</v>
      </c>
      <c r="AC1341">
        <v>1.37</v>
      </c>
      <c r="AD1341" t="s">
        <v>8461</v>
      </c>
      <c r="AE1341" t="s">
        <v>8462</v>
      </c>
      <c r="AF1341" t="s">
        <v>8463</v>
      </c>
      <c r="AG1341" t="s">
        <v>8464</v>
      </c>
      <c r="AH1341">
        <v>1.26</v>
      </c>
      <c r="AI1341">
        <v>-0.68</v>
      </c>
      <c r="AJ1341">
        <v>1.42</v>
      </c>
      <c r="AK1341">
        <v>2.74</v>
      </c>
      <c r="AL1341">
        <v>2</v>
      </c>
      <c r="AM1341">
        <v>0.97</v>
      </c>
      <c r="AN1341">
        <v>13.79</v>
      </c>
      <c r="AO1341">
        <v>0.14</v>
      </c>
      <c r="AP1341">
        <v>7.4</v>
      </c>
    </row>
    <row r="1342" spans="1:42">
      <c r="A1342">
        <v>1341</v>
      </c>
      <c r="B1342" t="str">
        <f>"301382"</f>
        <v>301382</v>
      </c>
      <c r="C1342" t="s">
        <v>8465</v>
      </c>
      <c r="D1342">
        <v>40.4</v>
      </c>
      <c r="E1342">
        <v>3.46</v>
      </c>
      <c r="F1342">
        <v>1.35</v>
      </c>
      <c r="G1342" t="s">
        <v>6302</v>
      </c>
      <c r="H1342">
        <v>465</v>
      </c>
      <c r="I1342">
        <v>40.39</v>
      </c>
      <c r="J1342">
        <v>40.4</v>
      </c>
      <c r="K1342" t="s">
        <v>3289</v>
      </c>
      <c r="L1342">
        <v>10.03</v>
      </c>
      <c r="M1342" t="s">
        <v>46</v>
      </c>
      <c r="N1342" t="s">
        <v>1653</v>
      </c>
      <c r="O1342">
        <v>40.47</v>
      </c>
      <c r="P1342">
        <v>39.05</v>
      </c>
      <c r="Q1342">
        <v>39.19</v>
      </c>
      <c r="R1342">
        <v>39.05</v>
      </c>
      <c r="S1342">
        <v>3.64</v>
      </c>
      <c r="T1342">
        <v>1.17</v>
      </c>
      <c r="U1342">
        <v>-32.01</v>
      </c>
      <c r="V1342">
        <v>-315</v>
      </c>
      <c r="W1342">
        <v>39.85</v>
      </c>
      <c r="X1342" t="s">
        <v>1384</v>
      </c>
      <c r="Y1342" t="s">
        <v>4013</v>
      </c>
      <c r="Z1342">
        <v>0.54</v>
      </c>
      <c r="AA1342">
        <v>30</v>
      </c>
      <c r="AB1342">
        <v>277</v>
      </c>
      <c r="AC1342">
        <v>4.2</v>
      </c>
      <c r="AD1342" t="s">
        <v>8466</v>
      </c>
      <c r="AE1342" t="s">
        <v>8467</v>
      </c>
      <c r="AF1342" t="s">
        <v>8468</v>
      </c>
      <c r="AG1342" t="s">
        <v>5493</v>
      </c>
      <c r="AH1342">
        <v>0.32</v>
      </c>
      <c r="AI1342">
        <v>-1.42</v>
      </c>
      <c r="AJ1342">
        <v>24.64</v>
      </c>
      <c r="AK1342">
        <v>53.07</v>
      </c>
      <c r="AL1342">
        <v>1</v>
      </c>
      <c r="AM1342">
        <v>3.46</v>
      </c>
      <c r="AN1342">
        <v>69.75</v>
      </c>
      <c r="AO1342">
        <v>-1.8</v>
      </c>
      <c r="AP1342">
        <v>69.75</v>
      </c>
    </row>
    <row r="1343" spans="1:42">
      <c r="A1343">
        <v>1342</v>
      </c>
      <c r="B1343" t="str">
        <f>"300878"</f>
        <v>300878</v>
      </c>
      <c r="C1343" t="s">
        <v>8469</v>
      </c>
      <c r="D1343">
        <v>28.29</v>
      </c>
      <c r="E1343">
        <v>-0.32</v>
      </c>
      <c r="F1343">
        <v>-0.09</v>
      </c>
      <c r="G1343" t="s">
        <v>744</v>
      </c>
      <c r="H1343">
        <v>1060</v>
      </c>
      <c r="I1343">
        <v>28.29</v>
      </c>
      <c r="J1343">
        <v>28.3</v>
      </c>
      <c r="K1343" t="s">
        <v>3289</v>
      </c>
      <c r="L1343">
        <v>6.96</v>
      </c>
      <c r="M1343" t="s">
        <v>46</v>
      </c>
      <c r="N1343" t="s">
        <v>8470</v>
      </c>
      <c r="O1343">
        <v>28.6</v>
      </c>
      <c r="P1343">
        <v>27.93</v>
      </c>
      <c r="Q1343">
        <v>28.2</v>
      </c>
      <c r="R1343">
        <v>28.38</v>
      </c>
      <c r="S1343">
        <v>2.36</v>
      </c>
      <c r="T1343">
        <v>0.53</v>
      </c>
      <c r="U1343">
        <v>37.44</v>
      </c>
      <c r="V1343">
        <v>243</v>
      </c>
      <c r="W1343">
        <v>28.18</v>
      </c>
      <c r="X1343" t="s">
        <v>5444</v>
      </c>
      <c r="Y1343" t="s">
        <v>6675</v>
      </c>
      <c r="Z1343">
        <v>0.99</v>
      </c>
      <c r="AA1343">
        <v>68</v>
      </c>
      <c r="AB1343">
        <v>108</v>
      </c>
      <c r="AC1343">
        <v>2.79</v>
      </c>
      <c r="AD1343" t="s">
        <v>8471</v>
      </c>
      <c r="AE1343" t="s">
        <v>8472</v>
      </c>
      <c r="AF1343" t="s">
        <v>8473</v>
      </c>
      <c r="AG1343" t="s">
        <v>500</v>
      </c>
      <c r="AH1343">
        <v>-2.82</v>
      </c>
      <c r="AI1343">
        <v>-8.48</v>
      </c>
      <c r="AJ1343">
        <v>26.15</v>
      </c>
      <c r="AK1343">
        <v>72.4</v>
      </c>
      <c r="AL1343">
        <v>-5</v>
      </c>
      <c r="AM1343">
        <v>-0.32</v>
      </c>
      <c r="AN1343">
        <v>14.07</v>
      </c>
      <c r="AO1343">
        <v>12.44</v>
      </c>
      <c r="AP1343">
        <v>4.12</v>
      </c>
    </row>
    <row r="1344" spans="1:42">
      <c r="A1344">
        <v>1343</v>
      </c>
      <c r="B1344" t="str">
        <f>"002093"</f>
        <v>002093</v>
      </c>
      <c r="C1344" t="s">
        <v>8474</v>
      </c>
      <c r="D1344">
        <v>8.27</v>
      </c>
      <c r="E1344">
        <v>2.35</v>
      </c>
      <c r="F1344">
        <v>0.19</v>
      </c>
      <c r="G1344" t="s">
        <v>4161</v>
      </c>
      <c r="H1344">
        <v>2160</v>
      </c>
      <c r="I1344">
        <v>8.27</v>
      </c>
      <c r="J1344">
        <v>8.28</v>
      </c>
      <c r="K1344" t="s">
        <v>8475</v>
      </c>
      <c r="L1344">
        <v>1.84</v>
      </c>
      <c r="M1344" t="s">
        <v>46</v>
      </c>
      <c r="N1344" t="s">
        <v>4530</v>
      </c>
      <c r="O1344">
        <v>8.29</v>
      </c>
      <c r="P1344">
        <v>8.02</v>
      </c>
      <c r="Q1344">
        <v>8.06</v>
      </c>
      <c r="R1344">
        <v>8.08</v>
      </c>
      <c r="S1344">
        <v>3.34</v>
      </c>
      <c r="T1344">
        <v>1.17</v>
      </c>
      <c r="U1344">
        <v>-44.31</v>
      </c>
      <c r="V1344">
        <v>-7805</v>
      </c>
      <c r="W1344">
        <v>8.21</v>
      </c>
      <c r="X1344" t="s">
        <v>8476</v>
      </c>
      <c r="Y1344" t="s">
        <v>1937</v>
      </c>
      <c r="Z1344">
        <v>0.55</v>
      </c>
      <c r="AA1344">
        <v>533</v>
      </c>
      <c r="AB1344">
        <v>2921</v>
      </c>
      <c r="AC1344">
        <v>2.29</v>
      </c>
      <c r="AD1344" t="s">
        <v>1119</v>
      </c>
      <c r="AE1344" t="s">
        <v>8477</v>
      </c>
      <c r="AF1344" t="s">
        <v>1119</v>
      </c>
      <c r="AG1344" t="s">
        <v>8478</v>
      </c>
      <c r="AH1344">
        <v>1.1</v>
      </c>
      <c r="AI1344">
        <v>-2.13</v>
      </c>
      <c r="AJ1344">
        <v>5.13</v>
      </c>
      <c r="AK1344">
        <v>9.75</v>
      </c>
      <c r="AL1344">
        <v>1</v>
      </c>
      <c r="AM1344">
        <v>2.35</v>
      </c>
      <c r="AN1344">
        <v>9.1</v>
      </c>
      <c r="AO1344">
        <v>8.1</v>
      </c>
      <c r="AP1344">
        <v>16.32</v>
      </c>
    </row>
    <row r="1345" spans="1:42">
      <c r="A1345">
        <v>1344</v>
      </c>
      <c r="B1345" t="str">
        <f>"300519"</f>
        <v>300519</v>
      </c>
      <c r="C1345" t="s">
        <v>8479</v>
      </c>
      <c r="D1345">
        <v>17.66</v>
      </c>
      <c r="E1345">
        <v>-1.51</v>
      </c>
      <c r="F1345">
        <v>-0.27</v>
      </c>
      <c r="G1345" t="s">
        <v>6475</v>
      </c>
      <c r="H1345">
        <v>1247</v>
      </c>
      <c r="I1345">
        <v>17.65</v>
      </c>
      <c r="J1345">
        <v>17.66</v>
      </c>
      <c r="K1345" t="s">
        <v>8475</v>
      </c>
      <c r="L1345">
        <v>7.55</v>
      </c>
      <c r="M1345" t="s">
        <v>46</v>
      </c>
      <c r="N1345" t="s">
        <v>6123</v>
      </c>
      <c r="O1345">
        <v>18</v>
      </c>
      <c r="P1345">
        <v>17.42</v>
      </c>
      <c r="Q1345">
        <v>17.7</v>
      </c>
      <c r="R1345">
        <v>17.93</v>
      </c>
      <c r="S1345">
        <v>3.23</v>
      </c>
      <c r="T1345">
        <v>0.62</v>
      </c>
      <c r="U1345">
        <v>61.85</v>
      </c>
      <c r="V1345">
        <v>467</v>
      </c>
      <c r="W1345">
        <v>17.67</v>
      </c>
      <c r="X1345" t="s">
        <v>4766</v>
      </c>
      <c r="Y1345" t="s">
        <v>5767</v>
      </c>
      <c r="Z1345">
        <v>1.08</v>
      </c>
      <c r="AA1345">
        <v>41</v>
      </c>
      <c r="AB1345">
        <v>89</v>
      </c>
      <c r="AC1345">
        <v>3.37</v>
      </c>
      <c r="AD1345" t="s">
        <v>2521</v>
      </c>
      <c r="AE1345" t="s">
        <v>8480</v>
      </c>
      <c r="AF1345" t="s">
        <v>8481</v>
      </c>
      <c r="AG1345" t="s">
        <v>4240</v>
      </c>
      <c r="AH1345">
        <v>0</v>
      </c>
      <c r="AI1345">
        <v>-4.59</v>
      </c>
      <c r="AJ1345">
        <v>24.82</v>
      </c>
      <c r="AK1345">
        <v>68.19</v>
      </c>
      <c r="AL1345">
        <v>-1</v>
      </c>
      <c r="AM1345">
        <v>-1.51</v>
      </c>
      <c r="AN1345">
        <v>16.49</v>
      </c>
      <c r="AO1345">
        <v>9.69</v>
      </c>
      <c r="AP1345">
        <v>-0.79</v>
      </c>
    </row>
    <row r="1346" spans="1:42">
      <c r="A1346">
        <v>1345</v>
      </c>
      <c r="B1346" t="str">
        <f>"601991"</f>
        <v>601991</v>
      </c>
      <c r="C1346" t="s">
        <v>8482</v>
      </c>
      <c r="D1346">
        <v>2.5</v>
      </c>
      <c r="E1346">
        <v>0</v>
      </c>
      <c r="F1346">
        <v>0</v>
      </c>
      <c r="G1346" t="s">
        <v>2552</v>
      </c>
      <c r="H1346">
        <v>8340</v>
      </c>
      <c r="I1346">
        <v>2.49</v>
      </c>
      <c r="J1346">
        <v>2.5</v>
      </c>
      <c r="K1346" t="s">
        <v>8475</v>
      </c>
      <c r="L1346">
        <v>0.49</v>
      </c>
      <c r="M1346" t="s">
        <v>46</v>
      </c>
      <c r="N1346" t="s">
        <v>8483</v>
      </c>
      <c r="O1346">
        <v>2.51</v>
      </c>
      <c r="P1346">
        <v>2.48</v>
      </c>
      <c r="Q1346">
        <v>2.5</v>
      </c>
      <c r="R1346">
        <v>2.5</v>
      </c>
      <c r="S1346">
        <v>1.2</v>
      </c>
      <c r="T1346">
        <v>1.09</v>
      </c>
      <c r="U1346">
        <v>-29.62</v>
      </c>
      <c r="V1346" t="s">
        <v>8484</v>
      </c>
      <c r="W1346">
        <v>2.5</v>
      </c>
      <c r="X1346" t="s">
        <v>3267</v>
      </c>
      <c r="Y1346" t="s">
        <v>2066</v>
      </c>
      <c r="Z1346">
        <v>0.94</v>
      </c>
      <c r="AA1346" t="s">
        <v>3925</v>
      </c>
      <c r="AB1346">
        <v>9245</v>
      </c>
      <c r="AC1346">
        <v>1.57</v>
      </c>
      <c r="AD1346" t="s">
        <v>8485</v>
      </c>
      <c r="AE1346" t="s">
        <v>3264</v>
      </c>
      <c r="AF1346" t="s">
        <v>8486</v>
      </c>
      <c r="AG1346" t="s">
        <v>6077</v>
      </c>
      <c r="AH1346">
        <v>-0.4</v>
      </c>
      <c r="AI1346">
        <v>-1.19</v>
      </c>
      <c r="AJ1346">
        <v>1.53</v>
      </c>
      <c r="AK1346">
        <v>2.74</v>
      </c>
      <c r="AL1346">
        <v>0</v>
      </c>
      <c r="AM1346">
        <v>0</v>
      </c>
      <c r="AN1346">
        <v>-9.42</v>
      </c>
      <c r="AO1346">
        <v>-4.21</v>
      </c>
      <c r="AP1346">
        <v>-9.09</v>
      </c>
    </row>
    <row r="1347" spans="1:42">
      <c r="A1347">
        <v>1346</v>
      </c>
      <c r="B1347" t="str">
        <f>"300374"</f>
        <v>300374</v>
      </c>
      <c r="C1347" t="s">
        <v>8487</v>
      </c>
      <c r="D1347">
        <v>13.39</v>
      </c>
      <c r="E1347">
        <v>3.8</v>
      </c>
      <c r="F1347">
        <v>0.49</v>
      </c>
      <c r="G1347" t="s">
        <v>656</v>
      </c>
      <c r="H1347">
        <v>1665</v>
      </c>
      <c r="I1347">
        <v>13.39</v>
      </c>
      <c r="J1347">
        <v>13.4</v>
      </c>
      <c r="K1347" t="s">
        <v>8475</v>
      </c>
      <c r="L1347">
        <v>5.93</v>
      </c>
      <c r="M1347" t="s">
        <v>46</v>
      </c>
      <c r="N1347" t="s">
        <v>8488</v>
      </c>
      <c r="O1347">
        <v>13.97</v>
      </c>
      <c r="P1347">
        <v>12.84</v>
      </c>
      <c r="Q1347">
        <v>12.91</v>
      </c>
      <c r="R1347">
        <v>12.9</v>
      </c>
      <c r="S1347">
        <v>8.76</v>
      </c>
      <c r="T1347">
        <v>3.85</v>
      </c>
      <c r="U1347">
        <v>-3.49</v>
      </c>
      <c r="V1347">
        <v>-44</v>
      </c>
      <c r="W1347">
        <v>13.52</v>
      </c>
      <c r="X1347" t="s">
        <v>6085</v>
      </c>
      <c r="Y1347" t="s">
        <v>4049</v>
      </c>
      <c r="Z1347">
        <v>0.95</v>
      </c>
      <c r="AA1347">
        <v>341</v>
      </c>
      <c r="AB1347">
        <v>480</v>
      </c>
      <c r="AC1347">
        <v>3.89</v>
      </c>
      <c r="AD1347" t="s">
        <v>8489</v>
      </c>
      <c r="AE1347" t="s">
        <v>8490</v>
      </c>
      <c r="AF1347" t="s">
        <v>8491</v>
      </c>
      <c r="AG1347" t="s">
        <v>8492</v>
      </c>
      <c r="AH1347">
        <v>1.75</v>
      </c>
      <c r="AI1347">
        <v>-1.18</v>
      </c>
      <c r="AJ1347">
        <v>9.23</v>
      </c>
      <c r="AK1347">
        <v>13.62</v>
      </c>
      <c r="AL1347">
        <v>1</v>
      </c>
      <c r="AM1347">
        <v>3.8</v>
      </c>
      <c r="AN1347">
        <v>0.83</v>
      </c>
      <c r="AO1347">
        <v>4.77</v>
      </c>
      <c r="AP1347">
        <v>0.53</v>
      </c>
    </row>
    <row r="1348" spans="1:42">
      <c r="A1348">
        <v>1347</v>
      </c>
      <c r="B1348" t="str">
        <f>"002864"</f>
        <v>002864</v>
      </c>
      <c r="C1348" t="s">
        <v>8493</v>
      </c>
      <c r="D1348">
        <v>42.13</v>
      </c>
      <c r="E1348">
        <v>1.59</v>
      </c>
      <c r="F1348">
        <v>0.66</v>
      </c>
      <c r="G1348" t="s">
        <v>5323</v>
      </c>
      <c r="H1348">
        <v>282</v>
      </c>
      <c r="I1348">
        <v>42.12</v>
      </c>
      <c r="J1348">
        <v>42.13</v>
      </c>
      <c r="K1348" t="s">
        <v>8494</v>
      </c>
      <c r="L1348">
        <v>5.59</v>
      </c>
      <c r="M1348" t="s">
        <v>46</v>
      </c>
      <c r="N1348" t="s">
        <v>8495</v>
      </c>
      <c r="O1348">
        <v>42.6</v>
      </c>
      <c r="P1348">
        <v>41.2</v>
      </c>
      <c r="Q1348">
        <v>41.2</v>
      </c>
      <c r="R1348">
        <v>41.47</v>
      </c>
      <c r="S1348">
        <v>3.38</v>
      </c>
      <c r="T1348">
        <v>0.77</v>
      </c>
      <c r="U1348">
        <v>4.27</v>
      </c>
      <c r="V1348">
        <v>12</v>
      </c>
      <c r="W1348">
        <v>41.92</v>
      </c>
      <c r="X1348" t="s">
        <v>325</v>
      </c>
      <c r="Y1348" t="s">
        <v>1255</v>
      </c>
      <c r="Z1348">
        <v>1.02</v>
      </c>
      <c r="AA1348">
        <v>14</v>
      </c>
      <c r="AB1348">
        <v>25</v>
      </c>
      <c r="AC1348">
        <v>2.94</v>
      </c>
      <c r="AD1348" t="s">
        <v>8496</v>
      </c>
      <c r="AE1348" t="s">
        <v>8497</v>
      </c>
      <c r="AF1348" t="s">
        <v>8498</v>
      </c>
      <c r="AG1348" t="s">
        <v>8499</v>
      </c>
      <c r="AH1348">
        <v>-0.47</v>
      </c>
      <c r="AI1348">
        <v>-2.66</v>
      </c>
      <c r="AJ1348">
        <v>14.16</v>
      </c>
      <c r="AK1348">
        <v>41.92</v>
      </c>
      <c r="AL1348">
        <v>1</v>
      </c>
      <c r="AM1348">
        <v>1.59</v>
      </c>
      <c r="AN1348">
        <v>9.17</v>
      </c>
      <c r="AO1348">
        <v>1.01</v>
      </c>
      <c r="AP1348">
        <v>-0.17</v>
      </c>
    </row>
    <row r="1349" spans="1:42">
      <c r="A1349">
        <v>1348</v>
      </c>
      <c r="B1349" t="str">
        <f>"002395"</f>
        <v>002395</v>
      </c>
      <c r="C1349" t="s">
        <v>8500</v>
      </c>
      <c r="D1349">
        <v>12.21</v>
      </c>
      <c r="E1349">
        <v>-0.65</v>
      </c>
      <c r="F1349">
        <v>-0.08</v>
      </c>
      <c r="G1349" t="s">
        <v>1261</v>
      </c>
      <c r="H1349">
        <v>5328</v>
      </c>
      <c r="I1349">
        <v>12.2</v>
      </c>
      <c r="J1349">
        <v>12.21</v>
      </c>
      <c r="K1349" t="s">
        <v>8494</v>
      </c>
      <c r="L1349">
        <v>4.64</v>
      </c>
      <c r="M1349" t="s">
        <v>46</v>
      </c>
      <c r="N1349" t="s">
        <v>261</v>
      </c>
      <c r="O1349">
        <v>12.32</v>
      </c>
      <c r="P1349">
        <v>11.99</v>
      </c>
      <c r="Q1349">
        <v>12.32</v>
      </c>
      <c r="R1349">
        <v>12.29</v>
      </c>
      <c r="S1349">
        <v>2.69</v>
      </c>
      <c r="T1349">
        <v>0.78</v>
      </c>
      <c r="U1349">
        <v>76.02</v>
      </c>
      <c r="V1349">
        <v>2859</v>
      </c>
      <c r="W1349">
        <v>12.17</v>
      </c>
      <c r="X1349" t="s">
        <v>8501</v>
      </c>
      <c r="Y1349" t="s">
        <v>7519</v>
      </c>
      <c r="Z1349">
        <v>1.29</v>
      </c>
      <c r="AA1349">
        <v>1168</v>
      </c>
      <c r="AB1349">
        <v>14</v>
      </c>
      <c r="AC1349">
        <v>3.61</v>
      </c>
      <c r="AD1349" t="s">
        <v>8502</v>
      </c>
      <c r="AE1349" t="s">
        <v>8503</v>
      </c>
      <c r="AF1349" t="s">
        <v>8502</v>
      </c>
      <c r="AG1349" t="s">
        <v>8503</v>
      </c>
      <c r="AH1349">
        <v>-5.93</v>
      </c>
      <c r="AI1349">
        <v>2.43</v>
      </c>
      <c r="AJ1349">
        <v>24.94</v>
      </c>
      <c r="AK1349">
        <v>34.42</v>
      </c>
      <c r="AL1349">
        <v>-3</v>
      </c>
      <c r="AM1349">
        <v>-0.65</v>
      </c>
      <c r="AN1349">
        <v>25.49</v>
      </c>
      <c r="AO1349">
        <v>7.86</v>
      </c>
      <c r="AP1349">
        <v>8.24</v>
      </c>
    </row>
    <row r="1350" spans="1:42">
      <c r="A1350">
        <v>1349</v>
      </c>
      <c r="B1350" t="str">
        <f>"000793"</f>
        <v>000793</v>
      </c>
      <c r="C1350" t="s">
        <v>8504</v>
      </c>
      <c r="D1350">
        <v>2.41</v>
      </c>
      <c r="E1350">
        <v>5.24</v>
      </c>
      <c r="F1350">
        <v>0.12</v>
      </c>
      <c r="G1350" t="s">
        <v>3048</v>
      </c>
      <c r="H1350">
        <v>8067</v>
      </c>
      <c r="I1350">
        <v>2.4</v>
      </c>
      <c r="J1350">
        <v>2.41</v>
      </c>
      <c r="K1350" t="s">
        <v>8494</v>
      </c>
      <c r="L1350">
        <v>3.25</v>
      </c>
      <c r="M1350" t="s">
        <v>46</v>
      </c>
      <c r="N1350" t="s">
        <v>2779</v>
      </c>
      <c r="O1350">
        <v>2.43</v>
      </c>
      <c r="P1350">
        <v>2.29</v>
      </c>
      <c r="Q1350">
        <v>2.29</v>
      </c>
      <c r="R1350">
        <v>2.29</v>
      </c>
      <c r="S1350">
        <v>6.11</v>
      </c>
      <c r="T1350">
        <v>1.44</v>
      </c>
      <c r="U1350">
        <v>-21.31</v>
      </c>
      <c r="V1350" t="s">
        <v>8505</v>
      </c>
      <c r="W1350">
        <v>2.37</v>
      </c>
      <c r="X1350" t="s">
        <v>518</v>
      </c>
      <c r="Y1350" t="s">
        <v>6400</v>
      </c>
      <c r="Z1350">
        <v>0.52</v>
      </c>
      <c r="AA1350" t="s">
        <v>8396</v>
      </c>
      <c r="AB1350">
        <v>7193</v>
      </c>
      <c r="AC1350">
        <v>2.5</v>
      </c>
      <c r="AD1350" t="s">
        <v>332</v>
      </c>
      <c r="AE1350" t="s">
        <v>6785</v>
      </c>
      <c r="AF1350" t="s">
        <v>546</v>
      </c>
      <c r="AG1350" t="s">
        <v>8506</v>
      </c>
      <c r="AH1350">
        <v>3.43</v>
      </c>
      <c r="AI1350">
        <v>0.84</v>
      </c>
      <c r="AJ1350">
        <v>5.74</v>
      </c>
      <c r="AK1350">
        <v>14.55</v>
      </c>
      <c r="AL1350">
        <v>1</v>
      </c>
      <c r="AM1350">
        <v>5.24</v>
      </c>
      <c r="AN1350">
        <v>-6.23</v>
      </c>
      <c r="AO1350">
        <v>8.07</v>
      </c>
      <c r="AP1350">
        <v>7.59</v>
      </c>
    </row>
    <row r="1351" spans="1:42">
      <c r="A1351">
        <v>1350</v>
      </c>
      <c r="B1351" t="str">
        <f>"002042"</f>
        <v>002042</v>
      </c>
      <c r="C1351" t="s">
        <v>8507</v>
      </c>
      <c r="D1351">
        <v>4.18</v>
      </c>
      <c r="E1351">
        <v>3.72</v>
      </c>
      <c r="F1351">
        <v>0.15</v>
      </c>
      <c r="G1351" t="s">
        <v>8508</v>
      </c>
      <c r="H1351">
        <v>1133</v>
      </c>
      <c r="I1351">
        <v>4.17</v>
      </c>
      <c r="J1351">
        <v>4.18</v>
      </c>
      <c r="K1351" t="s">
        <v>8494</v>
      </c>
      <c r="L1351">
        <v>2.15</v>
      </c>
      <c r="M1351" t="s">
        <v>46</v>
      </c>
      <c r="N1351" t="s">
        <v>8509</v>
      </c>
      <c r="O1351">
        <v>4.19</v>
      </c>
      <c r="P1351">
        <v>3.98</v>
      </c>
      <c r="Q1351">
        <v>4</v>
      </c>
      <c r="R1351">
        <v>4.03</v>
      </c>
      <c r="S1351">
        <v>5.21</v>
      </c>
      <c r="T1351">
        <v>1.27</v>
      </c>
      <c r="U1351">
        <v>-61.48</v>
      </c>
      <c r="V1351" t="s">
        <v>8510</v>
      </c>
      <c r="W1351">
        <v>4.12</v>
      </c>
      <c r="X1351" t="s">
        <v>44</v>
      </c>
      <c r="Y1351" t="s">
        <v>3139</v>
      </c>
      <c r="Z1351">
        <v>0.65</v>
      </c>
      <c r="AA1351">
        <v>486</v>
      </c>
      <c r="AB1351">
        <v>476</v>
      </c>
      <c r="AC1351">
        <v>1.17</v>
      </c>
      <c r="AD1351" t="s">
        <v>8511</v>
      </c>
      <c r="AE1351" t="s">
        <v>8512</v>
      </c>
      <c r="AF1351" t="s">
        <v>8511</v>
      </c>
      <c r="AG1351" t="s">
        <v>8512</v>
      </c>
      <c r="AH1351">
        <v>-1.18</v>
      </c>
      <c r="AI1351">
        <v>1.7</v>
      </c>
      <c r="AJ1351">
        <v>5.97</v>
      </c>
      <c r="AK1351">
        <v>10.62</v>
      </c>
      <c r="AL1351">
        <v>1</v>
      </c>
      <c r="AM1351">
        <v>3.72</v>
      </c>
      <c r="AN1351">
        <v>37.05</v>
      </c>
      <c r="AO1351">
        <v>6.36</v>
      </c>
      <c r="AP1351">
        <v>30.63</v>
      </c>
    </row>
    <row r="1352" spans="1:42">
      <c r="A1352">
        <v>1351</v>
      </c>
      <c r="B1352" t="str">
        <f>"601799"</f>
        <v>601799</v>
      </c>
      <c r="C1352" t="s">
        <v>8513</v>
      </c>
      <c r="D1352">
        <v>144.4</v>
      </c>
      <c r="E1352">
        <v>0.15</v>
      </c>
      <c r="F1352">
        <v>0.22</v>
      </c>
      <c r="G1352" t="s">
        <v>218</v>
      </c>
      <c r="H1352">
        <v>45</v>
      </c>
      <c r="I1352">
        <v>144.36</v>
      </c>
      <c r="J1352">
        <v>144.4</v>
      </c>
      <c r="K1352" t="s">
        <v>8494</v>
      </c>
      <c r="L1352">
        <v>0.37</v>
      </c>
      <c r="M1352" t="s">
        <v>46</v>
      </c>
      <c r="N1352" t="s">
        <v>8514</v>
      </c>
      <c r="O1352">
        <v>144.93</v>
      </c>
      <c r="P1352">
        <v>140.8</v>
      </c>
      <c r="Q1352">
        <v>144.2</v>
      </c>
      <c r="R1352">
        <v>144.18</v>
      </c>
      <c r="S1352">
        <v>2.86</v>
      </c>
      <c r="T1352">
        <v>0.92</v>
      </c>
      <c r="U1352">
        <v>-9.09</v>
      </c>
      <c r="V1352">
        <v>-4</v>
      </c>
      <c r="W1352">
        <v>142.97</v>
      </c>
      <c r="X1352">
        <v>5535</v>
      </c>
      <c r="Y1352">
        <v>5027</v>
      </c>
      <c r="Z1352">
        <v>1.1</v>
      </c>
      <c r="AA1352">
        <v>10</v>
      </c>
      <c r="AB1352">
        <v>3</v>
      </c>
      <c r="AC1352">
        <v>4.68</v>
      </c>
      <c r="AD1352" t="s">
        <v>8515</v>
      </c>
      <c r="AE1352" t="s">
        <v>8516</v>
      </c>
      <c r="AF1352" t="s">
        <v>8515</v>
      </c>
      <c r="AG1352" t="s">
        <v>8516</v>
      </c>
      <c r="AH1352">
        <v>1.96</v>
      </c>
      <c r="AI1352">
        <v>0.17</v>
      </c>
      <c r="AJ1352">
        <v>1.41</v>
      </c>
      <c r="AK1352">
        <v>2.38</v>
      </c>
      <c r="AL1352">
        <v>1</v>
      </c>
      <c r="AM1352">
        <v>0.15</v>
      </c>
      <c r="AN1352">
        <v>14.36</v>
      </c>
      <c r="AO1352">
        <v>-0.87</v>
      </c>
      <c r="AP1352">
        <v>14.43</v>
      </c>
    </row>
    <row r="1353" spans="1:42">
      <c r="A1353">
        <v>1352</v>
      </c>
      <c r="B1353" t="str">
        <f>"001317"</f>
        <v>001317</v>
      </c>
      <c r="C1353" t="s">
        <v>8517</v>
      </c>
      <c r="D1353">
        <v>37.92</v>
      </c>
      <c r="E1353">
        <v>1.77</v>
      </c>
      <c r="F1353">
        <v>0.66</v>
      </c>
      <c r="G1353" t="s">
        <v>8404</v>
      </c>
      <c r="H1353">
        <v>780</v>
      </c>
      <c r="I1353">
        <v>37.92</v>
      </c>
      <c r="J1353">
        <v>37.93</v>
      </c>
      <c r="K1353" t="s">
        <v>8494</v>
      </c>
      <c r="L1353">
        <v>13.66</v>
      </c>
      <c r="M1353" t="s">
        <v>46</v>
      </c>
      <c r="N1353" t="s">
        <v>8518</v>
      </c>
      <c r="O1353">
        <v>38</v>
      </c>
      <c r="P1353">
        <v>37.2</v>
      </c>
      <c r="Q1353">
        <v>37.26</v>
      </c>
      <c r="R1353">
        <v>37.26</v>
      </c>
      <c r="S1353">
        <v>2.15</v>
      </c>
      <c r="T1353">
        <v>0.55</v>
      </c>
      <c r="U1353">
        <v>-53.73</v>
      </c>
      <c r="V1353">
        <v>-627</v>
      </c>
      <c r="W1353">
        <v>37.73</v>
      </c>
      <c r="X1353" t="s">
        <v>5578</v>
      </c>
      <c r="Y1353" t="s">
        <v>7210</v>
      </c>
      <c r="Z1353">
        <v>0.88</v>
      </c>
      <c r="AA1353">
        <v>101</v>
      </c>
      <c r="AB1353">
        <v>124</v>
      </c>
      <c r="AC1353">
        <v>3.76</v>
      </c>
      <c r="AD1353" t="s">
        <v>8519</v>
      </c>
      <c r="AE1353" t="s">
        <v>8520</v>
      </c>
      <c r="AF1353" t="s">
        <v>8521</v>
      </c>
      <c r="AG1353" t="s">
        <v>8522</v>
      </c>
      <c r="AH1353">
        <v>-4.96</v>
      </c>
      <c r="AI1353">
        <v>-3.29</v>
      </c>
      <c r="AJ1353">
        <v>50.53</v>
      </c>
      <c r="AK1353">
        <v>138.41</v>
      </c>
      <c r="AL1353">
        <v>1</v>
      </c>
      <c r="AM1353">
        <v>1.77</v>
      </c>
      <c r="AN1353">
        <v>-11.19</v>
      </c>
      <c r="AO1353">
        <v>8.19</v>
      </c>
      <c r="AP1353">
        <v>-5.32</v>
      </c>
    </row>
    <row r="1354" spans="1:42">
      <c r="A1354">
        <v>1353</v>
      </c>
      <c r="B1354" t="str">
        <f>"301525"</f>
        <v>301525</v>
      </c>
      <c r="C1354" t="s">
        <v>8523</v>
      </c>
      <c r="D1354">
        <v>90.87</v>
      </c>
      <c r="E1354">
        <v>-2.32</v>
      </c>
      <c r="F1354">
        <v>-2.16</v>
      </c>
      <c r="G1354" t="s">
        <v>5997</v>
      </c>
      <c r="H1354">
        <v>110</v>
      </c>
      <c r="I1354">
        <v>90.85</v>
      </c>
      <c r="J1354">
        <v>90.88</v>
      </c>
      <c r="K1354" t="s">
        <v>8494</v>
      </c>
      <c r="L1354">
        <v>7.49</v>
      </c>
      <c r="M1354" t="s">
        <v>46</v>
      </c>
      <c r="N1354" t="s">
        <v>1568</v>
      </c>
      <c r="O1354">
        <v>92.67</v>
      </c>
      <c r="P1354">
        <v>88.5</v>
      </c>
      <c r="Q1354">
        <v>92.5</v>
      </c>
      <c r="R1354">
        <v>93.03</v>
      </c>
      <c r="S1354">
        <v>4.48</v>
      </c>
      <c r="T1354">
        <v>1.06</v>
      </c>
      <c r="U1354">
        <v>25.49</v>
      </c>
      <c r="V1354">
        <v>26</v>
      </c>
      <c r="W1354">
        <v>89.95</v>
      </c>
      <c r="X1354">
        <v>9722</v>
      </c>
      <c r="Y1354">
        <v>7030</v>
      </c>
      <c r="Z1354">
        <v>1.38</v>
      </c>
      <c r="AA1354">
        <v>1</v>
      </c>
      <c r="AB1354">
        <v>1</v>
      </c>
      <c r="AC1354">
        <v>2.79</v>
      </c>
      <c r="AD1354" t="s">
        <v>8524</v>
      </c>
      <c r="AE1354" t="s">
        <v>8525</v>
      </c>
      <c r="AF1354" t="s">
        <v>8526</v>
      </c>
      <c r="AG1354" t="s">
        <v>8527</v>
      </c>
      <c r="AH1354">
        <v>-0.31</v>
      </c>
      <c r="AI1354">
        <v>-2.16</v>
      </c>
      <c r="AJ1354">
        <v>22.21</v>
      </c>
      <c r="AK1354">
        <v>42.9</v>
      </c>
      <c r="AL1354">
        <v>-2</v>
      </c>
      <c r="AM1354">
        <v>-2.32</v>
      </c>
      <c r="AN1354">
        <v>-8.74</v>
      </c>
      <c r="AO1354">
        <v>8.36</v>
      </c>
      <c r="AP1354">
        <v>-8.74</v>
      </c>
    </row>
    <row r="1355" spans="1:42">
      <c r="A1355">
        <v>1354</v>
      </c>
      <c r="B1355" t="str">
        <f>"002505"</f>
        <v>002505</v>
      </c>
      <c r="C1355" t="s">
        <v>8528</v>
      </c>
      <c r="D1355">
        <v>1.77</v>
      </c>
      <c r="E1355">
        <v>1.14</v>
      </c>
      <c r="F1355">
        <v>0.02</v>
      </c>
      <c r="G1355" t="s">
        <v>381</v>
      </c>
      <c r="H1355" t="s">
        <v>2284</v>
      </c>
      <c r="I1355">
        <v>1.76</v>
      </c>
      <c r="J1355">
        <v>1.77</v>
      </c>
      <c r="K1355" t="s">
        <v>8494</v>
      </c>
      <c r="L1355">
        <v>1.34</v>
      </c>
      <c r="M1355" t="s">
        <v>46</v>
      </c>
      <c r="N1355" t="s">
        <v>4969</v>
      </c>
      <c r="O1355">
        <v>1.79</v>
      </c>
      <c r="P1355">
        <v>1.72</v>
      </c>
      <c r="Q1355">
        <v>1.74</v>
      </c>
      <c r="R1355">
        <v>1.75</v>
      </c>
      <c r="S1355">
        <v>4</v>
      </c>
      <c r="T1355">
        <v>1.07</v>
      </c>
      <c r="U1355">
        <v>-3.17</v>
      </c>
      <c r="V1355">
        <v>-8244</v>
      </c>
      <c r="W1355">
        <v>1.77</v>
      </c>
      <c r="X1355" t="s">
        <v>3876</v>
      </c>
      <c r="Y1355" t="s">
        <v>8529</v>
      </c>
      <c r="Z1355">
        <v>0.58</v>
      </c>
      <c r="AA1355" t="s">
        <v>5027</v>
      </c>
      <c r="AB1355">
        <v>2953</v>
      </c>
      <c r="AC1355">
        <v>2.28</v>
      </c>
      <c r="AD1355" t="s">
        <v>419</v>
      </c>
      <c r="AE1355" t="s">
        <v>6734</v>
      </c>
      <c r="AF1355" t="s">
        <v>419</v>
      </c>
      <c r="AG1355" t="s">
        <v>6734</v>
      </c>
      <c r="AH1355">
        <v>-1.67</v>
      </c>
      <c r="AI1355">
        <v>-3.8</v>
      </c>
      <c r="AJ1355">
        <v>3.96</v>
      </c>
      <c r="AK1355">
        <v>7.58</v>
      </c>
      <c r="AL1355">
        <v>1</v>
      </c>
      <c r="AM1355">
        <v>1.14</v>
      </c>
      <c r="AN1355">
        <v>-31.4</v>
      </c>
      <c r="AO1355">
        <v>-3.28</v>
      </c>
      <c r="AP1355">
        <v>-35.87</v>
      </c>
    </row>
    <row r="1356" spans="1:42">
      <c r="A1356">
        <v>1355</v>
      </c>
      <c r="B1356" t="str">
        <f>"603198"</f>
        <v>603198</v>
      </c>
      <c r="C1356" t="s">
        <v>8530</v>
      </c>
      <c r="D1356">
        <v>73.88</v>
      </c>
      <c r="E1356">
        <v>-1.72</v>
      </c>
      <c r="F1356">
        <v>-1.29</v>
      </c>
      <c r="G1356" t="s">
        <v>5237</v>
      </c>
      <c r="H1356">
        <v>186</v>
      </c>
      <c r="I1356">
        <v>73.85</v>
      </c>
      <c r="J1356">
        <v>73.88</v>
      </c>
      <c r="K1356" t="s">
        <v>8531</v>
      </c>
      <c r="L1356">
        <v>0.25</v>
      </c>
      <c r="M1356" t="s">
        <v>46</v>
      </c>
      <c r="N1356" t="s">
        <v>3957</v>
      </c>
      <c r="O1356">
        <v>74.99</v>
      </c>
      <c r="P1356">
        <v>72.95</v>
      </c>
      <c r="Q1356">
        <v>74.8</v>
      </c>
      <c r="R1356">
        <v>75.17</v>
      </c>
      <c r="S1356">
        <v>2.71</v>
      </c>
      <c r="T1356">
        <v>0.74</v>
      </c>
      <c r="U1356">
        <v>-49.46</v>
      </c>
      <c r="V1356">
        <v>-92</v>
      </c>
      <c r="W1356">
        <v>73.86</v>
      </c>
      <c r="X1356" t="s">
        <v>189</v>
      </c>
      <c r="Y1356">
        <v>8663</v>
      </c>
      <c r="Z1356">
        <v>1.35</v>
      </c>
      <c r="AA1356">
        <v>3</v>
      </c>
      <c r="AB1356">
        <v>93</v>
      </c>
      <c r="AC1356">
        <v>7.67</v>
      </c>
      <c r="AD1356" t="s">
        <v>7590</v>
      </c>
      <c r="AE1356" t="s">
        <v>8532</v>
      </c>
      <c r="AF1356" t="s">
        <v>7590</v>
      </c>
      <c r="AG1356" t="s">
        <v>8532</v>
      </c>
      <c r="AH1356">
        <v>1.27</v>
      </c>
      <c r="AI1356">
        <v>-2.18</v>
      </c>
      <c r="AJ1356">
        <v>0.91</v>
      </c>
      <c r="AK1356">
        <v>1.98</v>
      </c>
      <c r="AL1356">
        <v>-1</v>
      </c>
      <c r="AM1356">
        <v>-1.72</v>
      </c>
      <c r="AN1356">
        <v>19.78</v>
      </c>
      <c r="AO1356">
        <v>-0.98</v>
      </c>
      <c r="AP1356">
        <v>57.93</v>
      </c>
    </row>
    <row r="1357" spans="1:42">
      <c r="A1357">
        <v>1356</v>
      </c>
      <c r="B1357" t="str">
        <f>"301018"</f>
        <v>301018</v>
      </c>
      <c r="C1357" t="s">
        <v>8533</v>
      </c>
      <c r="D1357">
        <v>28.47</v>
      </c>
      <c r="E1357">
        <v>-0.66</v>
      </c>
      <c r="F1357">
        <v>-0.19</v>
      </c>
      <c r="G1357" t="s">
        <v>4314</v>
      </c>
      <c r="H1357">
        <v>782</v>
      </c>
      <c r="I1357">
        <v>28.46</v>
      </c>
      <c r="J1357">
        <v>28.47</v>
      </c>
      <c r="K1357" t="s">
        <v>8531</v>
      </c>
      <c r="L1357">
        <v>4.67</v>
      </c>
      <c r="M1357" t="s">
        <v>46</v>
      </c>
      <c r="N1357" t="s">
        <v>2452</v>
      </c>
      <c r="O1357">
        <v>28.97</v>
      </c>
      <c r="P1357">
        <v>27.99</v>
      </c>
      <c r="Q1357">
        <v>28.87</v>
      </c>
      <c r="R1357">
        <v>28.66</v>
      </c>
      <c r="S1357">
        <v>3.42</v>
      </c>
      <c r="T1357">
        <v>0.83</v>
      </c>
      <c r="U1357">
        <v>24.44</v>
      </c>
      <c r="V1357">
        <v>66</v>
      </c>
      <c r="W1357">
        <v>28.45</v>
      </c>
      <c r="X1357" t="s">
        <v>617</v>
      </c>
      <c r="Y1357" t="s">
        <v>1335</v>
      </c>
      <c r="Z1357">
        <v>1.33</v>
      </c>
      <c r="AA1357">
        <v>39</v>
      </c>
      <c r="AB1357">
        <v>2</v>
      </c>
      <c r="AC1357">
        <v>3.01</v>
      </c>
      <c r="AD1357" t="s">
        <v>8534</v>
      </c>
      <c r="AE1357" t="s">
        <v>8535</v>
      </c>
      <c r="AF1357" t="s">
        <v>8536</v>
      </c>
      <c r="AG1357" t="s">
        <v>8537</v>
      </c>
      <c r="AH1357">
        <v>1.64</v>
      </c>
      <c r="AI1357">
        <v>-0.35</v>
      </c>
      <c r="AJ1357">
        <v>23.99</v>
      </c>
      <c r="AK1357">
        <v>32.79</v>
      </c>
      <c r="AL1357">
        <v>-2</v>
      </c>
      <c r="AM1357">
        <v>-0.66</v>
      </c>
      <c r="AN1357">
        <v>-16.39</v>
      </c>
      <c r="AO1357">
        <v>5.52</v>
      </c>
      <c r="AP1357">
        <v>-25.99</v>
      </c>
    </row>
    <row r="1358" spans="1:42">
      <c r="A1358">
        <v>1357</v>
      </c>
      <c r="B1358" t="str">
        <f>"002653"</f>
        <v>002653</v>
      </c>
      <c r="C1358" t="s">
        <v>8538</v>
      </c>
      <c r="D1358">
        <v>23.39</v>
      </c>
      <c r="E1358">
        <v>-3.59</v>
      </c>
      <c r="F1358">
        <v>-0.87</v>
      </c>
      <c r="G1358" t="s">
        <v>8539</v>
      </c>
      <c r="H1358">
        <v>414</v>
      </c>
      <c r="I1358">
        <v>23.39</v>
      </c>
      <c r="J1358">
        <v>23.46</v>
      </c>
      <c r="K1358" t="s">
        <v>8531</v>
      </c>
      <c r="L1358">
        <v>1.23</v>
      </c>
      <c r="M1358" t="s">
        <v>46</v>
      </c>
      <c r="N1358" t="s">
        <v>8540</v>
      </c>
      <c r="O1358">
        <v>24.45</v>
      </c>
      <c r="P1358">
        <v>23.31</v>
      </c>
      <c r="Q1358">
        <v>24.3</v>
      </c>
      <c r="R1358">
        <v>24.26</v>
      </c>
      <c r="S1358">
        <v>4.7</v>
      </c>
      <c r="T1358">
        <v>1.38</v>
      </c>
      <c r="U1358">
        <v>65.65</v>
      </c>
      <c r="V1358">
        <v>409</v>
      </c>
      <c r="W1358">
        <v>23.68</v>
      </c>
      <c r="X1358" t="s">
        <v>8009</v>
      </c>
      <c r="Y1358" t="s">
        <v>1077</v>
      </c>
      <c r="Z1358">
        <v>1.46</v>
      </c>
      <c r="AA1358">
        <v>74</v>
      </c>
      <c r="AB1358">
        <v>45</v>
      </c>
      <c r="AC1358">
        <v>6.39</v>
      </c>
      <c r="AD1358" t="s">
        <v>7783</v>
      </c>
      <c r="AE1358" t="s">
        <v>8541</v>
      </c>
      <c r="AF1358" t="s">
        <v>8542</v>
      </c>
      <c r="AG1358" t="s">
        <v>8543</v>
      </c>
      <c r="AH1358">
        <v>-3.11</v>
      </c>
      <c r="AI1358">
        <v>-2.54</v>
      </c>
      <c r="AJ1358">
        <v>2.63</v>
      </c>
      <c r="AK1358">
        <v>5.68</v>
      </c>
      <c r="AL1358">
        <v>-1</v>
      </c>
      <c r="AM1358">
        <v>-3.59</v>
      </c>
      <c r="AN1358">
        <v>5.12</v>
      </c>
      <c r="AO1358">
        <v>-2.62</v>
      </c>
      <c r="AP1358">
        <v>3.73</v>
      </c>
    </row>
    <row r="1359" spans="1:42">
      <c r="A1359">
        <v>1358</v>
      </c>
      <c r="B1359" t="str">
        <f>"002183"</f>
        <v>002183</v>
      </c>
      <c r="C1359" t="s">
        <v>8544</v>
      </c>
      <c r="D1359">
        <v>4.72</v>
      </c>
      <c r="E1359">
        <v>0.85</v>
      </c>
      <c r="F1359">
        <v>0.04</v>
      </c>
      <c r="G1359" t="s">
        <v>1304</v>
      </c>
      <c r="H1359">
        <v>6045</v>
      </c>
      <c r="I1359">
        <v>4.71</v>
      </c>
      <c r="J1359">
        <v>4.72</v>
      </c>
      <c r="K1359" t="s">
        <v>8531</v>
      </c>
      <c r="L1359">
        <v>1.22</v>
      </c>
      <c r="M1359" t="s">
        <v>46</v>
      </c>
      <c r="N1359" t="s">
        <v>8545</v>
      </c>
      <c r="O1359">
        <v>4.74</v>
      </c>
      <c r="P1359">
        <v>4.66</v>
      </c>
      <c r="Q1359">
        <v>4.68</v>
      </c>
      <c r="R1359">
        <v>4.68</v>
      </c>
      <c r="S1359">
        <v>1.71</v>
      </c>
      <c r="T1359">
        <v>0.52</v>
      </c>
      <c r="U1359">
        <v>-2.62</v>
      </c>
      <c r="V1359">
        <v>-1132</v>
      </c>
      <c r="W1359">
        <v>4.71</v>
      </c>
      <c r="X1359" t="s">
        <v>796</v>
      </c>
      <c r="Y1359" t="s">
        <v>665</v>
      </c>
      <c r="Z1359">
        <v>0.96</v>
      </c>
      <c r="AA1359">
        <v>6240</v>
      </c>
      <c r="AB1359">
        <v>2971</v>
      </c>
      <c r="AC1359">
        <v>1.36</v>
      </c>
      <c r="AD1359" t="s">
        <v>8546</v>
      </c>
      <c r="AE1359" t="s">
        <v>2917</v>
      </c>
      <c r="AF1359" t="s">
        <v>8546</v>
      </c>
      <c r="AG1359" t="s">
        <v>2917</v>
      </c>
      <c r="AH1359">
        <v>-1.67</v>
      </c>
      <c r="AI1359">
        <v>-3.08</v>
      </c>
      <c r="AJ1359">
        <v>3.82</v>
      </c>
      <c r="AK1359">
        <v>13</v>
      </c>
      <c r="AL1359">
        <v>1</v>
      </c>
      <c r="AM1359">
        <v>0.85</v>
      </c>
      <c r="AN1359">
        <v>-26.37</v>
      </c>
      <c r="AO1359">
        <v>7.76</v>
      </c>
      <c r="AP1359">
        <v>-14.65</v>
      </c>
    </row>
    <row r="1360" spans="1:42">
      <c r="A1360">
        <v>1359</v>
      </c>
      <c r="B1360" t="str">
        <f>"600592"</f>
        <v>600592</v>
      </c>
      <c r="C1360" t="s">
        <v>8547</v>
      </c>
      <c r="D1360">
        <v>11.4</v>
      </c>
      <c r="E1360">
        <v>0.88</v>
      </c>
      <c r="F1360">
        <v>0.1</v>
      </c>
      <c r="G1360" t="s">
        <v>1987</v>
      </c>
      <c r="H1360">
        <v>1534</v>
      </c>
      <c r="I1360">
        <v>11.39</v>
      </c>
      <c r="J1360">
        <v>11.4</v>
      </c>
      <c r="K1360" t="s">
        <v>8548</v>
      </c>
      <c r="L1360">
        <v>3.28</v>
      </c>
      <c r="M1360" t="s">
        <v>46</v>
      </c>
      <c r="N1360" t="s">
        <v>4927</v>
      </c>
      <c r="O1360">
        <v>11.52</v>
      </c>
      <c r="P1360">
        <v>11.16</v>
      </c>
      <c r="Q1360">
        <v>11.25</v>
      </c>
      <c r="R1360">
        <v>11.3</v>
      </c>
      <c r="S1360">
        <v>3.19</v>
      </c>
      <c r="T1360">
        <v>0.69</v>
      </c>
      <c r="U1360">
        <v>3.25</v>
      </c>
      <c r="V1360">
        <v>103</v>
      </c>
      <c r="W1360">
        <v>11.38</v>
      </c>
      <c r="X1360" t="s">
        <v>7940</v>
      </c>
      <c r="Y1360" t="s">
        <v>7743</v>
      </c>
      <c r="Z1360">
        <v>1.01</v>
      </c>
      <c r="AA1360">
        <v>172</v>
      </c>
      <c r="AB1360">
        <v>463</v>
      </c>
      <c r="AC1360">
        <v>1.9</v>
      </c>
      <c r="AD1360" t="s">
        <v>528</v>
      </c>
      <c r="AE1360" t="s">
        <v>8549</v>
      </c>
      <c r="AF1360" t="s">
        <v>528</v>
      </c>
      <c r="AG1360" t="s">
        <v>8549</v>
      </c>
      <c r="AH1360">
        <v>-0.44</v>
      </c>
      <c r="AI1360">
        <v>-3.23</v>
      </c>
      <c r="AJ1360">
        <v>9.74</v>
      </c>
      <c r="AK1360">
        <v>27.03</v>
      </c>
      <c r="AL1360">
        <v>1</v>
      </c>
      <c r="AM1360">
        <v>0.88</v>
      </c>
      <c r="AN1360">
        <v>64.03</v>
      </c>
      <c r="AO1360">
        <v>5.75</v>
      </c>
      <c r="AP1360">
        <v>55.53</v>
      </c>
    </row>
    <row r="1361" spans="1:42">
      <c r="A1361">
        <v>1360</v>
      </c>
      <c r="B1361" t="str">
        <f>"300271"</f>
        <v>300271</v>
      </c>
      <c r="C1361" t="s">
        <v>8550</v>
      </c>
      <c r="D1361">
        <v>8.96</v>
      </c>
      <c r="E1361">
        <v>4.8</v>
      </c>
      <c r="F1361">
        <v>0.41</v>
      </c>
      <c r="G1361" t="s">
        <v>172</v>
      </c>
      <c r="H1361">
        <v>2014</v>
      </c>
      <c r="I1361">
        <v>8.95</v>
      </c>
      <c r="J1361">
        <v>8.96</v>
      </c>
      <c r="K1361" t="s">
        <v>8548</v>
      </c>
      <c r="L1361">
        <v>2.11</v>
      </c>
      <c r="M1361" t="s">
        <v>46</v>
      </c>
      <c r="N1361" t="s">
        <v>4786</v>
      </c>
      <c r="O1361">
        <v>8.99</v>
      </c>
      <c r="P1361">
        <v>8.52</v>
      </c>
      <c r="Q1361">
        <v>8.55</v>
      </c>
      <c r="R1361">
        <v>8.55</v>
      </c>
      <c r="S1361">
        <v>5.5</v>
      </c>
      <c r="T1361">
        <v>0.8</v>
      </c>
      <c r="U1361">
        <v>-38</v>
      </c>
      <c r="V1361">
        <v>-2997</v>
      </c>
      <c r="W1361">
        <v>8.78</v>
      </c>
      <c r="X1361" t="s">
        <v>2132</v>
      </c>
      <c r="Y1361" t="s">
        <v>740</v>
      </c>
      <c r="Z1361">
        <v>0.62</v>
      </c>
      <c r="AA1361">
        <v>199</v>
      </c>
      <c r="AB1361">
        <v>185</v>
      </c>
      <c r="AC1361">
        <v>1.36</v>
      </c>
      <c r="AD1361" t="s">
        <v>8551</v>
      </c>
      <c r="AE1361" t="s">
        <v>627</v>
      </c>
      <c r="AF1361" t="s">
        <v>8552</v>
      </c>
      <c r="AG1361" t="s">
        <v>8553</v>
      </c>
      <c r="AH1361">
        <v>-1.75</v>
      </c>
      <c r="AI1361">
        <v>-0.44</v>
      </c>
      <c r="AJ1361">
        <v>6.05</v>
      </c>
      <c r="AK1361">
        <v>15.26</v>
      </c>
      <c r="AL1361">
        <v>1</v>
      </c>
      <c r="AM1361">
        <v>4.8</v>
      </c>
      <c r="AN1361">
        <v>31.19</v>
      </c>
      <c r="AO1361">
        <v>5.04</v>
      </c>
      <c r="AP1361">
        <v>27.82</v>
      </c>
    </row>
    <row r="1362" spans="1:42">
      <c r="A1362">
        <v>1361</v>
      </c>
      <c r="B1362" t="str">
        <f>"603728"</f>
        <v>603728</v>
      </c>
      <c r="C1362" t="s">
        <v>8554</v>
      </c>
      <c r="D1362">
        <v>73.18</v>
      </c>
      <c r="E1362">
        <v>-2.41</v>
      </c>
      <c r="F1362">
        <v>-1.81</v>
      </c>
      <c r="G1362" t="s">
        <v>5237</v>
      </c>
      <c r="H1362">
        <v>217</v>
      </c>
      <c r="I1362">
        <v>73.18</v>
      </c>
      <c r="J1362">
        <v>73.19</v>
      </c>
      <c r="K1362" t="s">
        <v>8548</v>
      </c>
      <c r="L1362">
        <v>0.49</v>
      </c>
      <c r="M1362" t="s">
        <v>46</v>
      </c>
      <c r="N1362" t="s">
        <v>4428</v>
      </c>
      <c r="O1362">
        <v>73.62</v>
      </c>
      <c r="P1362">
        <v>72.05</v>
      </c>
      <c r="Q1362">
        <v>73.46</v>
      </c>
      <c r="R1362">
        <v>74.99</v>
      </c>
      <c r="S1362">
        <v>2.09</v>
      </c>
      <c r="T1362">
        <v>0.71</v>
      </c>
      <c r="U1362">
        <v>15.06</v>
      </c>
      <c r="V1362">
        <v>39</v>
      </c>
      <c r="W1362">
        <v>72.93</v>
      </c>
      <c r="X1362" t="s">
        <v>1743</v>
      </c>
      <c r="Y1362">
        <v>8800</v>
      </c>
      <c r="Z1362">
        <v>1.32</v>
      </c>
      <c r="AA1362">
        <v>3</v>
      </c>
      <c r="AB1362">
        <v>11</v>
      </c>
      <c r="AC1362">
        <v>10.96</v>
      </c>
      <c r="AD1362" t="s">
        <v>8555</v>
      </c>
      <c r="AE1362" t="s">
        <v>7491</v>
      </c>
      <c r="AF1362" t="s">
        <v>8556</v>
      </c>
      <c r="AG1362" t="s">
        <v>8557</v>
      </c>
      <c r="AH1362">
        <v>-0.52</v>
      </c>
      <c r="AI1362">
        <v>-0.57</v>
      </c>
      <c r="AJ1362">
        <v>1.98</v>
      </c>
      <c r="AK1362">
        <v>3.92</v>
      </c>
      <c r="AL1362">
        <v>-1</v>
      </c>
      <c r="AM1362">
        <v>-2.41</v>
      </c>
      <c r="AN1362">
        <v>120.02</v>
      </c>
      <c r="AO1362">
        <v>10.21</v>
      </c>
      <c r="AP1362">
        <v>134.03</v>
      </c>
    </row>
    <row r="1363" spans="1:42">
      <c r="A1363">
        <v>1362</v>
      </c>
      <c r="B1363" t="str">
        <f>"688556"</f>
        <v>688556</v>
      </c>
      <c r="C1363" t="s">
        <v>8558</v>
      </c>
      <c r="D1363">
        <v>41.24</v>
      </c>
      <c r="E1363">
        <v>-2.44</v>
      </c>
      <c r="F1363">
        <v>-1.03</v>
      </c>
      <c r="G1363" t="s">
        <v>2124</v>
      </c>
      <c r="H1363">
        <v>261</v>
      </c>
      <c r="I1363">
        <v>41.24</v>
      </c>
      <c r="J1363">
        <v>41.25</v>
      </c>
      <c r="K1363" t="s">
        <v>8548</v>
      </c>
      <c r="L1363">
        <v>1.12</v>
      </c>
      <c r="M1363" t="s">
        <v>46</v>
      </c>
      <c r="N1363" t="s">
        <v>5763</v>
      </c>
      <c r="O1363">
        <v>42.3</v>
      </c>
      <c r="P1363">
        <v>40.97</v>
      </c>
      <c r="Q1363">
        <v>42.25</v>
      </c>
      <c r="R1363">
        <v>42.27</v>
      </c>
      <c r="S1363">
        <v>3.15</v>
      </c>
      <c r="T1363">
        <v>1.41</v>
      </c>
      <c r="U1363">
        <v>45.14</v>
      </c>
      <c r="V1363">
        <v>470</v>
      </c>
      <c r="W1363">
        <v>41.45</v>
      </c>
      <c r="X1363" t="s">
        <v>2102</v>
      </c>
      <c r="Y1363" t="s">
        <v>5446</v>
      </c>
      <c r="Z1363">
        <v>1.57</v>
      </c>
      <c r="AA1363">
        <v>15</v>
      </c>
      <c r="AB1363">
        <v>67</v>
      </c>
      <c r="AC1363">
        <v>3.84</v>
      </c>
      <c r="AD1363" t="s">
        <v>8559</v>
      </c>
      <c r="AE1363" t="s">
        <v>4519</v>
      </c>
      <c r="AF1363" t="s">
        <v>8560</v>
      </c>
      <c r="AG1363" t="s">
        <v>8195</v>
      </c>
      <c r="AH1363">
        <v>-3.12</v>
      </c>
      <c r="AI1363">
        <v>-5.26</v>
      </c>
      <c r="AJ1363">
        <v>2.57</v>
      </c>
      <c r="AK1363">
        <v>5.08</v>
      </c>
      <c r="AL1363">
        <v>-1</v>
      </c>
      <c r="AM1363">
        <v>-2.44</v>
      </c>
      <c r="AN1363">
        <v>-21.21</v>
      </c>
      <c r="AO1363">
        <v>-7.51</v>
      </c>
      <c r="AP1363">
        <v>-27.3</v>
      </c>
    </row>
    <row r="1364" spans="1:42">
      <c r="A1364">
        <v>1363</v>
      </c>
      <c r="B1364" t="str">
        <f>"300841"</f>
        <v>300841</v>
      </c>
      <c r="C1364" t="s">
        <v>8561</v>
      </c>
      <c r="D1364">
        <v>77.78</v>
      </c>
      <c r="E1364">
        <v>-0.7</v>
      </c>
      <c r="F1364">
        <v>-0.55</v>
      </c>
      <c r="G1364" t="s">
        <v>2329</v>
      </c>
      <c r="H1364">
        <v>88</v>
      </c>
      <c r="I1364">
        <v>77.75</v>
      </c>
      <c r="J1364">
        <v>77.78</v>
      </c>
      <c r="K1364" t="s">
        <v>8548</v>
      </c>
      <c r="L1364">
        <v>1.62</v>
      </c>
      <c r="M1364" t="s">
        <v>46</v>
      </c>
      <c r="N1364" t="s">
        <v>8562</v>
      </c>
      <c r="O1364">
        <v>79.65</v>
      </c>
      <c r="P1364">
        <v>76.82</v>
      </c>
      <c r="Q1364">
        <v>78.2</v>
      </c>
      <c r="R1364">
        <v>78.33</v>
      </c>
      <c r="S1364">
        <v>3.61</v>
      </c>
      <c r="T1364">
        <v>0.89</v>
      </c>
      <c r="U1364">
        <v>-21.4</v>
      </c>
      <c r="V1364">
        <v>-61</v>
      </c>
      <c r="W1364">
        <v>77.91</v>
      </c>
      <c r="X1364">
        <v>8662</v>
      </c>
      <c r="Y1364" t="s">
        <v>239</v>
      </c>
      <c r="Z1364">
        <v>0.83</v>
      </c>
      <c r="AA1364">
        <v>77</v>
      </c>
      <c r="AB1364">
        <v>67</v>
      </c>
      <c r="AC1364">
        <v>3.1</v>
      </c>
      <c r="AD1364" t="s">
        <v>5771</v>
      </c>
      <c r="AE1364" t="s">
        <v>4890</v>
      </c>
      <c r="AF1364" t="s">
        <v>8563</v>
      </c>
      <c r="AG1364" t="s">
        <v>8564</v>
      </c>
      <c r="AH1364">
        <v>-0.85</v>
      </c>
      <c r="AI1364">
        <v>-5.38</v>
      </c>
      <c r="AJ1364">
        <v>5.24</v>
      </c>
      <c r="AK1364">
        <v>10.68</v>
      </c>
      <c r="AL1364">
        <v>-1</v>
      </c>
      <c r="AM1364">
        <v>-0.7</v>
      </c>
      <c r="AN1364">
        <v>-7.54</v>
      </c>
      <c r="AO1364">
        <v>13.66</v>
      </c>
      <c r="AP1364">
        <v>-19.77</v>
      </c>
    </row>
    <row r="1365" spans="1:42">
      <c r="A1365">
        <v>1364</v>
      </c>
      <c r="B1365" t="str">
        <f>"688009"</f>
        <v>688009</v>
      </c>
      <c r="C1365" t="s">
        <v>8565</v>
      </c>
      <c r="D1365">
        <v>4.41</v>
      </c>
      <c r="E1365">
        <v>1.38</v>
      </c>
      <c r="F1365">
        <v>0.06</v>
      </c>
      <c r="G1365" t="s">
        <v>8566</v>
      </c>
      <c r="H1365">
        <v>2743</v>
      </c>
      <c r="I1365">
        <v>4.41</v>
      </c>
      <c r="J1365">
        <v>4.42</v>
      </c>
      <c r="K1365" t="s">
        <v>8567</v>
      </c>
      <c r="L1365">
        <v>0.39</v>
      </c>
      <c r="M1365" t="s">
        <v>46</v>
      </c>
      <c r="N1365" t="s">
        <v>4693</v>
      </c>
      <c r="O1365">
        <v>4.43</v>
      </c>
      <c r="P1365">
        <v>4.35</v>
      </c>
      <c r="Q1365">
        <v>4.37</v>
      </c>
      <c r="R1365">
        <v>4.35</v>
      </c>
      <c r="S1365">
        <v>1.84</v>
      </c>
      <c r="T1365">
        <v>1.07</v>
      </c>
      <c r="U1365">
        <v>-31.31</v>
      </c>
      <c r="V1365">
        <v>-9173</v>
      </c>
      <c r="W1365">
        <v>4.39</v>
      </c>
      <c r="X1365" t="s">
        <v>2859</v>
      </c>
      <c r="Y1365" t="s">
        <v>2859</v>
      </c>
      <c r="Z1365">
        <v>1</v>
      </c>
      <c r="AA1365">
        <v>483</v>
      </c>
      <c r="AB1365">
        <v>475</v>
      </c>
      <c r="AC1365">
        <v>1.08</v>
      </c>
      <c r="AD1365" t="s">
        <v>8568</v>
      </c>
      <c r="AE1365" t="s">
        <v>8569</v>
      </c>
      <c r="AF1365" t="s">
        <v>8570</v>
      </c>
      <c r="AG1365" t="s">
        <v>8571</v>
      </c>
      <c r="AH1365">
        <v>-1.56</v>
      </c>
      <c r="AI1365">
        <v>-4.13</v>
      </c>
      <c r="AJ1365">
        <v>1.27</v>
      </c>
      <c r="AK1365">
        <v>2.22</v>
      </c>
      <c r="AL1365">
        <v>1</v>
      </c>
      <c r="AM1365">
        <v>1.38</v>
      </c>
      <c r="AN1365">
        <v>-4.55</v>
      </c>
      <c r="AO1365">
        <v>-4.75</v>
      </c>
      <c r="AP1365">
        <v>-0.45</v>
      </c>
    </row>
    <row r="1366" spans="1:42">
      <c r="A1366">
        <v>1365</v>
      </c>
      <c r="B1366" t="str">
        <f>"603002"</f>
        <v>603002</v>
      </c>
      <c r="C1366" t="s">
        <v>8572</v>
      </c>
      <c r="D1366">
        <v>6.62</v>
      </c>
      <c r="E1366">
        <v>1.22</v>
      </c>
      <c r="F1366">
        <v>0.08</v>
      </c>
      <c r="G1366" t="s">
        <v>100</v>
      </c>
      <c r="H1366">
        <v>3622</v>
      </c>
      <c r="I1366">
        <v>6.61</v>
      </c>
      <c r="J1366">
        <v>6.62</v>
      </c>
      <c r="K1366" t="s">
        <v>8567</v>
      </c>
      <c r="L1366">
        <v>3.67</v>
      </c>
      <c r="M1366" t="s">
        <v>46</v>
      </c>
      <c r="N1366" t="s">
        <v>5282</v>
      </c>
      <c r="O1366">
        <v>6.62</v>
      </c>
      <c r="P1366">
        <v>6.51</v>
      </c>
      <c r="Q1366">
        <v>6.56</v>
      </c>
      <c r="R1366">
        <v>6.54</v>
      </c>
      <c r="S1366">
        <v>1.68</v>
      </c>
      <c r="T1366">
        <v>0.48</v>
      </c>
      <c r="U1366">
        <v>3.86</v>
      </c>
      <c r="V1366">
        <v>485</v>
      </c>
      <c r="W1366">
        <v>6.57</v>
      </c>
      <c r="X1366" t="s">
        <v>656</v>
      </c>
      <c r="Y1366" t="s">
        <v>262</v>
      </c>
      <c r="Z1366">
        <v>0.99</v>
      </c>
      <c r="AA1366">
        <v>1932</v>
      </c>
      <c r="AB1366">
        <v>1682</v>
      </c>
      <c r="AC1366">
        <v>2.19</v>
      </c>
      <c r="AD1366" t="s">
        <v>6808</v>
      </c>
      <c r="AE1366" t="s">
        <v>8573</v>
      </c>
      <c r="AF1366" t="s">
        <v>5866</v>
      </c>
      <c r="AG1366" t="s">
        <v>8574</v>
      </c>
      <c r="AH1366">
        <v>-2.65</v>
      </c>
      <c r="AI1366">
        <v>-3.5</v>
      </c>
      <c r="AJ1366">
        <v>15.71</v>
      </c>
      <c r="AK1366">
        <v>41.65</v>
      </c>
      <c r="AL1366">
        <v>1</v>
      </c>
      <c r="AM1366">
        <v>1.22</v>
      </c>
      <c r="AN1366">
        <v>38.78</v>
      </c>
      <c r="AO1366">
        <v>19.93</v>
      </c>
      <c r="AP1366">
        <v>28.79</v>
      </c>
    </row>
    <row r="1367" spans="1:42">
      <c r="A1367">
        <v>1366</v>
      </c>
      <c r="B1367" t="str">
        <f>"001311"</f>
        <v>001311</v>
      </c>
      <c r="C1367" t="s">
        <v>8575</v>
      </c>
      <c r="D1367">
        <v>54.74</v>
      </c>
      <c r="E1367">
        <v>-0.27</v>
      </c>
      <c r="F1367">
        <v>-0.15</v>
      </c>
      <c r="G1367" t="s">
        <v>5420</v>
      </c>
      <c r="H1367">
        <v>356</v>
      </c>
      <c r="I1367">
        <v>54.73</v>
      </c>
      <c r="J1367">
        <v>54.74</v>
      </c>
      <c r="K1367" t="s">
        <v>8567</v>
      </c>
      <c r="L1367">
        <v>5.94</v>
      </c>
      <c r="M1367" t="s">
        <v>46</v>
      </c>
      <c r="N1367" t="s">
        <v>2246</v>
      </c>
      <c r="O1367">
        <v>55.19</v>
      </c>
      <c r="P1367">
        <v>53.6</v>
      </c>
      <c r="Q1367">
        <v>54.56</v>
      </c>
      <c r="R1367">
        <v>54.89</v>
      </c>
      <c r="S1367">
        <v>2.9</v>
      </c>
      <c r="T1367">
        <v>0.57</v>
      </c>
      <c r="U1367">
        <v>35.3</v>
      </c>
      <c r="V1367">
        <v>121</v>
      </c>
      <c r="W1367">
        <v>54.29</v>
      </c>
      <c r="X1367" t="s">
        <v>6867</v>
      </c>
      <c r="Y1367" t="s">
        <v>1427</v>
      </c>
      <c r="Z1367">
        <v>1.12</v>
      </c>
      <c r="AA1367">
        <v>15</v>
      </c>
      <c r="AB1367">
        <v>32</v>
      </c>
      <c r="AC1367">
        <v>2.41</v>
      </c>
      <c r="AD1367" t="s">
        <v>8576</v>
      </c>
      <c r="AE1367" t="s">
        <v>6556</v>
      </c>
      <c r="AF1367" t="s">
        <v>8577</v>
      </c>
      <c r="AG1367" t="s">
        <v>8578</v>
      </c>
      <c r="AH1367">
        <v>-3.34</v>
      </c>
      <c r="AI1367">
        <v>-4.12</v>
      </c>
      <c r="AJ1367">
        <v>19.73</v>
      </c>
      <c r="AK1367">
        <v>58.55</v>
      </c>
      <c r="AL1367">
        <v>-3</v>
      </c>
      <c r="AM1367">
        <v>-0.27</v>
      </c>
      <c r="AN1367">
        <v>16.34</v>
      </c>
      <c r="AO1367">
        <v>9.37</v>
      </c>
      <c r="AP1367">
        <v>16.34</v>
      </c>
    </row>
    <row r="1368" spans="1:42">
      <c r="A1368">
        <v>1367</v>
      </c>
      <c r="B1368" t="str">
        <f>"300793"</f>
        <v>300793</v>
      </c>
      <c r="C1368" t="s">
        <v>8579</v>
      </c>
      <c r="D1368">
        <v>18.7</v>
      </c>
      <c r="E1368">
        <v>2.02</v>
      </c>
      <c r="F1368">
        <v>0.37</v>
      </c>
      <c r="G1368" t="s">
        <v>6821</v>
      </c>
      <c r="H1368">
        <v>791</v>
      </c>
      <c r="I1368">
        <v>18.69</v>
      </c>
      <c r="J1368">
        <v>18.7</v>
      </c>
      <c r="K1368" t="s">
        <v>8567</v>
      </c>
      <c r="L1368">
        <v>2.43</v>
      </c>
      <c r="M1368" t="s">
        <v>46</v>
      </c>
      <c r="N1368" t="s">
        <v>2488</v>
      </c>
      <c r="O1368">
        <v>18.75</v>
      </c>
      <c r="P1368">
        <v>18.18</v>
      </c>
      <c r="Q1368">
        <v>18.33</v>
      </c>
      <c r="R1368">
        <v>18.33</v>
      </c>
      <c r="S1368">
        <v>3.11</v>
      </c>
      <c r="T1368">
        <v>0.63</v>
      </c>
      <c r="U1368">
        <v>-36.9</v>
      </c>
      <c r="V1368">
        <v>-483</v>
      </c>
      <c r="W1368">
        <v>18.49</v>
      </c>
      <c r="X1368" t="s">
        <v>3210</v>
      </c>
      <c r="Y1368" t="s">
        <v>1321</v>
      </c>
      <c r="Z1368">
        <v>0.88</v>
      </c>
      <c r="AA1368">
        <v>39</v>
      </c>
      <c r="AB1368">
        <v>135</v>
      </c>
      <c r="AC1368">
        <v>2.49</v>
      </c>
      <c r="AD1368" t="s">
        <v>4889</v>
      </c>
      <c r="AE1368" t="s">
        <v>8580</v>
      </c>
      <c r="AF1368" t="s">
        <v>7220</v>
      </c>
      <c r="AG1368" t="s">
        <v>8581</v>
      </c>
      <c r="AH1368">
        <v>-2.86</v>
      </c>
      <c r="AI1368">
        <v>-8.42</v>
      </c>
      <c r="AJ1368">
        <v>9.12</v>
      </c>
      <c r="AK1368">
        <v>21.69</v>
      </c>
      <c r="AL1368">
        <v>1</v>
      </c>
      <c r="AM1368">
        <v>2.02</v>
      </c>
      <c r="AN1368">
        <v>10.59</v>
      </c>
      <c r="AO1368">
        <v>1.19</v>
      </c>
      <c r="AP1368">
        <v>11.71</v>
      </c>
    </row>
    <row r="1369" spans="1:42">
      <c r="A1369">
        <v>1368</v>
      </c>
      <c r="B1369" t="str">
        <f>"688108"</f>
        <v>688108</v>
      </c>
      <c r="C1369" t="s">
        <v>8582</v>
      </c>
      <c r="D1369">
        <v>14.07</v>
      </c>
      <c r="E1369">
        <v>4.38</v>
      </c>
      <c r="F1369">
        <v>0.59</v>
      </c>
      <c r="G1369" t="s">
        <v>1128</v>
      </c>
      <c r="H1369">
        <v>731</v>
      </c>
      <c r="I1369">
        <v>14.06</v>
      </c>
      <c r="J1369">
        <v>14.07</v>
      </c>
      <c r="K1369" t="s">
        <v>8567</v>
      </c>
      <c r="L1369">
        <v>2.59</v>
      </c>
      <c r="M1369" t="s">
        <v>46</v>
      </c>
      <c r="N1369" t="s">
        <v>4444</v>
      </c>
      <c r="O1369">
        <v>14.15</v>
      </c>
      <c r="P1369">
        <v>13.49</v>
      </c>
      <c r="Q1369">
        <v>13.53</v>
      </c>
      <c r="R1369">
        <v>13.48</v>
      </c>
      <c r="S1369">
        <v>4.9</v>
      </c>
      <c r="T1369">
        <v>2.3</v>
      </c>
      <c r="U1369">
        <v>-13.51</v>
      </c>
      <c r="V1369">
        <v>-157</v>
      </c>
      <c r="W1369">
        <v>13.93</v>
      </c>
      <c r="X1369" t="s">
        <v>2752</v>
      </c>
      <c r="Y1369" t="s">
        <v>2167</v>
      </c>
      <c r="Z1369">
        <v>0.62</v>
      </c>
      <c r="AA1369">
        <v>18</v>
      </c>
      <c r="AB1369">
        <v>106</v>
      </c>
      <c r="AC1369">
        <v>7.05</v>
      </c>
      <c r="AD1369" t="s">
        <v>3550</v>
      </c>
      <c r="AE1369" t="s">
        <v>8583</v>
      </c>
      <c r="AF1369" t="s">
        <v>3550</v>
      </c>
      <c r="AG1369" t="s">
        <v>8583</v>
      </c>
      <c r="AH1369">
        <v>6.91</v>
      </c>
      <c r="AI1369">
        <v>3.61</v>
      </c>
      <c r="AJ1369">
        <v>5.14</v>
      </c>
      <c r="AK1369">
        <v>8.25</v>
      </c>
      <c r="AL1369">
        <v>3</v>
      </c>
      <c r="AM1369">
        <v>4.38</v>
      </c>
      <c r="AN1369">
        <v>146.41</v>
      </c>
      <c r="AO1369">
        <v>3.08</v>
      </c>
      <c r="AP1369">
        <v>114.16</v>
      </c>
    </row>
    <row r="1370" spans="1:42">
      <c r="A1370">
        <v>1369</v>
      </c>
      <c r="B1370" t="str">
        <f>"300597"</f>
        <v>300597</v>
      </c>
      <c r="C1370" t="s">
        <v>8584</v>
      </c>
      <c r="D1370">
        <v>9.96</v>
      </c>
      <c r="E1370">
        <v>3.21</v>
      </c>
      <c r="F1370">
        <v>0.31</v>
      </c>
      <c r="G1370" t="s">
        <v>1377</v>
      </c>
      <c r="H1370">
        <v>2251</v>
      </c>
      <c r="I1370">
        <v>9.95</v>
      </c>
      <c r="J1370">
        <v>9.96</v>
      </c>
      <c r="K1370" t="s">
        <v>8567</v>
      </c>
      <c r="L1370">
        <v>5.55</v>
      </c>
      <c r="M1370" t="s">
        <v>46</v>
      </c>
      <c r="N1370" t="s">
        <v>8585</v>
      </c>
      <c r="O1370">
        <v>10</v>
      </c>
      <c r="P1370">
        <v>9.6</v>
      </c>
      <c r="Q1370">
        <v>9.65</v>
      </c>
      <c r="R1370">
        <v>9.65</v>
      </c>
      <c r="S1370">
        <v>4.15</v>
      </c>
      <c r="T1370">
        <v>0.94</v>
      </c>
      <c r="U1370">
        <v>-54.46</v>
      </c>
      <c r="V1370">
        <v>-3501</v>
      </c>
      <c r="W1370">
        <v>9.83</v>
      </c>
      <c r="X1370" t="s">
        <v>2705</v>
      </c>
      <c r="Y1370" t="s">
        <v>6355</v>
      </c>
      <c r="Z1370">
        <v>0.72</v>
      </c>
      <c r="AA1370">
        <v>316</v>
      </c>
      <c r="AB1370">
        <v>1367</v>
      </c>
      <c r="AC1370">
        <v>2.5</v>
      </c>
      <c r="AD1370" t="s">
        <v>8038</v>
      </c>
      <c r="AE1370" t="s">
        <v>8586</v>
      </c>
      <c r="AF1370" t="s">
        <v>8587</v>
      </c>
      <c r="AG1370" t="s">
        <v>8588</v>
      </c>
      <c r="AH1370">
        <v>-0.1</v>
      </c>
      <c r="AI1370">
        <v>0.81</v>
      </c>
      <c r="AJ1370">
        <v>14.25</v>
      </c>
      <c r="AK1370">
        <v>35.08</v>
      </c>
      <c r="AL1370">
        <v>1</v>
      </c>
      <c r="AM1370">
        <v>3.21</v>
      </c>
      <c r="AN1370">
        <v>33.16</v>
      </c>
      <c r="AO1370">
        <v>8.62</v>
      </c>
      <c r="AP1370">
        <v>19.42</v>
      </c>
    </row>
    <row r="1371" spans="1:42">
      <c r="A1371">
        <v>1370</v>
      </c>
      <c r="B1371" t="str">
        <f>"000069"</f>
        <v>000069</v>
      </c>
      <c r="C1371" t="s">
        <v>8589</v>
      </c>
      <c r="D1371">
        <v>3.46</v>
      </c>
      <c r="E1371">
        <v>0.29</v>
      </c>
      <c r="F1371">
        <v>0.01</v>
      </c>
      <c r="G1371" t="s">
        <v>4340</v>
      </c>
      <c r="H1371">
        <v>7211</v>
      </c>
      <c r="I1371">
        <v>3.45</v>
      </c>
      <c r="J1371">
        <v>3.46</v>
      </c>
      <c r="K1371" t="s">
        <v>8567</v>
      </c>
      <c r="L1371">
        <v>0.61</v>
      </c>
      <c r="M1371" t="s">
        <v>46</v>
      </c>
      <c r="N1371" t="s">
        <v>8590</v>
      </c>
      <c r="O1371">
        <v>3.49</v>
      </c>
      <c r="P1371">
        <v>3.41</v>
      </c>
      <c r="Q1371">
        <v>3.46</v>
      </c>
      <c r="R1371">
        <v>3.45</v>
      </c>
      <c r="S1371">
        <v>2.32</v>
      </c>
      <c r="T1371">
        <v>1.19</v>
      </c>
      <c r="U1371">
        <v>-23.76</v>
      </c>
      <c r="V1371" t="s">
        <v>8591</v>
      </c>
      <c r="W1371">
        <v>3.45</v>
      </c>
      <c r="X1371" t="s">
        <v>290</v>
      </c>
      <c r="Y1371" t="s">
        <v>3785</v>
      </c>
      <c r="Z1371">
        <v>1.28</v>
      </c>
      <c r="AA1371">
        <v>1225</v>
      </c>
      <c r="AB1371">
        <v>6653</v>
      </c>
      <c r="AC1371">
        <v>0.46</v>
      </c>
      <c r="AD1371" t="s">
        <v>8592</v>
      </c>
      <c r="AE1371" t="s">
        <v>8593</v>
      </c>
      <c r="AF1371" t="s">
        <v>8594</v>
      </c>
      <c r="AG1371" t="s">
        <v>7415</v>
      </c>
      <c r="AH1371">
        <v>-3.89</v>
      </c>
      <c r="AI1371">
        <v>-7.73</v>
      </c>
      <c r="AJ1371">
        <v>1.79</v>
      </c>
      <c r="AK1371">
        <v>3.16</v>
      </c>
      <c r="AL1371">
        <v>1</v>
      </c>
      <c r="AM1371">
        <v>0.29</v>
      </c>
      <c r="AN1371">
        <v>-35.08</v>
      </c>
      <c r="AO1371">
        <v>-3.89</v>
      </c>
      <c r="AP1371">
        <v>-26.85</v>
      </c>
    </row>
    <row r="1372" spans="1:42">
      <c r="A1372">
        <v>1371</v>
      </c>
      <c r="B1372" t="str">
        <f>"600271"</f>
        <v>600271</v>
      </c>
      <c r="C1372" t="s">
        <v>8595</v>
      </c>
      <c r="D1372">
        <v>11.43</v>
      </c>
      <c r="E1372">
        <v>3.25</v>
      </c>
      <c r="F1372">
        <v>0.36</v>
      </c>
      <c r="G1372" t="s">
        <v>1987</v>
      </c>
      <c r="H1372">
        <v>751</v>
      </c>
      <c r="I1372">
        <v>11.42</v>
      </c>
      <c r="J1372">
        <v>11.43</v>
      </c>
      <c r="K1372" t="s">
        <v>8567</v>
      </c>
      <c r="L1372">
        <v>0.71</v>
      </c>
      <c r="M1372" t="s">
        <v>46</v>
      </c>
      <c r="N1372" t="s">
        <v>8596</v>
      </c>
      <c r="O1372">
        <v>11.46</v>
      </c>
      <c r="P1372">
        <v>11.08</v>
      </c>
      <c r="Q1372">
        <v>11.09</v>
      </c>
      <c r="R1372">
        <v>11.07</v>
      </c>
      <c r="S1372">
        <v>3.43</v>
      </c>
      <c r="T1372">
        <v>1.35</v>
      </c>
      <c r="U1372">
        <v>-64.49</v>
      </c>
      <c r="V1372">
        <v>-2332</v>
      </c>
      <c r="W1372">
        <v>11.29</v>
      </c>
      <c r="X1372" t="s">
        <v>6349</v>
      </c>
      <c r="Y1372" t="s">
        <v>5794</v>
      </c>
      <c r="Z1372">
        <v>0.69</v>
      </c>
      <c r="AA1372">
        <v>122</v>
      </c>
      <c r="AB1372">
        <v>602</v>
      </c>
      <c r="AC1372">
        <v>1.48</v>
      </c>
      <c r="AD1372" t="s">
        <v>8597</v>
      </c>
      <c r="AE1372" t="s">
        <v>8598</v>
      </c>
      <c r="AF1372" t="s">
        <v>8597</v>
      </c>
      <c r="AG1372" t="s">
        <v>8598</v>
      </c>
      <c r="AH1372">
        <v>1.15</v>
      </c>
      <c r="AI1372">
        <v>-1.47</v>
      </c>
      <c r="AJ1372">
        <v>1.58</v>
      </c>
      <c r="AK1372">
        <v>3.34</v>
      </c>
      <c r="AL1372">
        <v>1</v>
      </c>
      <c r="AM1372">
        <v>3.25</v>
      </c>
      <c r="AN1372">
        <v>11.73</v>
      </c>
      <c r="AO1372">
        <v>2.14</v>
      </c>
      <c r="AP1372">
        <v>5.83</v>
      </c>
    </row>
    <row r="1373" spans="1:42">
      <c r="A1373">
        <v>1372</v>
      </c>
      <c r="B1373" t="str">
        <f>"688260"</f>
        <v>688260</v>
      </c>
      <c r="C1373" t="s">
        <v>8599</v>
      </c>
      <c r="D1373">
        <v>35.23</v>
      </c>
      <c r="E1373">
        <v>0.83</v>
      </c>
      <c r="F1373">
        <v>0.29</v>
      </c>
      <c r="G1373" t="s">
        <v>4087</v>
      </c>
      <c r="H1373">
        <v>492</v>
      </c>
      <c r="I1373">
        <v>35.23</v>
      </c>
      <c r="J1373">
        <v>35.42</v>
      </c>
      <c r="K1373" t="s">
        <v>8567</v>
      </c>
      <c r="L1373">
        <v>6.21</v>
      </c>
      <c r="M1373" t="s">
        <v>46</v>
      </c>
      <c r="N1373" t="s">
        <v>7829</v>
      </c>
      <c r="O1373">
        <v>36.45</v>
      </c>
      <c r="P1373">
        <v>34.02</v>
      </c>
      <c r="Q1373">
        <v>34.79</v>
      </c>
      <c r="R1373">
        <v>34.94</v>
      </c>
      <c r="S1373">
        <v>6.95</v>
      </c>
      <c r="T1373">
        <v>1.15</v>
      </c>
      <c r="U1373">
        <v>-12.27</v>
      </c>
      <c r="V1373">
        <v>-15</v>
      </c>
      <c r="W1373">
        <v>34.96</v>
      </c>
      <c r="X1373" t="s">
        <v>1212</v>
      </c>
      <c r="Y1373" t="s">
        <v>1590</v>
      </c>
      <c r="Z1373">
        <v>1.13</v>
      </c>
      <c r="AA1373">
        <v>9</v>
      </c>
      <c r="AB1373">
        <v>12</v>
      </c>
      <c r="AC1373">
        <v>10.72</v>
      </c>
      <c r="AD1373" t="s">
        <v>5210</v>
      </c>
      <c r="AE1373" t="s">
        <v>8600</v>
      </c>
      <c r="AF1373" t="s">
        <v>8601</v>
      </c>
      <c r="AG1373" t="s">
        <v>1952</v>
      </c>
      <c r="AH1373">
        <v>10.93</v>
      </c>
      <c r="AI1373">
        <v>4.94</v>
      </c>
      <c r="AJ1373">
        <v>20.25</v>
      </c>
      <c r="AK1373">
        <v>33.17</v>
      </c>
      <c r="AL1373">
        <v>3</v>
      </c>
      <c r="AM1373">
        <v>0.83</v>
      </c>
      <c r="AN1373">
        <v>153.27</v>
      </c>
      <c r="AO1373">
        <v>9.78</v>
      </c>
      <c r="AP1373">
        <v>129.06</v>
      </c>
    </row>
    <row r="1374" spans="1:42">
      <c r="A1374">
        <v>1373</v>
      </c>
      <c r="B1374" t="str">
        <f>"002055"</f>
        <v>002055</v>
      </c>
      <c r="C1374" t="s">
        <v>8602</v>
      </c>
      <c r="D1374">
        <v>10.51</v>
      </c>
      <c r="E1374">
        <v>1.06</v>
      </c>
      <c r="F1374">
        <v>0.11</v>
      </c>
      <c r="G1374" t="s">
        <v>3385</v>
      </c>
      <c r="H1374">
        <v>2128</v>
      </c>
      <c r="I1374">
        <v>10.5</v>
      </c>
      <c r="J1374">
        <v>10.51</v>
      </c>
      <c r="K1374" t="s">
        <v>8567</v>
      </c>
      <c r="L1374">
        <v>2.41</v>
      </c>
      <c r="M1374" t="s">
        <v>46</v>
      </c>
      <c r="N1374" t="s">
        <v>8603</v>
      </c>
      <c r="O1374">
        <v>10.55</v>
      </c>
      <c r="P1374">
        <v>10.22</v>
      </c>
      <c r="Q1374">
        <v>10.43</v>
      </c>
      <c r="R1374">
        <v>10.4</v>
      </c>
      <c r="S1374">
        <v>3.17</v>
      </c>
      <c r="T1374">
        <v>0.59</v>
      </c>
      <c r="U1374">
        <v>-19.28</v>
      </c>
      <c r="V1374">
        <v>-1363</v>
      </c>
      <c r="W1374">
        <v>10.42</v>
      </c>
      <c r="X1374" t="s">
        <v>8604</v>
      </c>
      <c r="Y1374" t="s">
        <v>6058</v>
      </c>
      <c r="Z1374">
        <v>1.2</v>
      </c>
      <c r="AA1374">
        <v>383</v>
      </c>
      <c r="AB1374">
        <v>65</v>
      </c>
      <c r="AC1374">
        <v>2.24</v>
      </c>
      <c r="AD1374" t="s">
        <v>8605</v>
      </c>
      <c r="AE1374" t="s">
        <v>8606</v>
      </c>
      <c r="AF1374" t="s">
        <v>781</v>
      </c>
      <c r="AG1374" t="s">
        <v>8607</v>
      </c>
      <c r="AH1374">
        <v>-1.41</v>
      </c>
      <c r="AI1374">
        <v>0.19</v>
      </c>
      <c r="AJ1374">
        <v>11.7</v>
      </c>
      <c r="AK1374">
        <v>22.98</v>
      </c>
      <c r="AL1374">
        <v>1</v>
      </c>
      <c r="AM1374">
        <v>1.06</v>
      </c>
      <c r="AN1374">
        <v>21.93</v>
      </c>
      <c r="AO1374">
        <v>9.25</v>
      </c>
      <c r="AP1374">
        <v>7.35</v>
      </c>
    </row>
    <row r="1375" spans="1:42">
      <c r="A1375">
        <v>1374</v>
      </c>
      <c r="B1375" t="str">
        <f>"603045"</f>
        <v>603045</v>
      </c>
      <c r="C1375" t="s">
        <v>8608</v>
      </c>
      <c r="D1375">
        <v>15.43</v>
      </c>
      <c r="E1375">
        <v>-3.2</v>
      </c>
      <c r="F1375">
        <v>-0.51</v>
      </c>
      <c r="G1375" t="s">
        <v>7543</v>
      </c>
      <c r="H1375">
        <v>454</v>
      </c>
      <c r="I1375">
        <v>15.42</v>
      </c>
      <c r="J1375">
        <v>15.43</v>
      </c>
      <c r="K1375" t="s">
        <v>8567</v>
      </c>
      <c r="L1375">
        <v>7.1</v>
      </c>
      <c r="M1375" t="s">
        <v>46</v>
      </c>
      <c r="N1375" t="s">
        <v>360</v>
      </c>
      <c r="O1375">
        <v>15.57</v>
      </c>
      <c r="P1375">
        <v>15.07</v>
      </c>
      <c r="Q1375">
        <v>15.12</v>
      </c>
      <c r="R1375">
        <v>15.94</v>
      </c>
      <c r="S1375">
        <v>3.14</v>
      </c>
      <c r="T1375">
        <v>4.32</v>
      </c>
      <c r="U1375">
        <v>-45.01</v>
      </c>
      <c r="V1375">
        <v>-622</v>
      </c>
      <c r="W1375">
        <v>15.36</v>
      </c>
      <c r="X1375" t="s">
        <v>6560</v>
      </c>
      <c r="Y1375" t="s">
        <v>3736</v>
      </c>
      <c r="Z1375">
        <v>0.91</v>
      </c>
      <c r="AA1375">
        <v>27</v>
      </c>
      <c r="AB1375">
        <v>423</v>
      </c>
      <c r="AC1375">
        <v>2.25</v>
      </c>
      <c r="AD1375" t="s">
        <v>8609</v>
      </c>
      <c r="AE1375" t="s">
        <v>8610</v>
      </c>
      <c r="AF1375" t="s">
        <v>8609</v>
      </c>
      <c r="AG1375" t="s">
        <v>8610</v>
      </c>
      <c r="AH1375">
        <v>-4.81</v>
      </c>
      <c r="AI1375">
        <v>-4.28</v>
      </c>
      <c r="AJ1375">
        <v>10.43</v>
      </c>
      <c r="AK1375">
        <v>15.33</v>
      </c>
      <c r="AL1375">
        <v>-3</v>
      </c>
      <c r="AM1375">
        <v>-3.2</v>
      </c>
      <c r="AN1375">
        <v>8.59</v>
      </c>
      <c r="AO1375">
        <v>-1.28</v>
      </c>
      <c r="AP1375">
        <v>-14.28</v>
      </c>
    </row>
    <row r="1376" spans="1:42">
      <c r="A1376">
        <v>1375</v>
      </c>
      <c r="B1376" t="str">
        <f>"600906"</f>
        <v>600906</v>
      </c>
      <c r="C1376" t="s">
        <v>8611</v>
      </c>
      <c r="D1376">
        <v>7.79</v>
      </c>
      <c r="E1376">
        <v>0.52</v>
      </c>
      <c r="F1376">
        <v>0.04</v>
      </c>
      <c r="G1376" t="s">
        <v>2382</v>
      </c>
      <c r="H1376">
        <v>2842</v>
      </c>
      <c r="I1376">
        <v>7.78</v>
      </c>
      <c r="J1376">
        <v>7.79</v>
      </c>
      <c r="K1376" t="s">
        <v>8567</v>
      </c>
      <c r="L1376">
        <v>1.45</v>
      </c>
      <c r="M1376" t="s">
        <v>46</v>
      </c>
      <c r="N1376" t="s">
        <v>8612</v>
      </c>
      <c r="O1376">
        <v>7.79</v>
      </c>
      <c r="P1376">
        <v>7.71</v>
      </c>
      <c r="Q1376">
        <v>7.75</v>
      </c>
      <c r="R1376">
        <v>7.75</v>
      </c>
      <c r="S1376">
        <v>1.03</v>
      </c>
      <c r="T1376">
        <v>0.96</v>
      </c>
      <c r="U1376">
        <v>5.06</v>
      </c>
      <c r="V1376">
        <v>965</v>
      </c>
      <c r="W1376">
        <v>7.76</v>
      </c>
      <c r="X1376" t="s">
        <v>646</v>
      </c>
      <c r="Y1376" t="s">
        <v>110</v>
      </c>
      <c r="Z1376">
        <v>0.88</v>
      </c>
      <c r="AA1376">
        <v>1944</v>
      </c>
      <c r="AB1376">
        <v>3612</v>
      </c>
      <c r="AC1376">
        <v>2.19</v>
      </c>
      <c r="AD1376" t="s">
        <v>8613</v>
      </c>
      <c r="AE1376" t="s">
        <v>2214</v>
      </c>
      <c r="AF1376" t="s">
        <v>8614</v>
      </c>
      <c r="AG1376" t="s">
        <v>3487</v>
      </c>
      <c r="AH1376">
        <v>-0.13</v>
      </c>
      <c r="AI1376">
        <v>-2.38</v>
      </c>
      <c r="AJ1376">
        <v>4.45</v>
      </c>
      <c r="AK1376">
        <v>8.98</v>
      </c>
      <c r="AL1376">
        <v>2</v>
      </c>
      <c r="AM1376">
        <v>0.52</v>
      </c>
      <c r="AN1376">
        <v>3.59</v>
      </c>
      <c r="AO1376">
        <v>0.91</v>
      </c>
      <c r="AP1376">
        <v>-4.65</v>
      </c>
    </row>
    <row r="1377" spans="1:42">
      <c r="A1377">
        <v>1376</v>
      </c>
      <c r="B1377" t="str">
        <f>"000576"</f>
        <v>000576</v>
      </c>
      <c r="C1377" t="s">
        <v>8615</v>
      </c>
      <c r="D1377">
        <v>10.12</v>
      </c>
      <c r="E1377">
        <v>-1.17</v>
      </c>
      <c r="F1377">
        <v>-0.12</v>
      </c>
      <c r="G1377" t="s">
        <v>1493</v>
      </c>
      <c r="H1377">
        <v>3118</v>
      </c>
      <c r="I1377">
        <v>10.12</v>
      </c>
      <c r="J1377">
        <v>10.14</v>
      </c>
      <c r="K1377" t="s">
        <v>8616</v>
      </c>
      <c r="L1377">
        <v>3.4</v>
      </c>
      <c r="M1377" t="s">
        <v>46</v>
      </c>
      <c r="N1377" t="s">
        <v>4345</v>
      </c>
      <c r="O1377">
        <v>10.24</v>
      </c>
      <c r="P1377">
        <v>9.91</v>
      </c>
      <c r="Q1377">
        <v>10.24</v>
      </c>
      <c r="R1377">
        <v>10.24</v>
      </c>
      <c r="S1377">
        <v>3.22</v>
      </c>
      <c r="T1377">
        <v>1.11</v>
      </c>
      <c r="U1377">
        <v>77.92</v>
      </c>
      <c r="V1377">
        <v>2103</v>
      </c>
      <c r="W1377">
        <v>10.08</v>
      </c>
      <c r="X1377" t="s">
        <v>970</v>
      </c>
      <c r="Y1377" t="s">
        <v>7114</v>
      </c>
      <c r="Z1377">
        <v>1.03</v>
      </c>
      <c r="AA1377">
        <v>434</v>
      </c>
      <c r="AB1377">
        <v>61</v>
      </c>
      <c r="AC1377">
        <v>2.47</v>
      </c>
      <c r="AD1377" t="s">
        <v>8617</v>
      </c>
      <c r="AE1377" t="s">
        <v>6107</v>
      </c>
      <c r="AF1377" t="s">
        <v>8618</v>
      </c>
      <c r="AG1377" t="s">
        <v>8619</v>
      </c>
      <c r="AH1377">
        <v>3.48</v>
      </c>
      <c r="AI1377">
        <v>5.2</v>
      </c>
      <c r="AJ1377">
        <v>16.56</v>
      </c>
      <c r="AK1377">
        <v>18.71</v>
      </c>
      <c r="AL1377">
        <v>-2</v>
      </c>
      <c r="AM1377">
        <v>-1.17</v>
      </c>
      <c r="AN1377">
        <v>-0.39</v>
      </c>
      <c r="AO1377">
        <v>10.6</v>
      </c>
      <c r="AP1377">
        <v>-9.24</v>
      </c>
    </row>
    <row r="1378" spans="1:42">
      <c r="A1378">
        <v>1377</v>
      </c>
      <c r="B1378" t="str">
        <f>"300285"</f>
        <v>300285</v>
      </c>
      <c r="C1378" t="s">
        <v>8620</v>
      </c>
      <c r="D1378">
        <v>25.23</v>
      </c>
      <c r="E1378">
        <v>-1.45</v>
      </c>
      <c r="F1378">
        <v>-0.37</v>
      </c>
      <c r="G1378" t="s">
        <v>1577</v>
      </c>
      <c r="H1378">
        <v>413</v>
      </c>
      <c r="I1378">
        <v>25.23</v>
      </c>
      <c r="J1378">
        <v>25.28</v>
      </c>
      <c r="K1378" t="s">
        <v>8616</v>
      </c>
      <c r="L1378">
        <v>0.73</v>
      </c>
      <c r="M1378" t="s">
        <v>46</v>
      </c>
      <c r="N1378" t="s">
        <v>8621</v>
      </c>
      <c r="O1378">
        <v>25.78</v>
      </c>
      <c r="P1378">
        <v>25.05</v>
      </c>
      <c r="Q1378">
        <v>25.5</v>
      </c>
      <c r="R1378">
        <v>25.6</v>
      </c>
      <c r="S1378">
        <v>2.85</v>
      </c>
      <c r="T1378">
        <v>1.31</v>
      </c>
      <c r="U1378">
        <v>21.94</v>
      </c>
      <c r="V1378">
        <v>104</v>
      </c>
      <c r="W1378">
        <v>25.3</v>
      </c>
      <c r="X1378" t="s">
        <v>2727</v>
      </c>
      <c r="Y1378" t="s">
        <v>8622</v>
      </c>
      <c r="Z1378">
        <v>0.98</v>
      </c>
      <c r="AA1378">
        <v>40</v>
      </c>
      <c r="AB1378">
        <v>4</v>
      </c>
      <c r="AC1378">
        <v>4.08</v>
      </c>
      <c r="AD1378" t="s">
        <v>3019</v>
      </c>
      <c r="AE1378" t="s">
        <v>7900</v>
      </c>
      <c r="AF1378" t="s">
        <v>8623</v>
      </c>
      <c r="AG1378" t="s">
        <v>408</v>
      </c>
      <c r="AH1378">
        <v>-1.33</v>
      </c>
      <c r="AI1378">
        <v>-0.98</v>
      </c>
      <c r="AJ1378">
        <v>1.88</v>
      </c>
      <c r="AK1378">
        <v>3.48</v>
      </c>
      <c r="AL1378">
        <v>-2</v>
      </c>
      <c r="AM1378">
        <v>-1.45</v>
      </c>
      <c r="AN1378">
        <v>-8.15</v>
      </c>
      <c r="AO1378">
        <v>1.73</v>
      </c>
      <c r="AP1378">
        <v>-10.85</v>
      </c>
    </row>
    <row r="1379" spans="1:42">
      <c r="A1379">
        <v>1378</v>
      </c>
      <c r="B1379" t="str">
        <f>"002564"</f>
        <v>002564</v>
      </c>
      <c r="C1379" t="s">
        <v>8624</v>
      </c>
      <c r="D1379">
        <v>4.15</v>
      </c>
      <c r="E1379">
        <v>0.24</v>
      </c>
      <c r="F1379">
        <v>0.01</v>
      </c>
      <c r="G1379" t="s">
        <v>999</v>
      </c>
      <c r="H1379">
        <v>7537</v>
      </c>
      <c r="I1379">
        <v>4.14</v>
      </c>
      <c r="J1379">
        <v>4.15</v>
      </c>
      <c r="K1379" t="s">
        <v>8616</v>
      </c>
      <c r="L1379">
        <v>4.2</v>
      </c>
      <c r="M1379" t="s">
        <v>46</v>
      </c>
      <c r="N1379" t="s">
        <v>2410</v>
      </c>
      <c r="O1379">
        <v>4.21</v>
      </c>
      <c r="P1379">
        <v>3.93</v>
      </c>
      <c r="Q1379">
        <v>4.12</v>
      </c>
      <c r="R1379">
        <v>4.14</v>
      </c>
      <c r="S1379">
        <v>6.76</v>
      </c>
      <c r="T1379">
        <v>0.82</v>
      </c>
      <c r="U1379">
        <v>-10.25</v>
      </c>
      <c r="V1379">
        <v>-2165</v>
      </c>
      <c r="W1379">
        <v>4.09</v>
      </c>
      <c r="X1379" t="s">
        <v>1462</v>
      </c>
      <c r="Y1379" t="s">
        <v>3143</v>
      </c>
      <c r="Z1379">
        <v>1.21</v>
      </c>
      <c r="AA1379">
        <v>2604</v>
      </c>
      <c r="AB1379">
        <v>3920</v>
      </c>
      <c r="AC1379">
        <v>-1.2</v>
      </c>
      <c r="AD1379" t="s">
        <v>8625</v>
      </c>
      <c r="AE1379" t="s">
        <v>8626</v>
      </c>
      <c r="AF1379" t="s">
        <v>8627</v>
      </c>
      <c r="AG1379" t="s">
        <v>8628</v>
      </c>
      <c r="AH1379">
        <v>3.23</v>
      </c>
      <c r="AI1379">
        <v>11.26</v>
      </c>
      <c r="AJ1379">
        <v>12.71</v>
      </c>
      <c r="AK1379">
        <v>29.71</v>
      </c>
      <c r="AL1379">
        <v>1</v>
      </c>
      <c r="AM1379">
        <v>0.24</v>
      </c>
      <c r="AN1379">
        <v>-23.71</v>
      </c>
      <c r="AO1379">
        <v>22.78</v>
      </c>
      <c r="AP1379">
        <v>-13.18</v>
      </c>
    </row>
    <row r="1380" spans="1:42">
      <c r="A1380">
        <v>1379</v>
      </c>
      <c r="B1380" t="str">
        <f>"601137"</f>
        <v>601137</v>
      </c>
      <c r="C1380" t="s">
        <v>8629</v>
      </c>
      <c r="D1380">
        <v>15.94</v>
      </c>
      <c r="E1380">
        <v>-0.62</v>
      </c>
      <c r="F1380">
        <v>-0.1</v>
      </c>
      <c r="G1380" t="s">
        <v>8630</v>
      </c>
      <c r="H1380">
        <v>863</v>
      </c>
      <c r="I1380">
        <v>15.94</v>
      </c>
      <c r="J1380">
        <v>15.95</v>
      </c>
      <c r="K1380" t="s">
        <v>8616</v>
      </c>
      <c r="L1380">
        <v>1.19</v>
      </c>
      <c r="M1380" t="s">
        <v>46</v>
      </c>
      <c r="N1380" t="s">
        <v>8210</v>
      </c>
      <c r="O1380">
        <v>16.04</v>
      </c>
      <c r="P1380">
        <v>15.73</v>
      </c>
      <c r="Q1380">
        <v>16.04</v>
      </c>
      <c r="R1380">
        <v>16.04</v>
      </c>
      <c r="S1380">
        <v>1.93</v>
      </c>
      <c r="T1380">
        <v>0.83</v>
      </c>
      <c r="U1380">
        <v>-44.08</v>
      </c>
      <c r="V1380">
        <v>-987</v>
      </c>
      <c r="W1380">
        <v>15.85</v>
      </c>
      <c r="X1380" t="s">
        <v>372</v>
      </c>
      <c r="Y1380" t="s">
        <v>3318</v>
      </c>
      <c r="Z1380">
        <v>1.35</v>
      </c>
      <c r="AA1380">
        <v>192</v>
      </c>
      <c r="AB1380">
        <v>153</v>
      </c>
      <c r="AC1380">
        <v>1.86</v>
      </c>
      <c r="AD1380" t="s">
        <v>8631</v>
      </c>
      <c r="AE1380" t="s">
        <v>8632</v>
      </c>
      <c r="AF1380" t="s">
        <v>8633</v>
      </c>
      <c r="AG1380" t="s">
        <v>8634</v>
      </c>
      <c r="AH1380">
        <v>-1.54</v>
      </c>
      <c r="AI1380">
        <v>-0.87</v>
      </c>
      <c r="AJ1380">
        <v>4.86</v>
      </c>
      <c r="AK1380">
        <v>8.4</v>
      </c>
      <c r="AL1380">
        <v>-2</v>
      </c>
      <c r="AM1380">
        <v>-0.62</v>
      </c>
      <c r="AN1380">
        <v>9.18</v>
      </c>
      <c r="AO1380">
        <v>3.31</v>
      </c>
      <c r="AP1380">
        <v>5.08</v>
      </c>
    </row>
    <row r="1381" spans="1:42">
      <c r="A1381">
        <v>1380</v>
      </c>
      <c r="B1381" t="str">
        <f>"301421"</f>
        <v>301421</v>
      </c>
      <c r="C1381" t="s">
        <v>8635</v>
      </c>
      <c r="D1381">
        <v>63.6</v>
      </c>
      <c r="E1381">
        <v>0.78</v>
      </c>
      <c r="F1381">
        <v>0.49</v>
      </c>
      <c r="G1381" t="s">
        <v>5620</v>
      </c>
      <c r="H1381">
        <v>323</v>
      </c>
      <c r="I1381">
        <v>63.6</v>
      </c>
      <c r="J1381">
        <v>63.61</v>
      </c>
      <c r="K1381" t="s">
        <v>8616</v>
      </c>
      <c r="L1381">
        <v>8.47</v>
      </c>
      <c r="M1381" t="s">
        <v>46</v>
      </c>
      <c r="N1381" t="s">
        <v>3982</v>
      </c>
      <c r="O1381">
        <v>63.87</v>
      </c>
      <c r="P1381">
        <v>62.5</v>
      </c>
      <c r="Q1381">
        <v>62.85</v>
      </c>
      <c r="R1381">
        <v>63.11</v>
      </c>
      <c r="S1381">
        <v>2.17</v>
      </c>
      <c r="T1381">
        <v>0.5</v>
      </c>
      <c r="U1381">
        <v>26.65</v>
      </c>
      <c r="V1381">
        <v>93</v>
      </c>
      <c r="W1381">
        <v>63.36</v>
      </c>
      <c r="X1381" t="s">
        <v>734</v>
      </c>
      <c r="Y1381" t="s">
        <v>8636</v>
      </c>
      <c r="Z1381">
        <v>0.94</v>
      </c>
      <c r="AA1381">
        <v>97</v>
      </c>
      <c r="AB1381">
        <v>80</v>
      </c>
      <c r="AC1381">
        <v>6.27</v>
      </c>
      <c r="AD1381" t="s">
        <v>8637</v>
      </c>
      <c r="AE1381" t="s">
        <v>8638</v>
      </c>
      <c r="AF1381" t="s">
        <v>8639</v>
      </c>
      <c r="AG1381" t="s">
        <v>8640</v>
      </c>
      <c r="AH1381">
        <v>-6.5</v>
      </c>
      <c r="AI1381">
        <v>-2.78</v>
      </c>
      <c r="AJ1381">
        <v>38.72</v>
      </c>
      <c r="AK1381">
        <v>93.45</v>
      </c>
      <c r="AL1381">
        <v>1</v>
      </c>
      <c r="AM1381">
        <v>0.78</v>
      </c>
      <c r="AN1381">
        <v>116.47</v>
      </c>
      <c r="AO1381">
        <v>-10.55</v>
      </c>
      <c r="AP1381">
        <v>116.47</v>
      </c>
    </row>
    <row r="1382" spans="1:42">
      <c r="A1382">
        <v>1381</v>
      </c>
      <c r="B1382" t="str">
        <f>"002675"</f>
        <v>002675</v>
      </c>
      <c r="C1382" t="s">
        <v>8641</v>
      </c>
      <c r="D1382">
        <v>17.76</v>
      </c>
      <c r="E1382">
        <v>-1</v>
      </c>
      <c r="F1382">
        <v>-0.18</v>
      </c>
      <c r="G1382" t="s">
        <v>3884</v>
      </c>
      <c r="H1382">
        <v>534</v>
      </c>
      <c r="I1382">
        <v>17.75</v>
      </c>
      <c r="J1382">
        <v>17.76</v>
      </c>
      <c r="K1382" t="s">
        <v>8616</v>
      </c>
      <c r="L1382">
        <v>1.11</v>
      </c>
      <c r="M1382" t="s">
        <v>46</v>
      </c>
      <c r="N1382" t="s">
        <v>6922</v>
      </c>
      <c r="O1382">
        <v>18.25</v>
      </c>
      <c r="P1382">
        <v>17.61</v>
      </c>
      <c r="Q1382">
        <v>17.98</v>
      </c>
      <c r="R1382">
        <v>17.94</v>
      </c>
      <c r="S1382">
        <v>3.57</v>
      </c>
      <c r="T1382">
        <v>1.21</v>
      </c>
      <c r="U1382">
        <v>52.33</v>
      </c>
      <c r="V1382">
        <v>911</v>
      </c>
      <c r="W1382">
        <v>17.87</v>
      </c>
      <c r="X1382" t="s">
        <v>5355</v>
      </c>
      <c r="Y1382" t="s">
        <v>2921</v>
      </c>
      <c r="Z1382">
        <v>0.97</v>
      </c>
      <c r="AA1382">
        <v>171</v>
      </c>
      <c r="AB1382">
        <v>14</v>
      </c>
      <c r="AC1382">
        <v>2.92</v>
      </c>
      <c r="AD1382" t="s">
        <v>8642</v>
      </c>
      <c r="AE1382" t="s">
        <v>3685</v>
      </c>
      <c r="AF1382" t="s">
        <v>8643</v>
      </c>
      <c r="AG1382" t="s">
        <v>8644</v>
      </c>
      <c r="AH1382">
        <v>-2.26</v>
      </c>
      <c r="AI1382">
        <v>-3.37</v>
      </c>
      <c r="AJ1382">
        <v>2.42</v>
      </c>
      <c r="AK1382">
        <v>5.7</v>
      </c>
      <c r="AL1382">
        <v>-3</v>
      </c>
      <c r="AM1382">
        <v>-1</v>
      </c>
      <c r="AN1382">
        <v>8.23</v>
      </c>
      <c r="AO1382">
        <v>0.34</v>
      </c>
      <c r="AP1382">
        <v>4.66</v>
      </c>
    </row>
    <row r="1383" spans="1:42">
      <c r="A1383">
        <v>1382</v>
      </c>
      <c r="B1383" t="str">
        <f>"301218"</f>
        <v>301218</v>
      </c>
      <c r="C1383" t="s">
        <v>8645</v>
      </c>
      <c r="D1383">
        <v>34.32</v>
      </c>
      <c r="E1383">
        <v>3.91</v>
      </c>
      <c r="F1383">
        <v>1.29</v>
      </c>
      <c r="G1383" t="s">
        <v>459</v>
      </c>
      <c r="H1383">
        <v>747</v>
      </c>
      <c r="I1383">
        <v>34.32</v>
      </c>
      <c r="J1383">
        <v>34.33</v>
      </c>
      <c r="K1383" t="s">
        <v>8616</v>
      </c>
      <c r="L1383">
        <v>7.77</v>
      </c>
      <c r="M1383" t="s">
        <v>46</v>
      </c>
      <c r="N1383" t="s">
        <v>7108</v>
      </c>
      <c r="O1383">
        <v>34.44</v>
      </c>
      <c r="P1383">
        <v>33.08</v>
      </c>
      <c r="Q1383">
        <v>33.15</v>
      </c>
      <c r="R1383">
        <v>33.03</v>
      </c>
      <c r="S1383">
        <v>4.12</v>
      </c>
      <c r="T1383">
        <v>0.83</v>
      </c>
      <c r="U1383">
        <v>-43.01</v>
      </c>
      <c r="V1383">
        <v>-320</v>
      </c>
      <c r="W1383">
        <v>33.8</v>
      </c>
      <c r="X1383" t="s">
        <v>6656</v>
      </c>
      <c r="Y1383" t="s">
        <v>1639</v>
      </c>
      <c r="Z1383">
        <v>0.66</v>
      </c>
      <c r="AA1383">
        <v>116</v>
      </c>
      <c r="AB1383">
        <v>120</v>
      </c>
      <c r="AC1383">
        <v>4.32</v>
      </c>
      <c r="AD1383" t="s">
        <v>8646</v>
      </c>
      <c r="AE1383" t="s">
        <v>8647</v>
      </c>
      <c r="AF1383" t="s">
        <v>8648</v>
      </c>
      <c r="AG1383" t="s">
        <v>5404</v>
      </c>
      <c r="AH1383">
        <v>-1.01</v>
      </c>
      <c r="AI1383">
        <v>-8.36</v>
      </c>
      <c r="AJ1383">
        <v>23.41</v>
      </c>
      <c r="AK1383">
        <v>54.66</v>
      </c>
      <c r="AL1383">
        <v>1</v>
      </c>
      <c r="AM1383">
        <v>3.91</v>
      </c>
      <c r="AN1383">
        <v>82.17</v>
      </c>
      <c r="AO1383">
        <v>-1.27</v>
      </c>
      <c r="AP1383">
        <v>59.78</v>
      </c>
    </row>
    <row r="1384" spans="1:42">
      <c r="A1384">
        <v>1383</v>
      </c>
      <c r="B1384" t="str">
        <f>"600056"</f>
        <v>600056</v>
      </c>
      <c r="C1384" t="s">
        <v>8649</v>
      </c>
      <c r="D1384">
        <v>12.07</v>
      </c>
      <c r="E1384">
        <v>0.42</v>
      </c>
      <c r="F1384">
        <v>0.05</v>
      </c>
      <c r="G1384" t="s">
        <v>447</v>
      </c>
      <c r="H1384">
        <v>620</v>
      </c>
      <c r="I1384">
        <v>12.07</v>
      </c>
      <c r="J1384">
        <v>12.08</v>
      </c>
      <c r="K1384" t="s">
        <v>8616</v>
      </c>
      <c r="L1384">
        <v>0.81</v>
      </c>
      <c r="M1384" t="s">
        <v>46</v>
      </c>
      <c r="N1384" t="s">
        <v>4208</v>
      </c>
      <c r="O1384">
        <v>12.19</v>
      </c>
      <c r="P1384">
        <v>11.93</v>
      </c>
      <c r="Q1384">
        <v>11.97</v>
      </c>
      <c r="R1384">
        <v>12.02</v>
      </c>
      <c r="S1384">
        <v>2.16</v>
      </c>
      <c r="T1384">
        <v>0.69</v>
      </c>
      <c r="U1384">
        <v>-26.35</v>
      </c>
      <c r="V1384">
        <v>-2157</v>
      </c>
      <c r="W1384">
        <v>12.07</v>
      </c>
      <c r="X1384" t="s">
        <v>3055</v>
      </c>
      <c r="Y1384" t="s">
        <v>5010</v>
      </c>
      <c r="Z1384">
        <v>0.89</v>
      </c>
      <c r="AA1384">
        <v>276</v>
      </c>
      <c r="AB1384">
        <v>1323</v>
      </c>
      <c r="AC1384">
        <v>1.61</v>
      </c>
      <c r="AD1384" t="s">
        <v>596</v>
      </c>
      <c r="AE1384" t="s">
        <v>8650</v>
      </c>
      <c r="AF1384" t="s">
        <v>8651</v>
      </c>
      <c r="AG1384" t="s">
        <v>8652</v>
      </c>
      <c r="AH1384">
        <v>-0.66</v>
      </c>
      <c r="AI1384">
        <v>-1.63</v>
      </c>
      <c r="AJ1384">
        <v>2.61</v>
      </c>
      <c r="AK1384">
        <v>6.76</v>
      </c>
      <c r="AL1384">
        <v>2</v>
      </c>
      <c r="AM1384">
        <v>0.42</v>
      </c>
      <c r="AN1384">
        <v>-29.33</v>
      </c>
      <c r="AO1384">
        <v>2.03</v>
      </c>
      <c r="AP1384">
        <v>-31.03</v>
      </c>
    </row>
    <row r="1385" spans="1:42">
      <c r="A1385">
        <v>1384</v>
      </c>
      <c r="B1385" t="str">
        <f>"688322"</f>
        <v>688322</v>
      </c>
      <c r="C1385" t="s">
        <v>8653</v>
      </c>
      <c r="D1385">
        <v>33.6</v>
      </c>
      <c r="E1385">
        <v>-0.59</v>
      </c>
      <c r="F1385">
        <v>-0.2</v>
      </c>
      <c r="G1385" t="s">
        <v>1578</v>
      </c>
      <c r="H1385">
        <v>534</v>
      </c>
      <c r="I1385">
        <v>33.6</v>
      </c>
      <c r="J1385">
        <v>33.63</v>
      </c>
      <c r="K1385" t="s">
        <v>8616</v>
      </c>
      <c r="L1385">
        <v>2.01</v>
      </c>
      <c r="M1385" t="s">
        <v>46</v>
      </c>
      <c r="N1385" t="s">
        <v>4375</v>
      </c>
      <c r="O1385">
        <v>34.04</v>
      </c>
      <c r="P1385">
        <v>32.95</v>
      </c>
      <c r="Q1385">
        <v>33.49</v>
      </c>
      <c r="R1385">
        <v>33.8</v>
      </c>
      <c r="S1385">
        <v>3.22</v>
      </c>
      <c r="T1385">
        <v>0.89</v>
      </c>
      <c r="U1385">
        <v>-31.24</v>
      </c>
      <c r="V1385">
        <v>-30</v>
      </c>
      <c r="W1385">
        <v>33.39</v>
      </c>
      <c r="X1385" t="s">
        <v>4037</v>
      </c>
      <c r="Y1385" t="s">
        <v>2877</v>
      </c>
      <c r="Z1385">
        <v>1.22</v>
      </c>
      <c r="AA1385">
        <v>2</v>
      </c>
      <c r="AB1385">
        <v>4</v>
      </c>
      <c r="AC1385">
        <v>4.33</v>
      </c>
      <c r="AD1385" t="s">
        <v>7381</v>
      </c>
      <c r="AE1385" t="s">
        <v>8654</v>
      </c>
      <c r="AF1385" t="s">
        <v>8655</v>
      </c>
      <c r="AG1385" t="s">
        <v>8656</v>
      </c>
      <c r="AH1385">
        <v>-1.15</v>
      </c>
      <c r="AI1385">
        <v>-1.96</v>
      </c>
      <c r="AJ1385">
        <v>7.14</v>
      </c>
      <c r="AK1385">
        <v>13.31</v>
      </c>
      <c r="AL1385">
        <v>-1</v>
      </c>
      <c r="AM1385">
        <v>-0.59</v>
      </c>
      <c r="AN1385">
        <v>55.92</v>
      </c>
      <c r="AO1385">
        <v>6.94</v>
      </c>
      <c r="AP1385">
        <v>27.18</v>
      </c>
    </row>
    <row r="1386" spans="1:42">
      <c r="A1386">
        <v>1385</v>
      </c>
      <c r="B1386" t="str">
        <f>"688575"</f>
        <v>688575</v>
      </c>
      <c r="C1386" t="s">
        <v>8657</v>
      </c>
      <c r="D1386">
        <v>25.13</v>
      </c>
      <c r="E1386">
        <v>1.62</v>
      </c>
      <c r="F1386">
        <v>0.4</v>
      </c>
      <c r="G1386" t="s">
        <v>6226</v>
      </c>
      <c r="H1386">
        <v>155</v>
      </c>
      <c r="I1386">
        <v>25.13</v>
      </c>
      <c r="J1386">
        <v>25.14</v>
      </c>
      <c r="K1386" t="s">
        <v>8616</v>
      </c>
      <c r="L1386">
        <v>2.19</v>
      </c>
      <c r="M1386" t="s">
        <v>46</v>
      </c>
      <c r="N1386" t="s">
        <v>3409</v>
      </c>
      <c r="O1386">
        <v>25.38</v>
      </c>
      <c r="P1386">
        <v>24.51</v>
      </c>
      <c r="Q1386">
        <v>24.8</v>
      </c>
      <c r="R1386">
        <v>24.73</v>
      </c>
      <c r="S1386">
        <v>3.52</v>
      </c>
      <c r="T1386">
        <v>1.41</v>
      </c>
      <c r="U1386">
        <v>10.55</v>
      </c>
      <c r="V1386">
        <v>93</v>
      </c>
      <c r="W1386">
        <v>25</v>
      </c>
      <c r="X1386" t="s">
        <v>1520</v>
      </c>
      <c r="Y1386" t="s">
        <v>6646</v>
      </c>
      <c r="Z1386">
        <v>0.58</v>
      </c>
      <c r="AA1386">
        <v>311</v>
      </c>
      <c r="AB1386">
        <v>137</v>
      </c>
      <c r="AC1386">
        <v>5.74</v>
      </c>
      <c r="AD1386" t="s">
        <v>8658</v>
      </c>
      <c r="AE1386" t="s">
        <v>8659</v>
      </c>
      <c r="AF1386" t="s">
        <v>8660</v>
      </c>
      <c r="AG1386" t="s">
        <v>8661</v>
      </c>
      <c r="AH1386">
        <v>4.71</v>
      </c>
      <c r="AI1386">
        <v>7.62</v>
      </c>
      <c r="AJ1386">
        <v>6.21</v>
      </c>
      <c r="AK1386">
        <v>9.96</v>
      </c>
      <c r="AL1386">
        <v>2</v>
      </c>
      <c r="AM1386">
        <v>1.62</v>
      </c>
      <c r="AN1386">
        <v>30.89</v>
      </c>
      <c r="AO1386">
        <v>15.28</v>
      </c>
      <c r="AP1386">
        <v>13.86</v>
      </c>
    </row>
    <row r="1387" spans="1:42">
      <c r="A1387">
        <v>1386</v>
      </c>
      <c r="B1387" t="str">
        <f>"688596"</f>
        <v>688596</v>
      </c>
      <c r="C1387" t="s">
        <v>8662</v>
      </c>
      <c r="D1387">
        <v>40.5</v>
      </c>
      <c r="E1387">
        <v>1.76</v>
      </c>
      <c r="F1387">
        <v>0.7</v>
      </c>
      <c r="G1387" t="s">
        <v>8663</v>
      </c>
      <c r="H1387">
        <v>260</v>
      </c>
      <c r="I1387">
        <v>40.48</v>
      </c>
      <c r="J1387">
        <v>40.5</v>
      </c>
      <c r="K1387" t="s">
        <v>8616</v>
      </c>
      <c r="L1387">
        <v>1.32</v>
      </c>
      <c r="M1387" t="s">
        <v>46</v>
      </c>
      <c r="N1387" t="s">
        <v>6051</v>
      </c>
      <c r="O1387">
        <v>40.83</v>
      </c>
      <c r="P1387">
        <v>39</v>
      </c>
      <c r="Q1387">
        <v>39.71</v>
      </c>
      <c r="R1387">
        <v>39.8</v>
      </c>
      <c r="S1387">
        <v>4.6</v>
      </c>
      <c r="T1387">
        <v>1.13</v>
      </c>
      <c r="U1387">
        <v>-53.02</v>
      </c>
      <c r="V1387">
        <v>-149</v>
      </c>
      <c r="W1387">
        <v>39.92</v>
      </c>
      <c r="X1387" t="s">
        <v>4717</v>
      </c>
      <c r="Y1387" t="s">
        <v>3327</v>
      </c>
      <c r="Z1387">
        <v>0.62</v>
      </c>
      <c r="AA1387">
        <v>10</v>
      </c>
      <c r="AB1387">
        <v>148</v>
      </c>
      <c r="AC1387">
        <v>4</v>
      </c>
      <c r="AD1387" t="s">
        <v>3212</v>
      </c>
      <c r="AE1387" t="s">
        <v>8664</v>
      </c>
      <c r="AF1387" t="s">
        <v>3212</v>
      </c>
      <c r="AG1387" t="s">
        <v>8664</v>
      </c>
      <c r="AH1387">
        <v>1.78</v>
      </c>
      <c r="AI1387">
        <v>2.71</v>
      </c>
      <c r="AJ1387">
        <v>3.84</v>
      </c>
      <c r="AK1387">
        <v>7.13</v>
      </c>
      <c r="AL1387">
        <v>1</v>
      </c>
      <c r="AM1387">
        <v>1.76</v>
      </c>
      <c r="AN1387">
        <v>19.29</v>
      </c>
      <c r="AO1387">
        <v>8.64</v>
      </c>
      <c r="AP1387">
        <v>-1.41</v>
      </c>
    </row>
    <row r="1388" spans="1:42">
      <c r="A1388">
        <v>1387</v>
      </c>
      <c r="B1388" t="str">
        <f>"601933"</f>
        <v>601933</v>
      </c>
      <c r="C1388" t="s">
        <v>8665</v>
      </c>
      <c r="D1388">
        <v>3.07</v>
      </c>
      <c r="E1388">
        <v>0.66</v>
      </c>
      <c r="F1388">
        <v>0.02</v>
      </c>
      <c r="G1388" t="s">
        <v>2253</v>
      </c>
      <c r="H1388">
        <v>5191</v>
      </c>
      <c r="I1388">
        <v>3.06</v>
      </c>
      <c r="J1388">
        <v>3.07</v>
      </c>
      <c r="K1388" t="s">
        <v>8616</v>
      </c>
      <c r="L1388">
        <v>0.52</v>
      </c>
      <c r="M1388" t="s">
        <v>46</v>
      </c>
      <c r="N1388" t="s">
        <v>8666</v>
      </c>
      <c r="O1388">
        <v>3.13</v>
      </c>
      <c r="P1388">
        <v>3.04</v>
      </c>
      <c r="Q1388">
        <v>3.05</v>
      </c>
      <c r="R1388">
        <v>3.05</v>
      </c>
      <c r="S1388">
        <v>2.95</v>
      </c>
      <c r="T1388">
        <v>0.94</v>
      </c>
      <c r="U1388">
        <v>-15.69</v>
      </c>
      <c r="V1388" t="s">
        <v>8667</v>
      </c>
      <c r="W1388">
        <v>3.08</v>
      </c>
      <c r="X1388" t="s">
        <v>1007</v>
      </c>
      <c r="Y1388" t="s">
        <v>1015</v>
      </c>
      <c r="Z1388">
        <v>0.8</v>
      </c>
      <c r="AA1388" t="s">
        <v>8212</v>
      </c>
      <c r="AB1388" t="s">
        <v>6418</v>
      </c>
      <c r="AC1388">
        <v>3.82</v>
      </c>
      <c r="AD1388" t="s">
        <v>1886</v>
      </c>
      <c r="AE1388" t="s">
        <v>8668</v>
      </c>
      <c r="AF1388" t="s">
        <v>1886</v>
      </c>
      <c r="AG1388" t="s">
        <v>8668</v>
      </c>
      <c r="AH1388">
        <v>-0.65</v>
      </c>
      <c r="AI1388">
        <v>0</v>
      </c>
      <c r="AJ1388">
        <v>1.5</v>
      </c>
      <c r="AK1388">
        <v>3.31</v>
      </c>
      <c r="AL1388">
        <v>2</v>
      </c>
      <c r="AM1388">
        <v>0.66</v>
      </c>
      <c r="AN1388">
        <v>-15.89</v>
      </c>
      <c r="AO1388">
        <v>0.33</v>
      </c>
      <c r="AP1388">
        <v>-2.54</v>
      </c>
    </row>
    <row r="1389" spans="1:42">
      <c r="A1389">
        <v>1388</v>
      </c>
      <c r="B1389" t="str">
        <f>"002349"</f>
        <v>002349</v>
      </c>
      <c r="C1389" t="s">
        <v>8669</v>
      </c>
      <c r="D1389">
        <v>9.28</v>
      </c>
      <c r="E1389">
        <v>-0.75</v>
      </c>
      <c r="F1389">
        <v>-0.07</v>
      </c>
      <c r="G1389" t="s">
        <v>3687</v>
      </c>
      <c r="H1389">
        <v>2264</v>
      </c>
      <c r="I1389">
        <v>9.28</v>
      </c>
      <c r="J1389">
        <v>9.29</v>
      </c>
      <c r="K1389" t="s">
        <v>424</v>
      </c>
      <c r="L1389">
        <v>1.93</v>
      </c>
      <c r="M1389" t="s">
        <v>46</v>
      </c>
      <c r="N1389" t="s">
        <v>1645</v>
      </c>
      <c r="O1389">
        <v>9.44</v>
      </c>
      <c r="P1389">
        <v>9.26</v>
      </c>
      <c r="Q1389">
        <v>9.31</v>
      </c>
      <c r="R1389">
        <v>9.35</v>
      </c>
      <c r="S1389">
        <v>1.93</v>
      </c>
      <c r="T1389">
        <v>0.43</v>
      </c>
      <c r="U1389">
        <v>46.34</v>
      </c>
      <c r="V1389">
        <v>4730</v>
      </c>
      <c r="W1389">
        <v>9.32</v>
      </c>
      <c r="X1389" t="s">
        <v>5150</v>
      </c>
      <c r="Y1389" t="s">
        <v>5513</v>
      </c>
      <c r="Z1389">
        <v>1.38</v>
      </c>
      <c r="AA1389">
        <v>965</v>
      </c>
      <c r="AB1389">
        <v>404</v>
      </c>
      <c r="AC1389">
        <v>2.98</v>
      </c>
      <c r="AD1389" t="s">
        <v>8670</v>
      </c>
      <c r="AE1389" t="s">
        <v>8671</v>
      </c>
      <c r="AF1389" t="s">
        <v>8672</v>
      </c>
      <c r="AG1389" t="s">
        <v>8673</v>
      </c>
      <c r="AH1389">
        <v>-3.03</v>
      </c>
      <c r="AI1389">
        <v>-1.8</v>
      </c>
      <c r="AJ1389">
        <v>6.82</v>
      </c>
      <c r="AK1389">
        <v>24.57</v>
      </c>
      <c r="AL1389">
        <v>-1</v>
      </c>
      <c r="AM1389">
        <v>-0.75</v>
      </c>
      <c r="AN1389">
        <v>-22.67</v>
      </c>
      <c r="AO1389">
        <v>2.32</v>
      </c>
      <c r="AP1389">
        <v>-37</v>
      </c>
    </row>
    <row r="1390" spans="1:42">
      <c r="A1390">
        <v>1389</v>
      </c>
      <c r="B1390" t="str">
        <f>"301165"</f>
        <v>301165</v>
      </c>
      <c r="C1390" t="s">
        <v>8674</v>
      </c>
      <c r="D1390">
        <v>39.83</v>
      </c>
      <c r="E1390">
        <v>4.1</v>
      </c>
      <c r="F1390">
        <v>1.57</v>
      </c>
      <c r="G1390" t="s">
        <v>2691</v>
      </c>
      <c r="H1390">
        <v>314</v>
      </c>
      <c r="I1390">
        <v>39.82</v>
      </c>
      <c r="J1390">
        <v>39.83</v>
      </c>
      <c r="K1390" t="s">
        <v>424</v>
      </c>
      <c r="L1390">
        <v>5.47</v>
      </c>
      <c r="M1390" t="s">
        <v>46</v>
      </c>
      <c r="N1390" t="s">
        <v>8675</v>
      </c>
      <c r="O1390">
        <v>40.08</v>
      </c>
      <c r="P1390">
        <v>37.9</v>
      </c>
      <c r="Q1390">
        <v>38.02</v>
      </c>
      <c r="R1390">
        <v>38.26</v>
      </c>
      <c r="S1390">
        <v>5.7</v>
      </c>
      <c r="T1390">
        <v>1.56</v>
      </c>
      <c r="U1390">
        <v>-81.24</v>
      </c>
      <c r="V1390">
        <v>-806</v>
      </c>
      <c r="W1390">
        <v>39.2</v>
      </c>
      <c r="X1390" t="s">
        <v>6656</v>
      </c>
      <c r="Y1390" t="s">
        <v>1280</v>
      </c>
      <c r="Z1390">
        <v>0.86</v>
      </c>
      <c r="AA1390">
        <v>31</v>
      </c>
      <c r="AB1390">
        <v>498</v>
      </c>
      <c r="AC1390">
        <v>5.45</v>
      </c>
      <c r="AD1390" t="s">
        <v>8676</v>
      </c>
      <c r="AE1390" t="s">
        <v>8677</v>
      </c>
      <c r="AF1390" t="s">
        <v>8678</v>
      </c>
      <c r="AG1390" t="s">
        <v>8679</v>
      </c>
      <c r="AH1390">
        <v>1.84</v>
      </c>
      <c r="AI1390">
        <v>-2.59</v>
      </c>
      <c r="AJ1390">
        <v>10.8</v>
      </c>
      <c r="AK1390">
        <v>23.05</v>
      </c>
      <c r="AL1390">
        <v>1</v>
      </c>
      <c r="AM1390">
        <v>4.1</v>
      </c>
      <c r="AN1390">
        <v>19.57</v>
      </c>
      <c r="AO1390">
        <v>6.84</v>
      </c>
      <c r="AP1390">
        <v>-7.8</v>
      </c>
    </row>
    <row r="1391" spans="1:42">
      <c r="A1391">
        <v>1390</v>
      </c>
      <c r="B1391" t="str">
        <f>"603107"</f>
        <v>603107</v>
      </c>
      <c r="C1391" t="s">
        <v>8680</v>
      </c>
      <c r="D1391">
        <v>25.7</v>
      </c>
      <c r="E1391">
        <v>-0.62</v>
      </c>
      <c r="F1391">
        <v>-0.16</v>
      </c>
      <c r="G1391" t="s">
        <v>5192</v>
      </c>
      <c r="H1391">
        <v>1209</v>
      </c>
      <c r="I1391">
        <v>25.69</v>
      </c>
      <c r="J1391">
        <v>25.7</v>
      </c>
      <c r="K1391" t="s">
        <v>424</v>
      </c>
      <c r="L1391">
        <v>6.91</v>
      </c>
      <c r="M1391" t="s">
        <v>46</v>
      </c>
      <c r="N1391" t="s">
        <v>3001</v>
      </c>
      <c r="O1391">
        <v>25.8</v>
      </c>
      <c r="P1391">
        <v>25.36</v>
      </c>
      <c r="Q1391">
        <v>25.79</v>
      </c>
      <c r="R1391">
        <v>25.86</v>
      </c>
      <c r="S1391">
        <v>1.7</v>
      </c>
      <c r="T1391">
        <v>0.59</v>
      </c>
      <c r="U1391">
        <v>2.39</v>
      </c>
      <c r="V1391">
        <v>40</v>
      </c>
      <c r="W1391">
        <v>25.58</v>
      </c>
      <c r="X1391" t="s">
        <v>6581</v>
      </c>
      <c r="Y1391" t="s">
        <v>8681</v>
      </c>
      <c r="Z1391">
        <v>1.01</v>
      </c>
      <c r="AA1391">
        <v>250</v>
      </c>
      <c r="AB1391">
        <v>153</v>
      </c>
      <c r="AC1391">
        <v>4.41</v>
      </c>
      <c r="AD1391" t="s">
        <v>8682</v>
      </c>
      <c r="AE1391" t="s">
        <v>7796</v>
      </c>
      <c r="AF1391" t="s">
        <v>8683</v>
      </c>
      <c r="AG1391" t="s">
        <v>6019</v>
      </c>
      <c r="AH1391">
        <v>-8.05</v>
      </c>
      <c r="AI1391">
        <v>-11.32</v>
      </c>
      <c r="AJ1391">
        <v>29.64</v>
      </c>
      <c r="AK1391">
        <v>65.35</v>
      </c>
      <c r="AL1391">
        <v>-3</v>
      </c>
      <c r="AM1391">
        <v>-0.62</v>
      </c>
      <c r="AN1391">
        <v>80.6</v>
      </c>
      <c r="AO1391">
        <v>-25.38</v>
      </c>
      <c r="AP1391">
        <v>80.6</v>
      </c>
    </row>
    <row r="1392" spans="1:42">
      <c r="A1392">
        <v>1391</v>
      </c>
      <c r="B1392" t="str">
        <f>"600604"</f>
        <v>600604</v>
      </c>
      <c r="C1392" t="s">
        <v>8684</v>
      </c>
      <c r="D1392">
        <v>4.79</v>
      </c>
      <c r="E1392">
        <v>-0.83</v>
      </c>
      <c r="F1392">
        <v>-0.04</v>
      </c>
      <c r="G1392" t="s">
        <v>143</v>
      </c>
      <c r="H1392">
        <v>3852</v>
      </c>
      <c r="I1392">
        <v>4.78</v>
      </c>
      <c r="J1392">
        <v>4.79</v>
      </c>
      <c r="K1392" t="s">
        <v>424</v>
      </c>
      <c r="L1392">
        <v>2.18</v>
      </c>
      <c r="M1392" t="s">
        <v>46</v>
      </c>
      <c r="N1392" t="s">
        <v>8685</v>
      </c>
      <c r="O1392">
        <v>4.84</v>
      </c>
      <c r="P1392">
        <v>4.66</v>
      </c>
      <c r="Q1392">
        <v>4.7</v>
      </c>
      <c r="R1392">
        <v>4.83</v>
      </c>
      <c r="S1392">
        <v>3.73</v>
      </c>
      <c r="T1392">
        <v>1.48</v>
      </c>
      <c r="U1392">
        <v>9.12</v>
      </c>
      <c r="V1392">
        <v>782</v>
      </c>
      <c r="W1392">
        <v>4.77</v>
      </c>
      <c r="X1392" t="s">
        <v>2915</v>
      </c>
      <c r="Y1392" t="s">
        <v>368</v>
      </c>
      <c r="Z1392">
        <v>1.28</v>
      </c>
      <c r="AA1392">
        <v>968</v>
      </c>
      <c r="AB1392">
        <v>794</v>
      </c>
      <c r="AC1392">
        <v>1.37</v>
      </c>
      <c r="AD1392" t="s">
        <v>8686</v>
      </c>
      <c r="AE1392" t="s">
        <v>6233</v>
      </c>
      <c r="AF1392" t="s">
        <v>8687</v>
      </c>
      <c r="AG1392" t="s">
        <v>8688</v>
      </c>
      <c r="AH1392">
        <v>-1.03</v>
      </c>
      <c r="AI1392">
        <v>-2.84</v>
      </c>
      <c r="AJ1392">
        <v>6.29</v>
      </c>
      <c r="AK1392">
        <v>9.54</v>
      </c>
      <c r="AL1392">
        <v>-1</v>
      </c>
      <c r="AM1392">
        <v>-0.83</v>
      </c>
      <c r="AN1392">
        <v>-2.84</v>
      </c>
      <c r="AO1392">
        <v>5.04</v>
      </c>
      <c r="AP1392">
        <v>-3.82</v>
      </c>
    </row>
    <row r="1393" spans="1:42">
      <c r="A1393">
        <v>1392</v>
      </c>
      <c r="B1393" t="str">
        <f>"600959"</f>
        <v>600959</v>
      </c>
      <c r="C1393" t="s">
        <v>8689</v>
      </c>
      <c r="D1393">
        <v>3.34</v>
      </c>
      <c r="E1393">
        <v>3.73</v>
      </c>
      <c r="F1393">
        <v>0.12</v>
      </c>
      <c r="G1393" t="s">
        <v>1866</v>
      </c>
      <c r="H1393">
        <v>7136</v>
      </c>
      <c r="I1393">
        <v>3.33</v>
      </c>
      <c r="J1393">
        <v>3.34</v>
      </c>
      <c r="K1393" t="s">
        <v>424</v>
      </c>
      <c r="L1393">
        <v>0.89</v>
      </c>
      <c r="M1393" t="s">
        <v>46</v>
      </c>
      <c r="N1393" t="s">
        <v>8690</v>
      </c>
      <c r="O1393">
        <v>3.34</v>
      </c>
      <c r="P1393">
        <v>3.21</v>
      </c>
      <c r="Q1393">
        <v>3.22</v>
      </c>
      <c r="R1393">
        <v>3.22</v>
      </c>
      <c r="S1393">
        <v>4.04</v>
      </c>
      <c r="T1393">
        <v>1.41</v>
      </c>
      <c r="U1393">
        <v>-40.05</v>
      </c>
      <c r="V1393" t="s">
        <v>8691</v>
      </c>
      <c r="W1393">
        <v>3.3</v>
      </c>
      <c r="X1393" t="s">
        <v>978</v>
      </c>
      <c r="Y1393" t="s">
        <v>2857</v>
      </c>
      <c r="Z1393">
        <v>0.53</v>
      </c>
      <c r="AA1393">
        <v>2295</v>
      </c>
      <c r="AB1393" t="s">
        <v>2074</v>
      </c>
      <c r="AC1393">
        <v>0.75</v>
      </c>
      <c r="AD1393" t="s">
        <v>8692</v>
      </c>
      <c r="AE1393" t="s">
        <v>8693</v>
      </c>
      <c r="AF1393" t="s">
        <v>8692</v>
      </c>
      <c r="AG1393" t="s">
        <v>8693</v>
      </c>
      <c r="AH1393">
        <v>2.14</v>
      </c>
      <c r="AI1393">
        <v>0.3</v>
      </c>
      <c r="AJ1393">
        <v>1.9</v>
      </c>
      <c r="AK1393">
        <v>4.04</v>
      </c>
      <c r="AL1393">
        <v>1</v>
      </c>
      <c r="AM1393">
        <v>3.73</v>
      </c>
      <c r="AN1393">
        <v>13.22</v>
      </c>
      <c r="AO1393">
        <v>6.37</v>
      </c>
      <c r="AP1393">
        <v>11.33</v>
      </c>
    </row>
    <row r="1394" spans="1:42">
      <c r="A1394">
        <v>1393</v>
      </c>
      <c r="B1394" t="str">
        <f>"301225"</f>
        <v>301225</v>
      </c>
      <c r="C1394" t="s">
        <v>8694</v>
      </c>
      <c r="D1394">
        <v>37.2</v>
      </c>
      <c r="E1394">
        <v>-2.62</v>
      </c>
      <c r="F1394">
        <v>-1</v>
      </c>
      <c r="G1394" t="s">
        <v>5706</v>
      </c>
      <c r="H1394">
        <v>307</v>
      </c>
      <c r="I1394">
        <v>37.2</v>
      </c>
      <c r="J1394">
        <v>37.21</v>
      </c>
      <c r="K1394" t="s">
        <v>424</v>
      </c>
      <c r="L1394">
        <v>16.72</v>
      </c>
      <c r="M1394" t="s">
        <v>46</v>
      </c>
      <c r="N1394" t="s">
        <v>2493</v>
      </c>
      <c r="O1394">
        <v>38</v>
      </c>
      <c r="P1394">
        <v>36.3</v>
      </c>
      <c r="Q1394">
        <v>38</v>
      </c>
      <c r="R1394">
        <v>38.2</v>
      </c>
      <c r="S1394">
        <v>4.45</v>
      </c>
      <c r="T1394">
        <v>1.1</v>
      </c>
      <c r="U1394">
        <v>66.38</v>
      </c>
      <c r="V1394">
        <v>308</v>
      </c>
      <c r="W1394">
        <v>36.93</v>
      </c>
      <c r="X1394" t="s">
        <v>5620</v>
      </c>
      <c r="Y1394" t="s">
        <v>4943</v>
      </c>
      <c r="Z1394">
        <v>1.42</v>
      </c>
      <c r="AA1394">
        <v>35</v>
      </c>
      <c r="AB1394">
        <v>5</v>
      </c>
      <c r="AC1394">
        <v>2.76</v>
      </c>
      <c r="AD1394" t="s">
        <v>6676</v>
      </c>
      <c r="AE1394" t="s">
        <v>8695</v>
      </c>
      <c r="AF1394" t="s">
        <v>8696</v>
      </c>
      <c r="AG1394" t="s">
        <v>8697</v>
      </c>
      <c r="AH1394">
        <v>-6.86</v>
      </c>
      <c r="AI1394">
        <v>-4.86</v>
      </c>
      <c r="AJ1394">
        <v>48.03</v>
      </c>
      <c r="AK1394">
        <v>92.87</v>
      </c>
      <c r="AL1394">
        <v>-3</v>
      </c>
      <c r="AM1394">
        <v>-2.62</v>
      </c>
      <c r="AN1394">
        <v>4.32</v>
      </c>
      <c r="AO1394">
        <v>-1.27</v>
      </c>
      <c r="AP1394">
        <v>4.32</v>
      </c>
    </row>
    <row r="1395" spans="1:42">
      <c r="A1395">
        <v>1394</v>
      </c>
      <c r="B1395" t="str">
        <f>"600926"</f>
        <v>600926</v>
      </c>
      <c r="C1395" t="s">
        <v>8698</v>
      </c>
      <c r="D1395">
        <v>9.97</v>
      </c>
      <c r="E1395">
        <v>0.3</v>
      </c>
      <c r="F1395">
        <v>0.03</v>
      </c>
      <c r="G1395" t="s">
        <v>1493</v>
      </c>
      <c r="H1395">
        <v>1176</v>
      </c>
      <c r="I1395">
        <v>9.97</v>
      </c>
      <c r="J1395">
        <v>9.98</v>
      </c>
      <c r="K1395" t="s">
        <v>424</v>
      </c>
      <c r="L1395">
        <v>0.27</v>
      </c>
      <c r="M1395" t="s">
        <v>46</v>
      </c>
      <c r="N1395" t="s">
        <v>8699</v>
      </c>
      <c r="O1395">
        <v>10.01</v>
      </c>
      <c r="P1395">
        <v>9.92</v>
      </c>
      <c r="Q1395">
        <v>9.95</v>
      </c>
      <c r="R1395">
        <v>9.94</v>
      </c>
      <c r="S1395">
        <v>0.91</v>
      </c>
      <c r="T1395">
        <v>1.03</v>
      </c>
      <c r="U1395">
        <v>-76.06</v>
      </c>
      <c r="V1395" t="s">
        <v>8700</v>
      </c>
      <c r="W1395">
        <v>9.97</v>
      </c>
      <c r="X1395" t="s">
        <v>8310</v>
      </c>
      <c r="Y1395" t="s">
        <v>8701</v>
      </c>
      <c r="Z1395">
        <v>0.73</v>
      </c>
      <c r="AA1395">
        <v>1542</v>
      </c>
      <c r="AB1395">
        <v>186</v>
      </c>
      <c r="AC1395">
        <v>0.66</v>
      </c>
      <c r="AD1395" t="s">
        <v>8702</v>
      </c>
      <c r="AE1395" t="s">
        <v>8703</v>
      </c>
      <c r="AF1395" t="s">
        <v>8704</v>
      </c>
      <c r="AG1395" t="s">
        <v>8705</v>
      </c>
      <c r="AH1395">
        <v>-2.54</v>
      </c>
      <c r="AI1395">
        <v>-4.23</v>
      </c>
      <c r="AJ1395">
        <v>0.93</v>
      </c>
      <c r="AK1395">
        <v>1.6</v>
      </c>
      <c r="AL1395">
        <v>1</v>
      </c>
      <c r="AM1395">
        <v>0.3</v>
      </c>
      <c r="AN1395">
        <v>-21.37</v>
      </c>
      <c r="AO1395">
        <v>-6.82</v>
      </c>
      <c r="AP1395">
        <v>-20.24</v>
      </c>
    </row>
    <row r="1396" spans="1:42">
      <c r="A1396">
        <v>1395</v>
      </c>
      <c r="B1396" t="str">
        <f>"300537"</f>
        <v>300537</v>
      </c>
      <c r="C1396" t="s">
        <v>8706</v>
      </c>
      <c r="D1396">
        <v>19.85</v>
      </c>
      <c r="E1396">
        <v>1.74</v>
      </c>
      <c r="F1396">
        <v>0.34</v>
      </c>
      <c r="G1396" t="s">
        <v>8707</v>
      </c>
      <c r="H1396">
        <v>2257</v>
      </c>
      <c r="I1396">
        <v>19.85</v>
      </c>
      <c r="J1396">
        <v>19.86</v>
      </c>
      <c r="K1396" t="s">
        <v>424</v>
      </c>
      <c r="L1396">
        <v>5.43</v>
      </c>
      <c r="M1396" t="s">
        <v>46</v>
      </c>
      <c r="N1396" t="s">
        <v>3660</v>
      </c>
      <c r="O1396">
        <v>19.88</v>
      </c>
      <c r="P1396">
        <v>19.21</v>
      </c>
      <c r="Q1396">
        <v>19.26</v>
      </c>
      <c r="R1396">
        <v>19.51</v>
      </c>
      <c r="S1396">
        <v>3.43</v>
      </c>
      <c r="T1396">
        <v>0.63</v>
      </c>
      <c r="U1396">
        <v>11.91</v>
      </c>
      <c r="V1396">
        <v>215</v>
      </c>
      <c r="W1396">
        <v>19.63</v>
      </c>
      <c r="X1396" t="s">
        <v>4914</v>
      </c>
      <c r="Y1396" t="s">
        <v>3235</v>
      </c>
      <c r="Z1396">
        <v>0.72</v>
      </c>
      <c r="AA1396">
        <v>237</v>
      </c>
      <c r="AB1396">
        <v>172</v>
      </c>
      <c r="AC1396">
        <v>4.97</v>
      </c>
      <c r="AD1396" t="s">
        <v>8708</v>
      </c>
      <c r="AE1396" t="s">
        <v>8709</v>
      </c>
      <c r="AF1396" t="s">
        <v>8710</v>
      </c>
      <c r="AG1396" t="s">
        <v>8711</v>
      </c>
      <c r="AH1396">
        <v>-0.8</v>
      </c>
      <c r="AI1396">
        <v>-8.31</v>
      </c>
      <c r="AJ1396">
        <v>22.71</v>
      </c>
      <c r="AK1396">
        <v>48.73</v>
      </c>
      <c r="AL1396">
        <v>1</v>
      </c>
      <c r="AM1396">
        <v>1.74</v>
      </c>
      <c r="AN1396">
        <v>49.81</v>
      </c>
      <c r="AO1396">
        <v>-3.83</v>
      </c>
      <c r="AP1396">
        <v>32.25</v>
      </c>
    </row>
    <row r="1397" spans="1:42">
      <c r="A1397">
        <v>1396</v>
      </c>
      <c r="B1397" t="str">
        <f>"301153"</f>
        <v>301153</v>
      </c>
      <c r="C1397" t="s">
        <v>8712</v>
      </c>
      <c r="D1397">
        <v>67.9</v>
      </c>
      <c r="E1397">
        <v>4.3</v>
      </c>
      <c r="F1397">
        <v>2.8</v>
      </c>
      <c r="G1397" t="s">
        <v>1520</v>
      </c>
      <c r="H1397">
        <v>151</v>
      </c>
      <c r="I1397">
        <v>67.9</v>
      </c>
      <c r="J1397">
        <v>67.91</v>
      </c>
      <c r="K1397" t="s">
        <v>424</v>
      </c>
      <c r="L1397">
        <v>1.89</v>
      </c>
      <c r="M1397" t="s">
        <v>46</v>
      </c>
      <c r="N1397" t="s">
        <v>8713</v>
      </c>
      <c r="O1397">
        <v>69.13</v>
      </c>
      <c r="P1397">
        <v>64.97</v>
      </c>
      <c r="Q1397">
        <v>65</v>
      </c>
      <c r="R1397">
        <v>65.1</v>
      </c>
      <c r="S1397">
        <v>6.39</v>
      </c>
      <c r="T1397">
        <v>1.95</v>
      </c>
      <c r="U1397">
        <v>-55.84</v>
      </c>
      <c r="V1397">
        <v>-290</v>
      </c>
      <c r="W1397">
        <v>67.34</v>
      </c>
      <c r="X1397">
        <v>8398</v>
      </c>
      <c r="Y1397" t="s">
        <v>383</v>
      </c>
      <c r="Z1397">
        <v>0.63</v>
      </c>
      <c r="AA1397">
        <v>40</v>
      </c>
      <c r="AB1397">
        <v>7</v>
      </c>
      <c r="AC1397">
        <v>7.89</v>
      </c>
      <c r="AD1397" t="s">
        <v>8714</v>
      </c>
      <c r="AE1397" t="s">
        <v>8644</v>
      </c>
      <c r="AF1397" t="s">
        <v>8715</v>
      </c>
      <c r="AG1397" t="s">
        <v>8716</v>
      </c>
      <c r="AH1397">
        <v>3.66</v>
      </c>
      <c r="AI1397">
        <v>4.57</v>
      </c>
      <c r="AJ1397">
        <v>3.34</v>
      </c>
      <c r="AK1397">
        <v>6.75</v>
      </c>
      <c r="AL1397">
        <v>1</v>
      </c>
      <c r="AM1397">
        <v>4.3</v>
      </c>
      <c r="AN1397">
        <v>15.91</v>
      </c>
      <c r="AO1397">
        <v>13.26</v>
      </c>
      <c r="AP1397">
        <v>36.81</v>
      </c>
    </row>
    <row r="1398" spans="1:42">
      <c r="A1398">
        <v>1397</v>
      </c>
      <c r="B1398" t="str">
        <f>"002255"</f>
        <v>002255</v>
      </c>
      <c r="C1398" t="s">
        <v>8717</v>
      </c>
      <c r="D1398">
        <v>5.34</v>
      </c>
      <c r="E1398">
        <v>0.19</v>
      </c>
      <c r="F1398">
        <v>0.01</v>
      </c>
      <c r="G1398" t="s">
        <v>2901</v>
      </c>
      <c r="H1398">
        <v>2550</v>
      </c>
      <c r="I1398">
        <v>5.33</v>
      </c>
      <c r="J1398">
        <v>5.34</v>
      </c>
      <c r="K1398" t="s">
        <v>424</v>
      </c>
      <c r="L1398">
        <v>4.24</v>
      </c>
      <c r="M1398" t="s">
        <v>46</v>
      </c>
      <c r="N1398" t="s">
        <v>4602</v>
      </c>
      <c r="O1398">
        <v>5.4</v>
      </c>
      <c r="P1398">
        <v>5.22</v>
      </c>
      <c r="Q1398">
        <v>5.33</v>
      </c>
      <c r="R1398">
        <v>5.33</v>
      </c>
      <c r="S1398">
        <v>3.38</v>
      </c>
      <c r="T1398">
        <v>1.24</v>
      </c>
      <c r="U1398">
        <v>2.89</v>
      </c>
      <c r="V1398">
        <v>347</v>
      </c>
      <c r="W1398">
        <v>5.3</v>
      </c>
      <c r="X1398" t="s">
        <v>1207</v>
      </c>
      <c r="Y1398" t="s">
        <v>1376</v>
      </c>
      <c r="Z1398">
        <v>1.03</v>
      </c>
      <c r="AA1398">
        <v>1049</v>
      </c>
      <c r="AB1398">
        <v>1438</v>
      </c>
      <c r="AC1398">
        <v>1.21</v>
      </c>
      <c r="AD1398" t="s">
        <v>8718</v>
      </c>
      <c r="AE1398" t="s">
        <v>8719</v>
      </c>
      <c r="AF1398" t="s">
        <v>8720</v>
      </c>
      <c r="AG1398" t="s">
        <v>4209</v>
      </c>
      <c r="AH1398">
        <v>-0.74</v>
      </c>
      <c r="AI1398">
        <v>2.5</v>
      </c>
      <c r="AJ1398">
        <v>13.67</v>
      </c>
      <c r="AK1398">
        <v>21.33</v>
      </c>
      <c r="AL1398">
        <v>1</v>
      </c>
      <c r="AM1398">
        <v>0.19</v>
      </c>
      <c r="AN1398">
        <v>16.85</v>
      </c>
      <c r="AO1398">
        <v>5.12</v>
      </c>
      <c r="AP1398">
        <v>3.69</v>
      </c>
    </row>
    <row r="1399" spans="1:42">
      <c r="A1399">
        <v>1398</v>
      </c>
      <c r="B1399" t="str">
        <f>"300653"</f>
        <v>300653</v>
      </c>
      <c r="C1399" t="s">
        <v>8721</v>
      </c>
      <c r="D1399">
        <v>31.26</v>
      </c>
      <c r="E1399">
        <v>-2.31</v>
      </c>
      <c r="F1399">
        <v>-0.74</v>
      </c>
      <c r="G1399" t="s">
        <v>7735</v>
      </c>
      <c r="H1399">
        <v>295</v>
      </c>
      <c r="I1399">
        <v>31.26</v>
      </c>
      <c r="J1399">
        <v>31.27</v>
      </c>
      <c r="K1399" t="s">
        <v>424</v>
      </c>
      <c r="L1399">
        <v>2.61</v>
      </c>
      <c r="M1399" t="s">
        <v>46</v>
      </c>
      <c r="N1399" t="s">
        <v>4468</v>
      </c>
      <c r="O1399">
        <v>31.9</v>
      </c>
      <c r="P1399">
        <v>30.66</v>
      </c>
      <c r="Q1399">
        <v>31.82</v>
      </c>
      <c r="R1399">
        <v>32</v>
      </c>
      <c r="S1399">
        <v>3.88</v>
      </c>
      <c r="T1399">
        <v>1.74</v>
      </c>
      <c r="U1399">
        <v>56.02</v>
      </c>
      <c r="V1399">
        <v>214</v>
      </c>
      <c r="W1399">
        <v>31.06</v>
      </c>
      <c r="X1399" t="s">
        <v>5553</v>
      </c>
      <c r="Y1399" t="s">
        <v>2329</v>
      </c>
      <c r="Z1399">
        <v>1.45</v>
      </c>
      <c r="AA1399">
        <v>233</v>
      </c>
      <c r="AB1399">
        <v>8</v>
      </c>
      <c r="AC1399">
        <v>6.21</v>
      </c>
      <c r="AD1399" t="s">
        <v>8722</v>
      </c>
      <c r="AE1399" t="s">
        <v>8723</v>
      </c>
      <c r="AF1399" t="s">
        <v>8722</v>
      </c>
      <c r="AG1399" t="s">
        <v>8723</v>
      </c>
      <c r="AH1399">
        <v>2.02</v>
      </c>
      <c r="AI1399">
        <v>2.22</v>
      </c>
      <c r="AJ1399">
        <v>6.56</v>
      </c>
      <c r="AK1399">
        <v>10.11</v>
      </c>
      <c r="AL1399">
        <v>-1</v>
      </c>
      <c r="AM1399">
        <v>-2.31</v>
      </c>
      <c r="AN1399">
        <v>-26.27</v>
      </c>
      <c r="AO1399">
        <v>3.99</v>
      </c>
      <c r="AP1399">
        <v>-25.07</v>
      </c>
    </row>
    <row r="1400" spans="1:42">
      <c r="A1400">
        <v>1399</v>
      </c>
      <c r="B1400" t="str">
        <f>"300659"</f>
        <v>300659</v>
      </c>
      <c r="C1400" t="s">
        <v>8724</v>
      </c>
      <c r="D1400">
        <v>23.91</v>
      </c>
      <c r="E1400">
        <v>2.53</v>
      </c>
      <c r="F1400">
        <v>0.59</v>
      </c>
      <c r="G1400" t="s">
        <v>7279</v>
      </c>
      <c r="H1400">
        <v>1537</v>
      </c>
      <c r="I1400">
        <v>23.9</v>
      </c>
      <c r="J1400">
        <v>23.91</v>
      </c>
      <c r="K1400" t="s">
        <v>8725</v>
      </c>
      <c r="L1400">
        <v>4.01</v>
      </c>
      <c r="M1400" t="s">
        <v>46</v>
      </c>
      <c r="N1400" t="s">
        <v>3017</v>
      </c>
      <c r="O1400">
        <v>23.92</v>
      </c>
      <c r="P1400">
        <v>23.15</v>
      </c>
      <c r="Q1400">
        <v>23.36</v>
      </c>
      <c r="R1400">
        <v>23.32</v>
      </c>
      <c r="S1400">
        <v>3.3</v>
      </c>
      <c r="T1400">
        <v>0.95</v>
      </c>
      <c r="U1400">
        <v>-43.84</v>
      </c>
      <c r="V1400">
        <v>-715</v>
      </c>
      <c r="W1400">
        <v>23.62</v>
      </c>
      <c r="X1400" t="s">
        <v>2727</v>
      </c>
      <c r="Y1400" t="s">
        <v>7679</v>
      </c>
      <c r="Z1400">
        <v>0.88</v>
      </c>
      <c r="AA1400">
        <v>81</v>
      </c>
      <c r="AB1400">
        <v>153</v>
      </c>
      <c r="AC1400">
        <v>5.82</v>
      </c>
      <c r="AD1400" t="s">
        <v>8726</v>
      </c>
      <c r="AE1400" t="s">
        <v>6155</v>
      </c>
      <c r="AF1400" t="s">
        <v>8727</v>
      </c>
      <c r="AG1400" t="s">
        <v>3231</v>
      </c>
      <c r="AH1400">
        <v>1.14</v>
      </c>
      <c r="AI1400">
        <v>-4.09</v>
      </c>
      <c r="AJ1400">
        <v>11.39</v>
      </c>
      <c r="AK1400">
        <v>25.23</v>
      </c>
      <c r="AL1400">
        <v>2</v>
      </c>
      <c r="AM1400">
        <v>2.53</v>
      </c>
      <c r="AN1400">
        <v>-10.35</v>
      </c>
      <c r="AO1400">
        <v>11.11</v>
      </c>
      <c r="AP1400">
        <v>-15.12</v>
      </c>
    </row>
    <row r="1401" spans="1:42">
      <c r="A1401">
        <v>1400</v>
      </c>
      <c r="B1401" t="str">
        <f>"002250"</f>
        <v>002250</v>
      </c>
      <c r="C1401" t="s">
        <v>8728</v>
      </c>
      <c r="D1401">
        <v>7.59</v>
      </c>
      <c r="E1401">
        <v>-0.26</v>
      </c>
      <c r="F1401">
        <v>-0.02</v>
      </c>
      <c r="G1401" t="s">
        <v>1960</v>
      </c>
      <c r="H1401">
        <v>1405</v>
      </c>
      <c r="I1401">
        <v>7.58</v>
      </c>
      <c r="J1401">
        <v>7.59</v>
      </c>
      <c r="K1401" t="s">
        <v>8725</v>
      </c>
      <c r="L1401">
        <v>2.08</v>
      </c>
      <c r="M1401" t="s">
        <v>46</v>
      </c>
      <c r="N1401" t="s">
        <v>8729</v>
      </c>
      <c r="O1401">
        <v>7.7</v>
      </c>
      <c r="P1401">
        <v>7.49</v>
      </c>
      <c r="Q1401">
        <v>7.61</v>
      </c>
      <c r="R1401">
        <v>7.61</v>
      </c>
      <c r="S1401">
        <v>2.76</v>
      </c>
      <c r="T1401">
        <v>1.3</v>
      </c>
      <c r="U1401">
        <v>57.1</v>
      </c>
      <c r="V1401">
        <v>3864</v>
      </c>
      <c r="W1401">
        <v>7.6</v>
      </c>
      <c r="X1401" t="s">
        <v>4502</v>
      </c>
      <c r="Y1401" t="s">
        <v>3734</v>
      </c>
      <c r="Z1401">
        <v>0.93</v>
      </c>
      <c r="AA1401">
        <v>1537</v>
      </c>
      <c r="AB1401">
        <v>12</v>
      </c>
      <c r="AC1401">
        <v>1.03</v>
      </c>
      <c r="AD1401" t="s">
        <v>8730</v>
      </c>
      <c r="AE1401" t="s">
        <v>8731</v>
      </c>
      <c r="AF1401" t="s">
        <v>8732</v>
      </c>
      <c r="AG1401" t="s">
        <v>8733</v>
      </c>
      <c r="AH1401">
        <v>-2.69</v>
      </c>
      <c r="AI1401">
        <v>-4.17</v>
      </c>
      <c r="AJ1401">
        <v>4.71</v>
      </c>
      <c r="AK1401">
        <v>10.11</v>
      </c>
      <c r="AL1401">
        <v>-3</v>
      </c>
      <c r="AM1401">
        <v>-0.26</v>
      </c>
      <c r="AN1401">
        <v>-50.71</v>
      </c>
      <c r="AO1401">
        <v>-2.94</v>
      </c>
      <c r="AP1401">
        <v>-57.55</v>
      </c>
    </row>
    <row r="1402" spans="1:42">
      <c r="A1402">
        <v>1401</v>
      </c>
      <c r="B1402" t="str">
        <f>"300200"</f>
        <v>300200</v>
      </c>
      <c r="C1402" t="s">
        <v>8734</v>
      </c>
      <c r="D1402">
        <v>9.19</v>
      </c>
      <c r="E1402">
        <v>-0.11</v>
      </c>
      <c r="F1402">
        <v>-0.01</v>
      </c>
      <c r="G1402" t="s">
        <v>3584</v>
      </c>
      <c r="H1402">
        <v>2642</v>
      </c>
      <c r="I1402">
        <v>9.18</v>
      </c>
      <c r="J1402">
        <v>9.19</v>
      </c>
      <c r="K1402" t="s">
        <v>8725</v>
      </c>
      <c r="L1402">
        <v>3.77</v>
      </c>
      <c r="M1402" t="s">
        <v>46</v>
      </c>
      <c r="N1402" t="s">
        <v>8735</v>
      </c>
      <c r="O1402">
        <v>9.23</v>
      </c>
      <c r="P1402">
        <v>9.03</v>
      </c>
      <c r="Q1402">
        <v>9.17</v>
      </c>
      <c r="R1402">
        <v>9.2</v>
      </c>
      <c r="S1402">
        <v>2.17</v>
      </c>
      <c r="T1402">
        <v>0.47</v>
      </c>
      <c r="U1402">
        <v>-3.96</v>
      </c>
      <c r="V1402">
        <v>-173</v>
      </c>
      <c r="W1402">
        <v>9.12</v>
      </c>
      <c r="X1402" t="s">
        <v>3540</v>
      </c>
      <c r="Y1402" t="s">
        <v>426</v>
      </c>
      <c r="Z1402">
        <v>1.39</v>
      </c>
      <c r="AA1402">
        <v>321</v>
      </c>
      <c r="AB1402">
        <v>431</v>
      </c>
      <c r="AC1402">
        <v>1.95</v>
      </c>
      <c r="AD1402" t="s">
        <v>8736</v>
      </c>
      <c r="AE1402" t="s">
        <v>6927</v>
      </c>
      <c r="AF1402" t="s">
        <v>8737</v>
      </c>
      <c r="AG1402" t="s">
        <v>8738</v>
      </c>
      <c r="AH1402">
        <v>-9.01</v>
      </c>
      <c r="AI1402">
        <v>-3.26</v>
      </c>
      <c r="AJ1402">
        <v>15.55</v>
      </c>
      <c r="AK1402">
        <v>44.13</v>
      </c>
      <c r="AL1402">
        <v>-4</v>
      </c>
      <c r="AM1402">
        <v>-0.11</v>
      </c>
      <c r="AN1402">
        <v>34.36</v>
      </c>
      <c r="AO1402">
        <v>2.34</v>
      </c>
      <c r="AP1402">
        <v>22.86</v>
      </c>
    </row>
    <row r="1403" spans="1:42">
      <c r="A1403">
        <v>1402</v>
      </c>
      <c r="B1403" t="str">
        <f>"000928"</f>
        <v>000928</v>
      </c>
      <c r="C1403" t="s">
        <v>8739</v>
      </c>
      <c r="D1403">
        <v>6.12</v>
      </c>
      <c r="E1403">
        <v>1.32</v>
      </c>
      <c r="F1403">
        <v>0.08</v>
      </c>
      <c r="G1403" t="s">
        <v>3598</v>
      </c>
      <c r="H1403">
        <v>1763</v>
      </c>
      <c r="I1403">
        <v>6.11</v>
      </c>
      <c r="J1403">
        <v>6.12</v>
      </c>
      <c r="K1403" t="s">
        <v>8725</v>
      </c>
      <c r="L1403">
        <v>1.66</v>
      </c>
      <c r="M1403" t="s">
        <v>46</v>
      </c>
      <c r="N1403" t="s">
        <v>8740</v>
      </c>
      <c r="O1403">
        <v>6.17</v>
      </c>
      <c r="P1403">
        <v>6</v>
      </c>
      <c r="Q1403">
        <v>6.02</v>
      </c>
      <c r="R1403">
        <v>6.04</v>
      </c>
      <c r="S1403">
        <v>2.81</v>
      </c>
      <c r="T1403">
        <v>1.23</v>
      </c>
      <c r="U1403">
        <v>-21.33</v>
      </c>
      <c r="V1403">
        <v>-4696</v>
      </c>
      <c r="W1403">
        <v>6.09</v>
      </c>
      <c r="X1403" t="s">
        <v>5742</v>
      </c>
      <c r="Y1403" t="s">
        <v>1296</v>
      </c>
      <c r="Z1403">
        <v>0.69</v>
      </c>
      <c r="AA1403">
        <v>2649</v>
      </c>
      <c r="AB1403">
        <v>1194</v>
      </c>
      <c r="AC1403">
        <v>1.31</v>
      </c>
      <c r="AD1403" t="s">
        <v>6851</v>
      </c>
      <c r="AE1403" t="s">
        <v>8741</v>
      </c>
      <c r="AF1403" t="s">
        <v>6851</v>
      </c>
      <c r="AG1403" t="s">
        <v>8741</v>
      </c>
      <c r="AH1403">
        <v>-0.16</v>
      </c>
      <c r="AI1403">
        <v>-1.92</v>
      </c>
      <c r="AJ1403">
        <v>4.34</v>
      </c>
      <c r="AK1403">
        <v>8.4</v>
      </c>
      <c r="AL1403">
        <v>2</v>
      </c>
      <c r="AM1403">
        <v>1.32</v>
      </c>
      <c r="AN1403">
        <v>8.7</v>
      </c>
      <c r="AO1403">
        <v>-0.49</v>
      </c>
      <c r="AP1403">
        <v>1.49</v>
      </c>
    </row>
    <row r="1404" spans="1:42">
      <c r="A1404">
        <v>1403</v>
      </c>
      <c r="B1404" t="str">
        <f>"000690"</f>
        <v>000690</v>
      </c>
      <c r="C1404" t="s">
        <v>8742</v>
      </c>
      <c r="D1404">
        <v>4.68</v>
      </c>
      <c r="E1404">
        <v>1.52</v>
      </c>
      <c r="F1404">
        <v>0.07</v>
      </c>
      <c r="G1404" t="s">
        <v>2274</v>
      </c>
      <c r="H1404">
        <v>3455</v>
      </c>
      <c r="I1404">
        <v>4.67</v>
      </c>
      <c r="J1404">
        <v>4.68</v>
      </c>
      <c r="K1404" t="s">
        <v>8725</v>
      </c>
      <c r="L1404">
        <v>1.43</v>
      </c>
      <c r="M1404" t="s">
        <v>46</v>
      </c>
      <c r="N1404" t="s">
        <v>8743</v>
      </c>
      <c r="O1404">
        <v>4.69</v>
      </c>
      <c r="P1404">
        <v>4.6</v>
      </c>
      <c r="Q1404">
        <v>4.62</v>
      </c>
      <c r="R1404">
        <v>4.61</v>
      </c>
      <c r="S1404">
        <v>1.95</v>
      </c>
      <c r="T1404">
        <v>0.73</v>
      </c>
      <c r="U1404">
        <v>-33.08</v>
      </c>
      <c r="V1404" t="s">
        <v>8744</v>
      </c>
      <c r="W1404">
        <v>4.66</v>
      </c>
      <c r="X1404" t="s">
        <v>263</v>
      </c>
      <c r="Y1404" t="s">
        <v>1196</v>
      </c>
      <c r="Z1404">
        <v>0.73</v>
      </c>
      <c r="AA1404">
        <v>5611</v>
      </c>
      <c r="AB1404">
        <v>8807</v>
      </c>
      <c r="AC1404">
        <v>0.86</v>
      </c>
      <c r="AD1404" t="s">
        <v>8745</v>
      </c>
      <c r="AE1404" t="s">
        <v>8746</v>
      </c>
      <c r="AF1404" t="s">
        <v>4538</v>
      </c>
      <c r="AG1404" t="s">
        <v>8746</v>
      </c>
      <c r="AH1404">
        <v>-3.51</v>
      </c>
      <c r="AI1404">
        <v>-3.11</v>
      </c>
      <c r="AJ1404">
        <v>6.7</v>
      </c>
      <c r="AK1404">
        <v>11.28</v>
      </c>
      <c r="AL1404">
        <v>1</v>
      </c>
      <c r="AM1404">
        <v>1.52</v>
      </c>
      <c r="AN1404">
        <v>-27.67</v>
      </c>
      <c r="AO1404">
        <v>-2.5</v>
      </c>
      <c r="AP1404">
        <v>-25.36</v>
      </c>
    </row>
    <row r="1405" spans="1:42">
      <c r="A1405">
        <v>1404</v>
      </c>
      <c r="B1405" t="str">
        <f>"002553"</f>
        <v>002553</v>
      </c>
      <c r="C1405" t="s">
        <v>8747</v>
      </c>
      <c r="D1405">
        <v>12.76</v>
      </c>
      <c r="E1405">
        <v>-0.31</v>
      </c>
      <c r="F1405">
        <v>-0.04</v>
      </c>
      <c r="G1405" t="s">
        <v>4369</v>
      </c>
      <c r="H1405">
        <v>1102</v>
      </c>
      <c r="I1405">
        <v>12.76</v>
      </c>
      <c r="J1405">
        <v>12.77</v>
      </c>
      <c r="K1405" t="s">
        <v>8725</v>
      </c>
      <c r="L1405">
        <v>4.8</v>
      </c>
      <c r="M1405" t="s">
        <v>46</v>
      </c>
      <c r="N1405" t="s">
        <v>2843</v>
      </c>
      <c r="O1405">
        <v>12.82</v>
      </c>
      <c r="P1405">
        <v>12.58</v>
      </c>
      <c r="Q1405">
        <v>12.78</v>
      </c>
      <c r="R1405">
        <v>12.8</v>
      </c>
      <c r="S1405">
        <v>1.87</v>
      </c>
      <c r="T1405">
        <v>0.94</v>
      </c>
      <c r="U1405">
        <v>11.88</v>
      </c>
      <c r="V1405">
        <v>289</v>
      </c>
      <c r="W1405">
        <v>12.67</v>
      </c>
      <c r="X1405" t="s">
        <v>7400</v>
      </c>
      <c r="Y1405" t="s">
        <v>5316</v>
      </c>
      <c r="Z1405">
        <v>1.1</v>
      </c>
      <c r="AA1405">
        <v>190</v>
      </c>
      <c r="AB1405">
        <v>101</v>
      </c>
      <c r="AC1405">
        <v>3.84</v>
      </c>
      <c r="AD1405" t="s">
        <v>8748</v>
      </c>
      <c r="AE1405" t="s">
        <v>8749</v>
      </c>
      <c r="AF1405" t="s">
        <v>8750</v>
      </c>
      <c r="AG1405" t="s">
        <v>8751</v>
      </c>
      <c r="AH1405">
        <v>-2.3</v>
      </c>
      <c r="AI1405">
        <v>-4.49</v>
      </c>
      <c r="AJ1405">
        <v>14.91</v>
      </c>
      <c r="AK1405">
        <v>30.45</v>
      </c>
      <c r="AL1405">
        <v>-3</v>
      </c>
      <c r="AM1405">
        <v>-0.31</v>
      </c>
      <c r="AN1405">
        <v>13.93</v>
      </c>
      <c r="AO1405">
        <v>1.59</v>
      </c>
      <c r="AP1405">
        <v>3.15</v>
      </c>
    </row>
    <row r="1406" spans="1:42">
      <c r="A1406">
        <v>1405</v>
      </c>
      <c r="B1406" t="str">
        <f>"300235"</f>
        <v>300235</v>
      </c>
      <c r="C1406" t="s">
        <v>8752</v>
      </c>
      <c r="D1406">
        <v>11.78</v>
      </c>
      <c r="E1406">
        <v>6.32</v>
      </c>
      <c r="F1406">
        <v>0.7</v>
      </c>
      <c r="G1406" t="s">
        <v>1986</v>
      </c>
      <c r="H1406">
        <v>2522</v>
      </c>
      <c r="I1406">
        <v>11.78</v>
      </c>
      <c r="J1406">
        <v>11.79</v>
      </c>
      <c r="K1406" t="s">
        <v>8753</v>
      </c>
      <c r="L1406">
        <v>6.15</v>
      </c>
      <c r="M1406" t="s">
        <v>46</v>
      </c>
      <c r="N1406" t="s">
        <v>8754</v>
      </c>
      <c r="O1406">
        <v>11.83</v>
      </c>
      <c r="P1406">
        <v>11.08</v>
      </c>
      <c r="Q1406">
        <v>11.11</v>
      </c>
      <c r="R1406">
        <v>11.08</v>
      </c>
      <c r="S1406">
        <v>6.77</v>
      </c>
      <c r="T1406">
        <v>2.86</v>
      </c>
      <c r="U1406">
        <v>-2.54</v>
      </c>
      <c r="V1406">
        <v>-166</v>
      </c>
      <c r="W1406">
        <v>11.56</v>
      </c>
      <c r="X1406" t="s">
        <v>6838</v>
      </c>
      <c r="Y1406" t="s">
        <v>8755</v>
      </c>
      <c r="Z1406">
        <v>0.54</v>
      </c>
      <c r="AA1406">
        <v>1107</v>
      </c>
      <c r="AB1406">
        <v>219</v>
      </c>
      <c r="AC1406">
        <v>4.22</v>
      </c>
      <c r="AD1406" t="s">
        <v>7437</v>
      </c>
      <c r="AE1406" t="s">
        <v>8756</v>
      </c>
      <c r="AF1406" t="s">
        <v>8757</v>
      </c>
      <c r="AG1406" t="s">
        <v>8758</v>
      </c>
      <c r="AH1406">
        <v>4.8</v>
      </c>
      <c r="AI1406">
        <v>1.46</v>
      </c>
      <c r="AJ1406">
        <v>9.72</v>
      </c>
      <c r="AK1406">
        <v>16.9</v>
      </c>
      <c r="AL1406">
        <v>1</v>
      </c>
      <c r="AM1406">
        <v>6.32</v>
      </c>
      <c r="AN1406">
        <v>70.97</v>
      </c>
      <c r="AO1406">
        <v>1.03</v>
      </c>
      <c r="AP1406">
        <v>62.48</v>
      </c>
    </row>
    <row r="1407" spans="1:42">
      <c r="A1407">
        <v>1406</v>
      </c>
      <c r="B1407" t="str">
        <f>"300116"</f>
        <v>300116</v>
      </c>
      <c r="C1407" t="s">
        <v>8759</v>
      </c>
      <c r="D1407">
        <v>1.52</v>
      </c>
      <c r="E1407">
        <v>0.66</v>
      </c>
      <c r="F1407">
        <v>0.01</v>
      </c>
      <c r="G1407" t="s">
        <v>8760</v>
      </c>
      <c r="H1407" t="s">
        <v>919</v>
      </c>
      <c r="I1407">
        <v>1.51</v>
      </c>
      <c r="J1407">
        <v>1.52</v>
      </c>
      <c r="K1407" t="s">
        <v>8753</v>
      </c>
      <c r="L1407">
        <v>2.31</v>
      </c>
      <c r="M1407" t="s">
        <v>46</v>
      </c>
      <c r="N1407" t="s">
        <v>7752</v>
      </c>
      <c r="O1407">
        <v>1.56</v>
      </c>
      <c r="P1407">
        <v>1.48</v>
      </c>
      <c r="Q1407">
        <v>1.5</v>
      </c>
      <c r="R1407">
        <v>1.51</v>
      </c>
      <c r="S1407">
        <v>5.3</v>
      </c>
      <c r="T1407">
        <v>1.42</v>
      </c>
      <c r="U1407">
        <v>-23.33</v>
      </c>
      <c r="V1407" t="s">
        <v>8761</v>
      </c>
      <c r="W1407">
        <v>1.52</v>
      </c>
      <c r="X1407" t="s">
        <v>2396</v>
      </c>
      <c r="Y1407" t="s">
        <v>8762</v>
      </c>
      <c r="Z1407">
        <v>0.82</v>
      </c>
      <c r="AA1407" t="s">
        <v>3304</v>
      </c>
      <c r="AB1407" t="s">
        <v>3328</v>
      </c>
      <c r="AC1407">
        <v>26.68</v>
      </c>
      <c r="AD1407" t="s">
        <v>8763</v>
      </c>
      <c r="AE1407" t="s">
        <v>8661</v>
      </c>
      <c r="AF1407" t="s">
        <v>8764</v>
      </c>
      <c r="AG1407" t="s">
        <v>6810</v>
      </c>
      <c r="AH1407">
        <v>2.7</v>
      </c>
      <c r="AI1407">
        <v>-0.65</v>
      </c>
      <c r="AJ1407">
        <v>5.84</v>
      </c>
      <c r="AK1407">
        <v>10.46</v>
      </c>
      <c r="AL1407">
        <v>2</v>
      </c>
      <c r="AM1407">
        <v>0.66</v>
      </c>
      <c r="AN1407">
        <v>-7.32</v>
      </c>
      <c r="AO1407">
        <v>7.04</v>
      </c>
      <c r="AP1407">
        <v>-13.64</v>
      </c>
    </row>
    <row r="1408" spans="1:42">
      <c r="A1408">
        <v>1407</v>
      </c>
      <c r="B1408" t="str">
        <f>"605300"</f>
        <v>605300</v>
      </c>
      <c r="C1408" t="s">
        <v>8765</v>
      </c>
      <c r="D1408">
        <v>17.16</v>
      </c>
      <c r="E1408">
        <v>1.06</v>
      </c>
      <c r="F1408">
        <v>0.18</v>
      </c>
      <c r="G1408" t="s">
        <v>5879</v>
      </c>
      <c r="H1408">
        <v>1538</v>
      </c>
      <c r="I1408">
        <v>17.16</v>
      </c>
      <c r="J1408">
        <v>17.17</v>
      </c>
      <c r="K1408" t="s">
        <v>8753</v>
      </c>
      <c r="L1408">
        <v>14.52</v>
      </c>
      <c r="M1408" t="s">
        <v>46</v>
      </c>
      <c r="N1408" t="s">
        <v>67</v>
      </c>
      <c r="O1408">
        <v>17.59</v>
      </c>
      <c r="P1408">
        <v>16.88</v>
      </c>
      <c r="Q1408">
        <v>17.07</v>
      </c>
      <c r="R1408">
        <v>16.98</v>
      </c>
      <c r="S1408">
        <v>4.18</v>
      </c>
      <c r="T1408">
        <v>1.97</v>
      </c>
      <c r="U1408">
        <v>42.9</v>
      </c>
      <c r="V1408">
        <v>534</v>
      </c>
      <c r="W1408">
        <v>17.23</v>
      </c>
      <c r="X1408" t="s">
        <v>1165</v>
      </c>
      <c r="Y1408" t="s">
        <v>6645</v>
      </c>
      <c r="Z1408">
        <v>1.13</v>
      </c>
      <c r="AA1408">
        <v>140</v>
      </c>
      <c r="AB1408">
        <v>17</v>
      </c>
      <c r="AC1408">
        <v>3.13</v>
      </c>
      <c r="AD1408" t="s">
        <v>7381</v>
      </c>
      <c r="AE1408" t="s">
        <v>4367</v>
      </c>
      <c r="AF1408" t="s">
        <v>8766</v>
      </c>
      <c r="AG1408" t="s">
        <v>8767</v>
      </c>
      <c r="AH1408">
        <v>3.44</v>
      </c>
      <c r="AI1408">
        <v>3.56</v>
      </c>
      <c r="AJ1408">
        <v>34.83</v>
      </c>
      <c r="AK1408">
        <v>51.43</v>
      </c>
      <c r="AL1408">
        <v>4</v>
      </c>
      <c r="AM1408">
        <v>1.06</v>
      </c>
      <c r="AN1408">
        <v>-2.5</v>
      </c>
      <c r="AO1408">
        <v>4.19</v>
      </c>
      <c r="AP1408">
        <v>20.08</v>
      </c>
    </row>
    <row r="1409" spans="1:42">
      <c r="A1409">
        <v>1408</v>
      </c>
      <c r="B1409" t="str">
        <f>"603306"</f>
        <v>603306</v>
      </c>
      <c r="C1409" t="s">
        <v>8768</v>
      </c>
      <c r="D1409">
        <v>30.97</v>
      </c>
      <c r="E1409">
        <v>2.01</v>
      </c>
      <c r="F1409">
        <v>0.61</v>
      </c>
      <c r="G1409" t="s">
        <v>1236</v>
      </c>
      <c r="H1409">
        <v>336</v>
      </c>
      <c r="I1409">
        <v>30.97</v>
      </c>
      <c r="J1409">
        <v>30.98</v>
      </c>
      <c r="K1409" t="s">
        <v>8753</v>
      </c>
      <c r="L1409">
        <v>1.44</v>
      </c>
      <c r="M1409" t="s">
        <v>46</v>
      </c>
      <c r="N1409" t="s">
        <v>1592</v>
      </c>
      <c r="O1409">
        <v>31.15</v>
      </c>
      <c r="P1409">
        <v>30.08</v>
      </c>
      <c r="Q1409">
        <v>30.3</v>
      </c>
      <c r="R1409">
        <v>30.36</v>
      </c>
      <c r="S1409">
        <v>3.52</v>
      </c>
      <c r="T1409">
        <v>0.8</v>
      </c>
      <c r="U1409">
        <v>-51.02</v>
      </c>
      <c r="V1409">
        <v>-475</v>
      </c>
      <c r="W1409">
        <v>30.6</v>
      </c>
      <c r="X1409" t="s">
        <v>1710</v>
      </c>
      <c r="Y1409" t="s">
        <v>299</v>
      </c>
      <c r="Z1409">
        <v>0.96</v>
      </c>
      <c r="AA1409">
        <v>5</v>
      </c>
      <c r="AB1409">
        <v>113</v>
      </c>
      <c r="AC1409">
        <v>2.95</v>
      </c>
      <c r="AD1409" t="s">
        <v>8769</v>
      </c>
      <c r="AE1409" t="s">
        <v>7031</v>
      </c>
      <c r="AF1409" t="s">
        <v>8769</v>
      </c>
      <c r="AG1409" t="s">
        <v>7031</v>
      </c>
      <c r="AH1409">
        <v>0.03</v>
      </c>
      <c r="AI1409">
        <v>-3.94</v>
      </c>
      <c r="AJ1409">
        <v>4.78</v>
      </c>
      <c r="AK1409">
        <v>10.42</v>
      </c>
      <c r="AL1409">
        <v>1</v>
      </c>
      <c r="AM1409">
        <v>2.01</v>
      </c>
      <c r="AN1409">
        <v>-16.79</v>
      </c>
      <c r="AO1409">
        <v>-2.61</v>
      </c>
      <c r="AP1409">
        <v>-18.18</v>
      </c>
    </row>
    <row r="1410" spans="1:42">
      <c r="A1410">
        <v>1409</v>
      </c>
      <c r="B1410" t="str">
        <f>"833346"</f>
        <v>833346</v>
      </c>
      <c r="C1410" t="s">
        <v>8770</v>
      </c>
      <c r="D1410">
        <v>11.9</v>
      </c>
      <c r="E1410">
        <v>-17.65</v>
      </c>
      <c r="F1410">
        <v>-2.55</v>
      </c>
      <c r="G1410" t="s">
        <v>656</v>
      </c>
      <c r="H1410">
        <v>1554</v>
      </c>
      <c r="I1410">
        <v>11.88</v>
      </c>
      <c r="J1410">
        <v>11.9</v>
      </c>
      <c r="K1410" t="s">
        <v>8753</v>
      </c>
      <c r="L1410">
        <v>39.62</v>
      </c>
      <c r="M1410" t="s">
        <v>46</v>
      </c>
      <c r="N1410" t="s">
        <v>7709</v>
      </c>
      <c r="O1410">
        <v>14.95</v>
      </c>
      <c r="P1410">
        <v>11.86</v>
      </c>
      <c r="Q1410">
        <v>14.6</v>
      </c>
      <c r="R1410">
        <v>14.45</v>
      </c>
      <c r="S1410">
        <v>21.38</v>
      </c>
      <c r="T1410">
        <v>0.99</v>
      </c>
      <c r="U1410">
        <v>-12.2</v>
      </c>
      <c r="V1410">
        <v>-100</v>
      </c>
      <c r="W1410">
        <v>12.8</v>
      </c>
      <c r="X1410" t="s">
        <v>7506</v>
      </c>
      <c r="Y1410" t="s">
        <v>3959</v>
      </c>
      <c r="Z1410">
        <v>1.63</v>
      </c>
      <c r="AA1410">
        <v>204</v>
      </c>
      <c r="AB1410">
        <v>142</v>
      </c>
      <c r="AC1410">
        <v>2.28</v>
      </c>
      <c r="AD1410" t="s">
        <v>8771</v>
      </c>
      <c r="AE1410" t="s">
        <v>8772</v>
      </c>
      <c r="AF1410" t="s">
        <v>7008</v>
      </c>
      <c r="AG1410" t="s">
        <v>8773</v>
      </c>
      <c r="AH1410">
        <v>-19.76</v>
      </c>
      <c r="AI1410">
        <v>51.59</v>
      </c>
      <c r="AJ1410">
        <v>151.03</v>
      </c>
      <c r="AK1410">
        <v>239.73</v>
      </c>
      <c r="AL1410">
        <v>-1</v>
      </c>
      <c r="AM1410">
        <v>-17.65</v>
      </c>
      <c r="AN1410">
        <v>77.35</v>
      </c>
      <c r="AO1410">
        <v>86.81</v>
      </c>
      <c r="AP1410">
        <v>70.73</v>
      </c>
    </row>
    <row r="1411" spans="1:42">
      <c r="A1411">
        <v>1410</v>
      </c>
      <c r="B1411" t="str">
        <f>"000957"</f>
        <v>000957</v>
      </c>
      <c r="C1411" t="s">
        <v>8774</v>
      </c>
      <c r="D1411">
        <v>10.09</v>
      </c>
      <c r="E1411">
        <v>0.3</v>
      </c>
      <c r="F1411">
        <v>0.03</v>
      </c>
      <c r="G1411" t="s">
        <v>2081</v>
      </c>
      <c r="H1411">
        <v>1281</v>
      </c>
      <c r="I1411">
        <v>10.09</v>
      </c>
      <c r="J1411">
        <v>10.1</v>
      </c>
      <c r="K1411" t="s">
        <v>8753</v>
      </c>
      <c r="L1411">
        <v>2.42</v>
      </c>
      <c r="M1411" t="s">
        <v>46</v>
      </c>
      <c r="N1411" t="s">
        <v>8621</v>
      </c>
      <c r="O1411">
        <v>10.15</v>
      </c>
      <c r="P1411">
        <v>9.86</v>
      </c>
      <c r="Q1411">
        <v>10.05</v>
      </c>
      <c r="R1411">
        <v>10.06</v>
      </c>
      <c r="S1411">
        <v>2.88</v>
      </c>
      <c r="T1411">
        <v>0.8</v>
      </c>
      <c r="U1411">
        <v>-25.36</v>
      </c>
      <c r="V1411">
        <v>-2183</v>
      </c>
      <c r="W1411">
        <v>10.04</v>
      </c>
      <c r="X1411" t="s">
        <v>8775</v>
      </c>
      <c r="Y1411" t="s">
        <v>4359</v>
      </c>
      <c r="Z1411">
        <v>1.02</v>
      </c>
      <c r="AA1411">
        <v>116</v>
      </c>
      <c r="AB1411">
        <v>1306</v>
      </c>
      <c r="AC1411">
        <v>2.19</v>
      </c>
      <c r="AD1411" t="s">
        <v>8776</v>
      </c>
      <c r="AE1411" t="s">
        <v>8777</v>
      </c>
      <c r="AF1411" t="s">
        <v>8776</v>
      </c>
      <c r="AG1411" t="s">
        <v>8777</v>
      </c>
      <c r="AH1411">
        <v>-3.35</v>
      </c>
      <c r="AI1411">
        <v>-3.72</v>
      </c>
      <c r="AJ1411">
        <v>7.82</v>
      </c>
      <c r="AK1411">
        <v>17.54</v>
      </c>
      <c r="AL1411">
        <v>1</v>
      </c>
      <c r="AM1411">
        <v>0.3</v>
      </c>
      <c r="AN1411">
        <v>-16.54</v>
      </c>
      <c r="AO1411">
        <v>-1.46</v>
      </c>
      <c r="AP1411">
        <v>-25.37</v>
      </c>
    </row>
    <row r="1412" spans="1:42">
      <c r="A1412">
        <v>1411</v>
      </c>
      <c r="B1412" t="str">
        <f>"600467"</f>
        <v>600467</v>
      </c>
      <c r="C1412" t="s">
        <v>8778</v>
      </c>
      <c r="D1412">
        <v>2.52</v>
      </c>
      <c r="E1412">
        <v>0.4</v>
      </c>
      <c r="F1412">
        <v>0.01</v>
      </c>
      <c r="G1412" t="s">
        <v>805</v>
      </c>
      <c r="H1412">
        <v>4121</v>
      </c>
      <c r="I1412">
        <v>2.51</v>
      </c>
      <c r="J1412">
        <v>2.52</v>
      </c>
      <c r="K1412" t="s">
        <v>8753</v>
      </c>
      <c r="L1412">
        <v>3.89</v>
      </c>
      <c r="M1412" t="s">
        <v>46</v>
      </c>
      <c r="N1412" t="s">
        <v>7120</v>
      </c>
      <c r="O1412">
        <v>2.57</v>
      </c>
      <c r="P1412">
        <v>2.49</v>
      </c>
      <c r="Q1412">
        <v>2.5</v>
      </c>
      <c r="R1412">
        <v>2.51</v>
      </c>
      <c r="S1412">
        <v>3.19</v>
      </c>
      <c r="T1412">
        <v>0.73</v>
      </c>
      <c r="U1412">
        <v>-24.42</v>
      </c>
      <c r="V1412" t="s">
        <v>8779</v>
      </c>
      <c r="W1412">
        <v>2.53</v>
      </c>
      <c r="X1412" t="s">
        <v>1373</v>
      </c>
      <c r="Y1412" t="s">
        <v>3512</v>
      </c>
      <c r="Z1412">
        <v>1.02</v>
      </c>
      <c r="AA1412" t="s">
        <v>7836</v>
      </c>
      <c r="AB1412" t="s">
        <v>7178</v>
      </c>
      <c r="AC1412">
        <v>1.09</v>
      </c>
      <c r="AD1412" t="s">
        <v>8780</v>
      </c>
      <c r="AE1412" t="s">
        <v>8781</v>
      </c>
      <c r="AF1412" t="s">
        <v>8780</v>
      </c>
      <c r="AG1412" t="s">
        <v>8781</v>
      </c>
      <c r="AH1412">
        <v>0.8</v>
      </c>
      <c r="AI1412">
        <v>3.28</v>
      </c>
      <c r="AJ1412">
        <v>13</v>
      </c>
      <c r="AK1412">
        <v>30.69</v>
      </c>
      <c r="AL1412">
        <v>2</v>
      </c>
      <c r="AM1412">
        <v>0.4</v>
      </c>
      <c r="AN1412">
        <v>-8.7</v>
      </c>
      <c r="AO1412">
        <v>5.88</v>
      </c>
      <c r="AP1412">
        <v>0.8</v>
      </c>
    </row>
    <row r="1413" spans="1:42">
      <c r="A1413">
        <v>1412</v>
      </c>
      <c r="B1413" t="str">
        <f>"600023"</f>
        <v>600023</v>
      </c>
      <c r="C1413" t="s">
        <v>8782</v>
      </c>
      <c r="D1413">
        <v>4.64</v>
      </c>
      <c r="E1413">
        <v>0</v>
      </c>
      <c r="F1413">
        <v>0</v>
      </c>
      <c r="G1413" t="s">
        <v>1803</v>
      </c>
      <c r="H1413">
        <v>4887</v>
      </c>
      <c r="I1413">
        <v>4.63</v>
      </c>
      <c r="J1413">
        <v>4.64</v>
      </c>
      <c r="K1413" t="s">
        <v>8783</v>
      </c>
      <c r="L1413">
        <v>0.23</v>
      </c>
      <c r="M1413" t="s">
        <v>46</v>
      </c>
      <c r="N1413" t="s">
        <v>5893</v>
      </c>
      <c r="O1413">
        <v>4.67</v>
      </c>
      <c r="P1413">
        <v>4.57</v>
      </c>
      <c r="Q1413">
        <v>4.65</v>
      </c>
      <c r="R1413">
        <v>4.64</v>
      </c>
      <c r="S1413">
        <v>2.16</v>
      </c>
      <c r="T1413">
        <v>0.99</v>
      </c>
      <c r="U1413">
        <v>-17.28</v>
      </c>
      <c r="V1413">
        <v>-6926</v>
      </c>
      <c r="W1413">
        <v>4.63</v>
      </c>
      <c r="X1413" t="s">
        <v>665</v>
      </c>
      <c r="Y1413" t="s">
        <v>2217</v>
      </c>
      <c r="Z1413">
        <v>1.1</v>
      </c>
      <c r="AA1413">
        <v>2049</v>
      </c>
      <c r="AB1413">
        <v>40</v>
      </c>
      <c r="AC1413">
        <v>0.92</v>
      </c>
      <c r="AD1413" t="s">
        <v>8784</v>
      </c>
      <c r="AE1413" t="s">
        <v>8785</v>
      </c>
      <c r="AF1413" t="s">
        <v>8784</v>
      </c>
      <c r="AG1413" t="s">
        <v>8785</v>
      </c>
      <c r="AH1413">
        <v>2.2</v>
      </c>
      <c r="AI1413">
        <v>0.87</v>
      </c>
      <c r="AJ1413">
        <v>0.73</v>
      </c>
      <c r="AK1413">
        <v>1.39</v>
      </c>
      <c r="AL1413">
        <v>0</v>
      </c>
      <c r="AM1413">
        <v>0</v>
      </c>
      <c r="AN1413">
        <v>32.95</v>
      </c>
      <c r="AO1413">
        <v>2.43</v>
      </c>
      <c r="AP1413">
        <v>32.19</v>
      </c>
    </row>
    <row r="1414" spans="1:42">
      <c r="A1414">
        <v>1413</v>
      </c>
      <c r="B1414" t="str">
        <f>"600880"</f>
        <v>600880</v>
      </c>
      <c r="C1414" t="s">
        <v>8786</v>
      </c>
      <c r="D1414">
        <v>5.59</v>
      </c>
      <c r="E1414">
        <v>5.27</v>
      </c>
      <c r="F1414">
        <v>0.28</v>
      </c>
      <c r="G1414" t="s">
        <v>1833</v>
      </c>
      <c r="H1414">
        <v>4942</v>
      </c>
      <c r="I1414">
        <v>5.58</v>
      </c>
      <c r="J1414">
        <v>5.59</v>
      </c>
      <c r="K1414" t="s">
        <v>8783</v>
      </c>
      <c r="L1414">
        <v>2.38</v>
      </c>
      <c r="M1414" t="s">
        <v>46</v>
      </c>
      <c r="N1414" t="s">
        <v>3310</v>
      </c>
      <c r="O1414">
        <v>5.59</v>
      </c>
      <c r="P1414">
        <v>5.31</v>
      </c>
      <c r="Q1414">
        <v>5.35</v>
      </c>
      <c r="R1414">
        <v>5.31</v>
      </c>
      <c r="S1414">
        <v>5.27</v>
      </c>
      <c r="T1414">
        <v>1.83</v>
      </c>
      <c r="U1414">
        <v>-34.92</v>
      </c>
      <c r="V1414">
        <v>-5053</v>
      </c>
      <c r="W1414">
        <v>5.51</v>
      </c>
      <c r="X1414" t="s">
        <v>1949</v>
      </c>
      <c r="Y1414" t="s">
        <v>1377</v>
      </c>
      <c r="Z1414">
        <v>0.73</v>
      </c>
      <c r="AA1414">
        <v>2153</v>
      </c>
      <c r="AB1414">
        <v>49</v>
      </c>
      <c r="AC1414">
        <v>2.01</v>
      </c>
      <c r="AD1414" t="s">
        <v>7282</v>
      </c>
      <c r="AE1414" t="s">
        <v>8787</v>
      </c>
      <c r="AF1414" t="s">
        <v>7282</v>
      </c>
      <c r="AG1414" t="s">
        <v>8788</v>
      </c>
      <c r="AH1414">
        <v>3.71</v>
      </c>
      <c r="AI1414">
        <v>0.9</v>
      </c>
      <c r="AJ1414">
        <v>5.06</v>
      </c>
      <c r="AK1414">
        <v>8.87</v>
      </c>
      <c r="AL1414">
        <v>1</v>
      </c>
      <c r="AM1414">
        <v>5.27</v>
      </c>
      <c r="AN1414">
        <v>3.9</v>
      </c>
      <c r="AO1414">
        <v>6.68</v>
      </c>
      <c r="AP1414">
        <v>11.13</v>
      </c>
    </row>
    <row r="1415" spans="1:42">
      <c r="A1415">
        <v>1414</v>
      </c>
      <c r="B1415" t="str">
        <f>"688099"</f>
        <v>688099</v>
      </c>
      <c r="C1415" t="s">
        <v>8789</v>
      </c>
      <c r="D1415">
        <v>61.52</v>
      </c>
      <c r="E1415">
        <v>0.56</v>
      </c>
      <c r="F1415">
        <v>0.34</v>
      </c>
      <c r="G1415" t="s">
        <v>314</v>
      </c>
      <c r="H1415">
        <v>293</v>
      </c>
      <c r="I1415">
        <v>61.51</v>
      </c>
      <c r="J1415">
        <v>61.52</v>
      </c>
      <c r="K1415" t="s">
        <v>8783</v>
      </c>
      <c r="L1415">
        <v>0.56</v>
      </c>
      <c r="M1415" t="s">
        <v>46</v>
      </c>
      <c r="N1415" t="s">
        <v>8790</v>
      </c>
      <c r="O1415">
        <v>61.94</v>
      </c>
      <c r="P1415">
        <v>60.51</v>
      </c>
      <c r="Q1415">
        <v>61.17</v>
      </c>
      <c r="R1415">
        <v>61.18</v>
      </c>
      <c r="S1415">
        <v>2.34</v>
      </c>
      <c r="T1415">
        <v>0.93</v>
      </c>
      <c r="U1415">
        <v>-50.88</v>
      </c>
      <c r="V1415">
        <v>-97</v>
      </c>
      <c r="W1415">
        <v>61.21</v>
      </c>
      <c r="X1415" t="s">
        <v>1427</v>
      </c>
      <c r="Y1415" t="s">
        <v>1400</v>
      </c>
      <c r="Z1415">
        <v>1.23</v>
      </c>
      <c r="AA1415">
        <v>2</v>
      </c>
      <c r="AB1415">
        <v>2</v>
      </c>
      <c r="AC1415">
        <v>4.88</v>
      </c>
      <c r="AD1415" t="s">
        <v>8791</v>
      </c>
      <c r="AE1415" t="s">
        <v>8792</v>
      </c>
      <c r="AF1415" t="s">
        <v>8791</v>
      </c>
      <c r="AG1415" t="s">
        <v>8792</v>
      </c>
      <c r="AH1415">
        <v>-1.96</v>
      </c>
      <c r="AI1415">
        <v>-3.83</v>
      </c>
      <c r="AJ1415">
        <v>1.63</v>
      </c>
      <c r="AK1415">
        <v>3.58</v>
      </c>
      <c r="AL1415">
        <v>1</v>
      </c>
      <c r="AM1415">
        <v>0.56</v>
      </c>
      <c r="AN1415">
        <v>-12.13</v>
      </c>
      <c r="AO1415">
        <v>-2.49</v>
      </c>
      <c r="AP1415">
        <v>-14.8</v>
      </c>
    </row>
    <row r="1416" spans="1:42">
      <c r="A1416">
        <v>1415</v>
      </c>
      <c r="B1416" t="str">
        <f>"300861"</f>
        <v>300861</v>
      </c>
      <c r="C1416" t="s">
        <v>8793</v>
      </c>
      <c r="D1416">
        <v>34.07</v>
      </c>
      <c r="E1416">
        <v>-1.9</v>
      </c>
      <c r="F1416">
        <v>-0.66</v>
      </c>
      <c r="G1416" t="s">
        <v>2621</v>
      </c>
      <c r="H1416">
        <v>308</v>
      </c>
      <c r="I1416">
        <v>34.06</v>
      </c>
      <c r="J1416">
        <v>34.07</v>
      </c>
      <c r="K1416" t="s">
        <v>8783</v>
      </c>
      <c r="L1416">
        <v>1.5</v>
      </c>
      <c r="M1416" t="s">
        <v>46</v>
      </c>
      <c r="N1416" t="s">
        <v>4899</v>
      </c>
      <c r="O1416">
        <v>34.73</v>
      </c>
      <c r="P1416">
        <v>33.83</v>
      </c>
      <c r="Q1416">
        <v>34.72</v>
      </c>
      <c r="R1416">
        <v>34.73</v>
      </c>
      <c r="S1416">
        <v>2.59</v>
      </c>
      <c r="T1416">
        <v>1.55</v>
      </c>
      <c r="U1416">
        <v>-5.68</v>
      </c>
      <c r="V1416">
        <v>-20</v>
      </c>
      <c r="W1416">
        <v>34.14</v>
      </c>
      <c r="X1416" t="s">
        <v>6419</v>
      </c>
      <c r="Y1416" t="s">
        <v>2878</v>
      </c>
      <c r="Z1416">
        <v>1.3</v>
      </c>
      <c r="AA1416">
        <v>99</v>
      </c>
      <c r="AB1416">
        <v>5</v>
      </c>
      <c r="AC1416">
        <v>2.62</v>
      </c>
      <c r="AD1416" t="s">
        <v>8794</v>
      </c>
      <c r="AE1416" t="s">
        <v>8795</v>
      </c>
      <c r="AF1416" t="s">
        <v>8796</v>
      </c>
      <c r="AG1416" t="s">
        <v>8797</v>
      </c>
      <c r="AH1416">
        <v>-5.31</v>
      </c>
      <c r="AI1416">
        <v>-7.04</v>
      </c>
      <c r="AJ1416">
        <v>3.67</v>
      </c>
      <c r="AK1416">
        <v>6.34</v>
      </c>
      <c r="AL1416">
        <v>-3</v>
      </c>
      <c r="AM1416">
        <v>-1.9</v>
      </c>
      <c r="AN1416">
        <v>-29.98</v>
      </c>
      <c r="AO1416">
        <v>-12.84</v>
      </c>
      <c r="AP1416">
        <v>-36.14</v>
      </c>
    </row>
    <row r="1417" spans="1:42">
      <c r="A1417">
        <v>1416</v>
      </c>
      <c r="B1417" t="str">
        <f>"688538"</f>
        <v>688538</v>
      </c>
      <c r="C1417" t="s">
        <v>8798</v>
      </c>
      <c r="D1417">
        <v>2.63</v>
      </c>
      <c r="E1417">
        <v>-2.23</v>
      </c>
      <c r="F1417">
        <v>-0.06</v>
      </c>
      <c r="G1417" t="s">
        <v>8799</v>
      </c>
      <c r="H1417">
        <v>4018</v>
      </c>
      <c r="I1417">
        <v>2.62</v>
      </c>
      <c r="J1417">
        <v>2.63</v>
      </c>
      <c r="K1417" t="s">
        <v>8783</v>
      </c>
      <c r="L1417">
        <v>0.94</v>
      </c>
      <c r="M1417" t="s">
        <v>46</v>
      </c>
      <c r="N1417" t="s">
        <v>2596</v>
      </c>
      <c r="O1417">
        <v>2.68</v>
      </c>
      <c r="P1417">
        <v>2.61</v>
      </c>
      <c r="Q1417">
        <v>2.67</v>
      </c>
      <c r="R1417">
        <v>2.69</v>
      </c>
      <c r="S1417">
        <v>2.6</v>
      </c>
      <c r="T1417">
        <v>1.34</v>
      </c>
      <c r="U1417">
        <v>8.9</v>
      </c>
      <c r="V1417" t="s">
        <v>8636</v>
      </c>
      <c r="W1417">
        <v>2.63</v>
      </c>
      <c r="X1417" t="s">
        <v>865</v>
      </c>
      <c r="Y1417" t="s">
        <v>2778</v>
      </c>
      <c r="Z1417">
        <v>2.27</v>
      </c>
      <c r="AA1417">
        <v>2862</v>
      </c>
      <c r="AB1417">
        <v>9290</v>
      </c>
      <c r="AC1417">
        <v>2.72</v>
      </c>
      <c r="AD1417" t="s">
        <v>8800</v>
      </c>
      <c r="AE1417" t="s">
        <v>8801</v>
      </c>
      <c r="AF1417" t="s">
        <v>8802</v>
      </c>
      <c r="AG1417" t="s">
        <v>8803</v>
      </c>
      <c r="AH1417">
        <v>-0.38</v>
      </c>
      <c r="AI1417">
        <v>-0.38</v>
      </c>
      <c r="AJ1417">
        <v>2.78</v>
      </c>
      <c r="AK1417">
        <v>4.47</v>
      </c>
      <c r="AL1417">
        <v>-1</v>
      </c>
      <c r="AM1417">
        <v>-2.23</v>
      </c>
      <c r="AN1417">
        <v>-1.87</v>
      </c>
      <c r="AO1417">
        <v>1.15</v>
      </c>
      <c r="AP1417">
        <v>-0.75</v>
      </c>
    </row>
    <row r="1418" spans="1:42">
      <c r="A1418">
        <v>1417</v>
      </c>
      <c r="B1418" t="str">
        <f>"600416"</f>
        <v>600416</v>
      </c>
      <c r="C1418" t="s">
        <v>8804</v>
      </c>
      <c r="D1418">
        <v>14.67</v>
      </c>
      <c r="E1418">
        <v>-0.2</v>
      </c>
      <c r="F1418">
        <v>-0.03</v>
      </c>
      <c r="G1418" t="s">
        <v>4987</v>
      </c>
      <c r="H1418">
        <v>370</v>
      </c>
      <c r="I1418">
        <v>14.66</v>
      </c>
      <c r="J1418">
        <v>14.67</v>
      </c>
      <c r="K1418" t="s">
        <v>8783</v>
      </c>
      <c r="L1418">
        <v>0.87</v>
      </c>
      <c r="M1418" t="s">
        <v>46</v>
      </c>
      <c r="N1418" t="s">
        <v>1654</v>
      </c>
      <c r="O1418">
        <v>15.1</v>
      </c>
      <c r="P1418">
        <v>14.54</v>
      </c>
      <c r="Q1418">
        <v>15.08</v>
      </c>
      <c r="R1418">
        <v>14.7</v>
      </c>
      <c r="S1418">
        <v>3.81</v>
      </c>
      <c r="T1418">
        <v>1.45</v>
      </c>
      <c r="U1418">
        <v>0.72</v>
      </c>
      <c r="V1418">
        <v>9</v>
      </c>
      <c r="W1418">
        <v>14.71</v>
      </c>
      <c r="X1418" t="s">
        <v>8805</v>
      </c>
      <c r="Y1418" t="s">
        <v>3227</v>
      </c>
      <c r="Z1418">
        <v>1.4</v>
      </c>
      <c r="AA1418">
        <v>12</v>
      </c>
      <c r="AB1418">
        <v>72</v>
      </c>
      <c r="AC1418">
        <v>2.7</v>
      </c>
      <c r="AD1418" t="s">
        <v>8806</v>
      </c>
      <c r="AE1418" t="s">
        <v>8807</v>
      </c>
      <c r="AF1418" t="s">
        <v>5555</v>
      </c>
      <c r="AG1418" t="s">
        <v>8808</v>
      </c>
      <c r="AH1418">
        <v>-2.98</v>
      </c>
      <c r="AI1418">
        <v>-2.78</v>
      </c>
      <c r="AJ1418">
        <v>2.04</v>
      </c>
      <c r="AK1418">
        <v>3.87</v>
      </c>
      <c r="AL1418">
        <v>-3</v>
      </c>
      <c r="AM1418">
        <v>-0.2</v>
      </c>
      <c r="AN1418">
        <v>-21.97</v>
      </c>
      <c r="AO1418">
        <v>1.24</v>
      </c>
      <c r="AP1418">
        <v>-26.98</v>
      </c>
    </row>
    <row r="1419" spans="1:42">
      <c r="A1419">
        <v>1418</v>
      </c>
      <c r="B1419" t="str">
        <f>"300311"</f>
        <v>300311</v>
      </c>
      <c r="C1419" t="s">
        <v>8809</v>
      </c>
      <c r="D1419">
        <v>6.7</v>
      </c>
      <c r="E1419">
        <v>4.04</v>
      </c>
      <c r="F1419">
        <v>0.26</v>
      </c>
      <c r="G1419" t="s">
        <v>2893</v>
      </c>
      <c r="H1419">
        <v>2665</v>
      </c>
      <c r="I1419">
        <v>6.7</v>
      </c>
      <c r="J1419">
        <v>6.71</v>
      </c>
      <c r="K1419" t="s">
        <v>7524</v>
      </c>
      <c r="L1419">
        <v>4</v>
      </c>
      <c r="M1419" t="s">
        <v>46</v>
      </c>
      <c r="N1419" t="s">
        <v>5189</v>
      </c>
      <c r="O1419">
        <v>6.72</v>
      </c>
      <c r="P1419">
        <v>6.45</v>
      </c>
      <c r="Q1419">
        <v>6.47</v>
      </c>
      <c r="R1419">
        <v>6.44</v>
      </c>
      <c r="S1419">
        <v>4.19</v>
      </c>
      <c r="T1419">
        <v>0.99</v>
      </c>
      <c r="U1419">
        <v>-54.69</v>
      </c>
      <c r="V1419">
        <v>-6186</v>
      </c>
      <c r="W1419">
        <v>6.62</v>
      </c>
      <c r="X1419" t="s">
        <v>3690</v>
      </c>
      <c r="Y1419" t="s">
        <v>4247</v>
      </c>
      <c r="Z1419">
        <v>0.6</v>
      </c>
      <c r="AA1419">
        <v>916</v>
      </c>
      <c r="AB1419">
        <v>799</v>
      </c>
      <c r="AC1419">
        <v>6.3</v>
      </c>
      <c r="AD1419" t="s">
        <v>8810</v>
      </c>
      <c r="AE1419" t="s">
        <v>8811</v>
      </c>
      <c r="AF1419" t="s">
        <v>8812</v>
      </c>
      <c r="AG1419" t="s">
        <v>8813</v>
      </c>
      <c r="AH1419">
        <v>-0.3</v>
      </c>
      <c r="AI1419">
        <v>-2.62</v>
      </c>
      <c r="AJ1419">
        <v>11.17</v>
      </c>
      <c r="AK1419">
        <v>24.15</v>
      </c>
      <c r="AL1419">
        <v>1</v>
      </c>
      <c r="AM1419">
        <v>4.04</v>
      </c>
      <c r="AN1419">
        <v>10.2</v>
      </c>
      <c r="AO1419">
        <v>14.53</v>
      </c>
      <c r="AP1419">
        <v>-4.15</v>
      </c>
    </row>
    <row r="1420" spans="1:42">
      <c r="A1420">
        <v>1419</v>
      </c>
      <c r="B1420" t="str">
        <f>"688316"</f>
        <v>688316</v>
      </c>
      <c r="C1420" t="s">
        <v>8814</v>
      </c>
      <c r="D1420">
        <v>55.9</v>
      </c>
      <c r="E1420">
        <v>2.93</v>
      </c>
      <c r="F1420">
        <v>1.59</v>
      </c>
      <c r="G1420" t="s">
        <v>1077</v>
      </c>
      <c r="H1420">
        <v>286</v>
      </c>
      <c r="I1420">
        <v>55.9</v>
      </c>
      <c r="J1420">
        <v>55.92</v>
      </c>
      <c r="K1420" t="s">
        <v>7524</v>
      </c>
      <c r="L1420">
        <v>7.18</v>
      </c>
      <c r="M1420" t="s">
        <v>46</v>
      </c>
      <c r="N1420" t="s">
        <v>5632</v>
      </c>
      <c r="O1420">
        <v>56.36</v>
      </c>
      <c r="P1420">
        <v>53.51</v>
      </c>
      <c r="Q1420">
        <v>54.31</v>
      </c>
      <c r="R1420">
        <v>54.31</v>
      </c>
      <c r="S1420">
        <v>5.25</v>
      </c>
      <c r="T1420">
        <v>1.3</v>
      </c>
      <c r="U1420">
        <v>-8.15</v>
      </c>
      <c r="V1420">
        <v>-25</v>
      </c>
      <c r="W1420">
        <v>55.15</v>
      </c>
      <c r="X1420" t="s">
        <v>6212</v>
      </c>
      <c r="Y1420" t="s">
        <v>1170</v>
      </c>
      <c r="Z1420">
        <v>0.97</v>
      </c>
      <c r="AA1420">
        <v>26</v>
      </c>
      <c r="AB1420">
        <v>2</v>
      </c>
      <c r="AC1420">
        <v>11.81</v>
      </c>
      <c r="AD1420" t="s">
        <v>8815</v>
      </c>
      <c r="AE1420" t="s">
        <v>8816</v>
      </c>
      <c r="AF1420" t="s">
        <v>8817</v>
      </c>
      <c r="AG1420" t="s">
        <v>8818</v>
      </c>
      <c r="AH1420">
        <v>3.29</v>
      </c>
      <c r="AI1420">
        <v>-5.53</v>
      </c>
      <c r="AJ1420">
        <v>15.92</v>
      </c>
      <c r="AK1420">
        <v>34.91</v>
      </c>
      <c r="AL1420">
        <v>2</v>
      </c>
      <c r="AM1420">
        <v>2.93</v>
      </c>
      <c r="AN1420">
        <v>97.95</v>
      </c>
      <c r="AO1420">
        <v>4</v>
      </c>
      <c r="AP1420">
        <v>63.5</v>
      </c>
    </row>
    <row r="1421" spans="1:42">
      <c r="A1421">
        <v>1420</v>
      </c>
      <c r="B1421" t="str">
        <f>"688468"</f>
        <v>688468</v>
      </c>
      <c r="C1421" t="s">
        <v>8819</v>
      </c>
      <c r="D1421">
        <v>11.87</v>
      </c>
      <c r="E1421">
        <v>1.45</v>
      </c>
      <c r="F1421">
        <v>0.17</v>
      </c>
      <c r="G1421" t="s">
        <v>1908</v>
      </c>
      <c r="H1421">
        <v>465</v>
      </c>
      <c r="I1421">
        <v>11.87</v>
      </c>
      <c r="J1421">
        <v>11.88</v>
      </c>
      <c r="K1421" t="s">
        <v>7524</v>
      </c>
      <c r="L1421">
        <v>4.33</v>
      </c>
      <c r="M1421" t="s">
        <v>46</v>
      </c>
      <c r="N1421" t="s">
        <v>4207</v>
      </c>
      <c r="O1421">
        <v>12.11</v>
      </c>
      <c r="P1421">
        <v>11.62</v>
      </c>
      <c r="Q1421">
        <v>11.62</v>
      </c>
      <c r="R1421">
        <v>11.7</v>
      </c>
      <c r="S1421">
        <v>4.19</v>
      </c>
      <c r="T1421">
        <v>3.08</v>
      </c>
      <c r="U1421">
        <v>-54.36</v>
      </c>
      <c r="V1421">
        <v>-1306</v>
      </c>
      <c r="W1421">
        <v>11.94</v>
      </c>
      <c r="X1421" t="s">
        <v>1038</v>
      </c>
      <c r="Y1421" t="s">
        <v>7628</v>
      </c>
      <c r="Z1421">
        <v>0.87</v>
      </c>
      <c r="AA1421">
        <v>6</v>
      </c>
      <c r="AB1421">
        <v>5</v>
      </c>
      <c r="AC1421">
        <v>3.5</v>
      </c>
      <c r="AD1421" t="s">
        <v>945</v>
      </c>
      <c r="AE1421" t="s">
        <v>6374</v>
      </c>
      <c r="AF1421" t="s">
        <v>8820</v>
      </c>
      <c r="AG1421" t="s">
        <v>8821</v>
      </c>
      <c r="AH1421">
        <v>4.12</v>
      </c>
      <c r="AI1421">
        <v>4.67</v>
      </c>
      <c r="AJ1421">
        <v>7.73</v>
      </c>
      <c r="AK1421">
        <v>11.36</v>
      </c>
      <c r="AL1421">
        <v>2</v>
      </c>
      <c r="AM1421">
        <v>1.45</v>
      </c>
      <c r="AN1421">
        <v>30.15</v>
      </c>
      <c r="AO1421">
        <v>12.73</v>
      </c>
      <c r="AP1421">
        <v>2.68</v>
      </c>
    </row>
    <row r="1422" spans="1:42">
      <c r="A1422">
        <v>1421</v>
      </c>
      <c r="B1422" t="str">
        <f>"600661"</f>
        <v>600661</v>
      </c>
      <c r="C1422" t="s">
        <v>8822</v>
      </c>
      <c r="D1422">
        <v>10.31</v>
      </c>
      <c r="E1422">
        <v>10.03</v>
      </c>
      <c r="F1422">
        <v>0.94</v>
      </c>
      <c r="G1422" t="s">
        <v>1296</v>
      </c>
      <c r="H1422">
        <v>717</v>
      </c>
      <c r="I1422">
        <v>10.31</v>
      </c>
      <c r="J1422" t="s">
        <v>76</v>
      </c>
      <c r="K1422" t="s">
        <v>7524</v>
      </c>
      <c r="L1422">
        <v>4.92</v>
      </c>
      <c r="M1422" t="s">
        <v>46</v>
      </c>
      <c r="N1422" t="s">
        <v>1916</v>
      </c>
      <c r="O1422">
        <v>10.31</v>
      </c>
      <c r="P1422">
        <v>9.3</v>
      </c>
      <c r="Q1422">
        <v>9.41</v>
      </c>
      <c r="R1422">
        <v>9.37</v>
      </c>
      <c r="S1422">
        <v>10.78</v>
      </c>
      <c r="T1422">
        <v>6.08</v>
      </c>
      <c r="U1422">
        <v>100</v>
      </c>
      <c r="V1422" t="s">
        <v>6912</v>
      </c>
      <c r="W1422">
        <v>10.08</v>
      </c>
      <c r="X1422" t="s">
        <v>7367</v>
      </c>
      <c r="Y1422" t="s">
        <v>4559</v>
      </c>
      <c r="Z1422">
        <v>2.05</v>
      </c>
      <c r="AA1422" t="s">
        <v>2464</v>
      </c>
      <c r="AB1422">
        <v>0</v>
      </c>
      <c r="AC1422">
        <v>13.01</v>
      </c>
      <c r="AD1422" t="s">
        <v>8823</v>
      </c>
      <c r="AE1422" t="s">
        <v>8824</v>
      </c>
      <c r="AF1422" t="s">
        <v>8823</v>
      </c>
      <c r="AG1422" t="s">
        <v>8824</v>
      </c>
      <c r="AH1422">
        <v>10.98</v>
      </c>
      <c r="AI1422">
        <v>11.22</v>
      </c>
      <c r="AJ1422">
        <v>6.38</v>
      </c>
      <c r="AK1422">
        <v>8.97</v>
      </c>
      <c r="AL1422">
        <v>2</v>
      </c>
      <c r="AM1422">
        <v>10.03</v>
      </c>
      <c r="AN1422">
        <v>-5.06</v>
      </c>
      <c r="AO1422">
        <v>16.5</v>
      </c>
      <c r="AP1422">
        <v>-2.27</v>
      </c>
    </row>
    <row r="1423" spans="1:42">
      <c r="A1423">
        <v>1422</v>
      </c>
      <c r="B1423" t="str">
        <f>"002601"</f>
        <v>002601</v>
      </c>
      <c r="C1423" t="s">
        <v>8825</v>
      </c>
      <c r="D1423">
        <v>17.16</v>
      </c>
      <c r="E1423">
        <v>-0.58</v>
      </c>
      <c r="F1423">
        <v>-0.1</v>
      </c>
      <c r="G1423" t="s">
        <v>5009</v>
      </c>
      <c r="H1423">
        <v>1168</v>
      </c>
      <c r="I1423">
        <v>17.15</v>
      </c>
      <c r="J1423">
        <v>17.16</v>
      </c>
      <c r="K1423" t="s">
        <v>7524</v>
      </c>
      <c r="L1423">
        <v>0.56</v>
      </c>
      <c r="M1423" t="s">
        <v>46</v>
      </c>
      <c r="N1423" t="s">
        <v>8826</v>
      </c>
      <c r="O1423">
        <v>17.35</v>
      </c>
      <c r="P1423">
        <v>16.95</v>
      </c>
      <c r="Q1423">
        <v>17.26</v>
      </c>
      <c r="R1423">
        <v>17.26</v>
      </c>
      <c r="S1423">
        <v>2.32</v>
      </c>
      <c r="T1423">
        <v>1.04</v>
      </c>
      <c r="U1423">
        <v>-54.54</v>
      </c>
      <c r="V1423">
        <v>-1315</v>
      </c>
      <c r="W1423">
        <v>17.1</v>
      </c>
      <c r="X1423" t="s">
        <v>4421</v>
      </c>
      <c r="Y1423" t="s">
        <v>4970</v>
      </c>
      <c r="Z1423">
        <v>1.45</v>
      </c>
      <c r="AA1423">
        <v>174</v>
      </c>
      <c r="AB1423">
        <v>151</v>
      </c>
      <c r="AC1423">
        <v>1.81</v>
      </c>
      <c r="AD1423" t="s">
        <v>8827</v>
      </c>
      <c r="AE1423" t="s">
        <v>8828</v>
      </c>
      <c r="AF1423" t="s">
        <v>3797</v>
      </c>
      <c r="AG1423" t="s">
        <v>8829</v>
      </c>
      <c r="AH1423">
        <v>-3.49</v>
      </c>
      <c r="AI1423">
        <v>-1.55</v>
      </c>
      <c r="AJ1423">
        <v>1.62</v>
      </c>
      <c r="AK1423">
        <v>3.25</v>
      </c>
      <c r="AL1423">
        <v>-3</v>
      </c>
      <c r="AM1423">
        <v>-0.58</v>
      </c>
      <c r="AN1423">
        <v>-4.77</v>
      </c>
      <c r="AO1423">
        <v>-4.45</v>
      </c>
      <c r="AP1423">
        <v>3.44</v>
      </c>
    </row>
    <row r="1424" spans="1:42">
      <c r="A1424">
        <v>1423</v>
      </c>
      <c r="B1424" t="str">
        <f>"002341"</f>
        <v>002341</v>
      </c>
      <c r="C1424" t="s">
        <v>8830</v>
      </c>
      <c r="D1424">
        <v>4.05</v>
      </c>
      <c r="E1424">
        <v>-0.74</v>
      </c>
      <c r="F1424">
        <v>-0.03</v>
      </c>
      <c r="G1424" t="s">
        <v>3998</v>
      </c>
      <c r="H1424">
        <v>8220</v>
      </c>
      <c r="I1424">
        <v>4.05</v>
      </c>
      <c r="J1424">
        <v>4.06</v>
      </c>
      <c r="K1424" t="s">
        <v>7524</v>
      </c>
      <c r="L1424">
        <v>3.04</v>
      </c>
      <c r="M1424" t="s">
        <v>46</v>
      </c>
      <c r="N1424" t="s">
        <v>2892</v>
      </c>
      <c r="O1424">
        <v>4.1</v>
      </c>
      <c r="P1424">
        <v>4.01</v>
      </c>
      <c r="Q1424">
        <v>4.08</v>
      </c>
      <c r="R1424">
        <v>4.08</v>
      </c>
      <c r="S1424">
        <v>2.21</v>
      </c>
      <c r="T1424">
        <v>0.55</v>
      </c>
      <c r="U1424">
        <v>-19.56</v>
      </c>
      <c r="V1424" t="s">
        <v>8831</v>
      </c>
      <c r="W1424">
        <v>4.05</v>
      </c>
      <c r="X1424" t="s">
        <v>4161</v>
      </c>
      <c r="Y1424" t="s">
        <v>2047</v>
      </c>
      <c r="Z1424">
        <v>1.13</v>
      </c>
      <c r="AA1424">
        <v>2920</v>
      </c>
      <c r="AB1424">
        <v>7254</v>
      </c>
      <c r="AC1424">
        <v>5.57</v>
      </c>
      <c r="AD1424" t="s">
        <v>896</v>
      </c>
      <c r="AE1424" t="s">
        <v>8832</v>
      </c>
      <c r="AF1424" t="s">
        <v>906</v>
      </c>
      <c r="AG1424" t="s">
        <v>8833</v>
      </c>
      <c r="AH1424">
        <v>-0.25</v>
      </c>
      <c r="AI1424">
        <v>-3.11</v>
      </c>
      <c r="AJ1424">
        <v>10.25</v>
      </c>
      <c r="AK1424">
        <v>30.6</v>
      </c>
      <c r="AL1424">
        <v>-1</v>
      </c>
      <c r="AM1424">
        <v>-0.74</v>
      </c>
      <c r="AN1424">
        <v>16.05</v>
      </c>
      <c r="AO1424">
        <v>6.86</v>
      </c>
      <c r="AP1424">
        <v>2.02</v>
      </c>
    </row>
    <row r="1425" spans="1:42">
      <c r="A1425">
        <v>1424</v>
      </c>
      <c r="B1425" t="str">
        <f>"001376"</f>
        <v>001376</v>
      </c>
      <c r="C1425" t="s">
        <v>8834</v>
      </c>
      <c r="D1425">
        <v>23.34</v>
      </c>
      <c r="E1425">
        <v>1.61</v>
      </c>
      <c r="F1425">
        <v>0.37</v>
      </c>
      <c r="G1425" t="s">
        <v>7126</v>
      </c>
      <c r="H1425">
        <v>1404</v>
      </c>
      <c r="I1425">
        <v>23.34</v>
      </c>
      <c r="J1425">
        <v>23.35</v>
      </c>
      <c r="K1425" t="s">
        <v>7524</v>
      </c>
      <c r="L1425">
        <v>13.25</v>
      </c>
      <c r="M1425" t="s">
        <v>46</v>
      </c>
      <c r="N1425" t="s">
        <v>8835</v>
      </c>
      <c r="O1425">
        <v>23.46</v>
      </c>
      <c r="P1425">
        <v>22.8</v>
      </c>
      <c r="Q1425">
        <v>23</v>
      </c>
      <c r="R1425">
        <v>22.97</v>
      </c>
      <c r="S1425">
        <v>2.87</v>
      </c>
      <c r="T1425">
        <v>0.56</v>
      </c>
      <c r="U1425">
        <v>17.37</v>
      </c>
      <c r="V1425">
        <v>348</v>
      </c>
      <c r="W1425">
        <v>23.21</v>
      </c>
      <c r="X1425" t="s">
        <v>6097</v>
      </c>
      <c r="Y1425" t="s">
        <v>6431</v>
      </c>
      <c r="Z1425">
        <v>0.9</v>
      </c>
      <c r="AA1425">
        <v>185</v>
      </c>
      <c r="AB1425">
        <v>269</v>
      </c>
      <c r="AC1425">
        <v>10.68</v>
      </c>
      <c r="AD1425" t="s">
        <v>8836</v>
      </c>
      <c r="AE1425" t="s">
        <v>355</v>
      </c>
      <c r="AF1425" t="s">
        <v>8002</v>
      </c>
      <c r="AG1425" t="s">
        <v>8837</v>
      </c>
      <c r="AH1425">
        <v>-3.15</v>
      </c>
      <c r="AI1425">
        <v>-22.2</v>
      </c>
      <c r="AJ1425">
        <v>47.02</v>
      </c>
      <c r="AK1425">
        <v>132.08</v>
      </c>
      <c r="AL1425">
        <v>1</v>
      </c>
      <c r="AM1425">
        <v>1.61</v>
      </c>
      <c r="AN1425">
        <v>411.84</v>
      </c>
      <c r="AO1425">
        <v>-40</v>
      </c>
      <c r="AP1425">
        <v>411.84</v>
      </c>
    </row>
    <row r="1426" spans="1:42">
      <c r="A1426">
        <v>1425</v>
      </c>
      <c r="B1426" t="str">
        <f>"300558"</f>
        <v>300558</v>
      </c>
      <c r="C1426" t="s">
        <v>8838</v>
      </c>
      <c r="D1426">
        <v>56.39</v>
      </c>
      <c r="E1426">
        <v>-1.05</v>
      </c>
      <c r="F1426">
        <v>-0.6</v>
      </c>
      <c r="G1426" t="s">
        <v>3110</v>
      </c>
      <c r="H1426">
        <v>129</v>
      </c>
      <c r="I1426">
        <v>56.38</v>
      </c>
      <c r="J1426">
        <v>56.39</v>
      </c>
      <c r="K1426" t="s">
        <v>7524</v>
      </c>
      <c r="L1426">
        <v>0.6</v>
      </c>
      <c r="M1426" t="s">
        <v>46</v>
      </c>
      <c r="N1426" t="s">
        <v>8839</v>
      </c>
      <c r="O1426">
        <v>57.17</v>
      </c>
      <c r="P1426">
        <v>56</v>
      </c>
      <c r="Q1426">
        <v>57.04</v>
      </c>
      <c r="R1426">
        <v>56.99</v>
      </c>
      <c r="S1426">
        <v>2.05</v>
      </c>
      <c r="T1426">
        <v>0.84</v>
      </c>
      <c r="U1426">
        <v>56.8</v>
      </c>
      <c r="V1426">
        <v>71</v>
      </c>
      <c r="W1426">
        <v>56.4</v>
      </c>
      <c r="X1426" t="s">
        <v>1777</v>
      </c>
      <c r="Y1426" t="s">
        <v>189</v>
      </c>
      <c r="Z1426">
        <v>1.15</v>
      </c>
      <c r="AA1426">
        <v>5</v>
      </c>
      <c r="AB1426">
        <v>3</v>
      </c>
      <c r="AC1426">
        <v>4.5</v>
      </c>
      <c r="AD1426" t="s">
        <v>8840</v>
      </c>
      <c r="AE1426" t="s">
        <v>8841</v>
      </c>
      <c r="AF1426" t="s">
        <v>8842</v>
      </c>
      <c r="AG1426" t="s">
        <v>8843</v>
      </c>
      <c r="AH1426">
        <v>-0.9</v>
      </c>
      <c r="AI1426">
        <v>0.18</v>
      </c>
      <c r="AJ1426">
        <v>2</v>
      </c>
      <c r="AK1426">
        <v>4.2</v>
      </c>
      <c r="AL1426">
        <v>-2</v>
      </c>
      <c r="AM1426">
        <v>-1.05</v>
      </c>
      <c r="AN1426">
        <v>14.61</v>
      </c>
      <c r="AO1426">
        <v>-5.73</v>
      </c>
      <c r="AP1426">
        <v>9.64</v>
      </c>
    </row>
    <row r="1427" spans="1:42">
      <c r="A1427">
        <v>1426</v>
      </c>
      <c r="B1427" t="str">
        <f>"300203"</f>
        <v>300203</v>
      </c>
      <c r="C1427" t="s">
        <v>8844</v>
      </c>
      <c r="D1427">
        <v>18.96</v>
      </c>
      <c r="E1427">
        <v>-2.72</v>
      </c>
      <c r="F1427">
        <v>-0.53</v>
      </c>
      <c r="G1427" t="s">
        <v>970</v>
      </c>
      <c r="H1427">
        <v>390</v>
      </c>
      <c r="I1427">
        <v>18.96</v>
      </c>
      <c r="J1427">
        <v>18.98</v>
      </c>
      <c r="K1427" t="s">
        <v>7524</v>
      </c>
      <c r="L1427">
        <v>1.64</v>
      </c>
      <c r="M1427" t="s">
        <v>46</v>
      </c>
      <c r="N1427" t="s">
        <v>5809</v>
      </c>
      <c r="O1427">
        <v>19.45</v>
      </c>
      <c r="P1427">
        <v>18.86</v>
      </c>
      <c r="Q1427">
        <v>19.45</v>
      </c>
      <c r="R1427">
        <v>19.49</v>
      </c>
      <c r="S1427">
        <v>3.03</v>
      </c>
      <c r="T1427">
        <v>0.88</v>
      </c>
      <c r="U1427">
        <v>5.11</v>
      </c>
      <c r="V1427">
        <v>17</v>
      </c>
      <c r="W1427">
        <v>19.07</v>
      </c>
      <c r="X1427" t="s">
        <v>6794</v>
      </c>
      <c r="Y1427" t="s">
        <v>7531</v>
      </c>
      <c r="Z1427">
        <v>1.1</v>
      </c>
      <c r="AA1427">
        <v>12</v>
      </c>
      <c r="AB1427">
        <v>17</v>
      </c>
      <c r="AC1427">
        <v>2.81</v>
      </c>
      <c r="AD1427" t="s">
        <v>8845</v>
      </c>
      <c r="AE1427" t="s">
        <v>8846</v>
      </c>
      <c r="AF1427" t="s">
        <v>8847</v>
      </c>
      <c r="AG1427" t="s">
        <v>8848</v>
      </c>
      <c r="AH1427">
        <v>6.22</v>
      </c>
      <c r="AI1427">
        <v>3.55</v>
      </c>
      <c r="AJ1427">
        <v>7.95</v>
      </c>
      <c r="AK1427">
        <v>10.93</v>
      </c>
      <c r="AL1427">
        <v>-1</v>
      </c>
      <c r="AM1427">
        <v>-2.72</v>
      </c>
      <c r="AN1427">
        <v>-44.07</v>
      </c>
      <c r="AO1427">
        <v>5.86</v>
      </c>
      <c r="AP1427">
        <v>-46.36</v>
      </c>
    </row>
    <row r="1428" spans="1:42">
      <c r="A1428">
        <v>1427</v>
      </c>
      <c r="B1428" t="str">
        <f>"300096"</f>
        <v>300096</v>
      </c>
      <c r="C1428" t="s">
        <v>8849</v>
      </c>
      <c r="D1428">
        <v>6.97</v>
      </c>
      <c r="E1428">
        <v>3.11</v>
      </c>
      <c r="F1428">
        <v>0.21</v>
      </c>
      <c r="G1428" t="s">
        <v>509</v>
      </c>
      <c r="H1428">
        <v>4357</v>
      </c>
      <c r="I1428">
        <v>6.96</v>
      </c>
      <c r="J1428">
        <v>6.98</v>
      </c>
      <c r="K1428" t="s">
        <v>6281</v>
      </c>
      <c r="L1428">
        <v>5.46</v>
      </c>
      <c r="M1428" t="s">
        <v>46</v>
      </c>
      <c r="N1428" t="s">
        <v>2996</v>
      </c>
      <c r="O1428">
        <v>7.01</v>
      </c>
      <c r="P1428">
        <v>6.66</v>
      </c>
      <c r="Q1428">
        <v>6.81</v>
      </c>
      <c r="R1428">
        <v>6.76</v>
      </c>
      <c r="S1428">
        <v>5.18</v>
      </c>
      <c r="T1428">
        <v>0.94</v>
      </c>
      <c r="U1428">
        <v>-37.85</v>
      </c>
      <c r="V1428">
        <v>-2639</v>
      </c>
      <c r="W1428">
        <v>6.88</v>
      </c>
      <c r="X1428" t="s">
        <v>82</v>
      </c>
      <c r="Y1428" t="s">
        <v>4369</v>
      </c>
      <c r="Z1428">
        <v>0.81</v>
      </c>
      <c r="AA1428">
        <v>1049</v>
      </c>
      <c r="AB1428">
        <v>908</v>
      </c>
      <c r="AC1428">
        <v>6.85</v>
      </c>
      <c r="AD1428" t="s">
        <v>8850</v>
      </c>
      <c r="AE1428" t="s">
        <v>8851</v>
      </c>
      <c r="AF1428" t="s">
        <v>8852</v>
      </c>
      <c r="AG1428" t="s">
        <v>8853</v>
      </c>
      <c r="AH1428">
        <v>-3.86</v>
      </c>
      <c r="AI1428">
        <v>-4.65</v>
      </c>
      <c r="AJ1428">
        <v>23.25</v>
      </c>
      <c r="AK1428">
        <v>34.39</v>
      </c>
      <c r="AL1428">
        <v>1</v>
      </c>
      <c r="AM1428">
        <v>3.11</v>
      </c>
      <c r="AN1428">
        <v>16.17</v>
      </c>
      <c r="AO1428">
        <v>4.19</v>
      </c>
      <c r="AP1428">
        <v>7.23</v>
      </c>
    </row>
    <row r="1429" spans="1:42">
      <c r="A1429">
        <v>1428</v>
      </c>
      <c r="B1429" t="str">
        <f>"002795"</f>
        <v>002795</v>
      </c>
      <c r="C1429" t="s">
        <v>8854</v>
      </c>
      <c r="D1429">
        <v>8.55</v>
      </c>
      <c r="E1429">
        <v>0.59</v>
      </c>
      <c r="F1429">
        <v>0.05</v>
      </c>
      <c r="G1429" t="s">
        <v>3143</v>
      </c>
      <c r="H1429">
        <v>1511</v>
      </c>
      <c r="I1429">
        <v>8.55</v>
      </c>
      <c r="J1429">
        <v>8.56</v>
      </c>
      <c r="K1429" t="s">
        <v>6281</v>
      </c>
      <c r="L1429">
        <v>3.79</v>
      </c>
      <c r="M1429" t="s">
        <v>46</v>
      </c>
      <c r="N1429" t="s">
        <v>1846</v>
      </c>
      <c r="O1429">
        <v>8.95</v>
      </c>
      <c r="P1429">
        <v>8.44</v>
      </c>
      <c r="Q1429">
        <v>8.52</v>
      </c>
      <c r="R1429">
        <v>8.5</v>
      </c>
      <c r="S1429">
        <v>6</v>
      </c>
      <c r="T1429">
        <v>1.71</v>
      </c>
      <c r="U1429">
        <v>47.27</v>
      </c>
      <c r="V1429">
        <v>2922</v>
      </c>
      <c r="W1429">
        <v>8.64</v>
      </c>
      <c r="X1429" t="s">
        <v>6324</v>
      </c>
      <c r="Y1429" t="s">
        <v>3350</v>
      </c>
      <c r="Z1429">
        <v>1.19</v>
      </c>
      <c r="AA1429">
        <v>177</v>
      </c>
      <c r="AB1429">
        <v>117</v>
      </c>
      <c r="AC1429">
        <v>4.31</v>
      </c>
      <c r="AD1429" t="s">
        <v>8855</v>
      </c>
      <c r="AE1429" t="s">
        <v>5195</v>
      </c>
      <c r="AF1429" t="s">
        <v>8736</v>
      </c>
      <c r="AG1429" t="s">
        <v>8856</v>
      </c>
      <c r="AH1429">
        <v>2.64</v>
      </c>
      <c r="AI1429">
        <v>-2.51</v>
      </c>
      <c r="AJ1429">
        <v>8.51</v>
      </c>
      <c r="AK1429">
        <v>14.9</v>
      </c>
      <c r="AL1429">
        <v>2</v>
      </c>
      <c r="AM1429">
        <v>0.59</v>
      </c>
      <c r="AN1429">
        <v>34.22</v>
      </c>
      <c r="AO1429">
        <v>-4.04</v>
      </c>
      <c r="AP1429">
        <v>27.04</v>
      </c>
    </row>
    <row r="1430" spans="1:42">
      <c r="A1430">
        <v>1429</v>
      </c>
      <c r="B1430" t="str">
        <f>"000736"</f>
        <v>000736</v>
      </c>
      <c r="C1430" t="s">
        <v>8857</v>
      </c>
      <c r="D1430">
        <v>10.8</v>
      </c>
      <c r="E1430">
        <v>1.22</v>
      </c>
      <c r="F1430">
        <v>0.13</v>
      </c>
      <c r="G1430" t="s">
        <v>1987</v>
      </c>
      <c r="H1430">
        <v>2715</v>
      </c>
      <c r="I1430">
        <v>10.79</v>
      </c>
      <c r="J1430">
        <v>10.8</v>
      </c>
      <c r="K1430" t="s">
        <v>6281</v>
      </c>
      <c r="L1430">
        <v>1.89</v>
      </c>
      <c r="M1430" t="s">
        <v>46</v>
      </c>
      <c r="N1430" t="s">
        <v>8858</v>
      </c>
      <c r="O1430">
        <v>10.85</v>
      </c>
      <c r="P1430">
        <v>10.63</v>
      </c>
      <c r="Q1430">
        <v>10.67</v>
      </c>
      <c r="R1430">
        <v>10.67</v>
      </c>
      <c r="S1430">
        <v>2.06</v>
      </c>
      <c r="T1430">
        <v>0.6</v>
      </c>
      <c r="U1430">
        <v>18.41</v>
      </c>
      <c r="V1430">
        <v>828</v>
      </c>
      <c r="W1430">
        <v>10.76</v>
      </c>
      <c r="X1430" t="s">
        <v>8859</v>
      </c>
      <c r="Y1430" t="s">
        <v>4746</v>
      </c>
      <c r="Z1430">
        <v>1.11</v>
      </c>
      <c r="AA1430">
        <v>688</v>
      </c>
      <c r="AB1430">
        <v>407</v>
      </c>
      <c r="AC1430">
        <v>3.33</v>
      </c>
      <c r="AD1430" t="s">
        <v>8860</v>
      </c>
      <c r="AE1430" t="s">
        <v>8861</v>
      </c>
      <c r="AF1430" t="s">
        <v>8860</v>
      </c>
      <c r="AG1430" t="s">
        <v>8861</v>
      </c>
      <c r="AH1430">
        <v>-3.49</v>
      </c>
      <c r="AI1430">
        <v>-9.47</v>
      </c>
      <c r="AJ1430">
        <v>6.19</v>
      </c>
      <c r="AK1430">
        <v>17.64</v>
      </c>
      <c r="AL1430">
        <v>1</v>
      </c>
      <c r="AM1430">
        <v>1.22</v>
      </c>
      <c r="AN1430">
        <v>-39.66</v>
      </c>
      <c r="AO1430">
        <v>-2.96</v>
      </c>
      <c r="AP1430">
        <v>-13.94</v>
      </c>
    </row>
    <row r="1431" spans="1:42">
      <c r="A1431">
        <v>1430</v>
      </c>
      <c r="B1431" t="str">
        <f>"002424"</f>
        <v>002424</v>
      </c>
      <c r="C1431" t="s">
        <v>8862</v>
      </c>
      <c r="D1431">
        <v>8.26</v>
      </c>
      <c r="E1431">
        <v>-0.24</v>
      </c>
      <c r="F1431">
        <v>-0.02</v>
      </c>
      <c r="G1431" t="s">
        <v>172</v>
      </c>
      <c r="H1431">
        <v>2797</v>
      </c>
      <c r="I1431">
        <v>8.26</v>
      </c>
      <c r="J1431">
        <v>8.27</v>
      </c>
      <c r="K1431" t="s">
        <v>6281</v>
      </c>
      <c r="L1431">
        <v>1.42</v>
      </c>
      <c r="M1431" t="s">
        <v>46</v>
      </c>
      <c r="N1431" t="s">
        <v>5034</v>
      </c>
      <c r="O1431">
        <v>8.37</v>
      </c>
      <c r="P1431">
        <v>8.21</v>
      </c>
      <c r="Q1431">
        <v>8.26</v>
      </c>
      <c r="R1431">
        <v>8.28</v>
      </c>
      <c r="S1431">
        <v>1.93</v>
      </c>
      <c r="T1431">
        <v>0.57</v>
      </c>
      <c r="U1431">
        <v>15.31</v>
      </c>
      <c r="V1431">
        <v>2012</v>
      </c>
      <c r="W1431">
        <v>8.28</v>
      </c>
      <c r="X1431" t="s">
        <v>1849</v>
      </c>
      <c r="Y1431" t="s">
        <v>3759</v>
      </c>
      <c r="Z1431">
        <v>1.14</v>
      </c>
      <c r="AA1431">
        <v>637</v>
      </c>
      <c r="AB1431">
        <v>2153</v>
      </c>
      <c r="AC1431">
        <v>2.89</v>
      </c>
      <c r="AD1431" t="s">
        <v>8863</v>
      </c>
      <c r="AE1431" t="s">
        <v>8864</v>
      </c>
      <c r="AF1431" t="s">
        <v>8865</v>
      </c>
      <c r="AG1431" t="s">
        <v>8866</v>
      </c>
      <c r="AH1431">
        <v>-2.02</v>
      </c>
      <c r="AI1431">
        <v>-2.48</v>
      </c>
      <c r="AJ1431">
        <v>4.47</v>
      </c>
      <c r="AK1431">
        <v>13.8</v>
      </c>
      <c r="AL1431">
        <v>-1</v>
      </c>
      <c r="AM1431">
        <v>-0.24</v>
      </c>
      <c r="AN1431">
        <v>1.23</v>
      </c>
      <c r="AO1431">
        <v>-0.6</v>
      </c>
      <c r="AP1431">
        <v>7.55</v>
      </c>
    </row>
    <row r="1432" spans="1:42">
      <c r="A1432">
        <v>1431</v>
      </c>
      <c r="B1432" t="str">
        <f>"600901"</f>
        <v>600901</v>
      </c>
      <c r="C1432" t="s">
        <v>8867</v>
      </c>
      <c r="D1432">
        <v>4.99</v>
      </c>
      <c r="E1432">
        <v>2.04</v>
      </c>
      <c r="F1432">
        <v>0.1</v>
      </c>
      <c r="G1432" t="s">
        <v>2213</v>
      </c>
      <c r="H1432">
        <v>1676</v>
      </c>
      <c r="I1432">
        <v>4.98</v>
      </c>
      <c r="J1432">
        <v>4.99</v>
      </c>
      <c r="K1432" t="s">
        <v>6281</v>
      </c>
      <c r="L1432">
        <v>0.67</v>
      </c>
      <c r="M1432" t="s">
        <v>46</v>
      </c>
      <c r="N1432" t="s">
        <v>8868</v>
      </c>
      <c r="O1432">
        <v>4.99</v>
      </c>
      <c r="P1432">
        <v>4.89</v>
      </c>
      <c r="Q1432">
        <v>4.9</v>
      </c>
      <c r="R1432">
        <v>4.89</v>
      </c>
      <c r="S1432">
        <v>2.04</v>
      </c>
      <c r="T1432">
        <v>1.52</v>
      </c>
      <c r="U1432">
        <v>-38</v>
      </c>
      <c r="V1432" t="s">
        <v>8869</v>
      </c>
      <c r="W1432">
        <v>4.96</v>
      </c>
      <c r="X1432" t="s">
        <v>740</v>
      </c>
      <c r="Y1432" t="s">
        <v>797</v>
      </c>
      <c r="Z1432">
        <v>0.57</v>
      </c>
      <c r="AA1432">
        <v>1341</v>
      </c>
      <c r="AB1432">
        <v>3008</v>
      </c>
      <c r="AC1432">
        <v>1.25</v>
      </c>
      <c r="AD1432" t="s">
        <v>8870</v>
      </c>
      <c r="AE1432" t="s">
        <v>8598</v>
      </c>
      <c r="AF1432" t="s">
        <v>8871</v>
      </c>
      <c r="AG1432" t="s">
        <v>8872</v>
      </c>
      <c r="AH1432">
        <v>2.46</v>
      </c>
      <c r="AI1432">
        <v>2.89</v>
      </c>
      <c r="AJ1432">
        <v>1.51</v>
      </c>
      <c r="AK1432">
        <v>2.87</v>
      </c>
      <c r="AL1432">
        <v>4</v>
      </c>
      <c r="AM1432">
        <v>2.04</v>
      </c>
      <c r="AN1432">
        <v>36.34</v>
      </c>
      <c r="AO1432">
        <v>7.31</v>
      </c>
      <c r="AP1432">
        <v>35.6</v>
      </c>
    </row>
    <row r="1433" spans="1:42">
      <c r="A1433">
        <v>1432</v>
      </c>
      <c r="B1433" t="str">
        <f>"002120"</f>
        <v>002120</v>
      </c>
      <c r="C1433" t="s">
        <v>8873</v>
      </c>
      <c r="D1433">
        <v>8.6</v>
      </c>
      <c r="E1433">
        <v>0.12</v>
      </c>
      <c r="F1433">
        <v>0.01</v>
      </c>
      <c r="G1433" t="s">
        <v>2047</v>
      </c>
      <c r="H1433">
        <v>789</v>
      </c>
      <c r="I1433">
        <v>8.59</v>
      </c>
      <c r="J1433">
        <v>8.6</v>
      </c>
      <c r="K1433" t="s">
        <v>6281</v>
      </c>
      <c r="L1433">
        <v>0.59</v>
      </c>
      <c r="M1433" t="s">
        <v>46</v>
      </c>
      <c r="N1433" t="s">
        <v>2380</v>
      </c>
      <c r="O1433">
        <v>8.62</v>
      </c>
      <c r="P1433">
        <v>8.48</v>
      </c>
      <c r="Q1433">
        <v>8.61</v>
      </c>
      <c r="R1433">
        <v>8.59</v>
      </c>
      <c r="S1433">
        <v>1.63</v>
      </c>
      <c r="T1433">
        <v>1</v>
      </c>
      <c r="U1433">
        <v>14.16</v>
      </c>
      <c r="V1433">
        <v>1687</v>
      </c>
      <c r="W1433">
        <v>8.54</v>
      </c>
      <c r="X1433" t="s">
        <v>7256</v>
      </c>
      <c r="Y1433" t="s">
        <v>3233</v>
      </c>
      <c r="Z1433">
        <v>1.11</v>
      </c>
      <c r="AA1433">
        <v>1675</v>
      </c>
      <c r="AB1433">
        <v>304</v>
      </c>
      <c r="AC1433">
        <v>1.38</v>
      </c>
      <c r="AD1433" t="s">
        <v>8874</v>
      </c>
      <c r="AE1433" t="s">
        <v>8875</v>
      </c>
      <c r="AF1433" t="s">
        <v>8876</v>
      </c>
      <c r="AG1433" t="s">
        <v>8877</v>
      </c>
      <c r="AH1433">
        <v>-2.6</v>
      </c>
      <c r="AI1433">
        <v>-3.48</v>
      </c>
      <c r="AJ1433">
        <v>1.68</v>
      </c>
      <c r="AK1433">
        <v>3.5</v>
      </c>
      <c r="AL1433">
        <v>1</v>
      </c>
      <c r="AM1433">
        <v>0.12</v>
      </c>
      <c r="AN1433">
        <v>-39.99</v>
      </c>
      <c r="AO1433">
        <v>-6.93</v>
      </c>
      <c r="AP1433">
        <v>-27.73</v>
      </c>
    </row>
    <row r="1434" spans="1:42">
      <c r="A1434">
        <v>1433</v>
      </c>
      <c r="B1434" t="str">
        <f>"688300"</f>
        <v>688300</v>
      </c>
      <c r="C1434" t="s">
        <v>8878</v>
      </c>
      <c r="D1434">
        <v>57.26</v>
      </c>
      <c r="E1434">
        <v>2.3</v>
      </c>
      <c r="F1434">
        <v>1.29</v>
      </c>
      <c r="G1434" t="s">
        <v>4013</v>
      </c>
      <c r="H1434">
        <v>554</v>
      </c>
      <c r="I1434">
        <v>57.26</v>
      </c>
      <c r="J1434">
        <v>57.29</v>
      </c>
      <c r="K1434" t="s">
        <v>6281</v>
      </c>
      <c r="L1434">
        <v>1.34</v>
      </c>
      <c r="M1434" t="s">
        <v>46</v>
      </c>
      <c r="N1434" t="s">
        <v>8879</v>
      </c>
      <c r="O1434">
        <v>57.5</v>
      </c>
      <c r="P1434">
        <v>55.33</v>
      </c>
      <c r="Q1434">
        <v>55.82</v>
      </c>
      <c r="R1434">
        <v>55.97</v>
      </c>
      <c r="S1434">
        <v>3.88</v>
      </c>
      <c r="T1434">
        <v>0.71</v>
      </c>
      <c r="U1434">
        <v>38.72</v>
      </c>
      <c r="V1434">
        <v>149</v>
      </c>
      <c r="W1434">
        <v>56.74</v>
      </c>
      <c r="X1434" t="s">
        <v>7974</v>
      </c>
      <c r="Y1434" t="s">
        <v>4717</v>
      </c>
      <c r="Z1434">
        <v>0.76</v>
      </c>
      <c r="AA1434">
        <v>36</v>
      </c>
      <c r="AB1434">
        <v>48</v>
      </c>
      <c r="AC1434">
        <v>8.19</v>
      </c>
      <c r="AD1434" t="s">
        <v>8880</v>
      </c>
      <c r="AE1434" t="s">
        <v>8881</v>
      </c>
      <c r="AF1434" t="s">
        <v>8880</v>
      </c>
      <c r="AG1434" t="s">
        <v>8881</v>
      </c>
      <c r="AH1434">
        <v>0.42</v>
      </c>
      <c r="AI1434">
        <v>-1.87</v>
      </c>
      <c r="AJ1434">
        <v>3.66</v>
      </c>
      <c r="AK1434">
        <v>10.77</v>
      </c>
      <c r="AL1434">
        <v>1</v>
      </c>
      <c r="AM1434">
        <v>2.3</v>
      </c>
      <c r="AN1434">
        <v>76.89</v>
      </c>
      <c r="AO1434">
        <v>25.57</v>
      </c>
      <c r="AP1434">
        <v>64.87</v>
      </c>
    </row>
    <row r="1435" spans="1:42">
      <c r="A1435">
        <v>1434</v>
      </c>
      <c r="B1435" t="str">
        <f>"000838"</f>
        <v>000838</v>
      </c>
      <c r="C1435" t="s">
        <v>8882</v>
      </c>
      <c r="D1435">
        <v>3.85</v>
      </c>
      <c r="E1435">
        <v>10</v>
      </c>
      <c r="F1435">
        <v>0.35</v>
      </c>
      <c r="G1435" t="s">
        <v>1242</v>
      </c>
      <c r="H1435">
        <v>1088</v>
      </c>
      <c r="I1435">
        <v>3.85</v>
      </c>
      <c r="J1435" t="s">
        <v>76</v>
      </c>
      <c r="K1435" t="s">
        <v>6281</v>
      </c>
      <c r="L1435">
        <v>3.58</v>
      </c>
      <c r="M1435" t="s">
        <v>46</v>
      </c>
      <c r="N1435" t="s">
        <v>4564</v>
      </c>
      <c r="O1435">
        <v>3.85</v>
      </c>
      <c r="P1435">
        <v>3.48</v>
      </c>
      <c r="Q1435">
        <v>3.5</v>
      </c>
      <c r="R1435">
        <v>3.5</v>
      </c>
      <c r="S1435">
        <v>10.57</v>
      </c>
      <c r="T1435">
        <v>1.14</v>
      </c>
      <c r="U1435">
        <v>100</v>
      </c>
      <c r="V1435" t="s">
        <v>4628</v>
      </c>
      <c r="W1435">
        <v>3.73</v>
      </c>
      <c r="X1435" t="s">
        <v>1786</v>
      </c>
      <c r="Y1435" t="s">
        <v>561</v>
      </c>
      <c r="Z1435">
        <v>1.34</v>
      </c>
      <c r="AA1435" t="s">
        <v>1509</v>
      </c>
      <c r="AB1435">
        <v>0</v>
      </c>
      <c r="AC1435">
        <v>4.14</v>
      </c>
      <c r="AD1435" t="s">
        <v>8883</v>
      </c>
      <c r="AE1435" t="s">
        <v>8884</v>
      </c>
      <c r="AF1435" t="s">
        <v>910</v>
      </c>
      <c r="AG1435" t="s">
        <v>8885</v>
      </c>
      <c r="AH1435">
        <v>8.15</v>
      </c>
      <c r="AI1435">
        <v>3.77</v>
      </c>
      <c r="AJ1435">
        <v>7.33</v>
      </c>
      <c r="AK1435">
        <v>19.26</v>
      </c>
      <c r="AL1435">
        <v>2</v>
      </c>
      <c r="AM1435">
        <v>10</v>
      </c>
      <c r="AN1435">
        <v>-28.31</v>
      </c>
      <c r="AO1435">
        <v>10.63</v>
      </c>
      <c r="AP1435">
        <v>-26.25</v>
      </c>
    </row>
    <row r="1436" spans="1:42">
      <c r="A1436">
        <v>1435</v>
      </c>
      <c r="B1436" t="str">
        <f>"300606"</f>
        <v>300606</v>
      </c>
      <c r="C1436" t="s">
        <v>8886</v>
      </c>
      <c r="D1436">
        <v>35.53</v>
      </c>
      <c r="E1436">
        <v>0.2</v>
      </c>
      <c r="F1436">
        <v>0.07</v>
      </c>
      <c r="G1436" t="s">
        <v>3318</v>
      </c>
      <c r="H1436">
        <v>463</v>
      </c>
      <c r="I1436">
        <v>35.52</v>
      </c>
      <c r="J1436">
        <v>35.53</v>
      </c>
      <c r="K1436" t="s">
        <v>6281</v>
      </c>
      <c r="L1436">
        <v>3.37</v>
      </c>
      <c r="M1436" t="s">
        <v>46</v>
      </c>
      <c r="N1436" t="s">
        <v>3660</v>
      </c>
      <c r="O1436">
        <v>36.17</v>
      </c>
      <c r="P1436">
        <v>34.72</v>
      </c>
      <c r="Q1436">
        <v>35.79</v>
      </c>
      <c r="R1436">
        <v>35.46</v>
      </c>
      <c r="S1436">
        <v>4.09</v>
      </c>
      <c r="T1436">
        <v>0.69</v>
      </c>
      <c r="U1436">
        <v>64.17</v>
      </c>
      <c r="V1436">
        <v>262</v>
      </c>
      <c r="W1436">
        <v>35.55</v>
      </c>
      <c r="X1436" t="s">
        <v>1280</v>
      </c>
      <c r="Y1436" t="s">
        <v>1455</v>
      </c>
      <c r="Z1436">
        <v>1.02</v>
      </c>
      <c r="AA1436">
        <v>23</v>
      </c>
      <c r="AB1436">
        <v>52</v>
      </c>
      <c r="AC1436">
        <v>7.77</v>
      </c>
      <c r="AD1436" t="s">
        <v>8887</v>
      </c>
      <c r="AE1436" t="s">
        <v>8888</v>
      </c>
      <c r="AF1436" t="s">
        <v>8889</v>
      </c>
      <c r="AG1436" t="s">
        <v>8890</v>
      </c>
      <c r="AH1436">
        <v>-1.47</v>
      </c>
      <c r="AI1436">
        <v>3.68</v>
      </c>
      <c r="AJ1436">
        <v>10.98</v>
      </c>
      <c r="AK1436">
        <v>27.75</v>
      </c>
      <c r="AL1436">
        <v>1</v>
      </c>
      <c r="AM1436">
        <v>0.2</v>
      </c>
      <c r="AN1436">
        <v>202.64</v>
      </c>
      <c r="AO1436">
        <v>1.66</v>
      </c>
      <c r="AP1436">
        <v>173.1</v>
      </c>
    </row>
    <row r="1437" spans="1:42">
      <c r="A1437">
        <v>1436</v>
      </c>
      <c r="B1437" t="str">
        <f>"300146"</f>
        <v>300146</v>
      </c>
      <c r="C1437" t="s">
        <v>8891</v>
      </c>
      <c r="D1437">
        <v>18.23</v>
      </c>
      <c r="E1437">
        <v>-0.38</v>
      </c>
      <c r="F1437">
        <v>-0.07</v>
      </c>
      <c r="G1437" t="s">
        <v>2534</v>
      </c>
      <c r="H1437">
        <v>743</v>
      </c>
      <c r="I1437">
        <v>18.22</v>
      </c>
      <c r="J1437">
        <v>18.23</v>
      </c>
      <c r="K1437" t="s">
        <v>6281</v>
      </c>
      <c r="L1437">
        <v>0.68</v>
      </c>
      <c r="M1437" t="s">
        <v>46</v>
      </c>
      <c r="N1437" t="s">
        <v>4649</v>
      </c>
      <c r="O1437">
        <v>18.4</v>
      </c>
      <c r="P1437">
        <v>18.05</v>
      </c>
      <c r="Q1437">
        <v>18.26</v>
      </c>
      <c r="R1437">
        <v>18.3</v>
      </c>
      <c r="S1437">
        <v>1.91</v>
      </c>
      <c r="T1437">
        <v>0.97</v>
      </c>
      <c r="U1437">
        <v>-24.27</v>
      </c>
      <c r="V1437">
        <v>-346</v>
      </c>
      <c r="W1437">
        <v>18.22</v>
      </c>
      <c r="X1437" t="s">
        <v>616</v>
      </c>
      <c r="Y1437" t="s">
        <v>4915</v>
      </c>
      <c r="Z1437">
        <v>1.29</v>
      </c>
      <c r="AA1437">
        <v>10</v>
      </c>
      <c r="AB1437">
        <v>9</v>
      </c>
      <c r="AC1437">
        <v>2.53</v>
      </c>
      <c r="AD1437" t="s">
        <v>8511</v>
      </c>
      <c r="AE1437" t="s">
        <v>8892</v>
      </c>
      <c r="AF1437" t="s">
        <v>8893</v>
      </c>
      <c r="AG1437" t="s">
        <v>8894</v>
      </c>
      <c r="AH1437">
        <v>-0.16</v>
      </c>
      <c r="AI1437">
        <v>-0.38</v>
      </c>
      <c r="AJ1437">
        <v>1.83</v>
      </c>
      <c r="AK1437">
        <v>4.21</v>
      </c>
      <c r="AL1437">
        <v>-1</v>
      </c>
      <c r="AM1437">
        <v>-0.38</v>
      </c>
      <c r="AN1437">
        <v>-19.48</v>
      </c>
      <c r="AO1437">
        <v>0</v>
      </c>
      <c r="AP1437">
        <v>-8.48</v>
      </c>
    </row>
    <row r="1438" spans="1:42">
      <c r="A1438">
        <v>1437</v>
      </c>
      <c r="B1438" t="str">
        <f>"000969"</f>
        <v>000969</v>
      </c>
      <c r="C1438" t="s">
        <v>8895</v>
      </c>
      <c r="D1438">
        <v>9.6</v>
      </c>
      <c r="E1438">
        <v>-0.41</v>
      </c>
      <c r="F1438">
        <v>-0.04</v>
      </c>
      <c r="G1438" t="s">
        <v>2217</v>
      </c>
      <c r="H1438">
        <v>2053</v>
      </c>
      <c r="I1438">
        <v>9.59</v>
      </c>
      <c r="J1438">
        <v>9.6</v>
      </c>
      <c r="K1438" t="s">
        <v>8896</v>
      </c>
      <c r="L1438">
        <v>1.43</v>
      </c>
      <c r="M1438" t="s">
        <v>46</v>
      </c>
      <c r="N1438" t="s">
        <v>7799</v>
      </c>
      <c r="O1438">
        <v>9.66</v>
      </c>
      <c r="P1438">
        <v>9.45</v>
      </c>
      <c r="Q1438">
        <v>9.66</v>
      </c>
      <c r="R1438">
        <v>9.64</v>
      </c>
      <c r="S1438">
        <v>2.18</v>
      </c>
      <c r="T1438">
        <v>0.88</v>
      </c>
      <c r="U1438">
        <v>-36.74</v>
      </c>
      <c r="V1438">
        <v>-3762</v>
      </c>
      <c r="W1438">
        <v>9.54</v>
      </c>
      <c r="X1438" t="s">
        <v>5828</v>
      </c>
      <c r="Y1438" t="s">
        <v>7394</v>
      </c>
      <c r="Z1438">
        <v>1.23</v>
      </c>
      <c r="AA1438">
        <v>228</v>
      </c>
      <c r="AB1438">
        <v>1066</v>
      </c>
      <c r="AC1438">
        <v>1.99</v>
      </c>
      <c r="AD1438" t="s">
        <v>8897</v>
      </c>
      <c r="AE1438" t="s">
        <v>8898</v>
      </c>
      <c r="AF1438" t="s">
        <v>6086</v>
      </c>
      <c r="AG1438" t="s">
        <v>8899</v>
      </c>
      <c r="AH1438">
        <v>-1.74</v>
      </c>
      <c r="AI1438">
        <v>-2.24</v>
      </c>
      <c r="AJ1438">
        <v>4.3</v>
      </c>
      <c r="AK1438">
        <v>9.58</v>
      </c>
      <c r="AL1438">
        <v>-2</v>
      </c>
      <c r="AM1438">
        <v>-0.41</v>
      </c>
      <c r="AN1438">
        <v>25.82</v>
      </c>
      <c r="AO1438">
        <v>2.78</v>
      </c>
      <c r="AP1438">
        <v>21.98</v>
      </c>
    </row>
    <row r="1439" spans="1:42">
      <c r="A1439">
        <v>1438</v>
      </c>
      <c r="B1439" t="str">
        <f>"603883"</f>
        <v>603883</v>
      </c>
      <c r="C1439" t="s">
        <v>8900</v>
      </c>
      <c r="D1439">
        <v>30.35</v>
      </c>
      <c r="E1439">
        <v>-0.65</v>
      </c>
      <c r="F1439">
        <v>-0.2</v>
      </c>
      <c r="G1439" t="s">
        <v>5644</v>
      </c>
      <c r="H1439">
        <v>252</v>
      </c>
      <c r="I1439">
        <v>30.33</v>
      </c>
      <c r="J1439">
        <v>30.35</v>
      </c>
      <c r="K1439" t="s">
        <v>8896</v>
      </c>
      <c r="L1439">
        <v>0.8</v>
      </c>
      <c r="M1439" t="s">
        <v>46</v>
      </c>
      <c r="N1439" t="s">
        <v>2010</v>
      </c>
      <c r="O1439">
        <v>30.6</v>
      </c>
      <c r="P1439">
        <v>29.9</v>
      </c>
      <c r="Q1439">
        <v>30.43</v>
      </c>
      <c r="R1439">
        <v>30.55</v>
      </c>
      <c r="S1439">
        <v>2.29</v>
      </c>
      <c r="T1439">
        <v>0.95</v>
      </c>
      <c r="U1439">
        <v>-13.97</v>
      </c>
      <c r="V1439">
        <v>-59</v>
      </c>
      <c r="W1439">
        <v>30.17</v>
      </c>
      <c r="X1439" t="s">
        <v>2818</v>
      </c>
      <c r="Y1439" t="s">
        <v>587</v>
      </c>
      <c r="Z1439">
        <v>1.03</v>
      </c>
      <c r="AA1439">
        <v>45</v>
      </c>
      <c r="AB1439">
        <v>11</v>
      </c>
      <c r="AC1439">
        <v>2.66</v>
      </c>
      <c r="AD1439" t="s">
        <v>1148</v>
      </c>
      <c r="AE1439" t="s">
        <v>8901</v>
      </c>
      <c r="AF1439" t="s">
        <v>8902</v>
      </c>
      <c r="AG1439" t="s">
        <v>8903</v>
      </c>
      <c r="AH1439">
        <v>0.3</v>
      </c>
      <c r="AI1439">
        <v>3.27</v>
      </c>
      <c r="AJ1439">
        <v>2.08</v>
      </c>
      <c r="AK1439">
        <v>5.02</v>
      </c>
      <c r="AL1439">
        <v>-1</v>
      </c>
      <c r="AM1439">
        <v>-0.65</v>
      </c>
      <c r="AN1439">
        <v>-24.07</v>
      </c>
      <c r="AO1439">
        <v>12.57</v>
      </c>
      <c r="AP1439">
        <v>-23.22</v>
      </c>
    </row>
    <row r="1440" spans="1:42">
      <c r="A1440">
        <v>1439</v>
      </c>
      <c r="B1440" t="str">
        <f>"002044"</f>
        <v>002044</v>
      </c>
      <c r="C1440" t="s">
        <v>8904</v>
      </c>
      <c r="D1440">
        <v>6.18</v>
      </c>
      <c r="E1440">
        <v>-0.16</v>
      </c>
      <c r="F1440">
        <v>-0.01</v>
      </c>
      <c r="G1440" t="s">
        <v>2351</v>
      </c>
      <c r="H1440">
        <v>1546</v>
      </c>
      <c r="I1440">
        <v>6.18</v>
      </c>
      <c r="J1440">
        <v>6.19</v>
      </c>
      <c r="K1440" t="s">
        <v>8896</v>
      </c>
      <c r="L1440">
        <v>0.59</v>
      </c>
      <c r="M1440" t="s">
        <v>46</v>
      </c>
      <c r="N1440" t="s">
        <v>8905</v>
      </c>
      <c r="O1440">
        <v>6.23</v>
      </c>
      <c r="P1440">
        <v>6.15</v>
      </c>
      <c r="Q1440">
        <v>6.18</v>
      </c>
      <c r="R1440">
        <v>6.19</v>
      </c>
      <c r="S1440">
        <v>1.29</v>
      </c>
      <c r="T1440">
        <v>1.06</v>
      </c>
      <c r="U1440">
        <v>-6.53</v>
      </c>
      <c r="V1440">
        <v>-1246</v>
      </c>
      <c r="W1440">
        <v>6.18</v>
      </c>
      <c r="X1440" t="s">
        <v>656</v>
      </c>
      <c r="Y1440" t="s">
        <v>4356</v>
      </c>
      <c r="Z1440">
        <v>0.98</v>
      </c>
      <c r="AA1440">
        <v>655</v>
      </c>
      <c r="AB1440">
        <v>636</v>
      </c>
      <c r="AC1440">
        <v>3.16</v>
      </c>
      <c r="AD1440" t="s">
        <v>8647</v>
      </c>
      <c r="AE1440" t="s">
        <v>8906</v>
      </c>
      <c r="AF1440" t="s">
        <v>8907</v>
      </c>
      <c r="AG1440" t="s">
        <v>8908</v>
      </c>
      <c r="AH1440">
        <v>-0.96</v>
      </c>
      <c r="AI1440">
        <v>-0.8</v>
      </c>
      <c r="AJ1440">
        <v>1.73</v>
      </c>
      <c r="AK1440">
        <v>3.35</v>
      </c>
      <c r="AL1440">
        <v>-1</v>
      </c>
      <c r="AM1440">
        <v>-0.16</v>
      </c>
      <c r="AN1440">
        <v>0.82</v>
      </c>
      <c r="AO1440">
        <v>1.81</v>
      </c>
      <c r="AP1440">
        <v>15.51</v>
      </c>
    </row>
    <row r="1441" spans="1:42">
      <c r="A1441">
        <v>1440</v>
      </c>
      <c r="B1441" t="str">
        <f>"600298"</f>
        <v>600298</v>
      </c>
      <c r="C1441" t="s">
        <v>8909</v>
      </c>
      <c r="D1441">
        <v>36.35</v>
      </c>
      <c r="E1441">
        <v>-0.44</v>
      </c>
      <c r="F1441">
        <v>-0.16</v>
      </c>
      <c r="G1441" t="s">
        <v>5700</v>
      </c>
      <c r="H1441">
        <v>790</v>
      </c>
      <c r="I1441">
        <v>36.33</v>
      </c>
      <c r="J1441">
        <v>36.35</v>
      </c>
      <c r="K1441" t="s">
        <v>8896</v>
      </c>
      <c r="L1441">
        <v>0.45</v>
      </c>
      <c r="M1441" t="s">
        <v>46</v>
      </c>
      <c r="N1441" t="s">
        <v>4406</v>
      </c>
      <c r="O1441">
        <v>36.9</v>
      </c>
      <c r="P1441">
        <v>36.06</v>
      </c>
      <c r="Q1441">
        <v>36.69</v>
      </c>
      <c r="R1441">
        <v>36.51</v>
      </c>
      <c r="S1441">
        <v>2.3</v>
      </c>
      <c r="T1441">
        <v>0.81</v>
      </c>
      <c r="U1441">
        <v>78.29</v>
      </c>
      <c r="V1441">
        <v>844</v>
      </c>
      <c r="W1441">
        <v>36.43</v>
      </c>
      <c r="X1441" t="s">
        <v>6266</v>
      </c>
      <c r="Y1441" t="s">
        <v>7178</v>
      </c>
      <c r="Z1441">
        <v>1.5</v>
      </c>
      <c r="AA1441">
        <v>2</v>
      </c>
      <c r="AB1441">
        <v>58</v>
      </c>
      <c r="AC1441">
        <v>3.17</v>
      </c>
      <c r="AD1441" t="s">
        <v>8910</v>
      </c>
      <c r="AE1441" t="s">
        <v>8911</v>
      </c>
      <c r="AF1441" t="s">
        <v>8912</v>
      </c>
      <c r="AG1441" t="s">
        <v>8913</v>
      </c>
      <c r="AH1441">
        <v>-1.03</v>
      </c>
      <c r="AI1441">
        <v>-0.11</v>
      </c>
      <c r="AJ1441">
        <v>1.35</v>
      </c>
      <c r="AK1441">
        <v>3.18</v>
      </c>
      <c r="AL1441">
        <v>-1</v>
      </c>
      <c r="AM1441">
        <v>-0.44</v>
      </c>
      <c r="AN1441">
        <v>-18.72</v>
      </c>
      <c r="AO1441">
        <v>2.31</v>
      </c>
      <c r="AP1441">
        <v>-10.58</v>
      </c>
    </row>
    <row r="1442" spans="1:42">
      <c r="A1442">
        <v>1441</v>
      </c>
      <c r="B1442" t="str">
        <f>"873693"</f>
        <v>873693</v>
      </c>
      <c r="C1442" t="s">
        <v>8914</v>
      </c>
      <c r="D1442">
        <v>45.08</v>
      </c>
      <c r="E1442">
        <v>-9.77</v>
      </c>
      <c r="F1442">
        <v>-4.88</v>
      </c>
      <c r="G1442" t="s">
        <v>8915</v>
      </c>
      <c r="H1442">
        <v>526</v>
      </c>
      <c r="I1442">
        <v>45.07</v>
      </c>
      <c r="J1442">
        <v>45.08</v>
      </c>
      <c r="K1442" t="s">
        <v>8896</v>
      </c>
      <c r="L1442">
        <v>14.86</v>
      </c>
      <c r="M1442" t="s">
        <v>46</v>
      </c>
      <c r="N1442" t="s">
        <v>8494</v>
      </c>
      <c r="O1442">
        <v>51</v>
      </c>
      <c r="P1442">
        <v>45</v>
      </c>
      <c r="Q1442">
        <v>50.96</v>
      </c>
      <c r="R1442">
        <v>49.96</v>
      </c>
      <c r="S1442">
        <v>12.01</v>
      </c>
      <c r="T1442">
        <v>0.66</v>
      </c>
      <c r="U1442">
        <v>-57.84</v>
      </c>
      <c r="V1442">
        <v>-228</v>
      </c>
      <c r="W1442">
        <v>46.46</v>
      </c>
      <c r="X1442" t="s">
        <v>876</v>
      </c>
      <c r="Y1442" t="s">
        <v>209</v>
      </c>
      <c r="Z1442">
        <v>1.36</v>
      </c>
      <c r="AA1442">
        <v>1</v>
      </c>
      <c r="AB1442">
        <v>257</v>
      </c>
      <c r="AC1442">
        <v>10.23</v>
      </c>
      <c r="AD1442" t="s">
        <v>8916</v>
      </c>
      <c r="AE1442" t="s">
        <v>8917</v>
      </c>
      <c r="AF1442" t="s">
        <v>8918</v>
      </c>
      <c r="AG1442" t="s">
        <v>8029</v>
      </c>
      <c r="AH1442">
        <v>-23.07</v>
      </c>
      <c r="AI1442">
        <v>-6.51</v>
      </c>
      <c r="AJ1442">
        <v>47.64</v>
      </c>
      <c r="AK1442">
        <v>128.26</v>
      </c>
      <c r="AL1442">
        <v>-4</v>
      </c>
      <c r="AM1442">
        <v>-9.77</v>
      </c>
      <c r="AN1442">
        <v>200.53</v>
      </c>
      <c r="AO1442">
        <v>62.51</v>
      </c>
      <c r="AP1442">
        <v>200.53</v>
      </c>
    </row>
    <row r="1443" spans="1:42">
      <c r="A1443">
        <v>1442</v>
      </c>
      <c r="B1443" t="str">
        <f>"000157"</f>
        <v>000157</v>
      </c>
      <c r="C1443" t="s">
        <v>8919</v>
      </c>
      <c r="D1443">
        <v>6.4</v>
      </c>
      <c r="E1443">
        <v>-0.78</v>
      </c>
      <c r="F1443">
        <v>-0.05</v>
      </c>
      <c r="G1443" t="s">
        <v>1225</v>
      </c>
      <c r="H1443">
        <v>1539</v>
      </c>
      <c r="I1443">
        <v>6.4</v>
      </c>
      <c r="J1443">
        <v>6.41</v>
      </c>
      <c r="K1443" t="s">
        <v>8896</v>
      </c>
      <c r="L1443">
        <v>0.31</v>
      </c>
      <c r="M1443" t="s">
        <v>46</v>
      </c>
      <c r="N1443" t="s">
        <v>2223</v>
      </c>
      <c r="O1443">
        <v>6.47</v>
      </c>
      <c r="P1443">
        <v>6.39</v>
      </c>
      <c r="Q1443">
        <v>6.45</v>
      </c>
      <c r="R1443">
        <v>6.45</v>
      </c>
      <c r="S1443">
        <v>1.24</v>
      </c>
      <c r="T1443">
        <v>1.02</v>
      </c>
      <c r="U1443">
        <v>73.78</v>
      </c>
      <c r="V1443" t="s">
        <v>4525</v>
      </c>
      <c r="W1443">
        <v>6.43</v>
      </c>
      <c r="X1443" t="s">
        <v>1949</v>
      </c>
      <c r="Y1443" t="s">
        <v>1949</v>
      </c>
      <c r="Z1443">
        <v>0.99</v>
      </c>
      <c r="AA1443">
        <v>5009</v>
      </c>
      <c r="AB1443">
        <v>96</v>
      </c>
      <c r="AC1443">
        <v>1.03</v>
      </c>
      <c r="AD1443" t="s">
        <v>8920</v>
      </c>
      <c r="AE1443" t="s">
        <v>8921</v>
      </c>
      <c r="AF1443" t="s">
        <v>8922</v>
      </c>
      <c r="AG1443" t="s">
        <v>8923</v>
      </c>
      <c r="AH1443">
        <v>-0.16</v>
      </c>
      <c r="AI1443">
        <v>-0.93</v>
      </c>
      <c r="AJ1443">
        <v>0.97</v>
      </c>
      <c r="AK1443">
        <v>1.83</v>
      </c>
      <c r="AL1443">
        <v>-1</v>
      </c>
      <c r="AM1443">
        <v>-0.78</v>
      </c>
      <c r="AN1443">
        <v>25</v>
      </c>
      <c r="AO1443">
        <v>-0.47</v>
      </c>
      <c r="AP1443">
        <v>19.85</v>
      </c>
    </row>
    <row r="1444" spans="1:42">
      <c r="A1444">
        <v>1443</v>
      </c>
      <c r="B1444" t="str">
        <f>"002548"</f>
        <v>002548</v>
      </c>
      <c r="C1444" t="s">
        <v>8924</v>
      </c>
      <c r="D1444">
        <v>7.03</v>
      </c>
      <c r="E1444">
        <v>0.14</v>
      </c>
      <c r="F1444">
        <v>0.01</v>
      </c>
      <c r="G1444" t="s">
        <v>1462</v>
      </c>
      <c r="H1444">
        <v>1289</v>
      </c>
      <c r="I1444">
        <v>7.03</v>
      </c>
      <c r="J1444">
        <v>7.04</v>
      </c>
      <c r="K1444" t="s">
        <v>8896</v>
      </c>
      <c r="L1444">
        <v>2.96</v>
      </c>
      <c r="M1444" t="s">
        <v>46</v>
      </c>
      <c r="N1444" t="s">
        <v>8925</v>
      </c>
      <c r="O1444">
        <v>7.22</v>
      </c>
      <c r="P1444">
        <v>6.98</v>
      </c>
      <c r="Q1444">
        <v>7.07</v>
      </c>
      <c r="R1444">
        <v>7.02</v>
      </c>
      <c r="S1444">
        <v>3.42</v>
      </c>
      <c r="T1444">
        <v>0.58</v>
      </c>
      <c r="U1444">
        <v>10.91</v>
      </c>
      <c r="V1444">
        <v>1007</v>
      </c>
      <c r="W1444">
        <v>7.1</v>
      </c>
      <c r="X1444" t="s">
        <v>1909</v>
      </c>
      <c r="Y1444" t="s">
        <v>1849</v>
      </c>
      <c r="Z1444">
        <v>1.18</v>
      </c>
      <c r="AA1444">
        <v>582</v>
      </c>
      <c r="AB1444">
        <v>888</v>
      </c>
      <c r="AC1444">
        <v>3.15</v>
      </c>
      <c r="AD1444" t="s">
        <v>8926</v>
      </c>
      <c r="AE1444" t="s">
        <v>2287</v>
      </c>
      <c r="AF1444" t="s">
        <v>8927</v>
      </c>
      <c r="AG1444" t="s">
        <v>8928</v>
      </c>
      <c r="AH1444">
        <v>-1.4</v>
      </c>
      <c r="AI1444">
        <v>2.78</v>
      </c>
      <c r="AJ1444">
        <v>9.96</v>
      </c>
      <c r="AK1444">
        <v>28.51</v>
      </c>
      <c r="AL1444">
        <v>1</v>
      </c>
      <c r="AM1444">
        <v>0.14</v>
      </c>
      <c r="AN1444">
        <v>16.97</v>
      </c>
      <c r="AO1444">
        <v>12.12</v>
      </c>
      <c r="AP1444">
        <v>21.21</v>
      </c>
    </row>
    <row r="1445" spans="1:42">
      <c r="A1445">
        <v>1444</v>
      </c>
      <c r="B1445" t="str">
        <f>"002030"</f>
        <v>002030</v>
      </c>
      <c r="C1445" t="s">
        <v>8929</v>
      </c>
      <c r="D1445">
        <v>10.47</v>
      </c>
      <c r="E1445">
        <v>1.06</v>
      </c>
      <c r="F1445">
        <v>0.11</v>
      </c>
      <c r="G1445" t="s">
        <v>368</v>
      </c>
      <c r="H1445">
        <v>784</v>
      </c>
      <c r="I1445">
        <v>10.46</v>
      </c>
      <c r="J1445">
        <v>10.47</v>
      </c>
      <c r="K1445" t="s">
        <v>8896</v>
      </c>
      <c r="L1445">
        <v>0.95</v>
      </c>
      <c r="M1445" t="s">
        <v>46</v>
      </c>
      <c r="N1445" t="s">
        <v>1591</v>
      </c>
      <c r="O1445">
        <v>10.58</v>
      </c>
      <c r="P1445">
        <v>10.32</v>
      </c>
      <c r="Q1445">
        <v>10.35</v>
      </c>
      <c r="R1445">
        <v>10.36</v>
      </c>
      <c r="S1445">
        <v>2.51</v>
      </c>
      <c r="T1445">
        <v>0.67</v>
      </c>
      <c r="U1445">
        <v>-22.58</v>
      </c>
      <c r="V1445">
        <v>-1513</v>
      </c>
      <c r="W1445">
        <v>10.48</v>
      </c>
      <c r="X1445" t="s">
        <v>1918</v>
      </c>
      <c r="Y1445" t="s">
        <v>3365</v>
      </c>
      <c r="Z1445">
        <v>1.15</v>
      </c>
      <c r="AA1445">
        <v>630</v>
      </c>
      <c r="AB1445">
        <v>1609</v>
      </c>
      <c r="AC1445">
        <v>1.61</v>
      </c>
      <c r="AD1445" t="s">
        <v>8930</v>
      </c>
      <c r="AE1445" t="s">
        <v>8931</v>
      </c>
      <c r="AF1445" t="s">
        <v>8930</v>
      </c>
      <c r="AG1445" t="s">
        <v>8931</v>
      </c>
      <c r="AH1445">
        <v>-0.48</v>
      </c>
      <c r="AI1445">
        <v>-3.15</v>
      </c>
      <c r="AJ1445">
        <v>2.67</v>
      </c>
      <c r="AK1445">
        <v>8.11</v>
      </c>
      <c r="AL1445">
        <v>1</v>
      </c>
      <c r="AM1445">
        <v>1.06</v>
      </c>
      <c r="AN1445">
        <v>-24.19</v>
      </c>
      <c r="AO1445">
        <v>7.83</v>
      </c>
      <c r="AP1445">
        <v>-35.88</v>
      </c>
    </row>
    <row r="1446" spans="1:42">
      <c r="A1446">
        <v>1445</v>
      </c>
      <c r="B1446" t="str">
        <f>"603116"</f>
        <v>603116</v>
      </c>
      <c r="C1446" t="s">
        <v>8932</v>
      </c>
      <c r="D1446">
        <v>6.69</v>
      </c>
      <c r="E1446">
        <v>3.88</v>
      </c>
      <c r="F1446">
        <v>0.25</v>
      </c>
      <c r="G1446" t="s">
        <v>2930</v>
      </c>
      <c r="H1446">
        <v>2390</v>
      </c>
      <c r="I1446">
        <v>6.68</v>
      </c>
      <c r="J1446">
        <v>6.69</v>
      </c>
      <c r="K1446" t="s">
        <v>8896</v>
      </c>
      <c r="L1446">
        <v>3.61</v>
      </c>
      <c r="M1446" t="s">
        <v>46</v>
      </c>
      <c r="N1446" t="s">
        <v>1206</v>
      </c>
      <c r="O1446">
        <v>6.98</v>
      </c>
      <c r="P1446">
        <v>6.43</v>
      </c>
      <c r="Q1446">
        <v>6.45</v>
      </c>
      <c r="R1446">
        <v>6.44</v>
      </c>
      <c r="S1446">
        <v>8.54</v>
      </c>
      <c r="T1446">
        <v>4.35</v>
      </c>
      <c r="U1446">
        <v>-27.64</v>
      </c>
      <c r="V1446">
        <v>-1069</v>
      </c>
      <c r="W1446">
        <v>6.73</v>
      </c>
      <c r="X1446" t="s">
        <v>8933</v>
      </c>
      <c r="Y1446" t="s">
        <v>262</v>
      </c>
      <c r="Z1446">
        <v>0.83</v>
      </c>
      <c r="AA1446">
        <v>66</v>
      </c>
      <c r="AB1446">
        <v>449</v>
      </c>
      <c r="AC1446">
        <v>1.28</v>
      </c>
      <c r="AD1446" t="s">
        <v>8934</v>
      </c>
      <c r="AE1446" t="s">
        <v>8935</v>
      </c>
      <c r="AF1446" t="s">
        <v>8934</v>
      </c>
      <c r="AG1446" t="s">
        <v>8935</v>
      </c>
      <c r="AH1446">
        <v>2.92</v>
      </c>
      <c r="AI1446">
        <v>2.29</v>
      </c>
      <c r="AJ1446">
        <v>5.05</v>
      </c>
      <c r="AK1446">
        <v>7.76</v>
      </c>
      <c r="AL1446">
        <v>1</v>
      </c>
      <c r="AM1446">
        <v>3.88</v>
      </c>
      <c r="AN1446">
        <v>40.25</v>
      </c>
      <c r="AO1446">
        <v>8.25</v>
      </c>
      <c r="AP1446">
        <v>35.98</v>
      </c>
    </row>
    <row r="1447" spans="1:42">
      <c r="A1447">
        <v>1446</v>
      </c>
      <c r="B1447" t="str">
        <f>"601009"</f>
        <v>601009</v>
      </c>
      <c r="C1447" t="s">
        <v>8936</v>
      </c>
      <c r="D1447">
        <v>7.28</v>
      </c>
      <c r="E1447">
        <v>0.83</v>
      </c>
      <c r="F1447">
        <v>0.06</v>
      </c>
      <c r="G1447" t="s">
        <v>652</v>
      </c>
      <c r="H1447">
        <v>1446</v>
      </c>
      <c r="I1447">
        <v>7.28</v>
      </c>
      <c r="J1447">
        <v>7.29</v>
      </c>
      <c r="K1447" t="s">
        <v>8896</v>
      </c>
      <c r="L1447">
        <v>0.21</v>
      </c>
      <c r="M1447" t="s">
        <v>46</v>
      </c>
      <c r="N1447" t="s">
        <v>8937</v>
      </c>
      <c r="O1447">
        <v>7.3</v>
      </c>
      <c r="P1447">
        <v>7.22</v>
      </c>
      <c r="Q1447">
        <v>7.22</v>
      </c>
      <c r="R1447">
        <v>7.22</v>
      </c>
      <c r="S1447">
        <v>1.11</v>
      </c>
      <c r="T1447">
        <v>0.73</v>
      </c>
      <c r="U1447">
        <v>-26.26</v>
      </c>
      <c r="V1447">
        <v>-5883</v>
      </c>
      <c r="W1447">
        <v>7.27</v>
      </c>
      <c r="X1447" t="s">
        <v>5215</v>
      </c>
      <c r="Y1447" t="s">
        <v>881</v>
      </c>
      <c r="Z1447">
        <v>0.84</v>
      </c>
      <c r="AA1447">
        <v>98</v>
      </c>
      <c r="AB1447">
        <v>143</v>
      </c>
      <c r="AC1447">
        <v>0.56</v>
      </c>
      <c r="AD1447" t="s">
        <v>2729</v>
      </c>
      <c r="AE1447" t="s">
        <v>8938</v>
      </c>
      <c r="AF1447" t="s">
        <v>8939</v>
      </c>
      <c r="AG1447" t="s">
        <v>8940</v>
      </c>
      <c r="AH1447">
        <v>-0.95</v>
      </c>
      <c r="AI1447">
        <v>-4.46</v>
      </c>
      <c r="AJ1447">
        <v>0.8</v>
      </c>
      <c r="AK1447">
        <v>1.65</v>
      </c>
      <c r="AL1447">
        <v>2</v>
      </c>
      <c r="AM1447">
        <v>0.83</v>
      </c>
      <c r="AN1447">
        <v>-26.39</v>
      </c>
      <c r="AO1447">
        <v>-6.31</v>
      </c>
      <c r="AP1447">
        <v>-22.64</v>
      </c>
    </row>
    <row r="1448" spans="1:42">
      <c r="A1448">
        <v>1447</v>
      </c>
      <c r="B1448" t="str">
        <f>"002938"</f>
        <v>002938</v>
      </c>
      <c r="C1448" t="s">
        <v>8941</v>
      </c>
      <c r="D1448">
        <v>21.54</v>
      </c>
      <c r="E1448">
        <v>-0.05</v>
      </c>
      <c r="F1448">
        <v>-0.01</v>
      </c>
      <c r="G1448" t="s">
        <v>7743</v>
      </c>
      <c r="H1448">
        <v>642</v>
      </c>
      <c r="I1448">
        <v>21.54</v>
      </c>
      <c r="J1448">
        <v>21.55</v>
      </c>
      <c r="K1448" t="s">
        <v>8896</v>
      </c>
      <c r="L1448">
        <v>0.29</v>
      </c>
      <c r="M1448" t="s">
        <v>46</v>
      </c>
      <c r="N1448" t="s">
        <v>8942</v>
      </c>
      <c r="O1448">
        <v>21.62</v>
      </c>
      <c r="P1448">
        <v>21.21</v>
      </c>
      <c r="Q1448">
        <v>21.49</v>
      </c>
      <c r="R1448">
        <v>21.55</v>
      </c>
      <c r="S1448">
        <v>1.9</v>
      </c>
      <c r="T1448">
        <v>0.81</v>
      </c>
      <c r="U1448">
        <v>4.84</v>
      </c>
      <c r="V1448">
        <v>36</v>
      </c>
      <c r="W1448">
        <v>21.42</v>
      </c>
      <c r="X1448" t="s">
        <v>57</v>
      </c>
      <c r="Y1448" t="s">
        <v>6431</v>
      </c>
      <c r="Z1448">
        <v>1.03</v>
      </c>
      <c r="AA1448">
        <v>17</v>
      </c>
      <c r="AB1448">
        <v>5</v>
      </c>
      <c r="AC1448">
        <v>1.76</v>
      </c>
      <c r="AD1448" t="s">
        <v>2303</v>
      </c>
      <c r="AE1448" t="s">
        <v>8943</v>
      </c>
      <c r="AF1448" t="s">
        <v>8944</v>
      </c>
      <c r="AG1448" t="s">
        <v>8945</v>
      </c>
      <c r="AH1448">
        <v>-0.28</v>
      </c>
      <c r="AI1448">
        <v>-2.36</v>
      </c>
      <c r="AJ1448">
        <v>0.94</v>
      </c>
      <c r="AK1448">
        <v>2.06</v>
      </c>
      <c r="AL1448">
        <v>-2</v>
      </c>
      <c r="AM1448">
        <v>-0.05</v>
      </c>
      <c r="AN1448">
        <v>-19.45</v>
      </c>
      <c r="AO1448">
        <v>2.43</v>
      </c>
      <c r="AP1448">
        <v>-27.01</v>
      </c>
    </row>
    <row r="1449" spans="1:42">
      <c r="A1449">
        <v>1448</v>
      </c>
      <c r="B1449" t="str">
        <f>"601717"</f>
        <v>601717</v>
      </c>
      <c r="C1449" t="s">
        <v>8946</v>
      </c>
      <c r="D1449">
        <v>12.01</v>
      </c>
      <c r="E1449">
        <v>0.92</v>
      </c>
      <c r="F1449">
        <v>0.11</v>
      </c>
      <c r="G1449" t="s">
        <v>1807</v>
      </c>
      <c r="H1449">
        <v>695</v>
      </c>
      <c r="I1449">
        <v>12.01</v>
      </c>
      <c r="J1449">
        <v>12.02</v>
      </c>
      <c r="K1449" t="s">
        <v>8896</v>
      </c>
      <c r="L1449">
        <v>0.77</v>
      </c>
      <c r="M1449" t="s">
        <v>46</v>
      </c>
      <c r="N1449" t="s">
        <v>1071</v>
      </c>
      <c r="O1449">
        <v>12.06</v>
      </c>
      <c r="P1449">
        <v>11.77</v>
      </c>
      <c r="Q1449">
        <v>11.92</v>
      </c>
      <c r="R1449">
        <v>11.9</v>
      </c>
      <c r="S1449">
        <v>2.44</v>
      </c>
      <c r="T1449">
        <v>0.98</v>
      </c>
      <c r="U1449">
        <v>-31.23</v>
      </c>
      <c r="V1449">
        <v>-1382</v>
      </c>
      <c r="W1449">
        <v>11.96</v>
      </c>
      <c r="X1449" t="s">
        <v>8120</v>
      </c>
      <c r="Y1449" t="s">
        <v>5472</v>
      </c>
      <c r="Z1449">
        <v>0.97</v>
      </c>
      <c r="AA1449">
        <v>178</v>
      </c>
      <c r="AB1449">
        <v>70</v>
      </c>
      <c r="AC1449">
        <v>1.1</v>
      </c>
      <c r="AD1449" t="s">
        <v>8947</v>
      </c>
      <c r="AE1449" t="s">
        <v>8948</v>
      </c>
      <c r="AF1449" t="s">
        <v>8949</v>
      </c>
      <c r="AG1449" t="s">
        <v>8950</v>
      </c>
      <c r="AH1449">
        <v>2.39</v>
      </c>
      <c r="AI1449">
        <v>2.47</v>
      </c>
      <c r="AJ1449">
        <v>2.93</v>
      </c>
      <c r="AK1449">
        <v>4.66</v>
      </c>
      <c r="AL1449">
        <v>1</v>
      </c>
      <c r="AM1449">
        <v>0.92</v>
      </c>
      <c r="AN1449">
        <v>13.3</v>
      </c>
      <c r="AO1449">
        <v>-6.17</v>
      </c>
      <c r="AP1449">
        <v>-2.2</v>
      </c>
    </row>
    <row r="1450" spans="1:42">
      <c r="A1450">
        <v>1449</v>
      </c>
      <c r="B1450" t="str">
        <f>"605358"</f>
        <v>605358</v>
      </c>
      <c r="C1450" t="s">
        <v>8951</v>
      </c>
      <c r="D1450">
        <v>32.28</v>
      </c>
      <c r="E1450">
        <v>0.44</v>
      </c>
      <c r="F1450">
        <v>0.14</v>
      </c>
      <c r="G1450" t="s">
        <v>3176</v>
      </c>
      <c r="H1450">
        <v>404</v>
      </c>
      <c r="I1450">
        <v>32.27</v>
      </c>
      <c r="J1450">
        <v>32.28</v>
      </c>
      <c r="K1450" t="s">
        <v>8896</v>
      </c>
      <c r="L1450">
        <v>0.64</v>
      </c>
      <c r="M1450" t="s">
        <v>46</v>
      </c>
      <c r="N1450" t="s">
        <v>322</v>
      </c>
      <c r="O1450">
        <v>32.37</v>
      </c>
      <c r="P1450">
        <v>31.8</v>
      </c>
      <c r="Q1450">
        <v>32.05</v>
      </c>
      <c r="R1450">
        <v>32.14</v>
      </c>
      <c r="S1450">
        <v>1.77</v>
      </c>
      <c r="T1450">
        <v>0.97</v>
      </c>
      <c r="U1450">
        <v>-30.66</v>
      </c>
      <c r="V1450">
        <v>-108</v>
      </c>
      <c r="W1450">
        <v>32.06</v>
      </c>
      <c r="X1450" t="s">
        <v>8952</v>
      </c>
      <c r="Y1450" t="s">
        <v>7487</v>
      </c>
      <c r="Z1450">
        <v>1.71</v>
      </c>
      <c r="AA1450">
        <v>12</v>
      </c>
      <c r="AB1450">
        <v>64</v>
      </c>
      <c r="AC1450">
        <v>2.78</v>
      </c>
      <c r="AD1450" t="s">
        <v>8953</v>
      </c>
      <c r="AE1450" t="s">
        <v>8954</v>
      </c>
      <c r="AF1450" t="s">
        <v>8953</v>
      </c>
      <c r="AG1450" t="s">
        <v>8954</v>
      </c>
      <c r="AH1450">
        <v>-1.94</v>
      </c>
      <c r="AI1450">
        <v>-2.24</v>
      </c>
      <c r="AJ1450">
        <v>2.02</v>
      </c>
      <c r="AK1450">
        <v>3.96</v>
      </c>
      <c r="AL1450">
        <v>1</v>
      </c>
      <c r="AM1450">
        <v>0.44</v>
      </c>
      <c r="AN1450">
        <v>-23.47</v>
      </c>
      <c r="AO1450">
        <v>-1.88</v>
      </c>
      <c r="AP1450">
        <v>-31.7</v>
      </c>
    </row>
    <row r="1451" spans="1:42">
      <c r="A1451">
        <v>1450</v>
      </c>
      <c r="B1451" t="str">
        <f>"603755"</f>
        <v>603755</v>
      </c>
      <c r="C1451" t="s">
        <v>8955</v>
      </c>
      <c r="D1451">
        <v>28.19</v>
      </c>
      <c r="E1451">
        <v>-8.74</v>
      </c>
      <c r="F1451">
        <v>-2.7</v>
      </c>
      <c r="G1451" t="s">
        <v>2650</v>
      </c>
      <c r="H1451">
        <v>312</v>
      </c>
      <c r="I1451">
        <v>28.19</v>
      </c>
      <c r="J1451">
        <v>28.2</v>
      </c>
      <c r="K1451" t="s">
        <v>8896</v>
      </c>
      <c r="L1451">
        <v>4.89</v>
      </c>
      <c r="M1451" t="s">
        <v>46</v>
      </c>
      <c r="N1451" t="s">
        <v>5445</v>
      </c>
      <c r="O1451">
        <v>31.07</v>
      </c>
      <c r="P1451">
        <v>27.96</v>
      </c>
      <c r="Q1451">
        <v>30.89</v>
      </c>
      <c r="R1451">
        <v>30.89</v>
      </c>
      <c r="S1451">
        <v>10.07</v>
      </c>
      <c r="T1451">
        <v>8.77</v>
      </c>
      <c r="U1451">
        <v>88.85</v>
      </c>
      <c r="V1451">
        <v>781</v>
      </c>
      <c r="W1451">
        <v>28.95</v>
      </c>
      <c r="X1451" t="s">
        <v>5578</v>
      </c>
      <c r="Y1451" t="s">
        <v>7649</v>
      </c>
      <c r="Z1451">
        <v>0.64</v>
      </c>
      <c r="AA1451">
        <v>629</v>
      </c>
      <c r="AB1451">
        <v>10</v>
      </c>
      <c r="AC1451">
        <v>4.04</v>
      </c>
      <c r="AD1451" t="s">
        <v>8956</v>
      </c>
      <c r="AE1451" t="s">
        <v>8957</v>
      </c>
      <c r="AF1451" t="s">
        <v>8956</v>
      </c>
      <c r="AG1451" t="s">
        <v>8957</v>
      </c>
      <c r="AH1451">
        <v>-9.36</v>
      </c>
      <c r="AI1451">
        <v>-9.36</v>
      </c>
      <c r="AJ1451">
        <v>6.34</v>
      </c>
      <c r="AK1451">
        <v>7.68</v>
      </c>
      <c r="AL1451">
        <v>-2</v>
      </c>
      <c r="AM1451">
        <v>-8.74</v>
      </c>
      <c r="AN1451">
        <v>-29.21</v>
      </c>
      <c r="AO1451">
        <v>-6.53</v>
      </c>
      <c r="AP1451">
        <v>-21.76</v>
      </c>
    </row>
    <row r="1452" spans="1:42">
      <c r="A1452">
        <v>1451</v>
      </c>
      <c r="B1452" t="str">
        <f>"002917"</f>
        <v>002917</v>
      </c>
      <c r="C1452" t="s">
        <v>8958</v>
      </c>
      <c r="D1452">
        <v>10.15</v>
      </c>
      <c r="E1452">
        <v>-0.1</v>
      </c>
      <c r="F1452">
        <v>-0.01</v>
      </c>
      <c r="G1452" t="s">
        <v>784</v>
      </c>
      <c r="H1452">
        <v>3194</v>
      </c>
      <c r="I1452">
        <v>10.14</v>
      </c>
      <c r="J1452">
        <v>10.15</v>
      </c>
      <c r="K1452" t="s">
        <v>8896</v>
      </c>
      <c r="L1452">
        <v>5.27</v>
      </c>
      <c r="M1452" t="s">
        <v>46</v>
      </c>
      <c r="N1452" t="s">
        <v>1419</v>
      </c>
      <c r="O1452">
        <v>10.23</v>
      </c>
      <c r="P1452">
        <v>10.02</v>
      </c>
      <c r="Q1452">
        <v>10.23</v>
      </c>
      <c r="R1452">
        <v>10.16</v>
      </c>
      <c r="S1452">
        <v>2.07</v>
      </c>
      <c r="T1452">
        <v>0.48</v>
      </c>
      <c r="U1452">
        <v>-12.73</v>
      </c>
      <c r="V1452">
        <v>-976</v>
      </c>
      <c r="W1452">
        <v>10.12</v>
      </c>
      <c r="X1452" t="s">
        <v>3207</v>
      </c>
      <c r="Y1452" t="s">
        <v>5918</v>
      </c>
      <c r="Z1452">
        <v>1.07</v>
      </c>
      <c r="AA1452">
        <v>1152</v>
      </c>
      <c r="AB1452">
        <v>125</v>
      </c>
      <c r="AC1452">
        <v>2.36</v>
      </c>
      <c r="AD1452" t="s">
        <v>8959</v>
      </c>
      <c r="AE1452" t="s">
        <v>8960</v>
      </c>
      <c r="AF1452" t="s">
        <v>4222</v>
      </c>
      <c r="AG1452" t="s">
        <v>8961</v>
      </c>
      <c r="AH1452">
        <v>-2.03</v>
      </c>
      <c r="AI1452">
        <v>-6.11</v>
      </c>
      <c r="AJ1452">
        <v>19.32</v>
      </c>
      <c r="AK1452">
        <v>60.52</v>
      </c>
      <c r="AL1452">
        <v>-3</v>
      </c>
      <c r="AM1452">
        <v>-0.1</v>
      </c>
      <c r="AN1452">
        <v>-16.18</v>
      </c>
      <c r="AO1452">
        <v>5.18</v>
      </c>
      <c r="AP1452">
        <v>-7.31</v>
      </c>
    </row>
    <row r="1453" spans="1:42">
      <c r="A1453">
        <v>1452</v>
      </c>
      <c r="B1453" t="str">
        <f>"601000"</f>
        <v>601000</v>
      </c>
      <c r="C1453" t="s">
        <v>8962</v>
      </c>
      <c r="D1453">
        <v>3.68</v>
      </c>
      <c r="E1453">
        <v>1.1</v>
      </c>
      <c r="F1453">
        <v>0.04</v>
      </c>
      <c r="G1453" t="s">
        <v>5087</v>
      </c>
      <c r="H1453">
        <v>2294</v>
      </c>
      <c r="I1453">
        <v>3.67</v>
      </c>
      <c r="J1453">
        <v>3.68</v>
      </c>
      <c r="K1453" t="s">
        <v>8896</v>
      </c>
      <c r="L1453">
        <v>0.64</v>
      </c>
      <c r="M1453" t="s">
        <v>46</v>
      </c>
      <c r="N1453" t="s">
        <v>6424</v>
      </c>
      <c r="O1453">
        <v>3.71</v>
      </c>
      <c r="P1453">
        <v>3.64</v>
      </c>
      <c r="Q1453">
        <v>3.65</v>
      </c>
      <c r="R1453">
        <v>3.64</v>
      </c>
      <c r="S1453">
        <v>1.92</v>
      </c>
      <c r="T1453">
        <v>1.22</v>
      </c>
      <c r="U1453">
        <v>-34.95</v>
      </c>
      <c r="V1453" t="s">
        <v>8963</v>
      </c>
      <c r="W1453">
        <v>3.68</v>
      </c>
      <c r="X1453" t="s">
        <v>3143</v>
      </c>
      <c r="Y1453" t="s">
        <v>1786</v>
      </c>
      <c r="Z1453">
        <v>0.75</v>
      </c>
      <c r="AA1453">
        <v>1046</v>
      </c>
      <c r="AB1453">
        <v>86</v>
      </c>
      <c r="AC1453">
        <v>1.11</v>
      </c>
      <c r="AD1453" t="s">
        <v>8964</v>
      </c>
      <c r="AE1453" t="s">
        <v>4179</v>
      </c>
      <c r="AF1453" t="s">
        <v>8964</v>
      </c>
      <c r="AG1453" t="s">
        <v>4179</v>
      </c>
      <c r="AH1453">
        <v>3.37</v>
      </c>
      <c r="AI1453">
        <v>5.44</v>
      </c>
      <c r="AJ1453">
        <v>1.82</v>
      </c>
      <c r="AK1453">
        <v>3.26</v>
      </c>
      <c r="AL1453">
        <v>5</v>
      </c>
      <c r="AM1453">
        <v>1.1</v>
      </c>
      <c r="AN1453">
        <v>44.88</v>
      </c>
      <c r="AO1453">
        <v>4.25</v>
      </c>
      <c r="AP1453">
        <v>50.82</v>
      </c>
    </row>
    <row r="1454" spans="1:42">
      <c r="A1454">
        <v>1453</v>
      </c>
      <c r="B1454" t="str">
        <f>"603260"</f>
        <v>603260</v>
      </c>
      <c r="C1454" t="s">
        <v>8965</v>
      </c>
      <c r="D1454">
        <v>49.77</v>
      </c>
      <c r="E1454">
        <v>0.22</v>
      </c>
      <c r="F1454">
        <v>0.11</v>
      </c>
      <c r="G1454" t="s">
        <v>8966</v>
      </c>
      <c r="H1454">
        <v>247</v>
      </c>
      <c r="I1454">
        <v>49.77</v>
      </c>
      <c r="J1454">
        <v>49.79</v>
      </c>
      <c r="K1454" t="s">
        <v>8967</v>
      </c>
      <c r="L1454">
        <v>0.26</v>
      </c>
      <c r="M1454" t="s">
        <v>46</v>
      </c>
      <c r="N1454" t="s">
        <v>8968</v>
      </c>
      <c r="O1454">
        <v>49.92</v>
      </c>
      <c r="P1454">
        <v>48.8</v>
      </c>
      <c r="Q1454">
        <v>49.67</v>
      </c>
      <c r="R1454">
        <v>49.66</v>
      </c>
      <c r="S1454">
        <v>2.26</v>
      </c>
      <c r="T1454">
        <v>1.16</v>
      </c>
      <c r="U1454">
        <v>-37.82</v>
      </c>
      <c r="V1454">
        <v>-165</v>
      </c>
      <c r="W1454">
        <v>49.36</v>
      </c>
      <c r="X1454" t="s">
        <v>4525</v>
      </c>
      <c r="Y1454" t="s">
        <v>1769</v>
      </c>
      <c r="Z1454">
        <v>0.95</v>
      </c>
      <c r="AA1454">
        <v>30</v>
      </c>
      <c r="AB1454">
        <v>2</v>
      </c>
      <c r="AC1454">
        <v>1.84</v>
      </c>
      <c r="AD1454" t="s">
        <v>866</v>
      </c>
      <c r="AE1454" t="s">
        <v>8969</v>
      </c>
      <c r="AF1454" t="s">
        <v>5688</v>
      </c>
      <c r="AG1454" t="s">
        <v>8970</v>
      </c>
      <c r="AH1454">
        <v>-3.17</v>
      </c>
      <c r="AI1454">
        <v>-6.06</v>
      </c>
      <c r="AJ1454">
        <v>0.66</v>
      </c>
      <c r="AK1454">
        <v>1.4</v>
      </c>
      <c r="AL1454">
        <v>1</v>
      </c>
      <c r="AM1454">
        <v>0.22</v>
      </c>
      <c r="AN1454">
        <v>-39.35</v>
      </c>
      <c r="AO1454">
        <v>-12.81</v>
      </c>
      <c r="AP1454">
        <v>-47.76</v>
      </c>
    </row>
    <row r="1455" spans="1:42">
      <c r="A1455">
        <v>1454</v>
      </c>
      <c r="B1455" t="str">
        <f>"600483"</f>
        <v>600483</v>
      </c>
      <c r="C1455" t="s">
        <v>8971</v>
      </c>
      <c r="D1455">
        <v>8.65</v>
      </c>
      <c r="E1455">
        <v>1.29</v>
      </c>
      <c r="F1455">
        <v>0.11</v>
      </c>
      <c r="G1455" t="s">
        <v>665</v>
      </c>
      <c r="H1455">
        <v>2461</v>
      </c>
      <c r="I1455">
        <v>8.65</v>
      </c>
      <c r="J1455">
        <v>8.66</v>
      </c>
      <c r="K1455" t="s">
        <v>8967</v>
      </c>
      <c r="L1455">
        <v>0.64</v>
      </c>
      <c r="M1455" t="s">
        <v>46</v>
      </c>
      <c r="N1455" t="s">
        <v>4140</v>
      </c>
      <c r="O1455">
        <v>8.66</v>
      </c>
      <c r="P1455">
        <v>8.45</v>
      </c>
      <c r="Q1455">
        <v>8.55</v>
      </c>
      <c r="R1455">
        <v>8.54</v>
      </c>
      <c r="S1455">
        <v>2.46</v>
      </c>
      <c r="T1455">
        <v>1.57</v>
      </c>
      <c r="U1455">
        <v>-30.12</v>
      </c>
      <c r="V1455">
        <v>-6876</v>
      </c>
      <c r="W1455">
        <v>8.59</v>
      </c>
      <c r="X1455" t="s">
        <v>8972</v>
      </c>
      <c r="Y1455" t="s">
        <v>2681</v>
      </c>
      <c r="Z1455">
        <v>0.62</v>
      </c>
      <c r="AA1455">
        <v>357</v>
      </c>
      <c r="AB1455">
        <v>2658</v>
      </c>
      <c r="AC1455">
        <v>1.06</v>
      </c>
      <c r="AD1455" t="s">
        <v>8973</v>
      </c>
      <c r="AE1455" t="s">
        <v>8974</v>
      </c>
      <c r="AF1455" t="s">
        <v>8973</v>
      </c>
      <c r="AG1455" t="s">
        <v>8974</v>
      </c>
      <c r="AH1455">
        <v>2.25</v>
      </c>
      <c r="AI1455">
        <v>1.53</v>
      </c>
      <c r="AJ1455">
        <v>1.78</v>
      </c>
      <c r="AK1455">
        <v>2.68</v>
      </c>
      <c r="AL1455">
        <v>2</v>
      </c>
      <c r="AM1455">
        <v>1.29</v>
      </c>
      <c r="AN1455">
        <v>10.47</v>
      </c>
      <c r="AO1455">
        <v>-0.57</v>
      </c>
      <c r="AP1455">
        <v>3.72</v>
      </c>
    </row>
    <row r="1456" spans="1:42">
      <c r="A1456">
        <v>1455</v>
      </c>
      <c r="B1456" t="str">
        <f>"301528"</f>
        <v>301528</v>
      </c>
      <c r="C1456" t="s">
        <v>8975</v>
      </c>
      <c r="D1456">
        <v>79.95</v>
      </c>
      <c r="E1456">
        <v>-5.45</v>
      </c>
      <c r="F1456">
        <v>-4.61</v>
      </c>
      <c r="G1456" t="s">
        <v>1456</v>
      </c>
      <c r="H1456">
        <v>231</v>
      </c>
      <c r="I1456">
        <v>79.95</v>
      </c>
      <c r="J1456">
        <v>80</v>
      </c>
      <c r="K1456" t="s">
        <v>8967</v>
      </c>
      <c r="L1456">
        <v>12.18</v>
      </c>
      <c r="M1456" t="s">
        <v>46</v>
      </c>
      <c r="N1456" t="s">
        <v>8976</v>
      </c>
      <c r="O1456">
        <v>83.98</v>
      </c>
      <c r="P1456">
        <v>78.85</v>
      </c>
      <c r="Q1456">
        <v>83.6</v>
      </c>
      <c r="R1456">
        <v>84.56</v>
      </c>
      <c r="S1456">
        <v>6.07</v>
      </c>
      <c r="T1456">
        <v>1.33</v>
      </c>
      <c r="U1456">
        <v>-6.85</v>
      </c>
      <c r="V1456">
        <v>-5</v>
      </c>
      <c r="W1456">
        <v>81.01</v>
      </c>
      <c r="X1456" t="s">
        <v>1646</v>
      </c>
      <c r="Y1456">
        <v>7020</v>
      </c>
      <c r="Z1456">
        <v>1.45</v>
      </c>
      <c r="AA1456">
        <v>19</v>
      </c>
      <c r="AB1456">
        <v>1</v>
      </c>
      <c r="AC1456">
        <v>3.47</v>
      </c>
      <c r="AD1456" t="s">
        <v>8977</v>
      </c>
      <c r="AE1456" t="s">
        <v>8978</v>
      </c>
      <c r="AF1456" t="s">
        <v>8979</v>
      </c>
      <c r="AG1456" t="s">
        <v>942</v>
      </c>
      <c r="AH1456">
        <v>-0.04</v>
      </c>
      <c r="AI1456">
        <v>-2.9</v>
      </c>
      <c r="AJ1456">
        <v>36.14</v>
      </c>
      <c r="AK1456">
        <v>58.1</v>
      </c>
      <c r="AL1456">
        <v>-1</v>
      </c>
      <c r="AM1456">
        <v>-5.45</v>
      </c>
      <c r="AN1456">
        <v>11.35</v>
      </c>
      <c r="AO1456">
        <v>-13.01</v>
      </c>
      <c r="AP1456">
        <v>11.35</v>
      </c>
    </row>
    <row r="1457" spans="1:42">
      <c r="A1457">
        <v>1456</v>
      </c>
      <c r="B1457" t="str">
        <f>"601990"</f>
        <v>601990</v>
      </c>
      <c r="C1457" t="s">
        <v>8980</v>
      </c>
      <c r="D1457">
        <v>8.16</v>
      </c>
      <c r="E1457">
        <v>0.37</v>
      </c>
      <c r="F1457">
        <v>0.03</v>
      </c>
      <c r="G1457" t="s">
        <v>937</v>
      </c>
      <c r="H1457">
        <v>4507</v>
      </c>
      <c r="I1457">
        <v>8.15</v>
      </c>
      <c r="J1457">
        <v>8.16</v>
      </c>
      <c r="K1457" t="s">
        <v>8967</v>
      </c>
      <c r="L1457">
        <v>0.47</v>
      </c>
      <c r="M1457" t="s">
        <v>46</v>
      </c>
      <c r="N1457" t="s">
        <v>4602</v>
      </c>
      <c r="O1457">
        <v>8.16</v>
      </c>
      <c r="P1457">
        <v>8.07</v>
      </c>
      <c r="Q1457">
        <v>8.11</v>
      </c>
      <c r="R1457">
        <v>8.13</v>
      </c>
      <c r="S1457">
        <v>1.11</v>
      </c>
      <c r="T1457">
        <v>1</v>
      </c>
      <c r="U1457">
        <v>-6.73</v>
      </c>
      <c r="V1457">
        <v>-1890</v>
      </c>
      <c r="W1457">
        <v>8.13</v>
      </c>
      <c r="X1457" t="s">
        <v>1045</v>
      </c>
      <c r="Y1457" t="s">
        <v>6448</v>
      </c>
      <c r="Z1457">
        <v>0.91</v>
      </c>
      <c r="AA1457">
        <v>5158</v>
      </c>
      <c r="AB1457">
        <v>5755</v>
      </c>
      <c r="AC1457">
        <v>1.78</v>
      </c>
      <c r="AD1457" t="s">
        <v>8981</v>
      </c>
      <c r="AE1457" t="s">
        <v>8982</v>
      </c>
      <c r="AF1457" t="s">
        <v>8983</v>
      </c>
      <c r="AG1457" t="s">
        <v>8984</v>
      </c>
      <c r="AH1457">
        <v>2.13</v>
      </c>
      <c r="AI1457">
        <v>0.25</v>
      </c>
      <c r="AJ1457">
        <v>2.02</v>
      </c>
      <c r="AK1457">
        <v>2.8</v>
      </c>
      <c r="AL1457">
        <v>1</v>
      </c>
      <c r="AM1457">
        <v>0.37</v>
      </c>
      <c r="AN1457">
        <v>4.21</v>
      </c>
      <c r="AO1457">
        <v>2.26</v>
      </c>
      <c r="AP1457">
        <v>-1.33</v>
      </c>
    </row>
    <row r="1458" spans="1:42">
      <c r="A1458">
        <v>1457</v>
      </c>
      <c r="B1458" t="str">
        <f>"300201"</f>
        <v>300201</v>
      </c>
      <c r="C1458" t="s">
        <v>8985</v>
      </c>
      <c r="D1458">
        <v>5.06</v>
      </c>
      <c r="E1458">
        <v>-0.2</v>
      </c>
      <c r="F1458">
        <v>-0.01</v>
      </c>
      <c r="G1458" t="s">
        <v>1678</v>
      </c>
      <c r="H1458">
        <v>1218</v>
      </c>
      <c r="I1458">
        <v>5.06</v>
      </c>
      <c r="J1458">
        <v>5.07</v>
      </c>
      <c r="K1458" t="s">
        <v>8967</v>
      </c>
      <c r="L1458">
        <v>2.64</v>
      </c>
      <c r="M1458" t="s">
        <v>46</v>
      </c>
      <c r="N1458" t="s">
        <v>7120</v>
      </c>
      <c r="O1458">
        <v>5.18</v>
      </c>
      <c r="P1458">
        <v>5.03</v>
      </c>
      <c r="Q1458">
        <v>5.11</v>
      </c>
      <c r="R1458">
        <v>5.07</v>
      </c>
      <c r="S1458">
        <v>2.96</v>
      </c>
      <c r="T1458">
        <v>1.17</v>
      </c>
      <c r="U1458">
        <v>24.62</v>
      </c>
      <c r="V1458">
        <v>6855</v>
      </c>
      <c r="W1458">
        <v>5.08</v>
      </c>
      <c r="X1458" t="s">
        <v>3584</v>
      </c>
      <c r="Y1458" t="s">
        <v>4356</v>
      </c>
      <c r="Z1458">
        <v>1.38</v>
      </c>
      <c r="AA1458">
        <v>1660</v>
      </c>
      <c r="AB1458">
        <v>1918</v>
      </c>
      <c r="AC1458">
        <v>3.78</v>
      </c>
      <c r="AD1458" t="s">
        <v>1053</v>
      </c>
      <c r="AE1458" t="s">
        <v>8986</v>
      </c>
      <c r="AF1458" t="s">
        <v>1000</v>
      </c>
      <c r="AG1458" t="s">
        <v>8987</v>
      </c>
      <c r="AH1458">
        <v>2.02</v>
      </c>
      <c r="AI1458">
        <v>2.85</v>
      </c>
      <c r="AJ1458">
        <v>7.24</v>
      </c>
      <c r="AK1458">
        <v>13.94</v>
      </c>
      <c r="AL1458">
        <v>-1</v>
      </c>
      <c r="AM1458">
        <v>-0.2</v>
      </c>
      <c r="AN1458">
        <v>51.95</v>
      </c>
      <c r="AO1458">
        <v>9.52</v>
      </c>
      <c r="AP1458">
        <v>53.33</v>
      </c>
    </row>
    <row r="1459" spans="1:42">
      <c r="A1459">
        <v>1458</v>
      </c>
      <c r="B1459" t="str">
        <f>"601607"</f>
        <v>601607</v>
      </c>
      <c r="C1459" t="s">
        <v>8988</v>
      </c>
      <c r="D1459">
        <v>17.94</v>
      </c>
      <c r="E1459">
        <v>-0.11</v>
      </c>
      <c r="F1459">
        <v>-0.02</v>
      </c>
      <c r="G1459" t="s">
        <v>4235</v>
      </c>
      <c r="H1459">
        <v>738</v>
      </c>
      <c r="I1459">
        <v>17.94</v>
      </c>
      <c r="J1459">
        <v>17.95</v>
      </c>
      <c r="K1459" t="s">
        <v>8967</v>
      </c>
      <c r="L1459">
        <v>0.4</v>
      </c>
      <c r="M1459" t="s">
        <v>46</v>
      </c>
      <c r="N1459" t="s">
        <v>8989</v>
      </c>
      <c r="O1459">
        <v>17.99</v>
      </c>
      <c r="P1459">
        <v>17.77</v>
      </c>
      <c r="Q1459">
        <v>17.9</v>
      </c>
      <c r="R1459">
        <v>17.96</v>
      </c>
      <c r="S1459">
        <v>1.22</v>
      </c>
      <c r="T1459">
        <v>0.64</v>
      </c>
      <c r="U1459">
        <v>-51.8</v>
      </c>
      <c r="V1459">
        <v>-2014</v>
      </c>
      <c r="W1459">
        <v>17.89</v>
      </c>
      <c r="X1459" t="s">
        <v>534</v>
      </c>
      <c r="Y1459" t="s">
        <v>1566</v>
      </c>
      <c r="Z1459">
        <v>1.05</v>
      </c>
      <c r="AA1459">
        <v>32</v>
      </c>
      <c r="AB1459">
        <v>285</v>
      </c>
      <c r="AC1459">
        <v>0.97</v>
      </c>
      <c r="AD1459" t="s">
        <v>8990</v>
      </c>
      <c r="AE1459" t="s">
        <v>8991</v>
      </c>
      <c r="AF1459" t="s">
        <v>8992</v>
      </c>
      <c r="AG1459" t="s">
        <v>8993</v>
      </c>
      <c r="AH1459">
        <v>-0.11</v>
      </c>
      <c r="AI1459">
        <v>-0.11</v>
      </c>
      <c r="AJ1459">
        <v>1.2</v>
      </c>
      <c r="AK1459">
        <v>3.57</v>
      </c>
      <c r="AL1459">
        <v>-1</v>
      </c>
      <c r="AM1459">
        <v>-0.11</v>
      </c>
      <c r="AN1459">
        <v>4.18</v>
      </c>
      <c r="AO1459">
        <v>0.17</v>
      </c>
      <c r="AP1459">
        <v>-1.59</v>
      </c>
    </row>
    <row r="1460" spans="1:42">
      <c r="A1460">
        <v>1459</v>
      </c>
      <c r="B1460" t="str">
        <f>"300451"</f>
        <v>300451</v>
      </c>
      <c r="C1460" t="s">
        <v>8994</v>
      </c>
      <c r="D1460">
        <v>7.55</v>
      </c>
      <c r="E1460">
        <v>2.72</v>
      </c>
      <c r="F1460">
        <v>0.2</v>
      </c>
      <c r="G1460" t="s">
        <v>1008</v>
      </c>
      <c r="H1460">
        <v>1019</v>
      </c>
      <c r="I1460">
        <v>7.54</v>
      </c>
      <c r="J1460">
        <v>7.55</v>
      </c>
      <c r="K1460" t="s">
        <v>8967</v>
      </c>
      <c r="L1460">
        <v>1.39</v>
      </c>
      <c r="M1460" t="s">
        <v>46</v>
      </c>
      <c r="N1460" t="s">
        <v>4336</v>
      </c>
      <c r="O1460">
        <v>7.62</v>
      </c>
      <c r="P1460">
        <v>7.34</v>
      </c>
      <c r="Q1460">
        <v>7.41</v>
      </c>
      <c r="R1460">
        <v>7.35</v>
      </c>
      <c r="S1460">
        <v>3.81</v>
      </c>
      <c r="T1460">
        <v>1.29</v>
      </c>
      <c r="U1460">
        <v>18.38</v>
      </c>
      <c r="V1460">
        <v>778</v>
      </c>
      <c r="W1460">
        <v>7.45</v>
      </c>
      <c r="X1460" t="s">
        <v>2411</v>
      </c>
      <c r="Y1460" t="s">
        <v>6697</v>
      </c>
      <c r="Z1460">
        <v>0.96</v>
      </c>
      <c r="AA1460">
        <v>211</v>
      </c>
      <c r="AB1460">
        <v>507</v>
      </c>
      <c r="AC1460">
        <v>2.5</v>
      </c>
      <c r="AD1460" t="s">
        <v>824</v>
      </c>
      <c r="AE1460" t="s">
        <v>1734</v>
      </c>
      <c r="AF1460" t="s">
        <v>8064</v>
      </c>
      <c r="AG1460" t="s">
        <v>4030</v>
      </c>
      <c r="AH1460">
        <v>0.8</v>
      </c>
      <c r="AI1460">
        <v>-1.31</v>
      </c>
      <c r="AJ1460">
        <v>2.96</v>
      </c>
      <c r="AK1460">
        <v>6.81</v>
      </c>
      <c r="AL1460">
        <v>1</v>
      </c>
      <c r="AM1460">
        <v>2.72</v>
      </c>
      <c r="AN1460">
        <v>-4.43</v>
      </c>
      <c r="AO1460">
        <v>2.58</v>
      </c>
      <c r="AP1460">
        <v>-10.12</v>
      </c>
    </row>
    <row r="1461" spans="1:42">
      <c r="A1461">
        <v>1460</v>
      </c>
      <c r="B1461" t="str">
        <f>"002791"</f>
        <v>002791</v>
      </c>
      <c r="C1461" t="s">
        <v>8995</v>
      </c>
      <c r="D1461">
        <v>44.15</v>
      </c>
      <c r="E1461">
        <v>-1.82</v>
      </c>
      <c r="F1461">
        <v>-0.82</v>
      </c>
      <c r="G1461" t="s">
        <v>3226</v>
      </c>
      <c r="H1461">
        <v>235</v>
      </c>
      <c r="I1461">
        <v>44.14</v>
      </c>
      <c r="J1461">
        <v>44.15</v>
      </c>
      <c r="K1461" t="s">
        <v>8967</v>
      </c>
      <c r="L1461">
        <v>1.93</v>
      </c>
      <c r="M1461" t="s">
        <v>46</v>
      </c>
      <c r="N1461" t="s">
        <v>8996</v>
      </c>
      <c r="O1461">
        <v>44.92</v>
      </c>
      <c r="P1461">
        <v>43.63</v>
      </c>
      <c r="Q1461">
        <v>44.61</v>
      </c>
      <c r="R1461">
        <v>44.97</v>
      </c>
      <c r="S1461">
        <v>2.87</v>
      </c>
      <c r="T1461">
        <v>1.15</v>
      </c>
      <c r="U1461">
        <v>-61.21</v>
      </c>
      <c r="V1461">
        <v>-262</v>
      </c>
      <c r="W1461">
        <v>44.02</v>
      </c>
      <c r="X1461" t="s">
        <v>325</v>
      </c>
      <c r="Y1461" t="s">
        <v>383</v>
      </c>
      <c r="Z1461">
        <v>1.38</v>
      </c>
      <c r="AA1461">
        <v>18</v>
      </c>
      <c r="AB1461">
        <v>277</v>
      </c>
      <c r="AC1461">
        <v>2.86</v>
      </c>
      <c r="AD1461" t="s">
        <v>8997</v>
      </c>
      <c r="AE1461" t="s">
        <v>8998</v>
      </c>
      <c r="AF1461" t="s">
        <v>8999</v>
      </c>
      <c r="AG1461" t="s">
        <v>9000</v>
      </c>
      <c r="AH1461">
        <v>-5.64</v>
      </c>
      <c r="AI1461">
        <v>-9.38</v>
      </c>
      <c r="AJ1461">
        <v>4.83</v>
      </c>
      <c r="AK1461">
        <v>10.29</v>
      </c>
      <c r="AL1461">
        <v>-3</v>
      </c>
      <c r="AM1461">
        <v>-1.82</v>
      </c>
      <c r="AN1461">
        <v>-57.49</v>
      </c>
      <c r="AO1461">
        <v>-8.86</v>
      </c>
      <c r="AP1461">
        <v>-55.97</v>
      </c>
    </row>
    <row r="1462" spans="1:42">
      <c r="A1462">
        <v>1461</v>
      </c>
      <c r="B1462" t="str">
        <f>"300655"</f>
        <v>300655</v>
      </c>
      <c r="C1462" t="s">
        <v>9001</v>
      </c>
      <c r="D1462">
        <v>10.38</v>
      </c>
      <c r="E1462">
        <v>0.87</v>
      </c>
      <c r="F1462">
        <v>0.09</v>
      </c>
      <c r="G1462" t="s">
        <v>4247</v>
      </c>
      <c r="H1462">
        <v>1310</v>
      </c>
      <c r="I1462">
        <v>10.38</v>
      </c>
      <c r="J1462">
        <v>10.39</v>
      </c>
      <c r="K1462" t="s">
        <v>8967</v>
      </c>
      <c r="L1462">
        <v>1.43</v>
      </c>
      <c r="M1462" t="s">
        <v>46</v>
      </c>
      <c r="N1462" t="s">
        <v>1469</v>
      </c>
      <c r="O1462">
        <v>10.39</v>
      </c>
      <c r="P1462">
        <v>10.2</v>
      </c>
      <c r="Q1462">
        <v>10.29</v>
      </c>
      <c r="R1462">
        <v>10.29</v>
      </c>
      <c r="S1462">
        <v>1.85</v>
      </c>
      <c r="T1462">
        <v>0.77</v>
      </c>
      <c r="U1462">
        <v>15.38</v>
      </c>
      <c r="V1462">
        <v>891</v>
      </c>
      <c r="W1462">
        <v>10.29</v>
      </c>
      <c r="X1462" t="s">
        <v>6113</v>
      </c>
      <c r="Y1462" t="s">
        <v>5099</v>
      </c>
      <c r="Z1462">
        <v>0.99</v>
      </c>
      <c r="AA1462">
        <v>454</v>
      </c>
      <c r="AB1462">
        <v>914</v>
      </c>
      <c r="AC1462">
        <v>5.56</v>
      </c>
      <c r="AD1462" t="s">
        <v>9002</v>
      </c>
      <c r="AE1462" t="s">
        <v>9003</v>
      </c>
      <c r="AF1462" t="s">
        <v>9004</v>
      </c>
      <c r="AG1462" t="s">
        <v>6548</v>
      </c>
      <c r="AH1462">
        <v>-0.95</v>
      </c>
      <c r="AI1462">
        <v>-4.51</v>
      </c>
      <c r="AJ1462">
        <v>5.75</v>
      </c>
      <c r="AK1462">
        <v>10.67</v>
      </c>
      <c r="AL1462">
        <v>1</v>
      </c>
      <c r="AM1462">
        <v>0.87</v>
      </c>
      <c r="AN1462">
        <v>20.56</v>
      </c>
      <c r="AO1462">
        <v>-8.55</v>
      </c>
      <c r="AP1462">
        <v>3.8</v>
      </c>
    </row>
    <row r="1463" spans="1:42">
      <c r="A1463">
        <v>1462</v>
      </c>
      <c r="B1463" t="str">
        <f>"688779"</f>
        <v>688779</v>
      </c>
      <c r="C1463" t="s">
        <v>9005</v>
      </c>
      <c r="D1463">
        <v>7.48</v>
      </c>
      <c r="E1463">
        <v>0.27</v>
      </c>
      <c r="F1463">
        <v>0.02</v>
      </c>
      <c r="G1463" t="s">
        <v>1008</v>
      </c>
      <c r="H1463">
        <v>1702</v>
      </c>
      <c r="I1463">
        <v>7.48</v>
      </c>
      <c r="J1463">
        <v>7.49</v>
      </c>
      <c r="K1463" t="s">
        <v>8967</v>
      </c>
      <c r="L1463">
        <v>1.79</v>
      </c>
      <c r="M1463" t="s">
        <v>46</v>
      </c>
      <c r="N1463" t="s">
        <v>3557</v>
      </c>
      <c r="O1463">
        <v>7.55</v>
      </c>
      <c r="P1463">
        <v>7.32</v>
      </c>
      <c r="Q1463">
        <v>7.48</v>
      </c>
      <c r="R1463">
        <v>7.46</v>
      </c>
      <c r="S1463">
        <v>3.08</v>
      </c>
      <c r="T1463">
        <v>1.21</v>
      </c>
      <c r="U1463">
        <v>39.58</v>
      </c>
      <c r="V1463">
        <v>2868</v>
      </c>
      <c r="W1463">
        <v>7.42</v>
      </c>
      <c r="X1463" t="s">
        <v>110</v>
      </c>
      <c r="Y1463" t="s">
        <v>2619</v>
      </c>
      <c r="Z1463">
        <v>1.18</v>
      </c>
      <c r="AA1463">
        <v>514</v>
      </c>
      <c r="AB1463">
        <v>384</v>
      </c>
      <c r="AC1463">
        <v>1.94</v>
      </c>
      <c r="AD1463" t="s">
        <v>9006</v>
      </c>
      <c r="AE1463" t="s">
        <v>9007</v>
      </c>
      <c r="AF1463" t="s">
        <v>9008</v>
      </c>
      <c r="AG1463" t="s">
        <v>9009</v>
      </c>
      <c r="AH1463">
        <v>-8.22</v>
      </c>
      <c r="AI1463">
        <v>-9.88</v>
      </c>
      <c r="AJ1463">
        <v>6.96</v>
      </c>
      <c r="AK1463">
        <v>9.19</v>
      </c>
      <c r="AL1463">
        <v>1</v>
      </c>
      <c r="AM1463">
        <v>0.27</v>
      </c>
      <c r="AN1463">
        <v>-47.91</v>
      </c>
      <c r="AO1463">
        <v>-11.79</v>
      </c>
      <c r="AP1463">
        <v>-50.89</v>
      </c>
    </row>
    <row r="1464" spans="1:42">
      <c r="A1464">
        <v>1463</v>
      </c>
      <c r="B1464" t="str">
        <f>"300522"</f>
        <v>300522</v>
      </c>
      <c r="C1464" t="s">
        <v>9010</v>
      </c>
      <c r="D1464">
        <v>14.17</v>
      </c>
      <c r="E1464">
        <v>-3.01</v>
      </c>
      <c r="F1464">
        <v>-0.44</v>
      </c>
      <c r="G1464" t="s">
        <v>9011</v>
      </c>
      <c r="H1464">
        <v>811</v>
      </c>
      <c r="I1464">
        <v>14.16</v>
      </c>
      <c r="J1464">
        <v>14.17</v>
      </c>
      <c r="K1464" t="s">
        <v>8967</v>
      </c>
      <c r="L1464">
        <v>4.49</v>
      </c>
      <c r="M1464" t="s">
        <v>46</v>
      </c>
      <c r="N1464" t="s">
        <v>9012</v>
      </c>
      <c r="O1464">
        <v>14.63</v>
      </c>
      <c r="P1464">
        <v>13.84</v>
      </c>
      <c r="Q1464">
        <v>14.5</v>
      </c>
      <c r="R1464">
        <v>14.61</v>
      </c>
      <c r="S1464">
        <v>5.41</v>
      </c>
      <c r="T1464">
        <v>0.75</v>
      </c>
      <c r="U1464">
        <v>-28.83</v>
      </c>
      <c r="V1464">
        <v>-639</v>
      </c>
      <c r="W1464">
        <v>14.16</v>
      </c>
      <c r="X1464" t="s">
        <v>2386</v>
      </c>
      <c r="Y1464" t="s">
        <v>944</v>
      </c>
      <c r="Z1464">
        <v>1.12</v>
      </c>
      <c r="AA1464">
        <v>127</v>
      </c>
      <c r="AB1464">
        <v>449</v>
      </c>
      <c r="AC1464">
        <v>5.58</v>
      </c>
      <c r="AD1464" t="s">
        <v>9013</v>
      </c>
      <c r="AE1464" t="s">
        <v>9014</v>
      </c>
      <c r="AF1464" t="s">
        <v>9015</v>
      </c>
      <c r="AG1464" t="s">
        <v>9016</v>
      </c>
      <c r="AH1464">
        <v>-4.39</v>
      </c>
      <c r="AI1464">
        <v>-6.1</v>
      </c>
      <c r="AJ1464">
        <v>12.39</v>
      </c>
      <c r="AK1464">
        <v>34.31</v>
      </c>
      <c r="AL1464">
        <v>-2</v>
      </c>
      <c r="AM1464">
        <v>-3.01</v>
      </c>
      <c r="AN1464">
        <v>78.02</v>
      </c>
      <c r="AO1464">
        <v>12.64</v>
      </c>
      <c r="AP1464">
        <v>68.09</v>
      </c>
    </row>
    <row r="1465" spans="1:42">
      <c r="A1465">
        <v>1464</v>
      </c>
      <c r="B1465" t="str">
        <f>"300228"</f>
        <v>300228</v>
      </c>
      <c r="C1465" t="s">
        <v>9017</v>
      </c>
      <c r="D1465">
        <v>7.6</v>
      </c>
      <c r="E1465">
        <v>-2.44</v>
      </c>
      <c r="F1465">
        <v>-0.19</v>
      </c>
      <c r="G1465" t="s">
        <v>797</v>
      </c>
      <c r="H1465">
        <v>2213</v>
      </c>
      <c r="I1465">
        <v>7.6</v>
      </c>
      <c r="J1465">
        <v>7.61</v>
      </c>
      <c r="K1465" t="s">
        <v>8967</v>
      </c>
      <c r="L1465">
        <v>3.32</v>
      </c>
      <c r="M1465" t="s">
        <v>46</v>
      </c>
      <c r="N1465" t="s">
        <v>1375</v>
      </c>
      <c r="O1465">
        <v>7.87</v>
      </c>
      <c r="P1465">
        <v>7.57</v>
      </c>
      <c r="Q1465">
        <v>7.77</v>
      </c>
      <c r="R1465">
        <v>7.79</v>
      </c>
      <c r="S1465">
        <v>3.85</v>
      </c>
      <c r="T1465">
        <v>1.02</v>
      </c>
      <c r="U1465">
        <v>-21.55</v>
      </c>
      <c r="V1465">
        <v>-916</v>
      </c>
      <c r="W1465">
        <v>7.69</v>
      </c>
      <c r="X1465" t="s">
        <v>8379</v>
      </c>
      <c r="Y1465" t="s">
        <v>4635</v>
      </c>
      <c r="Z1465">
        <v>0.98</v>
      </c>
      <c r="AA1465">
        <v>680</v>
      </c>
      <c r="AB1465">
        <v>83</v>
      </c>
      <c r="AC1465">
        <v>2.47</v>
      </c>
      <c r="AD1465" t="s">
        <v>9018</v>
      </c>
      <c r="AE1465" t="s">
        <v>9019</v>
      </c>
      <c r="AF1465" t="s">
        <v>9020</v>
      </c>
      <c r="AG1465" t="s">
        <v>9021</v>
      </c>
      <c r="AH1465">
        <v>-5.71</v>
      </c>
      <c r="AI1465">
        <v>-5.59</v>
      </c>
      <c r="AJ1465">
        <v>10.75</v>
      </c>
      <c r="AK1465">
        <v>19.68</v>
      </c>
      <c r="AL1465">
        <v>-3</v>
      </c>
      <c r="AM1465">
        <v>-2.44</v>
      </c>
      <c r="AN1465">
        <v>48.73</v>
      </c>
      <c r="AO1465">
        <v>-1.17</v>
      </c>
      <c r="AP1465">
        <v>32.87</v>
      </c>
    </row>
    <row r="1466" spans="1:42">
      <c r="A1466">
        <v>1465</v>
      </c>
      <c r="B1466" t="str">
        <f>"603185"</f>
        <v>603185</v>
      </c>
      <c r="C1466" t="s">
        <v>9022</v>
      </c>
      <c r="D1466">
        <v>32.64</v>
      </c>
      <c r="E1466">
        <v>-1.39</v>
      </c>
      <c r="F1466">
        <v>-0.46</v>
      </c>
      <c r="G1466" t="s">
        <v>4087</v>
      </c>
      <c r="H1466">
        <v>681</v>
      </c>
      <c r="I1466">
        <v>32.63</v>
      </c>
      <c r="J1466">
        <v>32.64</v>
      </c>
      <c r="K1466" t="s">
        <v>8967</v>
      </c>
      <c r="L1466">
        <v>0.74</v>
      </c>
      <c r="M1466" t="s">
        <v>46</v>
      </c>
      <c r="N1466" t="s">
        <v>9023</v>
      </c>
      <c r="O1466">
        <v>33.23</v>
      </c>
      <c r="P1466">
        <v>32.4</v>
      </c>
      <c r="Q1466">
        <v>33.16</v>
      </c>
      <c r="R1466">
        <v>33.1</v>
      </c>
      <c r="S1466">
        <v>2.51</v>
      </c>
      <c r="T1466">
        <v>0.92</v>
      </c>
      <c r="U1466">
        <v>46.53</v>
      </c>
      <c r="V1466">
        <v>340</v>
      </c>
      <c r="W1466">
        <v>32.73</v>
      </c>
      <c r="X1466" t="s">
        <v>1520</v>
      </c>
      <c r="Y1466" t="s">
        <v>9024</v>
      </c>
      <c r="Z1466">
        <v>1.04</v>
      </c>
      <c r="AA1466">
        <v>85</v>
      </c>
      <c r="AB1466">
        <v>33</v>
      </c>
      <c r="AC1466">
        <v>1.46</v>
      </c>
      <c r="AD1466" t="s">
        <v>9025</v>
      </c>
      <c r="AE1466" t="s">
        <v>6087</v>
      </c>
      <c r="AF1466" t="s">
        <v>9026</v>
      </c>
      <c r="AG1466" t="s">
        <v>9027</v>
      </c>
      <c r="AH1466">
        <v>-4.95</v>
      </c>
      <c r="AI1466">
        <v>-10.67</v>
      </c>
      <c r="AJ1466">
        <v>2.34</v>
      </c>
      <c r="AK1466">
        <v>4.77</v>
      </c>
      <c r="AL1466">
        <v>-6</v>
      </c>
      <c r="AM1466">
        <v>-1.39</v>
      </c>
      <c r="AN1466">
        <v>-55.57</v>
      </c>
      <c r="AO1466">
        <v>-12.02</v>
      </c>
      <c r="AP1466">
        <v>-61.29</v>
      </c>
    </row>
    <row r="1467" spans="1:42">
      <c r="A1467">
        <v>1466</v>
      </c>
      <c r="B1467" t="str">
        <f>"300687"</f>
        <v>300687</v>
      </c>
      <c r="C1467" t="s">
        <v>9028</v>
      </c>
      <c r="D1467">
        <v>23.93</v>
      </c>
      <c r="E1467">
        <v>2.4</v>
      </c>
      <c r="F1467">
        <v>0.56</v>
      </c>
      <c r="G1467" t="s">
        <v>525</v>
      </c>
      <c r="H1467">
        <v>781</v>
      </c>
      <c r="I1467">
        <v>23.93</v>
      </c>
      <c r="J1467">
        <v>23.94</v>
      </c>
      <c r="K1467" t="s">
        <v>8967</v>
      </c>
      <c r="L1467">
        <v>1.84</v>
      </c>
      <c r="M1467" t="s">
        <v>46</v>
      </c>
      <c r="N1467" t="s">
        <v>9029</v>
      </c>
      <c r="O1467">
        <v>24.21</v>
      </c>
      <c r="P1467">
        <v>23.11</v>
      </c>
      <c r="Q1467">
        <v>23.47</v>
      </c>
      <c r="R1467">
        <v>23.37</v>
      </c>
      <c r="S1467">
        <v>4.71</v>
      </c>
      <c r="T1467">
        <v>1.09</v>
      </c>
      <c r="U1467">
        <v>-24.39</v>
      </c>
      <c r="V1467">
        <v>-194</v>
      </c>
      <c r="W1467">
        <v>23.72</v>
      </c>
      <c r="X1467" t="s">
        <v>7389</v>
      </c>
      <c r="Y1467" t="s">
        <v>2727</v>
      </c>
      <c r="Z1467">
        <v>1.03</v>
      </c>
      <c r="AA1467">
        <v>49</v>
      </c>
      <c r="AB1467">
        <v>20</v>
      </c>
      <c r="AC1467">
        <v>3.83</v>
      </c>
      <c r="AD1467" t="s">
        <v>9030</v>
      </c>
      <c r="AE1467" t="s">
        <v>9031</v>
      </c>
      <c r="AF1467" t="s">
        <v>9032</v>
      </c>
      <c r="AG1467" t="s">
        <v>9033</v>
      </c>
      <c r="AH1467">
        <v>0.46</v>
      </c>
      <c r="AI1467">
        <v>-4.09</v>
      </c>
      <c r="AJ1467">
        <v>3.95</v>
      </c>
      <c r="AK1467">
        <v>10.31</v>
      </c>
      <c r="AL1467">
        <v>1</v>
      </c>
      <c r="AM1467">
        <v>2.4</v>
      </c>
      <c r="AN1467">
        <v>-18.55</v>
      </c>
      <c r="AO1467">
        <v>0.04</v>
      </c>
      <c r="AP1467">
        <v>-25.52</v>
      </c>
    </row>
    <row r="1468" spans="1:42">
      <c r="A1468">
        <v>1467</v>
      </c>
      <c r="B1468" t="str">
        <f>"000547"</f>
        <v>000547</v>
      </c>
      <c r="C1468" t="s">
        <v>9034</v>
      </c>
      <c r="D1468">
        <v>9.03</v>
      </c>
      <c r="E1468">
        <v>1.35</v>
      </c>
      <c r="F1468">
        <v>0.12</v>
      </c>
      <c r="G1468" t="s">
        <v>2291</v>
      </c>
      <c r="H1468">
        <v>1244</v>
      </c>
      <c r="I1468">
        <v>9.02</v>
      </c>
      <c r="J1468">
        <v>9.03</v>
      </c>
      <c r="K1468" t="s">
        <v>9035</v>
      </c>
      <c r="L1468">
        <v>0.97</v>
      </c>
      <c r="M1468" t="s">
        <v>46</v>
      </c>
      <c r="N1468" t="s">
        <v>1386</v>
      </c>
      <c r="O1468">
        <v>9.07</v>
      </c>
      <c r="P1468">
        <v>8.89</v>
      </c>
      <c r="Q1468">
        <v>8.92</v>
      </c>
      <c r="R1468">
        <v>8.91</v>
      </c>
      <c r="S1468">
        <v>2.02</v>
      </c>
      <c r="T1468">
        <v>0.92</v>
      </c>
      <c r="U1468">
        <v>-17.07</v>
      </c>
      <c r="V1468">
        <v>-1585</v>
      </c>
      <c r="W1468">
        <v>8.98</v>
      </c>
      <c r="X1468" t="s">
        <v>9036</v>
      </c>
      <c r="Y1468" t="s">
        <v>3765</v>
      </c>
      <c r="Z1468">
        <v>0.94</v>
      </c>
      <c r="AA1468">
        <v>492</v>
      </c>
      <c r="AB1468">
        <v>648</v>
      </c>
      <c r="AC1468">
        <v>1.74</v>
      </c>
      <c r="AD1468" t="s">
        <v>9037</v>
      </c>
      <c r="AE1468" t="s">
        <v>9007</v>
      </c>
      <c r="AF1468" t="s">
        <v>635</v>
      </c>
      <c r="AG1468" t="s">
        <v>9038</v>
      </c>
      <c r="AH1468">
        <v>-1.1</v>
      </c>
      <c r="AI1468">
        <v>-3.22</v>
      </c>
      <c r="AJ1468">
        <v>2.77</v>
      </c>
      <c r="AK1468">
        <v>6.22</v>
      </c>
      <c r="AL1468">
        <v>1</v>
      </c>
      <c r="AM1468">
        <v>1.35</v>
      </c>
      <c r="AN1468">
        <v>-3.42</v>
      </c>
      <c r="AO1468">
        <v>5.99</v>
      </c>
      <c r="AP1468">
        <v>-14.81</v>
      </c>
    </row>
    <row r="1469" spans="1:42">
      <c r="A1469">
        <v>1468</v>
      </c>
      <c r="B1469" t="str">
        <f>"688131"</f>
        <v>688131</v>
      </c>
      <c r="C1469" t="s">
        <v>9039</v>
      </c>
      <c r="D1469">
        <v>57.25</v>
      </c>
      <c r="E1469">
        <v>-3.54</v>
      </c>
      <c r="F1469">
        <v>-2.1</v>
      </c>
      <c r="G1469" t="s">
        <v>4037</v>
      </c>
      <c r="H1469">
        <v>80</v>
      </c>
      <c r="I1469">
        <v>57.25</v>
      </c>
      <c r="J1469">
        <v>57.3</v>
      </c>
      <c r="K1469" t="s">
        <v>9035</v>
      </c>
      <c r="L1469">
        <v>2.8</v>
      </c>
      <c r="M1469" t="s">
        <v>46</v>
      </c>
      <c r="N1469" t="s">
        <v>1907</v>
      </c>
      <c r="O1469">
        <v>59.64</v>
      </c>
      <c r="P1469">
        <v>56.23</v>
      </c>
      <c r="Q1469">
        <v>59.4</v>
      </c>
      <c r="R1469">
        <v>59.35</v>
      </c>
      <c r="S1469">
        <v>5.75</v>
      </c>
      <c r="T1469">
        <v>1.88</v>
      </c>
      <c r="U1469">
        <v>-45.39</v>
      </c>
      <c r="V1469">
        <v>-85</v>
      </c>
      <c r="W1469">
        <v>57.13</v>
      </c>
      <c r="X1469" t="s">
        <v>2371</v>
      </c>
      <c r="Y1469">
        <v>9142</v>
      </c>
      <c r="Z1469">
        <v>1.65</v>
      </c>
      <c r="AA1469">
        <v>5</v>
      </c>
      <c r="AB1469">
        <v>62</v>
      </c>
      <c r="AC1469">
        <v>3.49</v>
      </c>
      <c r="AD1469" t="s">
        <v>7764</v>
      </c>
      <c r="AE1469" t="s">
        <v>9040</v>
      </c>
      <c r="AF1469" t="s">
        <v>9041</v>
      </c>
      <c r="AG1469" t="s">
        <v>9042</v>
      </c>
      <c r="AH1469">
        <v>-8.4</v>
      </c>
      <c r="AI1469">
        <v>-7.35</v>
      </c>
      <c r="AJ1469">
        <v>6.54</v>
      </c>
      <c r="AK1469">
        <v>10.28</v>
      </c>
      <c r="AL1469">
        <v>-3</v>
      </c>
      <c r="AM1469">
        <v>-3.54</v>
      </c>
      <c r="AN1469">
        <v>-25.78</v>
      </c>
      <c r="AO1469">
        <v>-11.21</v>
      </c>
      <c r="AP1469">
        <v>-27.11</v>
      </c>
    </row>
    <row r="1470" spans="1:42">
      <c r="A1470">
        <v>1469</v>
      </c>
      <c r="B1470" t="str">
        <f>"002335"</f>
        <v>002335</v>
      </c>
      <c r="C1470" t="s">
        <v>9043</v>
      </c>
      <c r="D1470">
        <v>28.27</v>
      </c>
      <c r="E1470">
        <v>0.78</v>
      </c>
      <c r="F1470">
        <v>0.22</v>
      </c>
      <c r="G1470" t="s">
        <v>6045</v>
      </c>
      <c r="H1470">
        <v>630</v>
      </c>
      <c r="I1470">
        <v>28.26</v>
      </c>
      <c r="J1470">
        <v>28.27</v>
      </c>
      <c r="K1470" t="s">
        <v>9035</v>
      </c>
      <c r="L1470">
        <v>1.23</v>
      </c>
      <c r="M1470" t="s">
        <v>46</v>
      </c>
      <c r="N1470" t="s">
        <v>4156</v>
      </c>
      <c r="O1470">
        <v>28.38</v>
      </c>
      <c r="P1470">
        <v>27.79</v>
      </c>
      <c r="Q1470">
        <v>27.92</v>
      </c>
      <c r="R1470">
        <v>28.05</v>
      </c>
      <c r="S1470">
        <v>2.1</v>
      </c>
      <c r="T1470">
        <v>0.81</v>
      </c>
      <c r="U1470">
        <v>-19.15</v>
      </c>
      <c r="V1470">
        <v>-189</v>
      </c>
      <c r="W1470">
        <v>28.1</v>
      </c>
      <c r="X1470" t="s">
        <v>4036</v>
      </c>
      <c r="Y1470" t="s">
        <v>5710</v>
      </c>
      <c r="Z1470">
        <v>1.11</v>
      </c>
      <c r="AA1470">
        <v>51</v>
      </c>
      <c r="AB1470">
        <v>351</v>
      </c>
      <c r="AC1470">
        <v>3.16</v>
      </c>
      <c r="AD1470" t="s">
        <v>9044</v>
      </c>
      <c r="AE1470" t="s">
        <v>9045</v>
      </c>
      <c r="AF1470" t="s">
        <v>4258</v>
      </c>
      <c r="AG1470" t="s">
        <v>9046</v>
      </c>
      <c r="AH1470">
        <v>-1.5</v>
      </c>
      <c r="AI1470">
        <v>-3.05</v>
      </c>
      <c r="AJ1470">
        <v>4.72</v>
      </c>
      <c r="AK1470">
        <v>8.81</v>
      </c>
      <c r="AL1470">
        <v>1</v>
      </c>
      <c r="AM1470">
        <v>0.78</v>
      </c>
      <c r="AN1470">
        <v>-43.28</v>
      </c>
      <c r="AO1470">
        <v>-0.25</v>
      </c>
      <c r="AP1470">
        <v>-40.27</v>
      </c>
    </row>
    <row r="1471" spans="1:42">
      <c r="A1471">
        <v>1470</v>
      </c>
      <c r="B1471" t="str">
        <f>"003021"</f>
        <v>003021</v>
      </c>
      <c r="C1471" t="s">
        <v>9047</v>
      </c>
      <c r="D1471">
        <v>79.37</v>
      </c>
      <c r="E1471">
        <v>-0.11</v>
      </c>
      <c r="F1471">
        <v>-0.09</v>
      </c>
      <c r="G1471" t="s">
        <v>2575</v>
      </c>
      <c r="H1471">
        <v>182</v>
      </c>
      <c r="I1471">
        <v>79.37</v>
      </c>
      <c r="J1471">
        <v>79.39</v>
      </c>
      <c r="K1471" t="s">
        <v>9035</v>
      </c>
      <c r="L1471">
        <v>2.9</v>
      </c>
      <c r="M1471" t="s">
        <v>46</v>
      </c>
      <c r="N1471" t="s">
        <v>9048</v>
      </c>
      <c r="O1471">
        <v>80.29</v>
      </c>
      <c r="P1471">
        <v>78.2</v>
      </c>
      <c r="Q1471">
        <v>79.26</v>
      </c>
      <c r="R1471">
        <v>79.46</v>
      </c>
      <c r="S1471">
        <v>2.63</v>
      </c>
      <c r="T1471">
        <v>0.65</v>
      </c>
      <c r="U1471">
        <v>81.95</v>
      </c>
      <c r="V1471">
        <v>236</v>
      </c>
      <c r="W1471">
        <v>79.07</v>
      </c>
      <c r="X1471">
        <v>9087</v>
      </c>
      <c r="Y1471">
        <v>8386</v>
      </c>
      <c r="Z1471">
        <v>1.08</v>
      </c>
      <c r="AA1471">
        <v>110</v>
      </c>
      <c r="AB1471">
        <v>12</v>
      </c>
      <c r="AC1471">
        <v>4.47</v>
      </c>
      <c r="AD1471" t="s">
        <v>9049</v>
      </c>
      <c r="AE1471" t="s">
        <v>2687</v>
      </c>
      <c r="AF1471" t="s">
        <v>9050</v>
      </c>
      <c r="AG1471" t="s">
        <v>5291</v>
      </c>
      <c r="AH1471">
        <v>1.34</v>
      </c>
      <c r="AI1471">
        <v>2.81</v>
      </c>
      <c r="AJ1471">
        <v>12.82</v>
      </c>
      <c r="AK1471">
        <v>25.3</v>
      </c>
      <c r="AL1471">
        <v>-2</v>
      </c>
      <c r="AM1471">
        <v>-0.11</v>
      </c>
      <c r="AN1471">
        <v>65.7</v>
      </c>
      <c r="AO1471">
        <v>7.1</v>
      </c>
      <c r="AP1471">
        <v>36.68</v>
      </c>
    </row>
    <row r="1472" spans="1:42">
      <c r="A1472">
        <v>1471</v>
      </c>
      <c r="B1472" t="str">
        <f>"600267"</f>
        <v>600267</v>
      </c>
      <c r="C1472" t="s">
        <v>9051</v>
      </c>
      <c r="D1472">
        <v>10.25</v>
      </c>
      <c r="E1472">
        <v>0.2</v>
      </c>
      <c r="F1472">
        <v>0.02</v>
      </c>
      <c r="G1472" t="s">
        <v>4247</v>
      </c>
      <c r="H1472">
        <v>1362</v>
      </c>
      <c r="I1472">
        <v>10.24</v>
      </c>
      <c r="J1472">
        <v>10.25</v>
      </c>
      <c r="K1472" t="s">
        <v>9035</v>
      </c>
      <c r="L1472">
        <v>1.19</v>
      </c>
      <c r="M1472" t="s">
        <v>46</v>
      </c>
      <c r="N1472" t="s">
        <v>9052</v>
      </c>
      <c r="O1472">
        <v>10.32</v>
      </c>
      <c r="P1472">
        <v>10.17</v>
      </c>
      <c r="Q1472">
        <v>10.19</v>
      </c>
      <c r="R1472">
        <v>10.23</v>
      </c>
      <c r="S1472">
        <v>1.47</v>
      </c>
      <c r="T1472">
        <v>0.72</v>
      </c>
      <c r="U1472">
        <v>3.29</v>
      </c>
      <c r="V1472">
        <v>319</v>
      </c>
      <c r="W1472">
        <v>10.24</v>
      </c>
      <c r="X1472" t="s">
        <v>1900</v>
      </c>
      <c r="Y1472" t="s">
        <v>4228</v>
      </c>
      <c r="Z1472">
        <v>0.91</v>
      </c>
      <c r="AA1472">
        <v>602</v>
      </c>
      <c r="AB1472">
        <v>778</v>
      </c>
      <c r="AC1472">
        <v>1.5</v>
      </c>
      <c r="AD1472" t="s">
        <v>9053</v>
      </c>
      <c r="AE1472" t="s">
        <v>6168</v>
      </c>
      <c r="AF1472" t="s">
        <v>4178</v>
      </c>
      <c r="AG1472" t="s">
        <v>9054</v>
      </c>
      <c r="AH1472">
        <v>-1.06</v>
      </c>
      <c r="AI1472">
        <v>-1.54</v>
      </c>
      <c r="AJ1472">
        <v>3.74</v>
      </c>
      <c r="AK1472">
        <v>9.44</v>
      </c>
      <c r="AL1472">
        <v>2</v>
      </c>
      <c r="AM1472">
        <v>0.2</v>
      </c>
      <c r="AN1472">
        <v>-5.53</v>
      </c>
      <c r="AO1472">
        <v>1.28</v>
      </c>
      <c r="AP1472">
        <v>-9.45</v>
      </c>
    </row>
    <row r="1473" spans="1:42">
      <c r="A1473">
        <v>1472</v>
      </c>
      <c r="B1473" t="str">
        <f>"600130"</f>
        <v>600130</v>
      </c>
      <c r="C1473" t="s">
        <v>9055</v>
      </c>
      <c r="D1473">
        <v>5.23</v>
      </c>
      <c r="E1473">
        <v>1.55</v>
      </c>
      <c r="F1473">
        <v>0.08</v>
      </c>
      <c r="G1473" t="s">
        <v>1111</v>
      </c>
      <c r="H1473">
        <v>6202</v>
      </c>
      <c r="I1473">
        <v>5.23</v>
      </c>
      <c r="J1473">
        <v>5.24</v>
      </c>
      <c r="K1473" t="s">
        <v>9035</v>
      </c>
      <c r="L1473">
        <v>3.47</v>
      </c>
      <c r="M1473" t="s">
        <v>46</v>
      </c>
      <c r="N1473" t="s">
        <v>4608</v>
      </c>
      <c r="O1473">
        <v>5.24</v>
      </c>
      <c r="P1473">
        <v>5.1</v>
      </c>
      <c r="Q1473">
        <v>5.18</v>
      </c>
      <c r="R1473">
        <v>5.15</v>
      </c>
      <c r="S1473">
        <v>2.72</v>
      </c>
      <c r="T1473">
        <v>0.61</v>
      </c>
      <c r="U1473">
        <v>-46.97</v>
      </c>
      <c r="V1473" t="s">
        <v>3836</v>
      </c>
      <c r="W1473">
        <v>5.18</v>
      </c>
      <c r="X1473" t="s">
        <v>1540</v>
      </c>
      <c r="Y1473" t="s">
        <v>959</v>
      </c>
      <c r="Z1473">
        <v>0.79</v>
      </c>
      <c r="AA1473">
        <v>313</v>
      </c>
      <c r="AB1473">
        <v>3226</v>
      </c>
      <c r="AC1473">
        <v>3.96</v>
      </c>
      <c r="AD1473" t="s">
        <v>9056</v>
      </c>
      <c r="AE1473" t="s">
        <v>9057</v>
      </c>
      <c r="AF1473" t="s">
        <v>9056</v>
      </c>
      <c r="AG1473" t="s">
        <v>9057</v>
      </c>
      <c r="AH1473">
        <v>-1.69</v>
      </c>
      <c r="AI1473">
        <v>-6.94</v>
      </c>
      <c r="AJ1473">
        <v>13.63</v>
      </c>
      <c r="AK1473">
        <v>31.89</v>
      </c>
      <c r="AL1473">
        <v>1</v>
      </c>
      <c r="AM1473">
        <v>1.55</v>
      </c>
      <c r="AN1473">
        <v>17.53</v>
      </c>
      <c r="AO1473">
        <v>-7.1</v>
      </c>
      <c r="AP1473">
        <v>9.64</v>
      </c>
    </row>
    <row r="1474" spans="1:42">
      <c r="A1474">
        <v>1473</v>
      </c>
      <c r="B1474" t="str">
        <f>"300996"</f>
        <v>300996</v>
      </c>
      <c r="C1474" t="s">
        <v>9058</v>
      </c>
      <c r="D1474">
        <v>27.36</v>
      </c>
      <c r="E1474">
        <v>5.27</v>
      </c>
      <c r="F1474">
        <v>1.37</v>
      </c>
      <c r="G1474" t="s">
        <v>9059</v>
      </c>
      <c r="H1474">
        <v>168</v>
      </c>
      <c r="I1474">
        <v>27.36</v>
      </c>
      <c r="J1474">
        <v>27.37</v>
      </c>
      <c r="K1474" t="s">
        <v>9035</v>
      </c>
      <c r="L1474">
        <v>4.18</v>
      </c>
      <c r="M1474" t="s">
        <v>46</v>
      </c>
      <c r="N1474" t="s">
        <v>4345</v>
      </c>
      <c r="O1474">
        <v>27.88</v>
      </c>
      <c r="P1474">
        <v>25.74</v>
      </c>
      <c r="Q1474">
        <v>25.91</v>
      </c>
      <c r="R1474">
        <v>25.99</v>
      </c>
      <c r="S1474">
        <v>8.23</v>
      </c>
      <c r="T1474">
        <v>1.19</v>
      </c>
      <c r="U1474">
        <v>16.57</v>
      </c>
      <c r="V1474">
        <v>46</v>
      </c>
      <c r="W1474">
        <v>26.84</v>
      </c>
      <c r="X1474" t="s">
        <v>4269</v>
      </c>
      <c r="Y1474" t="s">
        <v>2388</v>
      </c>
      <c r="Z1474">
        <v>0.9</v>
      </c>
      <c r="AA1474">
        <v>1</v>
      </c>
      <c r="AB1474">
        <v>24</v>
      </c>
      <c r="AC1474">
        <v>4.97</v>
      </c>
      <c r="AD1474" t="s">
        <v>9060</v>
      </c>
      <c r="AE1474" t="s">
        <v>9061</v>
      </c>
      <c r="AF1474" t="s">
        <v>9062</v>
      </c>
      <c r="AG1474" t="s">
        <v>9063</v>
      </c>
      <c r="AH1474">
        <v>5.27</v>
      </c>
      <c r="AI1474">
        <v>-1.76</v>
      </c>
      <c r="AJ1474">
        <v>9.58</v>
      </c>
      <c r="AK1474">
        <v>21.75</v>
      </c>
      <c r="AL1474">
        <v>2</v>
      </c>
      <c r="AM1474">
        <v>5.27</v>
      </c>
      <c r="AN1474">
        <v>-6.01</v>
      </c>
      <c r="AO1474">
        <v>21.65</v>
      </c>
      <c r="AP1474">
        <v>-13.25</v>
      </c>
    </row>
    <row r="1475" spans="1:42">
      <c r="A1475">
        <v>1474</v>
      </c>
      <c r="B1475" t="str">
        <f>"002215"</f>
        <v>002215</v>
      </c>
      <c r="C1475" t="s">
        <v>9064</v>
      </c>
      <c r="D1475">
        <v>9.07</v>
      </c>
      <c r="E1475">
        <v>0</v>
      </c>
      <c r="F1475">
        <v>0</v>
      </c>
      <c r="G1475" t="s">
        <v>1377</v>
      </c>
      <c r="H1475">
        <v>1867</v>
      </c>
      <c r="I1475">
        <v>9.07</v>
      </c>
      <c r="J1475">
        <v>9.08</v>
      </c>
      <c r="K1475" t="s">
        <v>6174</v>
      </c>
      <c r="L1475">
        <v>1.9</v>
      </c>
      <c r="M1475" t="s">
        <v>46</v>
      </c>
      <c r="N1475" t="s">
        <v>9065</v>
      </c>
      <c r="O1475">
        <v>9.25</v>
      </c>
      <c r="P1475">
        <v>9.03</v>
      </c>
      <c r="Q1475">
        <v>9.12</v>
      </c>
      <c r="R1475">
        <v>9.07</v>
      </c>
      <c r="S1475">
        <v>2.43</v>
      </c>
      <c r="T1475">
        <v>0.69</v>
      </c>
      <c r="U1475">
        <v>28.29</v>
      </c>
      <c r="V1475">
        <v>2938</v>
      </c>
      <c r="W1475">
        <v>9.11</v>
      </c>
      <c r="X1475" t="s">
        <v>2781</v>
      </c>
      <c r="Y1475" t="s">
        <v>7743</v>
      </c>
      <c r="Z1475">
        <v>1.31</v>
      </c>
      <c r="AA1475">
        <v>160</v>
      </c>
      <c r="AB1475">
        <v>549</v>
      </c>
      <c r="AC1475">
        <v>2.36</v>
      </c>
      <c r="AD1475" t="s">
        <v>9066</v>
      </c>
      <c r="AE1475" t="s">
        <v>9067</v>
      </c>
      <c r="AF1475" t="s">
        <v>9068</v>
      </c>
      <c r="AG1475" t="s">
        <v>9069</v>
      </c>
      <c r="AH1475">
        <v>0.22</v>
      </c>
      <c r="AI1475">
        <v>1.34</v>
      </c>
      <c r="AJ1475">
        <v>5.63</v>
      </c>
      <c r="AK1475">
        <v>15.74</v>
      </c>
      <c r="AL1475">
        <v>0</v>
      </c>
      <c r="AM1475">
        <v>0</v>
      </c>
      <c r="AN1475">
        <v>77.15</v>
      </c>
      <c r="AO1475">
        <v>14.81</v>
      </c>
      <c r="AP1475">
        <v>66.42</v>
      </c>
    </row>
    <row r="1476" spans="1:42">
      <c r="A1476">
        <v>1475</v>
      </c>
      <c r="B1476" t="str">
        <f>"300866"</f>
        <v>300866</v>
      </c>
      <c r="C1476" t="s">
        <v>9070</v>
      </c>
      <c r="D1476">
        <v>86.12</v>
      </c>
      <c r="E1476">
        <v>-2.56</v>
      </c>
      <c r="F1476">
        <v>-2.26</v>
      </c>
      <c r="G1476" t="s">
        <v>141</v>
      </c>
      <c r="H1476">
        <v>204</v>
      </c>
      <c r="I1476">
        <v>86.11</v>
      </c>
      <c r="J1476">
        <v>86.12</v>
      </c>
      <c r="K1476" t="s">
        <v>6174</v>
      </c>
      <c r="L1476">
        <v>0.71</v>
      </c>
      <c r="M1476" t="s">
        <v>46</v>
      </c>
      <c r="N1476" t="s">
        <v>9071</v>
      </c>
      <c r="O1476">
        <v>88.49</v>
      </c>
      <c r="P1476">
        <v>86.12</v>
      </c>
      <c r="Q1476">
        <v>88.49</v>
      </c>
      <c r="R1476">
        <v>88.38</v>
      </c>
      <c r="S1476">
        <v>2.68</v>
      </c>
      <c r="T1476">
        <v>0.97</v>
      </c>
      <c r="U1476">
        <v>23.81</v>
      </c>
      <c r="V1476">
        <v>45</v>
      </c>
      <c r="W1476">
        <v>86.77</v>
      </c>
      <c r="X1476">
        <v>7176</v>
      </c>
      <c r="Y1476">
        <v>8642</v>
      </c>
      <c r="Z1476">
        <v>0.83</v>
      </c>
      <c r="AA1476">
        <v>23</v>
      </c>
      <c r="AB1476">
        <v>29</v>
      </c>
      <c r="AC1476">
        <v>4.62</v>
      </c>
      <c r="AD1476" t="s">
        <v>9072</v>
      </c>
      <c r="AE1476" t="s">
        <v>9073</v>
      </c>
      <c r="AF1476" t="s">
        <v>9074</v>
      </c>
      <c r="AG1476" t="s">
        <v>9075</v>
      </c>
      <c r="AH1476">
        <v>-2.33</v>
      </c>
      <c r="AI1476">
        <v>-2.81</v>
      </c>
      <c r="AJ1476">
        <v>2.2</v>
      </c>
      <c r="AK1476">
        <v>4.38</v>
      </c>
      <c r="AL1476">
        <v>-1</v>
      </c>
      <c r="AM1476">
        <v>-2.56</v>
      </c>
      <c r="AN1476">
        <v>48.3</v>
      </c>
      <c r="AO1476">
        <v>-4.33</v>
      </c>
      <c r="AP1476">
        <v>47.04</v>
      </c>
    </row>
    <row r="1477" spans="1:42">
      <c r="A1477">
        <v>1476</v>
      </c>
      <c r="B1477" t="str">
        <f>"300680"</f>
        <v>300680</v>
      </c>
      <c r="C1477" t="s">
        <v>9076</v>
      </c>
      <c r="D1477">
        <v>19.68</v>
      </c>
      <c r="E1477">
        <v>-3.2</v>
      </c>
      <c r="F1477">
        <v>-0.65</v>
      </c>
      <c r="G1477" t="s">
        <v>9077</v>
      </c>
      <c r="H1477">
        <v>420</v>
      </c>
      <c r="I1477">
        <v>19.68</v>
      </c>
      <c r="J1477">
        <v>19.69</v>
      </c>
      <c r="K1477" t="s">
        <v>6174</v>
      </c>
      <c r="L1477">
        <v>4.01</v>
      </c>
      <c r="M1477" t="s">
        <v>46</v>
      </c>
      <c r="N1477" t="s">
        <v>517</v>
      </c>
      <c r="O1477">
        <v>20.36</v>
      </c>
      <c r="P1477">
        <v>19.48</v>
      </c>
      <c r="Q1477">
        <v>20.3</v>
      </c>
      <c r="R1477">
        <v>20.33</v>
      </c>
      <c r="S1477">
        <v>4.33</v>
      </c>
      <c r="T1477">
        <v>1.64</v>
      </c>
      <c r="U1477">
        <v>53.99</v>
      </c>
      <c r="V1477">
        <v>952</v>
      </c>
      <c r="W1477">
        <v>19.76</v>
      </c>
      <c r="X1477" t="s">
        <v>4941</v>
      </c>
      <c r="Y1477" t="s">
        <v>2125</v>
      </c>
      <c r="Z1477">
        <v>1.34</v>
      </c>
      <c r="AA1477">
        <v>456</v>
      </c>
      <c r="AB1477">
        <v>50</v>
      </c>
      <c r="AC1477">
        <v>2.7</v>
      </c>
      <c r="AD1477" t="s">
        <v>9078</v>
      </c>
      <c r="AE1477" t="s">
        <v>9079</v>
      </c>
      <c r="AF1477" t="s">
        <v>8324</v>
      </c>
      <c r="AG1477" t="s">
        <v>9080</v>
      </c>
      <c r="AH1477">
        <v>-6.73</v>
      </c>
      <c r="AI1477">
        <v>-9.39</v>
      </c>
      <c r="AJ1477">
        <v>8.5</v>
      </c>
      <c r="AK1477">
        <v>16.29</v>
      </c>
      <c r="AL1477">
        <v>-3</v>
      </c>
      <c r="AM1477">
        <v>-3.2</v>
      </c>
      <c r="AN1477">
        <v>-20.19</v>
      </c>
      <c r="AO1477">
        <v>-7.61</v>
      </c>
      <c r="AP1477">
        <v>-26.84</v>
      </c>
    </row>
    <row r="1478" spans="1:42">
      <c r="A1478">
        <v>1477</v>
      </c>
      <c r="B1478" t="str">
        <f>"301397"</f>
        <v>301397</v>
      </c>
      <c r="C1478" t="s">
        <v>9081</v>
      </c>
      <c r="D1478">
        <v>49.98</v>
      </c>
      <c r="E1478">
        <v>-2.34</v>
      </c>
      <c r="F1478">
        <v>-1.2</v>
      </c>
      <c r="G1478" t="s">
        <v>8952</v>
      </c>
      <c r="H1478">
        <v>441</v>
      </c>
      <c r="I1478">
        <v>49.98</v>
      </c>
      <c r="J1478">
        <v>49.99</v>
      </c>
      <c r="K1478" t="s">
        <v>6174</v>
      </c>
      <c r="L1478">
        <v>11.59</v>
      </c>
      <c r="M1478" t="s">
        <v>46</v>
      </c>
      <c r="N1478" t="s">
        <v>2026</v>
      </c>
      <c r="O1478">
        <v>51.2</v>
      </c>
      <c r="P1478">
        <v>49.28</v>
      </c>
      <c r="Q1478">
        <v>50.69</v>
      </c>
      <c r="R1478">
        <v>51.18</v>
      </c>
      <c r="S1478">
        <v>3.75</v>
      </c>
      <c r="T1478">
        <v>0.64</v>
      </c>
      <c r="U1478">
        <v>9.09</v>
      </c>
      <c r="V1478">
        <v>15</v>
      </c>
      <c r="W1478">
        <v>49.89</v>
      </c>
      <c r="X1478" t="s">
        <v>2371</v>
      </c>
      <c r="Y1478" t="s">
        <v>905</v>
      </c>
      <c r="Z1478">
        <v>1.22</v>
      </c>
      <c r="AA1478">
        <v>14</v>
      </c>
      <c r="AB1478">
        <v>14</v>
      </c>
      <c r="AC1478">
        <v>2.61</v>
      </c>
      <c r="AD1478" t="s">
        <v>5976</v>
      </c>
      <c r="AE1478" t="s">
        <v>3653</v>
      </c>
      <c r="AF1478" t="s">
        <v>9082</v>
      </c>
      <c r="AG1478" t="s">
        <v>849</v>
      </c>
      <c r="AH1478">
        <v>-4.62</v>
      </c>
      <c r="AI1478">
        <v>-2.76</v>
      </c>
      <c r="AJ1478">
        <v>48.82</v>
      </c>
      <c r="AK1478">
        <v>102.27</v>
      </c>
      <c r="AL1478">
        <v>-2</v>
      </c>
      <c r="AM1478">
        <v>-2.34</v>
      </c>
      <c r="AN1478">
        <v>-6.18</v>
      </c>
      <c r="AO1478">
        <v>4.96</v>
      </c>
      <c r="AP1478">
        <v>-6.18</v>
      </c>
    </row>
    <row r="1479" spans="1:42">
      <c r="A1479">
        <v>1478</v>
      </c>
      <c r="B1479" t="str">
        <f>"002935"</f>
        <v>002935</v>
      </c>
      <c r="C1479" t="s">
        <v>9083</v>
      </c>
      <c r="D1479">
        <v>19.65</v>
      </c>
      <c r="E1479">
        <v>1.55</v>
      </c>
      <c r="F1479">
        <v>0.3</v>
      </c>
      <c r="G1479" t="s">
        <v>5040</v>
      </c>
      <c r="H1479">
        <v>607</v>
      </c>
      <c r="I1479">
        <v>19.65</v>
      </c>
      <c r="J1479">
        <v>19.66</v>
      </c>
      <c r="K1479" t="s">
        <v>6174</v>
      </c>
      <c r="L1479">
        <v>2.03</v>
      </c>
      <c r="M1479" t="s">
        <v>46</v>
      </c>
      <c r="N1479" t="s">
        <v>2139</v>
      </c>
      <c r="O1479">
        <v>19.86</v>
      </c>
      <c r="P1479">
        <v>19.25</v>
      </c>
      <c r="Q1479">
        <v>19.26</v>
      </c>
      <c r="R1479">
        <v>19.35</v>
      </c>
      <c r="S1479">
        <v>3.15</v>
      </c>
      <c r="T1479">
        <v>0.62</v>
      </c>
      <c r="U1479">
        <v>8.53</v>
      </c>
      <c r="V1479">
        <v>141</v>
      </c>
      <c r="W1479">
        <v>19.63</v>
      </c>
      <c r="X1479" t="s">
        <v>7485</v>
      </c>
      <c r="Y1479" t="s">
        <v>5877</v>
      </c>
      <c r="Z1479">
        <v>0.66</v>
      </c>
      <c r="AA1479">
        <v>55</v>
      </c>
      <c r="AB1479">
        <v>30</v>
      </c>
      <c r="AC1479">
        <v>4.69</v>
      </c>
      <c r="AD1479" t="s">
        <v>9084</v>
      </c>
      <c r="AE1479" t="s">
        <v>463</v>
      </c>
      <c r="AF1479" t="s">
        <v>9085</v>
      </c>
      <c r="AG1479" t="s">
        <v>9086</v>
      </c>
      <c r="AH1479">
        <v>1.24</v>
      </c>
      <c r="AI1479">
        <v>4.35</v>
      </c>
      <c r="AJ1479">
        <v>8.31</v>
      </c>
      <c r="AK1479">
        <v>18.44</v>
      </c>
      <c r="AL1479">
        <v>1</v>
      </c>
      <c r="AM1479">
        <v>1.55</v>
      </c>
      <c r="AN1479">
        <v>-1.16</v>
      </c>
      <c r="AO1479">
        <v>8.09</v>
      </c>
      <c r="AP1479">
        <v>-10.48</v>
      </c>
    </row>
    <row r="1480" spans="1:42">
      <c r="A1480">
        <v>1479</v>
      </c>
      <c r="B1480" t="str">
        <f>"600363"</f>
        <v>600363</v>
      </c>
      <c r="C1480" t="s">
        <v>9087</v>
      </c>
      <c r="D1480">
        <v>34.4</v>
      </c>
      <c r="E1480">
        <v>-0.32</v>
      </c>
      <c r="F1480">
        <v>-0.11</v>
      </c>
      <c r="G1480" t="s">
        <v>534</v>
      </c>
      <c r="H1480">
        <v>1111</v>
      </c>
      <c r="I1480">
        <v>34.38</v>
      </c>
      <c r="J1480">
        <v>34.4</v>
      </c>
      <c r="K1480" t="s">
        <v>6174</v>
      </c>
      <c r="L1480">
        <v>0.88</v>
      </c>
      <c r="M1480" t="s">
        <v>46</v>
      </c>
      <c r="N1480" t="s">
        <v>9088</v>
      </c>
      <c r="O1480">
        <v>34.61</v>
      </c>
      <c r="P1480">
        <v>34.13</v>
      </c>
      <c r="Q1480">
        <v>34.55</v>
      </c>
      <c r="R1480">
        <v>34.51</v>
      </c>
      <c r="S1480">
        <v>1.39</v>
      </c>
      <c r="T1480">
        <v>0.74</v>
      </c>
      <c r="U1480">
        <v>-12.63</v>
      </c>
      <c r="V1480">
        <v>-89</v>
      </c>
      <c r="W1480">
        <v>34.37</v>
      </c>
      <c r="X1480" t="s">
        <v>6580</v>
      </c>
      <c r="Y1480" t="s">
        <v>2694</v>
      </c>
      <c r="Z1480">
        <v>1.09</v>
      </c>
      <c r="AA1480">
        <v>11</v>
      </c>
      <c r="AB1480">
        <v>156</v>
      </c>
      <c r="AC1480">
        <v>3.94</v>
      </c>
      <c r="AD1480" t="s">
        <v>9089</v>
      </c>
      <c r="AE1480" t="s">
        <v>9090</v>
      </c>
      <c r="AF1480" t="s">
        <v>9091</v>
      </c>
      <c r="AG1480" t="s">
        <v>6480</v>
      </c>
      <c r="AH1480">
        <v>-1.26</v>
      </c>
      <c r="AI1480">
        <v>-0.98</v>
      </c>
      <c r="AJ1480">
        <v>2.88</v>
      </c>
      <c r="AK1480">
        <v>6.89</v>
      </c>
      <c r="AL1480">
        <v>-2</v>
      </c>
      <c r="AM1480">
        <v>-0.32</v>
      </c>
      <c r="AN1480">
        <v>44.84</v>
      </c>
      <c r="AO1480">
        <v>-3.04</v>
      </c>
      <c r="AP1480">
        <v>29.27</v>
      </c>
    </row>
    <row r="1481" spans="1:42">
      <c r="A1481">
        <v>1480</v>
      </c>
      <c r="B1481" t="str">
        <f>"688207"</f>
        <v>688207</v>
      </c>
      <c r="C1481" t="s">
        <v>9092</v>
      </c>
      <c r="D1481">
        <v>20.64</v>
      </c>
      <c r="E1481">
        <v>5.52</v>
      </c>
      <c r="F1481">
        <v>1.08</v>
      </c>
      <c r="G1481" t="s">
        <v>5099</v>
      </c>
      <c r="H1481">
        <v>991</v>
      </c>
      <c r="I1481">
        <v>20.64</v>
      </c>
      <c r="J1481">
        <v>20.65</v>
      </c>
      <c r="K1481" t="s">
        <v>6174</v>
      </c>
      <c r="L1481">
        <v>3.79</v>
      </c>
      <c r="M1481" t="s">
        <v>46</v>
      </c>
      <c r="N1481" t="s">
        <v>2159</v>
      </c>
      <c r="O1481">
        <v>20.86</v>
      </c>
      <c r="P1481">
        <v>19.48</v>
      </c>
      <c r="Q1481">
        <v>19.56</v>
      </c>
      <c r="R1481">
        <v>19.56</v>
      </c>
      <c r="S1481">
        <v>7.06</v>
      </c>
      <c r="T1481">
        <v>1.2</v>
      </c>
      <c r="U1481">
        <v>-66.81</v>
      </c>
      <c r="V1481">
        <v>-722</v>
      </c>
      <c r="W1481">
        <v>20.22</v>
      </c>
      <c r="X1481" t="s">
        <v>4610</v>
      </c>
      <c r="Y1481" t="s">
        <v>2973</v>
      </c>
      <c r="Z1481">
        <v>0.73</v>
      </c>
      <c r="AA1481">
        <v>128</v>
      </c>
      <c r="AB1481">
        <v>209</v>
      </c>
      <c r="AC1481">
        <v>2.27</v>
      </c>
      <c r="AD1481" t="s">
        <v>9093</v>
      </c>
      <c r="AE1481" t="s">
        <v>9094</v>
      </c>
      <c r="AF1481" t="s">
        <v>9095</v>
      </c>
      <c r="AG1481" t="s">
        <v>9096</v>
      </c>
      <c r="AH1481">
        <v>0.54</v>
      </c>
      <c r="AI1481">
        <v>-0.58</v>
      </c>
      <c r="AJ1481">
        <v>10.31</v>
      </c>
      <c r="AK1481">
        <v>19.62</v>
      </c>
      <c r="AL1481">
        <v>1</v>
      </c>
      <c r="AM1481">
        <v>5.52</v>
      </c>
      <c r="AN1481">
        <v>25.62</v>
      </c>
      <c r="AO1481">
        <v>8.46</v>
      </c>
      <c r="AP1481">
        <v>4.56</v>
      </c>
    </row>
    <row r="1482" spans="1:42">
      <c r="A1482">
        <v>1481</v>
      </c>
      <c r="B1482" t="str">
        <f>"300473"</f>
        <v>300473</v>
      </c>
      <c r="C1482" t="s">
        <v>9097</v>
      </c>
      <c r="D1482">
        <v>20.15</v>
      </c>
      <c r="E1482">
        <v>-2.14</v>
      </c>
      <c r="F1482">
        <v>-0.44</v>
      </c>
      <c r="G1482" t="s">
        <v>9098</v>
      </c>
      <c r="H1482">
        <v>677</v>
      </c>
      <c r="I1482">
        <v>20.15</v>
      </c>
      <c r="J1482">
        <v>20.16</v>
      </c>
      <c r="K1482" t="s">
        <v>6174</v>
      </c>
      <c r="L1482">
        <v>4.54</v>
      </c>
      <c r="M1482" t="s">
        <v>46</v>
      </c>
      <c r="N1482" t="s">
        <v>2404</v>
      </c>
      <c r="O1482">
        <v>20.55</v>
      </c>
      <c r="P1482">
        <v>19.95</v>
      </c>
      <c r="Q1482">
        <v>20.51</v>
      </c>
      <c r="R1482">
        <v>20.59</v>
      </c>
      <c r="S1482">
        <v>2.91</v>
      </c>
      <c r="T1482">
        <v>0.83</v>
      </c>
      <c r="U1482">
        <v>59.32</v>
      </c>
      <c r="V1482">
        <v>557</v>
      </c>
      <c r="W1482">
        <v>20.15</v>
      </c>
      <c r="X1482" t="s">
        <v>1453</v>
      </c>
      <c r="Y1482" t="s">
        <v>4914</v>
      </c>
      <c r="Z1482">
        <v>1.19</v>
      </c>
      <c r="AA1482">
        <v>160</v>
      </c>
      <c r="AB1482">
        <v>64</v>
      </c>
      <c r="AC1482">
        <v>2.04</v>
      </c>
      <c r="AD1482" t="s">
        <v>4291</v>
      </c>
      <c r="AE1482" t="s">
        <v>9099</v>
      </c>
      <c r="AF1482" t="s">
        <v>3813</v>
      </c>
      <c r="AG1482" t="s">
        <v>9100</v>
      </c>
      <c r="AH1482">
        <v>-2.75</v>
      </c>
      <c r="AI1482">
        <v>-0.79</v>
      </c>
      <c r="AJ1482">
        <v>14.99</v>
      </c>
      <c r="AK1482">
        <v>31.99</v>
      </c>
      <c r="AL1482">
        <v>-3</v>
      </c>
      <c r="AM1482">
        <v>-2.14</v>
      </c>
      <c r="AN1482">
        <v>35.51</v>
      </c>
      <c r="AO1482">
        <v>6.95</v>
      </c>
      <c r="AP1482">
        <v>17.97</v>
      </c>
    </row>
    <row r="1483" spans="1:42">
      <c r="A1483">
        <v>1482</v>
      </c>
      <c r="B1483" t="str">
        <f>"002992"</f>
        <v>002992</v>
      </c>
      <c r="C1483" t="s">
        <v>9101</v>
      </c>
      <c r="D1483">
        <v>84.92</v>
      </c>
      <c r="E1483">
        <v>0.21</v>
      </c>
      <c r="F1483">
        <v>0.18</v>
      </c>
      <c r="G1483" t="s">
        <v>7487</v>
      </c>
      <c r="H1483">
        <v>244</v>
      </c>
      <c r="I1483">
        <v>84.91</v>
      </c>
      <c r="J1483">
        <v>84.92</v>
      </c>
      <c r="K1483" t="s">
        <v>9102</v>
      </c>
      <c r="L1483">
        <v>2.06</v>
      </c>
      <c r="M1483" t="s">
        <v>46</v>
      </c>
      <c r="N1483" t="s">
        <v>1126</v>
      </c>
      <c r="O1483">
        <v>85.5</v>
      </c>
      <c r="P1483">
        <v>83.5</v>
      </c>
      <c r="Q1483">
        <v>85.18</v>
      </c>
      <c r="R1483">
        <v>84.74</v>
      </c>
      <c r="S1483">
        <v>2.36</v>
      </c>
      <c r="T1483">
        <v>0.56</v>
      </c>
      <c r="U1483">
        <v>34.97</v>
      </c>
      <c r="V1483">
        <v>57</v>
      </c>
      <c r="W1483">
        <v>84.45</v>
      </c>
      <c r="X1483">
        <v>7681</v>
      </c>
      <c r="Y1483">
        <v>8466</v>
      </c>
      <c r="Z1483">
        <v>0.91</v>
      </c>
      <c r="AA1483">
        <v>48</v>
      </c>
      <c r="AB1483">
        <v>27</v>
      </c>
      <c r="AC1483">
        <v>18.79</v>
      </c>
      <c r="AD1483" t="s">
        <v>9103</v>
      </c>
      <c r="AE1483" t="s">
        <v>9104</v>
      </c>
      <c r="AF1483" t="s">
        <v>9105</v>
      </c>
      <c r="AG1483" t="s">
        <v>9106</v>
      </c>
      <c r="AH1483">
        <v>1.7</v>
      </c>
      <c r="AI1483">
        <v>2.13</v>
      </c>
      <c r="AJ1483">
        <v>9.53</v>
      </c>
      <c r="AK1483">
        <v>20.49</v>
      </c>
      <c r="AL1483">
        <v>1</v>
      </c>
      <c r="AM1483">
        <v>0.21</v>
      </c>
      <c r="AN1483">
        <v>53.01</v>
      </c>
      <c r="AO1483">
        <v>36.05</v>
      </c>
      <c r="AP1483">
        <v>27.39</v>
      </c>
    </row>
    <row r="1484" spans="1:42">
      <c r="A1484">
        <v>1483</v>
      </c>
      <c r="B1484" t="str">
        <f>"000901"</f>
        <v>000901</v>
      </c>
      <c r="C1484" t="s">
        <v>9107</v>
      </c>
      <c r="D1484">
        <v>10.2</v>
      </c>
      <c r="E1484">
        <v>1.39</v>
      </c>
      <c r="F1484">
        <v>0.14</v>
      </c>
      <c r="G1484" t="s">
        <v>368</v>
      </c>
      <c r="H1484">
        <v>1846</v>
      </c>
      <c r="I1484">
        <v>10.19</v>
      </c>
      <c r="J1484">
        <v>10.2</v>
      </c>
      <c r="K1484" t="s">
        <v>9102</v>
      </c>
      <c r="L1484">
        <v>1.68</v>
      </c>
      <c r="M1484" t="s">
        <v>46</v>
      </c>
      <c r="N1484" t="s">
        <v>9108</v>
      </c>
      <c r="O1484">
        <v>10.23</v>
      </c>
      <c r="P1484">
        <v>10.06</v>
      </c>
      <c r="Q1484">
        <v>10.12</v>
      </c>
      <c r="R1484">
        <v>10.06</v>
      </c>
      <c r="S1484">
        <v>1.69</v>
      </c>
      <c r="T1484">
        <v>1.3</v>
      </c>
      <c r="U1484">
        <v>-12.35</v>
      </c>
      <c r="V1484">
        <v>-551</v>
      </c>
      <c r="W1484">
        <v>10.16</v>
      </c>
      <c r="X1484" t="s">
        <v>5099</v>
      </c>
      <c r="Y1484" t="s">
        <v>426</v>
      </c>
      <c r="Z1484">
        <v>1.02</v>
      </c>
      <c r="AA1484">
        <v>629</v>
      </c>
      <c r="AB1484">
        <v>16</v>
      </c>
      <c r="AC1484">
        <v>1.89</v>
      </c>
      <c r="AD1484" t="s">
        <v>9109</v>
      </c>
      <c r="AE1484" t="s">
        <v>9110</v>
      </c>
      <c r="AF1484" t="s">
        <v>9109</v>
      </c>
      <c r="AG1484" t="s">
        <v>9110</v>
      </c>
      <c r="AH1484">
        <v>-0.68</v>
      </c>
      <c r="AI1484">
        <v>0</v>
      </c>
      <c r="AJ1484">
        <v>4.14</v>
      </c>
      <c r="AK1484">
        <v>8.16</v>
      </c>
      <c r="AL1484">
        <v>1</v>
      </c>
      <c r="AM1484">
        <v>1.39</v>
      </c>
      <c r="AN1484">
        <v>25.15</v>
      </c>
      <c r="AO1484">
        <v>4.62</v>
      </c>
      <c r="AP1484">
        <v>17.65</v>
      </c>
    </row>
    <row r="1485" spans="1:42">
      <c r="A1485">
        <v>1484</v>
      </c>
      <c r="B1485" t="str">
        <f>"300454"</f>
        <v>300454</v>
      </c>
      <c r="C1485" t="s">
        <v>9111</v>
      </c>
      <c r="D1485">
        <v>86.2</v>
      </c>
      <c r="E1485">
        <v>2.13</v>
      </c>
      <c r="F1485">
        <v>1.8</v>
      </c>
      <c r="G1485" t="s">
        <v>919</v>
      </c>
      <c r="H1485">
        <v>169</v>
      </c>
      <c r="I1485">
        <v>86.2</v>
      </c>
      <c r="J1485">
        <v>86.21</v>
      </c>
      <c r="K1485" t="s">
        <v>9102</v>
      </c>
      <c r="L1485">
        <v>0.58</v>
      </c>
      <c r="M1485" t="s">
        <v>46</v>
      </c>
      <c r="N1485" t="s">
        <v>9112</v>
      </c>
      <c r="O1485">
        <v>86.99</v>
      </c>
      <c r="P1485">
        <v>83.52</v>
      </c>
      <c r="Q1485">
        <v>84.3</v>
      </c>
      <c r="R1485">
        <v>84.4</v>
      </c>
      <c r="S1485">
        <v>4.11</v>
      </c>
      <c r="T1485">
        <v>1.14</v>
      </c>
      <c r="U1485">
        <v>72.9</v>
      </c>
      <c r="V1485">
        <v>156</v>
      </c>
      <c r="W1485">
        <v>85.37</v>
      </c>
      <c r="X1485">
        <v>6204</v>
      </c>
      <c r="Y1485">
        <v>9755</v>
      </c>
      <c r="Z1485">
        <v>0.64</v>
      </c>
      <c r="AA1485">
        <v>113</v>
      </c>
      <c r="AB1485">
        <v>1</v>
      </c>
      <c r="AC1485">
        <v>4.62</v>
      </c>
      <c r="AD1485" t="s">
        <v>9113</v>
      </c>
      <c r="AE1485" t="s">
        <v>9114</v>
      </c>
      <c r="AF1485" t="s">
        <v>9115</v>
      </c>
      <c r="AG1485" t="s">
        <v>8843</v>
      </c>
      <c r="AH1485">
        <v>0.35</v>
      </c>
      <c r="AI1485">
        <v>-1.88</v>
      </c>
      <c r="AJ1485">
        <v>1.49</v>
      </c>
      <c r="AK1485">
        <v>3.14</v>
      </c>
      <c r="AL1485">
        <v>1</v>
      </c>
      <c r="AM1485">
        <v>2.13</v>
      </c>
      <c r="AN1485">
        <v>-23.41</v>
      </c>
      <c r="AO1485">
        <v>3.22</v>
      </c>
      <c r="AP1485">
        <v>-26.62</v>
      </c>
    </row>
    <row r="1486" spans="1:42">
      <c r="A1486">
        <v>1485</v>
      </c>
      <c r="B1486" t="str">
        <f>"300480"</f>
        <v>300480</v>
      </c>
      <c r="C1486" t="s">
        <v>9116</v>
      </c>
      <c r="D1486">
        <v>23.24</v>
      </c>
      <c r="E1486">
        <v>-0.6</v>
      </c>
      <c r="F1486">
        <v>-0.14</v>
      </c>
      <c r="G1486" t="s">
        <v>525</v>
      </c>
      <c r="H1486">
        <v>1459</v>
      </c>
      <c r="I1486">
        <v>23.24</v>
      </c>
      <c r="J1486">
        <v>23.25</v>
      </c>
      <c r="K1486" t="s">
        <v>9102</v>
      </c>
      <c r="L1486">
        <v>2.49</v>
      </c>
      <c r="M1486" t="s">
        <v>46</v>
      </c>
      <c r="N1486" t="s">
        <v>2922</v>
      </c>
      <c r="O1486">
        <v>23.78</v>
      </c>
      <c r="P1486">
        <v>23.13</v>
      </c>
      <c r="Q1486">
        <v>23.19</v>
      </c>
      <c r="R1486">
        <v>23.38</v>
      </c>
      <c r="S1486">
        <v>2.78</v>
      </c>
      <c r="T1486">
        <v>0.77</v>
      </c>
      <c r="U1486">
        <v>62.9</v>
      </c>
      <c r="V1486">
        <v>495</v>
      </c>
      <c r="W1486">
        <v>23.26</v>
      </c>
      <c r="X1486" t="s">
        <v>4761</v>
      </c>
      <c r="Y1486" t="s">
        <v>4036</v>
      </c>
      <c r="Z1486">
        <v>1.25</v>
      </c>
      <c r="AA1486">
        <v>166</v>
      </c>
      <c r="AB1486">
        <v>6</v>
      </c>
      <c r="AC1486">
        <v>5.52</v>
      </c>
      <c r="AD1486" t="s">
        <v>9117</v>
      </c>
      <c r="AE1486" t="s">
        <v>9118</v>
      </c>
      <c r="AF1486" t="s">
        <v>9119</v>
      </c>
      <c r="AG1486" t="s">
        <v>9120</v>
      </c>
      <c r="AH1486">
        <v>-3.29</v>
      </c>
      <c r="AI1486">
        <v>-4.56</v>
      </c>
      <c r="AJ1486">
        <v>7.03</v>
      </c>
      <c r="AK1486">
        <v>18.72</v>
      </c>
      <c r="AL1486">
        <v>-3</v>
      </c>
      <c r="AM1486">
        <v>-0.6</v>
      </c>
      <c r="AN1486">
        <v>54.21</v>
      </c>
      <c r="AO1486">
        <v>17.08</v>
      </c>
      <c r="AP1486">
        <v>41.19</v>
      </c>
    </row>
    <row r="1487" spans="1:42">
      <c r="A1487">
        <v>1486</v>
      </c>
      <c r="B1487" t="str">
        <f>"000783"</f>
        <v>000783</v>
      </c>
      <c r="C1487" t="s">
        <v>9121</v>
      </c>
      <c r="D1487">
        <v>5.63</v>
      </c>
      <c r="E1487">
        <v>1.26</v>
      </c>
      <c r="F1487">
        <v>0.07</v>
      </c>
      <c r="G1487" t="s">
        <v>5408</v>
      </c>
      <c r="H1487">
        <v>1781</v>
      </c>
      <c r="I1487">
        <v>5.63</v>
      </c>
      <c r="J1487">
        <v>5.64</v>
      </c>
      <c r="K1487" t="s">
        <v>9102</v>
      </c>
      <c r="L1487">
        <v>0.44</v>
      </c>
      <c r="M1487" t="s">
        <v>46</v>
      </c>
      <c r="N1487" t="s">
        <v>9122</v>
      </c>
      <c r="O1487">
        <v>5.64</v>
      </c>
      <c r="P1487">
        <v>5.56</v>
      </c>
      <c r="Q1487">
        <v>5.57</v>
      </c>
      <c r="R1487">
        <v>5.56</v>
      </c>
      <c r="S1487">
        <v>1.44</v>
      </c>
      <c r="T1487">
        <v>1.07</v>
      </c>
      <c r="U1487">
        <v>-26.7</v>
      </c>
      <c r="V1487">
        <v>-8221</v>
      </c>
      <c r="W1487">
        <v>5.59</v>
      </c>
      <c r="X1487" t="s">
        <v>9123</v>
      </c>
      <c r="Y1487" t="s">
        <v>4194</v>
      </c>
      <c r="Z1487">
        <v>0.68</v>
      </c>
      <c r="AA1487">
        <v>1054</v>
      </c>
      <c r="AB1487">
        <v>7280</v>
      </c>
      <c r="AC1487">
        <v>1.02</v>
      </c>
      <c r="AD1487" t="s">
        <v>9124</v>
      </c>
      <c r="AE1487" t="s">
        <v>9125</v>
      </c>
      <c r="AF1487" t="s">
        <v>9124</v>
      </c>
      <c r="AG1487" t="s">
        <v>9125</v>
      </c>
      <c r="AH1487">
        <v>0.18</v>
      </c>
      <c r="AI1487">
        <v>-2.43</v>
      </c>
      <c r="AJ1487">
        <v>1.27</v>
      </c>
      <c r="AK1487">
        <v>2.49</v>
      </c>
      <c r="AL1487">
        <v>1</v>
      </c>
      <c r="AM1487">
        <v>1.26</v>
      </c>
      <c r="AN1487">
        <v>8.06</v>
      </c>
      <c r="AO1487">
        <v>0</v>
      </c>
      <c r="AP1487">
        <v>4.07</v>
      </c>
    </row>
    <row r="1488" spans="1:42">
      <c r="A1488">
        <v>1487</v>
      </c>
      <c r="B1488" t="str">
        <f>"600830"</f>
        <v>600830</v>
      </c>
      <c r="C1488" t="s">
        <v>9126</v>
      </c>
      <c r="D1488">
        <v>7.02</v>
      </c>
      <c r="E1488">
        <v>2.63</v>
      </c>
      <c r="F1488">
        <v>0.18</v>
      </c>
      <c r="G1488" t="s">
        <v>1328</v>
      </c>
      <c r="H1488">
        <v>2641</v>
      </c>
      <c r="I1488">
        <v>7.01</v>
      </c>
      <c r="J1488">
        <v>7.02</v>
      </c>
      <c r="K1488" t="s">
        <v>9102</v>
      </c>
      <c r="L1488">
        <v>4.29</v>
      </c>
      <c r="M1488" t="s">
        <v>46</v>
      </c>
      <c r="N1488" t="s">
        <v>7077</v>
      </c>
      <c r="O1488">
        <v>7.07</v>
      </c>
      <c r="P1488">
        <v>6.78</v>
      </c>
      <c r="Q1488">
        <v>6.8</v>
      </c>
      <c r="R1488">
        <v>6.84</v>
      </c>
      <c r="S1488">
        <v>4.24</v>
      </c>
      <c r="T1488">
        <v>0.98</v>
      </c>
      <c r="U1488">
        <v>-2.56</v>
      </c>
      <c r="V1488">
        <v>-108</v>
      </c>
      <c r="W1488">
        <v>6.98</v>
      </c>
      <c r="X1488" t="s">
        <v>9127</v>
      </c>
      <c r="Y1488" t="s">
        <v>1438</v>
      </c>
      <c r="Z1488">
        <v>0.78</v>
      </c>
      <c r="AA1488">
        <v>270</v>
      </c>
      <c r="AB1488">
        <v>310</v>
      </c>
      <c r="AC1488">
        <v>1.5</v>
      </c>
      <c r="AD1488" t="s">
        <v>9128</v>
      </c>
      <c r="AE1488" t="s">
        <v>9129</v>
      </c>
      <c r="AF1488" t="s">
        <v>9128</v>
      </c>
      <c r="AG1488" t="s">
        <v>9129</v>
      </c>
      <c r="AH1488">
        <v>2.78</v>
      </c>
      <c r="AI1488">
        <v>-1.4</v>
      </c>
      <c r="AJ1488">
        <v>10.28</v>
      </c>
      <c r="AK1488">
        <v>26.22</v>
      </c>
      <c r="AL1488">
        <v>2</v>
      </c>
      <c r="AM1488">
        <v>2.63</v>
      </c>
      <c r="AN1488">
        <v>11.61</v>
      </c>
      <c r="AO1488">
        <v>11.78</v>
      </c>
      <c r="AP1488">
        <v>20.83</v>
      </c>
    </row>
    <row r="1489" spans="1:42">
      <c r="A1489">
        <v>1488</v>
      </c>
      <c r="B1489" t="str">
        <f>"002265"</f>
        <v>002265</v>
      </c>
      <c r="C1489" t="s">
        <v>9130</v>
      </c>
      <c r="D1489">
        <v>11.88</v>
      </c>
      <c r="E1489">
        <v>-1.82</v>
      </c>
      <c r="F1489">
        <v>-0.22</v>
      </c>
      <c r="G1489" t="s">
        <v>2960</v>
      </c>
      <c r="H1489">
        <v>1425</v>
      </c>
      <c r="I1489">
        <v>11.87</v>
      </c>
      <c r="J1489">
        <v>11.88</v>
      </c>
      <c r="K1489" t="s">
        <v>9102</v>
      </c>
      <c r="L1489">
        <v>2.87</v>
      </c>
      <c r="M1489" t="s">
        <v>46</v>
      </c>
      <c r="N1489" t="s">
        <v>2080</v>
      </c>
      <c r="O1489">
        <v>12.09</v>
      </c>
      <c r="P1489">
        <v>11.55</v>
      </c>
      <c r="Q1489">
        <v>12.03</v>
      </c>
      <c r="R1489">
        <v>12.1</v>
      </c>
      <c r="S1489">
        <v>4.46</v>
      </c>
      <c r="T1489">
        <v>0.73</v>
      </c>
      <c r="U1489">
        <v>-4.32</v>
      </c>
      <c r="V1489">
        <v>-83</v>
      </c>
      <c r="W1489">
        <v>11.75</v>
      </c>
      <c r="X1489" t="s">
        <v>2168</v>
      </c>
      <c r="Y1489" t="s">
        <v>2650</v>
      </c>
      <c r="Z1489">
        <v>1.4</v>
      </c>
      <c r="AA1489">
        <v>167</v>
      </c>
      <c r="AB1489">
        <v>144</v>
      </c>
      <c r="AC1489">
        <v>3.76</v>
      </c>
      <c r="AD1489" t="s">
        <v>9131</v>
      </c>
      <c r="AE1489" t="s">
        <v>9132</v>
      </c>
      <c r="AF1489" t="s">
        <v>9133</v>
      </c>
      <c r="AG1489" t="s">
        <v>9134</v>
      </c>
      <c r="AH1489">
        <v>-7.26</v>
      </c>
      <c r="AI1489">
        <v>0.85</v>
      </c>
      <c r="AJ1489">
        <v>8.95</v>
      </c>
      <c r="AK1489">
        <v>22.52</v>
      </c>
      <c r="AL1489">
        <v>-3</v>
      </c>
      <c r="AM1489">
        <v>-1.82</v>
      </c>
      <c r="AN1489">
        <v>-12.65</v>
      </c>
      <c r="AO1489">
        <v>-1.74</v>
      </c>
      <c r="AP1489">
        <v>-17.79</v>
      </c>
    </row>
    <row r="1490" spans="1:42">
      <c r="A1490">
        <v>1489</v>
      </c>
      <c r="B1490" t="str">
        <f>"000878"</f>
        <v>000878</v>
      </c>
      <c r="C1490" t="s">
        <v>9135</v>
      </c>
      <c r="D1490">
        <v>10.71</v>
      </c>
      <c r="E1490">
        <v>0.47</v>
      </c>
      <c r="F1490">
        <v>0.05</v>
      </c>
      <c r="G1490" t="s">
        <v>3971</v>
      </c>
      <c r="H1490">
        <v>1090</v>
      </c>
      <c r="I1490">
        <v>10.71</v>
      </c>
      <c r="J1490">
        <v>10.72</v>
      </c>
      <c r="K1490" t="s">
        <v>9102</v>
      </c>
      <c r="L1490">
        <v>0.63</v>
      </c>
      <c r="M1490" t="s">
        <v>46</v>
      </c>
      <c r="N1490" t="s">
        <v>4579</v>
      </c>
      <c r="O1490">
        <v>10.75</v>
      </c>
      <c r="P1490">
        <v>10.61</v>
      </c>
      <c r="Q1490">
        <v>10.69</v>
      </c>
      <c r="R1490">
        <v>10.66</v>
      </c>
      <c r="S1490">
        <v>1.31</v>
      </c>
      <c r="T1490">
        <v>0.94</v>
      </c>
      <c r="U1490">
        <v>19.9</v>
      </c>
      <c r="V1490">
        <v>2761</v>
      </c>
      <c r="W1490">
        <v>10.68</v>
      </c>
      <c r="X1490" t="s">
        <v>8310</v>
      </c>
      <c r="Y1490" t="s">
        <v>4250</v>
      </c>
      <c r="Z1490">
        <v>0.94</v>
      </c>
      <c r="AA1490">
        <v>1727</v>
      </c>
      <c r="AB1490">
        <v>253</v>
      </c>
      <c r="AC1490">
        <v>1.53</v>
      </c>
      <c r="AD1490" t="s">
        <v>8153</v>
      </c>
      <c r="AE1490" t="s">
        <v>9136</v>
      </c>
      <c r="AF1490" t="s">
        <v>8153</v>
      </c>
      <c r="AG1490" t="s">
        <v>9136</v>
      </c>
      <c r="AH1490">
        <v>-0.37</v>
      </c>
      <c r="AI1490">
        <v>-1.02</v>
      </c>
      <c r="AJ1490">
        <v>2.28</v>
      </c>
      <c r="AK1490">
        <v>4.01</v>
      </c>
      <c r="AL1490">
        <v>1</v>
      </c>
      <c r="AM1490">
        <v>0.47</v>
      </c>
      <c r="AN1490">
        <v>-5.64</v>
      </c>
      <c r="AO1490">
        <v>-1.56</v>
      </c>
      <c r="AP1490">
        <v>-7.75</v>
      </c>
    </row>
    <row r="1491" spans="1:42">
      <c r="A1491">
        <v>1490</v>
      </c>
      <c r="B1491" t="str">
        <f>"601921"</f>
        <v>601921</v>
      </c>
      <c r="C1491" t="s">
        <v>9137</v>
      </c>
      <c r="D1491">
        <v>8.19</v>
      </c>
      <c r="E1491">
        <v>3.93</v>
      </c>
      <c r="F1491">
        <v>0.31</v>
      </c>
      <c r="G1491" t="s">
        <v>1439</v>
      </c>
      <c r="H1491">
        <v>3055</v>
      </c>
      <c r="I1491">
        <v>8.18</v>
      </c>
      <c r="J1491">
        <v>8.19</v>
      </c>
      <c r="K1491" t="s">
        <v>9138</v>
      </c>
      <c r="L1491">
        <v>3.96</v>
      </c>
      <c r="M1491" t="s">
        <v>46</v>
      </c>
      <c r="N1491" t="s">
        <v>4649</v>
      </c>
      <c r="O1491">
        <v>8.19</v>
      </c>
      <c r="P1491">
        <v>7.84</v>
      </c>
      <c r="Q1491">
        <v>7.84</v>
      </c>
      <c r="R1491">
        <v>7.88</v>
      </c>
      <c r="S1491">
        <v>4.44</v>
      </c>
      <c r="T1491">
        <v>2.35</v>
      </c>
      <c r="U1491">
        <v>-44.73</v>
      </c>
      <c r="V1491">
        <v>-3176</v>
      </c>
      <c r="W1491">
        <v>8.09</v>
      </c>
      <c r="X1491" t="s">
        <v>9139</v>
      </c>
      <c r="Y1491" t="s">
        <v>740</v>
      </c>
      <c r="Z1491">
        <v>0.6</v>
      </c>
      <c r="AA1491">
        <v>772</v>
      </c>
      <c r="AB1491">
        <v>227</v>
      </c>
      <c r="AC1491">
        <v>1.42</v>
      </c>
      <c r="AD1491" t="s">
        <v>9140</v>
      </c>
      <c r="AE1491" t="s">
        <v>9141</v>
      </c>
      <c r="AF1491" t="s">
        <v>9142</v>
      </c>
      <c r="AG1491" t="s">
        <v>3432</v>
      </c>
      <c r="AH1491">
        <v>2.76</v>
      </c>
      <c r="AI1491">
        <v>0.74</v>
      </c>
      <c r="AJ1491">
        <v>7</v>
      </c>
      <c r="AK1491">
        <v>12.36</v>
      </c>
      <c r="AL1491">
        <v>1</v>
      </c>
      <c r="AM1491">
        <v>3.93</v>
      </c>
      <c r="AN1491">
        <v>16.17</v>
      </c>
      <c r="AO1491">
        <v>7.62</v>
      </c>
      <c r="AP1491">
        <v>15.35</v>
      </c>
    </row>
    <row r="1492" spans="1:42">
      <c r="A1492">
        <v>1491</v>
      </c>
      <c r="B1492" t="str">
        <f>"000785"</f>
        <v>000785</v>
      </c>
      <c r="C1492" t="s">
        <v>9143</v>
      </c>
      <c r="D1492">
        <v>3.66</v>
      </c>
      <c r="E1492">
        <v>2.52</v>
      </c>
      <c r="F1492">
        <v>0.09</v>
      </c>
      <c r="G1492" t="s">
        <v>3837</v>
      </c>
      <c r="H1492">
        <v>2980</v>
      </c>
      <c r="I1492">
        <v>3.65</v>
      </c>
      <c r="J1492">
        <v>3.66</v>
      </c>
      <c r="K1492" t="s">
        <v>9138</v>
      </c>
      <c r="L1492">
        <v>0.62</v>
      </c>
      <c r="M1492" t="s">
        <v>46</v>
      </c>
      <c r="N1492" t="s">
        <v>9144</v>
      </c>
      <c r="O1492">
        <v>3.71</v>
      </c>
      <c r="P1492">
        <v>3.56</v>
      </c>
      <c r="Q1492">
        <v>3.57</v>
      </c>
      <c r="R1492">
        <v>3.57</v>
      </c>
      <c r="S1492">
        <v>4.2</v>
      </c>
      <c r="T1492">
        <v>3.54</v>
      </c>
      <c r="U1492">
        <v>-5.89</v>
      </c>
      <c r="V1492">
        <v>-1338</v>
      </c>
      <c r="W1492">
        <v>3.66</v>
      </c>
      <c r="X1492" t="s">
        <v>1412</v>
      </c>
      <c r="Y1492" t="s">
        <v>1225</v>
      </c>
      <c r="Z1492">
        <v>0.7</v>
      </c>
      <c r="AA1492">
        <v>1156</v>
      </c>
      <c r="AB1492">
        <v>270</v>
      </c>
      <c r="AC1492">
        <v>1.17</v>
      </c>
      <c r="AD1492" t="s">
        <v>9145</v>
      </c>
      <c r="AE1492" t="s">
        <v>9146</v>
      </c>
      <c r="AF1492" t="s">
        <v>9147</v>
      </c>
      <c r="AG1492" t="s">
        <v>123</v>
      </c>
      <c r="AH1492">
        <v>2.52</v>
      </c>
      <c r="AI1492">
        <v>2.23</v>
      </c>
      <c r="AJ1492">
        <v>0.92</v>
      </c>
      <c r="AK1492">
        <v>1.5</v>
      </c>
      <c r="AL1492">
        <v>2</v>
      </c>
      <c r="AM1492">
        <v>2.52</v>
      </c>
      <c r="AN1492">
        <v>-5.91</v>
      </c>
      <c r="AO1492">
        <v>4.87</v>
      </c>
      <c r="AP1492">
        <v>2.81</v>
      </c>
    </row>
    <row r="1493" spans="1:42">
      <c r="A1493">
        <v>1492</v>
      </c>
      <c r="B1493" t="str">
        <f>"002819"</f>
        <v>002819</v>
      </c>
      <c r="C1493" t="s">
        <v>9148</v>
      </c>
      <c r="D1493">
        <v>28.75</v>
      </c>
      <c r="E1493">
        <v>6.52</v>
      </c>
      <c r="F1493">
        <v>1.76</v>
      </c>
      <c r="G1493" t="s">
        <v>2650</v>
      </c>
      <c r="H1493">
        <v>419</v>
      </c>
      <c r="I1493">
        <v>28.75</v>
      </c>
      <c r="J1493">
        <v>28.76</v>
      </c>
      <c r="K1493" t="s">
        <v>9138</v>
      </c>
      <c r="L1493">
        <v>2.06</v>
      </c>
      <c r="M1493" t="s">
        <v>46</v>
      </c>
      <c r="N1493" t="s">
        <v>9149</v>
      </c>
      <c r="O1493">
        <v>28.88</v>
      </c>
      <c r="P1493">
        <v>26.78</v>
      </c>
      <c r="Q1493">
        <v>26.98</v>
      </c>
      <c r="R1493">
        <v>26.99</v>
      </c>
      <c r="S1493">
        <v>7.78</v>
      </c>
      <c r="T1493">
        <v>1.25</v>
      </c>
      <c r="U1493">
        <v>-36.16</v>
      </c>
      <c r="V1493">
        <v>-239</v>
      </c>
      <c r="W1493">
        <v>27.98</v>
      </c>
      <c r="X1493" t="s">
        <v>985</v>
      </c>
      <c r="Y1493" t="s">
        <v>3032</v>
      </c>
      <c r="Z1493">
        <v>0.73</v>
      </c>
      <c r="AA1493">
        <v>189</v>
      </c>
      <c r="AB1493">
        <v>272</v>
      </c>
      <c r="AC1493">
        <v>1.95</v>
      </c>
      <c r="AD1493" t="s">
        <v>9150</v>
      </c>
      <c r="AE1493" t="s">
        <v>5172</v>
      </c>
      <c r="AF1493" t="s">
        <v>9119</v>
      </c>
      <c r="AG1493" t="s">
        <v>8688</v>
      </c>
      <c r="AH1493">
        <v>-0.1</v>
      </c>
      <c r="AI1493">
        <v>-3.72</v>
      </c>
      <c r="AJ1493">
        <v>4.82</v>
      </c>
      <c r="AK1493">
        <v>10.31</v>
      </c>
      <c r="AL1493">
        <v>1</v>
      </c>
      <c r="AM1493">
        <v>6.52</v>
      </c>
      <c r="AN1493">
        <v>19.15</v>
      </c>
      <c r="AO1493">
        <v>17.39</v>
      </c>
      <c r="AP1493">
        <v>5.78</v>
      </c>
    </row>
    <row r="1494" spans="1:42">
      <c r="A1494">
        <v>1493</v>
      </c>
      <c r="B1494" t="str">
        <f>"601778"</f>
        <v>601778</v>
      </c>
      <c r="C1494" t="s">
        <v>9151</v>
      </c>
      <c r="D1494">
        <v>3.54</v>
      </c>
      <c r="E1494">
        <v>0</v>
      </c>
      <c r="F1494">
        <v>0</v>
      </c>
      <c r="G1494" t="s">
        <v>2065</v>
      </c>
      <c r="H1494" t="s">
        <v>2667</v>
      </c>
      <c r="I1494">
        <v>3.54</v>
      </c>
      <c r="J1494">
        <v>3.55</v>
      </c>
      <c r="K1494" t="s">
        <v>9138</v>
      </c>
      <c r="L1494">
        <v>1.07</v>
      </c>
      <c r="M1494" t="s">
        <v>46</v>
      </c>
      <c r="N1494" t="s">
        <v>6764</v>
      </c>
      <c r="O1494">
        <v>3.55</v>
      </c>
      <c r="P1494">
        <v>3.5</v>
      </c>
      <c r="Q1494">
        <v>3.54</v>
      </c>
      <c r="R1494">
        <v>3.54</v>
      </c>
      <c r="S1494">
        <v>1.41</v>
      </c>
      <c r="T1494">
        <v>1.26</v>
      </c>
      <c r="U1494">
        <v>23.89</v>
      </c>
      <c r="V1494" t="s">
        <v>5900</v>
      </c>
      <c r="W1494">
        <v>3.52</v>
      </c>
      <c r="X1494" t="s">
        <v>100</v>
      </c>
      <c r="Y1494" t="s">
        <v>3687</v>
      </c>
      <c r="Z1494">
        <v>1.44</v>
      </c>
      <c r="AA1494">
        <v>170</v>
      </c>
      <c r="AB1494" t="s">
        <v>218</v>
      </c>
      <c r="AC1494">
        <v>0.83</v>
      </c>
      <c r="AD1494" t="s">
        <v>9152</v>
      </c>
      <c r="AE1494" t="s">
        <v>5503</v>
      </c>
      <c r="AF1494" t="s">
        <v>9152</v>
      </c>
      <c r="AG1494" t="s">
        <v>5503</v>
      </c>
      <c r="AH1494">
        <v>-2.75</v>
      </c>
      <c r="AI1494">
        <v>-2.21</v>
      </c>
      <c r="AJ1494">
        <v>2.45</v>
      </c>
      <c r="AK1494">
        <v>5.32</v>
      </c>
      <c r="AL1494">
        <v>0</v>
      </c>
      <c r="AM1494">
        <v>0</v>
      </c>
      <c r="AN1494">
        <v>-35.52</v>
      </c>
      <c r="AO1494">
        <v>-3.01</v>
      </c>
      <c r="AP1494">
        <v>-27.61</v>
      </c>
    </row>
    <row r="1495" spans="1:42">
      <c r="A1495">
        <v>1494</v>
      </c>
      <c r="B1495" t="str">
        <f>"000961"</f>
        <v>000961</v>
      </c>
      <c r="C1495" t="s">
        <v>9153</v>
      </c>
      <c r="D1495">
        <v>1.52</v>
      </c>
      <c r="E1495">
        <v>2.01</v>
      </c>
      <c r="F1495">
        <v>0.03</v>
      </c>
      <c r="G1495" t="s">
        <v>2370</v>
      </c>
      <c r="H1495" t="s">
        <v>2389</v>
      </c>
      <c r="I1495">
        <v>1.52</v>
      </c>
      <c r="J1495">
        <v>1.53</v>
      </c>
      <c r="K1495" t="s">
        <v>9138</v>
      </c>
      <c r="L1495">
        <v>2.34</v>
      </c>
      <c r="M1495" t="s">
        <v>46</v>
      </c>
      <c r="N1495" t="s">
        <v>9154</v>
      </c>
      <c r="O1495">
        <v>1.54</v>
      </c>
      <c r="P1495">
        <v>1.48</v>
      </c>
      <c r="Q1495">
        <v>1.49</v>
      </c>
      <c r="R1495">
        <v>1.49</v>
      </c>
      <c r="S1495">
        <v>4.03</v>
      </c>
      <c r="T1495">
        <v>0.64</v>
      </c>
      <c r="U1495">
        <v>9.04</v>
      </c>
      <c r="V1495" t="s">
        <v>2327</v>
      </c>
      <c r="W1495">
        <v>1.51</v>
      </c>
      <c r="X1495" t="s">
        <v>3674</v>
      </c>
      <c r="Y1495" t="s">
        <v>155</v>
      </c>
      <c r="Z1495">
        <v>0.69</v>
      </c>
      <c r="AA1495">
        <v>2481</v>
      </c>
      <c r="AB1495" t="s">
        <v>5957</v>
      </c>
      <c r="AC1495">
        <v>0.46</v>
      </c>
      <c r="AD1495" t="s">
        <v>9155</v>
      </c>
      <c r="AE1495" t="s">
        <v>9156</v>
      </c>
      <c r="AF1495" t="s">
        <v>5195</v>
      </c>
      <c r="AG1495" t="s">
        <v>1724</v>
      </c>
      <c r="AH1495">
        <v>0</v>
      </c>
      <c r="AI1495">
        <v>-7.88</v>
      </c>
      <c r="AJ1495">
        <v>7.06</v>
      </c>
      <c r="AK1495">
        <v>20.68</v>
      </c>
      <c r="AL1495">
        <v>2</v>
      </c>
      <c r="AM1495">
        <v>2.01</v>
      </c>
      <c r="AN1495">
        <v>-30.59</v>
      </c>
      <c r="AO1495">
        <v>4.83</v>
      </c>
      <c r="AP1495">
        <v>-35.04</v>
      </c>
    </row>
    <row r="1496" spans="1:42">
      <c r="A1496">
        <v>1495</v>
      </c>
      <c r="B1496" t="str">
        <f>"300952"</f>
        <v>300952</v>
      </c>
      <c r="C1496" t="s">
        <v>9157</v>
      </c>
      <c r="D1496">
        <v>24.67</v>
      </c>
      <c r="E1496">
        <v>3.92</v>
      </c>
      <c r="F1496">
        <v>0.93</v>
      </c>
      <c r="G1496" t="s">
        <v>4968</v>
      </c>
      <c r="H1496">
        <v>1040</v>
      </c>
      <c r="I1496">
        <v>24.67</v>
      </c>
      <c r="J1496">
        <v>24.68</v>
      </c>
      <c r="K1496" t="s">
        <v>9138</v>
      </c>
      <c r="L1496">
        <v>12.32</v>
      </c>
      <c r="M1496" t="s">
        <v>46</v>
      </c>
      <c r="N1496" t="s">
        <v>6002</v>
      </c>
      <c r="O1496">
        <v>24.82</v>
      </c>
      <c r="P1496">
        <v>23.6</v>
      </c>
      <c r="Q1496">
        <v>23.97</v>
      </c>
      <c r="R1496">
        <v>23.74</v>
      </c>
      <c r="S1496">
        <v>5.14</v>
      </c>
      <c r="T1496">
        <v>1.5</v>
      </c>
      <c r="U1496">
        <v>-8.18</v>
      </c>
      <c r="V1496">
        <v>-120</v>
      </c>
      <c r="W1496">
        <v>24.39</v>
      </c>
      <c r="X1496" t="s">
        <v>3110</v>
      </c>
      <c r="Y1496" t="s">
        <v>8915</v>
      </c>
      <c r="Z1496">
        <v>0.83</v>
      </c>
      <c r="AA1496">
        <v>168</v>
      </c>
      <c r="AB1496">
        <v>213</v>
      </c>
      <c r="AC1496">
        <v>3.26</v>
      </c>
      <c r="AD1496" t="s">
        <v>9158</v>
      </c>
      <c r="AE1496" t="s">
        <v>9159</v>
      </c>
      <c r="AF1496" t="s">
        <v>9160</v>
      </c>
      <c r="AG1496" t="s">
        <v>9161</v>
      </c>
      <c r="AH1496">
        <v>7.68</v>
      </c>
      <c r="AI1496">
        <v>14.64</v>
      </c>
      <c r="AJ1496">
        <v>37.24</v>
      </c>
      <c r="AK1496">
        <v>53.43</v>
      </c>
      <c r="AL1496">
        <v>5</v>
      </c>
      <c r="AM1496">
        <v>3.92</v>
      </c>
      <c r="AN1496">
        <v>34.15</v>
      </c>
      <c r="AO1496">
        <v>26.12</v>
      </c>
      <c r="AP1496">
        <v>30.67</v>
      </c>
    </row>
    <row r="1497" spans="1:42">
      <c r="A1497">
        <v>1496</v>
      </c>
      <c r="B1497" t="str">
        <f>"002955"</f>
        <v>002955</v>
      </c>
      <c r="C1497" t="s">
        <v>9162</v>
      </c>
      <c r="D1497">
        <v>27.96</v>
      </c>
      <c r="E1497">
        <v>2.79</v>
      </c>
      <c r="F1497">
        <v>0.76</v>
      </c>
      <c r="G1497" t="s">
        <v>3737</v>
      </c>
      <c r="H1497">
        <v>678</v>
      </c>
      <c r="I1497">
        <v>27.96</v>
      </c>
      <c r="J1497">
        <v>27.97</v>
      </c>
      <c r="K1497" t="s">
        <v>9138</v>
      </c>
      <c r="L1497">
        <v>2.61</v>
      </c>
      <c r="M1497" t="s">
        <v>46</v>
      </c>
      <c r="N1497" t="s">
        <v>2693</v>
      </c>
      <c r="O1497">
        <v>28.11</v>
      </c>
      <c r="P1497">
        <v>26.9</v>
      </c>
      <c r="Q1497">
        <v>27</v>
      </c>
      <c r="R1497">
        <v>27.2</v>
      </c>
      <c r="S1497">
        <v>4.45</v>
      </c>
      <c r="T1497">
        <v>1.1</v>
      </c>
      <c r="U1497">
        <v>-56.44</v>
      </c>
      <c r="V1497">
        <v>-285</v>
      </c>
      <c r="W1497">
        <v>27.6</v>
      </c>
      <c r="X1497" t="s">
        <v>5592</v>
      </c>
      <c r="Y1497" t="s">
        <v>5553</v>
      </c>
      <c r="Z1497">
        <v>0.75</v>
      </c>
      <c r="AA1497">
        <v>7</v>
      </c>
      <c r="AB1497">
        <v>27</v>
      </c>
      <c r="AC1497">
        <v>1.83</v>
      </c>
      <c r="AD1497" t="s">
        <v>9163</v>
      </c>
      <c r="AE1497" t="s">
        <v>4060</v>
      </c>
      <c r="AF1497" t="s">
        <v>9164</v>
      </c>
      <c r="AG1497" t="s">
        <v>9165</v>
      </c>
      <c r="AH1497">
        <v>1.53</v>
      </c>
      <c r="AI1497">
        <v>0.76</v>
      </c>
      <c r="AJ1497">
        <v>8.55</v>
      </c>
      <c r="AK1497">
        <v>14.54</v>
      </c>
      <c r="AL1497">
        <v>1</v>
      </c>
      <c r="AM1497">
        <v>2.79</v>
      </c>
      <c r="AN1497">
        <v>25.55</v>
      </c>
      <c r="AO1497">
        <v>8.92</v>
      </c>
      <c r="AP1497">
        <v>4.64</v>
      </c>
    </row>
    <row r="1498" spans="1:42">
      <c r="A1498">
        <v>1497</v>
      </c>
      <c r="B1498" t="str">
        <f>"300827"</f>
        <v>300827</v>
      </c>
      <c r="C1498" t="s">
        <v>9166</v>
      </c>
      <c r="D1498">
        <v>27.25</v>
      </c>
      <c r="E1498">
        <v>-0.29</v>
      </c>
      <c r="F1498">
        <v>-0.08</v>
      </c>
      <c r="G1498" t="s">
        <v>3319</v>
      </c>
      <c r="H1498">
        <v>560</v>
      </c>
      <c r="I1498">
        <v>27.24</v>
      </c>
      <c r="J1498">
        <v>27.25</v>
      </c>
      <c r="K1498" t="s">
        <v>9167</v>
      </c>
      <c r="L1498">
        <v>1.9</v>
      </c>
      <c r="M1498" t="s">
        <v>46</v>
      </c>
      <c r="N1498" t="s">
        <v>3096</v>
      </c>
      <c r="O1498">
        <v>27.46</v>
      </c>
      <c r="P1498">
        <v>26.91</v>
      </c>
      <c r="Q1498">
        <v>27.3</v>
      </c>
      <c r="R1498">
        <v>27.33</v>
      </c>
      <c r="S1498">
        <v>2.01</v>
      </c>
      <c r="T1498">
        <v>1.08</v>
      </c>
      <c r="U1498">
        <v>0.97</v>
      </c>
      <c r="V1498">
        <v>7</v>
      </c>
      <c r="W1498">
        <v>27.17</v>
      </c>
      <c r="X1498" t="s">
        <v>4012</v>
      </c>
      <c r="Y1498" t="s">
        <v>314</v>
      </c>
      <c r="Z1498">
        <v>1.11</v>
      </c>
      <c r="AA1498">
        <v>137</v>
      </c>
      <c r="AB1498">
        <v>69</v>
      </c>
      <c r="AC1498">
        <v>6.03</v>
      </c>
      <c r="AD1498" t="s">
        <v>9168</v>
      </c>
      <c r="AE1498" t="s">
        <v>5068</v>
      </c>
      <c r="AF1498" t="s">
        <v>575</v>
      </c>
      <c r="AG1498" t="s">
        <v>9169</v>
      </c>
      <c r="AH1498">
        <v>-2.26</v>
      </c>
      <c r="AI1498">
        <v>-3.44</v>
      </c>
      <c r="AJ1498">
        <v>5.48</v>
      </c>
      <c r="AK1498">
        <v>10.69</v>
      </c>
      <c r="AL1498">
        <v>-3</v>
      </c>
      <c r="AM1498">
        <v>-0.29</v>
      </c>
      <c r="AN1498">
        <v>-33.7</v>
      </c>
      <c r="AO1498">
        <v>-3.78</v>
      </c>
      <c r="AP1498">
        <v>-30.75</v>
      </c>
    </row>
    <row r="1499" spans="1:42">
      <c r="A1499">
        <v>1498</v>
      </c>
      <c r="B1499" t="str">
        <f>"600071"</f>
        <v>600071</v>
      </c>
      <c r="C1499" t="s">
        <v>9170</v>
      </c>
      <c r="D1499">
        <v>22.12</v>
      </c>
      <c r="E1499">
        <v>0.5</v>
      </c>
      <c r="F1499">
        <v>0.11</v>
      </c>
      <c r="G1499" t="s">
        <v>7214</v>
      </c>
      <c r="H1499">
        <v>489</v>
      </c>
      <c r="I1499">
        <v>22.12</v>
      </c>
      <c r="J1499">
        <v>22.13</v>
      </c>
      <c r="K1499" t="s">
        <v>9167</v>
      </c>
      <c r="L1499">
        <v>2.18</v>
      </c>
      <c r="M1499" t="s">
        <v>46</v>
      </c>
      <c r="N1499" t="s">
        <v>3538</v>
      </c>
      <c r="O1499">
        <v>22.2</v>
      </c>
      <c r="P1499">
        <v>21.55</v>
      </c>
      <c r="Q1499">
        <v>21.96</v>
      </c>
      <c r="R1499">
        <v>22.01</v>
      </c>
      <c r="S1499">
        <v>2.95</v>
      </c>
      <c r="T1499">
        <v>0.71</v>
      </c>
      <c r="U1499">
        <v>4.51</v>
      </c>
      <c r="V1499">
        <v>127</v>
      </c>
      <c r="W1499">
        <v>21.86</v>
      </c>
      <c r="X1499" t="s">
        <v>3032</v>
      </c>
      <c r="Y1499" t="s">
        <v>6365</v>
      </c>
      <c r="Z1499">
        <v>0.83</v>
      </c>
      <c r="AA1499">
        <v>7</v>
      </c>
      <c r="AB1499">
        <v>801</v>
      </c>
      <c r="AC1499">
        <v>12.78</v>
      </c>
      <c r="AD1499" t="s">
        <v>9171</v>
      </c>
      <c r="AE1499" t="s">
        <v>9172</v>
      </c>
      <c r="AF1499" t="s">
        <v>9171</v>
      </c>
      <c r="AG1499" t="s">
        <v>9172</v>
      </c>
      <c r="AH1499">
        <v>-0.27</v>
      </c>
      <c r="AI1499">
        <v>-2.38</v>
      </c>
      <c r="AJ1499">
        <v>7.54</v>
      </c>
      <c r="AK1499">
        <v>17.66</v>
      </c>
      <c r="AL1499">
        <v>1</v>
      </c>
      <c r="AM1499">
        <v>0.5</v>
      </c>
      <c r="AN1499">
        <v>4.93</v>
      </c>
      <c r="AO1499">
        <v>2.41</v>
      </c>
      <c r="AP1499">
        <v>-3.99</v>
      </c>
    </row>
    <row r="1500" spans="1:42">
      <c r="A1500">
        <v>1499</v>
      </c>
      <c r="B1500" t="str">
        <f>"002850"</f>
        <v>002850</v>
      </c>
      <c r="C1500" t="s">
        <v>9173</v>
      </c>
      <c r="D1500">
        <v>87.78</v>
      </c>
      <c r="E1500">
        <v>-0.31</v>
      </c>
      <c r="F1500">
        <v>-0.27</v>
      </c>
      <c r="G1500" t="s">
        <v>7178</v>
      </c>
      <c r="H1500">
        <v>127</v>
      </c>
      <c r="I1500">
        <v>87.78</v>
      </c>
      <c r="J1500">
        <v>88</v>
      </c>
      <c r="K1500" t="s">
        <v>9167</v>
      </c>
      <c r="L1500">
        <v>0.97</v>
      </c>
      <c r="M1500" t="s">
        <v>46</v>
      </c>
      <c r="N1500" t="s">
        <v>9174</v>
      </c>
      <c r="O1500">
        <v>88.67</v>
      </c>
      <c r="P1500">
        <v>86.6</v>
      </c>
      <c r="Q1500">
        <v>87.8</v>
      </c>
      <c r="R1500">
        <v>88.05</v>
      </c>
      <c r="S1500">
        <v>2.35</v>
      </c>
      <c r="T1500">
        <v>0.81</v>
      </c>
      <c r="U1500">
        <v>56.68</v>
      </c>
      <c r="V1500">
        <v>86</v>
      </c>
      <c r="W1500">
        <v>87.33</v>
      </c>
      <c r="X1500">
        <v>7894</v>
      </c>
      <c r="Y1500">
        <v>7476</v>
      </c>
      <c r="Z1500">
        <v>1.06</v>
      </c>
      <c r="AA1500">
        <v>89</v>
      </c>
      <c r="AB1500">
        <v>1</v>
      </c>
      <c r="AC1500">
        <v>2.4</v>
      </c>
      <c r="AD1500" t="s">
        <v>9175</v>
      </c>
      <c r="AE1500" t="s">
        <v>9176</v>
      </c>
      <c r="AF1500" t="s">
        <v>938</v>
      </c>
      <c r="AG1500" t="s">
        <v>6623</v>
      </c>
      <c r="AH1500">
        <v>-1.26</v>
      </c>
      <c r="AI1500">
        <v>-1.82</v>
      </c>
      <c r="AJ1500">
        <v>3.74</v>
      </c>
      <c r="AK1500">
        <v>6.98</v>
      </c>
      <c r="AL1500">
        <v>-4</v>
      </c>
      <c r="AM1500">
        <v>-0.31</v>
      </c>
      <c r="AN1500">
        <v>-25.93</v>
      </c>
      <c r="AO1500">
        <v>-5.31</v>
      </c>
      <c r="AP1500">
        <v>-8.1</v>
      </c>
    </row>
    <row r="1501" spans="1:42">
      <c r="A1501">
        <v>1500</v>
      </c>
      <c r="B1501" t="str">
        <f>"002897"</f>
        <v>002897</v>
      </c>
      <c r="C1501" t="s">
        <v>9177</v>
      </c>
      <c r="D1501">
        <v>37.61</v>
      </c>
      <c r="E1501">
        <v>0.72</v>
      </c>
      <c r="F1501">
        <v>0.27</v>
      </c>
      <c r="G1501" t="s">
        <v>4974</v>
      </c>
      <c r="H1501">
        <v>461</v>
      </c>
      <c r="I1501">
        <v>37.6</v>
      </c>
      <c r="J1501">
        <v>37.61</v>
      </c>
      <c r="K1501" t="s">
        <v>9167</v>
      </c>
      <c r="L1501">
        <v>2.2</v>
      </c>
      <c r="M1501" t="s">
        <v>46</v>
      </c>
      <c r="N1501" t="s">
        <v>9178</v>
      </c>
      <c r="O1501">
        <v>37.73</v>
      </c>
      <c r="P1501">
        <v>36.85</v>
      </c>
      <c r="Q1501">
        <v>37.3</v>
      </c>
      <c r="R1501">
        <v>37.34</v>
      </c>
      <c r="S1501">
        <v>2.36</v>
      </c>
      <c r="T1501">
        <v>0.59</v>
      </c>
      <c r="U1501">
        <v>-34.43</v>
      </c>
      <c r="V1501">
        <v>-209</v>
      </c>
      <c r="W1501">
        <v>37.3</v>
      </c>
      <c r="X1501" t="s">
        <v>2329</v>
      </c>
      <c r="Y1501" t="s">
        <v>1110</v>
      </c>
      <c r="Z1501">
        <v>1.13</v>
      </c>
      <c r="AA1501">
        <v>77</v>
      </c>
      <c r="AB1501">
        <v>72</v>
      </c>
      <c r="AC1501">
        <v>3.68</v>
      </c>
      <c r="AD1501" t="s">
        <v>9179</v>
      </c>
      <c r="AE1501" t="s">
        <v>9180</v>
      </c>
      <c r="AF1501" t="s">
        <v>9181</v>
      </c>
      <c r="AG1501" t="s">
        <v>4748</v>
      </c>
      <c r="AH1501">
        <v>-2.99</v>
      </c>
      <c r="AI1501">
        <v>-0.66</v>
      </c>
      <c r="AJ1501">
        <v>7.95</v>
      </c>
      <c r="AK1501">
        <v>20.74</v>
      </c>
      <c r="AL1501">
        <v>1</v>
      </c>
      <c r="AM1501">
        <v>0.72</v>
      </c>
      <c r="AN1501">
        <v>-35.86</v>
      </c>
      <c r="AO1501">
        <v>4.36</v>
      </c>
      <c r="AP1501">
        <v>-29.67</v>
      </c>
    </row>
    <row r="1502" spans="1:42">
      <c r="A1502">
        <v>1501</v>
      </c>
      <c r="B1502" t="str">
        <f>"688365"</f>
        <v>688365</v>
      </c>
      <c r="C1502" t="s">
        <v>9182</v>
      </c>
      <c r="D1502">
        <v>12.32</v>
      </c>
      <c r="E1502">
        <v>7.32</v>
      </c>
      <c r="F1502">
        <v>0.84</v>
      </c>
      <c r="G1502" t="s">
        <v>656</v>
      </c>
      <c r="H1502">
        <v>1789</v>
      </c>
      <c r="I1502">
        <v>12.31</v>
      </c>
      <c r="J1502">
        <v>12.32</v>
      </c>
      <c r="K1502" t="s">
        <v>9167</v>
      </c>
      <c r="L1502">
        <v>2.63</v>
      </c>
      <c r="M1502" t="s">
        <v>46</v>
      </c>
      <c r="N1502" t="s">
        <v>4134</v>
      </c>
      <c r="O1502">
        <v>12.34</v>
      </c>
      <c r="P1502">
        <v>11.46</v>
      </c>
      <c r="Q1502">
        <v>11.46</v>
      </c>
      <c r="R1502">
        <v>11.48</v>
      </c>
      <c r="S1502">
        <v>7.67</v>
      </c>
      <c r="T1502">
        <v>1.88</v>
      </c>
      <c r="U1502">
        <v>-56.53</v>
      </c>
      <c r="V1502">
        <v>-1051</v>
      </c>
      <c r="W1502">
        <v>11.98</v>
      </c>
      <c r="X1502" t="s">
        <v>7062</v>
      </c>
      <c r="Y1502" t="s">
        <v>531</v>
      </c>
      <c r="Z1502">
        <v>0.59</v>
      </c>
      <c r="AA1502">
        <v>8</v>
      </c>
      <c r="AB1502">
        <v>119</v>
      </c>
      <c r="AC1502">
        <v>5.4</v>
      </c>
      <c r="AD1502" t="s">
        <v>9183</v>
      </c>
      <c r="AE1502" t="s">
        <v>8987</v>
      </c>
      <c r="AF1502" t="s">
        <v>9183</v>
      </c>
      <c r="AG1502" t="s">
        <v>8987</v>
      </c>
      <c r="AH1502">
        <v>5.39</v>
      </c>
      <c r="AI1502">
        <v>1.4</v>
      </c>
      <c r="AJ1502">
        <v>6.24</v>
      </c>
      <c r="AK1502">
        <v>9.61</v>
      </c>
      <c r="AL1502">
        <v>1</v>
      </c>
      <c r="AM1502">
        <v>7.32</v>
      </c>
      <c r="AN1502">
        <v>55.95</v>
      </c>
      <c r="AO1502">
        <v>13.03</v>
      </c>
      <c r="AP1502">
        <v>39.52</v>
      </c>
    </row>
    <row r="1503" spans="1:42">
      <c r="A1503">
        <v>1502</v>
      </c>
      <c r="B1503" t="str">
        <f>"002326"</f>
        <v>002326</v>
      </c>
      <c r="C1503" t="s">
        <v>9184</v>
      </c>
      <c r="D1503">
        <v>11.99</v>
      </c>
      <c r="E1503">
        <v>0.17</v>
      </c>
      <c r="F1503">
        <v>0.02</v>
      </c>
      <c r="G1503" t="s">
        <v>262</v>
      </c>
      <c r="H1503">
        <v>1096</v>
      </c>
      <c r="I1503">
        <v>11.98</v>
      </c>
      <c r="J1503">
        <v>11.99</v>
      </c>
      <c r="K1503" t="s">
        <v>9167</v>
      </c>
      <c r="L1503">
        <v>1.4</v>
      </c>
      <c r="M1503" t="s">
        <v>46</v>
      </c>
      <c r="N1503" t="s">
        <v>5167</v>
      </c>
      <c r="O1503">
        <v>12.05</v>
      </c>
      <c r="P1503">
        <v>11.78</v>
      </c>
      <c r="Q1503">
        <v>11.94</v>
      </c>
      <c r="R1503">
        <v>11.97</v>
      </c>
      <c r="S1503">
        <v>2.26</v>
      </c>
      <c r="T1503">
        <v>1.23</v>
      </c>
      <c r="U1503">
        <v>13.76</v>
      </c>
      <c r="V1503">
        <v>392</v>
      </c>
      <c r="W1503">
        <v>11.89</v>
      </c>
      <c r="X1503" t="s">
        <v>5725</v>
      </c>
      <c r="Y1503" t="s">
        <v>456</v>
      </c>
      <c r="Z1503">
        <v>1.57</v>
      </c>
      <c r="AA1503">
        <v>495</v>
      </c>
      <c r="AB1503">
        <v>138</v>
      </c>
      <c r="AC1503">
        <v>2.96</v>
      </c>
      <c r="AD1503" t="s">
        <v>363</v>
      </c>
      <c r="AE1503" t="s">
        <v>9185</v>
      </c>
      <c r="AF1503" t="s">
        <v>9186</v>
      </c>
      <c r="AG1503" t="s">
        <v>9187</v>
      </c>
      <c r="AH1503">
        <v>-2.76</v>
      </c>
      <c r="AI1503">
        <v>-6.03</v>
      </c>
      <c r="AJ1503">
        <v>3.55</v>
      </c>
      <c r="AK1503">
        <v>7.12</v>
      </c>
      <c r="AL1503">
        <v>1</v>
      </c>
      <c r="AM1503">
        <v>0.17</v>
      </c>
      <c r="AN1503">
        <v>-44.82</v>
      </c>
      <c r="AO1503">
        <v>-5.07</v>
      </c>
      <c r="AP1503">
        <v>-48.36</v>
      </c>
    </row>
    <row r="1504" spans="1:42">
      <c r="A1504">
        <v>1503</v>
      </c>
      <c r="B1504" t="str">
        <f>"002532"</f>
        <v>002532</v>
      </c>
      <c r="C1504" t="s">
        <v>9188</v>
      </c>
      <c r="D1504">
        <v>6.03</v>
      </c>
      <c r="E1504">
        <v>-0.17</v>
      </c>
      <c r="F1504">
        <v>-0.01</v>
      </c>
      <c r="G1504" t="s">
        <v>3139</v>
      </c>
      <c r="H1504">
        <v>2218</v>
      </c>
      <c r="I1504">
        <v>6.03</v>
      </c>
      <c r="J1504">
        <v>6.04</v>
      </c>
      <c r="K1504" t="s">
        <v>9167</v>
      </c>
      <c r="L1504">
        <v>0.58</v>
      </c>
      <c r="M1504" t="s">
        <v>46</v>
      </c>
      <c r="N1504" t="s">
        <v>2312</v>
      </c>
      <c r="O1504">
        <v>6.08</v>
      </c>
      <c r="P1504">
        <v>5.99</v>
      </c>
      <c r="Q1504">
        <v>6.04</v>
      </c>
      <c r="R1504">
        <v>6.04</v>
      </c>
      <c r="S1504">
        <v>1.49</v>
      </c>
      <c r="T1504">
        <v>1.32</v>
      </c>
      <c r="U1504">
        <v>49.37</v>
      </c>
      <c r="V1504" t="s">
        <v>60</v>
      </c>
      <c r="W1504">
        <v>6.02</v>
      </c>
      <c r="X1504" t="s">
        <v>1493</v>
      </c>
      <c r="Y1504" t="s">
        <v>8008</v>
      </c>
      <c r="Z1504">
        <v>1.9</v>
      </c>
      <c r="AA1504">
        <v>79</v>
      </c>
      <c r="AB1504">
        <v>14</v>
      </c>
      <c r="AC1504">
        <v>1.19</v>
      </c>
      <c r="AD1504" t="s">
        <v>5284</v>
      </c>
      <c r="AE1504" t="s">
        <v>5818</v>
      </c>
      <c r="AF1504" t="s">
        <v>9189</v>
      </c>
      <c r="AG1504" t="s">
        <v>9190</v>
      </c>
      <c r="AH1504">
        <v>-2.43</v>
      </c>
      <c r="AI1504">
        <v>-2.43</v>
      </c>
      <c r="AJ1504">
        <v>1.7</v>
      </c>
      <c r="AK1504">
        <v>2.78</v>
      </c>
      <c r="AL1504">
        <v>-3</v>
      </c>
      <c r="AM1504">
        <v>-0.17</v>
      </c>
      <c r="AN1504">
        <v>-19.81</v>
      </c>
      <c r="AO1504">
        <v>-6.37</v>
      </c>
      <c r="AP1504">
        <v>-11.19</v>
      </c>
    </row>
    <row r="1505" spans="1:42">
      <c r="A1505">
        <v>1504</v>
      </c>
      <c r="B1505" t="str">
        <f>"600061"</f>
        <v>600061</v>
      </c>
      <c r="C1505" t="s">
        <v>9191</v>
      </c>
      <c r="D1505">
        <v>7.01</v>
      </c>
      <c r="E1505">
        <v>1.59</v>
      </c>
      <c r="F1505">
        <v>0.11</v>
      </c>
      <c r="G1505" t="s">
        <v>869</v>
      </c>
      <c r="H1505">
        <v>5433</v>
      </c>
      <c r="I1505">
        <v>7</v>
      </c>
      <c r="J1505">
        <v>7.01</v>
      </c>
      <c r="K1505" t="s">
        <v>9167</v>
      </c>
      <c r="L1505">
        <v>0.3</v>
      </c>
      <c r="M1505" t="s">
        <v>46</v>
      </c>
      <c r="N1505" t="s">
        <v>271</v>
      </c>
      <c r="O1505">
        <v>7.01</v>
      </c>
      <c r="P1505">
        <v>6.88</v>
      </c>
      <c r="Q1505">
        <v>6.88</v>
      </c>
      <c r="R1505">
        <v>6.9</v>
      </c>
      <c r="S1505">
        <v>1.88</v>
      </c>
      <c r="T1505">
        <v>1.25</v>
      </c>
      <c r="U1505">
        <v>-43.4</v>
      </c>
      <c r="V1505">
        <v>-5235</v>
      </c>
      <c r="W1505">
        <v>6.95</v>
      </c>
      <c r="X1505" t="s">
        <v>9192</v>
      </c>
      <c r="Y1505" t="s">
        <v>830</v>
      </c>
      <c r="Z1505">
        <v>0.48</v>
      </c>
      <c r="AA1505">
        <v>160</v>
      </c>
      <c r="AB1505">
        <v>3642</v>
      </c>
      <c r="AC1505">
        <v>0.9</v>
      </c>
      <c r="AD1505" t="s">
        <v>9193</v>
      </c>
      <c r="AE1505" t="s">
        <v>9194</v>
      </c>
      <c r="AF1505" t="s">
        <v>9193</v>
      </c>
      <c r="AG1505" t="s">
        <v>9194</v>
      </c>
      <c r="AH1505">
        <v>1.15</v>
      </c>
      <c r="AI1505">
        <v>-0.71</v>
      </c>
      <c r="AJ1505">
        <v>0.83</v>
      </c>
      <c r="AK1505">
        <v>1.51</v>
      </c>
      <c r="AL1505">
        <v>2</v>
      </c>
      <c r="AM1505">
        <v>1.59</v>
      </c>
      <c r="AN1505">
        <v>11.27</v>
      </c>
      <c r="AO1505">
        <v>3.39</v>
      </c>
      <c r="AP1505">
        <v>14.54</v>
      </c>
    </row>
    <row r="1506" spans="1:42">
      <c r="A1506">
        <v>1505</v>
      </c>
      <c r="B1506" t="str">
        <f>"688139"</f>
        <v>688139</v>
      </c>
      <c r="C1506" t="s">
        <v>9195</v>
      </c>
      <c r="D1506">
        <v>41.32</v>
      </c>
      <c r="E1506">
        <v>0.98</v>
      </c>
      <c r="F1506">
        <v>0.4</v>
      </c>
      <c r="G1506" t="s">
        <v>7679</v>
      </c>
      <c r="H1506">
        <v>134</v>
      </c>
      <c r="I1506">
        <v>41.32</v>
      </c>
      <c r="J1506">
        <v>41.33</v>
      </c>
      <c r="K1506" t="s">
        <v>9167</v>
      </c>
      <c r="L1506">
        <v>1.03</v>
      </c>
      <c r="M1506" t="s">
        <v>46</v>
      </c>
      <c r="N1506" t="s">
        <v>6402</v>
      </c>
      <c r="O1506">
        <v>41.77</v>
      </c>
      <c r="P1506">
        <v>40.12</v>
      </c>
      <c r="Q1506">
        <v>40.95</v>
      </c>
      <c r="R1506">
        <v>40.92</v>
      </c>
      <c r="S1506">
        <v>4.03</v>
      </c>
      <c r="T1506">
        <v>1.44</v>
      </c>
      <c r="U1506">
        <v>-8.38</v>
      </c>
      <c r="V1506">
        <v>-32</v>
      </c>
      <c r="W1506">
        <v>40.89</v>
      </c>
      <c r="X1506" t="s">
        <v>2371</v>
      </c>
      <c r="Y1506" t="s">
        <v>3165</v>
      </c>
      <c r="Z1506">
        <v>0.85</v>
      </c>
      <c r="AA1506">
        <v>4</v>
      </c>
      <c r="AB1506">
        <v>65</v>
      </c>
      <c r="AC1506">
        <v>3.12</v>
      </c>
      <c r="AD1506" t="s">
        <v>9196</v>
      </c>
      <c r="AE1506" t="s">
        <v>5333</v>
      </c>
      <c r="AF1506" t="s">
        <v>9196</v>
      </c>
      <c r="AG1506" t="s">
        <v>5333</v>
      </c>
      <c r="AH1506">
        <v>2.53</v>
      </c>
      <c r="AI1506">
        <v>6.06</v>
      </c>
      <c r="AJ1506">
        <v>2.52</v>
      </c>
      <c r="AK1506">
        <v>4.61</v>
      </c>
      <c r="AL1506">
        <v>2</v>
      </c>
      <c r="AM1506">
        <v>0.98</v>
      </c>
      <c r="AN1506">
        <v>-34.26</v>
      </c>
      <c r="AO1506">
        <v>13.21</v>
      </c>
      <c r="AP1506">
        <v>-40.07</v>
      </c>
    </row>
    <row r="1507" spans="1:42">
      <c r="A1507">
        <v>1506</v>
      </c>
      <c r="B1507" t="str">
        <f>"688035"</f>
        <v>688035</v>
      </c>
      <c r="C1507" t="s">
        <v>9197</v>
      </c>
      <c r="D1507">
        <v>57.25</v>
      </c>
      <c r="E1507">
        <v>2.18</v>
      </c>
      <c r="F1507">
        <v>1.22</v>
      </c>
      <c r="G1507" t="s">
        <v>2818</v>
      </c>
      <c r="H1507">
        <v>106</v>
      </c>
      <c r="I1507">
        <v>57.25</v>
      </c>
      <c r="J1507">
        <v>57.26</v>
      </c>
      <c r="K1507" t="s">
        <v>9167</v>
      </c>
      <c r="L1507">
        <v>2.92</v>
      </c>
      <c r="M1507" t="s">
        <v>46</v>
      </c>
      <c r="N1507" t="s">
        <v>9198</v>
      </c>
      <c r="O1507">
        <v>57.9</v>
      </c>
      <c r="P1507">
        <v>55.25</v>
      </c>
      <c r="Q1507">
        <v>55.99</v>
      </c>
      <c r="R1507">
        <v>56.03</v>
      </c>
      <c r="S1507">
        <v>4.73</v>
      </c>
      <c r="T1507">
        <v>0.8</v>
      </c>
      <c r="U1507">
        <v>47.77</v>
      </c>
      <c r="V1507">
        <v>75</v>
      </c>
      <c r="W1507">
        <v>56.85</v>
      </c>
      <c r="X1507" t="s">
        <v>734</v>
      </c>
      <c r="Y1507" t="s">
        <v>4792</v>
      </c>
      <c r="Z1507">
        <v>0.91</v>
      </c>
      <c r="AA1507">
        <v>3</v>
      </c>
      <c r="AB1507">
        <v>6</v>
      </c>
      <c r="AC1507">
        <v>3.62</v>
      </c>
      <c r="AD1507" t="s">
        <v>9199</v>
      </c>
      <c r="AE1507" t="s">
        <v>9200</v>
      </c>
      <c r="AF1507" t="s">
        <v>9201</v>
      </c>
      <c r="AG1507" t="s">
        <v>9202</v>
      </c>
      <c r="AH1507">
        <v>0.35</v>
      </c>
      <c r="AI1507">
        <v>-4.55</v>
      </c>
      <c r="AJ1507">
        <v>7.27</v>
      </c>
      <c r="AK1507">
        <v>21.11</v>
      </c>
      <c r="AL1507">
        <v>1</v>
      </c>
      <c r="AM1507">
        <v>2.18</v>
      </c>
      <c r="AN1507">
        <v>11.58</v>
      </c>
      <c r="AO1507">
        <v>-3.29</v>
      </c>
      <c r="AP1507">
        <v>-22.54</v>
      </c>
    </row>
    <row r="1508" spans="1:42">
      <c r="A1508">
        <v>1507</v>
      </c>
      <c r="B1508" t="str">
        <f>"600199"</f>
        <v>600199</v>
      </c>
      <c r="C1508" t="s">
        <v>9203</v>
      </c>
      <c r="D1508">
        <v>21.14</v>
      </c>
      <c r="E1508">
        <v>-0.28</v>
      </c>
      <c r="F1508">
        <v>-0.06</v>
      </c>
      <c r="G1508" t="s">
        <v>9204</v>
      </c>
      <c r="H1508">
        <v>538</v>
      </c>
      <c r="I1508">
        <v>21.13</v>
      </c>
      <c r="J1508">
        <v>21.14</v>
      </c>
      <c r="K1508" t="s">
        <v>9167</v>
      </c>
      <c r="L1508">
        <v>0.97</v>
      </c>
      <c r="M1508" t="s">
        <v>46</v>
      </c>
      <c r="N1508" t="s">
        <v>7120</v>
      </c>
      <c r="O1508">
        <v>21.17</v>
      </c>
      <c r="P1508">
        <v>20.86</v>
      </c>
      <c r="Q1508">
        <v>21.03</v>
      </c>
      <c r="R1508">
        <v>21.2</v>
      </c>
      <c r="S1508">
        <v>1.46</v>
      </c>
      <c r="T1508">
        <v>0.73</v>
      </c>
      <c r="U1508">
        <v>-32.11</v>
      </c>
      <c r="V1508">
        <v>-557</v>
      </c>
      <c r="W1508">
        <v>20.99</v>
      </c>
      <c r="X1508" t="s">
        <v>1069</v>
      </c>
      <c r="Y1508" t="s">
        <v>4610</v>
      </c>
      <c r="Z1508">
        <v>1.24</v>
      </c>
      <c r="AA1508">
        <v>52</v>
      </c>
      <c r="AB1508">
        <v>29</v>
      </c>
      <c r="AC1508">
        <v>5.54</v>
      </c>
      <c r="AD1508" t="s">
        <v>9205</v>
      </c>
      <c r="AE1508" t="s">
        <v>6623</v>
      </c>
      <c r="AF1508" t="s">
        <v>9205</v>
      </c>
      <c r="AG1508" t="s">
        <v>6623</v>
      </c>
      <c r="AH1508">
        <v>-0.19</v>
      </c>
      <c r="AI1508">
        <v>-5.54</v>
      </c>
      <c r="AJ1508">
        <v>3.2</v>
      </c>
      <c r="AK1508">
        <v>7.65</v>
      </c>
      <c r="AL1508">
        <v>-1</v>
      </c>
      <c r="AM1508">
        <v>-0.28</v>
      </c>
      <c r="AN1508">
        <v>-20.88</v>
      </c>
      <c r="AO1508">
        <v>-7.44</v>
      </c>
      <c r="AP1508">
        <v>-18.6</v>
      </c>
    </row>
    <row r="1509" spans="1:42">
      <c r="A1509">
        <v>1508</v>
      </c>
      <c r="B1509" t="str">
        <f>"002582"</f>
        <v>002582</v>
      </c>
      <c r="C1509" t="s">
        <v>9206</v>
      </c>
      <c r="D1509">
        <v>9.21</v>
      </c>
      <c r="E1509">
        <v>1.43</v>
      </c>
      <c r="F1509">
        <v>0.13</v>
      </c>
      <c r="G1509" t="s">
        <v>4194</v>
      </c>
      <c r="H1509">
        <v>892</v>
      </c>
      <c r="I1509">
        <v>9.21</v>
      </c>
      <c r="J1509">
        <v>9.22</v>
      </c>
      <c r="K1509" t="s">
        <v>9167</v>
      </c>
      <c r="L1509">
        <v>4.27</v>
      </c>
      <c r="M1509" t="s">
        <v>46</v>
      </c>
      <c r="N1509" t="s">
        <v>3436</v>
      </c>
      <c r="O1509">
        <v>9.37</v>
      </c>
      <c r="P1509">
        <v>9.07</v>
      </c>
      <c r="Q1509">
        <v>9.1</v>
      </c>
      <c r="R1509">
        <v>9.08</v>
      </c>
      <c r="S1509">
        <v>3.3</v>
      </c>
      <c r="T1509">
        <v>1.44</v>
      </c>
      <c r="U1509">
        <v>-18.67</v>
      </c>
      <c r="V1509">
        <v>-477</v>
      </c>
      <c r="W1509">
        <v>9.23</v>
      </c>
      <c r="X1509" t="s">
        <v>6231</v>
      </c>
      <c r="Y1509" t="s">
        <v>5270</v>
      </c>
      <c r="Z1509">
        <v>1.17</v>
      </c>
      <c r="AA1509">
        <v>279</v>
      </c>
      <c r="AB1509">
        <v>291</v>
      </c>
      <c r="AC1509">
        <v>1.01</v>
      </c>
      <c r="AD1509" t="s">
        <v>9207</v>
      </c>
      <c r="AE1509" t="s">
        <v>5286</v>
      </c>
      <c r="AF1509" t="s">
        <v>9208</v>
      </c>
      <c r="AG1509" t="s">
        <v>9209</v>
      </c>
      <c r="AH1509">
        <v>1.66</v>
      </c>
      <c r="AI1509">
        <v>4.07</v>
      </c>
      <c r="AJ1509">
        <v>10.3</v>
      </c>
      <c r="AK1509">
        <v>19.11</v>
      </c>
      <c r="AL1509">
        <v>1</v>
      </c>
      <c r="AM1509">
        <v>1.43</v>
      </c>
      <c r="AN1509">
        <v>-2.13</v>
      </c>
      <c r="AO1509">
        <v>15.7</v>
      </c>
      <c r="AP1509">
        <v>33.29</v>
      </c>
    </row>
    <row r="1510" spans="1:42">
      <c r="A1510">
        <v>1509</v>
      </c>
      <c r="B1510" t="str">
        <f>"002937"</f>
        <v>002937</v>
      </c>
      <c r="C1510" t="s">
        <v>9210</v>
      </c>
      <c r="D1510">
        <v>25.13</v>
      </c>
      <c r="E1510">
        <v>0.44</v>
      </c>
      <c r="F1510">
        <v>0.11</v>
      </c>
      <c r="G1510" t="s">
        <v>1235</v>
      </c>
      <c r="H1510">
        <v>265</v>
      </c>
      <c r="I1510">
        <v>25.13</v>
      </c>
      <c r="J1510">
        <v>25.15</v>
      </c>
      <c r="K1510" t="s">
        <v>9167</v>
      </c>
      <c r="L1510">
        <v>1.84</v>
      </c>
      <c r="M1510" t="s">
        <v>46</v>
      </c>
      <c r="N1510" t="s">
        <v>2959</v>
      </c>
      <c r="O1510">
        <v>25.44</v>
      </c>
      <c r="P1510">
        <v>24.61</v>
      </c>
      <c r="Q1510">
        <v>25.15</v>
      </c>
      <c r="R1510">
        <v>25.02</v>
      </c>
      <c r="S1510">
        <v>3.32</v>
      </c>
      <c r="T1510">
        <v>0.77</v>
      </c>
      <c r="U1510">
        <v>29.49</v>
      </c>
      <c r="V1510">
        <v>46</v>
      </c>
      <c r="W1510">
        <v>25</v>
      </c>
      <c r="X1510" t="s">
        <v>9211</v>
      </c>
      <c r="Y1510" t="s">
        <v>8966</v>
      </c>
      <c r="Z1510">
        <v>0.89</v>
      </c>
      <c r="AA1510">
        <v>25</v>
      </c>
      <c r="AB1510">
        <v>21</v>
      </c>
      <c r="AC1510">
        <v>5.33</v>
      </c>
      <c r="AD1510" t="s">
        <v>9212</v>
      </c>
      <c r="AE1510" t="s">
        <v>9213</v>
      </c>
      <c r="AF1510" t="s">
        <v>9214</v>
      </c>
      <c r="AG1510" t="s">
        <v>9215</v>
      </c>
      <c r="AH1510">
        <v>4.88</v>
      </c>
      <c r="AI1510">
        <v>11.59</v>
      </c>
      <c r="AJ1510">
        <v>8.39</v>
      </c>
      <c r="AK1510">
        <v>13.87</v>
      </c>
      <c r="AL1510">
        <v>5</v>
      </c>
      <c r="AM1510">
        <v>0.44</v>
      </c>
      <c r="AN1510">
        <v>11.94</v>
      </c>
      <c r="AO1510">
        <v>19.04</v>
      </c>
      <c r="AP1510">
        <v>8.98</v>
      </c>
    </row>
    <row r="1511" spans="1:42">
      <c r="A1511">
        <v>1510</v>
      </c>
      <c r="B1511" t="str">
        <f>"300100"</f>
        <v>300100</v>
      </c>
      <c r="C1511" t="s">
        <v>9216</v>
      </c>
      <c r="D1511">
        <v>10.18</v>
      </c>
      <c r="E1511">
        <v>-1.45</v>
      </c>
      <c r="F1511">
        <v>-0.15</v>
      </c>
      <c r="G1511" t="s">
        <v>263</v>
      </c>
      <c r="H1511">
        <v>1324</v>
      </c>
      <c r="I1511">
        <v>10.18</v>
      </c>
      <c r="J1511">
        <v>10.19</v>
      </c>
      <c r="K1511" t="s">
        <v>9167</v>
      </c>
      <c r="L1511">
        <v>3.41</v>
      </c>
      <c r="M1511" t="s">
        <v>46</v>
      </c>
      <c r="N1511" t="s">
        <v>7406</v>
      </c>
      <c r="O1511">
        <v>10.41</v>
      </c>
      <c r="P1511">
        <v>10.01</v>
      </c>
      <c r="Q1511">
        <v>10.35</v>
      </c>
      <c r="R1511">
        <v>10.33</v>
      </c>
      <c r="S1511">
        <v>3.87</v>
      </c>
      <c r="T1511">
        <v>0.77</v>
      </c>
      <c r="U1511">
        <v>10.94</v>
      </c>
      <c r="V1511">
        <v>269</v>
      </c>
      <c r="W1511">
        <v>10.13</v>
      </c>
      <c r="X1511" t="s">
        <v>9217</v>
      </c>
      <c r="Y1511" t="s">
        <v>7461</v>
      </c>
      <c r="Z1511">
        <v>1.18</v>
      </c>
      <c r="AA1511">
        <v>297</v>
      </c>
      <c r="AB1511">
        <v>257</v>
      </c>
      <c r="AC1511">
        <v>1.85</v>
      </c>
      <c r="AD1511" t="s">
        <v>4229</v>
      </c>
      <c r="AE1511" t="s">
        <v>9218</v>
      </c>
      <c r="AF1511" t="s">
        <v>9219</v>
      </c>
      <c r="AG1511" t="s">
        <v>9220</v>
      </c>
      <c r="AH1511">
        <v>-6.09</v>
      </c>
      <c r="AI1511">
        <v>-4.32</v>
      </c>
      <c r="AJ1511">
        <v>12.59</v>
      </c>
      <c r="AK1511">
        <v>25.68</v>
      </c>
      <c r="AL1511">
        <v>-3</v>
      </c>
      <c r="AM1511">
        <v>-1.45</v>
      </c>
      <c r="AN1511">
        <v>38.88</v>
      </c>
      <c r="AO1511">
        <v>-3.14</v>
      </c>
      <c r="AP1511">
        <v>28.21</v>
      </c>
    </row>
    <row r="1512" spans="1:42">
      <c r="A1512">
        <v>1511</v>
      </c>
      <c r="B1512" t="str">
        <f>"300465"</f>
        <v>300465</v>
      </c>
      <c r="C1512" t="s">
        <v>9221</v>
      </c>
      <c r="D1512">
        <v>10.59</v>
      </c>
      <c r="E1512">
        <v>3.72</v>
      </c>
      <c r="F1512">
        <v>0.38</v>
      </c>
      <c r="G1512" t="s">
        <v>446</v>
      </c>
      <c r="H1512">
        <v>1821</v>
      </c>
      <c r="I1512">
        <v>10.58</v>
      </c>
      <c r="J1512">
        <v>10.59</v>
      </c>
      <c r="K1512" t="s">
        <v>9167</v>
      </c>
      <c r="L1512">
        <v>2.87</v>
      </c>
      <c r="M1512" t="s">
        <v>46</v>
      </c>
      <c r="N1512" t="s">
        <v>1392</v>
      </c>
      <c r="O1512">
        <v>10.59</v>
      </c>
      <c r="P1512">
        <v>10.18</v>
      </c>
      <c r="Q1512">
        <v>10.18</v>
      </c>
      <c r="R1512">
        <v>10.21</v>
      </c>
      <c r="S1512">
        <v>4.02</v>
      </c>
      <c r="T1512">
        <v>1.32</v>
      </c>
      <c r="U1512">
        <v>-24.72</v>
      </c>
      <c r="V1512">
        <v>-1589</v>
      </c>
      <c r="W1512">
        <v>10.43</v>
      </c>
      <c r="X1512" t="s">
        <v>2560</v>
      </c>
      <c r="Y1512" t="s">
        <v>3765</v>
      </c>
      <c r="Z1512">
        <v>0.61</v>
      </c>
      <c r="AA1512">
        <v>122</v>
      </c>
      <c r="AB1512">
        <v>1590</v>
      </c>
      <c r="AC1512">
        <v>7.41</v>
      </c>
      <c r="AD1512" t="s">
        <v>9222</v>
      </c>
      <c r="AE1512" t="s">
        <v>8334</v>
      </c>
      <c r="AF1512" t="s">
        <v>9222</v>
      </c>
      <c r="AG1512" t="s">
        <v>8334</v>
      </c>
      <c r="AH1512">
        <v>1.15</v>
      </c>
      <c r="AI1512">
        <v>-1.76</v>
      </c>
      <c r="AJ1512">
        <v>6.79</v>
      </c>
      <c r="AK1512">
        <v>13.76</v>
      </c>
      <c r="AL1512">
        <v>1</v>
      </c>
      <c r="AM1512">
        <v>3.72</v>
      </c>
      <c r="AN1512">
        <v>35.94</v>
      </c>
      <c r="AO1512">
        <v>0.67</v>
      </c>
      <c r="AP1512">
        <v>22.85</v>
      </c>
    </row>
    <row r="1513" spans="1:42">
      <c r="A1513">
        <v>1512</v>
      </c>
      <c r="B1513" t="str">
        <f>"002544"</f>
        <v>002544</v>
      </c>
      <c r="C1513" t="s">
        <v>9223</v>
      </c>
      <c r="D1513">
        <v>22.52</v>
      </c>
      <c r="E1513">
        <v>2.93</v>
      </c>
      <c r="F1513">
        <v>0.64</v>
      </c>
      <c r="G1513" t="s">
        <v>9224</v>
      </c>
      <c r="H1513">
        <v>353</v>
      </c>
      <c r="I1513">
        <v>22.51</v>
      </c>
      <c r="J1513">
        <v>22.52</v>
      </c>
      <c r="K1513" t="s">
        <v>9167</v>
      </c>
      <c r="L1513">
        <v>0.9</v>
      </c>
      <c r="M1513" t="s">
        <v>46</v>
      </c>
      <c r="N1513" t="s">
        <v>3455</v>
      </c>
      <c r="O1513">
        <v>22.65</v>
      </c>
      <c r="P1513">
        <v>21.71</v>
      </c>
      <c r="Q1513">
        <v>21.87</v>
      </c>
      <c r="R1513">
        <v>21.88</v>
      </c>
      <c r="S1513">
        <v>4.3</v>
      </c>
      <c r="T1513">
        <v>1.15</v>
      </c>
      <c r="U1513">
        <v>-66.55</v>
      </c>
      <c r="V1513">
        <v>-366</v>
      </c>
      <c r="W1513">
        <v>22.29</v>
      </c>
      <c r="X1513" t="s">
        <v>2877</v>
      </c>
      <c r="Y1513" t="s">
        <v>5383</v>
      </c>
      <c r="Z1513">
        <v>0.49</v>
      </c>
      <c r="AA1513">
        <v>35</v>
      </c>
      <c r="AB1513">
        <v>1</v>
      </c>
      <c r="AC1513">
        <v>4.09</v>
      </c>
      <c r="AD1513" t="s">
        <v>9225</v>
      </c>
      <c r="AE1513" t="s">
        <v>2644</v>
      </c>
      <c r="AF1513" t="s">
        <v>9226</v>
      </c>
      <c r="AG1513" t="s">
        <v>5357</v>
      </c>
      <c r="AH1513">
        <v>1.85</v>
      </c>
      <c r="AI1513">
        <v>-1.36</v>
      </c>
      <c r="AJ1513">
        <v>2.16</v>
      </c>
      <c r="AK1513">
        <v>4.82</v>
      </c>
      <c r="AL1513">
        <v>1</v>
      </c>
      <c r="AM1513">
        <v>2.93</v>
      </c>
      <c r="AN1513">
        <v>35.42</v>
      </c>
      <c r="AO1513">
        <v>1.03</v>
      </c>
      <c r="AP1513">
        <v>13.57</v>
      </c>
    </row>
    <row r="1514" spans="1:42">
      <c r="A1514">
        <v>1513</v>
      </c>
      <c r="B1514" t="str">
        <f>"688521"</f>
        <v>688521</v>
      </c>
      <c r="C1514" t="s">
        <v>9227</v>
      </c>
      <c r="D1514">
        <v>53.97</v>
      </c>
      <c r="E1514">
        <v>1.07</v>
      </c>
      <c r="F1514">
        <v>0.57</v>
      </c>
      <c r="G1514" t="s">
        <v>48</v>
      </c>
      <c r="H1514">
        <v>181</v>
      </c>
      <c r="I1514">
        <v>53.97</v>
      </c>
      <c r="J1514">
        <v>54</v>
      </c>
      <c r="K1514" t="s">
        <v>9167</v>
      </c>
      <c r="L1514">
        <v>0.51</v>
      </c>
      <c r="M1514" t="s">
        <v>46</v>
      </c>
      <c r="N1514" t="s">
        <v>8612</v>
      </c>
      <c r="O1514">
        <v>54.52</v>
      </c>
      <c r="P1514">
        <v>52.9</v>
      </c>
      <c r="Q1514">
        <v>53.12</v>
      </c>
      <c r="R1514">
        <v>53.4</v>
      </c>
      <c r="S1514">
        <v>3.03</v>
      </c>
      <c r="T1514">
        <v>0.91</v>
      </c>
      <c r="U1514">
        <v>65.13</v>
      </c>
      <c r="V1514">
        <v>150</v>
      </c>
      <c r="W1514">
        <v>53.58</v>
      </c>
      <c r="X1514" t="s">
        <v>1967</v>
      </c>
      <c r="Y1514" t="s">
        <v>189</v>
      </c>
      <c r="Z1514">
        <v>1.13</v>
      </c>
      <c r="AA1514">
        <v>148</v>
      </c>
      <c r="AB1514">
        <v>2</v>
      </c>
      <c r="AC1514">
        <v>9.33</v>
      </c>
      <c r="AD1514" t="s">
        <v>9228</v>
      </c>
      <c r="AE1514" t="s">
        <v>9229</v>
      </c>
      <c r="AF1514" t="s">
        <v>9230</v>
      </c>
      <c r="AG1514" t="s">
        <v>9231</v>
      </c>
      <c r="AH1514">
        <v>-2.39</v>
      </c>
      <c r="AI1514">
        <v>-4.44</v>
      </c>
      <c r="AJ1514">
        <v>1.44</v>
      </c>
      <c r="AK1514">
        <v>3.33</v>
      </c>
      <c r="AL1514">
        <v>1</v>
      </c>
      <c r="AM1514">
        <v>1.07</v>
      </c>
      <c r="AN1514">
        <v>22.46</v>
      </c>
      <c r="AO1514">
        <v>-4.07</v>
      </c>
      <c r="AP1514">
        <v>7.45</v>
      </c>
    </row>
    <row r="1515" spans="1:42">
      <c r="A1515">
        <v>1514</v>
      </c>
      <c r="B1515" t="str">
        <f>"002009"</f>
        <v>002009</v>
      </c>
      <c r="C1515" t="s">
        <v>9232</v>
      </c>
      <c r="D1515">
        <v>14.16</v>
      </c>
      <c r="E1515">
        <v>1</v>
      </c>
      <c r="F1515">
        <v>0.14</v>
      </c>
      <c r="G1515" t="s">
        <v>6975</v>
      </c>
      <c r="H1515">
        <v>1798</v>
      </c>
      <c r="I1515">
        <v>14.16</v>
      </c>
      <c r="J1515">
        <v>14.17</v>
      </c>
      <c r="K1515" t="s">
        <v>9167</v>
      </c>
      <c r="L1515">
        <v>2.55</v>
      </c>
      <c r="M1515" t="s">
        <v>46</v>
      </c>
      <c r="N1515" t="s">
        <v>2246</v>
      </c>
      <c r="O1515">
        <v>14.28</v>
      </c>
      <c r="P1515">
        <v>13.76</v>
      </c>
      <c r="Q1515">
        <v>14.05</v>
      </c>
      <c r="R1515">
        <v>14.02</v>
      </c>
      <c r="S1515">
        <v>3.71</v>
      </c>
      <c r="T1515">
        <v>1.06</v>
      </c>
      <c r="U1515">
        <v>6.54</v>
      </c>
      <c r="V1515">
        <v>324</v>
      </c>
      <c r="W1515">
        <v>14.04</v>
      </c>
      <c r="X1515" t="s">
        <v>1236</v>
      </c>
      <c r="Y1515" t="s">
        <v>6203</v>
      </c>
      <c r="Z1515">
        <v>0.98</v>
      </c>
      <c r="AA1515">
        <v>685</v>
      </c>
      <c r="AB1515">
        <v>308</v>
      </c>
      <c r="AC1515">
        <v>2.7</v>
      </c>
      <c r="AD1515" t="s">
        <v>9233</v>
      </c>
      <c r="AE1515" t="s">
        <v>9234</v>
      </c>
      <c r="AF1515" t="s">
        <v>9235</v>
      </c>
      <c r="AG1515" t="s">
        <v>9236</v>
      </c>
      <c r="AH1515">
        <v>0.21</v>
      </c>
      <c r="AI1515">
        <v>-0.14</v>
      </c>
      <c r="AJ1515">
        <v>8.53</v>
      </c>
      <c r="AK1515">
        <v>14.57</v>
      </c>
      <c r="AL1515">
        <v>1</v>
      </c>
      <c r="AM1515">
        <v>1</v>
      </c>
      <c r="AN1515">
        <v>0.07</v>
      </c>
      <c r="AO1515">
        <v>5.28</v>
      </c>
      <c r="AP1515">
        <v>-7.21</v>
      </c>
    </row>
    <row r="1516" spans="1:42">
      <c r="A1516">
        <v>1515</v>
      </c>
      <c r="B1516" t="str">
        <f>"600233"</f>
        <v>600233</v>
      </c>
      <c r="C1516" t="s">
        <v>9237</v>
      </c>
      <c r="D1516">
        <v>13</v>
      </c>
      <c r="E1516">
        <v>-1.14</v>
      </c>
      <c r="F1516">
        <v>-0.15</v>
      </c>
      <c r="G1516" t="s">
        <v>3402</v>
      </c>
      <c r="H1516">
        <v>734</v>
      </c>
      <c r="I1516">
        <v>13</v>
      </c>
      <c r="J1516">
        <v>13.01</v>
      </c>
      <c r="K1516" t="s">
        <v>9238</v>
      </c>
      <c r="L1516">
        <v>0.3</v>
      </c>
      <c r="M1516" t="s">
        <v>46</v>
      </c>
      <c r="N1516" t="s">
        <v>9239</v>
      </c>
      <c r="O1516">
        <v>13.2</v>
      </c>
      <c r="P1516">
        <v>12.91</v>
      </c>
      <c r="Q1516">
        <v>13.15</v>
      </c>
      <c r="R1516">
        <v>13.15</v>
      </c>
      <c r="S1516">
        <v>2.21</v>
      </c>
      <c r="T1516">
        <v>1.7</v>
      </c>
      <c r="U1516">
        <v>-3.37</v>
      </c>
      <c r="V1516">
        <v>-89</v>
      </c>
      <c r="W1516">
        <v>13.01</v>
      </c>
      <c r="X1516" t="s">
        <v>2405</v>
      </c>
      <c r="Y1516" t="s">
        <v>7817</v>
      </c>
      <c r="Z1516">
        <v>1.16</v>
      </c>
      <c r="AA1516">
        <v>137</v>
      </c>
      <c r="AB1516">
        <v>75</v>
      </c>
      <c r="AC1516">
        <v>1.58</v>
      </c>
      <c r="AD1516" t="s">
        <v>6658</v>
      </c>
      <c r="AE1516" t="s">
        <v>9240</v>
      </c>
      <c r="AF1516" t="s">
        <v>6658</v>
      </c>
      <c r="AG1516" t="s">
        <v>9240</v>
      </c>
      <c r="AH1516">
        <v>-2.91</v>
      </c>
      <c r="AI1516">
        <v>-2.62</v>
      </c>
      <c r="AJ1516">
        <v>0.65</v>
      </c>
      <c r="AK1516">
        <v>1.17</v>
      </c>
      <c r="AL1516">
        <v>-1</v>
      </c>
      <c r="AM1516">
        <v>-1.14</v>
      </c>
      <c r="AN1516">
        <v>-34.48</v>
      </c>
      <c r="AO1516">
        <v>-5.32</v>
      </c>
      <c r="AP1516">
        <v>-32.43</v>
      </c>
    </row>
    <row r="1517" spans="1:42">
      <c r="A1517">
        <v>1516</v>
      </c>
      <c r="B1517" t="str">
        <f>"000506"</f>
        <v>000506</v>
      </c>
      <c r="C1517" t="s">
        <v>9241</v>
      </c>
      <c r="D1517">
        <v>4.37</v>
      </c>
      <c r="E1517">
        <v>0.23</v>
      </c>
      <c r="F1517">
        <v>0.01</v>
      </c>
      <c r="G1517" t="s">
        <v>143</v>
      </c>
      <c r="H1517">
        <v>7036</v>
      </c>
      <c r="I1517">
        <v>4.36</v>
      </c>
      <c r="J1517">
        <v>4.37</v>
      </c>
      <c r="K1517" t="s">
        <v>9238</v>
      </c>
      <c r="L1517">
        <v>3.3</v>
      </c>
      <c r="M1517" t="s">
        <v>46</v>
      </c>
      <c r="N1517" t="s">
        <v>6401</v>
      </c>
      <c r="O1517">
        <v>4.38</v>
      </c>
      <c r="P1517">
        <v>4.31</v>
      </c>
      <c r="Q1517">
        <v>4.34</v>
      </c>
      <c r="R1517">
        <v>4.36</v>
      </c>
      <c r="S1517">
        <v>1.61</v>
      </c>
      <c r="T1517">
        <v>0.71</v>
      </c>
      <c r="U1517">
        <v>-35.08</v>
      </c>
      <c r="V1517" t="s">
        <v>9242</v>
      </c>
      <c r="W1517">
        <v>4.36</v>
      </c>
      <c r="X1517" t="s">
        <v>665</v>
      </c>
      <c r="Y1517" t="s">
        <v>4194</v>
      </c>
      <c r="Z1517">
        <v>1.12</v>
      </c>
      <c r="AA1517">
        <v>5633</v>
      </c>
      <c r="AB1517">
        <v>4270</v>
      </c>
      <c r="AC1517">
        <v>5.62</v>
      </c>
      <c r="AD1517" t="s">
        <v>9243</v>
      </c>
      <c r="AE1517" t="s">
        <v>5775</v>
      </c>
      <c r="AF1517" t="s">
        <v>9244</v>
      </c>
      <c r="AG1517" t="s">
        <v>9245</v>
      </c>
      <c r="AH1517">
        <v>1.63</v>
      </c>
      <c r="AI1517">
        <v>0.92</v>
      </c>
      <c r="AJ1517">
        <v>18.73</v>
      </c>
      <c r="AK1517">
        <v>26.63</v>
      </c>
      <c r="AL1517">
        <v>1</v>
      </c>
      <c r="AM1517">
        <v>0.23</v>
      </c>
      <c r="AN1517">
        <v>35.29</v>
      </c>
      <c r="AO1517">
        <v>0.69</v>
      </c>
      <c r="AP1517">
        <v>23.1</v>
      </c>
    </row>
    <row r="1518" spans="1:42">
      <c r="A1518">
        <v>1517</v>
      </c>
      <c r="B1518" t="str">
        <f>"002813"</f>
        <v>002813</v>
      </c>
      <c r="C1518" t="s">
        <v>9246</v>
      </c>
      <c r="D1518">
        <v>37.51</v>
      </c>
      <c r="E1518">
        <v>-1</v>
      </c>
      <c r="F1518">
        <v>-0.38</v>
      </c>
      <c r="G1518" t="s">
        <v>4148</v>
      </c>
      <c r="H1518">
        <v>671</v>
      </c>
      <c r="I1518">
        <v>37.51</v>
      </c>
      <c r="J1518">
        <v>37.52</v>
      </c>
      <c r="K1518" t="s">
        <v>9238</v>
      </c>
      <c r="L1518">
        <v>3.02</v>
      </c>
      <c r="M1518" t="s">
        <v>46</v>
      </c>
      <c r="N1518" t="s">
        <v>6517</v>
      </c>
      <c r="O1518">
        <v>37.99</v>
      </c>
      <c r="P1518">
        <v>36.68</v>
      </c>
      <c r="Q1518">
        <v>37.89</v>
      </c>
      <c r="R1518">
        <v>37.89</v>
      </c>
      <c r="S1518">
        <v>3.46</v>
      </c>
      <c r="T1518">
        <v>0.45</v>
      </c>
      <c r="U1518">
        <v>82.65</v>
      </c>
      <c r="V1518">
        <v>524</v>
      </c>
      <c r="W1518">
        <v>37.36</v>
      </c>
      <c r="X1518" t="s">
        <v>128</v>
      </c>
      <c r="Y1518" t="s">
        <v>1456</v>
      </c>
      <c r="Z1518">
        <v>1.07</v>
      </c>
      <c r="AA1518">
        <v>96</v>
      </c>
      <c r="AB1518">
        <v>18</v>
      </c>
      <c r="AC1518">
        <v>12.03</v>
      </c>
      <c r="AD1518" t="s">
        <v>5210</v>
      </c>
      <c r="AE1518" t="s">
        <v>9247</v>
      </c>
      <c r="AF1518" t="s">
        <v>9248</v>
      </c>
      <c r="AG1518" t="s">
        <v>9249</v>
      </c>
      <c r="AH1518">
        <v>-7.47</v>
      </c>
      <c r="AI1518">
        <v>-6.06</v>
      </c>
      <c r="AJ1518">
        <v>14.44</v>
      </c>
      <c r="AK1518">
        <v>36.76</v>
      </c>
      <c r="AL1518">
        <v>-4</v>
      </c>
      <c r="AM1518">
        <v>-1</v>
      </c>
      <c r="AN1518">
        <v>50.34</v>
      </c>
      <c r="AO1518">
        <v>9.81</v>
      </c>
      <c r="AP1518">
        <v>31.61</v>
      </c>
    </row>
    <row r="1519" spans="1:42">
      <c r="A1519">
        <v>1518</v>
      </c>
      <c r="B1519" t="str">
        <f>"605086"</f>
        <v>605086</v>
      </c>
      <c r="C1519" t="s">
        <v>9250</v>
      </c>
      <c r="D1519">
        <v>27.94</v>
      </c>
      <c r="E1519">
        <v>2.05</v>
      </c>
      <c r="F1519">
        <v>0.56</v>
      </c>
      <c r="G1519" t="s">
        <v>4928</v>
      </c>
      <c r="H1519">
        <v>1308</v>
      </c>
      <c r="I1519">
        <v>27.94</v>
      </c>
      <c r="J1519">
        <v>27.95</v>
      </c>
      <c r="K1519" t="s">
        <v>9238</v>
      </c>
      <c r="L1519">
        <v>9.39</v>
      </c>
      <c r="M1519" t="s">
        <v>46</v>
      </c>
      <c r="N1519" t="s">
        <v>6095</v>
      </c>
      <c r="O1519">
        <v>28.13</v>
      </c>
      <c r="P1519">
        <v>27.32</v>
      </c>
      <c r="Q1519">
        <v>27.44</v>
      </c>
      <c r="R1519">
        <v>27.38</v>
      </c>
      <c r="S1519">
        <v>2.96</v>
      </c>
      <c r="T1519">
        <v>0.85</v>
      </c>
      <c r="U1519">
        <v>52.45</v>
      </c>
      <c r="V1519">
        <v>532</v>
      </c>
      <c r="W1519">
        <v>27.76</v>
      </c>
      <c r="X1519" t="s">
        <v>1335</v>
      </c>
      <c r="Y1519" t="s">
        <v>9251</v>
      </c>
      <c r="Z1519">
        <v>0.9</v>
      </c>
      <c r="AA1519">
        <v>145</v>
      </c>
      <c r="AB1519">
        <v>131</v>
      </c>
      <c r="AC1519">
        <v>3.09</v>
      </c>
      <c r="AD1519" t="s">
        <v>9252</v>
      </c>
      <c r="AE1519" t="s">
        <v>9253</v>
      </c>
      <c r="AF1519" t="s">
        <v>9254</v>
      </c>
      <c r="AG1519" t="s">
        <v>7013</v>
      </c>
      <c r="AH1519">
        <v>0.5</v>
      </c>
      <c r="AI1519">
        <v>-2.44</v>
      </c>
      <c r="AJ1519">
        <v>28.79</v>
      </c>
      <c r="AK1519">
        <v>64.88</v>
      </c>
      <c r="AL1519">
        <v>1</v>
      </c>
      <c r="AM1519">
        <v>2.05</v>
      </c>
      <c r="AN1519">
        <v>47.91</v>
      </c>
      <c r="AO1519">
        <v>16.42</v>
      </c>
      <c r="AP1519">
        <v>36.43</v>
      </c>
    </row>
    <row r="1520" spans="1:42">
      <c r="A1520">
        <v>1519</v>
      </c>
      <c r="B1520" t="str">
        <f>"835185"</f>
        <v>835185</v>
      </c>
      <c r="C1520" t="s">
        <v>9255</v>
      </c>
      <c r="D1520">
        <v>23.32</v>
      </c>
      <c r="E1520">
        <v>-4.43</v>
      </c>
      <c r="F1520">
        <v>-1.08</v>
      </c>
      <c r="G1520" t="s">
        <v>5064</v>
      </c>
      <c r="H1520">
        <v>902</v>
      </c>
      <c r="I1520">
        <v>23.32</v>
      </c>
      <c r="J1520">
        <v>23.33</v>
      </c>
      <c r="K1520" t="s">
        <v>9238</v>
      </c>
      <c r="L1520">
        <v>0.52</v>
      </c>
      <c r="M1520" t="s">
        <v>46</v>
      </c>
      <c r="N1520" t="s">
        <v>8826</v>
      </c>
      <c r="O1520">
        <v>24.68</v>
      </c>
      <c r="P1520">
        <v>23.31</v>
      </c>
      <c r="Q1520">
        <v>24.39</v>
      </c>
      <c r="R1520">
        <v>24.4</v>
      </c>
      <c r="S1520">
        <v>5.61</v>
      </c>
      <c r="T1520">
        <v>0.45</v>
      </c>
      <c r="U1520">
        <v>47.25</v>
      </c>
      <c r="V1520">
        <v>399</v>
      </c>
      <c r="W1520">
        <v>23.73</v>
      </c>
      <c r="X1520" t="s">
        <v>762</v>
      </c>
      <c r="Y1520" t="s">
        <v>153</v>
      </c>
      <c r="Z1520">
        <v>1.65</v>
      </c>
      <c r="AA1520">
        <v>131</v>
      </c>
      <c r="AB1520">
        <v>30</v>
      </c>
      <c r="AC1520">
        <v>2.28</v>
      </c>
      <c r="AD1520" t="s">
        <v>737</v>
      </c>
      <c r="AE1520" t="s">
        <v>9256</v>
      </c>
      <c r="AF1520" t="s">
        <v>5100</v>
      </c>
      <c r="AG1520" t="s">
        <v>9257</v>
      </c>
      <c r="AH1520">
        <v>-13.24</v>
      </c>
      <c r="AI1520">
        <v>-4.78</v>
      </c>
      <c r="AJ1520">
        <v>1.98</v>
      </c>
      <c r="AK1520">
        <v>6.2</v>
      </c>
      <c r="AL1520">
        <v>-4</v>
      </c>
      <c r="AM1520">
        <v>-4.43</v>
      </c>
      <c r="AN1520">
        <v>-15.26</v>
      </c>
      <c r="AO1520">
        <v>-2.1</v>
      </c>
      <c r="AP1520">
        <v>-25.52</v>
      </c>
    </row>
    <row r="1521" spans="1:42">
      <c r="A1521">
        <v>1520</v>
      </c>
      <c r="B1521" t="str">
        <f>"002690"</f>
        <v>002690</v>
      </c>
      <c r="C1521" t="s">
        <v>9258</v>
      </c>
      <c r="D1521">
        <v>19.64</v>
      </c>
      <c r="E1521">
        <v>-0.71</v>
      </c>
      <c r="F1521">
        <v>-0.14</v>
      </c>
      <c r="G1521" t="s">
        <v>2674</v>
      </c>
      <c r="H1521">
        <v>263</v>
      </c>
      <c r="I1521">
        <v>19.63</v>
      </c>
      <c r="J1521">
        <v>19.64</v>
      </c>
      <c r="K1521" t="s">
        <v>9238</v>
      </c>
      <c r="L1521">
        <v>1.59</v>
      </c>
      <c r="M1521" t="s">
        <v>46</v>
      </c>
      <c r="N1521" t="s">
        <v>4071</v>
      </c>
      <c r="O1521">
        <v>19.83</v>
      </c>
      <c r="P1521">
        <v>18.95</v>
      </c>
      <c r="Q1521">
        <v>19.73</v>
      </c>
      <c r="R1521">
        <v>19.78</v>
      </c>
      <c r="S1521">
        <v>4.45</v>
      </c>
      <c r="T1521">
        <v>1.13</v>
      </c>
      <c r="U1521">
        <v>-35.47</v>
      </c>
      <c r="V1521">
        <v>-122</v>
      </c>
      <c r="W1521">
        <v>19.42</v>
      </c>
      <c r="X1521" t="s">
        <v>2464</v>
      </c>
      <c r="Y1521" t="s">
        <v>8329</v>
      </c>
      <c r="Z1521">
        <v>1.12</v>
      </c>
      <c r="AA1521">
        <v>33</v>
      </c>
      <c r="AB1521">
        <v>14</v>
      </c>
      <c r="AC1521">
        <v>6.7</v>
      </c>
      <c r="AD1521" t="s">
        <v>9259</v>
      </c>
      <c r="AE1521" t="s">
        <v>6828</v>
      </c>
      <c r="AF1521" t="s">
        <v>9260</v>
      </c>
      <c r="AG1521" t="s">
        <v>9261</v>
      </c>
      <c r="AH1521">
        <v>-1.8</v>
      </c>
      <c r="AI1521">
        <v>1.76</v>
      </c>
      <c r="AJ1521">
        <v>4.45</v>
      </c>
      <c r="AK1521">
        <v>8.64</v>
      </c>
      <c r="AL1521">
        <v>-3</v>
      </c>
      <c r="AM1521">
        <v>-0.71</v>
      </c>
      <c r="AN1521">
        <v>-15.34</v>
      </c>
      <c r="AO1521">
        <v>-0.2</v>
      </c>
      <c r="AP1521">
        <v>-21.57</v>
      </c>
    </row>
    <row r="1522" spans="1:42">
      <c r="A1522">
        <v>1521</v>
      </c>
      <c r="B1522" t="str">
        <f>"688262"</f>
        <v>688262</v>
      </c>
      <c r="C1522" t="s">
        <v>9262</v>
      </c>
      <c r="D1522">
        <v>31.37</v>
      </c>
      <c r="E1522">
        <v>2.52</v>
      </c>
      <c r="F1522">
        <v>0.77</v>
      </c>
      <c r="G1522" t="s">
        <v>3959</v>
      </c>
      <c r="H1522">
        <v>755</v>
      </c>
      <c r="I1522">
        <v>31.37</v>
      </c>
      <c r="J1522">
        <v>31.38</v>
      </c>
      <c r="K1522" t="s">
        <v>9238</v>
      </c>
      <c r="L1522">
        <v>1.62</v>
      </c>
      <c r="M1522" t="s">
        <v>46</v>
      </c>
      <c r="N1522" t="s">
        <v>3931</v>
      </c>
      <c r="O1522">
        <v>31.5</v>
      </c>
      <c r="P1522">
        <v>30.31</v>
      </c>
      <c r="Q1522">
        <v>30.68</v>
      </c>
      <c r="R1522">
        <v>30.6</v>
      </c>
      <c r="S1522">
        <v>3.89</v>
      </c>
      <c r="T1522">
        <v>0.72</v>
      </c>
      <c r="U1522">
        <v>45.73</v>
      </c>
      <c r="V1522">
        <v>183</v>
      </c>
      <c r="W1522">
        <v>31.09</v>
      </c>
      <c r="X1522" t="s">
        <v>6425</v>
      </c>
      <c r="Y1522" t="s">
        <v>314</v>
      </c>
      <c r="Z1522">
        <v>0.83</v>
      </c>
      <c r="AA1522">
        <v>0</v>
      </c>
      <c r="AB1522">
        <v>7</v>
      </c>
      <c r="AC1522">
        <v>4.11</v>
      </c>
      <c r="AD1522" t="s">
        <v>9263</v>
      </c>
      <c r="AE1522" t="s">
        <v>3122</v>
      </c>
      <c r="AF1522" t="s">
        <v>9264</v>
      </c>
      <c r="AG1522" t="s">
        <v>9265</v>
      </c>
      <c r="AH1522">
        <v>-1.2</v>
      </c>
      <c r="AI1522">
        <v>0.71</v>
      </c>
      <c r="AJ1522">
        <v>5.67</v>
      </c>
      <c r="AK1522">
        <v>12.87</v>
      </c>
      <c r="AL1522">
        <v>1</v>
      </c>
      <c r="AM1522">
        <v>2.52</v>
      </c>
      <c r="AN1522">
        <v>5.91</v>
      </c>
      <c r="AO1522">
        <v>-0.16</v>
      </c>
      <c r="AP1522">
        <v>-21.36</v>
      </c>
    </row>
    <row r="1523" spans="1:42">
      <c r="A1523">
        <v>1522</v>
      </c>
      <c r="B1523" t="str">
        <f>"002947"</f>
        <v>002947</v>
      </c>
      <c r="C1523" t="s">
        <v>9266</v>
      </c>
      <c r="D1523">
        <v>32.83</v>
      </c>
      <c r="E1523">
        <v>-1.41</v>
      </c>
      <c r="F1523">
        <v>-0.47</v>
      </c>
      <c r="G1523" t="s">
        <v>3227</v>
      </c>
      <c r="H1523">
        <v>1152</v>
      </c>
      <c r="I1523">
        <v>32.83</v>
      </c>
      <c r="J1523">
        <v>32.84</v>
      </c>
      <c r="K1523" t="s">
        <v>9238</v>
      </c>
      <c r="L1523">
        <v>2.51</v>
      </c>
      <c r="M1523" t="s">
        <v>46</v>
      </c>
      <c r="N1523" t="s">
        <v>1568</v>
      </c>
      <c r="O1523">
        <v>33.41</v>
      </c>
      <c r="P1523">
        <v>32.4</v>
      </c>
      <c r="Q1523">
        <v>33.4</v>
      </c>
      <c r="R1523">
        <v>33.3</v>
      </c>
      <c r="S1523">
        <v>3.03</v>
      </c>
      <c r="T1523">
        <v>0.6</v>
      </c>
      <c r="U1523">
        <v>-25.53</v>
      </c>
      <c r="V1523">
        <v>-181</v>
      </c>
      <c r="W1523">
        <v>32.9</v>
      </c>
      <c r="X1523" t="s">
        <v>3328</v>
      </c>
      <c r="Y1523" t="s">
        <v>390</v>
      </c>
      <c r="Z1523">
        <v>1.43</v>
      </c>
      <c r="AA1523">
        <v>136</v>
      </c>
      <c r="AB1523">
        <v>27</v>
      </c>
      <c r="AC1523">
        <v>3.79</v>
      </c>
      <c r="AD1523" t="s">
        <v>9267</v>
      </c>
      <c r="AE1523" t="s">
        <v>9268</v>
      </c>
      <c r="AF1523" t="s">
        <v>9269</v>
      </c>
      <c r="AG1523" t="s">
        <v>9270</v>
      </c>
      <c r="AH1523">
        <v>2.12</v>
      </c>
      <c r="AI1523">
        <v>2.82</v>
      </c>
      <c r="AJ1523">
        <v>12.91</v>
      </c>
      <c r="AK1523">
        <v>23.61</v>
      </c>
      <c r="AL1523">
        <v>-2</v>
      </c>
      <c r="AM1523">
        <v>-1.41</v>
      </c>
      <c r="AN1523">
        <v>68.79</v>
      </c>
      <c r="AO1523">
        <v>17.71</v>
      </c>
      <c r="AP1523">
        <v>56.41</v>
      </c>
    </row>
    <row r="1524" spans="1:42">
      <c r="A1524">
        <v>1523</v>
      </c>
      <c r="B1524" t="str">
        <f>"688065"</f>
        <v>688065</v>
      </c>
      <c r="C1524" t="s">
        <v>9271</v>
      </c>
      <c r="D1524">
        <v>54.11</v>
      </c>
      <c r="E1524">
        <v>-0.46</v>
      </c>
      <c r="F1524">
        <v>-0.25</v>
      </c>
      <c r="G1524" t="s">
        <v>9272</v>
      </c>
      <c r="H1524">
        <v>179</v>
      </c>
      <c r="I1524">
        <v>54.11</v>
      </c>
      <c r="J1524">
        <v>54.18</v>
      </c>
      <c r="K1524" t="s">
        <v>9238</v>
      </c>
      <c r="L1524">
        <v>0.6</v>
      </c>
      <c r="M1524" t="s">
        <v>46</v>
      </c>
      <c r="N1524" t="s">
        <v>4531</v>
      </c>
      <c r="O1524">
        <v>54.96</v>
      </c>
      <c r="P1524">
        <v>53.72</v>
      </c>
      <c r="Q1524">
        <v>54.83</v>
      </c>
      <c r="R1524">
        <v>54.36</v>
      </c>
      <c r="S1524">
        <v>2.28</v>
      </c>
      <c r="T1524">
        <v>0.89</v>
      </c>
      <c r="U1524">
        <v>-28.21</v>
      </c>
      <c r="V1524">
        <v>-89</v>
      </c>
      <c r="W1524">
        <v>54.36</v>
      </c>
      <c r="X1524" t="s">
        <v>3284</v>
      </c>
      <c r="Y1524" t="s">
        <v>2147</v>
      </c>
      <c r="Z1524">
        <v>1.28</v>
      </c>
      <c r="AA1524">
        <v>37</v>
      </c>
      <c r="AB1524">
        <v>41</v>
      </c>
      <c r="AC1524">
        <v>2.83</v>
      </c>
      <c r="AD1524" t="s">
        <v>9273</v>
      </c>
      <c r="AE1524" t="s">
        <v>2932</v>
      </c>
      <c r="AF1524" t="s">
        <v>9274</v>
      </c>
      <c r="AG1524" t="s">
        <v>226</v>
      </c>
      <c r="AH1524">
        <v>3.58</v>
      </c>
      <c r="AI1524">
        <v>4.16</v>
      </c>
      <c r="AJ1524">
        <v>2.75</v>
      </c>
      <c r="AK1524">
        <v>4</v>
      </c>
      <c r="AL1524">
        <v>-1</v>
      </c>
      <c r="AM1524">
        <v>-0.46</v>
      </c>
      <c r="AN1524">
        <v>-11.45</v>
      </c>
      <c r="AO1524">
        <v>2.02</v>
      </c>
      <c r="AP1524">
        <v>-16.39</v>
      </c>
    </row>
    <row r="1525" spans="1:42">
      <c r="A1525">
        <v>1524</v>
      </c>
      <c r="B1525" t="str">
        <f>"603421"</f>
        <v>603421</v>
      </c>
      <c r="C1525" t="s">
        <v>9275</v>
      </c>
      <c r="D1525">
        <v>10.05</v>
      </c>
      <c r="E1525">
        <v>-4.29</v>
      </c>
      <c r="F1525">
        <v>-0.45</v>
      </c>
      <c r="G1525" t="s">
        <v>1759</v>
      </c>
      <c r="H1525">
        <v>1190</v>
      </c>
      <c r="I1525">
        <v>10.04</v>
      </c>
      <c r="J1525">
        <v>10.05</v>
      </c>
      <c r="K1525" t="s">
        <v>9238</v>
      </c>
      <c r="L1525">
        <v>2.04</v>
      </c>
      <c r="M1525" t="s">
        <v>46</v>
      </c>
      <c r="N1525" t="s">
        <v>4975</v>
      </c>
      <c r="O1525">
        <v>10.22</v>
      </c>
      <c r="P1525">
        <v>9.56</v>
      </c>
      <c r="Q1525">
        <v>10.19</v>
      </c>
      <c r="R1525">
        <v>10.5</v>
      </c>
      <c r="S1525">
        <v>6.29</v>
      </c>
      <c r="T1525">
        <v>2.17</v>
      </c>
      <c r="U1525">
        <v>56.9</v>
      </c>
      <c r="V1525">
        <v>1234</v>
      </c>
      <c r="W1525">
        <v>9.98</v>
      </c>
      <c r="X1525" t="s">
        <v>8476</v>
      </c>
      <c r="Y1525" t="s">
        <v>6993</v>
      </c>
      <c r="Z1525">
        <v>0.98</v>
      </c>
      <c r="AA1525">
        <v>68</v>
      </c>
      <c r="AB1525">
        <v>123</v>
      </c>
      <c r="AC1525">
        <v>1.96</v>
      </c>
      <c r="AD1525" t="s">
        <v>2775</v>
      </c>
      <c r="AE1525" t="s">
        <v>9276</v>
      </c>
      <c r="AF1525" t="s">
        <v>2775</v>
      </c>
      <c r="AG1525" t="s">
        <v>9276</v>
      </c>
      <c r="AH1525">
        <v>-0.99</v>
      </c>
      <c r="AI1525">
        <v>-2.05</v>
      </c>
      <c r="AJ1525">
        <v>4.07</v>
      </c>
      <c r="AK1525">
        <v>6.74</v>
      </c>
      <c r="AL1525">
        <v>-1</v>
      </c>
      <c r="AM1525">
        <v>-4.29</v>
      </c>
      <c r="AN1525">
        <v>20.94</v>
      </c>
      <c r="AO1525">
        <v>6.91</v>
      </c>
      <c r="AP1525">
        <v>9</v>
      </c>
    </row>
    <row r="1526" spans="1:42">
      <c r="A1526">
        <v>1525</v>
      </c>
      <c r="B1526" t="str">
        <f>"688328"</f>
        <v>688328</v>
      </c>
      <c r="C1526" t="s">
        <v>9277</v>
      </c>
      <c r="D1526">
        <v>35.15</v>
      </c>
      <c r="E1526">
        <v>-1.35</v>
      </c>
      <c r="F1526">
        <v>-0.48</v>
      </c>
      <c r="G1526" t="s">
        <v>1559</v>
      </c>
      <c r="H1526">
        <v>364</v>
      </c>
      <c r="I1526">
        <v>35.14</v>
      </c>
      <c r="J1526">
        <v>35.15</v>
      </c>
      <c r="K1526" t="s">
        <v>9238</v>
      </c>
      <c r="L1526">
        <v>7.69</v>
      </c>
      <c r="M1526" t="s">
        <v>46</v>
      </c>
      <c r="N1526" t="s">
        <v>1214</v>
      </c>
      <c r="O1526">
        <v>37.2</v>
      </c>
      <c r="P1526">
        <v>34.88</v>
      </c>
      <c r="Q1526">
        <v>36</v>
      </c>
      <c r="R1526">
        <v>35.63</v>
      </c>
      <c r="S1526">
        <v>6.51</v>
      </c>
      <c r="T1526">
        <v>0.72</v>
      </c>
      <c r="U1526">
        <v>-64.65</v>
      </c>
      <c r="V1526">
        <v>-165</v>
      </c>
      <c r="W1526">
        <v>35.85</v>
      </c>
      <c r="X1526" t="s">
        <v>60</v>
      </c>
      <c r="Y1526" t="s">
        <v>2329</v>
      </c>
      <c r="Z1526">
        <v>0.93</v>
      </c>
      <c r="AA1526">
        <v>5</v>
      </c>
      <c r="AB1526">
        <v>153</v>
      </c>
      <c r="AC1526">
        <v>4.2</v>
      </c>
      <c r="AD1526" t="s">
        <v>9278</v>
      </c>
      <c r="AE1526" t="s">
        <v>9279</v>
      </c>
      <c r="AF1526" t="s">
        <v>9280</v>
      </c>
      <c r="AG1526" t="s">
        <v>9281</v>
      </c>
      <c r="AH1526">
        <v>1.3</v>
      </c>
      <c r="AI1526">
        <v>5.84</v>
      </c>
      <c r="AJ1526">
        <v>31.92</v>
      </c>
      <c r="AK1526">
        <v>60.86</v>
      </c>
      <c r="AL1526">
        <v>-2</v>
      </c>
      <c r="AM1526">
        <v>-1.35</v>
      </c>
      <c r="AN1526">
        <v>70.14</v>
      </c>
      <c r="AO1526">
        <v>28.75</v>
      </c>
      <c r="AP1526">
        <v>58.26</v>
      </c>
    </row>
    <row r="1527" spans="1:42">
      <c r="A1527">
        <v>1526</v>
      </c>
      <c r="B1527" t="str">
        <f>"002301"</f>
        <v>002301</v>
      </c>
      <c r="C1527" t="s">
        <v>9282</v>
      </c>
      <c r="D1527">
        <v>7.28</v>
      </c>
      <c r="E1527">
        <v>5.51</v>
      </c>
      <c r="F1527">
        <v>0.38</v>
      </c>
      <c r="G1527" t="s">
        <v>4161</v>
      </c>
      <c r="H1527">
        <v>5250</v>
      </c>
      <c r="I1527">
        <v>7.27</v>
      </c>
      <c r="J1527">
        <v>7.28</v>
      </c>
      <c r="K1527" t="s">
        <v>9238</v>
      </c>
      <c r="L1527">
        <v>2.59</v>
      </c>
      <c r="M1527" t="s">
        <v>46</v>
      </c>
      <c r="N1527" t="s">
        <v>795</v>
      </c>
      <c r="O1527">
        <v>7.31</v>
      </c>
      <c r="P1527">
        <v>6.87</v>
      </c>
      <c r="Q1527">
        <v>6.87</v>
      </c>
      <c r="R1527">
        <v>6.9</v>
      </c>
      <c r="S1527">
        <v>6.38</v>
      </c>
      <c r="T1527">
        <v>4.22</v>
      </c>
      <c r="U1527">
        <v>-26.19</v>
      </c>
      <c r="V1527">
        <v>-1429</v>
      </c>
      <c r="W1527">
        <v>7.13</v>
      </c>
      <c r="X1527" t="s">
        <v>5794</v>
      </c>
      <c r="Y1527" t="s">
        <v>2402</v>
      </c>
      <c r="Z1527">
        <v>0.71</v>
      </c>
      <c r="AA1527">
        <v>390</v>
      </c>
      <c r="AB1527">
        <v>243</v>
      </c>
      <c r="AC1527">
        <v>1.63</v>
      </c>
      <c r="AD1527" t="s">
        <v>9283</v>
      </c>
      <c r="AE1527" t="s">
        <v>9284</v>
      </c>
      <c r="AF1527" t="s">
        <v>9285</v>
      </c>
      <c r="AG1527" t="s">
        <v>9286</v>
      </c>
      <c r="AH1527">
        <v>4.45</v>
      </c>
      <c r="AI1527">
        <v>3.12</v>
      </c>
      <c r="AJ1527">
        <v>3.64</v>
      </c>
      <c r="AK1527">
        <v>5.66</v>
      </c>
      <c r="AL1527">
        <v>1</v>
      </c>
      <c r="AM1527">
        <v>5.51</v>
      </c>
      <c r="AN1527">
        <v>8.49</v>
      </c>
      <c r="AO1527">
        <v>6.74</v>
      </c>
      <c r="AP1527">
        <v>-2.02</v>
      </c>
    </row>
    <row r="1528" spans="1:42">
      <c r="A1528">
        <v>1527</v>
      </c>
      <c r="B1528" t="str">
        <f>"600004"</f>
        <v>600004</v>
      </c>
      <c r="C1528" t="s">
        <v>9287</v>
      </c>
      <c r="D1528">
        <v>10.82</v>
      </c>
      <c r="E1528">
        <v>-1.9</v>
      </c>
      <c r="F1528">
        <v>-0.21</v>
      </c>
      <c r="G1528" t="s">
        <v>447</v>
      </c>
      <c r="H1528">
        <v>752</v>
      </c>
      <c r="I1528">
        <v>10.82</v>
      </c>
      <c r="J1528">
        <v>10.83</v>
      </c>
      <c r="K1528" t="s">
        <v>9288</v>
      </c>
      <c r="L1528">
        <v>0.51</v>
      </c>
      <c r="M1528" t="s">
        <v>46</v>
      </c>
      <c r="N1528" t="s">
        <v>9289</v>
      </c>
      <c r="O1528">
        <v>11.06</v>
      </c>
      <c r="P1528">
        <v>10.79</v>
      </c>
      <c r="Q1528">
        <v>11.04</v>
      </c>
      <c r="R1528">
        <v>11.03</v>
      </c>
      <c r="S1528">
        <v>2.45</v>
      </c>
      <c r="T1528">
        <v>1.64</v>
      </c>
      <c r="U1528">
        <v>58.87</v>
      </c>
      <c r="V1528">
        <v>4520</v>
      </c>
      <c r="W1528">
        <v>10.88</v>
      </c>
      <c r="X1528" t="s">
        <v>1045</v>
      </c>
      <c r="Y1528" t="s">
        <v>8404</v>
      </c>
      <c r="Z1528">
        <v>2.04</v>
      </c>
      <c r="AA1528">
        <v>799</v>
      </c>
      <c r="AB1528">
        <v>328</v>
      </c>
      <c r="AC1528">
        <v>1.47</v>
      </c>
      <c r="AD1528" t="s">
        <v>9290</v>
      </c>
      <c r="AE1528" t="s">
        <v>9291</v>
      </c>
      <c r="AF1528" t="s">
        <v>9290</v>
      </c>
      <c r="AG1528" t="s">
        <v>9291</v>
      </c>
      <c r="AH1528">
        <v>-2.08</v>
      </c>
      <c r="AI1528">
        <v>-1.28</v>
      </c>
      <c r="AJ1528">
        <v>1.11</v>
      </c>
      <c r="AK1528">
        <v>2.08</v>
      </c>
      <c r="AL1528">
        <v>-1</v>
      </c>
      <c r="AM1528">
        <v>-1.9</v>
      </c>
      <c r="AN1528">
        <v>-27.91</v>
      </c>
      <c r="AO1528">
        <v>1.79</v>
      </c>
      <c r="AP1528">
        <v>-20.62</v>
      </c>
    </row>
    <row r="1529" spans="1:42">
      <c r="A1529">
        <v>1528</v>
      </c>
      <c r="B1529" t="str">
        <f>"301071"</f>
        <v>301071</v>
      </c>
      <c r="C1529" t="s">
        <v>9292</v>
      </c>
      <c r="D1529">
        <v>34.9</v>
      </c>
      <c r="E1529">
        <v>2.02</v>
      </c>
      <c r="F1529">
        <v>0.69</v>
      </c>
      <c r="G1529" t="s">
        <v>8166</v>
      </c>
      <c r="H1529">
        <v>913</v>
      </c>
      <c r="I1529">
        <v>34.89</v>
      </c>
      <c r="J1529">
        <v>34.9</v>
      </c>
      <c r="K1529" t="s">
        <v>9288</v>
      </c>
      <c r="L1529">
        <v>2.91</v>
      </c>
      <c r="M1529" t="s">
        <v>46</v>
      </c>
      <c r="N1529" t="s">
        <v>2844</v>
      </c>
      <c r="O1529">
        <v>34.94</v>
      </c>
      <c r="P1529">
        <v>34.28</v>
      </c>
      <c r="Q1529">
        <v>34.35</v>
      </c>
      <c r="R1529">
        <v>34.21</v>
      </c>
      <c r="S1529">
        <v>1.93</v>
      </c>
      <c r="T1529">
        <v>0.68</v>
      </c>
      <c r="U1529">
        <v>-65.95</v>
      </c>
      <c r="V1529">
        <v>-1077</v>
      </c>
      <c r="W1529">
        <v>34.64</v>
      </c>
      <c r="X1529" t="s">
        <v>5585</v>
      </c>
      <c r="Y1529" t="s">
        <v>1072</v>
      </c>
      <c r="Z1529">
        <v>1.04</v>
      </c>
      <c r="AA1529">
        <v>85</v>
      </c>
      <c r="AB1529">
        <v>109</v>
      </c>
      <c r="AC1529">
        <v>1.72</v>
      </c>
      <c r="AD1529" t="s">
        <v>246</v>
      </c>
      <c r="AE1529" t="s">
        <v>9293</v>
      </c>
      <c r="AF1529" t="s">
        <v>9294</v>
      </c>
      <c r="AG1529" t="s">
        <v>9295</v>
      </c>
      <c r="AH1529">
        <v>-2.62</v>
      </c>
      <c r="AI1529">
        <v>-5.16</v>
      </c>
      <c r="AJ1529">
        <v>10.52</v>
      </c>
      <c r="AK1529">
        <v>24.35</v>
      </c>
      <c r="AL1529">
        <v>1</v>
      </c>
      <c r="AM1529">
        <v>2.02</v>
      </c>
      <c r="AN1529">
        <v>-46.83</v>
      </c>
      <c r="AO1529">
        <v>4.15</v>
      </c>
      <c r="AP1529">
        <v>-47.51</v>
      </c>
    </row>
    <row r="1530" spans="1:42">
      <c r="A1530">
        <v>1529</v>
      </c>
      <c r="B1530" t="str">
        <f>"002212"</f>
        <v>002212</v>
      </c>
      <c r="C1530" t="s">
        <v>9296</v>
      </c>
      <c r="D1530">
        <v>10.18</v>
      </c>
      <c r="E1530">
        <v>1.8</v>
      </c>
      <c r="F1530">
        <v>0.18</v>
      </c>
      <c r="G1530" t="s">
        <v>1987</v>
      </c>
      <c r="H1530">
        <v>851</v>
      </c>
      <c r="I1530">
        <v>10.16</v>
      </c>
      <c r="J1530">
        <v>10.18</v>
      </c>
      <c r="K1530" t="s">
        <v>9288</v>
      </c>
      <c r="L1530">
        <v>1.12</v>
      </c>
      <c r="M1530" t="s">
        <v>46</v>
      </c>
      <c r="N1530" t="s">
        <v>7965</v>
      </c>
      <c r="O1530">
        <v>10.21</v>
      </c>
      <c r="P1530">
        <v>9.94</v>
      </c>
      <c r="Q1530">
        <v>9.96</v>
      </c>
      <c r="R1530">
        <v>10</v>
      </c>
      <c r="S1530">
        <v>2.7</v>
      </c>
      <c r="T1530">
        <v>1.07</v>
      </c>
      <c r="U1530">
        <v>-16.94</v>
      </c>
      <c r="V1530">
        <v>-1139</v>
      </c>
      <c r="W1530">
        <v>10.08</v>
      </c>
      <c r="X1530" t="s">
        <v>5023</v>
      </c>
      <c r="Y1530" t="s">
        <v>2836</v>
      </c>
      <c r="Z1530">
        <v>0.89</v>
      </c>
      <c r="AA1530">
        <v>117</v>
      </c>
      <c r="AB1530">
        <v>660</v>
      </c>
      <c r="AC1530">
        <v>1.25</v>
      </c>
      <c r="AD1530" t="s">
        <v>5244</v>
      </c>
      <c r="AE1530" t="s">
        <v>285</v>
      </c>
      <c r="AF1530" t="s">
        <v>9297</v>
      </c>
      <c r="AG1530" t="s">
        <v>7613</v>
      </c>
      <c r="AH1530">
        <v>0.69</v>
      </c>
      <c r="AI1530">
        <v>-0.68</v>
      </c>
      <c r="AJ1530">
        <v>3.67</v>
      </c>
      <c r="AK1530">
        <v>6.37</v>
      </c>
      <c r="AL1530">
        <v>1</v>
      </c>
      <c r="AM1530">
        <v>1.8</v>
      </c>
      <c r="AN1530">
        <v>1.9</v>
      </c>
      <c r="AO1530">
        <v>8.76</v>
      </c>
      <c r="AP1530">
        <v>-11.01</v>
      </c>
    </row>
    <row r="1531" spans="1:42">
      <c r="A1531">
        <v>1530</v>
      </c>
      <c r="B1531" t="str">
        <f>"002488"</f>
        <v>002488</v>
      </c>
      <c r="C1531" t="s">
        <v>9298</v>
      </c>
      <c r="D1531">
        <v>8.04</v>
      </c>
      <c r="E1531">
        <v>-1.83</v>
      </c>
      <c r="F1531">
        <v>-0.15</v>
      </c>
      <c r="G1531" t="s">
        <v>2047</v>
      </c>
      <c r="H1531">
        <v>1762</v>
      </c>
      <c r="I1531">
        <v>8.03</v>
      </c>
      <c r="J1531">
        <v>8.04</v>
      </c>
      <c r="K1531" t="s">
        <v>9288</v>
      </c>
      <c r="L1531">
        <v>1.79</v>
      </c>
      <c r="M1531" t="s">
        <v>46</v>
      </c>
      <c r="N1531" t="s">
        <v>9299</v>
      </c>
      <c r="O1531">
        <v>8.22</v>
      </c>
      <c r="P1531">
        <v>7.98</v>
      </c>
      <c r="Q1531">
        <v>8.15</v>
      </c>
      <c r="R1531">
        <v>8.19</v>
      </c>
      <c r="S1531">
        <v>2.93</v>
      </c>
      <c r="T1531">
        <v>0.83</v>
      </c>
      <c r="U1531">
        <v>11.84</v>
      </c>
      <c r="V1531">
        <v>1075</v>
      </c>
      <c r="W1531">
        <v>8.04</v>
      </c>
      <c r="X1531" t="s">
        <v>7798</v>
      </c>
      <c r="Y1531" t="s">
        <v>4228</v>
      </c>
      <c r="Z1531">
        <v>1.33</v>
      </c>
      <c r="AA1531">
        <v>351</v>
      </c>
      <c r="AB1531">
        <v>124</v>
      </c>
      <c r="AC1531">
        <v>1.98</v>
      </c>
      <c r="AD1531" t="s">
        <v>9300</v>
      </c>
      <c r="AE1531" t="s">
        <v>4152</v>
      </c>
      <c r="AF1531" t="s">
        <v>9301</v>
      </c>
      <c r="AG1531" t="s">
        <v>9302</v>
      </c>
      <c r="AH1531">
        <v>-3.13</v>
      </c>
      <c r="AI1531">
        <v>-1.59</v>
      </c>
      <c r="AJ1531">
        <v>5.97</v>
      </c>
      <c r="AK1531">
        <v>12.56</v>
      </c>
      <c r="AL1531">
        <v>-2</v>
      </c>
      <c r="AM1531">
        <v>-1.83</v>
      </c>
      <c r="AN1531">
        <v>33.11</v>
      </c>
      <c r="AO1531">
        <v>2.03</v>
      </c>
      <c r="AP1531">
        <v>22.94</v>
      </c>
    </row>
    <row r="1532" spans="1:42">
      <c r="A1532">
        <v>1531</v>
      </c>
      <c r="B1532" t="str">
        <f>"603013"</f>
        <v>603013</v>
      </c>
      <c r="C1532" t="s">
        <v>9303</v>
      </c>
      <c r="D1532">
        <v>18.35</v>
      </c>
      <c r="E1532">
        <v>-1.34</v>
      </c>
      <c r="F1532">
        <v>-0.25</v>
      </c>
      <c r="G1532" t="s">
        <v>9217</v>
      </c>
      <c r="H1532">
        <v>1035</v>
      </c>
      <c r="I1532">
        <v>18.35</v>
      </c>
      <c r="J1532">
        <v>18.36</v>
      </c>
      <c r="K1532" t="s">
        <v>9288</v>
      </c>
      <c r="L1532">
        <v>1.4</v>
      </c>
      <c r="M1532" t="s">
        <v>46</v>
      </c>
      <c r="N1532" t="s">
        <v>7153</v>
      </c>
      <c r="O1532">
        <v>18.79</v>
      </c>
      <c r="P1532">
        <v>18.24</v>
      </c>
      <c r="Q1532">
        <v>18.6</v>
      </c>
      <c r="R1532">
        <v>18.6</v>
      </c>
      <c r="S1532">
        <v>2.96</v>
      </c>
      <c r="T1532">
        <v>0.6</v>
      </c>
      <c r="U1532">
        <v>35.24</v>
      </c>
      <c r="V1532">
        <v>469</v>
      </c>
      <c r="W1532">
        <v>18.39</v>
      </c>
      <c r="X1532" t="s">
        <v>5871</v>
      </c>
      <c r="Y1532" t="s">
        <v>8255</v>
      </c>
      <c r="Z1532">
        <v>1.21</v>
      </c>
      <c r="AA1532">
        <v>82</v>
      </c>
      <c r="AB1532">
        <v>91</v>
      </c>
      <c r="AC1532">
        <v>2.38</v>
      </c>
      <c r="AD1532" t="s">
        <v>9304</v>
      </c>
      <c r="AE1532" t="s">
        <v>9305</v>
      </c>
      <c r="AF1532" t="s">
        <v>9306</v>
      </c>
      <c r="AG1532" t="s">
        <v>9307</v>
      </c>
      <c r="AH1532">
        <v>-3.22</v>
      </c>
      <c r="AI1532">
        <v>-7.42</v>
      </c>
      <c r="AJ1532">
        <v>4.61</v>
      </c>
      <c r="AK1532">
        <v>13.17</v>
      </c>
      <c r="AL1532">
        <v>-3</v>
      </c>
      <c r="AM1532">
        <v>-1.34</v>
      </c>
      <c r="AN1532">
        <v>32.68</v>
      </c>
      <c r="AO1532">
        <v>11.96</v>
      </c>
      <c r="AP1532">
        <v>25.43</v>
      </c>
    </row>
    <row r="1533" spans="1:42">
      <c r="A1533">
        <v>1532</v>
      </c>
      <c r="B1533" t="str">
        <f>"603390"</f>
        <v>603390</v>
      </c>
      <c r="C1533" t="s">
        <v>9308</v>
      </c>
      <c r="D1533">
        <v>10.71</v>
      </c>
      <c r="E1533">
        <v>0.75</v>
      </c>
      <c r="F1533">
        <v>0.08</v>
      </c>
      <c r="G1533" t="s">
        <v>1261</v>
      </c>
      <c r="H1533">
        <v>3264</v>
      </c>
      <c r="I1533">
        <v>10.7</v>
      </c>
      <c r="J1533">
        <v>10.71</v>
      </c>
      <c r="K1533" t="s">
        <v>9288</v>
      </c>
      <c r="L1533">
        <v>3.52</v>
      </c>
      <c r="M1533" t="s">
        <v>46</v>
      </c>
      <c r="N1533" t="s">
        <v>3939</v>
      </c>
      <c r="O1533">
        <v>10.75</v>
      </c>
      <c r="P1533">
        <v>10.26</v>
      </c>
      <c r="Q1533">
        <v>10.67</v>
      </c>
      <c r="R1533">
        <v>10.63</v>
      </c>
      <c r="S1533">
        <v>4.61</v>
      </c>
      <c r="T1533">
        <v>0.88</v>
      </c>
      <c r="U1533">
        <v>-42.21</v>
      </c>
      <c r="V1533">
        <v>-1462</v>
      </c>
      <c r="W1533">
        <v>10.63</v>
      </c>
      <c r="X1533" t="s">
        <v>6732</v>
      </c>
      <c r="Y1533" t="s">
        <v>3828</v>
      </c>
      <c r="Z1533">
        <v>0.87</v>
      </c>
      <c r="AA1533">
        <v>462</v>
      </c>
      <c r="AB1533">
        <v>430</v>
      </c>
      <c r="AC1533">
        <v>2.4</v>
      </c>
      <c r="AD1533" t="s">
        <v>9309</v>
      </c>
      <c r="AE1533" t="s">
        <v>9310</v>
      </c>
      <c r="AF1533" t="s">
        <v>9309</v>
      </c>
      <c r="AG1533" t="s">
        <v>9310</v>
      </c>
      <c r="AH1533">
        <v>-0.19</v>
      </c>
      <c r="AI1533">
        <v>-1.56</v>
      </c>
      <c r="AJ1533">
        <v>13.34</v>
      </c>
      <c r="AK1533">
        <v>23.59</v>
      </c>
      <c r="AL1533">
        <v>1</v>
      </c>
      <c r="AM1533">
        <v>0.75</v>
      </c>
      <c r="AN1533">
        <v>65.02</v>
      </c>
      <c r="AO1533">
        <v>-6.05</v>
      </c>
      <c r="AP1533">
        <v>50.42</v>
      </c>
    </row>
    <row r="1534" spans="1:42">
      <c r="A1534">
        <v>1533</v>
      </c>
      <c r="B1534" t="str">
        <f>"838227"</f>
        <v>838227</v>
      </c>
      <c r="C1534" t="s">
        <v>9311</v>
      </c>
      <c r="D1534">
        <v>29.84</v>
      </c>
      <c r="E1534">
        <v>29.97</v>
      </c>
      <c r="F1534">
        <v>6.88</v>
      </c>
      <c r="G1534" t="s">
        <v>1502</v>
      </c>
      <c r="H1534">
        <v>289</v>
      </c>
      <c r="I1534">
        <v>29.84</v>
      </c>
      <c r="J1534" t="s">
        <v>76</v>
      </c>
      <c r="K1534" t="s">
        <v>9288</v>
      </c>
      <c r="L1534">
        <v>42.83</v>
      </c>
      <c r="M1534" t="s">
        <v>46</v>
      </c>
      <c r="N1534" t="s">
        <v>9312</v>
      </c>
      <c r="O1534">
        <v>29.84</v>
      </c>
      <c r="P1534">
        <v>23.34</v>
      </c>
      <c r="Q1534">
        <v>23.7</v>
      </c>
      <c r="R1534">
        <v>22.96</v>
      </c>
      <c r="S1534">
        <v>28.31</v>
      </c>
      <c r="T1534">
        <v>2.83</v>
      </c>
      <c r="U1534">
        <v>100</v>
      </c>
      <c r="V1534">
        <v>692</v>
      </c>
      <c r="W1534">
        <v>29.17</v>
      </c>
      <c r="X1534" t="s">
        <v>729</v>
      </c>
      <c r="Y1534" t="s">
        <v>734</v>
      </c>
      <c r="Z1534">
        <v>3.03</v>
      </c>
      <c r="AA1534">
        <v>678</v>
      </c>
      <c r="AB1534">
        <v>0</v>
      </c>
      <c r="AC1534">
        <v>2.92</v>
      </c>
      <c r="AD1534" t="s">
        <v>9313</v>
      </c>
      <c r="AE1534" t="s">
        <v>9314</v>
      </c>
      <c r="AF1534" t="s">
        <v>9315</v>
      </c>
      <c r="AG1534" t="s">
        <v>9316</v>
      </c>
      <c r="AH1534">
        <v>17.94</v>
      </c>
      <c r="AI1534">
        <v>42.64</v>
      </c>
      <c r="AJ1534">
        <v>71.48</v>
      </c>
      <c r="AK1534">
        <v>118.51</v>
      </c>
      <c r="AL1534">
        <v>1</v>
      </c>
      <c r="AM1534">
        <v>29.97</v>
      </c>
      <c r="AN1534">
        <v>68.59</v>
      </c>
      <c r="AO1534">
        <v>70.13</v>
      </c>
      <c r="AP1534">
        <v>-23.68</v>
      </c>
    </row>
    <row r="1535" spans="1:42">
      <c r="A1535">
        <v>1534</v>
      </c>
      <c r="B1535" t="str">
        <f>"300595"</f>
        <v>300595</v>
      </c>
      <c r="C1535" t="s">
        <v>9317</v>
      </c>
      <c r="D1535">
        <v>24.44</v>
      </c>
      <c r="E1535">
        <v>0.25</v>
      </c>
      <c r="F1535">
        <v>0.06</v>
      </c>
      <c r="G1535" t="s">
        <v>2984</v>
      </c>
      <c r="H1535">
        <v>398</v>
      </c>
      <c r="I1535">
        <v>24.43</v>
      </c>
      <c r="J1535">
        <v>24.44</v>
      </c>
      <c r="K1535" t="s">
        <v>9288</v>
      </c>
      <c r="L1535">
        <v>0.81</v>
      </c>
      <c r="M1535" t="s">
        <v>46</v>
      </c>
      <c r="N1535" t="s">
        <v>3538</v>
      </c>
      <c r="O1535">
        <v>24.59</v>
      </c>
      <c r="P1535">
        <v>23.95</v>
      </c>
      <c r="Q1535">
        <v>24.43</v>
      </c>
      <c r="R1535">
        <v>24.38</v>
      </c>
      <c r="S1535">
        <v>2.63</v>
      </c>
      <c r="T1535">
        <v>1.24</v>
      </c>
      <c r="U1535">
        <v>25.5</v>
      </c>
      <c r="V1535">
        <v>115</v>
      </c>
      <c r="W1535">
        <v>24.26</v>
      </c>
      <c r="X1535" t="s">
        <v>4037</v>
      </c>
      <c r="Y1535" t="s">
        <v>1251</v>
      </c>
      <c r="Z1535">
        <v>0.81</v>
      </c>
      <c r="AA1535">
        <v>6</v>
      </c>
      <c r="AB1535">
        <v>7</v>
      </c>
      <c r="AC1535">
        <v>5.15</v>
      </c>
      <c r="AD1535" t="s">
        <v>9318</v>
      </c>
      <c r="AE1535" t="s">
        <v>9319</v>
      </c>
      <c r="AF1535" t="s">
        <v>9226</v>
      </c>
      <c r="AG1535" t="s">
        <v>8315</v>
      </c>
      <c r="AH1535">
        <v>-1.53</v>
      </c>
      <c r="AI1535">
        <v>-2.9</v>
      </c>
      <c r="AJ1535">
        <v>1.91</v>
      </c>
      <c r="AK1535">
        <v>4.09</v>
      </c>
      <c r="AL1535">
        <v>1</v>
      </c>
      <c r="AM1535">
        <v>0.25</v>
      </c>
      <c r="AN1535">
        <v>-31.27</v>
      </c>
      <c r="AO1535">
        <v>-3.32</v>
      </c>
      <c r="AP1535">
        <v>-21.26</v>
      </c>
    </row>
    <row r="1536" spans="1:42">
      <c r="A1536">
        <v>1535</v>
      </c>
      <c r="B1536" t="str">
        <f>"600812"</f>
        <v>600812</v>
      </c>
      <c r="C1536" t="s">
        <v>9320</v>
      </c>
      <c r="D1536">
        <v>6.34</v>
      </c>
      <c r="E1536">
        <v>-1.86</v>
      </c>
      <c r="F1536">
        <v>-0.12</v>
      </c>
      <c r="G1536" t="s">
        <v>3809</v>
      </c>
      <c r="H1536">
        <v>624</v>
      </c>
      <c r="I1536">
        <v>6.33</v>
      </c>
      <c r="J1536">
        <v>6.34</v>
      </c>
      <c r="K1536" t="s">
        <v>9321</v>
      </c>
      <c r="L1536">
        <v>1.26</v>
      </c>
      <c r="M1536" t="s">
        <v>46</v>
      </c>
      <c r="N1536" t="s">
        <v>7988</v>
      </c>
      <c r="O1536">
        <v>6.49</v>
      </c>
      <c r="P1536">
        <v>6.3</v>
      </c>
      <c r="Q1536">
        <v>6.47</v>
      </c>
      <c r="R1536">
        <v>6.46</v>
      </c>
      <c r="S1536">
        <v>2.94</v>
      </c>
      <c r="T1536">
        <v>1.01</v>
      </c>
      <c r="U1536">
        <v>50.24</v>
      </c>
      <c r="V1536">
        <v>4741</v>
      </c>
      <c r="W1536">
        <v>6.37</v>
      </c>
      <c r="X1536" t="s">
        <v>1438</v>
      </c>
      <c r="Y1536" t="s">
        <v>3819</v>
      </c>
      <c r="Z1536">
        <v>1.16</v>
      </c>
      <c r="AA1536">
        <v>1412</v>
      </c>
      <c r="AB1536">
        <v>91</v>
      </c>
      <c r="AC1536">
        <v>2.04</v>
      </c>
      <c r="AD1536" t="s">
        <v>9322</v>
      </c>
      <c r="AE1536" t="s">
        <v>9323</v>
      </c>
      <c r="AF1536" t="s">
        <v>9324</v>
      </c>
      <c r="AG1536" t="s">
        <v>2729</v>
      </c>
      <c r="AH1536">
        <v>1.12</v>
      </c>
      <c r="AI1536">
        <v>0.48</v>
      </c>
      <c r="AJ1536">
        <v>4.36</v>
      </c>
      <c r="AK1536">
        <v>7.53</v>
      </c>
      <c r="AL1536">
        <v>-1</v>
      </c>
      <c r="AM1536">
        <v>-1.86</v>
      </c>
      <c r="AN1536">
        <v>-0.94</v>
      </c>
      <c r="AO1536">
        <v>6.38</v>
      </c>
      <c r="AP1536">
        <v>-1.71</v>
      </c>
    </row>
    <row r="1537" spans="1:42">
      <c r="A1537">
        <v>1536</v>
      </c>
      <c r="B1537" t="str">
        <f>"600200"</f>
        <v>600200</v>
      </c>
      <c r="C1537" t="s">
        <v>9325</v>
      </c>
      <c r="D1537">
        <v>9.08</v>
      </c>
      <c r="E1537">
        <v>-0.22</v>
      </c>
      <c r="F1537">
        <v>-0.02</v>
      </c>
      <c r="G1537" t="s">
        <v>44</v>
      </c>
      <c r="H1537">
        <v>1973</v>
      </c>
      <c r="I1537">
        <v>9.07</v>
      </c>
      <c r="J1537">
        <v>9.08</v>
      </c>
      <c r="K1537" t="s">
        <v>9321</v>
      </c>
      <c r="L1537">
        <v>2.03</v>
      </c>
      <c r="M1537" t="s">
        <v>46</v>
      </c>
      <c r="N1537" t="s">
        <v>4689</v>
      </c>
      <c r="O1537">
        <v>9.27</v>
      </c>
      <c r="P1537">
        <v>9.03</v>
      </c>
      <c r="Q1537">
        <v>9.14</v>
      </c>
      <c r="R1537">
        <v>9.1</v>
      </c>
      <c r="S1537">
        <v>2.64</v>
      </c>
      <c r="T1537">
        <v>0.67</v>
      </c>
      <c r="U1537">
        <v>19.62</v>
      </c>
      <c r="V1537">
        <v>1798</v>
      </c>
      <c r="W1537">
        <v>9.11</v>
      </c>
      <c r="X1537" t="s">
        <v>3296</v>
      </c>
      <c r="Y1537" t="s">
        <v>9326</v>
      </c>
      <c r="Z1537">
        <v>1.44</v>
      </c>
      <c r="AA1537">
        <v>1592</v>
      </c>
      <c r="AB1537">
        <v>905</v>
      </c>
      <c r="AC1537">
        <v>3.54</v>
      </c>
      <c r="AD1537" t="s">
        <v>9327</v>
      </c>
      <c r="AE1537" t="s">
        <v>9328</v>
      </c>
      <c r="AF1537" t="s">
        <v>9329</v>
      </c>
      <c r="AG1537" t="s">
        <v>9330</v>
      </c>
      <c r="AH1537">
        <v>-1.63</v>
      </c>
      <c r="AI1537">
        <v>-1.2</v>
      </c>
      <c r="AJ1537">
        <v>5.88</v>
      </c>
      <c r="AK1537">
        <v>17.26</v>
      </c>
      <c r="AL1537">
        <v>-1</v>
      </c>
      <c r="AM1537">
        <v>-0.22</v>
      </c>
      <c r="AN1537">
        <v>18.69</v>
      </c>
      <c r="AO1537">
        <v>-0.11</v>
      </c>
      <c r="AP1537">
        <v>23.2</v>
      </c>
    </row>
    <row r="1538" spans="1:42">
      <c r="A1538">
        <v>1537</v>
      </c>
      <c r="B1538" t="str">
        <f>"600996"</f>
        <v>600996</v>
      </c>
      <c r="C1538" t="s">
        <v>9331</v>
      </c>
      <c r="D1538">
        <v>10.49</v>
      </c>
      <c r="E1538">
        <v>2.04</v>
      </c>
      <c r="F1538">
        <v>0.21</v>
      </c>
      <c r="G1538" t="s">
        <v>2025</v>
      </c>
      <c r="H1538">
        <v>1724</v>
      </c>
      <c r="I1538">
        <v>10.48</v>
      </c>
      <c r="J1538">
        <v>10.49</v>
      </c>
      <c r="K1538" t="s">
        <v>9321</v>
      </c>
      <c r="L1538">
        <v>1.04</v>
      </c>
      <c r="M1538" t="s">
        <v>46</v>
      </c>
      <c r="N1538" t="s">
        <v>9029</v>
      </c>
      <c r="O1538">
        <v>10.51</v>
      </c>
      <c r="P1538">
        <v>10.3</v>
      </c>
      <c r="Q1538">
        <v>10.32</v>
      </c>
      <c r="R1538">
        <v>10.28</v>
      </c>
      <c r="S1538">
        <v>2.04</v>
      </c>
      <c r="T1538">
        <v>1.05</v>
      </c>
      <c r="U1538">
        <v>-20.91</v>
      </c>
      <c r="V1538">
        <v>-1350</v>
      </c>
      <c r="W1538">
        <v>10.42</v>
      </c>
      <c r="X1538" t="s">
        <v>9332</v>
      </c>
      <c r="Y1538" t="s">
        <v>3883</v>
      </c>
      <c r="Z1538">
        <v>0.69</v>
      </c>
      <c r="AA1538">
        <v>917</v>
      </c>
      <c r="AB1538">
        <v>630</v>
      </c>
      <c r="AC1538">
        <v>2.62</v>
      </c>
      <c r="AD1538" t="s">
        <v>9053</v>
      </c>
      <c r="AE1538" t="s">
        <v>5658</v>
      </c>
      <c r="AF1538" t="s">
        <v>9053</v>
      </c>
      <c r="AG1538" t="s">
        <v>5658</v>
      </c>
      <c r="AH1538">
        <v>1.06</v>
      </c>
      <c r="AI1538">
        <v>-2.42</v>
      </c>
      <c r="AJ1538">
        <v>2.41</v>
      </c>
      <c r="AK1538">
        <v>6.01</v>
      </c>
      <c r="AL1538">
        <v>1</v>
      </c>
      <c r="AM1538">
        <v>2.04</v>
      </c>
      <c r="AN1538">
        <v>-29.55</v>
      </c>
      <c r="AO1538">
        <v>-0.66</v>
      </c>
      <c r="AP1538">
        <v>-0.85</v>
      </c>
    </row>
    <row r="1539" spans="1:42">
      <c r="A1539">
        <v>1538</v>
      </c>
      <c r="B1539" t="str">
        <f>"300985"</f>
        <v>300985</v>
      </c>
      <c r="C1539" t="s">
        <v>9333</v>
      </c>
      <c r="D1539">
        <v>39.63</v>
      </c>
      <c r="E1539">
        <v>-3.93</v>
      </c>
      <c r="F1539">
        <v>-1.62</v>
      </c>
      <c r="G1539" t="s">
        <v>1600</v>
      </c>
      <c r="H1539">
        <v>711</v>
      </c>
      <c r="I1539">
        <v>39.62</v>
      </c>
      <c r="J1539">
        <v>39.64</v>
      </c>
      <c r="K1539" t="s">
        <v>9321</v>
      </c>
      <c r="L1539">
        <v>9.01</v>
      </c>
      <c r="M1539" t="s">
        <v>46</v>
      </c>
      <c r="N1539" t="s">
        <v>1729</v>
      </c>
      <c r="O1539">
        <v>41.29</v>
      </c>
      <c r="P1539">
        <v>39.39</v>
      </c>
      <c r="Q1539">
        <v>41.25</v>
      </c>
      <c r="R1539">
        <v>41.25</v>
      </c>
      <c r="S1539">
        <v>4.61</v>
      </c>
      <c r="T1539">
        <v>0.84</v>
      </c>
      <c r="U1539">
        <v>67.2</v>
      </c>
      <c r="V1539">
        <v>168</v>
      </c>
      <c r="W1539">
        <v>39.98</v>
      </c>
      <c r="X1539" t="s">
        <v>6425</v>
      </c>
      <c r="Y1539" t="s">
        <v>383</v>
      </c>
      <c r="Z1539">
        <v>1.45</v>
      </c>
      <c r="AA1539">
        <v>29</v>
      </c>
      <c r="AB1539">
        <v>10</v>
      </c>
      <c r="AC1539">
        <v>4.47</v>
      </c>
      <c r="AD1539" t="s">
        <v>9334</v>
      </c>
      <c r="AE1539" t="s">
        <v>9335</v>
      </c>
      <c r="AF1539" t="s">
        <v>9336</v>
      </c>
      <c r="AG1539" t="s">
        <v>9337</v>
      </c>
      <c r="AH1539">
        <v>-8.48</v>
      </c>
      <c r="AI1539">
        <v>-0.23</v>
      </c>
      <c r="AJ1539">
        <v>26.82</v>
      </c>
      <c r="AK1539">
        <v>62.44</v>
      </c>
      <c r="AL1539">
        <v>-3</v>
      </c>
      <c r="AM1539">
        <v>-3.93</v>
      </c>
      <c r="AN1539">
        <v>89.26</v>
      </c>
      <c r="AO1539">
        <v>5.82</v>
      </c>
      <c r="AP1539">
        <v>67.43</v>
      </c>
    </row>
    <row r="1540" spans="1:42">
      <c r="A1540">
        <v>1539</v>
      </c>
      <c r="B1540" t="str">
        <f>"000683"</f>
        <v>000683</v>
      </c>
      <c r="C1540" t="s">
        <v>9338</v>
      </c>
      <c r="D1540">
        <v>6.38</v>
      </c>
      <c r="E1540">
        <v>0.47</v>
      </c>
      <c r="F1540">
        <v>0.03</v>
      </c>
      <c r="G1540" t="s">
        <v>3809</v>
      </c>
      <c r="H1540">
        <v>3406</v>
      </c>
      <c r="I1540">
        <v>6.37</v>
      </c>
      <c r="J1540">
        <v>6.38</v>
      </c>
      <c r="K1540" t="s">
        <v>9321</v>
      </c>
      <c r="L1540">
        <v>0.63</v>
      </c>
      <c r="M1540" t="s">
        <v>46</v>
      </c>
      <c r="N1540" t="s">
        <v>7090</v>
      </c>
      <c r="O1540">
        <v>6.42</v>
      </c>
      <c r="P1540">
        <v>6.32</v>
      </c>
      <c r="Q1540">
        <v>6.33</v>
      </c>
      <c r="R1540">
        <v>6.35</v>
      </c>
      <c r="S1540">
        <v>1.57</v>
      </c>
      <c r="T1540">
        <v>0.63</v>
      </c>
      <c r="U1540">
        <v>7.71</v>
      </c>
      <c r="V1540">
        <v>2274</v>
      </c>
      <c r="W1540">
        <v>6.37</v>
      </c>
      <c r="X1540" t="s">
        <v>1949</v>
      </c>
      <c r="Y1540" t="s">
        <v>3018</v>
      </c>
      <c r="Z1540">
        <v>1.14</v>
      </c>
      <c r="AA1540">
        <v>1470</v>
      </c>
      <c r="AB1540">
        <v>1283</v>
      </c>
      <c r="AC1540">
        <v>1.7</v>
      </c>
      <c r="AD1540" t="s">
        <v>9339</v>
      </c>
      <c r="AE1540" t="s">
        <v>9340</v>
      </c>
      <c r="AF1540" t="s">
        <v>9341</v>
      </c>
      <c r="AG1540" t="s">
        <v>9342</v>
      </c>
      <c r="AH1540">
        <v>-1.09</v>
      </c>
      <c r="AI1540">
        <v>-2.45</v>
      </c>
      <c r="AJ1540">
        <v>2.33</v>
      </c>
      <c r="AK1540">
        <v>5.57</v>
      </c>
      <c r="AL1540">
        <v>1</v>
      </c>
      <c r="AM1540">
        <v>0.47</v>
      </c>
      <c r="AN1540">
        <v>-17.04</v>
      </c>
      <c r="AO1540">
        <v>-5.9</v>
      </c>
      <c r="AP1540">
        <v>-8.07</v>
      </c>
    </row>
    <row r="1541" spans="1:42">
      <c r="A1541">
        <v>1540</v>
      </c>
      <c r="B1541" t="str">
        <f>"601236"</f>
        <v>601236</v>
      </c>
      <c r="C1541" t="s">
        <v>9343</v>
      </c>
      <c r="D1541">
        <v>7.85</v>
      </c>
      <c r="E1541">
        <v>0.38</v>
      </c>
      <c r="F1541">
        <v>0.03</v>
      </c>
      <c r="G1541" t="s">
        <v>1245</v>
      </c>
      <c r="H1541">
        <v>4977</v>
      </c>
      <c r="I1541">
        <v>7.85</v>
      </c>
      <c r="J1541">
        <v>7.86</v>
      </c>
      <c r="K1541" t="s">
        <v>9321</v>
      </c>
      <c r="L1541">
        <v>0.36</v>
      </c>
      <c r="M1541" t="s">
        <v>46</v>
      </c>
      <c r="N1541" t="s">
        <v>1428</v>
      </c>
      <c r="O1541">
        <v>7.85</v>
      </c>
      <c r="P1541">
        <v>7.7</v>
      </c>
      <c r="Q1541">
        <v>7.78</v>
      </c>
      <c r="R1541">
        <v>7.82</v>
      </c>
      <c r="S1541">
        <v>1.92</v>
      </c>
      <c r="T1541">
        <v>1.18</v>
      </c>
      <c r="U1541">
        <v>8.8</v>
      </c>
      <c r="V1541">
        <v>936</v>
      </c>
      <c r="W1541">
        <v>7.78</v>
      </c>
      <c r="X1541" t="s">
        <v>8226</v>
      </c>
      <c r="Y1541" t="s">
        <v>6312</v>
      </c>
      <c r="Z1541">
        <v>0.95</v>
      </c>
      <c r="AA1541">
        <v>1554</v>
      </c>
      <c r="AB1541">
        <v>1595</v>
      </c>
      <c r="AC1541">
        <v>1.62</v>
      </c>
      <c r="AD1541" t="s">
        <v>9344</v>
      </c>
      <c r="AE1541" t="s">
        <v>9345</v>
      </c>
      <c r="AF1541" t="s">
        <v>9344</v>
      </c>
      <c r="AG1541" t="s">
        <v>9345</v>
      </c>
      <c r="AH1541">
        <v>0.9</v>
      </c>
      <c r="AI1541">
        <v>-0.38</v>
      </c>
      <c r="AJ1541">
        <v>1.03</v>
      </c>
      <c r="AK1541">
        <v>1.86</v>
      </c>
      <c r="AL1541">
        <v>2</v>
      </c>
      <c r="AM1541">
        <v>0.38</v>
      </c>
      <c r="AN1541">
        <v>6.8</v>
      </c>
      <c r="AO1541">
        <v>2.08</v>
      </c>
      <c r="AP1541">
        <v>-0.25</v>
      </c>
    </row>
    <row r="1542" spans="1:42">
      <c r="A1542">
        <v>1541</v>
      </c>
      <c r="B1542" t="str">
        <f>"688025"</f>
        <v>688025</v>
      </c>
      <c r="C1542" t="s">
        <v>9346</v>
      </c>
      <c r="D1542">
        <v>87.69</v>
      </c>
      <c r="E1542">
        <v>1.24</v>
      </c>
      <c r="F1542">
        <v>1.07</v>
      </c>
      <c r="G1542" t="s">
        <v>7656</v>
      </c>
      <c r="H1542">
        <v>38</v>
      </c>
      <c r="I1542">
        <v>87.69</v>
      </c>
      <c r="J1542">
        <v>87.84</v>
      </c>
      <c r="K1542" t="s">
        <v>9321</v>
      </c>
      <c r="L1542">
        <v>1.56</v>
      </c>
      <c r="M1542" t="s">
        <v>46</v>
      </c>
      <c r="N1542" t="s">
        <v>1310</v>
      </c>
      <c r="O1542">
        <v>89.47</v>
      </c>
      <c r="P1542">
        <v>86.05</v>
      </c>
      <c r="Q1542">
        <v>86.45</v>
      </c>
      <c r="R1542">
        <v>86.62</v>
      </c>
      <c r="S1542">
        <v>3.95</v>
      </c>
      <c r="T1542">
        <v>0.88</v>
      </c>
      <c r="U1542">
        <v>-6.87</v>
      </c>
      <c r="V1542">
        <v>-6</v>
      </c>
      <c r="W1542">
        <v>88.03</v>
      </c>
      <c r="X1542">
        <v>8446</v>
      </c>
      <c r="Y1542">
        <v>6382</v>
      </c>
      <c r="Z1542">
        <v>1.32</v>
      </c>
      <c r="AA1542">
        <v>0</v>
      </c>
      <c r="AB1542">
        <v>22</v>
      </c>
      <c r="AC1542">
        <v>4.31</v>
      </c>
      <c r="AD1542" t="s">
        <v>9347</v>
      </c>
      <c r="AE1542" t="s">
        <v>9348</v>
      </c>
      <c r="AF1542" t="s">
        <v>9347</v>
      </c>
      <c r="AG1542" t="s">
        <v>9348</v>
      </c>
      <c r="AH1542">
        <v>2.36</v>
      </c>
      <c r="AI1542">
        <v>9.75</v>
      </c>
      <c r="AJ1542">
        <v>5.22</v>
      </c>
      <c r="AK1542">
        <v>10.42</v>
      </c>
      <c r="AL1542">
        <v>1</v>
      </c>
      <c r="AM1542">
        <v>1.24</v>
      </c>
      <c r="AN1542">
        <v>98.66</v>
      </c>
      <c r="AO1542">
        <v>11.99</v>
      </c>
      <c r="AP1542">
        <v>66.24</v>
      </c>
    </row>
    <row r="1543" spans="1:42">
      <c r="A1543">
        <v>1542</v>
      </c>
      <c r="B1543" t="str">
        <f>"603690"</f>
        <v>603690</v>
      </c>
      <c r="C1543" t="s">
        <v>9349</v>
      </c>
      <c r="D1543">
        <v>26.5</v>
      </c>
      <c r="E1543">
        <v>-0.6</v>
      </c>
      <c r="F1543">
        <v>-0.16</v>
      </c>
      <c r="G1543" t="s">
        <v>3319</v>
      </c>
      <c r="H1543">
        <v>332</v>
      </c>
      <c r="I1543">
        <v>26.5</v>
      </c>
      <c r="J1543">
        <v>26.51</v>
      </c>
      <c r="K1543" t="s">
        <v>9350</v>
      </c>
      <c r="L1543">
        <v>1.28</v>
      </c>
      <c r="M1543" t="s">
        <v>46</v>
      </c>
      <c r="N1543" t="s">
        <v>3326</v>
      </c>
      <c r="O1543">
        <v>26.68</v>
      </c>
      <c r="P1543">
        <v>26.08</v>
      </c>
      <c r="Q1543">
        <v>26.66</v>
      </c>
      <c r="R1543">
        <v>26.66</v>
      </c>
      <c r="S1543">
        <v>2.25</v>
      </c>
      <c r="T1543">
        <v>0.97</v>
      </c>
      <c r="U1543">
        <v>58.75</v>
      </c>
      <c r="V1543">
        <v>436</v>
      </c>
      <c r="W1543">
        <v>26.35</v>
      </c>
      <c r="X1543" t="s">
        <v>6395</v>
      </c>
      <c r="Y1543" t="s">
        <v>5237</v>
      </c>
      <c r="Z1543">
        <v>1.43</v>
      </c>
      <c r="AA1543">
        <v>331</v>
      </c>
      <c r="AB1543">
        <v>16</v>
      </c>
      <c r="AC1543">
        <v>2.19</v>
      </c>
      <c r="AD1543" t="s">
        <v>9351</v>
      </c>
      <c r="AE1543" t="s">
        <v>2998</v>
      </c>
      <c r="AF1543" t="s">
        <v>6521</v>
      </c>
      <c r="AG1543" t="s">
        <v>9352</v>
      </c>
      <c r="AH1543">
        <v>-2.54</v>
      </c>
      <c r="AI1543">
        <v>-4.19</v>
      </c>
      <c r="AJ1543">
        <v>4.34</v>
      </c>
      <c r="AK1543">
        <v>7.92</v>
      </c>
      <c r="AL1543">
        <v>-2</v>
      </c>
      <c r="AM1543">
        <v>-0.6</v>
      </c>
      <c r="AN1543">
        <v>-15.66</v>
      </c>
      <c r="AO1543">
        <v>-4.19</v>
      </c>
      <c r="AP1543">
        <v>-25.48</v>
      </c>
    </row>
    <row r="1544" spans="1:42">
      <c r="A1544">
        <v>1543</v>
      </c>
      <c r="B1544" t="str">
        <f>"000951"</f>
        <v>000951</v>
      </c>
      <c r="C1544" t="s">
        <v>9353</v>
      </c>
      <c r="D1544">
        <v>15.47</v>
      </c>
      <c r="E1544">
        <v>-1.09</v>
      </c>
      <c r="F1544">
        <v>-0.17</v>
      </c>
      <c r="G1544" t="s">
        <v>7465</v>
      </c>
      <c r="H1544">
        <v>323</v>
      </c>
      <c r="I1544">
        <v>15.47</v>
      </c>
      <c r="J1544">
        <v>15.49</v>
      </c>
      <c r="K1544" t="s">
        <v>9350</v>
      </c>
      <c r="L1544">
        <v>0.71</v>
      </c>
      <c r="M1544" t="s">
        <v>46</v>
      </c>
      <c r="N1544" t="s">
        <v>9354</v>
      </c>
      <c r="O1544">
        <v>15.72</v>
      </c>
      <c r="P1544">
        <v>15.37</v>
      </c>
      <c r="Q1544">
        <v>15.6</v>
      </c>
      <c r="R1544">
        <v>15.64</v>
      </c>
      <c r="S1544">
        <v>2.24</v>
      </c>
      <c r="T1544">
        <v>1.17</v>
      </c>
      <c r="U1544">
        <v>-66.63</v>
      </c>
      <c r="V1544">
        <v>-1825</v>
      </c>
      <c r="W1544">
        <v>15.54</v>
      </c>
      <c r="X1544" t="s">
        <v>778</v>
      </c>
      <c r="Y1544" t="s">
        <v>1313</v>
      </c>
      <c r="Z1544">
        <v>1.29</v>
      </c>
      <c r="AA1544">
        <v>17</v>
      </c>
      <c r="AB1544">
        <v>16</v>
      </c>
      <c r="AC1544">
        <v>1.27</v>
      </c>
      <c r="AD1544" t="s">
        <v>9355</v>
      </c>
      <c r="AE1544" t="s">
        <v>9356</v>
      </c>
      <c r="AF1544" t="s">
        <v>9355</v>
      </c>
      <c r="AG1544" t="s">
        <v>9357</v>
      </c>
      <c r="AH1544">
        <v>-3.13</v>
      </c>
      <c r="AI1544">
        <v>-3.61</v>
      </c>
      <c r="AJ1544">
        <v>1.91</v>
      </c>
      <c r="AK1544">
        <v>3.76</v>
      </c>
      <c r="AL1544">
        <v>-3</v>
      </c>
      <c r="AM1544">
        <v>-1.09</v>
      </c>
      <c r="AN1544">
        <v>4.81</v>
      </c>
      <c r="AO1544">
        <v>5.6</v>
      </c>
      <c r="AP1544">
        <v>17.2</v>
      </c>
    </row>
    <row r="1545" spans="1:42">
      <c r="A1545">
        <v>1544</v>
      </c>
      <c r="B1545" t="str">
        <f>"603650"</f>
        <v>603650</v>
      </c>
      <c r="C1545" t="s">
        <v>9358</v>
      </c>
      <c r="D1545">
        <v>34.9</v>
      </c>
      <c r="E1545">
        <v>1.07</v>
      </c>
      <c r="F1545">
        <v>0.37</v>
      </c>
      <c r="G1545" t="s">
        <v>8009</v>
      </c>
      <c r="H1545">
        <v>471</v>
      </c>
      <c r="I1545">
        <v>34.9</v>
      </c>
      <c r="J1545">
        <v>34.91</v>
      </c>
      <c r="K1545" t="s">
        <v>9350</v>
      </c>
      <c r="L1545">
        <v>0.63</v>
      </c>
      <c r="M1545" t="s">
        <v>46</v>
      </c>
      <c r="N1545" t="s">
        <v>3326</v>
      </c>
      <c r="O1545">
        <v>34.95</v>
      </c>
      <c r="P1545">
        <v>33.96</v>
      </c>
      <c r="Q1545">
        <v>34.46</v>
      </c>
      <c r="R1545">
        <v>34.53</v>
      </c>
      <c r="S1545">
        <v>2.87</v>
      </c>
      <c r="T1545">
        <v>0.73</v>
      </c>
      <c r="U1545">
        <v>4.55</v>
      </c>
      <c r="V1545">
        <v>54</v>
      </c>
      <c r="W1545">
        <v>34.6</v>
      </c>
      <c r="X1545" t="s">
        <v>6012</v>
      </c>
      <c r="Y1545" t="s">
        <v>882</v>
      </c>
      <c r="Z1545">
        <v>0.96</v>
      </c>
      <c r="AA1545">
        <v>86</v>
      </c>
      <c r="AB1545">
        <v>97</v>
      </c>
      <c r="AC1545">
        <v>6.19</v>
      </c>
      <c r="AD1545" t="s">
        <v>9359</v>
      </c>
      <c r="AE1545" t="s">
        <v>8340</v>
      </c>
      <c r="AF1545" t="s">
        <v>9360</v>
      </c>
      <c r="AG1545" t="s">
        <v>9361</v>
      </c>
      <c r="AH1545">
        <v>-0.43</v>
      </c>
      <c r="AI1545">
        <v>-0.34</v>
      </c>
      <c r="AJ1545">
        <v>2.56</v>
      </c>
      <c r="AK1545">
        <v>4.98</v>
      </c>
      <c r="AL1545">
        <v>1</v>
      </c>
      <c r="AM1545">
        <v>1.07</v>
      </c>
      <c r="AN1545">
        <v>13.5</v>
      </c>
      <c r="AO1545">
        <v>-5.19</v>
      </c>
      <c r="AP1545">
        <v>-5.16</v>
      </c>
    </row>
    <row r="1546" spans="1:42">
      <c r="A1546">
        <v>1545</v>
      </c>
      <c r="B1546" t="str">
        <f>"832978"</f>
        <v>832978</v>
      </c>
      <c r="C1546" t="s">
        <v>9362</v>
      </c>
      <c r="D1546">
        <v>12</v>
      </c>
      <c r="E1546">
        <v>-7.34</v>
      </c>
      <c r="F1546">
        <v>-0.95</v>
      </c>
      <c r="G1546" t="s">
        <v>740</v>
      </c>
      <c r="H1546">
        <v>921</v>
      </c>
      <c r="I1546">
        <v>11.99</v>
      </c>
      <c r="J1546">
        <v>12</v>
      </c>
      <c r="K1546" t="s">
        <v>9350</v>
      </c>
      <c r="L1546">
        <v>12.09</v>
      </c>
      <c r="M1546" t="s">
        <v>46</v>
      </c>
      <c r="N1546" t="s">
        <v>9363</v>
      </c>
      <c r="O1546">
        <v>13.33</v>
      </c>
      <c r="P1546">
        <v>11.92</v>
      </c>
      <c r="Q1546">
        <v>13.15</v>
      </c>
      <c r="R1546">
        <v>12.95</v>
      </c>
      <c r="S1546">
        <v>10.89</v>
      </c>
      <c r="T1546">
        <v>0.64</v>
      </c>
      <c r="U1546">
        <v>35.55</v>
      </c>
      <c r="V1546">
        <v>386</v>
      </c>
      <c r="W1546">
        <v>12.52</v>
      </c>
      <c r="X1546" t="s">
        <v>7400</v>
      </c>
      <c r="Y1546" t="s">
        <v>7440</v>
      </c>
      <c r="Z1546">
        <v>1.36</v>
      </c>
      <c r="AA1546">
        <v>599</v>
      </c>
      <c r="AB1546">
        <v>287</v>
      </c>
      <c r="AC1546">
        <v>3.57</v>
      </c>
      <c r="AD1546" t="s">
        <v>9364</v>
      </c>
      <c r="AE1546" t="s">
        <v>3521</v>
      </c>
      <c r="AF1546" t="s">
        <v>9365</v>
      </c>
      <c r="AG1546" t="s">
        <v>2553</v>
      </c>
      <c r="AH1546">
        <v>-20.79</v>
      </c>
      <c r="AI1546">
        <v>12.25</v>
      </c>
      <c r="AJ1546">
        <v>46.21</v>
      </c>
      <c r="AK1546">
        <v>106.31</v>
      </c>
      <c r="AL1546">
        <v>-3</v>
      </c>
      <c r="AM1546">
        <v>-7.34</v>
      </c>
      <c r="AN1546">
        <v>132.11</v>
      </c>
      <c r="AO1546">
        <v>52.48</v>
      </c>
      <c r="AP1546">
        <v>125.56</v>
      </c>
    </row>
    <row r="1547" spans="1:42">
      <c r="A1547">
        <v>1546</v>
      </c>
      <c r="B1547" t="str">
        <f>"001270"</f>
        <v>001270</v>
      </c>
      <c r="C1547" t="s">
        <v>9366</v>
      </c>
      <c r="D1547">
        <v>80.3</v>
      </c>
      <c r="E1547">
        <v>0.32</v>
      </c>
      <c r="F1547">
        <v>0.26</v>
      </c>
      <c r="G1547" t="s">
        <v>4943</v>
      </c>
      <c r="H1547">
        <v>268</v>
      </c>
      <c r="I1547">
        <v>80.29</v>
      </c>
      <c r="J1547">
        <v>80.3</v>
      </c>
      <c r="K1547" t="s">
        <v>9350</v>
      </c>
      <c r="L1547">
        <v>2.28</v>
      </c>
      <c r="M1547" t="s">
        <v>46</v>
      </c>
      <c r="N1547" t="s">
        <v>7816</v>
      </c>
      <c r="O1547">
        <v>80.5</v>
      </c>
      <c r="P1547">
        <v>79.2</v>
      </c>
      <c r="Q1547">
        <v>79.9</v>
      </c>
      <c r="R1547">
        <v>80.04</v>
      </c>
      <c r="S1547">
        <v>1.62</v>
      </c>
      <c r="T1547">
        <v>0.75</v>
      </c>
      <c r="U1547">
        <v>-53.72</v>
      </c>
      <c r="V1547">
        <v>-142</v>
      </c>
      <c r="W1547">
        <v>79.84</v>
      </c>
      <c r="X1547">
        <v>8952</v>
      </c>
      <c r="Y1547">
        <v>7310</v>
      </c>
      <c r="Z1547">
        <v>1.22</v>
      </c>
      <c r="AA1547">
        <v>7</v>
      </c>
      <c r="AB1547">
        <v>134</v>
      </c>
      <c r="AC1547">
        <v>9.13</v>
      </c>
      <c r="AD1547" t="s">
        <v>9367</v>
      </c>
      <c r="AE1547" t="s">
        <v>9368</v>
      </c>
      <c r="AF1547" t="s">
        <v>9369</v>
      </c>
      <c r="AG1547" t="s">
        <v>9370</v>
      </c>
      <c r="AH1547">
        <v>-0.26</v>
      </c>
      <c r="AI1547">
        <v>-3.11</v>
      </c>
      <c r="AJ1547">
        <v>7.45</v>
      </c>
      <c r="AK1547">
        <v>17.48</v>
      </c>
      <c r="AL1547">
        <v>1</v>
      </c>
      <c r="AM1547">
        <v>0.32</v>
      </c>
      <c r="AN1547">
        <v>-7.58</v>
      </c>
      <c r="AO1547">
        <v>-4.09</v>
      </c>
      <c r="AP1547">
        <v>-9.88</v>
      </c>
    </row>
    <row r="1548" spans="1:42">
      <c r="A1548">
        <v>1547</v>
      </c>
      <c r="B1548" t="str">
        <f>"688687"</f>
        <v>688687</v>
      </c>
      <c r="C1548" t="s">
        <v>9371</v>
      </c>
      <c r="D1548">
        <v>32.05</v>
      </c>
      <c r="E1548">
        <v>0.09</v>
      </c>
      <c r="F1548">
        <v>0.03</v>
      </c>
      <c r="G1548" t="s">
        <v>3149</v>
      </c>
      <c r="H1548">
        <v>286</v>
      </c>
      <c r="I1548">
        <v>32.05</v>
      </c>
      <c r="J1548">
        <v>32.08</v>
      </c>
      <c r="K1548" t="s">
        <v>9350</v>
      </c>
      <c r="L1548">
        <v>3.47</v>
      </c>
      <c r="M1548" t="s">
        <v>46</v>
      </c>
      <c r="N1548" t="s">
        <v>6876</v>
      </c>
      <c r="O1548">
        <v>32.5</v>
      </c>
      <c r="P1548">
        <v>31.03</v>
      </c>
      <c r="Q1548">
        <v>32.07</v>
      </c>
      <c r="R1548">
        <v>32.02</v>
      </c>
      <c r="S1548">
        <v>4.59</v>
      </c>
      <c r="T1548">
        <v>0.8</v>
      </c>
      <c r="U1548">
        <v>80.31</v>
      </c>
      <c r="V1548">
        <v>386</v>
      </c>
      <c r="W1548">
        <v>31.67</v>
      </c>
      <c r="X1548" t="s">
        <v>5620</v>
      </c>
      <c r="Y1548" t="s">
        <v>60</v>
      </c>
      <c r="Z1548">
        <v>1.3</v>
      </c>
      <c r="AA1548">
        <v>184</v>
      </c>
      <c r="AB1548">
        <v>10</v>
      </c>
      <c r="AC1548">
        <v>3.17</v>
      </c>
      <c r="AD1548" t="s">
        <v>5109</v>
      </c>
      <c r="AE1548" t="s">
        <v>7746</v>
      </c>
      <c r="AF1548" t="s">
        <v>9372</v>
      </c>
      <c r="AG1548" t="s">
        <v>9373</v>
      </c>
      <c r="AH1548">
        <v>0.09</v>
      </c>
      <c r="AI1548">
        <v>6.09</v>
      </c>
      <c r="AJ1548">
        <v>12.7</v>
      </c>
      <c r="AK1548">
        <v>25.22</v>
      </c>
      <c r="AL1548">
        <v>1</v>
      </c>
      <c r="AM1548">
        <v>0.09</v>
      </c>
      <c r="AN1548">
        <v>42.13</v>
      </c>
      <c r="AO1548">
        <v>5.36</v>
      </c>
      <c r="AP1548">
        <v>46.61</v>
      </c>
    </row>
    <row r="1549" spans="1:42">
      <c r="A1549">
        <v>1548</v>
      </c>
      <c r="B1549" t="str">
        <f>"600999"</f>
        <v>600999</v>
      </c>
      <c r="C1549" t="s">
        <v>9374</v>
      </c>
      <c r="D1549">
        <v>14.09</v>
      </c>
      <c r="E1549">
        <v>0.14</v>
      </c>
      <c r="F1549">
        <v>0.02</v>
      </c>
      <c r="G1549" t="s">
        <v>1848</v>
      </c>
      <c r="H1549">
        <v>767</v>
      </c>
      <c r="I1549">
        <v>14.09</v>
      </c>
      <c r="J1549">
        <v>14.1</v>
      </c>
      <c r="K1549" t="s">
        <v>9350</v>
      </c>
      <c r="L1549">
        <v>0.12</v>
      </c>
      <c r="M1549" t="s">
        <v>46</v>
      </c>
      <c r="N1549" t="s">
        <v>9375</v>
      </c>
      <c r="O1549">
        <v>14.12</v>
      </c>
      <c r="P1549">
        <v>13.96</v>
      </c>
      <c r="Q1549">
        <v>14.06</v>
      </c>
      <c r="R1549">
        <v>14.07</v>
      </c>
      <c r="S1549">
        <v>1.14</v>
      </c>
      <c r="T1549">
        <v>1.04</v>
      </c>
      <c r="U1549">
        <v>-38.69</v>
      </c>
      <c r="V1549">
        <v>-1453</v>
      </c>
      <c r="W1549">
        <v>14.04</v>
      </c>
      <c r="X1549" t="s">
        <v>3959</v>
      </c>
      <c r="Y1549" t="s">
        <v>3356</v>
      </c>
      <c r="Z1549">
        <v>0.86</v>
      </c>
      <c r="AA1549">
        <v>210</v>
      </c>
      <c r="AB1549">
        <v>295</v>
      </c>
      <c r="AC1549">
        <v>1.17</v>
      </c>
      <c r="AD1549" t="s">
        <v>9376</v>
      </c>
      <c r="AE1549" t="s">
        <v>9377</v>
      </c>
      <c r="AF1549" t="s">
        <v>9378</v>
      </c>
      <c r="AG1549" t="s">
        <v>9379</v>
      </c>
      <c r="AH1549">
        <v>0.28</v>
      </c>
      <c r="AI1549">
        <v>-1.19</v>
      </c>
      <c r="AJ1549">
        <v>0.39</v>
      </c>
      <c r="AK1549">
        <v>0.72</v>
      </c>
      <c r="AL1549">
        <v>2</v>
      </c>
      <c r="AM1549">
        <v>0.14</v>
      </c>
      <c r="AN1549">
        <v>7.48</v>
      </c>
      <c r="AO1549">
        <v>0.28</v>
      </c>
      <c r="AP1549">
        <v>8.89</v>
      </c>
    </row>
    <row r="1550" spans="1:42">
      <c r="A1550">
        <v>1549</v>
      </c>
      <c r="B1550" t="str">
        <f>"301038"</f>
        <v>301038</v>
      </c>
      <c r="C1550" t="s">
        <v>9380</v>
      </c>
      <c r="D1550">
        <v>19.96</v>
      </c>
      <c r="E1550">
        <v>3.63</v>
      </c>
      <c r="F1550">
        <v>0.7</v>
      </c>
      <c r="G1550" t="s">
        <v>4585</v>
      </c>
      <c r="H1550">
        <v>1441</v>
      </c>
      <c r="I1550">
        <v>19.95</v>
      </c>
      <c r="J1550">
        <v>19.96</v>
      </c>
      <c r="K1550" t="s">
        <v>9350</v>
      </c>
      <c r="L1550">
        <v>13.33</v>
      </c>
      <c r="M1550" t="s">
        <v>46</v>
      </c>
      <c r="N1550" t="s">
        <v>943</v>
      </c>
      <c r="O1550">
        <v>19.99</v>
      </c>
      <c r="P1550">
        <v>19.13</v>
      </c>
      <c r="Q1550">
        <v>19.17</v>
      </c>
      <c r="R1550">
        <v>19.26</v>
      </c>
      <c r="S1550">
        <v>4.47</v>
      </c>
      <c r="T1550">
        <v>0.68</v>
      </c>
      <c r="U1550">
        <v>-36.65</v>
      </c>
      <c r="V1550">
        <v>-438</v>
      </c>
      <c r="W1550">
        <v>19.72</v>
      </c>
      <c r="X1550" t="s">
        <v>3121</v>
      </c>
      <c r="Y1550" t="s">
        <v>4846</v>
      </c>
      <c r="Z1550">
        <v>0.71</v>
      </c>
      <c r="AA1550">
        <v>113</v>
      </c>
      <c r="AB1550">
        <v>269</v>
      </c>
      <c r="AC1550">
        <v>4.25</v>
      </c>
      <c r="AD1550" t="s">
        <v>9381</v>
      </c>
      <c r="AE1550" t="s">
        <v>6756</v>
      </c>
      <c r="AF1550" t="s">
        <v>9382</v>
      </c>
      <c r="AG1550" t="s">
        <v>6422</v>
      </c>
      <c r="AH1550">
        <v>-4.73</v>
      </c>
      <c r="AI1550">
        <v>-8.36</v>
      </c>
      <c r="AJ1550">
        <v>43.32</v>
      </c>
      <c r="AK1550">
        <v>112.07</v>
      </c>
      <c r="AL1550">
        <v>1</v>
      </c>
      <c r="AM1550">
        <v>3.63</v>
      </c>
      <c r="AN1550">
        <v>35.05</v>
      </c>
      <c r="AO1550">
        <v>-1.96</v>
      </c>
      <c r="AP1550">
        <v>13.86</v>
      </c>
    </row>
    <row r="1551" spans="1:42">
      <c r="A1551">
        <v>1550</v>
      </c>
      <c r="B1551" t="str">
        <f>"603929"</f>
        <v>603929</v>
      </c>
      <c r="C1551" t="s">
        <v>9383</v>
      </c>
      <c r="D1551">
        <v>24.2</v>
      </c>
      <c r="E1551">
        <v>1.26</v>
      </c>
      <c r="F1551">
        <v>0.3</v>
      </c>
      <c r="G1551" t="s">
        <v>4981</v>
      </c>
      <c r="H1551">
        <v>1501</v>
      </c>
      <c r="I1551">
        <v>24.2</v>
      </c>
      <c r="J1551">
        <v>24.21</v>
      </c>
      <c r="K1551" t="s">
        <v>9350</v>
      </c>
      <c r="L1551">
        <v>2.53</v>
      </c>
      <c r="M1551" t="s">
        <v>46</v>
      </c>
      <c r="N1551" t="s">
        <v>6377</v>
      </c>
      <c r="O1551">
        <v>24.3</v>
      </c>
      <c r="P1551">
        <v>23.8</v>
      </c>
      <c r="Q1551">
        <v>23.84</v>
      </c>
      <c r="R1551">
        <v>23.9</v>
      </c>
      <c r="S1551">
        <v>2.09</v>
      </c>
      <c r="T1551">
        <v>0.54</v>
      </c>
      <c r="U1551">
        <v>-23.1</v>
      </c>
      <c r="V1551">
        <v>-176</v>
      </c>
      <c r="W1551">
        <v>24.05</v>
      </c>
      <c r="X1551" t="s">
        <v>3662</v>
      </c>
      <c r="Y1551" t="s">
        <v>6247</v>
      </c>
      <c r="Z1551">
        <v>0.84</v>
      </c>
      <c r="AA1551">
        <v>52</v>
      </c>
      <c r="AB1551">
        <v>62</v>
      </c>
      <c r="AC1551">
        <v>3.83</v>
      </c>
      <c r="AD1551" t="s">
        <v>8288</v>
      </c>
      <c r="AE1551" t="s">
        <v>9384</v>
      </c>
      <c r="AF1551" t="s">
        <v>8288</v>
      </c>
      <c r="AG1551" t="s">
        <v>9384</v>
      </c>
      <c r="AH1551">
        <v>1.34</v>
      </c>
      <c r="AI1551">
        <v>-8.05</v>
      </c>
      <c r="AJ1551">
        <v>9.69</v>
      </c>
      <c r="AK1551">
        <v>25.92</v>
      </c>
      <c r="AL1551">
        <v>1</v>
      </c>
      <c r="AM1551">
        <v>1.26</v>
      </c>
      <c r="AN1551">
        <v>94.69</v>
      </c>
      <c r="AO1551">
        <v>-6.38</v>
      </c>
      <c r="AP1551">
        <v>67.94</v>
      </c>
    </row>
    <row r="1552" spans="1:42">
      <c r="A1552">
        <v>1551</v>
      </c>
      <c r="B1552" t="str">
        <f>"000669"</f>
        <v>000669</v>
      </c>
      <c r="C1552" t="s">
        <v>9385</v>
      </c>
      <c r="D1552">
        <v>2.29</v>
      </c>
      <c r="E1552">
        <v>4.09</v>
      </c>
      <c r="F1552">
        <v>0.09</v>
      </c>
      <c r="G1552" t="s">
        <v>5899</v>
      </c>
      <c r="H1552">
        <v>3270</v>
      </c>
      <c r="I1552">
        <v>2.29</v>
      </c>
      <c r="J1552">
        <v>2.3</v>
      </c>
      <c r="K1552" t="s">
        <v>9350</v>
      </c>
      <c r="L1552">
        <v>8.39</v>
      </c>
      <c r="M1552" t="s">
        <v>46</v>
      </c>
      <c r="N1552" t="s">
        <v>9386</v>
      </c>
      <c r="O1552">
        <v>2.31</v>
      </c>
      <c r="P1552">
        <v>2.18</v>
      </c>
      <c r="Q1552">
        <v>2.2</v>
      </c>
      <c r="R1552">
        <v>2.2</v>
      </c>
      <c r="S1552">
        <v>5.91</v>
      </c>
      <c r="T1552">
        <v>1.14</v>
      </c>
      <c r="U1552">
        <v>19.15</v>
      </c>
      <c r="V1552">
        <v>6096</v>
      </c>
      <c r="W1552">
        <v>2.27</v>
      </c>
      <c r="X1552" t="s">
        <v>2178</v>
      </c>
      <c r="Y1552" t="s">
        <v>2425</v>
      </c>
      <c r="Z1552">
        <v>0.71</v>
      </c>
      <c r="AA1552">
        <v>7980</v>
      </c>
      <c r="AB1552">
        <v>2106</v>
      </c>
      <c r="AC1552">
        <v>3.45</v>
      </c>
      <c r="AD1552" t="s">
        <v>7904</v>
      </c>
      <c r="AE1552" t="s">
        <v>3134</v>
      </c>
      <c r="AF1552" t="s">
        <v>7904</v>
      </c>
      <c r="AG1552" t="s">
        <v>3134</v>
      </c>
      <c r="AH1552">
        <v>-1.29</v>
      </c>
      <c r="AI1552">
        <v>-4.98</v>
      </c>
      <c r="AJ1552">
        <v>21.74</v>
      </c>
      <c r="AK1552">
        <v>45.08</v>
      </c>
      <c r="AL1552">
        <v>1</v>
      </c>
      <c r="AM1552">
        <v>4.09</v>
      </c>
      <c r="AN1552">
        <v>36.31</v>
      </c>
      <c r="AO1552">
        <v>23.78</v>
      </c>
      <c r="AP1552">
        <v>27.22</v>
      </c>
    </row>
    <row r="1553" spans="1:42">
      <c r="A1553">
        <v>1552</v>
      </c>
      <c r="B1553" t="str">
        <f>"688066"</f>
        <v>688066</v>
      </c>
      <c r="C1553" t="s">
        <v>9387</v>
      </c>
      <c r="D1553">
        <v>48.47</v>
      </c>
      <c r="E1553">
        <v>1.02</v>
      </c>
      <c r="F1553">
        <v>0.49</v>
      </c>
      <c r="G1553" t="s">
        <v>3456</v>
      </c>
      <c r="H1553">
        <v>213</v>
      </c>
      <c r="I1553">
        <v>48.4</v>
      </c>
      <c r="J1553">
        <v>48.47</v>
      </c>
      <c r="K1553" t="s">
        <v>8976</v>
      </c>
      <c r="L1553">
        <v>1.03</v>
      </c>
      <c r="M1553" t="s">
        <v>46</v>
      </c>
      <c r="N1553" t="s">
        <v>5929</v>
      </c>
      <c r="O1553">
        <v>48.72</v>
      </c>
      <c r="P1553">
        <v>47.21</v>
      </c>
      <c r="Q1553">
        <v>48.01</v>
      </c>
      <c r="R1553">
        <v>47.98</v>
      </c>
      <c r="S1553">
        <v>3.15</v>
      </c>
      <c r="T1553">
        <v>1</v>
      </c>
      <c r="U1553">
        <v>-47.32</v>
      </c>
      <c r="V1553">
        <v>-155</v>
      </c>
      <c r="W1553">
        <v>48.03</v>
      </c>
      <c r="X1553" t="s">
        <v>4105</v>
      </c>
      <c r="Y1553" t="s">
        <v>6212</v>
      </c>
      <c r="Z1553">
        <v>1.12</v>
      </c>
      <c r="AA1553">
        <v>35</v>
      </c>
      <c r="AB1553">
        <v>189</v>
      </c>
      <c r="AC1553">
        <v>4.88</v>
      </c>
      <c r="AD1553" t="s">
        <v>4074</v>
      </c>
      <c r="AE1553" t="s">
        <v>9388</v>
      </c>
      <c r="AF1553" t="s">
        <v>4074</v>
      </c>
      <c r="AG1553" t="s">
        <v>9388</v>
      </c>
      <c r="AH1553">
        <v>-3.83</v>
      </c>
      <c r="AI1553">
        <v>-7.92</v>
      </c>
      <c r="AJ1553">
        <v>3.2</v>
      </c>
      <c r="AK1553">
        <v>6.21</v>
      </c>
      <c r="AL1553">
        <v>1</v>
      </c>
      <c r="AM1553">
        <v>1.02</v>
      </c>
      <c r="AN1553">
        <v>-20.51</v>
      </c>
      <c r="AO1553">
        <v>13.59</v>
      </c>
      <c r="AP1553">
        <v>-20.14</v>
      </c>
    </row>
    <row r="1554" spans="1:42">
      <c r="A1554">
        <v>1553</v>
      </c>
      <c r="B1554" t="str">
        <f>"300115"</f>
        <v>300115</v>
      </c>
      <c r="C1554" t="s">
        <v>9389</v>
      </c>
      <c r="D1554">
        <v>12.27</v>
      </c>
      <c r="E1554">
        <v>1.57</v>
      </c>
      <c r="F1554">
        <v>0.19</v>
      </c>
      <c r="G1554" t="s">
        <v>1128</v>
      </c>
      <c r="H1554">
        <v>1276</v>
      </c>
      <c r="I1554">
        <v>12.27</v>
      </c>
      <c r="J1554">
        <v>12.28</v>
      </c>
      <c r="K1554" t="s">
        <v>8976</v>
      </c>
      <c r="L1554">
        <v>0.89</v>
      </c>
      <c r="M1554" t="s">
        <v>46</v>
      </c>
      <c r="N1554" t="s">
        <v>1547</v>
      </c>
      <c r="O1554">
        <v>12.35</v>
      </c>
      <c r="P1554">
        <v>11.96</v>
      </c>
      <c r="Q1554">
        <v>12.07</v>
      </c>
      <c r="R1554">
        <v>12.08</v>
      </c>
      <c r="S1554">
        <v>3.23</v>
      </c>
      <c r="T1554">
        <v>0.64</v>
      </c>
      <c r="U1554">
        <v>-39.73</v>
      </c>
      <c r="V1554">
        <v>-745</v>
      </c>
      <c r="W1554">
        <v>12.16</v>
      </c>
      <c r="X1554" t="s">
        <v>1236</v>
      </c>
      <c r="Y1554" t="s">
        <v>5472</v>
      </c>
      <c r="Z1554">
        <v>0.79</v>
      </c>
      <c r="AA1554">
        <v>116</v>
      </c>
      <c r="AB1554">
        <v>186</v>
      </c>
      <c r="AC1554">
        <v>2.58</v>
      </c>
      <c r="AD1554" t="s">
        <v>3684</v>
      </c>
      <c r="AE1554" t="s">
        <v>9390</v>
      </c>
      <c r="AF1554" t="s">
        <v>5045</v>
      </c>
      <c r="AG1554" t="s">
        <v>9391</v>
      </c>
      <c r="AH1554">
        <v>-0.65</v>
      </c>
      <c r="AI1554">
        <v>-1.29</v>
      </c>
      <c r="AJ1554">
        <v>3.38</v>
      </c>
      <c r="AK1554">
        <v>7.84</v>
      </c>
      <c r="AL1554">
        <v>1</v>
      </c>
      <c r="AM1554">
        <v>1.57</v>
      </c>
      <c r="AN1554">
        <v>18.78</v>
      </c>
      <c r="AO1554">
        <v>2.59</v>
      </c>
      <c r="AP1554">
        <v>0.74</v>
      </c>
    </row>
    <row r="1555" spans="1:42">
      <c r="A1555">
        <v>1554</v>
      </c>
      <c r="B1555" t="str">
        <f>"600621"</f>
        <v>600621</v>
      </c>
      <c r="C1555" t="s">
        <v>9392</v>
      </c>
      <c r="D1555">
        <v>12.26</v>
      </c>
      <c r="E1555">
        <v>0</v>
      </c>
      <c r="F1555">
        <v>0</v>
      </c>
      <c r="G1555" t="s">
        <v>1128</v>
      </c>
      <c r="H1555">
        <v>978</v>
      </c>
      <c r="I1555">
        <v>12.26</v>
      </c>
      <c r="J1555">
        <v>12.27</v>
      </c>
      <c r="K1555" t="s">
        <v>8976</v>
      </c>
      <c r="L1555">
        <v>1</v>
      </c>
      <c r="M1555" t="s">
        <v>46</v>
      </c>
      <c r="N1555" t="s">
        <v>3203</v>
      </c>
      <c r="O1555">
        <v>12.28</v>
      </c>
      <c r="P1555">
        <v>12.16</v>
      </c>
      <c r="Q1555">
        <v>12.23</v>
      </c>
      <c r="R1555">
        <v>12.26</v>
      </c>
      <c r="S1555">
        <v>0.98</v>
      </c>
      <c r="T1555">
        <v>0.51</v>
      </c>
      <c r="U1555">
        <v>-19.23</v>
      </c>
      <c r="V1555">
        <v>-1177</v>
      </c>
      <c r="W1555">
        <v>12.22</v>
      </c>
      <c r="X1555" t="s">
        <v>7787</v>
      </c>
      <c r="Y1555" t="s">
        <v>6833</v>
      </c>
      <c r="Z1555">
        <v>1.21</v>
      </c>
      <c r="AA1555">
        <v>433</v>
      </c>
      <c r="AB1555">
        <v>1397</v>
      </c>
      <c r="AC1555">
        <v>1.68</v>
      </c>
      <c r="AD1555" t="s">
        <v>9393</v>
      </c>
      <c r="AE1555" t="s">
        <v>265</v>
      </c>
      <c r="AF1555" t="s">
        <v>9393</v>
      </c>
      <c r="AG1555" t="s">
        <v>265</v>
      </c>
      <c r="AH1555">
        <v>-0.16</v>
      </c>
      <c r="AI1555">
        <v>-1.29</v>
      </c>
      <c r="AJ1555">
        <v>3.68</v>
      </c>
      <c r="AK1555">
        <v>10.73</v>
      </c>
      <c r="AL1555">
        <v>0</v>
      </c>
      <c r="AM1555">
        <v>0</v>
      </c>
      <c r="AN1555">
        <v>19.84</v>
      </c>
      <c r="AO1555">
        <v>-0.65</v>
      </c>
      <c r="AP1555">
        <v>7.26</v>
      </c>
    </row>
    <row r="1556" spans="1:42">
      <c r="A1556">
        <v>1555</v>
      </c>
      <c r="B1556" t="str">
        <f>"603048"</f>
        <v>603048</v>
      </c>
      <c r="C1556" t="s">
        <v>9394</v>
      </c>
      <c r="D1556">
        <v>20.07</v>
      </c>
      <c r="E1556">
        <v>-2.1</v>
      </c>
      <c r="F1556">
        <v>-0.43</v>
      </c>
      <c r="G1556" t="s">
        <v>1900</v>
      </c>
      <c r="H1556">
        <v>2575</v>
      </c>
      <c r="I1556">
        <v>20.07</v>
      </c>
      <c r="J1556">
        <v>20.08</v>
      </c>
      <c r="K1556" t="s">
        <v>8976</v>
      </c>
      <c r="L1556">
        <v>17.09</v>
      </c>
      <c r="M1556" t="s">
        <v>46</v>
      </c>
      <c r="N1556" t="s">
        <v>9395</v>
      </c>
      <c r="O1556">
        <v>20.54</v>
      </c>
      <c r="P1556">
        <v>19.7</v>
      </c>
      <c r="Q1556">
        <v>20.46</v>
      </c>
      <c r="R1556">
        <v>20.5</v>
      </c>
      <c r="S1556">
        <v>4.1</v>
      </c>
      <c r="T1556">
        <v>0.8</v>
      </c>
      <c r="U1556">
        <v>2</v>
      </c>
      <c r="V1556">
        <v>25</v>
      </c>
      <c r="W1556">
        <v>20.06</v>
      </c>
      <c r="X1556" t="s">
        <v>2124</v>
      </c>
      <c r="Y1556" t="s">
        <v>6768</v>
      </c>
      <c r="Z1556">
        <v>1.26</v>
      </c>
      <c r="AA1556">
        <v>438</v>
      </c>
      <c r="AB1556">
        <v>103</v>
      </c>
      <c r="AC1556">
        <v>2.29</v>
      </c>
      <c r="AD1556" t="s">
        <v>9396</v>
      </c>
      <c r="AE1556" t="s">
        <v>9397</v>
      </c>
      <c r="AF1556" t="s">
        <v>9398</v>
      </c>
      <c r="AG1556" t="s">
        <v>7235</v>
      </c>
      <c r="AH1556">
        <v>-5.11</v>
      </c>
      <c r="AI1556">
        <v>3.29</v>
      </c>
      <c r="AJ1556">
        <v>89.89</v>
      </c>
      <c r="AK1556">
        <v>123.41</v>
      </c>
      <c r="AL1556">
        <v>-3</v>
      </c>
      <c r="AM1556">
        <v>-2.1</v>
      </c>
      <c r="AN1556">
        <v>36.35</v>
      </c>
      <c r="AO1556">
        <v>5.02</v>
      </c>
      <c r="AP1556">
        <v>24.74</v>
      </c>
    </row>
    <row r="1557" spans="1:42">
      <c r="A1557">
        <v>1556</v>
      </c>
      <c r="B1557" t="str">
        <f>"688548"</f>
        <v>688548</v>
      </c>
      <c r="C1557" t="s">
        <v>9399</v>
      </c>
      <c r="D1557">
        <v>13.33</v>
      </c>
      <c r="E1557">
        <v>1.76</v>
      </c>
      <c r="F1557">
        <v>0.23</v>
      </c>
      <c r="G1557" t="s">
        <v>8045</v>
      </c>
      <c r="H1557">
        <v>892</v>
      </c>
      <c r="I1557">
        <v>13.32</v>
      </c>
      <c r="J1557">
        <v>13.33</v>
      </c>
      <c r="K1557" t="s">
        <v>8976</v>
      </c>
      <c r="L1557">
        <v>4.02</v>
      </c>
      <c r="M1557" t="s">
        <v>46</v>
      </c>
      <c r="N1557" t="s">
        <v>2113</v>
      </c>
      <c r="O1557">
        <v>13.45</v>
      </c>
      <c r="P1557">
        <v>12.86</v>
      </c>
      <c r="Q1557">
        <v>13</v>
      </c>
      <c r="R1557">
        <v>13.1</v>
      </c>
      <c r="S1557">
        <v>4.5</v>
      </c>
      <c r="T1557">
        <v>1.02</v>
      </c>
      <c r="U1557">
        <v>36.5</v>
      </c>
      <c r="V1557">
        <v>752</v>
      </c>
      <c r="W1557">
        <v>13.22</v>
      </c>
      <c r="X1557" t="s">
        <v>5383</v>
      </c>
      <c r="Y1557" t="s">
        <v>8120</v>
      </c>
      <c r="Z1557">
        <v>0.7</v>
      </c>
      <c r="AA1557">
        <v>275</v>
      </c>
      <c r="AB1557">
        <v>191</v>
      </c>
      <c r="AC1557">
        <v>3.12</v>
      </c>
      <c r="AD1557" t="s">
        <v>4141</v>
      </c>
      <c r="AE1557" t="s">
        <v>9400</v>
      </c>
      <c r="AF1557" t="s">
        <v>9401</v>
      </c>
      <c r="AG1557" t="s">
        <v>9402</v>
      </c>
      <c r="AH1557">
        <v>1.76</v>
      </c>
      <c r="AI1557">
        <v>2.22</v>
      </c>
      <c r="AJ1557">
        <v>12.76</v>
      </c>
      <c r="AK1557">
        <v>23.82</v>
      </c>
      <c r="AL1557">
        <v>2</v>
      </c>
      <c r="AM1557">
        <v>1.76</v>
      </c>
      <c r="AN1557">
        <v>35.06</v>
      </c>
      <c r="AO1557">
        <v>3.49</v>
      </c>
      <c r="AP1557">
        <v>35.06</v>
      </c>
    </row>
    <row r="1558" spans="1:42">
      <c r="A1558">
        <v>1557</v>
      </c>
      <c r="B1558" t="str">
        <f>"600803"</f>
        <v>600803</v>
      </c>
      <c r="C1558" t="s">
        <v>9403</v>
      </c>
      <c r="D1558">
        <v>15.65</v>
      </c>
      <c r="E1558">
        <v>-2.37</v>
      </c>
      <c r="F1558">
        <v>-0.38</v>
      </c>
      <c r="G1558" t="s">
        <v>9404</v>
      </c>
      <c r="H1558">
        <v>644</v>
      </c>
      <c r="I1558">
        <v>15.64</v>
      </c>
      <c r="J1558">
        <v>15.65</v>
      </c>
      <c r="K1558" t="s">
        <v>8976</v>
      </c>
      <c r="L1558">
        <v>0.29</v>
      </c>
      <c r="M1558" t="s">
        <v>46</v>
      </c>
      <c r="N1558" t="s">
        <v>9405</v>
      </c>
      <c r="O1558">
        <v>16.06</v>
      </c>
      <c r="P1558">
        <v>15.51</v>
      </c>
      <c r="Q1558">
        <v>16.03</v>
      </c>
      <c r="R1558">
        <v>16.03</v>
      </c>
      <c r="S1558">
        <v>3.43</v>
      </c>
      <c r="T1558">
        <v>1.84</v>
      </c>
      <c r="U1558">
        <v>-24.26</v>
      </c>
      <c r="V1558">
        <v>-409</v>
      </c>
      <c r="W1558">
        <v>15.68</v>
      </c>
      <c r="X1558" t="s">
        <v>4009</v>
      </c>
      <c r="Y1558" t="s">
        <v>206</v>
      </c>
      <c r="Z1558">
        <v>1.62</v>
      </c>
      <c r="AA1558">
        <v>50</v>
      </c>
      <c r="AB1558">
        <v>38</v>
      </c>
      <c r="AC1558">
        <v>2.52</v>
      </c>
      <c r="AD1558" t="s">
        <v>6575</v>
      </c>
      <c r="AE1558" t="s">
        <v>3321</v>
      </c>
      <c r="AF1558" t="s">
        <v>3335</v>
      </c>
      <c r="AG1558" t="s">
        <v>9406</v>
      </c>
      <c r="AH1558">
        <v>-2.13</v>
      </c>
      <c r="AI1558">
        <v>-3.81</v>
      </c>
      <c r="AJ1558">
        <v>0.59</v>
      </c>
      <c r="AK1558">
        <v>1.08</v>
      </c>
      <c r="AL1558">
        <v>-1</v>
      </c>
      <c r="AM1558">
        <v>-2.37</v>
      </c>
      <c r="AN1558">
        <v>0.38</v>
      </c>
      <c r="AO1558">
        <v>-8</v>
      </c>
      <c r="AP1558">
        <v>-9.33</v>
      </c>
    </row>
    <row r="1559" spans="1:42">
      <c r="A1559">
        <v>1558</v>
      </c>
      <c r="B1559" t="str">
        <f>"300248"</f>
        <v>300248</v>
      </c>
      <c r="C1559" t="s">
        <v>9407</v>
      </c>
      <c r="D1559">
        <v>10.07</v>
      </c>
      <c r="E1559">
        <v>4.57</v>
      </c>
      <c r="F1559">
        <v>0.44</v>
      </c>
      <c r="G1559" t="s">
        <v>830</v>
      </c>
      <c r="H1559">
        <v>1970</v>
      </c>
      <c r="I1559">
        <v>10.06</v>
      </c>
      <c r="J1559">
        <v>10.07</v>
      </c>
      <c r="K1559" t="s">
        <v>8976</v>
      </c>
      <c r="L1559">
        <v>3.28</v>
      </c>
      <c r="M1559" t="s">
        <v>46</v>
      </c>
      <c r="N1559" t="s">
        <v>1857</v>
      </c>
      <c r="O1559">
        <v>10.17</v>
      </c>
      <c r="P1559">
        <v>9.57</v>
      </c>
      <c r="Q1559">
        <v>9.61</v>
      </c>
      <c r="R1559">
        <v>9.63</v>
      </c>
      <c r="S1559">
        <v>6.23</v>
      </c>
      <c r="T1559">
        <v>1.95</v>
      </c>
      <c r="U1559">
        <v>-4.33</v>
      </c>
      <c r="V1559">
        <v>-205</v>
      </c>
      <c r="W1559">
        <v>9.91</v>
      </c>
      <c r="X1559" t="s">
        <v>4968</v>
      </c>
      <c r="Y1559" t="s">
        <v>3539</v>
      </c>
      <c r="Z1559">
        <v>0.74</v>
      </c>
      <c r="AA1559">
        <v>76</v>
      </c>
      <c r="AB1559">
        <v>109</v>
      </c>
      <c r="AC1559">
        <v>2.41</v>
      </c>
      <c r="AD1559" t="s">
        <v>9408</v>
      </c>
      <c r="AE1559" t="s">
        <v>9409</v>
      </c>
      <c r="AF1559" t="s">
        <v>9410</v>
      </c>
      <c r="AG1559" t="s">
        <v>9411</v>
      </c>
      <c r="AH1559">
        <v>2.76</v>
      </c>
      <c r="AI1559">
        <v>0.9</v>
      </c>
      <c r="AJ1559">
        <v>6.33</v>
      </c>
      <c r="AK1559">
        <v>11.69</v>
      </c>
      <c r="AL1559">
        <v>1</v>
      </c>
      <c r="AM1559">
        <v>4.57</v>
      </c>
      <c r="AN1559">
        <v>15.22</v>
      </c>
      <c r="AO1559">
        <v>8.51</v>
      </c>
      <c r="AP1559">
        <v>-3.82</v>
      </c>
    </row>
    <row r="1560" spans="1:42">
      <c r="A1560">
        <v>1559</v>
      </c>
      <c r="B1560" t="str">
        <f>"300319"</f>
        <v>300319</v>
      </c>
      <c r="C1560" t="s">
        <v>9412</v>
      </c>
      <c r="D1560">
        <v>10.08</v>
      </c>
      <c r="E1560">
        <v>0.4</v>
      </c>
      <c r="F1560">
        <v>0.04</v>
      </c>
      <c r="G1560" t="s">
        <v>1915</v>
      </c>
      <c r="H1560">
        <v>1544</v>
      </c>
      <c r="I1560">
        <v>10.07</v>
      </c>
      <c r="J1560">
        <v>10.08</v>
      </c>
      <c r="K1560" t="s">
        <v>8976</v>
      </c>
      <c r="L1560">
        <v>1.56</v>
      </c>
      <c r="M1560" t="s">
        <v>46</v>
      </c>
      <c r="N1560" t="s">
        <v>4826</v>
      </c>
      <c r="O1560">
        <v>10.11</v>
      </c>
      <c r="P1560">
        <v>9.93</v>
      </c>
      <c r="Q1560">
        <v>9.98</v>
      </c>
      <c r="R1560">
        <v>10.04</v>
      </c>
      <c r="S1560">
        <v>1.79</v>
      </c>
      <c r="T1560">
        <v>0.83</v>
      </c>
      <c r="U1560">
        <v>-16.53</v>
      </c>
      <c r="V1560">
        <v>-969</v>
      </c>
      <c r="W1560">
        <v>10.02</v>
      </c>
      <c r="X1560" t="s">
        <v>5725</v>
      </c>
      <c r="Y1560" t="s">
        <v>523</v>
      </c>
      <c r="Z1560">
        <v>1.16</v>
      </c>
      <c r="AA1560">
        <v>379</v>
      </c>
      <c r="AB1560">
        <v>1472</v>
      </c>
      <c r="AC1560">
        <v>2.12</v>
      </c>
      <c r="AD1560" t="s">
        <v>9413</v>
      </c>
      <c r="AE1560" t="s">
        <v>9414</v>
      </c>
      <c r="AF1560" t="s">
        <v>9415</v>
      </c>
      <c r="AG1560" t="s">
        <v>9416</v>
      </c>
      <c r="AH1560">
        <v>-1.66</v>
      </c>
      <c r="AI1560">
        <v>-3.17</v>
      </c>
      <c r="AJ1560">
        <v>4.72</v>
      </c>
      <c r="AK1560">
        <v>11.01</v>
      </c>
      <c r="AL1560">
        <v>1</v>
      </c>
      <c r="AM1560">
        <v>0.4</v>
      </c>
      <c r="AN1560">
        <v>31.76</v>
      </c>
      <c r="AO1560">
        <v>-4.82</v>
      </c>
      <c r="AP1560">
        <v>17.48</v>
      </c>
    </row>
    <row r="1561" spans="1:42">
      <c r="A1561">
        <v>1560</v>
      </c>
      <c r="B1561" t="str">
        <f>"301299"</f>
        <v>301299</v>
      </c>
      <c r="C1561" t="s">
        <v>9417</v>
      </c>
      <c r="D1561">
        <v>65.5</v>
      </c>
      <c r="E1561">
        <v>4</v>
      </c>
      <c r="F1561">
        <v>2.52</v>
      </c>
      <c r="G1561" t="s">
        <v>1280</v>
      </c>
      <c r="H1561">
        <v>445</v>
      </c>
      <c r="I1561">
        <v>65.5</v>
      </c>
      <c r="J1561">
        <v>65.51</v>
      </c>
      <c r="K1561" t="s">
        <v>8976</v>
      </c>
      <c r="L1561">
        <v>5.68</v>
      </c>
      <c r="M1561" t="s">
        <v>46</v>
      </c>
      <c r="N1561" t="s">
        <v>6551</v>
      </c>
      <c r="O1561">
        <v>65.69</v>
      </c>
      <c r="P1561">
        <v>62.76</v>
      </c>
      <c r="Q1561">
        <v>62.93</v>
      </c>
      <c r="R1561">
        <v>62.98</v>
      </c>
      <c r="S1561">
        <v>4.65</v>
      </c>
      <c r="T1561">
        <v>0.97</v>
      </c>
      <c r="U1561">
        <v>-26.14</v>
      </c>
      <c r="V1561">
        <v>-80</v>
      </c>
      <c r="W1561">
        <v>64.37</v>
      </c>
      <c r="X1561">
        <v>8474</v>
      </c>
      <c r="Y1561" t="s">
        <v>2284</v>
      </c>
      <c r="Z1561">
        <v>0.74</v>
      </c>
      <c r="AA1561">
        <v>32</v>
      </c>
      <c r="AB1561">
        <v>7</v>
      </c>
      <c r="AC1561">
        <v>5.94</v>
      </c>
      <c r="AD1561" t="s">
        <v>7827</v>
      </c>
      <c r="AE1561" t="s">
        <v>7293</v>
      </c>
      <c r="AF1561" t="s">
        <v>9418</v>
      </c>
      <c r="AG1561" t="s">
        <v>409</v>
      </c>
      <c r="AH1561">
        <v>1.24</v>
      </c>
      <c r="AI1561">
        <v>-1.67</v>
      </c>
      <c r="AJ1561">
        <v>14.8</v>
      </c>
      <c r="AK1561">
        <v>34.95</v>
      </c>
      <c r="AL1561">
        <v>1</v>
      </c>
      <c r="AM1561">
        <v>4</v>
      </c>
      <c r="AN1561">
        <v>34.5</v>
      </c>
      <c r="AO1561">
        <v>8.34</v>
      </c>
      <c r="AP1561">
        <v>71.42</v>
      </c>
    </row>
    <row r="1562" spans="1:42">
      <c r="A1562">
        <v>1561</v>
      </c>
      <c r="B1562" t="str">
        <f>"688372"</f>
        <v>688372</v>
      </c>
      <c r="C1562" t="s">
        <v>9419</v>
      </c>
      <c r="D1562">
        <v>87.48</v>
      </c>
      <c r="E1562">
        <v>0.38</v>
      </c>
      <c r="F1562">
        <v>0.33</v>
      </c>
      <c r="G1562" t="s">
        <v>7656</v>
      </c>
      <c r="H1562">
        <v>30</v>
      </c>
      <c r="I1562">
        <v>87.48</v>
      </c>
      <c r="J1562">
        <v>87.5</v>
      </c>
      <c r="K1562" t="s">
        <v>8976</v>
      </c>
      <c r="L1562">
        <v>1.92</v>
      </c>
      <c r="M1562" t="s">
        <v>46</v>
      </c>
      <c r="N1562" t="s">
        <v>9420</v>
      </c>
      <c r="O1562">
        <v>88.5</v>
      </c>
      <c r="P1562">
        <v>85</v>
      </c>
      <c r="Q1562">
        <v>86.99</v>
      </c>
      <c r="R1562">
        <v>87.15</v>
      </c>
      <c r="S1562">
        <v>4.02</v>
      </c>
      <c r="T1562">
        <v>1.18</v>
      </c>
      <c r="U1562">
        <v>-6.46</v>
      </c>
      <c r="V1562">
        <v>-5</v>
      </c>
      <c r="W1562">
        <v>86.76</v>
      </c>
      <c r="X1562">
        <v>7936</v>
      </c>
      <c r="Y1562">
        <v>6893</v>
      </c>
      <c r="Z1562">
        <v>1.15</v>
      </c>
      <c r="AA1562">
        <v>15</v>
      </c>
      <c r="AB1562">
        <v>4</v>
      </c>
      <c r="AC1562">
        <v>4.11</v>
      </c>
      <c r="AD1562" t="s">
        <v>7006</v>
      </c>
      <c r="AE1562" t="s">
        <v>9421</v>
      </c>
      <c r="AF1562" t="s">
        <v>9422</v>
      </c>
      <c r="AG1562" t="s">
        <v>9423</v>
      </c>
      <c r="AH1562">
        <v>-0.98</v>
      </c>
      <c r="AI1562">
        <v>-3.67</v>
      </c>
      <c r="AJ1562">
        <v>4.42</v>
      </c>
      <c r="AK1562">
        <v>10.08</v>
      </c>
      <c r="AL1562">
        <v>1</v>
      </c>
      <c r="AM1562">
        <v>0.38</v>
      </c>
      <c r="AN1562">
        <v>20.48</v>
      </c>
      <c r="AO1562">
        <v>4.25</v>
      </c>
      <c r="AP1562">
        <v>15.29</v>
      </c>
    </row>
    <row r="1563" spans="1:42">
      <c r="A1563">
        <v>1562</v>
      </c>
      <c r="B1563" t="str">
        <f>"000417"</f>
        <v>000417</v>
      </c>
      <c r="C1563" t="s">
        <v>9424</v>
      </c>
      <c r="D1563">
        <v>5.01</v>
      </c>
      <c r="E1563">
        <v>1.21</v>
      </c>
      <c r="F1563">
        <v>0.06</v>
      </c>
      <c r="G1563" t="s">
        <v>1983</v>
      </c>
      <c r="H1563">
        <v>1831</v>
      </c>
      <c r="I1563">
        <v>5</v>
      </c>
      <c r="J1563">
        <v>5.01</v>
      </c>
      <c r="K1563" t="s">
        <v>8976</v>
      </c>
      <c r="L1563">
        <v>3.29</v>
      </c>
      <c r="M1563" t="s">
        <v>46</v>
      </c>
      <c r="N1563" t="s">
        <v>9425</v>
      </c>
      <c r="O1563">
        <v>5.08</v>
      </c>
      <c r="P1563">
        <v>4.93</v>
      </c>
      <c r="Q1563">
        <v>4.94</v>
      </c>
      <c r="R1563">
        <v>4.95</v>
      </c>
      <c r="S1563">
        <v>3.03</v>
      </c>
      <c r="T1563">
        <v>1.08</v>
      </c>
      <c r="U1563">
        <v>-23.37</v>
      </c>
      <c r="V1563">
        <v>-2890</v>
      </c>
      <c r="W1563">
        <v>5.03</v>
      </c>
      <c r="X1563" t="s">
        <v>1540</v>
      </c>
      <c r="Y1563" t="s">
        <v>784</v>
      </c>
      <c r="Z1563">
        <v>0.85</v>
      </c>
      <c r="AA1563">
        <v>1157</v>
      </c>
      <c r="AB1563">
        <v>2036</v>
      </c>
      <c r="AC1563">
        <v>0.88</v>
      </c>
      <c r="AD1563" t="s">
        <v>9426</v>
      </c>
      <c r="AE1563" t="s">
        <v>4372</v>
      </c>
      <c r="AF1563" t="s">
        <v>9427</v>
      </c>
      <c r="AG1563" t="s">
        <v>9428</v>
      </c>
      <c r="AH1563">
        <v>0.4</v>
      </c>
      <c r="AI1563">
        <v>-0.99</v>
      </c>
      <c r="AJ1563">
        <v>8</v>
      </c>
      <c r="AK1563">
        <v>18.57</v>
      </c>
      <c r="AL1563">
        <v>2</v>
      </c>
      <c r="AM1563">
        <v>1.21</v>
      </c>
      <c r="AN1563">
        <v>-6.88</v>
      </c>
      <c r="AO1563">
        <v>4.81</v>
      </c>
      <c r="AP1563">
        <v>8.91</v>
      </c>
    </row>
    <row r="1564" spans="1:42">
      <c r="A1564">
        <v>1563</v>
      </c>
      <c r="B1564" t="str">
        <f>"600885"</f>
        <v>600885</v>
      </c>
      <c r="C1564" t="s">
        <v>9429</v>
      </c>
      <c r="D1564">
        <v>28.92</v>
      </c>
      <c r="E1564">
        <v>-0.62</v>
      </c>
      <c r="F1564">
        <v>-0.18</v>
      </c>
      <c r="G1564" t="s">
        <v>2559</v>
      </c>
      <c r="H1564">
        <v>457</v>
      </c>
      <c r="I1564">
        <v>28.92</v>
      </c>
      <c r="J1564">
        <v>28.98</v>
      </c>
      <c r="K1564" t="s">
        <v>8976</v>
      </c>
      <c r="L1564">
        <v>0.43</v>
      </c>
      <c r="M1564" t="s">
        <v>46</v>
      </c>
      <c r="N1564" t="s">
        <v>9430</v>
      </c>
      <c r="O1564">
        <v>29.15</v>
      </c>
      <c r="P1564">
        <v>28.61</v>
      </c>
      <c r="Q1564">
        <v>29</v>
      </c>
      <c r="R1564">
        <v>29.1</v>
      </c>
      <c r="S1564">
        <v>1.86</v>
      </c>
      <c r="T1564">
        <v>1.22</v>
      </c>
      <c r="U1564">
        <v>-27.42</v>
      </c>
      <c r="V1564">
        <v>-121</v>
      </c>
      <c r="W1564">
        <v>28.82</v>
      </c>
      <c r="X1564" t="s">
        <v>5710</v>
      </c>
      <c r="Y1564" t="s">
        <v>3116</v>
      </c>
      <c r="Z1564">
        <v>1.1</v>
      </c>
      <c r="AA1564">
        <v>11</v>
      </c>
      <c r="AB1564">
        <v>8</v>
      </c>
      <c r="AC1564">
        <v>3.84</v>
      </c>
      <c r="AD1564" t="s">
        <v>9008</v>
      </c>
      <c r="AE1564" t="s">
        <v>9431</v>
      </c>
      <c r="AF1564" t="s">
        <v>9008</v>
      </c>
      <c r="AG1564" t="s">
        <v>9431</v>
      </c>
      <c r="AH1564">
        <v>-1.5</v>
      </c>
      <c r="AI1564">
        <v>-0.69</v>
      </c>
      <c r="AJ1564">
        <v>1.05</v>
      </c>
      <c r="AK1564">
        <v>2.18</v>
      </c>
      <c r="AL1564">
        <v>-1</v>
      </c>
      <c r="AM1564">
        <v>-0.62</v>
      </c>
      <c r="AN1564">
        <v>-12.5</v>
      </c>
      <c r="AO1564">
        <v>2.99</v>
      </c>
      <c r="AP1564">
        <v>-16.66</v>
      </c>
    </row>
    <row r="1565" spans="1:42">
      <c r="A1565">
        <v>1564</v>
      </c>
      <c r="B1565" t="str">
        <f>"300504"</f>
        <v>300504</v>
      </c>
      <c r="C1565" t="s">
        <v>9432</v>
      </c>
      <c r="D1565">
        <v>19.69</v>
      </c>
      <c r="E1565">
        <v>3.2</v>
      </c>
      <c r="F1565">
        <v>0.61</v>
      </c>
      <c r="G1565" t="s">
        <v>7862</v>
      </c>
      <c r="H1565">
        <v>1436</v>
      </c>
      <c r="I1565">
        <v>19.68</v>
      </c>
      <c r="J1565">
        <v>19.69</v>
      </c>
      <c r="K1565" t="s">
        <v>8976</v>
      </c>
      <c r="L1565">
        <v>3.08</v>
      </c>
      <c r="M1565" t="s">
        <v>46</v>
      </c>
      <c r="N1565" t="s">
        <v>4516</v>
      </c>
      <c r="O1565">
        <v>19.78</v>
      </c>
      <c r="P1565">
        <v>18.93</v>
      </c>
      <c r="Q1565">
        <v>19.18</v>
      </c>
      <c r="R1565">
        <v>19.08</v>
      </c>
      <c r="S1565">
        <v>4.45</v>
      </c>
      <c r="T1565">
        <v>1.22</v>
      </c>
      <c r="U1565">
        <v>42.4</v>
      </c>
      <c r="V1565">
        <v>1166</v>
      </c>
      <c r="W1565">
        <v>19.42</v>
      </c>
      <c r="X1565" t="s">
        <v>1711</v>
      </c>
      <c r="Y1565" t="s">
        <v>3716</v>
      </c>
      <c r="Z1565">
        <v>0.72</v>
      </c>
      <c r="AA1565">
        <v>321</v>
      </c>
      <c r="AB1565">
        <v>71</v>
      </c>
      <c r="AC1565">
        <v>2.32</v>
      </c>
      <c r="AD1565" t="s">
        <v>9433</v>
      </c>
      <c r="AE1565" t="s">
        <v>4573</v>
      </c>
      <c r="AF1565" t="s">
        <v>4743</v>
      </c>
      <c r="AG1565" t="s">
        <v>9434</v>
      </c>
      <c r="AH1565">
        <v>2.77</v>
      </c>
      <c r="AI1565">
        <v>1.86</v>
      </c>
      <c r="AJ1565">
        <v>8.98</v>
      </c>
      <c r="AK1565">
        <v>15.75</v>
      </c>
      <c r="AL1565">
        <v>1</v>
      </c>
      <c r="AM1565">
        <v>3.2</v>
      </c>
      <c r="AN1565">
        <v>24.23</v>
      </c>
      <c r="AO1565">
        <v>5.97</v>
      </c>
      <c r="AP1565">
        <v>14.08</v>
      </c>
    </row>
    <row r="1566" spans="1:42">
      <c r="A1566">
        <v>1565</v>
      </c>
      <c r="B1566" t="str">
        <f>"688160"</f>
        <v>688160</v>
      </c>
      <c r="C1566" t="s">
        <v>9435</v>
      </c>
      <c r="D1566">
        <v>64</v>
      </c>
      <c r="E1566">
        <v>-1.61</v>
      </c>
      <c r="F1566">
        <v>-1.05</v>
      </c>
      <c r="G1566" t="s">
        <v>4976</v>
      </c>
      <c r="H1566">
        <v>217</v>
      </c>
      <c r="I1566">
        <v>63.89</v>
      </c>
      <c r="J1566">
        <v>64</v>
      </c>
      <c r="K1566" t="s">
        <v>9436</v>
      </c>
      <c r="L1566">
        <v>2.39</v>
      </c>
      <c r="M1566" t="s">
        <v>46</v>
      </c>
      <c r="N1566" t="s">
        <v>3981</v>
      </c>
      <c r="O1566">
        <v>65.92</v>
      </c>
      <c r="P1566">
        <v>62.63</v>
      </c>
      <c r="Q1566">
        <v>64.76</v>
      </c>
      <c r="R1566">
        <v>65.05</v>
      </c>
      <c r="S1566">
        <v>5.06</v>
      </c>
      <c r="T1566">
        <v>1.08</v>
      </c>
      <c r="U1566">
        <v>43.47</v>
      </c>
      <c r="V1566">
        <v>51</v>
      </c>
      <c r="W1566">
        <v>63.89</v>
      </c>
      <c r="X1566" t="s">
        <v>1743</v>
      </c>
      <c r="Y1566">
        <v>8477</v>
      </c>
      <c r="Z1566">
        <v>1.37</v>
      </c>
      <c r="AA1566">
        <v>2</v>
      </c>
      <c r="AB1566">
        <v>0</v>
      </c>
      <c r="AC1566">
        <v>7.35</v>
      </c>
      <c r="AD1566" t="s">
        <v>9437</v>
      </c>
      <c r="AE1566" t="s">
        <v>9438</v>
      </c>
      <c r="AF1566" t="s">
        <v>9437</v>
      </c>
      <c r="AG1566" t="s">
        <v>9438</v>
      </c>
      <c r="AH1566">
        <v>-2.02</v>
      </c>
      <c r="AI1566">
        <v>-6.43</v>
      </c>
      <c r="AJ1566">
        <v>8.28</v>
      </c>
      <c r="AK1566">
        <v>13.51</v>
      </c>
      <c r="AL1566">
        <v>-2</v>
      </c>
      <c r="AM1566">
        <v>-1.61</v>
      </c>
      <c r="AN1566">
        <v>123.62</v>
      </c>
      <c r="AO1566">
        <v>14.39</v>
      </c>
      <c r="AP1566">
        <v>79.07</v>
      </c>
    </row>
    <row r="1567" spans="1:42">
      <c r="A1567">
        <v>1566</v>
      </c>
      <c r="B1567" t="str">
        <f>"600612"</f>
        <v>600612</v>
      </c>
      <c r="C1567" t="s">
        <v>9439</v>
      </c>
      <c r="D1567">
        <v>66.13</v>
      </c>
      <c r="E1567">
        <v>2.77</v>
      </c>
      <c r="F1567">
        <v>1.78</v>
      </c>
      <c r="G1567" t="s">
        <v>1455</v>
      </c>
      <c r="H1567">
        <v>152</v>
      </c>
      <c r="I1567">
        <v>66.13</v>
      </c>
      <c r="J1567">
        <v>66.14</v>
      </c>
      <c r="K1567" t="s">
        <v>9436</v>
      </c>
      <c r="L1567">
        <v>0.62</v>
      </c>
      <c r="M1567" t="s">
        <v>46</v>
      </c>
      <c r="N1567" t="s">
        <v>8666</v>
      </c>
      <c r="O1567">
        <v>66.33</v>
      </c>
      <c r="P1567">
        <v>63.72</v>
      </c>
      <c r="Q1567">
        <v>64.31</v>
      </c>
      <c r="R1567">
        <v>64.35</v>
      </c>
      <c r="S1567">
        <v>4.06</v>
      </c>
      <c r="T1567">
        <v>1.61</v>
      </c>
      <c r="U1567">
        <v>58.95</v>
      </c>
      <c r="V1567">
        <v>152</v>
      </c>
      <c r="W1567">
        <v>65.43</v>
      </c>
      <c r="X1567">
        <v>6536</v>
      </c>
      <c r="Y1567" t="s">
        <v>1170</v>
      </c>
      <c r="Z1567">
        <v>0.5</v>
      </c>
      <c r="AA1567">
        <v>27</v>
      </c>
      <c r="AB1567">
        <v>1</v>
      </c>
      <c r="AC1567">
        <v>3.05</v>
      </c>
      <c r="AD1567" t="s">
        <v>9440</v>
      </c>
      <c r="AE1567" t="s">
        <v>9441</v>
      </c>
      <c r="AF1567" t="s">
        <v>9442</v>
      </c>
      <c r="AG1567" t="s">
        <v>9443</v>
      </c>
      <c r="AH1567">
        <v>5.55</v>
      </c>
      <c r="AI1567">
        <v>6.35</v>
      </c>
      <c r="AJ1567">
        <v>1.49</v>
      </c>
      <c r="AK1567">
        <v>2.54</v>
      </c>
      <c r="AL1567">
        <v>3</v>
      </c>
      <c r="AM1567">
        <v>2.77</v>
      </c>
      <c r="AN1567">
        <v>59.97</v>
      </c>
      <c r="AO1567">
        <v>10.07</v>
      </c>
      <c r="AP1567">
        <v>70.53</v>
      </c>
    </row>
    <row r="1568" spans="1:42">
      <c r="A1568">
        <v>1567</v>
      </c>
      <c r="B1568" t="str">
        <f>"301269"</f>
        <v>301269</v>
      </c>
      <c r="C1568" t="s">
        <v>9444</v>
      </c>
      <c r="D1568">
        <v>99.29</v>
      </c>
      <c r="E1568">
        <v>1</v>
      </c>
      <c r="F1568">
        <v>0.98</v>
      </c>
      <c r="G1568" t="s">
        <v>9445</v>
      </c>
      <c r="H1568">
        <v>241</v>
      </c>
      <c r="I1568">
        <v>99.1</v>
      </c>
      <c r="J1568">
        <v>99.29</v>
      </c>
      <c r="K1568" t="s">
        <v>9436</v>
      </c>
      <c r="L1568">
        <v>0.49</v>
      </c>
      <c r="M1568" t="s">
        <v>46</v>
      </c>
      <c r="N1568" t="s">
        <v>9446</v>
      </c>
      <c r="O1568">
        <v>99.32</v>
      </c>
      <c r="P1568">
        <v>97.3</v>
      </c>
      <c r="Q1568">
        <v>98.3</v>
      </c>
      <c r="R1568">
        <v>98.31</v>
      </c>
      <c r="S1568">
        <v>2.05</v>
      </c>
      <c r="T1568">
        <v>0.65</v>
      </c>
      <c r="U1568">
        <v>-45.95</v>
      </c>
      <c r="V1568">
        <v>-34</v>
      </c>
      <c r="W1568">
        <v>98.35</v>
      </c>
      <c r="X1568">
        <v>6048</v>
      </c>
      <c r="Y1568">
        <v>6994</v>
      </c>
      <c r="Z1568">
        <v>0.86</v>
      </c>
      <c r="AA1568">
        <v>2</v>
      </c>
      <c r="AB1568">
        <v>1</v>
      </c>
      <c r="AC1568">
        <v>11.35</v>
      </c>
      <c r="AD1568" t="s">
        <v>9020</v>
      </c>
      <c r="AE1568" t="s">
        <v>9447</v>
      </c>
      <c r="AF1568" t="s">
        <v>9448</v>
      </c>
      <c r="AG1568" t="s">
        <v>9449</v>
      </c>
      <c r="AH1568">
        <v>-0.08</v>
      </c>
      <c r="AI1568">
        <v>1.59</v>
      </c>
      <c r="AJ1568">
        <v>2.09</v>
      </c>
      <c r="AK1568">
        <v>4.25</v>
      </c>
      <c r="AL1568">
        <v>1</v>
      </c>
      <c r="AM1568">
        <v>1</v>
      </c>
      <c r="AN1568">
        <v>10.42</v>
      </c>
      <c r="AO1568">
        <v>-3.48</v>
      </c>
      <c r="AP1568">
        <v>3.89</v>
      </c>
    </row>
    <row r="1569" spans="1:42">
      <c r="A1569">
        <v>1568</v>
      </c>
      <c r="B1569" t="str">
        <f>"002827"</f>
        <v>002827</v>
      </c>
      <c r="C1569" t="s">
        <v>9450</v>
      </c>
      <c r="D1569">
        <v>18.17</v>
      </c>
      <c r="E1569">
        <v>-0.76</v>
      </c>
      <c r="F1569">
        <v>-0.14</v>
      </c>
      <c r="G1569" t="s">
        <v>8501</v>
      </c>
      <c r="H1569">
        <v>1246</v>
      </c>
      <c r="I1569">
        <v>18.17</v>
      </c>
      <c r="J1569">
        <v>18.18</v>
      </c>
      <c r="K1569" t="s">
        <v>9436</v>
      </c>
      <c r="L1569">
        <v>2.54</v>
      </c>
      <c r="M1569" t="s">
        <v>46</v>
      </c>
      <c r="N1569" t="s">
        <v>4336</v>
      </c>
      <c r="O1569">
        <v>18.59</v>
      </c>
      <c r="P1569">
        <v>18.05</v>
      </c>
      <c r="Q1569">
        <v>18.46</v>
      </c>
      <c r="R1569">
        <v>18.31</v>
      </c>
      <c r="S1569">
        <v>2.95</v>
      </c>
      <c r="T1569">
        <v>0.7</v>
      </c>
      <c r="U1569">
        <v>-12.13</v>
      </c>
      <c r="V1569">
        <v>-121</v>
      </c>
      <c r="W1569">
        <v>18.21</v>
      </c>
      <c r="X1569" t="s">
        <v>6748</v>
      </c>
      <c r="Y1569" t="s">
        <v>8915</v>
      </c>
      <c r="Z1569">
        <v>1.33</v>
      </c>
      <c r="AA1569">
        <v>120</v>
      </c>
      <c r="AB1569">
        <v>315</v>
      </c>
      <c r="AC1569">
        <v>6.19</v>
      </c>
      <c r="AD1569" t="s">
        <v>9451</v>
      </c>
      <c r="AE1569" t="s">
        <v>9452</v>
      </c>
      <c r="AF1569" t="s">
        <v>9451</v>
      </c>
      <c r="AG1569" t="s">
        <v>9452</v>
      </c>
      <c r="AH1569">
        <v>3.83</v>
      </c>
      <c r="AI1569">
        <v>6.2</v>
      </c>
      <c r="AJ1569">
        <v>15.21</v>
      </c>
      <c r="AK1569">
        <v>20.85</v>
      </c>
      <c r="AL1569">
        <v>-2</v>
      </c>
      <c r="AM1569">
        <v>-0.76</v>
      </c>
      <c r="AN1569">
        <v>96.65</v>
      </c>
      <c r="AO1569">
        <v>8.15</v>
      </c>
      <c r="AP1569">
        <v>92.89</v>
      </c>
    </row>
    <row r="1570" spans="1:42">
      <c r="A1570">
        <v>1569</v>
      </c>
      <c r="B1570" t="str">
        <f>"601015"</f>
        <v>601015</v>
      </c>
      <c r="C1570" t="s">
        <v>9453</v>
      </c>
      <c r="D1570">
        <v>4.64</v>
      </c>
      <c r="E1570">
        <v>1.09</v>
      </c>
      <c r="F1570">
        <v>0.05</v>
      </c>
      <c r="G1570" t="s">
        <v>2901</v>
      </c>
      <c r="H1570">
        <v>3377</v>
      </c>
      <c r="I1570">
        <v>4.64</v>
      </c>
      <c r="J1570">
        <v>4.65</v>
      </c>
      <c r="K1570" t="s">
        <v>9436</v>
      </c>
      <c r="L1570">
        <v>1.35</v>
      </c>
      <c r="M1570" t="s">
        <v>46</v>
      </c>
      <c r="N1570" t="s">
        <v>7145</v>
      </c>
      <c r="O1570">
        <v>4.68</v>
      </c>
      <c r="P1570">
        <v>4.58</v>
      </c>
      <c r="Q1570">
        <v>4.59</v>
      </c>
      <c r="R1570">
        <v>4.59</v>
      </c>
      <c r="S1570">
        <v>2.18</v>
      </c>
      <c r="T1570">
        <v>0.46</v>
      </c>
      <c r="U1570">
        <v>4.98</v>
      </c>
      <c r="V1570">
        <v>1681</v>
      </c>
      <c r="W1570">
        <v>4.64</v>
      </c>
      <c r="X1570" t="s">
        <v>656</v>
      </c>
      <c r="Y1570" t="s">
        <v>3155</v>
      </c>
      <c r="Z1570">
        <v>0.68</v>
      </c>
      <c r="AA1570">
        <v>1087</v>
      </c>
      <c r="AB1570">
        <v>2330</v>
      </c>
      <c r="AC1570">
        <v>1.21</v>
      </c>
      <c r="AD1570" t="s">
        <v>9454</v>
      </c>
      <c r="AE1570" t="s">
        <v>9455</v>
      </c>
      <c r="AF1570" t="s">
        <v>9454</v>
      </c>
      <c r="AG1570" t="s">
        <v>9455</v>
      </c>
      <c r="AH1570">
        <v>-4.53</v>
      </c>
      <c r="AI1570">
        <v>-2.52</v>
      </c>
      <c r="AJ1570">
        <v>5.58</v>
      </c>
      <c r="AK1570">
        <v>16.07</v>
      </c>
      <c r="AL1570">
        <v>1</v>
      </c>
      <c r="AM1570">
        <v>1.09</v>
      </c>
      <c r="AN1570">
        <v>4.5</v>
      </c>
      <c r="AO1570">
        <v>4.04</v>
      </c>
      <c r="AP1570">
        <v>-1.9</v>
      </c>
    </row>
    <row r="1571" spans="1:42">
      <c r="A1571">
        <v>1570</v>
      </c>
      <c r="B1571" t="str">
        <f>"300181"</f>
        <v>300181</v>
      </c>
      <c r="C1571" t="s">
        <v>9456</v>
      </c>
      <c r="D1571">
        <v>10.52</v>
      </c>
      <c r="E1571">
        <v>1.45</v>
      </c>
      <c r="F1571">
        <v>0.15</v>
      </c>
      <c r="G1571" t="s">
        <v>1790</v>
      </c>
      <c r="H1571">
        <v>1096</v>
      </c>
      <c r="I1571">
        <v>10.52</v>
      </c>
      <c r="J1571">
        <v>10.53</v>
      </c>
      <c r="K1571" t="s">
        <v>9457</v>
      </c>
      <c r="L1571">
        <v>2.02</v>
      </c>
      <c r="M1571" t="s">
        <v>46</v>
      </c>
      <c r="N1571" t="s">
        <v>1592</v>
      </c>
      <c r="O1571">
        <v>10.63</v>
      </c>
      <c r="P1571">
        <v>10.34</v>
      </c>
      <c r="Q1571">
        <v>10.4</v>
      </c>
      <c r="R1571">
        <v>10.37</v>
      </c>
      <c r="S1571">
        <v>2.8</v>
      </c>
      <c r="T1571">
        <v>0.8</v>
      </c>
      <c r="U1571">
        <v>10.93</v>
      </c>
      <c r="V1571">
        <v>601</v>
      </c>
      <c r="W1571">
        <v>10.51</v>
      </c>
      <c r="X1571" t="s">
        <v>2568</v>
      </c>
      <c r="Y1571" t="s">
        <v>5957</v>
      </c>
      <c r="Z1571">
        <v>1.28</v>
      </c>
      <c r="AA1571">
        <v>253</v>
      </c>
      <c r="AB1571">
        <v>392</v>
      </c>
      <c r="AC1571">
        <v>2.77</v>
      </c>
      <c r="AD1571" t="s">
        <v>9458</v>
      </c>
      <c r="AE1571" t="s">
        <v>9459</v>
      </c>
      <c r="AF1571" t="s">
        <v>9460</v>
      </c>
      <c r="AG1571" t="s">
        <v>9461</v>
      </c>
      <c r="AH1571">
        <v>-1.41</v>
      </c>
      <c r="AI1571">
        <v>-2.32</v>
      </c>
      <c r="AJ1571">
        <v>5.51</v>
      </c>
      <c r="AK1571">
        <v>14.65</v>
      </c>
      <c r="AL1571">
        <v>1</v>
      </c>
      <c r="AM1571">
        <v>1.45</v>
      </c>
      <c r="AN1571">
        <v>1.45</v>
      </c>
      <c r="AO1571">
        <v>2.33</v>
      </c>
      <c r="AP1571">
        <v>-8.36</v>
      </c>
    </row>
    <row r="1572" spans="1:42">
      <c r="A1572">
        <v>1571</v>
      </c>
      <c r="B1572" t="str">
        <f>"002153"</f>
        <v>002153</v>
      </c>
      <c r="C1572" t="s">
        <v>9462</v>
      </c>
      <c r="D1572">
        <v>11.03</v>
      </c>
      <c r="E1572">
        <v>3.37</v>
      </c>
      <c r="F1572">
        <v>0.36</v>
      </c>
      <c r="G1572" t="s">
        <v>1807</v>
      </c>
      <c r="H1572">
        <v>1084</v>
      </c>
      <c r="I1572">
        <v>11.03</v>
      </c>
      <c r="J1572">
        <v>11.04</v>
      </c>
      <c r="K1572" t="s">
        <v>9457</v>
      </c>
      <c r="L1572">
        <v>0.73</v>
      </c>
      <c r="M1572" t="s">
        <v>46</v>
      </c>
      <c r="N1572" t="s">
        <v>2452</v>
      </c>
      <c r="O1572">
        <v>11.13</v>
      </c>
      <c r="P1572">
        <v>10.55</v>
      </c>
      <c r="Q1572">
        <v>10.64</v>
      </c>
      <c r="R1572">
        <v>10.67</v>
      </c>
      <c r="S1572">
        <v>5.44</v>
      </c>
      <c r="T1572">
        <v>1.78</v>
      </c>
      <c r="U1572">
        <v>6.52</v>
      </c>
      <c r="V1572">
        <v>95</v>
      </c>
      <c r="W1572">
        <v>10.87</v>
      </c>
      <c r="X1572" t="s">
        <v>2691</v>
      </c>
      <c r="Y1572" t="s">
        <v>4555</v>
      </c>
      <c r="Z1572">
        <v>0.47</v>
      </c>
      <c r="AA1572">
        <v>76</v>
      </c>
      <c r="AB1572">
        <v>90</v>
      </c>
      <c r="AC1572">
        <v>4.05</v>
      </c>
      <c r="AD1572" t="s">
        <v>9463</v>
      </c>
      <c r="AE1572" t="s">
        <v>9464</v>
      </c>
      <c r="AF1572" t="s">
        <v>9465</v>
      </c>
      <c r="AG1572" t="s">
        <v>9466</v>
      </c>
      <c r="AH1572">
        <v>1.66</v>
      </c>
      <c r="AI1572">
        <v>-1.43</v>
      </c>
      <c r="AJ1572">
        <v>1.49</v>
      </c>
      <c r="AK1572">
        <v>2.79</v>
      </c>
      <c r="AL1572">
        <v>1</v>
      </c>
      <c r="AM1572">
        <v>3.37</v>
      </c>
      <c r="AN1572">
        <v>-4.34</v>
      </c>
      <c r="AO1572">
        <v>3.28</v>
      </c>
      <c r="AP1572">
        <v>1.01</v>
      </c>
    </row>
    <row r="1573" spans="1:42">
      <c r="A1573">
        <v>1572</v>
      </c>
      <c r="B1573" t="str">
        <f>"300542"</f>
        <v>300542</v>
      </c>
      <c r="C1573" t="s">
        <v>9467</v>
      </c>
      <c r="D1573">
        <v>13.98</v>
      </c>
      <c r="E1573">
        <v>3.79</v>
      </c>
      <c r="F1573">
        <v>0.51</v>
      </c>
      <c r="G1573" t="s">
        <v>79</v>
      </c>
      <c r="H1573">
        <v>1859</v>
      </c>
      <c r="I1573">
        <v>13.98</v>
      </c>
      <c r="J1573">
        <v>13.99</v>
      </c>
      <c r="K1573" t="s">
        <v>9457</v>
      </c>
      <c r="L1573">
        <v>3.77</v>
      </c>
      <c r="M1573" t="s">
        <v>46</v>
      </c>
      <c r="N1573" t="s">
        <v>4463</v>
      </c>
      <c r="O1573">
        <v>14.13</v>
      </c>
      <c r="P1573">
        <v>13.46</v>
      </c>
      <c r="Q1573">
        <v>13.5</v>
      </c>
      <c r="R1573">
        <v>13.47</v>
      </c>
      <c r="S1573">
        <v>4.97</v>
      </c>
      <c r="T1573">
        <v>1.42</v>
      </c>
      <c r="U1573">
        <v>-4.84</v>
      </c>
      <c r="V1573">
        <v>-123</v>
      </c>
      <c r="W1573">
        <v>13.85</v>
      </c>
      <c r="X1573" t="s">
        <v>6912</v>
      </c>
      <c r="Y1573" t="s">
        <v>5027</v>
      </c>
      <c r="Z1573">
        <v>0.66</v>
      </c>
      <c r="AA1573">
        <v>37</v>
      </c>
      <c r="AB1573">
        <v>197</v>
      </c>
      <c r="AC1573">
        <v>7.03</v>
      </c>
      <c r="AD1573" t="s">
        <v>9468</v>
      </c>
      <c r="AE1573" t="s">
        <v>9469</v>
      </c>
      <c r="AF1573" t="s">
        <v>9470</v>
      </c>
      <c r="AG1573" t="s">
        <v>6290</v>
      </c>
      <c r="AH1573">
        <v>1.16</v>
      </c>
      <c r="AI1573">
        <v>-1.89</v>
      </c>
      <c r="AJ1573">
        <v>8.05</v>
      </c>
      <c r="AK1573">
        <v>17.06</v>
      </c>
      <c r="AL1573">
        <v>1</v>
      </c>
      <c r="AM1573">
        <v>3.79</v>
      </c>
      <c r="AN1573">
        <v>20.31</v>
      </c>
      <c r="AO1573">
        <v>8.88</v>
      </c>
      <c r="AP1573">
        <v>5.43</v>
      </c>
    </row>
    <row r="1574" spans="1:42">
      <c r="A1574">
        <v>1573</v>
      </c>
      <c r="B1574" t="str">
        <f>"002117"</f>
        <v>002117</v>
      </c>
      <c r="C1574" t="s">
        <v>9471</v>
      </c>
      <c r="D1574">
        <v>9.31</v>
      </c>
      <c r="E1574">
        <v>4.14</v>
      </c>
      <c r="F1574">
        <v>0.37</v>
      </c>
      <c r="G1574" t="s">
        <v>784</v>
      </c>
      <c r="H1574">
        <v>1000</v>
      </c>
      <c r="I1574">
        <v>9.31</v>
      </c>
      <c r="J1574">
        <v>9.32</v>
      </c>
      <c r="K1574" t="s">
        <v>9457</v>
      </c>
      <c r="L1574">
        <v>2.53</v>
      </c>
      <c r="M1574" t="s">
        <v>46</v>
      </c>
      <c r="N1574" t="s">
        <v>9386</v>
      </c>
      <c r="O1574">
        <v>9.35</v>
      </c>
      <c r="P1574">
        <v>8.91</v>
      </c>
      <c r="Q1574">
        <v>8.92</v>
      </c>
      <c r="R1574">
        <v>8.94</v>
      </c>
      <c r="S1574">
        <v>4.92</v>
      </c>
      <c r="T1574">
        <v>2.09</v>
      </c>
      <c r="U1574">
        <v>-35.27</v>
      </c>
      <c r="V1574">
        <v>-2032</v>
      </c>
      <c r="W1574">
        <v>9.22</v>
      </c>
      <c r="X1574" t="s">
        <v>4517</v>
      </c>
      <c r="Y1574" t="s">
        <v>6271</v>
      </c>
      <c r="Z1574">
        <v>0.8</v>
      </c>
      <c r="AA1574">
        <v>35</v>
      </c>
      <c r="AB1574">
        <v>756</v>
      </c>
      <c r="AC1574">
        <v>3.3</v>
      </c>
      <c r="AD1574" t="s">
        <v>9472</v>
      </c>
      <c r="AE1574" t="s">
        <v>9473</v>
      </c>
      <c r="AF1574" t="s">
        <v>9474</v>
      </c>
      <c r="AG1574" t="s">
        <v>9475</v>
      </c>
      <c r="AH1574">
        <v>2.76</v>
      </c>
      <c r="AI1574">
        <v>1.75</v>
      </c>
      <c r="AJ1574">
        <v>4.65</v>
      </c>
      <c r="AK1574">
        <v>8.58</v>
      </c>
      <c r="AL1574">
        <v>1</v>
      </c>
      <c r="AM1574">
        <v>4.14</v>
      </c>
      <c r="AN1574">
        <v>26.15</v>
      </c>
      <c r="AO1574">
        <v>8.63</v>
      </c>
      <c r="AP1574">
        <v>15.37</v>
      </c>
    </row>
    <row r="1575" spans="1:42">
      <c r="A1575">
        <v>1574</v>
      </c>
      <c r="B1575" t="str">
        <f>"600715"</f>
        <v>600715</v>
      </c>
      <c r="C1575" t="s">
        <v>9476</v>
      </c>
      <c r="D1575">
        <v>2.29</v>
      </c>
      <c r="E1575">
        <v>6.51</v>
      </c>
      <c r="F1575">
        <v>0.14</v>
      </c>
      <c r="G1575" t="s">
        <v>1146</v>
      </c>
      <c r="H1575">
        <v>7861</v>
      </c>
      <c r="I1575">
        <v>2.28</v>
      </c>
      <c r="J1575">
        <v>2.29</v>
      </c>
      <c r="K1575" t="s">
        <v>9457</v>
      </c>
      <c r="L1575">
        <v>3.07</v>
      </c>
      <c r="M1575" t="s">
        <v>46</v>
      </c>
      <c r="N1575" t="s">
        <v>3183</v>
      </c>
      <c r="O1575">
        <v>2.3</v>
      </c>
      <c r="P1575">
        <v>2.14</v>
      </c>
      <c r="Q1575">
        <v>2.14</v>
      </c>
      <c r="R1575">
        <v>2.15</v>
      </c>
      <c r="S1575">
        <v>7.44</v>
      </c>
      <c r="T1575">
        <v>2.34</v>
      </c>
      <c r="U1575">
        <v>-41.22</v>
      </c>
      <c r="V1575" t="s">
        <v>9477</v>
      </c>
      <c r="W1575">
        <v>2.24</v>
      </c>
      <c r="X1575" t="s">
        <v>2778</v>
      </c>
      <c r="Y1575" t="s">
        <v>131</v>
      </c>
      <c r="Z1575">
        <v>0.41</v>
      </c>
      <c r="AA1575">
        <v>3517</v>
      </c>
      <c r="AB1575" t="s">
        <v>1083</v>
      </c>
      <c r="AC1575">
        <v>6.07</v>
      </c>
      <c r="AD1575" t="s">
        <v>9478</v>
      </c>
      <c r="AE1575" t="s">
        <v>9479</v>
      </c>
      <c r="AF1575" t="s">
        <v>9478</v>
      </c>
      <c r="AG1575" t="s">
        <v>9479</v>
      </c>
      <c r="AH1575">
        <v>5.05</v>
      </c>
      <c r="AI1575">
        <v>2.23</v>
      </c>
      <c r="AJ1575">
        <v>5.16</v>
      </c>
      <c r="AK1575">
        <v>9.63</v>
      </c>
      <c r="AL1575">
        <v>2</v>
      </c>
      <c r="AM1575">
        <v>6.51</v>
      </c>
      <c r="AN1575">
        <v>-5.37</v>
      </c>
      <c r="AO1575">
        <v>7.01</v>
      </c>
      <c r="AP1575">
        <v>3.15</v>
      </c>
    </row>
    <row r="1576" spans="1:42">
      <c r="A1576">
        <v>1575</v>
      </c>
      <c r="B1576" t="str">
        <f>"002670"</f>
        <v>002670</v>
      </c>
      <c r="C1576" t="s">
        <v>9480</v>
      </c>
      <c r="D1576">
        <v>9.42</v>
      </c>
      <c r="E1576">
        <v>0.75</v>
      </c>
      <c r="F1576">
        <v>0.07</v>
      </c>
      <c r="G1576" t="s">
        <v>4247</v>
      </c>
      <c r="H1576">
        <v>2966</v>
      </c>
      <c r="I1576">
        <v>9.42</v>
      </c>
      <c r="J1576">
        <v>9.43</v>
      </c>
      <c r="K1576" t="s">
        <v>9457</v>
      </c>
      <c r="L1576">
        <v>0.83</v>
      </c>
      <c r="M1576" t="s">
        <v>46</v>
      </c>
      <c r="N1576" t="s">
        <v>3001</v>
      </c>
      <c r="O1576">
        <v>9.44</v>
      </c>
      <c r="P1576">
        <v>9.32</v>
      </c>
      <c r="Q1576">
        <v>9.34</v>
      </c>
      <c r="R1576">
        <v>9.35</v>
      </c>
      <c r="S1576">
        <v>1.28</v>
      </c>
      <c r="T1576">
        <v>0.83</v>
      </c>
      <c r="U1576">
        <v>-24.9</v>
      </c>
      <c r="V1576">
        <v>-2947</v>
      </c>
      <c r="W1576">
        <v>9.39</v>
      </c>
      <c r="X1576" t="s">
        <v>4968</v>
      </c>
      <c r="Y1576" t="s">
        <v>4765</v>
      </c>
      <c r="Z1576">
        <v>0.69</v>
      </c>
      <c r="AA1576">
        <v>240</v>
      </c>
      <c r="AB1576">
        <v>2383</v>
      </c>
      <c r="AC1576">
        <v>1.66</v>
      </c>
      <c r="AD1576" t="s">
        <v>9481</v>
      </c>
      <c r="AE1576" t="s">
        <v>6055</v>
      </c>
      <c r="AF1576" t="s">
        <v>1396</v>
      </c>
      <c r="AG1576" t="s">
        <v>8265</v>
      </c>
      <c r="AH1576">
        <v>-0.21</v>
      </c>
      <c r="AI1576">
        <v>-2.99</v>
      </c>
      <c r="AJ1576">
        <v>2.75</v>
      </c>
      <c r="AK1576">
        <v>5.87</v>
      </c>
      <c r="AL1576">
        <v>1</v>
      </c>
      <c r="AM1576">
        <v>0.75</v>
      </c>
      <c r="AN1576">
        <v>27.13</v>
      </c>
      <c r="AO1576">
        <v>-3.58</v>
      </c>
      <c r="AP1576">
        <v>17.46</v>
      </c>
    </row>
    <row r="1577" spans="1:42">
      <c r="A1577">
        <v>1576</v>
      </c>
      <c r="B1577" t="str">
        <f>"300292"</f>
        <v>300292</v>
      </c>
      <c r="C1577" t="s">
        <v>9482</v>
      </c>
      <c r="D1577">
        <v>4.07</v>
      </c>
      <c r="E1577">
        <v>3.3</v>
      </c>
      <c r="F1577">
        <v>0.13</v>
      </c>
      <c r="G1577" t="s">
        <v>554</v>
      </c>
      <c r="H1577">
        <v>4588</v>
      </c>
      <c r="I1577">
        <v>4.06</v>
      </c>
      <c r="J1577">
        <v>4.07</v>
      </c>
      <c r="K1577" t="s">
        <v>9457</v>
      </c>
      <c r="L1577">
        <v>2.83</v>
      </c>
      <c r="M1577" t="s">
        <v>46</v>
      </c>
      <c r="N1577" t="s">
        <v>6922</v>
      </c>
      <c r="O1577">
        <v>4.08</v>
      </c>
      <c r="P1577">
        <v>3.92</v>
      </c>
      <c r="Q1577">
        <v>3.94</v>
      </c>
      <c r="R1577">
        <v>3.94</v>
      </c>
      <c r="S1577">
        <v>4.06</v>
      </c>
      <c r="T1577">
        <v>1.18</v>
      </c>
      <c r="U1577">
        <v>-45.15</v>
      </c>
      <c r="V1577" t="s">
        <v>9483</v>
      </c>
      <c r="W1577">
        <v>4.02</v>
      </c>
      <c r="X1577" t="s">
        <v>4369</v>
      </c>
      <c r="Y1577" t="s">
        <v>486</v>
      </c>
      <c r="Z1577">
        <v>0.57</v>
      </c>
      <c r="AA1577">
        <v>4270</v>
      </c>
      <c r="AB1577">
        <v>6518</v>
      </c>
      <c r="AC1577">
        <v>4.14</v>
      </c>
      <c r="AD1577" t="s">
        <v>8064</v>
      </c>
      <c r="AE1577" t="s">
        <v>6366</v>
      </c>
      <c r="AF1577" t="s">
        <v>5555</v>
      </c>
      <c r="AG1577" t="s">
        <v>9484</v>
      </c>
      <c r="AH1577">
        <v>1.75</v>
      </c>
      <c r="AI1577">
        <v>-0.73</v>
      </c>
      <c r="AJ1577">
        <v>6.72</v>
      </c>
      <c r="AK1577">
        <v>14.81</v>
      </c>
      <c r="AL1577">
        <v>1</v>
      </c>
      <c r="AM1577">
        <v>3.3</v>
      </c>
      <c r="AN1577">
        <v>38.91</v>
      </c>
      <c r="AO1577">
        <v>3.04</v>
      </c>
      <c r="AP1577">
        <v>24.85</v>
      </c>
    </row>
    <row r="1578" spans="1:42">
      <c r="A1578">
        <v>1577</v>
      </c>
      <c r="B1578" t="str">
        <f>"301363"</f>
        <v>301363</v>
      </c>
      <c r="C1578" t="s">
        <v>9485</v>
      </c>
      <c r="D1578">
        <v>36.98</v>
      </c>
      <c r="E1578">
        <v>-1.94</v>
      </c>
      <c r="F1578">
        <v>-0.73</v>
      </c>
      <c r="G1578" t="s">
        <v>1806</v>
      </c>
      <c r="H1578">
        <v>520</v>
      </c>
      <c r="I1578">
        <v>36.96</v>
      </c>
      <c r="J1578">
        <v>36.98</v>
      </c>
      <c r="K1578" t="s">
        <v>9457</v>
      </c>
      <c r="L1578">
        <v>3.06</v>
      </c>
      <c r="M1578" t="s">
        <v>46</v>
      </c>
      <c r="N1578" t="s">
        <v>1419</v>
      </c>
      <c r="O1578">
        <v>37.95</v>
      </c>
      <c r="P1578">
        <v>36.57</v>
      </c>
      <c r="Q1578">
        <v>37.71</v>
      </c>
      <c r="R1578">
        <v>37.71</v>
      </c>
      <c r="S1578">
        <v>3.66</v>
      </c>
      <c r="T1578">
        <v>0.85</v>
      </c>
      <c r="U1578">
        <v>-52.82</v>
      </c>
      <c r="V1578">
        <v>-103</v>
      </c>
      <c r="W1578">
        <v>36.98</v>
      </c>
      <c r="X1578" t="s">
        <v>1525</v>
      </c>
      <c r="Y1578" t="s">
        <v>7178</v>
      </c>
      <c r="Z1578">
        <v>1.23</v>
      </c>
      <c r="AA1578">
        <v>3</v>
      </c>
      <c r="AB1578">
        <v>8</v>
      </c>
      <c r="AC1578">
        <v>4.75</v>
      </c>
      <c r="AD1578" t="s">
        <v>9486</v>
      </c>
      <c r="AE1578" t="s">
        <v>9487</v>
      </c>
      <c r="AF1578" t="s">
        <v>9488</v>
      </c>
      <c r="AG1578" t="s">
        <v>9489</v>
      </c>
      <c r="AH1578">
        <v>4.26</v>
      </c>
      <c r="AI1578">
        <v>5.06</v>
      </c>
      <c r="AJ1578">
        <v>14.43</v>
      </c>
      <c r="AK1578">
        <v>21.14</v>
      </c>
      <c r="AL1578">
        <v>-2</v>
      </c>
      <c r="AM1578">
        <v>-1.94</v>
      </c>
      <c r="AN1578">
        <v>-11.02</v>
      </c>
      <c r="AO1578">
        <v>6.11</v>
      </c>
      <c r="AP1578">
        <v>-7.8</v>
      </c>
    </row>
    <row r="1579" spans="1:42">
      <c r="A1579">
        <v>1578</v>
      </c>
      <c r="B1579" t="str">
        <f>"688005"</f>
        <v>688005</v>
      </c>
      <c r="C1579" t="s">
        <v>9490</v>
      </c>
      <c r="D1579">
        <v>38.43</v>
      </c>
      <c r="E1579">
        <v>-1.51</v>
      </c>
      <c r="F1579">
        <v>-0.59</v>
      </c>
      <c r="G1579" t="s">
        <v>1704</v>
      </c>
      <c r="H1579">
        <v>556</v>
      </c>
      <c r="I1579">
        <v>38.41</v>
      </c>
      <c r="J1579">
        <v>38.43</v>
      </c>
      <c r="K1579" t="s">
        <v>9457</v>
      </c>
      <c r="L1579">
        <v>1.16</v>
      </c>
      <c r="M1579" t="s">
        <v>46</v>
      </c>
      <c r="N1579" t="s">
        <v>3317</v>
      </c>
      <c r="O1579">
        <v>38.85</v>
      </c>
      <c r="P1579">
        <v>38.16</v>
      </c>
      <c r="Q1579">
        <v>38.83</v>
      </c>
      <c r="R1579">
        <v>39.02</v>
      </c>
      <c r="S1579">
        <v>1.77</v>
      </c>
      <c r="T1579">
        <v>0.92</v>
      </c>
      <c r="U1579">
        <v>-11.66</v>
      </c>
      <c r="V1579">
        <v>-63</v>
      </c>
      <c r="W1579">
        <v>38.38</v>
      </c>
      <c r="X1579" t="s">
        <v>6012</v>
      </c>
      <c r="Y1579" t="s">
        <v>7836</v>
      </c>
      <c r="Z1579">
        <v>1.25</v>
      </c>
      <c r="AA1579">
        <v>44</v>
      </c>
      <c r="AB1579">
        <v>151</v>
      </c>
      <c r="AC1579">
        <v>2.1</v>
      </c>
      <c r="AD1579" t="s">
        <v>9491</v>
      </c>
      <c r="AE1579" t="s">
        <v>9492</v>
      </c>
      <c r="AF1579" t="s">
        <v>9493</v>
      </c>
      <c r="AG1579" t="s">
        <v>9494</v>
      </c>
      <c r="AH1579">
        <v>-2.95</v>
      </c>
      <c r="AI1579">
        <v>-6.97</v>
      </c>
      <c r="AJ1579">
        <v>3.89</v>
      </c>
      <c r="AK1579">
        <v>7.52</v>
      </c>
      <c r="AL1579">
        <v>-1</v>
      </c>
      <c r="AM1579">
        <v>-1.51</v>
      </c>
      <c r="AN1579">
        <v>-43.86</v>
      </c>
      <c r="AO1579">
        <v>-10.98</v>
      </c>
      <c r="AP1579">
        <v>-49.43</v>
      </c>
    </row>
    <row r="1580" spans="1:42">
      <c r="A1580">
        <v>1579</v>
      </c>
      <c r="B1580" t="str">
        <f>"603197"</f>
        <v>603197</v>
      </c>
      <c r="C1580" t="s">
        <v>9495</v>
      </c>
      <c r="D1580">
        <v>58.35</v>
      </c>
      <c r="E1580">
        <v>-1.39</v>
      </c>
      <c r="F1580">
        <v>-0.82</v>
      </c>
      <c r="G1580" t="s">
        <v>1520</v>
      </c>
      <c r="H1580">
        <v>90</v>
      </c>
      <c r="I1580">
        <v>58.31</v>
      </c>
      <c r="J1580">
        <v>58.35</v>
      </c>
      <c r="K1580" t="s">
        <v>9496</v>
      </c>
      <c r="L1580">
        <v>1.03</v>
      </c>
      <c r="M1580" t="s">
        <v>46</v>
      </c>
      <c r="N1580" t="s">
        <v>3089</v>
      </c>
      <c r="O1580">
        <v>59.46</v>
      </c>
      <c r="P1580">
        <v>58.01</v>
      </c>
      <c r="Q1580">
        <v>59.12</v>
      </c>
      <c r="R1580">
        <v>59.17</v>
      </c>
      <c r="S1580">
        <v>2.45</v>
      </c>
      <c r="T1580">
        <v>1.19</v>
      </c>
      <c r="U1580">
        <v>-68.52</v>
      </c>
      <c r="V1580">
        <v>-74</v>
      </c>
      <c r="W1580">
        <v>58.45</v>
      </c>
      <c r="X1580" t="s">
        <v>2547</v>
      </c>
      <c r="Y1580">
        <v>9150</v>
      </c>
      <c r="Z1580">
        <v>1.36</v>
      </c>
      <c r="AA1580">
        <v>5</v>
      </c>
      <c r="AB1580">
        <v>8</v>
      </c>
      <c r="AC1580">
        <v>4.23</v>
      </c>
      <c r="AD1580" t="s">
        <v>9497</v>
      </c>
      <c r="AE1580" t="s">
        <v>9498</v>
      </c>
      <c r="AF1580" t="s">
        <v>9499</v>
      </c>
      <c r="AG1580" t="s">
        <v>2917</v>
      </c>
      <c r="AH1580">
        <v>-4.49</v>
      </c>
      <c r="AI1580">
        <v>-5.25</v>
      </c>
      <c r="AJ1580">
        <v>2.7</v>
      </c>
      <c r="AK1580">
        <v>5.34</v>
      </c>
      <c r="AL1580">
        <v>-4</v>
      </c>
      <c r="AM1580">
        <v>-1.39</v>
      </c>
      <c r="AN1580">
        <v>24.18</v>
      </c>
      <c r="AO1580">
        <v>-8.97</v>
      </c>
      <c r="AP1580">
        <v>32.64</v>
      </c>
    </row>
    <row r="1581" spans="1:42">
      <c r="A1581">
        <v>1580</v>
      </c>
      <c r="B1581" t="str">
        <f>"301313"</f>
        <v>301313</v>
      </c>
      <c r="C1581" t="s">
        <v>9500</v>
      </c>
      <c r="D1581">
        <v>30.57</v>
      </c>
      <c r="E1581">
        <v>5.45</v>
      </c>
      <c r="F1581">
        <v>1.58</v>
      </c>
      <c r="G1581" t="s">
        <v>5877</v>
      </c>
      <c r="H1581">
        <v>974</v>
      </c>
      <c r="I1581">
        <v>30.56</v>
      </c>
      <c r="J1581">
        <v>30.57</v>
      </c>
      <c r="K1581" t="s">
        <v>9496</v>
      </c>
      <c r="L1581">
        <v>6.49</v>
      </c>
      <c r="M1581" t="s">
        <v>46</v>
      </c>
      <c r="N1581" t="s">
        <v>4563</v>
      </c>
      <c r="O1581">
        <v>30.75</v>
      </c>
      <c r="P1581">
        <v>28.98</v>
      </c>
      <c r="Q1581">
        <v>29.2</v>
      </c>
      <c r="R1581">
        <v>28.99</v>
      </c>
      <c r="S1581">
        <v>6.11</v>
      </c>
      <c r="T1581">
        <v>1.96</v>
      </c>
      <c r="U1581">
        <v>-9.7</v>
      </c>
      <c r="V1581">
        <v>-23</v>
      </c>
      <c r="W1581">
        <v>30.04</v>
      </c>
      <c r="X1581" t="s">
        <v>1456</v>
      </c>
      <c r="Y1581" t="s">
        <v>48</v>
      </c>
      <c r="Z1581">
        <v>0.69</v>
      </c>
      <c r="AA1581">
        <v>24</v>
      </c>
      <c r="AB1581">
        <v>15</v>
      </c>
      <c r="AC1581">
        <v>3.1</v>
      </c>
      <c r="AD1581" t="s">
        <v>7454</v>
      </c>
      <c r="AE1581" t="s">
        <v>9501</v>
      </c>
      <c r="AF1581" t="s">
        <v>9502</v>
      </c>
      <c r="AG1581" t="s">
        <v>9503</v>
      </c>
      <c r="AH1581">
        <v>3</v>
      </c>
      <c r="AI1581">
        <v>0.79</v>
      </c>
      <c r="AJ1581">
        <v>12.17</v>
      </c>
      <c r="AK1581">
        <v>23.05</v>
      </c>
      <c r="AL1581">
        <v>1</v>
      </c>
      <c r="AM1581">
        <v>5.45</v>
      </c>
      <c r="AN1581">
        <v>-6</v>
      </c>
      <c r="AO1581">
        <v>5.34</v>
      </c>
      <c r="AP1581">
        <v>12.35</v>
      </c>
    </row>
    <row r="1582" spans="1:42">
      <c r="A1582">
        <v>1581</v>
      </c>
      <c r="B1582" t="str">
        <f>"001260"</f>
        <v>001260</v>
      </c>
      <c r="C1582" t="s">
        <v>9504</v>
      </c>
      <c r="D1582">
        <v>23.85</v>
      </c>
      <c r="E1582">
        <v>0.72</v>
      </c>
      <c r="F1582">
        <v>0.17</v>
      </c>
      <c r="G1582" t="s">
        <v>372</v>
      </c>
      <c r="H1582">
        <v>1003</v>
      </c>
      <c r="I1582">
        <v>23.84</v>
      </c>
      <c r="J1582">
        <v>23.85</v>
      </c>
      <c r="K1582" t="s">
        <v>9496</v>
      </c>
      <c r="L1582">
        <v>18.54</v>
      </c>
      <c r="M1582" t="s">
        <v>46</v>
      </c>
      <c r="N1582" t="s">
        <v>4234</v>
      </c>
      <c r="O1582">
        <v>24.17</v>
      </c>
      <c r="P1582">
        <v>22.91</v>
      </c>
      <c r="Q1582">
        <v>23.69</v>
      </c>
      <c r="R1582">
        <v>23.68</v>
      </c>
      <c r="S1582">
        <v>5.32</v>
      </c>
      <c r="T1582">
        <v>0.7</v>
      </c>
      <c r="U1582">
        <v>-56.2</v>
      </c>
      <c r="V1582">
        <v>-426</v>
      </c>
      <c r="W1582">
        <v>23.7</v>
      </c>
      <c r="X1582" t="s">
        <v>7028</v>
      </c>
      <c r="Y1582" t="s">
        <v>9251</v>
      </c>
      <c r="Z1582">
        <v>1.11</v>
      </c>
      <c r="AA1582">
        <v>30</v>
      </c>
      <c r="AB1582">
        <v>226</v>
      </c>
      <c r="AC1582">
        <v>3.61</v>
      </c>
      <c r="AD1582" t="s">
        <v>9505</v>
      </c>
      <c r="AE1582" t="s">
        <v>9506</v>
      </c>
      <c r="AF1582" t="s">
        <v>9507</v>
      </c>
      <c r="AG1582" t="s">
        <v>9508</v>
      </c>
      <c r="AH1582">
        <v>0.04</v>
      </c>
      <c r="AI1582">
        <v>-4.22</v>
      </c>
      <c r="AJ1582">
        <v>59.73</v>
      </c>
      <c r="AK1582">
        <v>150.21</v>
      </c>
      <c r="AL1582">
        <v>1</v>
      </c>
      <c r="AM1582">
        <v>0.72</v>
      </c>
      <c r="AN1582">
        <v>73.45</v>
      </c>
      <c r="AO1582">
        <v>12.98</v>
      </c>
      <c r="AP1582">
        <v>73.45</v>
      </c>
    </row>
    <row r="1583" spans="1:42">
      <c r="A1583">
        <v>1582</v>
      </c>
      <c r="B1583" t="str">
        <f>"002439"</f>
        <v>002439</v>
      </c>
      <c r="C1583" t="s">
        <v>9509</v>
      </c>
      <c r="D1583">
        <v>26.13</v>
      </c>
      <c r="E1583">
        <v>1.99</v>
      </c>
      <c r="F1583">
        <v>0.51</v>
      </c>
      <c r="G1583" t="s">
        <v>2560</v>
      </c>
      <c r="H1583">
        <v>388</v>
      </c>
      <c r="I1583">
        <v>26.13</v>
      </c>
      <c r="J1583">
        <v>26.15</v>
      </c>
      <c r="K1583" t="s">
        <v>9496</v>
      </c>
      <c r="L1583">
        <v>0.67</v>
      </c>
      <c r="M1583" t="s">
        <v>46</v>
      </c>
      <c r="N1583" t="s">
        <v>9299</v>
      </c>
      <c r="O1583">
        <v>26.21</v>
      </c>
      <c r="P1583">
        <v>25.47</v>
      </c>
      <c r="Q1583">
        <v>25.62</v>
      </c>
      <c r="R1583">
        <v>25.62</v>
      </c>
      <c r="S1583">
        <v>2.89</v>
      </c>
      <c r="T1583">
        <v>1.41</v>
      </c>
      <c r="U1583">
        <v>-83.84</v>
      </c>
      <c r="V1583">
        <v>-1587</v>
      </c>
      <c r="W1583">
        <v>25.91</v>
      </c>
      <c r="X1583" t="s">
        <v>2877</v>
      </c>
      <c r="Y1583" t="s">
        <v>6097</v>
      </c>
      <c r="Z1583">
        <v>0.68</v>
      </c>
      <c r="AA1583">
        <v>7</v>
      </c>
      <c r="AB1583">
        <v>304</v>
      </c>
      <c r="AC1583">
        <v>3.29</v>
      </c>
      <c r="AD1583" t="s">
        <v>9510</v>
      </c>
      <c r="AE1583" t="s">
        <v>9511</v>
      </c>
      <c r="AF1583" t="s">
        <v>9512</v>
      </c>
      <c r="AG1583" t="s">
        <v>4170</v>
      </c>
      <c r="AH1583">
        <v>1.01</v>
      </c>
      <c r="AI1583">
        <v>-0.99</v>
      </c>
      <c r="AJ1583">
        <v>1.42</v>
      </c>
      <c r="AK1583">
        <v>3.06</v>
      </c>
      <c r="AL1583">
        <v>1</v>
      </c>
      <c r="AM1583">
        <v>1.99</v>
      </c>
      <c r="AN1583">
        <v>0.97</v>
      </c>
      <c r="AO1583">
        <v>2.67</v>
      </c>
      <c r="AP1583">
        <v>-2.61</v>
      </c>
    </row>
    <row r="1584" spans="1:42">
      <c r="A1584">
        <v>1583</v>
      </c>
      <c r="B1584" t="str">
        <f>"002916"</f>
        <v>002916</v>
      </c>
      <c r="C1584" t="s">
        <v>9513</v>
      </c>
      <c r="D1584">
        <v>72.73</v>
      </c>
      <c r="E1584">
        <v>-0.49</v>
      </c>
      <c r="F1584">
        <v>-0.36</v>
      </c>
      <c r="G1584" t="s">
        <v>876</v>
      </c>
      <c r="H1584">
        <v>101</v>
      </c>
      <c r="I1584">
        <v>72.72</v>
      </c>
      <c r="J1584">
        <v>72.73</v>
      </c>
      <c r="K1584" t="s">
        <v>9496</v>
      </c>
      <c r="L1584">
        <v>0.34</v>
      </c>
      <c r="M1584" t="s">
        <v>46</v>
      </c>
      <c r="N1584" t="s">
        <v>9514</v>
      </c>
      <c r="O1584">
        <v>73.15</v>
      </c>
      <c r="P1584">
        <v>71.99</v>
      </c>
      <c r="Q1584">
        <v>73.09</v>
      </c>
      <c r="R1584">
        <v>73.09</v>
      </c>
      <c r="S1584">
        <v>1.59</v>
      </c>
      <c r="T1584">
        <v>1.08</v>
      </c>
      <c r="U1584">
        <v>-16.48</v>
      </c>
      <c r="V1584">
        <v>-27</v>
      </c>
      <c r="W1584">
        <v>72.41</v>
      </c>
      <c r="X1584">
        <v>7921</v>
      </c>
      <c r="Y1584">
        <v>9513</v>
      </c>
      <c r="Z1584">
        <v>0.83</v>
      </c>
      <c r="AA1584">
        <v>17</v>
      </c>
      <c r="AB1584">
        <v>61</v>
      </c>
      <c r="AC1584">
        <v>2.94</v>
      </c>
      <c r="AD1584" t="s">
        <v>9515</v>
      </c>
      <c r="AE1584" t="s">
        <v>9516</v>
      </c>
      <c r="AF1584" t="s">
        <v>9517</v>
      </c>
      <c r="AG1584" t="s">
        <v>2617</v>
      </c>
      <c r="AH1584">
        <v>-1.49</v>
      </c>
      <c r="AI1584">
        <v>-1.82</v>
      </c>
      <c r="AJ1584">
        <v>0.86</v>
      </c>
      <c r="AK1584">
        <v>1.92</v>
      </c>
      <c r="AL1584">
        <v>-3</v>
      </c>
      <c r="AM1584">
        <v>-0.49</v>
      </c>
      <c r="AN1584">
        <v>2.22</v>
      </c>
      <c r="AO1584">
        <v>2.93</v>
      </c>
      <c r="AP1584">
        <v>-5.77</v>
      </c>
    </row>
    <row r="1585" spans="1:42">
      <c r="A1585">
        <v>1584</v>
      </c>
      <c r="B1585" t="str">
        <f>"605058"</f>
        <v>605058</v>
      </c>
      <c r="C1585" t="s">
        <v>9518</v>
      </c>
      <c r="D1585">
        <v>23.22</v>
      </c>
      <c r="E1585">
        <v>-1.53</v>
      </c>
      <c r="F1585">
        <v>-0.36</v>
      </c>
      <c r="G1585" t="s">
        <v>9519</v>
      </c>
      <c r="H1585">
        <v>772</v>
      </c>
      <c r="I1585">
        <v>23.2</v>
      </c>
      <c r="J1585">
        <v>23.22</v>
      </c>
      <c r="K1585" t="s">
        <v>9496</v>
      </c>
      <c r="L1585">
        <v>3.85</v>
      </c>
      <c r="M1585" t="s">
        <v>46</v>
      </c>
      <c r="N1585" t="s">
        <v>9520</v>
      </c>
      <c r="O1585">
        <v>23.3</v>
      </c>
      <c r="P1585">
        <v>22.32</v>
      </c>
      <c r="Q1585">
        <v>22.98</v>
      </c>
      <c r="R1585">
        <v>23.58</v>
      </c>
      <c r="S1585">
        <v>4.16</v>
      </c>
      <c r="T1585">
        <v>3.04</v>
      </c>
      <c r="U1585">
        <v>-74.65</v>
      </c>
      <c r="V1585">
        <v>-188</v>
      </c>
      <c r="W1585">
        <v>22.93</v>
      </c>
      <c r="X1585" t="s">
        <v>8966</v>
      </c>
      <c r="Y1585" t="s">
        <v>7472</v>
      </c>
      <c r="Z1585">
        <v>1.06</v>
      </c>
      <c r="AA1585">
        <v>1</v>
      </c>
      <c r="AB1585">
        <v>117</v>
      </c>
      <c r="AC1585">
        <v>2.08</v>
      </c>
      <c r="AD1585" t="s">
        <v>9521</v>
      </c>
      <c r="AE1585" t="s">
        <v>9522</v>
      </c>
      <c r="AF1585" t="s">
        <v>9521</v>
      </c>
      <c r="AG1585" t="s">
        <v>9522</v>
      </c>
      <c r="AH1585">
        <v>0.13</v>
      </c>
      <c r="AI1585">
        <v>1.18</v>
      </c>
      <c r="AJ1585">
        <v>8.09</v>
      </c>
      <c r="AK1585">
        <v>10.18</v>
      </c>
      <c r="AL1585">
        <v>-1</v>
      </c>
      <c r="AM1585">
        <v>-1.53</v>
      </c>
      <c r="AN1585">
        <v>26.54</v>
      </c>
      <c r="AO1585">
        <v>4.83</v>
      </c>
      <c r="AP1585">
        <v>14.16</v>
      </c>
    </row>
    <row r="1586" spans="1:42">
      <c r="A1586">
        <v>1585</v>
      </c>
      <c r="B1586" t="str">
        <f>"688235"</f>
        <v>688235</v>
      </c>
      <c r="C1586" t="s">
        <v>9523</v>
      </c>
      <c r="D1586">
        <v>154.04</v>
      </c>
      <c r="E1586">
        <v>0.99</v>
      </c>
      <c r="F1586">
        <v>1.51</v>
      </c>
      <c r="G1586">
        <v>8232</v>
      </c>
      <c r="H1586">
        <v>86</v>
      </c>
      <c r="I1586">
        <v>154.04</v>
      </c>
      <c r="J1586">
        <v>154.07</v>
      </c>
      <c r="K1586" t="s">
        <v>9496</v>
      </c>
      <c r="L1586">
        <v>0.75</v>
      </c>
      <c r="M1586" t="s">
        <v>46</v>
      </c>
      <c r="N1586" t="s">
        <v>7723</v>
      </c>
      <c r="O1586">
        <v>154.29</v>
      </c>
      <c r="P1586">
        <v>151.26</v>
      </c>
      <c r="Q1586">
        <v>152.8</v>
      </c>
      <c r="R1586">
        <v>152.53</v>
      </c>
      <c r="S1586">
        <v>1.99</v>
      </c>
      <c r="T1586">
        <v>0.74</v>
      </c>
      <c r="U1586">
        <v>72.23</v>
      </c>
      <c r="V1586">
        <v>188</v>
      </c>
      <c r="W1586">
        <v>153.05</v>
      </c>
      <c r="X1586">
        <v>3498</v>
      </c>
      <c r="Y1586">
        <v>4734</v>
      </c>
      <c r="Z1586">
        <v>0.74</v>
      </c>
      <c r="AA1586">
        <v>2</v>
      </c>
      <c r="AB1586">
        <v>2</v>
      </c>
      <c r="AC1586">
        <v>7.64</v>
      </c>
      <c r="AD1586" t="s">
        <v>9524</v>
      </c>
      <c r="AE1586" t="s">
        <v>9525</v>
      </c>
      <c r="AF1586" t="s">
        <v>9526</v>
      </c>
      <c r="AG1586" t="s">
        <v>5523</v>
      </c>
      <c r="AH1586">
        <v>1.04</v>
      </c>
      <c r="AI1586">
        <v>4.7</v>
      </c>
      <c r="AJ1586">
        <v>2.55</v>
      </c>
      <c r="AK1586">
        <v>5.78</v>
      </c>
      <c r="AL1586">
        <v>2</v>
      </c>
      <c r="AM1586">
        <v>0.99</v>
      </c>
      <c r="AN1586">
        <v>16.3</v>
      </c>
      <c r="AO1586">
        <v>2.97</v>
      </c>
      <c r="AP1586">
        <v>28.15</v>
      </c>
    </row>
    <row r="1587" spans="1:42">
      <c r="A1587">
        <v>1586</v>
      </c>
      <c r="B1587" t="str">
        <f>"603300"</f>
        <v>603300</v>
      </c>
      <c r="C1587" t="s">
        <v>9527</v>
      </c>
      <c r="D1587">
        <v>6.72</v>
      </c>
      <c r="E1587">
        <v>-0.3</v>
      </c>
      <c r="F1587">
        <v>-0.02</v>
      </c>
      <c r="G1587" t="s">
        <v>3785</v>
      </c>
      <c r="H1587">
        <v>1332</v>
      </c>
      <c r="I1587">
        <v>6.71</v>
      </c>
      <c r="J1587">
        <v>6.72</v>
      </c>
      <c r="K1587" t="s">
        <v>9496</v>
      </c>
      <c r="L1587">
        <v>1.06</v>
      </c>
      <c r="M1587" t="s">
        <v>46</v>
      </c>
      <c r="N1587" t="s">
        <v>9528</v>
      </c>
      <c r="O1587">
        <v>6.78</v>
      </c>
      <c r="P1587">
        <v>6.64</v>
      </c>
      <c r="Q1587">
        <v>6.77</v>
      </c>
      <c r="R1587">
        <v>6.74</v>
      </c>
      <c r="S1587">
        <v>2.08</v>
      </c>
      <c r="T1587">
        <v>0.52</v>
      </c>
      <c r="U1587">
        <v>-19.81</v>
      </c>
      <c r="V1587">
        <v>-1376</v>
      </c>
      <c r="W1587">
        <v>6.7</v>
      </c>
      <c r="X1587" t="s">
        <v>1499</v>
      </c>
      <c r="Y1587" t="s">
        <v>9529</v>
      </c>
      <c r="Z1587">
        <v>1.19</v>
      </c>
      <c r="AA1587">
        <v>157</v>
      </c>
      <c r="AB1587">
        <v>1060</v>
      </c>
      <c r="AC1587">
        <v>2.5</v>
      </c>
      <c r="AD1587" t="s">
        <v>9530</v>
      </c>
      <c r="AE1587" t="s">
        <v>5333</v>
      </c>
      <c r="AF1587" t="s">
        <v>9531</v>
      </c>
      <c r="AG1587" t="s">
        <v>7737</v>
      </c>
      <c r="AH1587">
        <v>-2.47</v>
      </c>
      <c r="AI1587">
        <v>2.6</v>
      </c>
      <c r="AJ1587">
        <v>4.26</v>
      </c>
      <c r="AK1587">
        <v>11.27</v>
      </c>
      <c r="AL1587">
        <v>-3</v>
      </c>
      <c r="AM1587">
        <v>-0.3</v>
      </c>
      <c r="AN1587">
        <v>48.34</v>
      </c>
      <c r="AO1587">
        <v>15.27</v>
      </c>
      <c r="AP1587">
        <v>39.71</v>
      </c>
    </row>
    <row r="1588" spans="1:42">
      <c r="A1588">
        <v>1587</v>
      </c>
      <c r="B1588" t="str">
        <f>"600615"</f>
        <v>600615</v>
      </c>
      <c r="C1588" t="s">
        <v>9532</v>
      </c>
      <c r="D1588">
        <v>11.11</v>
      </c>
      <c r="E1588">
        <v>-3.64</v>
      </c>
      <c r="F1588">
        <v>-0.42</v>
      </c>
      <c r="G1588" t="s">
        <v>4369</v>
      </c>
      <c r="H1588">
        <v>1006</v>
      </c>
      <c r="I1588">
        <v>11.1</v>
      </c>
      <c r="J1588">
        <v>11.11</v>
      </c>
      <c r="K1588" t="s">
        <v>9496</v>
      </c>
      <c r="L1588">
        <v>6.05</v>
      </c>
      <c r="M1588" t="s">
        <v>46</v>
      </c>
      <c r="N1588" t="s">
        <v>9533</v>
      </c>
      <c r="O1588">
        <v>11.55</v>
      </c>
      <c r="P1588">
        <v>10.89</v>
      </c>
      <c r="Q1588">
        <v>11.55</v>
      </c>
      <c r="R1588">
        <v>11.53</v>
      </c>
      <c r="S1588">
        <v>5.72</v>
      </c>
      <c r="T1588">
        <v>0.99</v>
      </c>
      <c r="U1588">
        <v>54.37</v>
      </c>
      <c r="V1588">
        <v>1268</v>
      </c>
      <c r="W1588">
        <v>11.09</v>
      </c>
      <c r="X1588" t="s">
        <v>5980</v>
      </c>
      <c r="Y1588" t="s">
        <v>3290</v>
      </c>
      <c r="Z1588">
        <v>1.55</v>
      </c>
      <c r="AA1588">
        <v>190</v>
      </c>
      <c r="AB1588">
        <v>47</v>
      </c>
      <c r="AC1588">
        <v>3.29</v>
      </c>
      <c r="AD1588" t="s">
        <v>9534</v>
      </c>
      <c r="AE1588" t="s">
        <v>9535</v>
      </c>
      <c r="AF1588" t="s">
        <v>9536</v>
      </c>
      <c r="AG1588" t="s">
        <v>5061</v>
      </c>
      <c r="AH1588">
        <v>-3.81</v>
      </c>
      <c r="AI1588">
        <v>-1.94</v>
      </c>
      <c r="AJ1588">
        <v>15.01</v>
      </c>
      <c r="AK1588">
        <v>36.49</v>
      </c>
      <c r="AL1588">
        <v>-2</v>
      </c>
      <c r="AM1588">
        <v>-3.64</v>
      </c>
      <c r="AN1588">
        <v>24.55</v>
      </c>
      <c r="AO1588">
        <v>9.89</v>
      </c>
      <c r="AP1588">
        <v>7.34</v>
      </c>
    </row>
    <row r="1589" spans="1:42">
      <c r="A1589">
        <v>1588</v>
      </c>
      <c r="B1589" t="str">
        <f>"002919"</f>
        <v>002919</v>
      </c>
      <c r="C1589" t="s">
        <v>9537</v>
      </c>
      <c r="D1589">
        <v>33.25</v>
      </c>
      <c r="E1589">
        <v>3.07</v>
      </c>
      <c r="F1589">
        <v>0.99</v>
      </c>
      <c r="G1589" t="s">
        <v>5975</v>
      </c>
      <c r="H1589">
        <v>770</v>
      </c>
      <c r="I1589">
        <v>33.25</v>
      </c>
      <c r="J1589">
        <v>33.26</v>
      </c>
      <c r="K1589" t="s">
        <v>9496</v>
      </c>
      <c r="L1589">
        <v>1.73</v>
      </c>
      <c r="M1589" t="s">
        <v>46</v>
      </c>
      <c r="N1589" t="s">
        <v>1638</v>
      </c>
      <c r="O1589">
        <v>34</v>
      </c>
      <c r="P1589">
        <v>31.99</v>
      </c>
      <c r="Q1589">
        <v>32.37</v>
      </c>
      <c r="R1589">
        <v>32.26</v>
      </c>
      <c r="S1589">
        <v>6.23</v>
      </c>
      <c r="T1589">
        <v>0.7</v>
      </c>
      <c r="U1589">
        <v>36</v>
      </c>
      <c r="V1589">
        <v>113</v>
      </c>
      <c r="W1589">
        <v>33</v>
      </c>
      <c r="X1589" t="s">
        <v>876</v>
      </c>
      <c r="Y1589" t="s">
        <v>9024</v>
      </c>
      <c r="Z1589">
        <v>0.84</v>
      </c>
      <c r="AA1589">
        <v>23</v>
      </c>
      <c r="AB1589">
        <v>12</v>
      </c>
      <c r="AC1589">
        <v>8.16</v>
      </c>
      <c r="AD1589" t="s">
        <v>9538</v>
      </c>
      <c r="AE1589" t="s">
        <v>9539</v>
      </c>
      <c r="AF1589" t="s">
        <v>9540</v>
      </c>
      <c r="AG1589" t="s">
        <v>9541</v>
      </c>
      <c r="AH1589">
        <v>-0.95</v>
      </c>
      <c r="AI1589">
        <v>7.19</v>
      </c>
      <c r="AJ1589">
        <v>4.8</v>
      </c>
      <c r="AK1589">
        <v>14.1</v>
      </c>
      <c r="AL1589">
        <v>1</v>
      </c>
      <c r="AM1589">
        <v>3.07</v>
      </c>
      <c r="AN1589">
        <v>21.22</v>
      </c>
      <c r="AO1589">
        <v>14.85</v>
      </c>
      <c r="AP1589">
        <v>32</v>
      </c>
    </row>
    <row r="1590" spans="1:42">
      <c r="A1590">
        <v>1589</v>
      </c>
      <c r="B1590" t="str">
        <f>"688767"</f>
        <v>688767</v>
      </c>
      <c r="C1590" t="s">
        <v>9542</v>
      </c>
      <c r="D1590">
        <v>35.17</v>
      </c>
      <c r="E1590">
        <v>7.32</v>
      </c>
      <c r="F1590">
        <v>2.4</v>
      </c>
      <c r="G1590" t="s">
        <v>1313</v>
      </c>
      <c r="H1590">
        <v>392</v>
      </c>
      <c r="I1590">
        <v>35.17</v>
      </c>
      <c r="J1590">
        <v>35.19</v>
      </c>
      <c r="K1590" t="s">
        <v>9496</v>
      </c>
      <c r="L1590">
        <v>9.09</v>
      </c>
      <c r="M1590" t="s">
        <v>46</v>
      </c>
      <c r="N1590" t="s">
        <v>4608</v>
      </c>
      <c r="O1590">
        <v>35.57</v>
      </c>
      <c r="P1590">
        <v>32.22</v>
      </c>
      <c r="Q1590">
        <v>32.69</v>
      </c>
      <c r="R1590">
        <v>32.77</v>
      </c>
      <c r="S1590">
        <v>10.22</v>
      </c>
      <c r="T1590">
        <v>1.36</v>
      </c>
      <c r="U1590">
        <v>10.06</v>
      </c>
      <c r="V1590">
        <v>50</v>
      </c>
      <c r="W1590">
        <v>34.38</v>
      </c>
      <c r="X1590" t="s">
        <v>919</v>
      </c>
      <c r="Y1590" t="s">
        <v>8073</v>
      </c>
      <c r="Z1590">
        <v>0.78</v>
      </c>
      <c r="AA1590">
        <v>103</v>
      </c>
      <c r="AB1590">
        <v>2</v>
      </c>
      <c r="AC1590">
        <v>1.55</v>
      </c>
      <c r="AD1590" t="s">
        <v>4856</v>
      </c>
      <c r="AE1590" t="s">
        <v>3571</v>
      </c>
      <c r="AF1590" t="s">
        <v>9543</v>
      </c>
      <c r="AG1590" t="s">
        <v>6191</v>
      </c>
      <c r="AH1590">
        <v>6.38</v>
      </c>
      <c r="AI1590">
        <v>13.09</v>
      </c>
      <c r="AJ1590">
        <v>15.52</v>
      </c>
      <c r="AK1590">
        <v>42.47</v>
      </c>
      <c r="AL1590">
        <v>2</v>
      </c>
      <c r="AM1590">
        <v>7.32</v>
      </c>
      <c r="AN1590">
        <v>-20.07</v>
      </c>
      <c r="AO1590">
        <v>20.45</v>
      </c>
      <c r="AP1590">
        <v>-31.59</v>
      </c>
    </row>
    <row r="1591" spans="1:42">
      <c r="A1591">
        <v>1590</v>
      </c>
      <c r="B1591" t="str">
        <f>"836720"</f>
        <v>836720</v>
      </c>
      <c r="C1591" t="s">
        <v>9544</v>
      </c>
      <c r="D1591">
        <v>9.3</v>
      </c>
      <c r="E1591">
        <v>-9.71</v>
      </c>
      <c r="F1591">
        <v>-1</v>
      </c>
      <c r="G1591" t="s">
        <v>1915</v>
      </c>
      <c r="H1591">
        <v>2325</v>
      </c>
      <c r="I1591">
        <v>9.3</v>
      </c>
      <c r="J1591">
        <v>9.31</v>
      </c>
      <c r="K1591" t="s">
        <v>9496</v>
      </c>
      <c r="L1591">
        <v>25.44</v>
      </c>
      <c r="M1591" t="s">
        <v>46</v>
      </c>
      <c r="N1591" t="s">
        <v>4307</v>
      </c>
      <c r="O1591">
        <v>10.63</v>
      </c>
      <c r="P1591">
        <v>9.19</v>
      </c>
      <c r="Q1591">
        <v>10.1</v>
      </c>
      <c r="R1591">
        <v>10.3</v>
      </c>
      <c r="S1591">
        <v>13.98</v>
      </c>
      <c r="T1591">
        <v>0.65</v>
      </c>
      <c r="U1591">
        <v>12.15</v>
      </c>
      <c r="V1591">
        <v>141</v>
      </c>
      <c r="W1591">
        <v>9.78</v>
      </c>
      <c r="X1591" t="s">
        <v>613</v>
      </c>
      <c r="Y1591" t="s">
        <v>9519</v>
      </c>
      <c r="Z1591">
        <v>1.34</v>
      </c>
      <c r="AA1591">
        <v>312</v>
      </c>
      <c r="AB1591">
        <v>20</v>
      </c>
      <c r="AC1591">
        <v>4.05</v>
      </c>
      <c r="AD1591" t="s">
        <v>3916</v>
      </c>
      <c r="AE1591" t="s">
        <v>9545</v>
      </c>
      <c r="AF1591" t="s">
        <v>9546</v>
      </c>
      <c r="AG1591" t="s">
        <v>9547</v>
      </c>
      <c r="AH1591">
        <v>-26.48</v>
      </c>
      <c r="AI1591">
        <v>-1.27</v>
      </c>
      <c r="AJ1591">
        <v>98.53</v>
      </c>
      <c r="AK1591">
        <v>222.18</v>
      </c>
      <c r="AL1591">
        <v>-3</v>
      </c>
      <c r="AM1591">
        <v>-9.71</v>
      </c>
      <c r="AN1591">
        <v>60.9</v>
      </c>
      <c r="AO1591">
        <v>93.75</v>
      </c>
      <c r="AP1591">
        <v>60.34</v>
      </c>
    </row>
    <row r="1592" spans="1:42">
      <c r="A1592">
        <v>1591</v>
      </c>
      <c r="B1592" t="str">
        <f>"002761"</f>
        <v>002761</v>
      </c>
      <c r="C1592" t="s">
        <v>9548</v>
      </c>
      <c r="D1592">
        <v>11.31</v>
      </c>
      <c r="E1592">
        <v>0.8</v>
      </c>
      <c r="F1592">
        <v>0.09</v>
      </c>
      <c r="G1592" t="s">
        <v>656</v>
      </c>
      <c r="H1592">
        <v>1230</v>
      </c>
      <c r="I1592">
        <v>11.31</v>
      </c>
      <c r="J1592">
        <v>11.32</v>
      </c>
      <c r="K1592" t="s">
        <v>9496</v>
      </c>
      <c r="L1592">
        <v>1.03</v>
      </c>
      <c r="M1592" t="s">
        <v>46</v>
      </c>
      <c r="N1592" t="s">
        <v>9549</v>
      </c>
      <c r="O1592">
        <v>11.36</v>
      </c>
      <c r="P1592">
        <v>11.13</v>
      </c>
      <c r="Q1592">
        <v>11.22</v>
      </c>
      <c r="R1592">
        <v>11.22</v>
      </c>
      <c r="S1592">
        <v>2.05</v>
      </c>
      <c r="T1592">
        <v>0.88</v>
      </c>
      <c r="U1592">
        <v>-2.61</v>
      </c>
      <c r="V1592">
        <v>-253</v>
      </c>
      <c r="W1592">
        <v>11.25</v>
      </c>
      <c r="X1592" t="s">
        <v>9550</v>
      </c>
      <c r="Y1592" t="s">
        <v>3040</v>
      </c>
      <c r="Z1592">
        <v>1</v>
      </c>
      <c r="AA1592">
        <v>875</v>
      </c>
      <c r="AB1592">
        <v>1485</v>
      </c>
      <c r="AC1592">
        <v>1.85</v>
      </c>
      <c r="AD1592" t="s">
        <v>9551</v>
      </c>
      <c r="AE1592" t="s">
        <v>9552</v>
      </c>
      <c r="AF1592" t="s">
        <v>9551</v>
      </c>
      <c r="AG1592" t="s">
        <v>9552</v>
      </c>
      <c r="AH1592">
        <v>-2.75</v>
      </c>
      <c r="AI1592">
        <v>-6.68</v>
      </c>
      <c r="AJ1592">
        <v>3.32</v>
      </c>
      <c r="AK1592">
        <v>6.94</v>
      </c>
      <c r="AL1592">
        <v>1</v>
      </c>
      <c r="AM1592">
        <v>0.8</v>
      </c>
      <c r="AN1592">
        <v>-45.83</v>
      </c>
      <c r="AO1592">
        <v>-5.12</v>
      </c>
      <c r="AP1592">
        <v>-51.04</v>
      </c>
    </row>
    <row r="1593" spans="1:42">
      <c r="A1593">
        <v>1592</v>
      </c>
      <c r="B1593" t="str">
        <f>"603777"</f>
        <v>603777</v>
      </c>
      <c r="C1593" t="s">
        <v>9553</v>
      </c>
      <c r="D1593">
        <v>14.1</v>
      </c>
      <c r="E1593">
        <v>2.69</v>
      </c>
      <c r="F1593">
        <v>0.37</v>
      </c>
      <c r="G1593" t="s">
        <v>5002</v>
      </c>
      <c r="H1593">
        <v>1401</v>
      </c>
      <c r="I1593">
        <v>14.1</v>
      </c>
      <c r="J1593">
        <v>14.11</v>
      </c>
      <c r="K1593" t="s">
        <v>9496</v>
      </c>
      <c r="L1593">
        <v>2.63</v>
      </c>
      <c r="M1593" t="s">
        <v>46</v>
      </c>
      <c r="N1593" t="s">
        <v>8359</v>
      </c>
      <c r="O1593">
        <v>14.4</v>
      </c>
      <c r="P1593">
        <v>13.78</v>
      </c>
      <c r="Q1593">
        <v>13.8</v>
      </c>
      <c r="R1593">
        <v>13.73</v>
      </c>
      <c r="S1593">
        <v>4.52</v>
      </c>
      <c r="T1593">
        <v>3.32</v>
      </c>
      <c r="U1593">
        <v>-32.5</v>
      </c>
      <c r="V1593">
        <v>-676</v>
      </c>
      <c r="W1593">
        <v>14.2</v>
      </c>
      <c r="X1593" t="s">
        <v>4846</v>
      </c>
      <c r="Y1593" t="s">
        <v>4035</v>
      </c>
      <c r="Z1593">
        <v>0.77</v>
      </c>
      <c r="AA1593">
        <v>150</v>
      </c>
      <c r="AB1593">
        <v>489</v>
      </c>
      <c r="AC1593">
        <v>2.63</v>
      </c>
      <c r="AD1593" t="s">
        <v>9554</v>
      </c>
      <c r="AE1593" t="s">
        <v>9555</v>
      </c>
      <c r="AF1593" t="s">
        <v>9554</v>
      </c>
      <c r="AG1593" t="s">
        <v>9555</v>
      </c>
      <c r="AH1593">
        <v>1.73</v>
      </c>
      <c r="AI1593">
        <v>1.22</v>
      </c>
      <c r="AJ1593">
        <v>3.73</v>
      </c>
      <c r="AK1593">
        <v>6.58</v>
      </c>
      <c r="AL1593">
        <v>1</v>
      </c>
      <c r="AM1593">
        <v>2.69</v>
      </c>
      <c r="AN1593">
        <v>-34.48</v>
      </c>
      <c r="AO1593">
        <v>4.91</v>
      </c>
      <c r="AP1593">
        <v>-19.15</v>
      </c>
    </row>
    <row r="1594" spans="1:42">
      <c r="A1594">
        <v>1593</v>
      </c>
      <c r="B1594" t="str">
        <f>"688270"</f>
        <v>688270</v>
      </c>
      <c r="C1594" t="s">
        <v>9556</v>
      </c>
      <c r="D1594">
        <v>66.29</v>
      </c>
      <c r="E1594">
        <v>-0.66</v>
      </c>
      <c r="F1594">
        <v>-0.44</v>
      </c>
      <c r="G1594" t="s">
        <v>1525</v>
      </c>
      <c r="H1594">
        <v>110</v>
      </c>
      <c r="I1594">
        <v>66.28</v>
      </c>
      <c r="J1594">
        <v>66.29</v>
      </c>
      <c r="K1594" t="s">
        <v>9496</v>
      </c>
      <c r="L1594">
        <v>1.83</v>
      </c>
      <c r="M1594" t="s">
        <v>46</v>
      </c>
      <c r="N1594" t="s">
        <v>7870</v>
      </c>
      <c r="O1594">
        <v>67.15</v>
      </c>
      <c r="P1594">
        <v>66</v>
      </c>
      <c r="Q1594">
        <v>66.68</v>
      </c>
      <c r="R1594">
        <v>66.73</v>
      </c>
      <c r="S1594">
        <v>1.72</v>
      </c>
      <c r="T1594">
        <v>0.48</v>
      </c>
      <c r="U1594">
        <v>-58.27</v>
      </c>
      <c r="V1594">
        <v>-117</v>
      </c>
      <c r="W1594">
        <v>66.58</v>
      </c>
      <c r="X1594">
        <v>9114</v>
      </c>
      <c r="Y1594">
        <v>9745</v>
      </c>
      <c r="Z1594">
        <v>0.94</v>
      </c>
      <c r="AA1594">
        <v>4</v>
      </c>
      <c r="AB1594">
        <v>31</v>
      </c>
      <c r="AC1594">
        <v>4.83</v>
      </c>
      <c r="AD1594" t="s">
        <v>9557</v>
      </c>
      <c r="AE1594" t="s">
        <v>9558</v>
      </c>
      <c r="AF1594" t="s">
        <v>9559</v>
      </c>
      <c r="AG1594" t="s">
        <v>9560</v>
      </c>
      <c r="AH1594">
        <v>0.29</v>
      </c>
      <c r="AI1594">
        <v>-5.77</v>
      </c>
      <c r="AJ1594">
        <v>7.81</v>
      </c>
      <c r="AK1594">
        <v>20.9</v>
      </c>
      <c r="AL1594">
        <v>-1</v>
      </c>
      <c r="AM1594">
        <v>-0.66</v>
      </c>
      <c r="AN1594">
        <v>-19.77</v>
      </c>
      <c r="AO1594">
        <v>23.61</v>
      </c>
      <c r="AP1594">
        <v>-32.99</v>
      </c>
    </row>
    <row r="1595" spans="1:42">
      <c r="A1595">
        <v>1594</v>
      </c>
      <c r="B1595" t="str">
        <f>"688561"</f>
        <v>688561</v>
      </c>
      <c r="C1595" t="s">
        <v>9561</v>
      </c>
      <c r="D1595">
        <v>44.96</v>
      </c>
      <c r="E1595">
        <v>-0.09</v>
      </c>
      <c r="F1595">
        <v>-0.04</v>
      </c>
      <c r="G1595" t="s">
        <v>7993</v>
      </c>
      <c r="H1595">
        <v>270</v>
      </c>
      <c r="I1595">
        <v>44.96</v>
      </c>
      <c r="J1595">
        <v>44.98</v>
      </c>
      <c r="K1595" t="s">
        <v>9496</v>
      </c>
      <c r="L1595">
        <v>0.61</v>
      </c>
      <c r="M1595" t="s">
        <v>46</v>
      </c>
      <c r="N1595" t="s">
        <v>9562</v>
      </c>
      <c r="O1595">
        <v>45.34</v>
      </c>
      <c r="P1595">
        <v>44.05</v>
      </c>
      <c r="Q1595">
        <v>44.38</v>
      </c>
      <c r="R1595">
        <v>45</v>
      </c>
      <c r="S1595">
        <v>2.87</v>
      </c>
      <c r="T1595">
        <v>1.39</v>
      </c>
      <c r="U1595">
        <v>-25.99</v>
      </c>
      <c r="V1595">
        <v>-31</v>
      </c>
      <c r="W1595">
        <v>44.59</v>
      </c>
      <c r="X1595" t="s">
        <v>7487</v>
      </c>
      <c r="Y1595" t="s">
        <v>1052</v>
      </c>
      <c r="Z1595">
        <v>1.33</v>
      </c>
      <c r="AA1595">
        <v>9</v>
      </c>
      <c r="AB1595">
        <v>17</v>
      </c>
      <c r="AC1595">
        <v>3.43</v>
      </c>
      <c r="AD1595" t="s">
        <v>9563</v>
      </c>
      <c r="AE1595" t="s">
        <v>9564</v>
      </c>
      <c r="AF1595" t="s">
        <v>9565</v>
      </c>
      <c r="AG1595" t="s">
        <v>5618</v>
      </c>
      <c r="AH1595">
        <v>-1.88</v>
      </c>
      <c r="AI1595">
        <v>-5.67</v>
      </c>
      <c r="AJ1595">
        <v>1.6</v>
      </c>
      <c r="AK1595">
        <v>2.79</v>
      </c>
      <c r="AL1595">
        <v>-1</v>
      </c>
      <c r="AM1595">
        <v>-0.09</v>
      </c>
      <c r="AN1595">
        <v>-31.64</v>
      </c>
      <c r="AO1595">
        <v>-3.66</v>
      </c>
      <c r="AP1595">
        <v>-32.28</v>
      </c>
    </row>
    <row r="1596" spans="1:42">
      <c r="A1596">
        <v>1595</v>
      </c>
      <c r="B1596" t="str">
        <f>"000555"</f>
        <v>000555</v>
      </c>
      <c r="C1596" t="s">
        <v>9566</v>
      </c>
      <c r="D1596">
        <v>12.28</v>
      </c>
      <c r="E1596">
        <v>2.85</v>
      </c>
      <c r="F1596">
        <v>0.34</v>
      </c>
      <c r="G1596" t="s">
        <v>3402</v>
      </c>
      <c r="H1596">
        <v>880</v>
      </c>
      <c r="I1596">
        <v>12.28</v>
      </c>
      <c r="J1596">
        <v>12.29</v>
      </c>
      <c r="K1596" t="s">
        <v>9567</v>
      </c>
      <c r="L1596">
        <v>1.05</v>
      </c>
      <c r="M1596" t="s">
        <v>46</v>
      </c>
      <c r="N1596" t="s">
        <v>9568</v>
      </c>
      <c r="O1596">
        <v>12.33</v>
      </c>
      <c r="P1596">
        <v>11.91</v>
      </c>
      <c r="Q1596">
        <v>11.91</v>
      </c>
      <c r="R1596">
        <v>11.94</v>
      </c>
      <c r="S1596">
        <v>3.52</v>
      </c>
      <c r="T1596">
        <v>1.22</v>
      </c>
      <c r="U1596">
        <v>-29.42</v>
      </c>
      <c r="V1596">
        <v>-1200</v>
      </c>
      <c r="W1596">
        <v>12.14</v>
      </c>
      <c r="X1596" t="s">
        <v>4087</v>
      </c>
      <c r="Y1596" t="s">
        <v>6801</v>
      </c>
      <c r="Z1596">
        <v>0.7</v>
      </c>
      <c r="AA1596">
        <v>125</v>
      </c>
      <c r="AB1596">
        <v>587</v>
      </c>
      <c r="AC1596">
        <v>1.96</v>
      </c>
      <c r="AD1596" t="s">
        <v>9569</v>
      </c>
      <c r="AE1596" t="s">
        <v>9570</v>
      </c>
      <c r="AF1596" t="s">
        <v>9571</v>
      </c>
      <c r="AG1596" t="s">
        <v>7826</v>
      </c>
      <c r="AH1596">
        <v>0</v>
      </c>
      <c r="AI1596">
        <v>-1.6</v>
      </c>
      <c r="AJ1596">
        <v>2.71</v>
      </c>
      <c r="AK1596">
        <v>5.38</v>
      </c>
      <c r="AL1596">
        <v>1</v>
      </c>
      <c r="AM1596">
        <v>2.85</v>
      </c>
      <c r="AN1596">
        <v>14.34</v>
      </c>
      <c r="AO1596">
        <v>1.91</v>
      </c>
      <c r="AP1596">
        <v>11.33</v>
      </c>
    </row>
    <row r="1597" spans="1:42">
      <c r="A1597">
        <v>1596</v>
      </c>
      <c r="B1597" t="str">
        <f>"300175"</f>
        <v>300175</v>
      </c>
      <c r="C1597" t="s">
        <v>9572</v>
      </c>
      <c r="D1597">
        <v>5.5</v>
      </c>
      <c r="E1597">
        <v>-0.18</v>
      </c>
      <c r="F1597">
        <v>-0.01</v>
      </c>
      <c r="G1597" t="s">
        <v>5519</v>
      </c>
      <c r="H1597">
        <v>4024</v>
      </c>
      <c r="I1597">
        <v>5.49</v>
      </c>
      <c r="J1597">
        <v>5.51</v>
      </c>
      <c r="K1597" t="s">
        <v>9567</v>
      </c>
      <c r="L1597">
        <v>4.84</v>
      </c>
      <c r="M1597" t="s">
        <v>46</v>
      </c>
      <c r="N1597" t="s">
        <v>7524</v>
      </c>
      <c r="O1597">
        <v>5.71</v>
      </c>
      <c r="P1597">
        <v>5.43</v>
      </c>
      <c r="Q1597">
        <v>5.47</v>
      </c>
      <c r="R1597">
        <v>5.51</v>
      </c>
      <c r="S1597">
        <v>5.08</v>
      </c>
      <c r="T1597">
        <v>0.82</v>
      </c>
      <c r="U1597">
        <v>-2.18</v>
      </c>
      <c r="V1597">
        <v>-295</v>
      </c>
      <c r="W1597">
        <v>5.5</v>
      </c>
      <c r="X1597" t="s">
        <v>1807</v>
      </c>
      <c r="Y1597" t="s">
        <v>829</v>
      </c>
      <c r="Z1597">
        <v>1.05</v>
      </c>
      <c r="AA1597">
        <v>857</v>
      </c>
      <c r="AB1597">
        <v>1065</v>
      </c>
      <c r="AC1597">
        <v>4.83</v>
      </c>
      <c r="AD1597" t="s">
        <v>9573</v>
      </c>
      <c r="AE1597" t="s">
        <v>9574</v>
      </c>
      <c r="AF1597" t="s">
        <v>9573</v>
      </c>
      <c r="AG1597" t="s">
        <v>9574</v>
      </c>
      <c r="AH1597">
        <v>-0.18</v>
      </c>
      <c r="AI1597">
        <v>8.27</v>
      </c>
      <c r="AJ1597">
        <v>14.47</v>
      </c>
      <c r="AK1597">
        <v>34.33</v>
      </c>
      <c r="AL1597">
        <v>-1</v>
      </c>
      <c r="AM1597">
        <v>-0.18</v>
      </c>
      <c r="AN1597">
        <v>38.19</v>
      </c>
      <c r="AO1597">
        <v>6.18</v>
      </c>
      <c r="AP1597">
        <v>48.25</v>
      </c>
    </row>
    <row r="1598" spans="1:42">
      <c r="A1598">
        <v>1597</v>
      </c>
      <c r="B1598" t="str">
        <f>"002557"</f>
        <v>002557</v>
      </c>
      <c r="C1598" t="s">
        <v>9575</v>
      </c>
      <c r="D1598">
        <v>37.84</v>
      </c>
      <c r="E1598">
        <v>-0.89</v>
      </c>
      <c r="F1598">
        <v>-0.34</v>
      </c>
      <c r="G1598" t="s">
        <v>57</v>
      </c>
      <c r="H1598">
        <v>202</v>
      </c>
      <c r="I1598">
        <v>37.84</v>
      </c>
      <c r="J1598">
        <v>37.87</v>
      </c>
      <c r="K1598" t="s">
        <v>9567</v>
      </c>
      <c r="L1598">
        <v>0.65</v>
      </c>
      <c r="M1598" t="s">
        <v>46</v>
      </c>
      <c r="N1598" t="s">
        <v>9576</v>
      </c>
      <c r="O1598">
        <v>38.01</v>
      </c>
      <c r="P1598">
        <v>37.41</v>
      </c>
      <c r="Q1598">
        <v>37.81</v>
      </c>
      <c r="R1598">
        <v>38.18</v>
      </c>
      <c r="S1598">
        <v>1.57</v>
      </c>
      <c r="T1598">
        <v>1.18</v>
      </c>
      <c r="U1598">
        <v>17.8</v>
      </c>
      <c r="V1598">
        <v>45</v>
      </c>
      <c r="W1598">
        <v>37.82</v>
      </c>
      <c r="X1598" t="s">
        <v>7178</v>
      </c>
      <c r="Y1598" t="s">
        <v>60</v>
      </c>
      <c r="Z1598">
        <v>0.86</v>
      </c>
      <c r="AA1598">
        <v>27</v>
      </c>
      <c r="AB1598">
        <v>2</v>
      </c>
      <c r="AC1598">
        <v>3.68</v>
      </c>
      <c r="AD1598" t="s">
        <v>9577</v>
      </c>
      <c r="AE1598" t="s">
        <v>7308</v>
      </c>
      <c r="AF1598" t="s">
        <v>9577</v>
      </c>
      <c r="AG1598" t="s">
        <v>7308</v>
      </c>
      <c r="AH1598">
        <v>0.16</v>
      </c>
      <c r="AI1598">
        <v>0.61</v>
      </c>
      <c r="AJ1598">
        <v>1.88</v>
      </c>
      <c r="AK1598">
        <v>3.43</v>
      </c>
      <c r="AL1598">
        <v>-1</v>
      </c>
      <c r="AM1598">
        <v>-0.89</v>
      </c>
      <c r="AN1598">
        <v>-22.78</v>
      </c>
      <c r="AO1598">
        <v>3.08</v>
      </c>
      <c r="AP1598">
        <v>-16.43</v>
      </c>
    </row>
    <row r="1599" spans="1:42">
      <c r="A1599">
        <v>1598</v>
      </c>
      <c r="B1599" t="str">
        <f>"003033"</f>
        <v>003033</v>
      </c>
      <c r="C1599" t="s">
        <v>9578</v>
      </c>
      <c r="D1599">
        <v>34.69</v>
      </c>
      <c r="E1599">
        <v>-3.75</v>
      </c>
      <c r="F1599">
        <v>-1.35</v>
      </c>
      <c r="G1599" t="s">
        <v>4148</v>
      </c>
      <c r="H1599">
        <v>496</v>
      </c>
      <c r="I1599">
        <v>34.69</v>
      </c>
      <c r="J1599">
        <v>34.7</v>
      </c>
      <c r="K1599" t="s">
        <v>9567</v>
      </c>
      <c r="L1599">
        <v>14.83</v>
      </c>
      <c r="M1599" t="s">
        <v>46</v>
      </c>
      <c r="N1599" t="s">
        <v>1190</v>
      </c>
      <c r="O1599">
        <v>36.46</v>
      </c>
      <c r="P1599">
        <v>34.03</v>
      </c>
      <c r="Q1599">
        <v>35.67</v>
      </c>
      <c r="R1599">
        <v>36.04</v>
      </c>
      <c r="S1599">
        <v>6.74</v>
      </c>
      <c r="T1599">
        <v>1.22</v>
      </c>
      <c r="U1599">
        <v>44.44</v>
      </c>
      <c r="V1599">
        <v>168</v>
      </c>
      <c r="W1599">
        <v>35.08</v>
      </c>
      <c r="X1599" t="s">
        <v>5578</v>
      </c>
      <c r="Y1599" t="s">
        <v>2111</v>
      </c>
      <c r="Z1599">
        <v>1.11</v>
      </c>
      <c r="AA1599">
        <v>37</v>
      </c>
      <c r="AB1599">
        <v>16</v>
      </c>
      <c r="AC1599">
        <v>2.5</v>
      </c>
      <c r="AD1599" t="s">
        <v>9579</v>
      </c>
      <c r="AE1599" t="s">
        <v>9580</v>
      </c>
      <c r="AF1599" t="s">
        <v>9581</v>
      </c>
      <c r="AG1599" t="s">
        <v>9582</v>
      </c>
      <c r="AH1599">
        <v>-3.24</v>
      </c>
      <c r="AI1599">
        <v>1.52</v>
      </c>
      <c r="AJ1599">
        <v>51.76</v>
      </c>
      <c r="AK1599">
        <v>75.86</v>
      </c>
      <c r="AL1599">
        <v>-2</v>
      </c>
      <c r="AM1599">
        <v>-3.75</v>
      </c>
      <c r="AN1599">
        <v>-20.98</v>
      </c>
      <c r="AO1599">
        <v>10.44</v>
      </c>
      <c r="AP1599">
        <v>-28.71</v>
      </c>
    </row>
    <row r="1600" spans="1:42">
      <c r="A1600">
        <v>1599</v>
      </c>
      <c r="B1600" t="str">
        <f>"002334"</f>
        <v>002334</v>
      </c>
      <c r="C1600" t="s">
        <v>9583</v>
      </c>
      <c r="D1600">
        <v>8.77</v>
      </c>
      <c r="E1600">
        <v>-0.57</v>
      </c>
      <c r="F1600">
        <v>-0.05</v>
      </c>
      <c r="G1600" t="s">
        <v>2081</v>
      </c>
      <c r="H1600">
        <v>1183</v>
      </c>
      <c r="I1600">
        <v>8.77</v>
      </c>
      <c r="J1600">
        <v>8.78</v>
      </c>
      <c r="K1600" t="s">
        <v>9567</v>
      </c>
      <c r="L1600">
        <v>2.03</v>
      </c>
      <c r="M1600" t="s">
        <v>46</v>
      </c>
      <c r="N1600" t="s">
        <v>9584</v>
      </c>
      <c r="O1600">
        <v>8.84</v>
      </c>
      <c r="P1600">
        <v>8.66</v>
      </c>
      <c r="Q1600">
        <v>8.84</v>
      </c>
      <c r="R1600">
        <v>8.82</v>
      </c>
      <c r="S1600">
        <v>2.04</v>
      </c>
      <c r="T1600">
        <v>1</v>
      </c>
      <c r="U1600">
        <v>-40.37</v>
      </c>
      <c r="V1600">
        <v>-3217</v>
      </c>
      <c r="W1600">
        <v>8.74</v>
      </c>
      <c r="X1600" t="s">
        <v>176</v>
      </c>
      <c r="Y1600" t="s">
        <v>4048</v>
      </c>
      <c r="Z1600">
        <v>1.36</v>
      </c>
      <c r="AA1600">
        <v>778</v>
      </c>
      <c r="AB1600">
        <v>260</v>
      </c>
      <c r="AC1600">
        <v>2.73</v>
      </c>
      <c r="AD1600" t="s">
        <v>9585</v>
      </c>
      <c r="AE1600" t="s">
        <v>9586</v>
      </c>
      <c r="AF1600" t="s">
        <v>9587</v>
      </c>
      <c r="AG1600" t="s">
        <v>9588</v>
      </c>
      <c r="AH1600">
        <v>-2.77</v>
      </c>
      <c r="AI1600">
        <v>-3.09</v>
      </c>
      <c r="AJ1600">
        <v>5.99</v>
      </c>
      <c r="AK1600">
        <v>12.16</v>
      </c>
      <c r="AL1600">
        <v>-3</v>
      </c>
      <c r="AM1600">
        <v>-0.57</v>
      </c>
      <c r="AN1600">
        <v>11.15</v>
      </c>
      <c r="AO1600">
        <v>3.42</v>
      </c>
      <c r="AP1600">
        <v>10.73</v>
      </c>
    </row>
    <row r="1601" spans="1:42">
      <c r="A1601">
        <v>1600</v>
      </c>
      <c r="B1601" t="str">
        <f>"300590"</f>
        <v>300590</v>
      </c>
      <c r="C1601" t="s">
        <v>9589</v>
      </c>
      <c r="D1601">
        <v>12.05</v>
      </c>
      <c r="E1601">
        <v>1.95</v>
      </c>
      <c r="F1601">
        <v>0.23</v>
      </c>
      <c r="G1601" t="s">
        <v>881</v>
      </c>
      <c r="H1601">
        <v>2666</v>
      </c>
      <c r="I1601">
        <v>12.04</v>
      </c>
      <c r="J1601">
        <v>12.05</v>
      </c>
      <c r="K1601" t="s">
        <v>9567</v>
      </c>
      <c r="L1601">
        <v>3.03</v>
      </c>
      <c r="M1601" t="s">
        <v>46</v>
      </c>
      <c r="N1601" t="s">
        <v>9198</v>
      </c>
      <c r="O1601">
        <v>12.07</v>
      </c>
      <c r="P1601">
        <v>11.75</v>
      </c>
      <c r="Q1601">
        <v>11.91</v>
      </c>
      <c r="R1601">
        <v>11.82</v>
      </c>
      <c r="S1601">
        <v>2.71</v>
      </c>
      <c r="T1601">
        <v>0.92</v>
      </c>
      <c r="U1601">
        <v>-20.74</v>
      </c>
      <c r="V1601">
        <v>-843</v>
      </c>
      <c r="W1601">
        <v>11.93</v>
      </c>
      <c r="X1601" t="s">
        <v>4888</v>
      </c>
      <c r="Y1601" t="s">
        <v>787</v>
      </c>
      <c r="Z1601">
        <v>0.88</v>
      </c>
      <c r="AA1601">
        <v>350</v>
      </c>
      <c r="AB1601">
        <v>841</v>
      </c>
      <c r="AC1601">
        <v>3.18</v>
      </c>
      <c r="AD1601" t="s">
        <v>5634</v>
      </c>
      <c r="AE1601" t="s">
        <v>9590</v>
      </c>
      <c r="AF1601" t="s">
        <v>9591</v>
      </c>
      <c r="AG1601" t="s">
        <v>9592</v>
      </c>
      <c r="AH1601">
        <v>1.01</v>
      </c>
      <c r="AI1601">
        <v>2.03</v>
      </c>
      <c r="AJ1601">
        <v>11.14</v>
      </c>
      <c r="AK1601">
        <v>19.56</v>
      </c>
      <c r="AL1601">
        <v>1</v>
      </c>
      <c r="AM1601">
        <v>1.95</v>
      </c>
      <c r="AN1601">
        <v>24.36</v>
      </c>
      <c r="AO1601">
        <v>4.6</v>
      </c>
      <c r="AP1601">
        <v>-0.41</v>
      </c>
    </row>
    <row r="1602" spans="1:42">
      <c r="A1602">
        <v>1601</v>
      </c>
      <c r="B1602" t="str">
        <f>"002481"</f>
        <v>002481</v>
      </c>
      <c r="C1602" t="s">
        <v>9593</v>
      </c>
      <c r="D1602">
        <v>4.86</v>
      </c>
      <c r="E1602">
        <v>0</v>
      </c>
      <c r="F1602">
        <v>0</v>
      </c>
      <c r="G1602" t="s">
        <v>1411</v>
      </c>
      <c r="H1602">
        <v>2329</v>
      </c>
      <c r="I1602">
        <v>4.86</v>
      </c>
      <c r="J1602">
        <v>4.87</v>
      </c>
      <c r="K1602" t="s">
        <v>9567</v>
      </c>
      <c r="L1602">
        <v>2.28</v>
      </c>
      <c r="M1602" t="s">
        <v>46</v>
      </c>
      <c r="N1602" t="s">
        <v>5929</v>
      </c>
      <c r="O1602">
        <v>4.97</v>
      </c>
      <c r="P1602">
        <v>4.82</v>
      </c>
      <c r="Q1602">
        <v>4.83</v>
      </c>
      <c r="R1602">
        <v>4.86</v>
      </c>
      <c r="S1602">
        <v>3.09</v>
      </c>
      <c r="T1602">
        <v>1.24</v>
      </c>
      <c r="U1602">
        <v>-15.26</v>
      </c>
      <c r="V1602">
        <v>-2243</v>
      </c>
      <c r="W1602">
        <v>4.89</v>
      </c>
      <c r="X1602" t="s">
        <v>1986</v>
      </c>
      <c r="Y1602" t="s">
        <v>1987</v>
      </c>
      <c r="Z1602">
        <v>0.95</v>
      </c>
      <c r="AA1602">
        <v>172</v>
      </c>
      <c r="AB1602">
        <v>865</v>
      </c>
      <c r="AC1602">
        <v>2.55</v>
      </c>
      <c r="AD1602" t="s">
        <v>9594</v>
      </c>
      <c r="AE1602" t="s">
        <v>9595</v>
      </c>
      <c r="AF1602" t="s">
        <v>976</v>
      </c>
      <c r="AG1602" t="s">
        <v>7586</v>
      </c>
      <c r="AH1602">
        <v>2.1</v>
      </c>
      <c r="AI1602">
        <v>4.07</v>
      </c>
      <c r="AJ1602">
        <v>5.83</v>
      </c>
      <c r="AK1602">
        <v>11.51</v>
      </c>
      <c r="AL1602">
        <v>0</v>
      </c>
      <c r="AM1602">
        <v>0</v>
      </c>
      <c r="AN1602">
        <v>-22.36</v>
      </c>
      <c r="AO1602">
        <v>4.97</v>
      </c>
      <c r="AP1602">
        <v>-18.04</v>
      </c>
    </row>
    <row r="1603" spans="1:42">
      <c r="A1603">
        <v>1602</v>
      </c>
      <c r="B1603" t="str">
        <f>"600395"</f>
        <v>600395</v>
      </c>
      <c r="C1603" t="s">
        <v>9596</v>
      </c>
      <c r="D1603">
        <v>6.45</v>
      </c>
      <c r="E1603">
        <v>2.54</v>
      </c>
      <c r="F1603">
        <v>0.16</v>
      </c>
      <c r="G1603" t="s">
        <v>1328</v>
      </c>
      <c r="H1603">
        <v>1552</v>
      </c>
      <c r="I1603">
        <v>6.44</v>
      </c>
      <c r="J1603">
        <v>6.45</v>
      </c>
      <c r="K1603" t="s">
        <v>9567</v>
      </c>
      <c r="L1603">
        <v>0.91</v>
      </c>
      <c r="M1603" t="s">
        <v>46</v>
      </c>
      <c r="N1603" t="s">
        <v>9597</v>
      </c>
      <c r="O1603">
        <v>6.47</v>
      </c>
      <c r="P1603">
        <v>6.29</v>
      </c>
      <c r="Q1603">
        <v>6.29</v>
      </c>
      <c r="R1603">
        <v>6.29</v>
      </c>
      <c r="S1603">
        <v>2.86</v>
      </c>
      <c r="T1603">
        <v>1.42</v>
      </c>
      <c r="U1603">
        <v>-37.33</v>
      </c>
      <c r="V1603">
        <v>-6597</v>
      </c>
      <c r="W1603">
        <v>6.39</v>
      </c>
      <c r="X1603" t="s">
        <v>1605</v>
      </c>
      <c r="Y1603" t="s">
        <v>830</v>
      </c>
      <c r="Z1603">
        <v>0.5</v>
      </c>
      <c r="AA1603">
        <v>3341</v>
      </c>
      <c r="AB1603">
        <v>726</v>
      </c>
      <c r="AC1603">
        <v>1.16</v>
      </c>
      <c r="AD1603" t="s">
        <v>4124</v>
      </c>
      <c r="AE1603" t="s">
        <v>7515</v>
      </c>
      <c r="AF1603" t="s">
        <v>4124</v>
      </c>
      <c r="AG1603" t="s">
        <v>7515</v>
      </c>
      <c r="AH1603">
        <v>3.37</v>
      </c>
      <c r="AI1603">
        <v>5.22</v>
      </c>
      <c r="AJ1603">
        <v>2.3</v>
      </c>
      <c r="AK1603">
        <v>4.12</v>
      </c>
      <c r="AL1603">
        <v>1</v>
      </c>
      <c r="AM1603">
        <v>2.54</v>
      </c>
      <c r="AN1603">
        <v>2.22</v>
      </c>
      <c r="AO1603">
        <v>6.44</v>
      </c>
      <c r="AP1603">
        <v>-0.92</v>
      </c>
    </row>
    <row r="1604" spans="1:42">
      <c r="A1604">
        <v>1603</v>
      </c>
      <c r="B1604" t="str">
        <f>"000156"</f>
        <v>000156</v>
      </c>
      <c r="C1604" t="s">
        <v>9598</v>
      </c>
      <c r="D1604">
        <v>8.01</v>
      </c>
      <c r="E1604">
        <v>3.89</v>
      </c>
      <c r="F1604">
        <v>0.3</v>
      </c>
      <c r="G1604" t="s">
        <v>5021</v>
      </c>
      <c r="H1604">
        <v>1316</v>
      </c>
      <c r="I1604">
        <v>8.01</v>
      </c>
      <c r="J1604">
        <v>8.02</v>
      </c>
      <c r="K1604" t="s">
        <v>9567</v>
      </c>
      <c r="L1604">
        <v>1.01</v>
      </c>
      <c r="M1604" t="s">
        <v>46</v>
      </c>
      <c r="N1604" t="s">
        <v>1429</v>
      </c>
      <c r="O1604">
        <v>8.04</v>
      </c>
      <c r="P1604">
        <v>7.7</v>
      </c>
      <c r="Q1604">
        <v>7.71</v>
      </c>
      <c r="R1604">
        <v>7.71</v>
      </c>
      <c r="S1604">
        <v>4.41</v>
      </c>
      <c r="T1604">
        <v>1.46</v>
      </c>
      <c r="U1604">
        <v>-34.13</v>
      </c>
      <c r="V1604">
        <v>-2984</v>
      </c>
      <c r="W1604">
        <v>7.9</v>
      </c>
      <c r="X1604" t="s">
        <v>6673</v>
      </c>
      <c r="Y1604" t="s">
        <v>881</v>
      </c>
      <c r="Z1604">
        <v>0.5</v>
      </c>
      <c r="AA1604">
        <v>88</v>
      </c>
      <c r="AB1604">
        <v>967</v>
      </c>
      <c r="AC1604">
        <v>1.01</v>
      </c>
      <c r="AD1604" t="s">
        <v>8597</v>
      </c>
      <c r="AE1604" t="s">
        <v>9599</v>
      </c>
      <c r="AF1604" t="s">
        <v>9600</v>
      </c>
      <c r="AG1604" t="s">
        <v>9601</v>
      </c>
      <c r="AH1604">
        <v>2.43</v>
      </c>
      <c r="AI1604">
        <v>0.38</v>
      </c>
      <c r="AJ1604">
        <v>2.03</v>
      </c>
      <c r="AK1604">
        <v>4.47</v>
      </c>
      <c r="AL1604">
        <v>1</v>
      </c>
      <c r="AM1604">
        <v>3.89</v>
      </c>
      <c r="AN1604">
        <v>10.18</v>
      </c>
      <c r="AO1604">
        <v>8.39</v>
      </c>
      <c r="AP1604">
        <v>13.94</v>
      </c>
    </row>
    <row r="1605" spans="1:42">
      <c r="A1605">
        <v>1604</v>
      </c>
      <c r="B1605" t="str">
        <f>"002453"</f>
        <v>002453</v>
      </c>
      <c r="C1605" t="s">
        <v>9602</v>
      </c>
      <c r="D1605">
        <v>12.19</v>
      </c>
      <c r="E1605">
        <v>2.35</v>
      </c>
      <c r="F1605">
        <v>0.28</v>
      </c>
      <c r="G1605" t="s">
        <v>740</v>
      </c>
      <c r="H1605">
        <v>1647</v>
      </c>
      <c r="I1605">
        <v>12.18</v>
      </c>
      <c r="J1605">
        <v>12.19</v>
      </c>
      <c r="K1605" t="s">
        <v>9567</v>
      </c>
      <c r="L1605">
        <v>1.7</v>
      </c>
      <c r="M1605" t="s">
        <v>46</v>
      </c>
      <c r="N1605" t="s">
        <v>3624</v>
      </c>
      <c r="O1605">
        <v>12.36</v>
      </c>
      <c r="P1605">
        <v>11.8</v>
      </c>
      <c r="Q1605">
        <v>11.97</v>
      </c>
      <c r="R1605">
        <v>11.91</v>
      </c>
      <c r="S1605">
        <v>4.7</v>
      </c>
      <c r="T1605">
        <v>1.43</v>
      </c>
      <c r="U1605">
        <v>16.2</v>
      </c>
      <c r="V1605">
        <v>261</v>
      </c>
      <c r="W1605">
        <v>12.05</v>
      </c>
      <c r="X1605" t="s">
        <v>320</v>
      </c>
      <c r="Y1605" t="s">
        <v>3520</v>
      </c>
      <c r="Z1605">
        <v>0.74</v>
      </c>
      <c r="AA1605">
        <v>35</v>
      </c>
      <c r="AB1605">
        <v>30</v>
      </c>
      <c r="AC1605">
        <v>6.26</v>
      </c>
      <c r="AD1605" t="s">
        <v>9603</v>
      </c>
      <c r="AE1605" t="s">
        <v>9604</v>
      </c>
      <c r="AF1605" t="s">
        <v>9605</v>
      </c>
      <c r="AG1605" t="s">
        <v>9606</v>
      </c>
      <c r="AH1605">
        <v>-0.49</v>
      </c>
      <c r="AI1605">
        <v>-2.71</v>
      </c>
      <c r="AJ1605">
        <v>4.36</v>
      </c>
      <c r="AK1605">
        <v>7.68</v>
      </c>
      <c r="AL1605">
        <v>1</v>
      </c>
      <c r="AM1605">
        <v>2.35</v>
      </c>
      <c r="AN1605">
        <v>16.1</v>
      </c>
      <c r="AO1605">
        <v>11.53</v>
      </c>
      <c r="AP1605">
        <v>-0.57</v>
      </c>
    </row>
    <row r="1606" spans="1:42">
      <c r="A1606">
        <v>1605</v>
      </c>
      <c r="B1606" t="str">
        <f>"688598"</f>
        <v>688598</v>
      </c>
      <c r="C1606" t="s">
        <v>9607</v>
      </c>
      <c r="D1606">
        <v>78.18</v>
      </c>
      <c r="E1606">
        <v>-2.29</v>
      </c>
      <c r="F1606">
        <v>-1.83</v>
      </c>
      <c r="G1606" t="s">
        <v>4977</v>
      </c>
      <c r="H1606">
        <v>96</v>
      </c>
      <c r="I1606">
        <v>78.11</v>
      </c>
      <c r="J1606">
        <v>78.18</v>
      </c>
      <c r="K1606" t="s">
        <v>9567</v>
      </c>
      <c r="L1606">
        <v>1.14</v>
      </c>
      <c r="M1606" t="s">
        <v>46</v>
      </c>
      <c r="N1606" t="s">
        <v>1409</v>
      </c>
      <c r="O1606">
        <v>79.86</v>
      </c>
      <c r="P1606">
        <v>77.53</v>
      </c>
      <c r="Q1606">
        <v>79.81</v>
      </c>
      <c r="R1606">
        <v>80.01</v>
      </c>
      <c r="S1606">
        <v>2.91</v>
      </c>
      <c r="T1606">
        <v>1.42</v>
      </c>
      <c r="U1606">
        <v>-26.02</v>
      </c>
      <c r="V1606">
        <v>-15</v>
      </c>
      <c r="W1606">
        <v>78.55</v>
      </c>
      <c r="X1606">
        <v>9512</v>
      </c>
      <c r="Y1606">
        <v>6367</v>
      </c>
      <c r="Z1606">
        <v>1.49</v>
      </c>
      <c r="AA1606">
        <v>5</v>
      </c>
      <c r="AB1606">
        <v>14</v>
      </c>
      <c r="AC1606">
        <v>1.75</v>
      </c>
      <c r="AD1606" t="s">
        <v>9608</v>
      </c>
      <c r="AE1606" t="s">
        <v>9323</v>
      </c>
      <c r="AF1606" t="s">
        <v>9608</v>
      </c>
      <c r="AG1606" t="s">
        <v>9323</v>
      </c>
      <c r="AH1606">
        <v>-3.61</v>
      </c>
      <c r="AI1606">
        <v>-7.97</v>
      </c>
      <c r="AJ1606">
        <v>2.41</v>
      </c>
      <c r="AK1606">
        <v>5.15</v>
      </c>
      <c r="AL1606">
        <v>-3</v>
      </c>
      <c r="AM1606">
        <v>-2.29</v>
      </c>
      <c r="AN1606">
        <v>-47.22</v>
      </c>
      <c r="AO1606">
        <v>2.2</v>
      </c>
      <c r="AP1606">
        <v>-54.09</v>
      </c>
    </row>
    <row r="1607" spans="1:42">
      <c r="A1607">
        <v>1606</v>
      </c>
      <c r="B1607" t="str">
        <f>"301381"</f>
        <v>301381</v>
      </c>
      <c r="C1607" t="s">
        <v>9609</v>
      </c>
      <c r="D1607">
        <v>33.08</v>
      </c>
      <c r="E1607">
        <v>4.22</v>
      </c>
      <c r="F1607">
        <v>1.34</v>
      </c>
      <c r="G1607" t="s">
        <v>1566</v>
      </c>
      <c r="H1607">
        <v>900</v>
      </c>
      <c r="I1607">
        <v>33.06</v>
      </c>
      <c r="J1607">
        <v>33.09</v>
      </c>
      <c r="K1607" t="s">
        <v>9567</v>
      </c>
      <c r="L1607">
        <v>12.1</v>
      </c>
      <c r="M1607" t="s">
        <v>46</v>
      </c>
      <c r="N1607" t="s">
        <v>2501</v>
      </c>
      <c r="O1607">
        <v>33.5</v>
      </c>
      <c r="P1607">
        <v>31.74</v>
      </c>
      <c r="Q1607">
        <v>32.01</v>
      </c>
      <c r="R1607">
        <v>31.74</v>
      </c>
      <c r="S1607">
        <v>5.55</v>
      </c>
      <c r="T1607">
        <v>1.16</v>
      </c>
      <c r="U1607">
        <v>36.01</v>
      </c>
      <c r="V1607">
        <v>296</v>
      </c>
      <c r="W1607">
        <v>32.81</v>
      </c>
      <c r="X1607" t="s">
        <v>1769</v>
      </c>
      <c r="Y1607" t="s">
        <v>3151</v>
      </c>
      <c r="Z1607">
        <v>0.62</v>
      </c>
      <c r="AA1607">
        <v>50</v>
      </c>
      <c r="AB1607">
        <v>57</v>
      </c>
      <c r="AC1607">
        <v>5.75</v>
      </c>
      <c r="AD1607" t="s">
        <v>5024</v>
      </c>
      <c r="AE1607" t="s">
        <v>9610</v>
      </c>
      <c r="AF1607" t="s">
        <v>9611</v>
      </c>
      <c r="AG1607" t="s">
        <v>1516</v>
      </c>
      <c r="AH1607">
        <v>-0.84</v>
      </c>
      <c r="AI1607">
        <v>-4.39</v>
      </c>
      <c r="AJ1607">
        <v>38.54</v>
      </c>
      <c r="AK1607">
        <v>64.46</v>
      </c>
      <c r="AL1607">
        <v>1</v>
      </c>
      <c r="AM1607">
        <v>4.22</v>
      </c>
      <c r="AN1607">
        <v>63.76</v>
      </c>
      <c r="AO1607">
        <v>2.26</v>
      </c>
      <c r="AP1607">
        <v>63.76</v>
      </c>
    </row>
    <row r="1608" spans="1:42">
      <c r="A1608">
        <v>1607</v>
      </c>
      <c r="B1608" t="str">
        <f>"000868"</f>
        <v>000868</v>
      </c>
      <c r="C1608" t="s">
        <v>9612</v>
      </c>
      <c r="D1608">
        <v>5.74</v>
      </c>
      <c r="E1608">
        <v>0.17</v>
      </c>
      <c r="F1608">
        <v>0.01</v>
      </c>
      <c r="G1608" t="s">
        <v>1225</v>
      </c>
      <c r="H1608">
        <v>2866</v>
      </c>
      <c r="I1608">
        <v>5.74</v>
      </c>
      <c r="J1608">
        <v>5.75</v>
      </c>
      <c r="K1608" t="s">
        <v>9567</v>
      </c>
      <c r="L1608">
        <v>2.98</v>
      </c>
      <c r="M1608" t="s">
        <v>46</v>
      </c>
      <c r="N1608" t="s">
        <v>4927</v>
      </c>
      <c r="O1608">
        <v>5.78</v>
      </c>
      <c r="P1608">
        <v>5.62</v>
      </c>
      <c r="Q1608">
        <v>5.72</v>
      </c>
      <c r="R1608">
        <v>5.73</v>
      </c>
      <c r="S1608">
        <v>2.79</v>
      </c>
      <c r="T1608">
        <v>0.64</v>
      </c>
      <c r="U1608">
        <v>-48.89</v>
      </c>
      <c r="V1608" t="s">
        <v>9613</v>
      </c>
      <c r="W1608">
        <v>5.71</v>
      </c>
      <c r="X1608" t="s">
        <v>1540</v>
      </c>
      <c r="Y1608" t="s">
        <v>1232</v>
      </c>
      <c r="Z1608">
        <v>1.18</v>
      </c>
      <c r="AA1608">
        <v>896</v>
      </c>
      <c r="AB1608">
        <v>5302</v>
      </c>
      <c r="AC1608">
        <v>5.58</v>
      </c>
      <c r="AD1608" t="s">
        <v>9614</v>
      </c>
      <c r="AE1608" t="s">
        <v>6155</v>
      </c>
      <c r="AF1608" t="s">
        <v>9615</v>
      </c>
      <c r="AG1608" t="s">
        <v>9616</v>
      </c>
      <c r="AH1608">
        <v>-4.01</v>
      </c>
      <c r="AI1608">
        <v>-0.86</v>
      </c>
      <c r="AJ1608">
        <v>12.2</v>
      </c>
      <c r="AK1608">
        <v>26.43</v>
      </c>
      <c r="AL1608">
        <v>1</v>
      </c>
      <c r="AM1608">
        <v>0.17</v>
      </c>
      <c r="AN1608">
        <v>-16.08</v>
      </c>
      <c r="AO1608">
        <v>1.23</v>
      </c>
      <c r="AP1608">
        <v>-6.82</v>
      </c>
    </row>
    <row r="1609" spans="1:42">
      <c r="A1609">
        <v>1608</v>
      </c>
      <c r="B1609" t="str">
        <f>"600707"</f>
        <v>600707</v>
      </c>
      <c r="C1609" t="s">
        <v>9617</v>
      </c>
      <c r="D1609">
        <v>5.94</v>
      </c>
      <c r="E1609">
        <v>0.34</v>
      </c>
      <c r="F1609">
        <v>0.02</v>
      </c>
      <c r="G1609" t="s">
        <v>1125</v>
      </c>
      <c r="H1609">
        <v>2954</v>
      </c>
      <c r="I1609">
        <v>5.94</v>
      </c>
      <c r="J1609">
        <v>5.95</v>
      </c>
      <c r="K1609" t="s">
        <v>9567</v>
      </c>
      <c r="L1609">
        <v>0.59</v>
      </c>
      <c r="M1609" t="s">
        <v>46</v>
      </c>
      <c r="N1609" t="s">
        <v>7271</v>
      </c>
      <c r="O1609">
        <v>5.97</v>
      </c>
      <c r="P1609">
        <v>5.81</v>
      </c>
      <c r="Q1609">
        <v>5.92</v>
      </c>
      <c r="R1609">
        <v>5.92</v>
      </c>
      <c r="S1609">
        <v>2.7</v>
      </c>
      <c r="T1609">
        <v>0.82</v>
      </c>
      <c r="U1609">
        <v>5.99</v>
      </c>
      <c r="V1609">
        <v>884</v>
      </c>
      <c r="W1609">
        <v>5.89</v>
      </c>
      <c r="X1609" t="s">
        <v>262</v>
      </c>
      <c r="Y1609" t="s">
        <v>5288</v>
      </c>
      <c r="Z1609">
        <v>1.14</v>
      </c>
      <c r="AA1609">
        <v>2189</v>
      </c>
      <c r="AB1609">
        <v>107</v>
      </c>
      <c r="AC1609">
        <v>1.07</v>
      </c>
      <c r="AD1609" t="s">
        <v>9618</v>
      </c>
      <c r="AE1609" t="s">
        <v>8106</v>
      </c>
      <c r="AF1609" t="s">
        <v>9618</v>
      </c>
      <c r="AG1609" t="s">
        <v>9619</v>
      </c>
      <c r="AH1609">
        <v>-2.46</v>
      </c>
      <c r="AI1609">
        <v>-2.3</v>
      </c>
      <c r="AJ1609">
        <v>2.77</v>
      </c>
      <c r="AK1609">
        <v>4.17</v>
      </c>
      <c r="AL1609">
        <v>1</v>
      </c>
      <c r="AM1609">
        <v>0.34</v>
      </c>
      <c r="AN1609">
        <v>43.48</v>
      </c>
      <c r="AO1609">
        <v>0</v>
      </c>
      <c r="AP1609">
        <v>29.69</v>
      </c>
    </row>
    <row r="1610" spans="1:42">
      <c r="A1610">
        <v>1609</v>
      </c>
      <c r="B1610" t="str">
        <f>"688123"</f>
        <v>688123</v>
      </c>
      <c r="C1610" t="s">
        <v>9620</v>
      </c>
      <c r="D1610">
        <v>64.85</v>
      </c>
      <c r="E1610">
        <v>-0.98</v>
      </c>
      <c r="F1610">
        <v>-0.64</v>
      </c>
      <c r="G1610" t="s">
        <v>6425</v>
      </c>
      <c r="H1610">
        <v>176</v>
      </c>
      <c r="I1610">
        <v>64.85</v>
      </c>
      <c r="J1610">
        <v>64.89</v>
      </c>
      <c r="K1610" t="s">
        <v>9567</v>
      </c>
      <c r="L1610">
        <v>1.23</v>
      </c>
      <c r="M1610" t="s">
        <v>46</v>
      </c>
      <c r="N1610" t="s">
        <v>2760</v>
      </c>
      <c r="O1610">
        <v>65.16</v>
      </c>
      <c r="P1610">
        <v>63.21</v>
      </c>
      <c r="Q1610">
        <v>64.83</v>
      </c>
      <c r="R1610">
        <v>65.49</v>
      </c>
      <c r="S1610">
        <v>2.98</v>
      </c>
      <c r="T1610">
        <v>0.98</v>
      </c>
      <c r="U1610">
        <v>86.7</v>
      </c>
      <c r="V1610">
        <v>756</v>
      </c>
      <c r="W1610">
        <v>64.18</v>
      </c>
      <c r="X1610" t="s">
        <v>734</v>
      </c>
      <c r="Y1610">
        <v>8188</v>
      </c>
      <c r="Z1610">
        <v>1.37</v>
      </c>
      <c r="AA1610">
        <v>376</v>
      </c>
      <c r="AB1610">
        <v>4</v>
      </c>
      <c r="AC1610">
        <v>5.3</v>
      </c>
      <c r="AD1610" t="s">
        <v>3887</v>
      </c>
      <c r="AE1610" t="s">
        <v>293</v>
      </c>
      <c r="AF1610" t="s">
        <v>3887</v>
      </c>
      <c r="AG1610" t="s">
        <v>293</v>
      </c>
      <c r="AH1610">
        <v>-1.77</v>
      </c>
      <c r="AI1610">
        <v>-1.44</v>
      </c>
      <c r="AJ1610">
        <v>3.52</v>
      </c>
      <c r="AK1610">
        <v>7.49</v>
      </c>
      <c r="AL1610">
        <v>-1</v>
      </c>
      <c r="AM1610">
        <v>-0.98</v>
      </c>
      <c r="AN1610">
        <v>-15.96</v>
      </c>
      <c r="AO1610">
        <v>-1.79</v>
      </c>
      <c r="AP1610">
        <v>-33.47</v>
      </c>
    </row>
    <row r="1611" spans="1:42">
      <c r="A1611">
        <v>1610</v>
      </c>
      <c r="B1611" t="str">
        <f>"300926"</f>
        <v>300926</v>
      </c>
      <c r="C1611" t="s">
        <v>9621</v>
      </c>
      <c r="D1611">
        <v>30.58</v>
      </c>
      <c r="E1611">
        <v>-1.35</v>
      </c>
      <c r="F1611">
        <v>-0.42</v>
      </c>
      <c r="G1611" t="s">
        <v>3149</v>
      </c>
      <c r="H1611">
        <v>681</v>
      </c>
      <c r="I1611">
        <v>30.58</v>
      </c>
      <c r="J1611">
        <v>30.59</v>
      </c>
      <c r="K1611" t="s">
        <v>9622</v>
      </c>
      <c r="L1611">
        <v>5.83</v>
      </c>
      <c r="M1611" t="s">
        <v>46</v>
      </c>
      <c r="N1611" t="s">
        <v>3167</v>
      </c>
      <c r="O1611">
        <v>30.99</v>
      </c>
      <c r="P1611">
        <v>30.04</v>
      </c>
      <c r="Q1611">
        <v>30.99</v>
      </c>
      <c r="R1611">
        <v>31</v>
      </c>
      <c r="S1611">
        <v>3.06</v>
      </c>
      <c r="T1611">
        <v>0.7</v>
      </c>
      <c r="U1611">
        <v>66.21</v>
      </c>
      <c r="V1611">
        <v>290</v>
      </c>
      <c r="W1611">
        <v>30.38</v>
      </c>
      <c r="X1611" t="s">
        <v>7946</v>
      </c>
      <c r="Y1611" t="s">
        <v>8212</v>
      </c>
      <c r="Z1611">
        <v>1.62</v>
      </c>
      <c r="AA1611">
        <v>331</v>
      </c>
      <c r="AB1611">
        <v>41</v>
      </c>
      <c r="AC1611">
        <v>5.92</v>
      </c>
      <c r="AD1611" t="s">
        <v>9623</v>
      </c>
      <c r="AE1611" t="s">
        <v>9624</v>
      </c>
      <c r="AF1611" t="s">
        <v>9625</v>
      </c>
      <c r="AG1611" t="s">
        <v>7921</v>
      </c>
      <c r="AH1611">
        <v>-5.12</v>
      </c>
      <c r="AI1611">
        <v>-6.74</v>
      </c>
      <c r="AJ1611">
        <v>18.05</v>
      </c>
      <c r="AK1611">
        <v>47.6</v>
      </c>
      <c r="AL1611">
        <v>-3</v>
      </c>
      <c r="AM1611">
        <v>-1.35</v>
      </c>
      <c r="AN1611">
        <v>165.45</v>
      </c>
      <c r="AO1611">
        <v>-0.94</v>
      </c>
      <c r="AP1611">
        <v>128.55</v>
      </c>
    </row>
    <row r="1612" spans="1:42">
      <c r="A1612">
        <v>1611</v>
      </c>
      <c r="B1612" t="str">
        <f>"300164"</f>
        <v>300164</v>
      </c>
      <c r="C1612" t="s">
        <v>9626</v>
      </c>
      <c r="D1612">
        <v>5.07</v>
      </c>
      <c r="E1612">
        <v>-0.59</v>
      </c>
      <c r="F1612">
        <v>-0.03</v>
      </c>
      <c r="G1612" t="s">
        <v>3527</v>
      </c>
      <c r="H1612">
        <v>4010</v>
      </c>
      <c r="I1612">
        <v>5.06</v>
      </c>
      <c r="J1612">
        <v>5.07</v>
      </c>
      <c r="K1612" t="s">
        <v>9622</v>
      </c>
      <c r="L1612">
        <v>4.58</v>
      </c>
      <c r="M1612" t="s">
        <v>46</v>
      </c>
      <c r="N1612" t="s">
        <v>9627</v>
      </c>
      <c r="O1612">
        <v>5.09</v>
      </c>
      <c r="P1612">
        <v>5</v>
      </c>
      <c r="Q1612">
        <v>5.05</v>
      </c>
      <c r="R1612">
        <v>5.1</v>
      </c>
      <c r="S1612">
        <v>1.76</v>
      </c>
      <c r="T1612">
        <v>0.96</v>
      </c>
      <c r="U1612">
        <v>-3.78</v>
      </c>
      <c r="V1612">
        <v>-1214</v>
      </c>
      <c r="W1612">
        <v>5.04</v>
      </c>
      <c r="X1612" t="s">
        <v>978</v>
      </c>
      <c r="Y1612" t="s">
        <v>3003</v>
      </c>
      <c r="Z1612">
        <v>1.63</v>
      </c>
      <c r="AA1612">
        <v>5199</v>
      </c>
      <c r="AB1612">
        <v>929</v>
      </c>
      <c r="AC1612">
        <v>2.19</v>
      </c>
      <c r="AD1612" t="s">
        <v>9628</v>
      </c>
      <c r="AE1612" t="s">
        <v>9629</v>
      </c>
      <c r="AF1612" t="s">
        <v>9630</v>
      </c>
      <c r="AG1612" t="s">
        <v>9631</v>
      </c>
      <c r="AH1612">
        <v>0</v>
      </c>
      <c r="AI1612">
        <v>-1.93</v>
      </c>
      <c r="AJ1612">
        <v>13.17</v>
      </c>
      <c r="AK1612">
        <v>28.42</v>
      </c>
      <c r="AL1612">
        <v>-1</v>
      </c>
      <c r="AM1612">
        <v>-0.59</v>
      </c>
      <c r="AN1612">
        <v>28.03</v>
      </c>
      <c r="AO1612">
        <v>-2.12</v>
      </c>
      <c r="AP1612">
        <v>20.43</v>
      </c>
    </row>
    <row r="1613" spans="1:42">
      <c r="A1613">
        <v>1612</v>
      </c>
      <c r="B1613" t="str">
        <f>"688023"</f>
        <v>688023</v>
      </c>
      <c r="C1613" t="s">
        <v>9632</v>
      </c>
      <c r="D1613">
        <v>128.64</v>
      </c>
      <c r="E1613">
        <v>2.32</v>
      </c>
      <c r="F1613">
        <v>2.92</v>
      </c>
      <c r="G1613">
        <v>9817</v>
      </c>
      <c r="H1613">
        <v>82</v>
      </c>
      <c r="I1613">
        <v>128.64</v>
      </c>
      <c r="J1613">
        <v>128.69</v>
      </c>
      <c r="K1613" t="s">
        <v>9622</v>
      </c>
      <c r="L1613">
        <v>1.25</v>
      </c>
      <c r="M1613" t="s">
        <v>46</v>
      </c>
      <c r="N1613" t="s">
        <v>654</v>
      </c>
      <c r="O1613">
        <v>129.6</v>
      </c>
      <c r="P1613">
        <v>123.3</v>
      </c>
      <c r="Q1613">
        <v>126.85</v>
      </c>
      <c r="R1613">
        <v>125.72</v>
      </c>
      <c r="S1613">
        <v>5.01</v>
      </c>
      <c r="T1613">
        <v>1.09</v>
      </c>
      <c r="U1613">
        <v>46.35</v>
      </c>
      <c r="V1613">
        <v>25</v>
      </c>
      <c r="W1613">
        <v>126.75</v>
      </c>
      <c r="X1613">
        <v>4727</v>
      </c>
      <c r="Y1613">
        <v>5090</v>
      </c>
      <c r="Z1613">
        <v>0.93</v>
      </c>
      <c r="AA1613">
        <v>8</v>
      </c>
      <c r="AB1613">
        <v>1</v>
      </c>
      <c r="AC1613">
        <v>4.04</v>
      </c>
      <c r="AD1613" t="s">
        <v>9633</v>
      </c>
      <c r="AE1613" t="s">
        <v>9634</v>
      </c>
      <c r="AF1613" t="s">
        <v>9635</v>
      </c>
      <c r="AG1613" t="s">
        <v>2415</v>
      </c>
      <c r="AH1613">
        <v>-0.82</v>
      </c>
      <c r="AI1613">
        <v>-3.37</v>
      </c>
      <c r="AJ1613">
        <v>3.65</v>
      </c>
      <c r="AK1613">
        <v>6.98</v>
      </c>
      <c r="AL1613">
        <v>1</v>
      </c>
      <c r="AM1613">
        <v>2.32</v>
      </c>
      <c r="AN1613">
        <v>-35.03</v>
      </c>
      <c r="AO1613">
        <v>6.88</v>
      </c>
      <c r="AP1613">
        <v>-42.32</v>
      </c>
    </row>
    <row r="1614" spans="1:42">
      <c r="A1614">
        <v>1613</v>
      </c>
      <c r="B1614" t="str">
        <f>"605098"</f>
        <v>605098</v>
      </c>
      <c r="C1614" t="s">
        <v>9636</v>
      </c>
      <c r="D1614">
        <v>40.65</v>
      </c>
      <c r="E1614">
        <v>7.11</v>
      </c>
      <c r="F1614">
        <v>2.7</v>
      </c>
      <c r="G1614" t="s">
        <v>2628</v>
      </c>
      <c r="H1614">
        <v>265</v>
      </c>
      <c r="I1614">
        <v>40.65</v>
      </c>
      <c r="J1614">
        <v>40.73</v>
      </c>
      <c r="K1614" t="s">
        <v>9622</v>
      </c>
      <c r="L1614">
        <v>7.12</v>
      </c>
      <c r="M1614" t="s">
        <v>46</v>
      </c>
      <c r="N1614" t="s">
        <v>1295</v>
      </c>
      <c r="O1614">
        <v>41.11</v>
      </c>
      <c r="P1614">
        <v>37.87</v>
      </c>
      <c r="Q1614">
        <v>37.95</v>
      </c>
      <c r="R1614">
        <v>37.95</v>
      </c>
      <c r="S1614">
        <v>8.54</v>
      </c>
      <c r="T1614">
        <v>4.28</v>
      </c>
      <c r="U1614">
        <v>-40</v>
      </c>
      <c r="V1614">
        <v>-80</v>
      </c>
      <c r="W1614">
        <v>39.7</v>
      </c>
      <c r="X1614" t="s">
        <v>5183</v>
      </c>
      <c r="Y1614" t="s">
        <v>3165</v>
      </c>
      <c r="Z1614">
        <v>0.77</v>
      </c>
      <c r="AA1614">
        <v>13</v>
      </c>
      <c r="AB1614">
        <v>1</v>
      </c>
      <c r="AC1614">
        <v>5.34</v>
      </c>
      <c r="AD1614" t="s">
        <v>9248</v>
      </c>
      <c r="AE1614" t="s">
        <v>9637</v>
      </c>
      <c r="AF1614" t="s">
        <v>9638</v>
      </c>
      <c r="AG1614" t="s">
        <v>2240</v>
      </c>
      <c r="AH1614">
        <v>6.58</v>
      </c>
      <c r="AI1614">
        <v>6.39</v>
      </c>
      <c r="AJ1614">
        <v>10.82</v>
      </c>
      <c r="AK1614">
        <v>15.45</v>
      </c>
      <c r="AL1614">
        <v>1</v>
      </c>
      <c r="AM1614">
        <v>7.11</v>
      </c>
      <c r="AN1614">
        <v>53.51</v>
      </c>
      <c r="AO1614">
        <v>7.45</v>
      </c>
      <c r="AP1614">
        <v>52.93</v>
      </c>
    </row>
    <row r="1615" spans="1:42">
      <c r="A1615">
        <v>1614</v>
      </c>
      <c r="B1615" t="str">
        <f>"002881"</f>
        <v>002881</v>
      </c>
      <c r="C1615" t="s">
        <v>9639</v>
      </c>
      <c r="D1615">
        <v>28.91</v>
      </c>
      <c r="E1615">
        <v>2.01</v>
      </c>
      <c r="F1615">
        <v>0.57</v>
      </c>
      <c r="G1615" t="s">
        <v>616</v>
      </c>
      <c r="H1615">
        <v>933</v>
      </c>
      <c r="I1615">
        <v>28.9</v>
      </c>
      <c r="J1615">
        <v>28.91</v>
      </c>
      <c r="K1615" t="s">
        <v>9622</v>
      </c>
      <c r="L1615">
        <v>2.35</v>
      </c>
      <c r="M1615" t="s">
        <v>46</v>
      </c>
      <c r="N1615" t="s">
        <v>1386</v>
      </c>
      <c r="O1615">
        <v>29.1</v>
      </c>
      <c r="P1615">
        <v>28.3</v>
      </c>
      <c r="Q1615">
        <v>28.34</v>
      </c>
      <c r="R1615">
        <v>28.34</v>
      </c>
      <c r="S1615">
        <v>2.82</v>
      </c>
      <c r="T1615">
        <v>0.51</v>
      </c>
      <c r="U1615">
        <v>-11.89</v>
      </c>
      <c r="V1615">
        <v>-85</v>
      </c>
      <c r="W1615">
        <v>28.65</v>
      </c>
      <c r="X1615" t="s">
        <v>5237</v>
      </c>
      <c r="Y1615" t="s">
        <v>587</v>
      </c>
      <c r="Z1615">
        <v>0.89</v>
      </c>
      <c r="AA1615">
        <v>178</v>
      </c>
      <c r="AB1615">
        <v>68</v>
      </c>
      <c r="AC1615">
        <v>5.1</v>
      </c>
      <c r="AD1615" t="s">
        <v>9640</v>
      </c>
      <c r="AE1615" t="s">
        <v>9641</v>
      </c>
      <c r="AF1615" t="s">
        <v>7755</v>
      </c>
      <c r="AG1615" t="s">
        <v>9642</v>
      </c>
      <c r="AH1615">
        <v>-2.3</v>
      </c>
      <c r="AI1615">
        <v>-0.93</v>
      </c>
      <c r="AJ1615">
        <v>9.44</v>
      </c>
      <c r="AK1615">
        <v>25.37</v>
      </c>
      <c r="AL1615">
        <v>1</v>
      </c>
      <c r="AM1615">
        <v>2.01</v>
      </c>
      <c r="AN1615">
        <v>8.56</v>
      </c>
      <c r="AO1615">
        <v>8.28</v>
      </c>
      <c r="AP1615">
        <v>-2.66</v>
      </c>
    </row>
    <row r="1616" spans="1:42">
      <c r="A1616">
        <v>1615</v>
      </c>
      <c r="B1616" t="str">
        <f>"000830"</f>
        <v>000830</v>
      </c>
      <c r="C1616" t="s">
        <v>9643</v>
      </c>
      <c r="D1616">
        <v>9.89</v>
      </c>
      <c r="E1616">
        <v>-0.5</v>
      </c>
      <c r="F1616">
        <v>-0.05</v>
      </c>
      <c r="G1616" t="s">
        <v>1986</v>
      </c>
      <c r="H1616">
        <v>551</v>
      </c>
      <c r="I1616">
        <v>9.88</v>
      </c>
      <c r="J1616">
        <v>9.89</v>
      </c>
      <c r="K1616" t="s">
        <v>9622</v>
      </c>
      <c r="L1616">
        <v>0.86</v>
      </c>
      <c r="M1616" t="s">
        <v>46</v>
      </c>
      <c r="N1616" t="s">
        <v>6644</v>
      </c>
      <c r="O1616">
        <v>9.98</v>
      </c>
      <c r="P1616">
        <v>9.81</v>
      </c>
      <c r="Q1616">
        <v>9.96</v>
      </c>
      <c r="R1616">
        <v>9.94</v>
      </c>
      <c r="S1616">
        <v>1.71</v>
      </c>
      <c r="T1616">
        <v>1.25</v>
      </c>
      <c r="U1616">
        <v>61.67</v>
      </c>
      <c r="V1616">
        <v>4733</v>
      </c>
      <c r="W1616">
        <v>9.89</v>
      </c>
      <c r="X1616" t="s">
        <v>9644</v>
      </c>
      <c r="Y1616" t="s">
        <v>5674</v>
      </c>
      <c r="Z1616">
        <v>1.65</v>
      </c>
      <c r="AA1616">
        <v>634</v>
      </c>
      <c r="AB1616">
        <v>137</v>
      </c>
      <c r="AC1616">
        <v>1.14</v>
      </c>
      <c r="AD1616" t="s">
        <v>7680</v>
      </c>
      <c r="AE1616" t="s">
        <v>9645</v>
      </c>
      <c r="AF1616" t="s">
        <v>798</v>
      </c>
      <c r="AG1616" t="s">
        <v>7355</v>
      </c>
      <c r="AH1616">
        <v>-3.04</v>
      </c>
      <c r="AI1616">
        <v>-4.44</v>
      </c>
      <c r="AJ1616">
        <v>2.35</v>
      </c>
      <c r="AK1616">
        <v>4.29</v>
      </c>
      <c r="AL1616">
        <v>-3</v>
      </c>
      <c r="AM1616">
        <v>-0.5</v>
      </c>
      <c r="AN1616">
        <v>-15.76</v>
      </c>
      <c r="AO1616">
        <v>-10.01</v>
      </c>
      <c r="AP1616">
        <v>-17.65</v>
      </c>
    </row>
    <row r="1617" spans="1:42">
      <c r="A1617">
        <v>1616</v>
      </c>
      <c r="B1617" t="str">
        <f>"301060"</f>
        <v>301060</v>
      </c>
      <c r="C1617" t="s">
        <v>9646</v>
      </c>
      <c r="D1617">
        <v>15.01</v>
      </c>
      <c r="E1617">
        <v>3.8</v>
      </c>
      <c r="F1617">
        <v>0.55</v>
      </c>
      <c r="G1617" t="s">
        <v>1317</v>
      </c>
      <c r="H1617">
        <v>2079</v>
      </c>
      <c r="I1617">
        <v>15</v>
      </c>
      <c r="J1617">
        <v>15.02</v>
      </c>
      <c r="K1617" t="s">
        <v>9622</v>
      </c>
      <c r="L1617">
        <v>4.63</v>
      </c>
      <c r="M1617" t="s">
        <v>46</v>
      </c>
      <c r="N1617" t="s">
        <v>4796</v>
      </c>
      <c r="O1617">
        <v>15.09</v>
      </c>
      <c r="P1617">
        <v>14.46</v>
      </c>
      <c r="Q1617">
        <v>14.56</v>
      </c>
      <c r="R1617">
        <v>14.46</v>
      </c>
      <c r="S1617">
        <v>4.36</v>
      </c>
      <c r="T1617">
        <v>1.01</v>
      </c>
      <c r="U1617">
        <v>28.92</v>
      </c>
      <c r="V1617">
        <v>611</v>
      </c>
      <c r="W1617">
        <v>14.9</v>
      </c>
      <c r="X1617" t="s">
        <v>5454</v>
      </c>
      <c r="Y1617" t="s">
        <v>3356</v>
      </c>
      <c r="Z1617">
        <v>0.68</v>
      </c>
      <c r="AA1617">
        <v>288</v>
      </c>
      <c r="AB1617">
        <v>150</v>
      </c>
      <c r="AC1617">
        <v>3.11</v>
      </c>
      <c r="AD1617" t="s">
        <v>4195</v>
      </c>
      <c r="AE1617" t="s">
        <v>8084</v>
      </c>
      <c r="AF1617" t="s">
        <v>9647</v>
      </c>
      <c r="AG1617" t="s">
        <v>9648</v>
      </c>
      <c r="AH1617">
        <v>0.2</v>
      </c>
      <c r="AI1617">
        <v>-3.22</v>
      </c>
      <c r="AJ1617">
        <v>10.47</v>
      </c>
      <c r="AK1617">
        <v>27.47</v>
      </c>
      <c r="AL1617">
        <v>1</v>
      </c>
      <c r="AM1617">
        <v>3.8</v>
      </c>
      <c r="AN1617">
        <v>-22.27</v>
      </c>
      <c r="AO1617">
        <v>6.38</v>
      </c>
      <c r="AP1617">
        <v>-42.25</v>
      </c>
    </row>
    <row r="1618" spans="1:42">
      <c r="A1618">
        <v>1617</v>
      </c>
      <c r="B1618" t="str">
        <f>"688029"</f>
        <v>688029</v>
      </c>
      <c r="C1618" t="s">
        <v>9649</v>
      </c>
      <c r="D1618">
        <v>94.56</v>
      </c>
      <c r="E1618">
        <v>1.73</v>
      </c>
      <c r="F1618">
        <v>1.61</v>
      </c>
      <c r="G1618" t="s">
        <v>383</v>
      </c>
      <c r="H1618">
        <v>141</v>
      </c>
      <c r="I1618">
        <v>94.55</v>
      </c>
      <c r="J1618">
        <v>94.56</v>
      </c>
      <c r="K1618" t="s">
        <v>9622</v>
      </c>
      <c r="L1618">
        <v>0.71</v>
      </c>
      <c r="M1618" t="s">
        <v>46</v>
      </c>
      <c r="N1618" t="s">
        <v>823</v>
      </c>
      <c r="O1618">
        <v>95.09</v>
      </c>
      <c r="P1618">
        <v>91.86</v>
      </c>
      <c r="Q1618">
        <v>92.73</v>
      </c>
      <c r="R1618">
        <v>92.95</v>
      </c>
      <c r="S1618">
        <v>3.47</v>
      </c>
      <c r="T1618">
        <v>1.11</v>
      </c>
      <c r="U1618">
        <v>11.53</v>
      </c>
      <c r="V1618">
        <v>10</v>
      </c>
      <c r="W1618">
        <v>93.52</v>
      </c>
      <c r="X1618">
        <v>6960</v>
      </c>
      <c r="Y1618">
        <v>6296</v>
      </c>
      <c r="Z1618">
        <v>1.11</v>
      </c>
      <c r="AA1618">
        <v>10</v>
      </c>
      <c r="AB1618">
        <v>11</v>
      </c>
      <c r="AC1618">
        <v>5.06</v>
      </c>
      <c r="AD1618" t="s">
        <v>9650</v>
      </c>
      <c r="AE1618" t="s">
        <v>8901</v>
      </c>
      <c r="AF1618" t="s">
        <v>9650</v>
      </c>
      <c r="AG1618" t="s">
        <v>8901</v>
      </c>
      <c r="AH1618">
        <v>2.39</v>
      </c>
      <c r="AI1618">
        <v>5.8</v>
      </c>
      <c r="AJ1618">
        <v>1.99</v>
      </c>
      <c r="AK1618">
        <v>3.88</v>
      </c>
      <c r="AL1618">
        <v>2</v>
      </c>
      <c r="AM1618">
        <v>1.73</v>
      </c>
      <c r="AN1618">
        <v>15.91</v>
      </c>
      <c r="AO1618">
        <v>8.76</v>
      </c>
      <c r="AP1618">
        <v>14.79</v>
      </c>
    </row>
    <row r="1619" spans="1:42">
      <c r="A1619">
        <v>1618</v>
      </c>
      <c r="B1619" t="str">
        <f>"300008"</f>
        <v>300008</v>
      </c>
      <c r="C1619" t="s">
        <v>9651</v>
      </c>
      <c r="D1619">
        <v>4.24</v>
      </c>
      <c r="E1619">
        <v>-0.24</v>
      </c>
      <c r="F1619">
        <v>-0.01</v>
      </c>
      <c r="G1619" t="s">
        <v>3267</v>
      </c>
      <c r="H1619">
        <v>4218</v>
      </c>
      <c r="I1619">
        <v>4.24</v>
      </c>
      <c r="J1619">
        <v>4.25</v>
      </c>
      <c r="K1619" t="s">
        <v>9622</v>
      </c>
      <c r="L1619">
        <v>2.06</v>
      </c>
      <c r="M1619" t="s">
        <v>46</v>
      </c>
      <c r="N1619" t="s">
        <v>3195</v>
      </c>
      <c r="O1619">
        <v>4.25</v>
      </c>
      <c r="P1619">
        <v>4.17</v>
      </c>
      <c r="Q1619">
        <v>4.22</v>
      </c>
      <c r="R1619">
        <v>4.25</v>
      </c>
      <c r="S1619">
        <v>1.88</v>
      </c>
      <c r="T1619">
        <v>1.11</v>
      </c>
      <c r="U1619">
        <v>-22.19</v>
      </c>
      <c r="V1619">
        <v>-8658</v>
      </c>
      <c r="W1619">
        <v>4.2</v>
      </c>
      <c r="X1619" t="s">
        <v>859</v>
      </c>
      <c r="Y1619" t="s">
        <v>262</v>
      </c>
      <c r="Z1619">
        <v>1.61</v>
      </c>
      <c r="AA1619">
        <v>1110</v>
      </c>
      <c r="AB1619" t="s">
        <v>2074</v>
      </c>
      <c r="AC1619">
        <v>3.82</v>
      </c>
      <c r="AD1619" t="s">
        <v>5971</v>
      </c>
      <c r="AE1619" t="s">
        <v>9652</v>
      </c>
      <c r="AF1619" t="s">
        <v>9653</v>
      </c>
      <c r="AG1619" t="s">
        <v>9654</v>
      </c>
      <c r="AH1619">
        <v>0</v>
      </c>
      <c r="AI1619">
        <v>-1.4</v>
      </c>
      <c r="AJ1619">
        <v>6.57</v>
      </c>
      <c r="AK1619">
        <v>11.38</v>
      </c>
      <c r="AL1619">
        <v>-1</v>
      </c>
      <c r="AM1619">
        <v>-0.24</v>
      </c>
      <c r="AN1619">
        <v>7.89</v>
      </c>
      <c r="AO1619">
        <v>-0.47</v>
      </c>
      <c r="AP1619">
        <v>-2.3</v>
      </c>
    </row>
    <row r="1620" spans="1:42">
      <c r="A1620">
        <v>1619</v>
      </c>
      <c r="B1620" t="str">
        <f>"300256"</f>
        <v>300256</v>
      </c>
      <c r="C1620" t="s">
        <v>9655</v>
      </c>
      <c r="D1620">
        <v>3.22</v>
      </c>
      <c r="E1620">
        <v>1.9</v>
      </c>
      <c r="F1620">
        <v>0.06</v>
      </c>
      <c r="G1620" t="s">
        <v>1695</v>
      </c>
      <c r="H1620">
        <v>5312</v>
      </c>
      <c r="I1620">
        <v>3.22</v>
      </c>
      <c r="J1620">
        <v>3.23</v>
      </c>
      <c r="K1620" t="s">
        <v>9622</v>
      </c>
      <c r="L1620">
        <v>2.36</v>
      </c>
      <c r="M1620" t="s">
        <v>46</v>
      </c>
      <c r="N1620" t="s">
        <v>1976</v>
      </c>
      <c r="O1620">
        <v>3.22</v>
      </c>
      <c r="P1620">
        <v>3.15</v>
      </c>
      <c r="Q1620">
        <v>3.18</v>
      </c>
      <c r="R1620">
        <v>3.16</v>
      </c>
      <c r="S1620">
        <v>2.22</v>
      </c>
      <c r="T1620">
        <v>0.74</v>
      </c>
      <c r="U1620">
        <v>-8.71</v>
      </c>
      <c r="V1620">
        <v>-6576</v>
      </c>
      <c r="W1620">
        <v>3.19</v>
      </c>
      <c r="X1620" t="s">
        <v>1403</v>
      </c>
      <c r="Y1620" t="s">
        <v>553</v>
      </c>
      <c r="Z1620">
        <v>0.83</v>
      </c>
      <c r="AA1620">
        <v>1547</v>
      </c>
      <c r="AB1620" t="s">
        <v>905</v>
      </c>
      <c r="AC1620">
        <v>4.12</v>
      </c>
      <c r="AD1620" t="s">
        <v>9656</v>
      </c>
      <c r="AE1620" t="s">
        <v>9657</v>
      </c>
      <c r="AF1620" t="s">
        <v>9658</v>
      </c>
      <c r="AG1620" t="s">
        <v>7158</v>
      </c>
      <c r="AH1620">
        <v>-1.83</v>
      </c>
      <c r="AI1620">
        <v>-3.3</v>
      </c>
      <c r="AJ1620">
        <v>8.17</v>
      </c>
      <c r="AK1620">
        <v>18.35</v>
      </c>
      <c r="AL1620">
        <v>1</v>
      </c>
      <c r="AM1620">
        <v>1.9</v>
      </c>
      <c r="AN1620">
        <v>13.78</v>
      </c>
      <c r="AO1620">
        <v>4.55</v>
      </c>
      <c r="AP1620">
        <v>-4.73</v>
      </c>
    </row>
    <row r="1621" spans="1:42">
      <c r="A1621">
        <v>1620</v>
      </c>
      <c r="B1621" t="str">
        <f>"002454"</f>
        <v>002454</v>
      </c>
      <c r="C1621" t="s">
        <v>9659</v>
      </c>
      <c r="D1621">
        <v>8.21</v>
      </c>
      <c r="E1621">
        <v>-1.56</v>
      </c>
      <c r="F1621">
        <v>-0.13</v>
      </c>
      <c r="G1621" t="s">
        <v>1412</v>
      </c>
      <c r="H1621">
        <v>3259</v>
      </c>
      <c r="I1621">
        <v>8.2</v>
      </c>
      <c r="J1621">
        <v>8.21</v>
      </c>
      <c r="K1621" t="s">
        <v>9622</v>
      </c>
      <c r="L1621">
        <v>2.42</v>
      </c>
      <c r="M1621" t="s">
        <v>46</v>
      </c>
      <c r="N1621" t="s">
        <v>78</v>
      </c>
      <c r="O1621">
        <v>8.33</v>
      </c>
      <c r="P1621">
        <v>8.08</v>
      </c>
      <c r="Q1621">
        <v>8.29</v>
      </c>
      <c r="R1621">
        <v>8.34</v>
      </c>
      <c r="S1621">
        <v>3</v>
      </c>
      <c r="T1621">
        <v>0.83</v>
      </c>
      <c r="U1621">
        <v>-36.96</v>
      </c>
      <c r="V1621">
        <v>-2021</v>
      </c>
      <c r="W1621">
        <v>8.17</v>
      </c>
      <c r="X1621" t="s">
        <v>9660</v>
      </c>
      <c r="Y1621" t="s">
        <v>6873</v>
      </c>
      <c r="Z1621">
        <v>1.48</v>
      </c>
      <c r="AA1621">
        <v>42</v>
      </c>
      <c r="AB1621">
        <v>1455</v>
      </c>
      <c r="AC1621">
        <v>1.34</v>
      </c>
      <c r="AD1621" t="s">
        <v>9661</v>
      </c>
      <c r="AE1621" t="s">
        <v>491</v>
      </c>
      <c r="AF1621" t="s">
        <v>9662</v>
      </c>
      <c r="AG1621" t="s">
        <v>7890</v>
      </c>
      <c r="AH1621">
        <v>-2.73</v>
      </c>
      <c r="AI1621">
        <v>-1.08</v>
      </c>
      <c r="AJ1621">
        <v>9.06</v>
      </c>
      <c r="AK1621">
        <v>17.06</v>
      </c>
      <c r="AL1621">
        <v>-3</v>
      </c>
      <c r="AM1621">
        <v>-1.56</v>
      </c>
      <c r="AN1621">
        <v>16.12</v>
      </c>
      <c r="AO1621">
        <v>2.63</v>
      </c>
      <c r="AP1621">
        <v>8.74</v>
      </c>
    </row>
    <row r="1622" spans="1:42">
      <c r="A1622">
        <v>1621</v>
      </c>
      <c r="B1622" t="str">
        <f>"688653"</f>
        <v>688653</v>
      </c>
      <c r="C1622" t="s">
        <v>9663</v>
      </c>
      <c r="D1622">
        <v>19.54</v>
      </c>
      <c r="E1622">
        <v>0.67</v>
      </c>
      <c r="F1622">
        <v>0.13</v>
      </c>
      <c r="G1622" t="s">
        <v>753</v>
      </c>
      <c r="H1622">
        <v>927</v>
      </c>
      <c r="I1622">
        <v>19.54</v>
      </c>
      <c r="J1622">
        <v>19.55</v>
      </c>
      <c r="K1622" t="s">
        <v>9622</v>
      </c>
      <c r="L1622">
        <v>12.62</v>
      </c>
      <c r="M1622" t="s">
        <v>46</v>
      </c>
      <c r="N1622" t="s">
        <v>5134</v>
      </c>
      <c r="O1622">
        <v>19.67</v>
      </c>
      <c r="P1622">
        <v>19</v>
      </c>
      <c r="Q1622">
        <v>19.46</v>
      </c>
      <c r="R1622">
        <v>19.41</v>
      </c>
      <c r="S1622">
        <v>3.45</v>
      </c>
      <c r="T1622">
        <v>0.62</v>
      </c>
      <c r="U1622">
        <v>-0.09</v>
      </c>
      <c r="V1622">
        <v>-1</v>
      </c>
      <c r="W1622">
        <v>19.32</v>
      </c>
      <c r="X1622" t="s">
        <v>3226</v>
      </c>
      <c r="Y1622" t="s">
        <v>4761</v>
      </c>
      <c r="Z1622">
        <v>0.97</v>
      </c>
      <c r="AA1622">
        <v>198</v>
      </c>
      <c r="AB1622">
        <v>3</v>
      </c>
      <c r="AC1622">
        <v>5.16</v>
      </c>
      <c r="AD1622" t="s">
        <v>9664</v>
      </c>
      <c r="AE1622" t="s">
        <v>9665</v>
      </c>
      <c r="AF1622" t="s">
        <v>9666</v>
      </c>
      <c r="AG1622" t="s">
        <v>9667</v>
      </c>
      <c r="AH1622">
        <v>-6.55</v>
      </c>
      <c r="AI1622">
        <v>-13.39</v>
      </c>
      <c r="AJ1622">
        <v>46.19</v>
      </c>
      <c r="AK1622">
        <v>114.58</v>
      </c>
      <c r="AL1622">
        <v>1</v>
      </c>
      <c r="AM1622">
        <v>0.67</v>
      </c>
      <c r="AN1622">
        <v>86.1</v>
      </c>
      <c r="AO1622">
        <v>86.1</v>
      </c>
      <c r="AP1622">
        <v>86.1</v>
      </c>
    </row>
    <row r="1623" spans="1:42">
      <c r="A1623">
        <v>1622</v>
      </c>
      <c r="B1623" t="str">
        <f>"300862"</f>
        <v>300862</v>
      </c>
      <c r="C1623" t="s">
        <v>9668</v>
      </c>
      <c r="D1623">
        <v>32.15</v>
      </c>
      <c r="E1623">
        <v>2.26</v>
      </c>
      <c r="F1623">
        <v>0.71</v>
      </c>
      <c r="G1623" t="s">
        <v>6794</v>
      </c>
      <c r="H1623">
        <v>598</v>
      </c>
      <c r="I1623">
        <v>32.13</v>
      </c>
      <c r="J1623">
        <v>32.16</v>
      </c>
      <c r="K1623" t="s">
        <v>9622</v>
      </c>
      <c r="L1623">
        <v>2.95</v>
      </c>
      <c r="M1623" t="s">
        <v>46</v>
      </c>
      <c r="N1623" t="s">
        <v>3383</v>
      </c>
      <c r="O1623">
        <v>32.31</v>
      </c>
      <c r="P1623">
        <v>30.9</v>
      </c>
      <c r="Q1623">
        <v>31.31</v>
      </c>
      <c r="R1623">
        <v>31.44</v>
      </c>
      <c r="S1623">
        <v>4.48</v>
      </c>
      <c r="T1623">
        <v>0.85</v>
      </c>
      <c r="U1623">
        <v>-58.33</v>
      </c>
      <c r="V1623">
        <v>-252</v>
      </c>
      <c r="W1623">
        <v>31.82</v>
      </c>
      <c r="X1623" t="s">
        <v>1177</v>
      </c>
      <c r="Y1623" t="s">
        <v>3116</v>
      </c>
      <c r="Z1623">
        <v>0.83</v>
      </c>
      <c r="AA1623">
        <v>11</v>
      </c>
      <c r="AB1623">
        <v>234</v>
      </c>
      <c r="AC1623">
        <v>2.13</v>
      </c>
      <c r="AD1623" t="s">
        <v>3669</v>
      </c>
      <c r="AE1623" t="s">
        <v>9669</v>
      </c>
      <c r="AF1623" t="s">
        <v>3669</v>
      </c>
      <c r="AG1623" t="s">
        <v>9669</v>
      </c>
      <c r="AH1623">
        <v>1.42</v>
      </c>
      <c r="AI1623">
        <v>7.53</v>
      </c>
      <c r="AJ1623">
        <v>10.23</v>
      </c>
      <c r="AK1623">
        <v>20.37</v>
      </c>
      <c r="AL1623">
        <v>1</v>
      </c>
      <c r="AM1623">
        <v>2.26</v>
      </c>
      <c r="AN1623">
        <v>37.22</v>
      </c>
      <c r="AO1623">
        <v>17.98</v>
      </c>
      <c r="AP1623">
        <v>28.91</v>
      </c>
    </row>
    <row r="1624" spans="1:42">
      <c r="A1624">
        <v>1623</v>
      </c>
      <c r="B1624" t="str">
        <f>"300919"</f>
        <v>300919</v>
      </c>
      <c r="C1624" t="s">
        <v>9670</v>
      </c>
      <c r="D1624">
        <v>48.96</v>
      </c>
      <c r="E1624">
        <v>-0.43</v>
      </c>
      <c r="F1624">
        <v>-0.21</v>
      </c>
      <c r="G1624" t="s">
        <v>9251</v>
      </c>
      <c r="H1624">
        <v>381</v>
      </c>
      <c r="I1624">
        <v>48.96</v>
      </c>
      <c r="J1624">
        <v>49</v>
      </c>
      <c r="K1624" t="s">
        <v>9622</v>
      </c>
      <c r="L1624">
        <v>0.88</v>
      </c>
      <c r="M1624" t="s">
        <v>46</v>
      </c>
      <c r="N1624" t="s">
        <v>9671</v>
      </c>
      <c r="O1624">
        <v>49.3</v>
      </c>
      <c r="P1624">
        <v>48.45</v>
      </c>
      <c r="Q1624">
        <v>49.22</v>
      </c>
      <c r="R1624">
        <v>49.17</v>
      </c>
      <c r="S1624">
        <v>1.73</v>
      </c>
      <c r="T1624">
        <v>1.15</v>
      </c>
      <c r="U1624">
        <v>19</v>
      </c>
      <c r="V1624">
        <v>47</v>
      </c>
      <c r="W1624">
        <v>48.82</v>
      </c>
      <c r="X1624" t="s">
        <v>1254</v>
      </c>
      <c r="Y1624" t="s">
        <v>1170</v>
      </c>
      <c r="Z1624">
        <v>0.94</v>
      </c>
      <c r="AA1624">
        <v>21</v>
      </c>
      <c r="AB1624">
        <v>9</v>
      </c>
      <c r="AC1624">
        <v>1.76</v>
      </c>
      <c r="AD1624" t="s">
        <v>9672</v>
      </c>
      <c r="AE1624" t="s">
        <v>7582</v>
      </c>
      <c r="AF1624" t="s">
        <v>9673</v>
      </c>
      <c r="AG1624" t="s">
        <v>9674</v>
      </c>
      <c r="AH1624">
        <v>-3.7</v>
      </c>
      <c r="AI1624">
        <v>-5.52</v>
      </c>
      <c r="AJ1624">
        <v>2.8</v>
      </c>
      <c r="AK1624">
        <v>4.7</v>
      </c>
      <c r="AL1624">
        <v>-3</v>
      </c>
      <c r="AM1624">
        <v>-0.43</v>
      </c>
      <c r="AN1624">
        <v>-25.08</v>
      </c>
      <c r="AO1624">
        <v>-9.2</v>
      </c>
      <c r="AP1624">
        <v>-36.12</v>
      </c>
    </row>
    <row r="1625" spans="1:42">
      <c r="A1625">
        <v>1624</v>
      </c>
      <c r="B1625" t="str">
        <f>"603317"</f>
        <v>603317</v>
      </c>
      <c r="C1625" t="s">
        <v>9675</v>
      </c>
      <c r="D1625">
        <v>14.88</v>
      </c>
      <c r="E1625">
        <v>-0.47</v>
      </c>
      <c r="F1625">
        <v>-0.07</v>
      </c>
      <c r="G1625" t="s">
        <v>7154</v>
      </c>
      <c r="H1625">
        <v>378</v>
      </c>
      <c r="I1625">
        <v>14.87</v>
      </c>
      <c r="J1625">
        <v>14.88</v>
      </c>
      <c r="K1625" t="s">
        <v>9622</v>
      </c>
      <c r="L1625">
        <v>0.78</v>
      </c>
      <c r="M1625" t="s">
        <v>46</v>
      </c>
      <c r="N1625" t="s">
        <v>9676</v>
      </c>
      <c r="O1625">
        <v>15.18</v>
      </c>
      <c r="P1625">
        <v>14.82</v>
      </c>
      <c r="Q1625">
        <v>14.96</v>
      </c>
      <c r="R1625">
        <v>14.95</v>
      </c>
      <c r="S1625">
        <v>2.41</v>
      </c>
      <c r="T1625">
        <v>2.07</v>
      </c>
      <c r="U1625">
        <v>49.69</v>
      </c>
      <c r="V1625">
        <v>418</v>
      </c>
      <c r="W1625">
        <v>14.95</v>
      </c>
      <c r="X1625" t="s">
        <v>7781</v>
      </c>
      <c r="Y1625" t="s">
        <v>7735</v>
      </c>
      <c r="Z1625">
        <v>0.76</v>
      </c>
      <c r="AA1625">
        <v>16</v>
      </c>
      <c r="AB1625">
        <v>40</v>
      </c>
      <c r="AC1625">
        <v>3.8</v>
      </c>
      <c r="AD1625" t="s">
        <v>9677</v>
      </c>
      <c r="AE1625" t="s">
        <v>9678</v>
      </c>
      <c r="AF1625" t="s">
        <v>9679</v>
      </c>
      <c r="AG1625" t="s">
        <v>9680</v>
      </c>
      <c r="AH1625">
        <v>1.99</v>
      </c>
      <c r="AI1625">
        <v>1.71</v>
      </c>
      <c r="AJ1625">
        <v>1.78</v>
      </c>
      <c r="AK1625">
        <v>2.67</v>
      </c>
      <c r="AL1625">
        <v>-1</v>
      </c>
      <c r="AM1625">
        <v>-0.47</v>
      </c>
      <c r="AN1625">
        <v>-23.3</v>
      </c>
      <c r="AO1625">
        <v>0.74</v>
      </c>
      <c r="AP1625">
        <v>-24.96</v>
      </c>
    </row>
    <row r="1626" spans="1:42">
      <c r="A1626">
        <v>1625</v>
      </c>
      <c r="B1626" t="str">
        <f>"002828"</f>
        <v>002828</v>
      </c>
      <c r="C1626" t="s">
        <v>9681</v>
      </c>
      <c r="D1626">
        <v>11.37</v>
      </c>
      <c r="E1626">
        <v>0.09</v>
      </c>
      <c r="F1626">
        <v>0.01</v>
      </c>
      <c r="G1626" t="s">
        <v>1949</v>
      </c>
      <c r="H1626">
        <v>1666</v>
      </c>
      <c r="I1626">
        <v>11.37</v>
      </c>
      <c r="J1626">
        <v>11.38</v>
      </c>
      <c r="K1626" t="s">
        <v>9682</v>
      </c>
      <c r="L1626">
        <v>5.64</v>
      </c>
      <c r="M1626" t="s">
        <v>46</v>
      </c>
      <c r="N1626" t="s">
        <v>2045</v>
      </c>
      <c r="O1626">
        <v>11.44</v>
      </c>
      <c r="P1626">
        <v>11.12</v>
      </c>
      <c r="Q1626">
        <v>11.23</v>
      </c>
      <c r="R1626">
        <v>11.36</v>
      </c>
      <c r="S1626">
        <v>2.82</v>
      </c>
      <c r="T1626">
        <v>1.05</v>
      </c>
      <c r="U1626">
        <v>-0.39</v>
      </c>
      <c r="V1626">
        <v>-20</v>
      </c>
      <c r="W1626">
        <v>11.34</v>
      </c>
      <c r="X1626" t="s">
        <v>5957</v>
      </c>
      <c r="Y1626" t="s">
        <v>787</v>
      </c>
      <c r="Z1626">
        <v>0.95</v>
      </c>
      <c r="AA1626">
        <v>164</v>
      </c>
      <c r="AB1626">
        <v>641</v>
      </c>
      <c r="AC1626">
        <v>3.71</v>
      </c>
      <c r="AD1626" t="s">
        <v>9683</v>
      </c>
      <c r="AE1626" t="s">
        <v>9684</v>
      </c>
      <c r="AF1626" t="s">
        <v>7532</v>
      </c>
      <c r="AG1626" t="s">
        <v>9685</v>
      </c>
      <c r="AH1626">
        <v>1.07</v>
      </c>
      <c r="AI1626">
        <v>-0.79</v>
      </c>
      <c r="AJ1626">
        <v>17.97</v>
      </c>
      <c r="AK1626">
        <v>32.52</v>
      </c>
      <c r="AL1626">
        <v>4</v>
      </c>
      <c r="AM1626">
        <v>0.09</v>
      </c>
      <c r="AN1626">
        <v>29.79</v>
      </c>
      <c r="AO1626">
        <v>3.74</v>
      </c>
      <c r="AP1626">
        <v>17.46</v>
      </c>
    </row>
    <row r="1627" spans="1:42">
      <c r="A1627">
        <v>1626</v>
      </c>
      <c r="B1627" t="str">
        <f>"600497"</f>
        <v>600497</v>
      </c>
      <c r="C1627" t="s">
        <v>9686</v>
      </c>
      <c r="D1627">
        <v>5.06</v>
      </c>
      <c r="E1627">
        <v>0.4</v>
      </c>
      <c r="F1627">
        <v>0.02</v>
      </c>
      <c r="G1627" t="s">
        <v>259</v>
      </c>
      <c r="H1627">
        <v>2703</v>
      </c>
      <c r="I1627">
        <v>5.05</v>
      </c>
      <c r="J1627">
        <v>5.06</v>
      </c>
      <c r="K1627" t="s">
        <v>9682</v>
      </c>
      <c r="L1627">
        <v>0.48</v>
      </c>
      <c r="M1627" t="s">
        <v>46</v>
      </c>
      <c r="N1627" t="s">
        <v>9687</v>
      </c>
      <c r="O1627">
        <v>5.07</v>
      </c>
      <c r="P1627">
        <v>5.01</v>
      </c>
      <c r="Q1627">
        <v>5.04</v>
      </c>
      <c r="R1627">
        <v>5.04</v>
      </c>
      <c r="S1627">
        <v>1.19</v>
      </c>
      <c r="T1627">
        <v>0.72</v>
      </c>
      <c r="U1627">
        <v>-5.39</v>
      </c>
      <c r="V1627">
        <v>-2642</v>
      </c>
      <c r="W1627">
        <v>5.04</v>
      </c>
      <c r="X1627" t="s">
        <v>1908</v>
      </c>
      <c r="Y1627" t="s">
        <v>2025</v>
      </c>
      <c r="Z1627">
        <v>0.94</v>
      </c>
      <c r="AA1627">
        <v>2522</v>
      </c>
      <c r="AB1627">
        <v>1037</v>
      </c>
      <c r="AC1627">
        <v>1.62</v>
      </c>
      <c r="AD1627" t="s">
        <v>9688</v>
      </c>
      <c r="AE1627" t="s">
        <v>1664</v>
      </c>
      <c r="AF1627" t="s">
        <v>9688</v>
      </c>
      <c r="AG1627" t="s">
        <v>1664</v>
      </c>
      <c r="AH1627">
        <v>-0.39</v>
      </c>
      <c r="AI1627">
        <v>-1.17</v>
      </c>
      <c r="AJ1627">
        <v>1.95</v>
      </c>
      <c r="AK1627">
        <v>3.84</v>
      </c>
      <c r="AL1627">
        <v>1</v>
      </c>
      <c r="AM1627">
        <v>0.4</v>
      </c>
      <c r="AN1627">
        <v>2.43</v>
      </c>
      <c r="AO1627">
        <v>-0.98</v>
      </c>
      <c r="AP1627">
        <v>1.2</v>
      </c>
    </row>
    <row r="1628" spans="1:42">
      <c r="A1628">
        <v>1627</v>
      </c>
      <c r="B1628" t="str">
        <f>"002692"</f>
        <v>002692</v>
      </c>
      <c r="C1628" t="s">
        <v>9689</v>
      </c>
      <c r="D1628">
        <v>4.53</v>
      </c>
      <c r="E1628">
        <v>2.72</v>
      </c>
      <c r="F1628">
        <v>0.12</v>
      </c>
      <c r="G1628" t="s">
        <v>1293</v>
      </c>
      <c r="H1628">
        <v>4326</v>
      </c>
      <c r="I1628">
        <v>4.53</v>
      </c>
      <c r="J1628">
        <v>4.54</v>
      </c>
      <c r="K1628" t="s">
        <v>9682</v>
      </c>
      <c r="L1628">
        <v>3.77</v>
      </c>
      <c r="M1628" t="s">
        <v>46</v>
      </c>
      <c r="N1628" t="s">
        <v>2212</v>
      </c>
      <c r="O1628">
        <v>4.81</v>
      </c>
      <c r="P1628">
        <v>4.42</v>
      </c>
      <c r="Q1628">
        <v>4.42</v>
      </c>
      <c r="R1628">
        <v>4.41</v>
      </c>
      <c r="S1628">
        <v>8.84</v>
      </c>
      <c r="T1628">
        <v>1.55</v>
      </c>
      <c r="U1628">
        <v>-19.96</v>
      </c>
      <c r="V1628">
        <v>-1737</v>
      </c>
      <c r="W1628">
        <v>4.55</v>
      </c>
      <c r="X1628" t="s">
        <v>656</v>
      </c>
      <c r="Y1628" t="s">
        <v>3584</v>
      </c>
      <c r="Z1628">
        <v>0.71</v>
      </c>
      <c r="AA1628">
        <v>112</v>
      </c>
      <c r="AB1628">
        <v>2482</v>
      </c>
      <c r="AC1628">
        <v>2.96</v>
      </c>
      <c r="AD1628" t="s">
        <v>9690</v>
      </c>
      <c r="AE1628" t="s">
        <v>9691</v>
      </c>
      <c r="AF1628" t="s">
        <v>9690</v>
      </c>
      <c r="AG1628" t="s">
        <v>9691</v>
      </c>
      <c r="AH1628">
        <v>0.67</v>
      </c>
      <c r="AI1628">
        <v>1.34</v>
      </c>
      <c r="AJ1628">
        <v>7.93</v>
      </c>
      <c r="AK1628">
        <v>15.98</v>
      </c>
      <c r="AL1628">
        <v>2</v>
      </c>
      <c r="AM1628">
        <v>2.72</v>
      </c>
      <c r="AN1628">
        <v>18.59</v>
      </c>
      <c r="AO1628">
        <v>10.49</v>
      </c>
      <c r="AP1628">
        <v>4.38</v>
      </c>
    </row>
    <row r="1629" spans="1:42">
      <c r="A1629">
        <v>1628</v>
      </c>
      <c r="B1629" t="str">
        <f>"601228"</f>
        <v>601228</v>
      </c>
      <c r="C1629" t="s">
        <v>9692</v>
      </c>
      <c r="D1629">
        <v>3.19</v>
      </c>
      <c r="E1629">
        <v>2.57</v>
      </c>
      <c r="F1629">
        <v>0.08</v>
      </c>
      <c r="G1629" t="s">
        <v>1628</v>
      </c>
      <c r="H1629">
        <v>3874</v>
      </c>
      <c r="I1629">
        <v>3.18</v>
      </c>
      <c r="J1629">
        <v>3.19</v>
      </c>
      <c r="K1629" t="s">
        <v>9682</v>
      </c>
      <c r="L1629">
        <v>0.6</v>
      </c>
      <c r="M1629" t="s">
        <v>46</v>
      </c>
      <c r="N1629" t="s">
        <v>9693</v>
      </c>
      <c r="O1629">
        <v>3.19</v>
      </c>
      <c r="P1629">
        <v>3.1</v>
      </c>
      <c r="Q1629">
        <v>3.11</v>
      </c>
      <c r="R1629">
        <v>3.11</v>
      </c>
      <c r="S1629">
        <v>2.89</v>
      </c>
      <c r="T1629">
        <v>2.87</v>
      </c>
      <c r="U1629">
        <v>-31.3</v>
      </c>
      <c r="V1629" t="s">
        <v>9694</v>
      </c>
      <c r="W1629">
        <v>3.16</v>
      </c>
      <c r="X1629" t="s">
        <v>3734</v>
      </c>
      <c r="Y1629" t="s">
        <v>2857</v>
      </c>
      <c r="Z1629">
        <v>0.34</v>
      </c>
      <c r="AA1629">
        <v>1425</v>
      </c>
      <c r="AB1629" t="s">
        <v>61</v>
      </c>
      <c r="AC1629">
        <v>1.2</v>
      </c>
      <c r="AD1629" t="s">
        <v>9695</v>
      </c>
      <c r="AE1629" t="s">
        <v>9696</v>
      </c>
      <c r="AF1629" t="s">
        <v>9697</v>
      </c>
      <c r="AG1629" t="s">
        <v>9698</v>
      </c>
      <c r="AH1629">
        <v>1.59</v>
      </c>
      <c r="AI1629">
        <v>2.24</v>
      </c>
      <c r="AJ1629">
        <v>0.98</v>
      </c>
      <c r="AK1629">
        <v>1.64</v>
      </c>
      <c r="AL1629">
        <v>1</v>
      </c>
      <c r="AM1629">
        <v>2.57</v>
      </c>
      <c r="AN1629">
        <v>2.57</v>
      </c>
      <c r="AO1629">
        <v>3.57</v>
      </c>
      <c r="AP1629">
        <v>1.92</v>
      </c>
    </row>
    <row r="1630" spans="1:42">
      <c r="A1630">
        <v>1629</v>
      </c>
      <c r="B1630" t="str">
        <f>"002840"</f>
        <v>002840</v>
      </c>
      <c r="C1630" t="s">
        <v>9699</v>
      </c>
      <c r="D1630">
        <v>18.69</v>
      </c>
      <c r="E1630">
        <v>-0.74</v>
      </c>
      <c r="F1630">
        <v>-0.14</v>
      </c>
      <c r="G1630" t="s">
        <v>7394</v>
      </c>
      <c r="H1630">
        <v>748</v>
      </c>
      <c r="I1630">
        <v>18.56</v>
      </c>
      <c r="J1630">
        <v>18.69</v>
      </c>
      <c r="K1630" t="s">
        <v>9682</v>
      </c>
      <c r="L1630">
        <v>1.42</v>
      </c>
      <c r="M1630" t="s">
        <v>46</v>
      </c>
      <c r="N1630" t="s">
        <v>9700</v>
      </c>
      <c r="O1630">
        <v>19.15</v>
      </c>
      <c r="P1630">
        <v>18.37</v>
      </c>
      <c r="Q1630">
        <v>18.9</v>
      </c>
      <c r="R1630">
        <v>18.83</v>
      </c>
      <c r="S1630">
        <v>4.14</v>
      </c>
      <c r="T1630">
        <v>0.84</v>
      </c>
      <c r="U1630">
        <v>-21.07</v>
      </c>
      <c r="V1630">
        <v>-152</v>
      </c>
      <c r="W1630">
        <v>18.67</v>
      </c>
      <c r="X1630" t="s">
        <v>1687</v>
      </c>
      <c r="Y1630" t="s">
        <v>5923</v>
      </c>
      <c r="Z1630">
        <v>1.02</v>
      </c>
      <c r="AA1630">
        <v>118</v>
      </c>
      <c r="AB1630">
        <v>31</v>
      </c>
      <c r="AC1630">
        <v>5</v>
      </c>
      <c r="AD1630" t="s">
        <v>9701</v>
      </c>
      <c r="AE1630" t="s">
        <v>9702</v>
      </c>
      <c r="AF1630" t="s">
        <v>9703</v>
      </c>
      <c r="AG1630" t="s">
        <v>9704</v>
      </c>
      <c r="AH1630">
        <v>0.43</v>
      </c>
      <c r="AI1630">
        <v>2.75</v>
      </c>
      <c r="AJ1630">
        <v>3.91</v>
      </c>
      <c r="AK1630">
        <v>9.92</v>
      </c>
      <c r="AL1630">
        <v>-1</v>
      </c>
      <c r="AM1630">
        <v>-0.74</v>
      </c>
      <c r="AN1630">
        <v>10.85</v>
      </c>
      <c r="AO1630">
        <v>12.93</v>
      </c>
      <c r="AP1630">
        <v>12.32</v>
      </c>
    </row>
    <row r="1631" spans="1:42">
      <c r="A1631">
        <v>1630</v>
      </c>
      <c r="B1631" t="str">
        <f>"300257"</f>
        <v>300257</v>
      </c>
      <c r="C1631" t="s">
        <v>9705</v>
      </c>
      <c r="D1631">
        <v>15.54</v>
      </c>
      <c r="E1631">
        <v>0.32</v>
      </c>
      <c r="F1631">
        <v>0.05</v>
      </c>
      <c r="G1631" t="s">
        <v>6821</v>
      </c>
      <c r="H1631">
        <v>285</v>
      </c>
      <c r="I1631">
        <v>15.53</v>
      </c>
      <c r="J1631">
        <v>15.54</v>
      </c>
      <c r="K1631" t="s">
        <v>9682</v>
      </c>
      <c r="L1631">
        <v>0.84</v>
      </c>
      <c r="M1631" t="s">
        <v>46</v>
      </c>
      <c r="N1631" t="s">
        <v>9706</v>
      </c>
      <c r="O1631">
        <v>15.65</v>
      </c>
      <c r="P1631">
        <v>15.17</v>
      </c>
      <c r="Q1631">
        <v>15.5</v>
      </c>
      <c r="R1631">
        <v>15.49</v>
      </c>
      <c r="S1631">
        <v>3.1</v>
      </c>
      <c r="T1631">
        <v>1.22</v>
      </c>
      <c r="U1631">
        <v>30.08</v>
      </c>
      <c r="V1631">
        <v>222</v>
      </c>
      <c r="W1631">
        <v>15.37</v>
      </c>
      <c r="X1631" t="s">
        <v>6314</v>
      </c>
      <c r="Y1631" t="s">
        <v>456</v>
      </c>
      <c r="Z1631">
        <v>0.83</v>
      </c>
      <c r="AA1631">
        <v>26</v>
      </c>
      <c r="AB1631">
        <v>76</v>
      </c>
      <c r="AC1631">
        <v>2.48</v>
      </c>
      <c r="AD1631" t="s">
        <v>9707</v>
      </c>
      <c r="AE1631" t="s">
        <v>2677</v>
      </c>
      <c r="AF1631" t="s">
        <v>9708</v>
      </c>
      <c r="AG1631" t="s">
        <v>9709</v>
      </c>
      <c r="AH1631">
        <v>7.92</v>
      </c>
      <c r="AI1631">
        <v>8.29</v>
      </c>
      <c r="AJ1631">
        <v>3.49</v>
      </c>
      <c r="AK1631">
        <v>4.29</v>
      </c>
      <c r="AL1631">
        <v>5</v>
      </c>
      <c r="AM1631">
        <v>0.32</v>
      </c>
      <c r="AN1631">
        <v>4.3</v>
      </c>
      <c r="AO1631">
        <v>11.16</v>
      </c>
      <c r="AP1631">
        <v>-5.01</v>
      </c>
    </row>
    <row r="1632" spans="1:42">
      <c r="A1632">
        <v>1631</v>
      </c>
      <c r="B1632" t="str">
        <f>"600718"</f>
        <v>600718</v>
      </c>
      <c r="C1632" t="s">
        <v>9710</v>
      </c>
      <c r="D1632">
        <v>9.92</v>
      </c>
      <c r="E1632">
        <v>3.55</v>
      </c>
      <c r="F1632">
        <v>0.34</v>
      </c>
      <c r="G1632" t="s">
        <v>2025</v>
      </c>
      <c r="H1632">
        <v>1849</v>
      </c>
      <c r="I1632">
        <v>9.92</v>
      </c>
      <c r="J1632">
        <v>9.93</v>
      </c>
      <c r="K1632" t="s">
        <v>9682</v>
      </c>
      <c r="L1632">
        <v>1.05</v>
      </c>
      <c r="M1632" t="s">
        <v>46</v>
      </c>
      <c r="N1632" t="s">
        <v>6261</v>
      </c>
      <c r="O1632">
        <v>9.95</v>
      </c>
      <c r="P1632">
        <v>9.54</v>
      </c>
      <c r="Q1632">
        <v>9.58</v>
      </c>
      <c r="R1632">
        <v>9.58</v>
      </c>
      <c r="S1632">
        <v>4.28</v>
      </c>
      <c r="T1632">
        <v>1.29</v>
      </c>
      <c r="U1632">
        <v>-48.09</v>
      </c>
      <c r="V1632">
        <v>-2205</v>
      </c>
      <c r="W1632">
        <v>9.77</v>
      </c>
      <c r="X1632" t="s">
        <v>7430</v>
      </c>
      <c r="Y1632" t="s">
        <v>9036</v>
      </c>
      <c r="Z1632">
        <v>0.69</v>
      </c>
      <c r="AA1632">
        <v>166</v>
      </c>
      <c r="AB1632">
        <v>693</v>
      </c>
      <c r="AC1632">
        <v>1.26</v>
      </c>
      <c r="AD1632" t="s">
        <v>9711</v>
      </c>
      <c r="AE1632" t="s">
        <v>7826</v>
      </c>
      <c r="AF1632" t="s">
        <v>9712</v>
      </c>
      <c r="AG1632" t="s">
        <v>9713</v>
      </c>
      <c r="AH1632">
        <v>0.81</v>
      </c>
      <c r="AI1632">
        <v>-0.9</v>
      </c>
      <c r="AJ1632">
        <v>2.63</v>
      </c>
      <c r="AK1632">
        <v>5.12</v>
      </c>
      <c r="AL1632">
        <v>1</v>
      </c>
      <c r="AM1632">
        <v>3.55</v>
      </c>
      <c r="AN1632">
        <v>-0.3</v>
      </c>
      <c r="AO1632">
        <v>3.12</v>
      </c>
      <c r="AP1632">
        <v>-10.79</v>
      </c>
    </row>
    <row r="1633" spans="1:42">
      <c r="A1633">
        <v>1632</v>
      </c>
      <c r="B1633" t="str">
        <f>"003042"</f>
        <v>003042</v>
      </c>
      <c r="C1633" t="s">
        <v>9714</v>
      </c>
      <c r="D1633">
        <v>19.13</v>
      </c>
      <c r="E1633">
        <v>0.1</v>
      </c>
      <c r="F1633">
        <v>0.02</v>
      </c>
      <c r="G1633" t="s">
        <v>8321</v>
      </c>
      <c r="H1633">
        <v>1793</v>
      </c>
      <c r="I1633">
        <v>19.13</v>
      </c>
      <c r="J1633">
        <v>19.14</v>
      </c>
      <c r="K1633" t="s">
        <v>9682</v>
      </c>
      <c r="L1633">
        <v>9.39</v>
      </c>
      <c r="M1633" t="s">
        <v>46</v>
      </c>
      <c r="N1633" t="s">
        <v>2900</v>
      </c>
      <c r="O1633">
        <v>19.57</v>
      </c>
      <c r="P1633">
        <v>18.97</v>
      </c>
      <c r="Q1633">
        <v>19.13</v>
      </c>
      <c r="R1633">
        <v>19.11</v>
      </c>
      <c r="S1633">
        <v>3.14</v>
      </c>
      <c r="T1633">
        <v>1.12</v>
      </c>
      <c r="U1633">
        <v>17.51</v>
      </c>
      <c r="V1633">
        <v>193</v>
      </c>
      <c r="W1633">
        <v>19.22</v>
      </c>
      <c r="X1633" t="s">
        <v>1899</v>
      </c>
      <c r="Y1633" t="s">
        <v>1711</v>
      </c>
      <c r="Z1633">
        <v>1.32</v>
      </c>
      <c r="AA1633">
        <v>229</v>
      </c>
      <c r="AB1633">
        <v>190</v>
      </c>
      <c r="AC1633">
        <v>1.73</v>
      </c>
      <c r="AD1633" t="s">
        <v>6877</v>
      </c>
      <c r="AE1633" t="s">
        <v>9715</v>
      </c>
      <c r="AF1633" t="s">
        <v>9716</v>
      </c>
      <c r="AG1633" t="s">
        <v>9717</v>
      </c>
      <c r="AH1633">
        <v>-4.54</v>
      </c>
      <c r="AI1633">
        <v>2.03</v>
      </c>
      <c r="AJ1633">
        <v>31.13</v>
      </c>
      <c r="AK1633">
        <v>51.38</v>
      </c>
      <c r="AL1633">
        <v>1</v>
      </c>
      <c r="AM1633">
        <v>0.1</v>
      </c>
      <c r="AN1633">
        <v>-26.2</v>
      </c>
      <c r="AO1633">
        <v>6.87</v>
      </c>
      <c r="AP1633">
        <v>-28.41</v>
      </c>
    </row>
    <row r="1634" spans="1:42">
      <c r="A1634">
        <v>1633</v>
      </c>
      <c r="B1634" t="str">
        <f>"002106"</f>
        <v>002106</v>
      </c>
      <c r="C1634" t="s">
        <v>9718</v>
      </c>
      <c r="D1634">
        <v>10.78</v>
      </c>
      <c r="E1634">
        <v>1.32</v>
      </c>
      <c r="F1634">
        <v>0.14</v>
      </c>
      <c r="G1634" t="s">
        <v>4356</v>
      </c>
      <c r="H1634">
        <v>2153</v>
      </c>
      <c r="I1634">
        <v>10.78</v>
      </c>
      <c r="J1634">
        <v>10.79</v>
      </c>
      <c r="K1634" t="s">
        <v>9682</v>
      </c>
      <c r="L1634">
        <v>1.63</v>
      </c>
      <c r="M1634" t="s">
        <v>46</v>
      </c>
      <c r="N1634" t="s">
        <v>9719</v>
      </c>
      <c r="O1634">
        <v>10.84</v>
      </c>
      <c r="P1634">
        <v>10.5</v>
      </c>
      <c r="Q1634">
        <v>10.67</v>
      </c>
      <c r="R1634">
        <v>10.64</v>
      </c>
      <c r="S1634">
        <v>3.2</v>
      </c>
      <c r="T1634">
        <v>0.78</v>
      </c>
      <c r="U1634">
        <v>-52.54</v>
      </c>
      <c r="V1634">
        <v>-2382</v>
      </c>
      <c r="W1634">
        <v>10.72</v>
      </c>
      <c r="X1634" t="s">
        <v>8037</v>
      </c>
      <c r="Y1634" t="s">
        <v>9550</v>
      </c>
      <c r="Z1634">
        <v>1.06</v>
      </c>
      <c r="AA1634">
        <v>46</v>
      </c>
      <c r="AB1634">
        <v>1124</v>
      </c>
      <c r="AC1634">
        <v>1.48</v>
      </c>
      <c r="AD1634" t="s">
        <v>9587</v>
      </c>
      <c r="AE1634" t="s">
        <v>9720</v>
      </c>
      <c r="AF1634" t="s">
        <v>9721</v>
      </c>
      <c r="AG1634" t="s">
        <v>2307</v>
      </c>
      <c r="AH1634">
        <v>-1.73</v>
      </c>
      <c r="AI1634">
        <v>-0.46</v>
      </c>
      <c r="AJ1634">
        <v>6.18</v>
      </c>
      <c r="AK1634">
        <v>12.06</v>
      </c>
      <c r="AL1634">
        <v>1</v>
      </c>
      <c r="AM1634">
        <v>1.32</v>
      </c>
      <c r="AN1634">
        <v>44.12</v>
      </c>
      <c r="AO1634">
        <v>1.32</v>
      </c>
      <c r="AP1634">
        <v>32.27</v>
      </c>
    </row>
    <row r="1635" spans="1:42">
      <c r="A1635">
        <v>1634</v>
      </c>
      <c r="B1635" t="str">
        <f>"603131"</f>
        <v>603131</v>
      </c>
      <c r="C1635" t="s">
        <v>9722</v>
      </c>
      <c r="D1635">
        <v>15.89</v>
      </c>
      <c r="E1635">
        <v>0.51</v>
      </c>
      <c r="F1635">
        <v>0.08</v>
      </c>
      <c r="G1635" t="s">
        <v>9723</v>
      </c>
      <c r="H1635">
        <v>901</v>
      </c>
      <c r="I1635">
        <v>15.89</v>
      </c>
      <c r="J1635">
        <v>15.9</v>
      </c>
      <c r="K1635" t="s">
        <v>9682</v>
      </c>
      <c r="L1635">
        <v>2.44</v>
      </c>
      <c r="M1635" t="s">
        <v>46</v>
      </c>
      <c r="N1635" t="s">
        <v>9724</v>
      </c>
      <c r="O1635">
        <v>15.96</v>
      </c>
      <c r="P1635">
        <v>15.58</v>
      </c>
      <c r="Q1635">
        <v>15.84</v>
      </c>
      <c r="R1635">
        <v>15.81</v>
      </c>
      <c r="S1635">
        <v>2.4</v>
      </c>
      <c r="T1635">
        <v>1</v>
      </c>
      <c r="U1635">
        <v>21.95</v>
      </c>
      <c r="V1635">
        <v>563</v>
      </c>
      <c r="W1635">
        <v>15.84</v>
      </c>
      <c r="X1635" t="s">
        <v>8166</v>
      </c>
      <c r="Y1635" t="s">
        <v>5983</v>
      </c>
      <c r="Z1635">
        <v>0.97</v>
      </c>
      <c r="AA1635">
        <v>494</v>
      </c>
      <c r="AB1635">
        <v>388</v>
      </c>
      <c r="AC1635">
        <v>3.91</v>
      </c>
      <c r="AD1635" t="s">
        <v>9196</v>
      </c>
      <c r="AE1635" t="s">
        <v>5222</v>
      </c>
      <c r="AF1635" t="s">
        <v>9196</v>
      </c>
      <c r="AG1635" t="s">
        <v>5222</v>
      </c>
      <c r="AH1635">
        <v>1.4</v>
      </c>
      <c r="AI1635">
        <v>-1.67</v>
      </c>
      <c r="AJ1635">
        <v>7.37</v>
      </c>
      <c r="AK1635">
        <v>14.7</v>
      </c>
      <c r="AL1635">
        <v>2</v>
      </c>
      <c r="AM1635">
        <v>0.51</v>
      </c>
      <c r="AN1635">
        <v>44.72</v>
      </c>
      <c r="AO1635">
        <v>-0.44</v>
      </c>
      <c r="AP1635">
        <v>25.22</v>
      </c>
    </row>
    <row r="1636" spans="1:42">
      <c r="A1636">
        <v>1635</v>
      </c>
      <c r="B1636" t="str">
        <f>"603168"</f>
        <v>603168</v>
      </c>
      <c r="C1636" t="s">
        <v>9725</v>
      </c>
      <c r="D1636">
        <v>10.61</v>
      </c>
      <c r="E1636">
        <v>0.47</v>
      </c>
      <c r="F1636">
        <v>0.05</v>
      </c>
      <c r="G1636" t="s">
        <v>1807</v>
      </c>
      <c r="H1636">
        <v>1441</v>
      </c>
      <c r="I1636">
        <v>10.61</v>
      </c>
      <c r="J1636">
        <v>10.62</v>
      </c>
      <c r="K1636" t="s">
        <v>9682</v>
      </c>
      <c r="L1636">
        <v>3.61</v>
      </c>
      <c r="M1636" t="s">
        <v>46</v>
      </c>
      <c r="N1636" t="s">
        <v>2789</v>
      </c>
      <c r="O1636">
        <v>10.63</v>
      </c>
      <c r="P1636">
        <v>10.42</v>
      </c>
      <c r="Q1636">
        <v>10.51</v>
      </c>
      <c r="R1636">
        <v>10.56</v>
      </c>
      <c r="S1636">
        <v>1.99</v>
      </c>
      <c r="T1636">
        <v>0.84</v>
      </c>
      <c r="U1636">
        <v>-3.14</v>
      </c>
      <c r="V1636">
        <v>-154</v>
      </c>
      <c r="W1636">
        <v>10.54</v>
      </c>
      <c r="X1636" t="s">
        <v>4746</v>
      </c>
      <c r="Y1636" t="s">
        <v>5316</v>
      </c>
      <c r="Z1636">
        <v>1.14</v>
      </c>
      <c r="AA1636">
        <v>224</v>
      </c>
      <c r="AB1636">
        <v>957</v>
      </c>
      <c r="AC1636">
        <v>2.27</v>
      </c>
      <c r="AD1636" t="s">
        <v>9726</v>
      </c>
      <c r="AE1636" t="s">
        <v>9727</v>
      </c>
      <c r="AF1636" t="s">
        <v>9728</v>
      </c>
      <c r="AG1636" t="s">
        <v>9729</v>
      </c>
      <c r="AH1636">
        <v>-0.75</v>
      </c>
      <c r="AI1636">
        <v>-2.84</v>
      </c>
      <c r="AJ1636">
        <v>8.68</v>
      </c>
      <c r="AK1636">
        <v>25.08</v>
      </c>
      <c r="AL1636">
        <v>2</v>
      </c>
      <c r="AM1636">
        <v>0.47</v>
      </c>
      <c r="AN1636">
        <v>16.85</v>
      </c>
      <c r="AO1636">
        <v>0.09</v>
      </c>
      <c r="AP1636">
        <v>25.27</v>
      </c>
    </row>
    <row r="1637" spans="1:42">
      <c r="A1637">
        <v>1636</v>
      </c>
      <c r="B1637" t="str">
        <f>"301550"</f>
        <v>301550</v>
      </c>
      <c r="C1637" t="s">
        <v>9730</v>
      </c>
      <c r="D1637">
        <v>52.25</v>
      </c>
      <c r="E1637">
        <v>-0.11</v>
      </c>
      <c r="F1637">
        <v>-0.06</v>
      </c>
      <c r="G1637" t="s">
        <v>4017</v>
      </c>
      <c r="H1637">
        <v>254</v>
      </c>
      <c r="I1637">
        <v>52.25</v>
      </c>
      <c r="J1637">
        <v>52.26</v>
      </c>
      <c r="K1637" t="s">
        <v>9682</v>
      </c>
      <c r="L1637">
        <v>9.15</v>
      </c>
      <c r="M1637" t="s">
        <v>46</v>
      </c>
      <c r="N1637" t="s">
        <v>5837</v>
      </c>
      <c r="O1637">
        <v>52.55</v>
      </c>
      <c r="P1637">
        <v>50.58</v>
      </c>
      <c r="Q1637">
        <v>52</v>
      </c>
      <c r="R1637">
        <v>52.31</v>
      </c>
      <c r="S1637">
        <v>3.77</v>
      </c>
      <c r="T1637">
        <v>0.79</v>
      </c>
      <c r="U1637">
        <v>-29.96</v>
      </c>
      <c r="V1637">
        <v>-77</v>
      </c>
      <c r="W1637">
        <v>51.49</v>
      </c>
      <c r="X1637" t="s">
        <v>1743</v>
      </c>
      <c r="Y1637" t="s">
        <v>4792</v>
      </c>
      <c r="Z1637">
        <v>0.94</v>
      </c>
      <c r="AA1637">
        <v>58</v>
      </c>
      <c r="AB1637">
        <v>11</v>
      </c>
      <c r="AC1637">
        <v>3.71</v>
      </c>
      <c r="AD1637" t="s">
        <v>3374</v>
      </c>
      <c r="AE1637" t="s">
        <v>9731</v>
      </c>
      <c r="AF1637" t="s">
        <v>9732</v>
      </c>
      <c r="AG1637" t="s">
        <v>9733</v>
      </c>
      <c r="AH1637">
        <v>-2.01</v>
      </c>
      <c r="AI1637">
        <v>-4.27</v>
      </c>
      <c r="AJ1637">
        <v>35.79</v>
      </c>
      <c r="AK1637">
        <v>67.36</v>
      </c>
      <c r="AL1637">
        <v>-4</v>
      </c>
      <c r="AM1637">
        <v>-0.11</v>
      </c>
      <c r="AN1637">
        <v>39.11</v>
      </c>
      <c r="AO1637">
        <v>-4.65</v>
      </c>
      <c r="AP1637">
        <v>39.11</v>
      </c>
    </row>
    <row r="1638" spans="1:42">
      <c r="A1638">
        <v>1637</v>
      </c>
      <c r="B1638" t="str">
        <f>"300807"</f>
        <v>300807</v>
      </c>
      <c r="C1638" t="s">
        <v>9734</v>
      </c>
      <c r="D1638">
        <v>37.13</v>
      </c>
      <c r="E1638">
        <v>-0.77</v>
      </c>
      <c r="F1638">
        <v>-0.29</v>
      </c>
      <c r="G1638" t="s">
        <v>3457</v>
      </c>
      <c r="H1638">
        <v>698</v>
      </c>
      <c r="I1638">
        <v>37.13</v>
      </c>
      <c r="J1638">
        <v>37.14</v>
      </c>
      <c r="K1638" t="s">
        <v>9682</v>
      </c>
      <c r="L1638">
        <v>6.83</v>
      </c>
      <c r="M1638" t="s">
        <v>46</v>
      </c>
      <c r="N1638" t="s">
        <v>9735</v>
      </c>
      <c r="O1638">
        <v>37.38</v>
      </c>
      <c r="P1638">
        <v>36.2</v>
      </c>
      <c r="Q1638">
        <v>36.49</v>
      </c>
      <c r="R1638">
        <v>37.42</v>
      </c>
      <c r="S1638">
        <v>3.15</v>
      </c>
      <c r="T1638">
        <v>0.5</v>
      </c>
      <c r="U1638">
        <v>46.32</v>
      </c>
      <c r="V1638">
        <v>126</v>
      </c>
      <c r="W1638">
        <v>36.85</v>
      </c>
      <c r="X1638" t="s">
        <v>2329</v>
      </c>
      <c r="Y1638" t="s">
        <v>4105</v>
      </c>
      <c r="Z1638">
        <v>1.34</v>
      </c>
      <c r="AA1638">
        <v>67</v>
      </c>
      <c r="AB1638">
        <v>44</v>
      </c>
      <c r="AC1638">
        <v>4.59</v>
      </c>
      <c r="AD1638" t="s">
        <v>9736</v>
      </c>
      <c r="AE1638" t="s">
        <v>9737</v>
      </c>
      <c r="AF1638" t="s">
        <v>9738</v>
      </c>
      <c r="AG1638" t="s">
        <v>9739</v>
      </c>
      <c r="AH1638">
        <v>-7.22</v>
      </c>
      <c r="AI1638">
        <v>-4.13</v>
      </c>
      <c r="AJ1638">
        <v>29.61</v>
      </c>
      <c r="AK1638">
        <v>74.51</v>
      </c>
      <c r="AL1638">
        <v>-3</v>
      </c>
      <c r="AM1638">
        <v>-0.77</v>
      </c>
      <c r="AN1638">
        <v>81.65</v>
      </c>
      <c r="AO1638">
        <v>6.54</v>
      </c>
      <c r="AP1638">
        <v>61.15</v>
      </c>
    </row>
    <row r="1639" spans="1:42">
      <c r="A1639">
        <v>1638</v>
      </c>
      <c r="B1639" t="str">
        <f>"002414"</f>
        <v>002414</v>
      </c>
      <c r="C1639" t="s">
        <v>9740</v>
      </c>
      <c r="D1639">
        <v>7.67</v>
      </c>
      <c r="E1639">
        <v>-1.16</v>
      </c>
      <c r="F1639">
        <v>-0.09</v>
      </c>
      <c r="G1639" t="s">
        <v>571</v>
      </c>
      <c r="H1639">
        <v>2691</v>
      </c>
      <c r="I1639">
        <v>7.66</v>
      </c>
      <c r="J1639">
        <v>7.67</v>
      </c>
      <c r="K1639" t="s">
        <v>9682</v>
      </c>
      <c r="L1639">
        <v>0.47</v>
      </c>
      <c r="M1639" t="s">
        <v>46</v>
      </c>
      <c r="N1639" t="s">
        <v>3673</v>
      </c>
      <c r="O1639">
        <v>7.76</v>
      </c>
      <c r="P1639">
        <v>7.61</v>
      </c>
      <c r="Q1639">
        <v>7.72</v>
      </c>
      <c r="R1639">
        <v>7.76</v>
      </c>
      <c r="S1639">
        <v>1.93</v>
      </c>
      <c r="T1639">
        <v>1.23</v>
      </c>
      <c r="U1639">
        <v>47.83</v>
      </c>
      <c r="V1639">
        <v>4674</v>
      </c>
      <c r="W1639">
        <v>7.66</v>
      </c>
      <c r="X1639" t="s">
        <v>4441</v>
      </c>
      <c r="Y1639" t="s">
        <v>9741</v>
      </c>
      <c r="Z1639">
        <v>1.4</v>
      </c>
      <c r="AA1639">
        <v>1029</v>
      </c>
      <c r="AB1639">
        <v>274</v>
      </c>
      <c r="AC1639">
        <v>4.69</v>
      </c>
      <c r="AD1639" t="s">
        <v>9742</v>
      </c>
      <c r="AE1639" t="s">
        <v>9743</v>
      </c>
      <c r="AF1639" t="s">
        <v>9744</v>
      </c>
      <c r="AG1639" t="s">
        <v>8541</v>
      </c>
      <c r="AH1639">
        <v>-2.17</v>
      </c>
      <c r="AI1639">
        <v>-2.91</v>
      </c>
      <c r="AJ1639">
        <v>1.35</v>
      </c>
      <c r="AK1639">
        <v>2.39</v>
      </c>
      <c r="AL1639">
        <v>-2</v>
      </c>
      <c r="AM1639">
        <v>-1.16</v>
      </c>
      <c r="AN1639">
        <v>-8.25</v>
      </c>
      <c r="AO1639">
        <v>-2.54</v>
      </c>
      <c r="AP1639">
        <v>-17.08</v>
      </c>
    </row>
    <row r="1640" spans="1:42">
      <c r="A1640">
        <v>1639</v>
      </c>
      <c r="B1640" t="str">
        <f>"301312"</f>
        <v>301312</v>
      </c>
      <c r="C1640" t="s">
        <v>9745</v>
      </c>
      <c r="D1640">
        <v>96.77</v>
      </c>
      <c r="E1640">
        <v>3.44</v>
      </c>
      <c r="F1640">
        <v>3.22</v>
      </c>
      <c r="G1640" t="s">
        <v>209</v>
      </c>
      <c r="H1640">
        <v>204</v>
      </c>
      <c r="I1640">
        <v>96.76</v>
      </c>
      <c r="J1640">
        <v>96.77</v>
      </c>
      <c r="K1640" t="s">
        <v>9682</v>
      </c>
      <c r="L1640">
        <v>7.6</v>
      </c>
      <c r="M1640" t="s">
        <v>46</v>
      </c>
      <c r="N1640" t="s">
        <v>6464</v>
      </c>
      <c r="O1640">
        <v>98.28</v>
      </c>
      <c r="P1640">
        <v>91.51</v>
      </c>
      <c r="Q1640">
        <v>93.71</v>
      </c>
      <c r="R1640">
        <v>93.55</v>
      </c>
      <c r="S1640">
        <v>7.24</v>
      </c>
      <c r="T1640">
        <v>1.17</v>
      </c>
      <c r="U1640">
        <v>-31.97</v>
      </c>
      <c r="V1640">
        <v>-63</v>
      </c>
      <c r="W1640">
        <v>96</v>
      </c>
      <c r="X1640">
        <v>6310</v>
      </c>
      <c r="Y1640">
        <v>6467</v>
      </c>
      <c r="Z1640">
        <v>0.98</v>
      </c>
      <c r="AA1640">
        <v>3</v>
      </c>
      <c r="AB1640">
        <v>100</v>
      </c>
      <c r="AC1640">
        <v>5.31</v>
      </c>
      <c r="AD1640" t="s">
        <v>9746</v>
      </c>
      <c r="AE1640" t="s">
        <v>4065</v>
      </c>
      <c r="AF1640" t="s">
        <v>9747</v>
      </c>
      <c r="AG1640" t="s">
        <v>9748</v>
      </c>
      <c r="AH1640">
        <v>-1.61</v>
      </c>
      <c r="AI1640">
        <v>9.41</v>
      </c>
      <c r="AJ1640">
        <v>19.07</v>
      </c>
      <c r="AK1640">
        <v>40.19</v>
      </c>
      <c r="AL1640">
        <v>1</v>
      </c>
      <c r="AM1640">
        <v>3.44</v>
      </c>
      <c r="AN1640">
        <v>72.13</v>
      </c>
      <c r="AO1640">
        <v>28.63</v>
      </c>
      <c r="AP1640">
        <v>36.05</v>
      </c>
    </row>
    <row r="1641" spans="1:42">
      <c r="A1641">
        <v>1640</v>
      </c>
      <c r="B1641" t="str">
        <f>"600138"</f>
        <v>600138</v>
      </c>
      <c r="C1641" t="s">
        <v>9749</v>
      </c>
      <c r="D1641">
        <v>10.91</v>
      </c>
      <c r="E1641">
        <v>0.28</v>
      </c>
      <c r="F1641">
        <v>0.03</v>
      </c>
      <c r="G1641" t="s">
        <v>656</v>
      </c>
      <c r="H1641">
        <v>1125</v>
      </c>
      <c r="I1641">
        <v>10.91</v>
      </c>
      <c r="J1641">
        <v>10.92</v>
      </c>
      <c r="K1641" t="s">
        <v>9682</v>
      </c>
      <c r="L1641">
        <v>1.55</v>
      </c>
      <c r="M1641" t="s">
        <v>46</v>
      </c>
      <c r="N1641" t="s">
        <v>9750</v>
      </c>
      <c r="O1641">
        <v>11</v>
      </c>
      <c r="P1641">
        <v>10.81</v>
      </c>
      <c r="Q1641">
        <v>10.85</v>
      </c>
      <c r="R1641">
        <v>10.88</v>
      </c>
      <c r="S1641">
        <v>1.75</v>
      </c>
      <c r="T1641">
        <v>0.88</v>
      </c>
      <c r="U1641">
        <v>-25.83</v>
      </c>
      <c r="V1641">
        <v>-1624</v>
      </c>
      <c r="W1641">
        <v>10.91</v>
      </c>
      <c r="X1641" t="s">
        <v>787</v>
      </c>
      <c r="Y1641" t="s">
        <v>5289</v>
      </c>
      <c r="Z1641">
        <v>0.99</v>
      </c>
      <c r="AA1641">
        <v>253</v>
      </c>
      <c r="AB1641">
        <v>806</v>
      </c>
      <c r="AC1641">
        <v>1.27</v>
      </c>
      <c r="AD1641" t="s">
        <v>9751</v>
      </c>
      <c r="AE1641" t="s">
        <v>4057</v>
      </c>
      <c r="AF1641" t="s">
        <v>9751</v>
      </c>
      <c r="AG1641" t="s">
        <v>4057</v>
      </c>
      <c r="AH1641">
        <v>0.28</v>
      </c>
      <c r="AI1641">
        <v>0.93</v>
      </c>
      <c r="AJ1641">
        <v>4.82</v>
      </c>
      <c r="AK1641">
        <v>10.34</v>
      </c>
      <c r="AL1641">
        <v>2</v>
      </c>
      <c r="AM1641">
        <v>0.28</v>
      </c>
      <c r="AN1641">
        <v>-28.18</v>
      </c>
      <c r="AO1641">
        <v>3.31</v>
      </c>
      <c r="AP1641">
        <v>-5.54</v>
      </c>
    </row>
    <row r="1642" spans="1:42">
      <c r="A1642">
        <v>1641</v>
      </c>
      <c r="B1642" t="str">
        <f>"000028"</f>
        <v>000028</v>
      </c>
      <c r="C1642" t="s">
        <v>9752</v>
      </c>
      <c r="D1642">
        <v>30.48</v>
      </c>
      <c r="E1642">
        <v>-0.68</v>
      </c>
      <c r="F1642">
        <v>-0.21</v>
      </c>
      <c r="G1642" t="s">
        <v>5383</v>
      </c>
      <c r="H1642">
        <v>416</v>
      </c>
      <c r="I1642">
        <v>30.47</v>
      </c>
      <c r="J1642">
        <v>30.48</v>
      </c>
      <c r="K1642" t="s">
        <v>9682</v>
      </c>
      <c r="L1642">
        <v>0.84</v>
      </c>
      <c r="M1642" t="s">
        <v>46</v>
      </c>
      <c r="N1642" t="s">
        <v>9753</v>
      </c>
      <c r="O1642">
        <v>30.91</v>
      </c>
      <c r="P1642">
        <v>30.35</v>
      </c>
      <c r="Q1642">
        <v>30.57</v>
      </c>
      <c r="R1642">
        <v>30.69</v>
      </c>
      <c r="S1642">
        <v>1.82</v>
      </c>
      <c r="T1642">
        <v>0.83</v>
      </c>
      <c r="U1642">
        <v>22.13</v>
      </c>
      <c r="V1642">
        <v>108</v>
      </c>
      <c r="W1642">
        <v>30.51</v>
      </c>
      <c r="X1642" t="s">
        <v>4963</v>
      </c>
      <c r="Y1642" t="s">
        <v>128</v>
      </c>
      <c r="Z1642">
        <v>1.17</v>
      </c>
      <c r="AA1642">
        <v>118</v>
      </c>
      <c r="AB1642">
        <v>39</v>
      </c>
      <c r="AC1642">
        <v>1</v>
      </c>
      <c r="AD1642" t="s">
        <v>9754</v>
      </c>
      <c r="AE1642" t="s">
        <v>9755</v>
      </c>
      <c r="AF1642" t="s">
        <v>9756</v>
      </c>
      <c r="AG1642" t="s">
        <v>9757</v>
      </c>
      <c r="AH1642">
        <v>-0.85</v>
      </c>
      <c r="AI1642">
        <v>-0.62</v>
      </c>
      <c r="AJ1642">
        <v>2.61</v>
      </c>
      <c r="AK1642">
        <v>5.93</v>
      </c>
      <c r="AL1642">
        <v>-1</v>
      </c>
      <c r="AM1642">
        <v>-0.68</v>
      </c>
      <c r="AN1642">
        <v>23.5</v>
      </c>
      <c r="AO1642">
        <v>5.98</v>
      </c>
      <c r="AP1642">
        <v>17.87</v>
      </c>
    </row>
    <row r="1643" spans="1:42">
      <c r="A1643">
        <v>1642</v>
      </c>
      <c r="B1643" t="str">
        <f>"000524"</f>
        <v>000524</v>
      </c>
      <c r="C1643" t="s">
        <v>9758</v>
      </c>
      <c r="D1643">
        <v>8.81</v>
      </c>
      <c r="E1643">
        <v>-1.56</v>
      </c>
      <c r="F1643">
        <v>-0.14</v>
      </c>
      <c r="G1643" t="s">
        <v>784</v>
      </c>
      <c r="H1643">
        <v>1042</v>
      </c>
      <c r="I1643">
        <v>8.8</v>
      </c>
      <c r="J1643">
        <v>8.81</v>
      </c>
      <c r="K1643" t="s">
        <v>8233</v>
      </c>
      <c r="L1643">
        <v>2.07</v>
      </c>
      <c r="M1643" t="s">
        <v>46</v>
      </c>
      <c r="N1643" t="s">
        <v>9759</v>
      </c>
      <c r="O1643">
        <v>9.01</v>
      </c>
      <c r="P1643">
        <v>8.78</v>
      </c>
      <c r="Q1643">
        <v>8.95</v>
      </c>
      <c r="R1643">
        <v>8.95</v>
      </c>
      <c r="S1643">
        <v>2.57</v>
      </c>
      <c r="T1643">
        <v>1.96</v>
      </c>
      <c r="U1643">
        <v>44.7</v>
      </c>
      <c r="V1643">
        <v>1926</v>
      </c>
      <c r="W1643">
        <v>8.85</v>
      </c>
      <c r="X1643" t="s">
        <v>3765</v>
      </c>
      <c r="Y1643" t="s">
        <v>4900</v>
      </c>
      <c r="Z1643">
        <v>1.35</v>
      </c>
      <c r="AA1643">
        <v>447</v>
      </c>
      <c r="AB1643">
        <v>219</v>
      </c>
      <c r="AC1643">
        <v>2.82</v>
      </c>
      <c r="AD1643" t="s">
        <v>9760</v>
      </c>
      <c r="AE1643" t="s">
        <v>9761</v>
      </c>
      <c r="AF1643" t="s">
        <v>9762</v>
      </c>
      <c r="AG1643" t="s">
        <v>9763</v>
      </c>
      <c r="AH1643">
        <v>0.92</v>
      </c>
      <c r="AI1643">
        <v>1.38</v>
      </c>
      <c r="AJ1643">
        <v>4.8</v>
      </c>
      <c r="AK1643">
        <v>7.33</v>
      </c>
      <c r="AL1643">
        <v>-1</v>
      </c>
      <c r="AM1643">
        <v>-1.56</v>
      </c>
      <c r="AN1643">
        <v>-26.52</v>
      </c>
      <c r="AO1643">
        <v>3.65</v>
      </c>
      <c r="AP1643">
        <v>-5.47</v>
      </c>
    </row>
    <row r="1644" spans="1:42">
      <c r="A1644">
        <v>1643</v>
      </c>
      <c r="B1644" t="str">
        <f>"600685"</f>
        <v>600685</v>
      </c>
      <c r="C1644" t="s">
        <v>9764</v>
      </c>
      <c r="D1644">
        <v>23.74</v>
      </c>
      <c r="E1644">
        <v>-0.67</v>
      </c>
      <c r="F1644">
        <v>-0.16</v>
      </c>
      <c r="G1644" t="s">
        <v>2386</v>
      </c>
      <c r="H1644">
        <v>317</v>
      </c>
      <c r="I1644">
        <v>23.74</v>
      </c>
      <c r="J1644">
        <v>23.75</v>
      </c>
      <c r="K1644" t="s">
        <v>8233</v>
      </c>
      <c r="L1644">
        <v>0.63</v>
      </c>
      <c r="M1644" t="s">
        <v>46</v>
      </c>
      <c r="N1644" t="s">
        <v>9765</v>
      </c>
      <c r="O1644">
        <v>23.9</v>
      </c>
      <c r="P1644">
        <v>23.48</v>
      </c>
      <c r="Q1644">
        <v>23.9</v>
      </c>
      <c r="R1644">
        <v>23.9</v>
      </c>
      <c r="S1644">
        <v>1.76</v>
      </c>
      <c r="T1644">
        <v>0.84</v>
      </c>
      <c r="U1644">
        <v>36.58</v>
      </c>
      <c r="V1644">
        <v>491</v>
      </c>
      <c r="W1644">
        <v>23.62</v>
      </c>
      <c r="X1644" t="s">
        <v>3121</v>
      </c>
      <c r="Y1644" t="s">
        <v>9766</v>
      </c>
      <c r="Z1644">
        <v>1.12</v>
      </c>
      <c r="AA1644">
        <v>166</v>
      </c>
      <c r="AB1644">
        <v>185</v>
      </c>
      <c r="AC1644">
        <v>2.07</v>
      </c>
      <c r="AD1644" t="s">
        <v>9767</v>
      </c>
      <c r="AE1644" t="s">
        <v>9768</v>
      </c>
      <c r="AF1644" t="s">
        <v>9769</v>
      </c>
      <c r="AG1644" t="s">
        <v>9770</v>
      </c>
      <c r="AH1644">
        <v>-0.29</v>
      </c>
      <c r="AI1644">
        <v>0.21</v>
      </c>
      <c r="AJ1644">
        <v>2.7</v>
      </c>
      <c r="AK1644">
        <v>4.41</v>
      </c>
      <c r="AL1644">
        <v>-1</v>
      </c>
      <c r="AM1644">
        <v>-0.67</v>
      </c>
      <c r="AN1644">
        <v>14.41</v>
      </c>
      <c r="AO1644">
        <v>5.37</v>
      </c>
      <c r="AP1644">
        <v>-6.2</v>
      </c>
    </row>
    <row r="1645" spans="1:42">
      <c r="A1645">
        <v>1644</v>
      </c>
      <c r="B1645" t="str">
        <f>"300068"</f>
        <v>300068</v>
      </c>
      <c r="C1645" t="s">
        <v>9771</v>
      </c>
      <c r="D1645">
        <v>13.17</v>
      </c>
      <c r="E1645">
        <v>0.23</v>
      </c>
      <c r="F1645">
        <v>0.03</v>
      </c>
      <c r="G1645" t="s">
        <v>109</v>
      </c>
      <c r="H1645">
        <v>2057</v>
      </c>
      <c r="I1645">
        <v>13.17</v>
      </c>
      <c r="J1645">
        <v>13.18</v>
      </c>
      <c r="K1645" t="s">
        <v>8233</v>
      </c>
      <c r="L1645">
        <v>1.13</v>
      </c>
      <c r="M1645" t="s">
        <v>46</v>
      </c>
      <c r="N1645" t="s">
        <v>1958</v>
      </c>
      <c r="O1645">
        <v>13.24</v>
      </c>
      <c r="P1645">
        <v>13.05</v>
      </c>
      <c r="Q1645">
        <v>13.19</v>
      </c>
      <c r="R1645">
        <v>13.14</v>
      </c>
      <c r="S1645">
        <v>1.45</v>
      </c>
      <c r="T1645">
        <v>0.86</v>
      </c>
      <c r="U1645">
        <v>5.12</v>
      </c>
      <c r="V1645">
        <v>174</v>
      </c>
      <c r="W1645">
        <v>13.14</v>
      </c>
      <c r="X1645" t="s">
        <v>6615</v>
      </c>
      <c r="Y1645" t="s">
        <v>7877</v>
      </c>
      <c r="Z1645">
        <v>1.22</v>
      </c>
      <c r="AA1645">
        <v>229</v>
      </c>
      <c r="AB1645">
        <v>295</v>
      </c>
      <c r="AC1645">
        <v>1.99</v>
      </c>
      <c r="AD1645" t="s">
        <v>9772</v>
      </c>
      <c r="AE1645" t="s">
        <v>7759</v>
      </c>
      <c r="AF1645" t="s">
        <v>9773</v>
      </c>
      <c r="AG1645" t="s">
        <v>9774</v>
      </c>
      <c r="AH1645">
        <v>-2.8</v>
      </c>
      <c r="AI1645">
        <v>-5.59</v>
      </c>
      <c r="AJ1645">
        <v>3.64</v>
      </c>
      <c r="AK1645">
        <v>7.65</v>
      </c>
      <c r="AL1645">
        <v>1</v>
      </c>
      <c r="AM1645">
        <v>0.23</v>
      </c>
      <c r="AN1645">
        <v>-38.17</v>
      </c>
      <c r="AO1645">
        <v>-2.01</v>
      </c>
      <c r="AP1645">
        <v>-29.8</v>
      </c>
    </row>
    <row r="1646" spans="1:42">
      <c r="A1646">
        <v>1645</v>
      </c>
      <c r="B1646" t="str">
        <f>"300147"</f>
        <v>300147</v>
      </c>
      <c r="C1646" t="s">
        <v>9775</v>
      </c>
      <c r="D1646">
        <v>5.77</v>
      </c>
      <c r="E1646">
        <v>-0.52</v>
      </c>
      <c r="F1646">
        <v>-0.03</v>
      </c>
      <c r="G1646" t="s">
        <v>3217</v>
      </c>
      <c r="H1646">
        <v>1778</v>
      </c>
      <c r="I1646">
        <v>5.77</v>
      </c>
      <c r="J1646">
        <v>5.78</v>
      </c>
      <c r="K1646" t="s">
        <v>8233</v>
      </c>
      <c r="L1646">
        <v>3.19</v>
      </c>
      <c r="M1646" t="s">
        <v>46</v>
      </c>
      <c r="N1646" t="s">
        <v>4024</v>
      </c>
      <c r="O1646">
        <v>5.93</v>
      </c>
      <c r="P1646">
        <v>5.74</v>
      </c>
      <c r="Q1646">
        <v>5.79</v>
      </c>
      <c r="R1646">
        <v>5.8</v>
      </c>
      <c r="S1646">
        <v>3.28</v>
      </c>
      <c r="T1646">
        <v>0.44</v>
      </c>
      <c r="U1646">
        <v>33.97</v>
      </c>
      <c r="V1646">
        <v>3614</v>
      </c>
      <c r="W1646">
        <v>5.82</v>
      </c>
      <c r="X1646" t="s">
        <v>262</v>
      </c>
      <c r="Y1646" t="s">
        <v>4886</v>
      </c>
      <c r="Z1646">
        <v>1.17</v>
      </c>
      <c r="AA1646">
        <v>715</v>
      </c>
      <c r="AB1646">
        <v>268</v>
      </c>
      <c r="AC1646">
        <v>1.69</v>
      </c>
      <c r="AD1646" t="s">
        <v>6160</v>
      </c>
      <c r="AE1646" t="s">
        <v>6743</v>
      </c>
      <c r="AF1646" t="s">
        <v>9776</v>
      </c>
      <c r="AG1646" t="s">
        <v>8257</v>
      </c>
      <c r="AH1646">
        <v>-2.7</v>
      </c>
      <c r="AI1646">
        <v>-3.67</v>
      </c>
      <c r="AJ1646">
        <v>10.8</v>
      </c>
      <c r="AK1646">
        <v>39.7</v>
      </c>
      <c r="AL1646">
        <v>-1</v>
      </c>
      <c r="AM1646">
        <v>-0.52</v>
      </c>
      <c r="AN1646">
        <v>-4.94</v>
      </c>
      <c r="AO1646">
        <v>6.26</v>
      </c>
      <c r="AP1646">
        <v>-12.44</v>
      </c>
    </row>
    <row r="1647" spans="1:42">
      <c r="A1647">
        <v>1646</v>
      </c>
      <c r="B1647" t="str">
        <f>"000802"</f>
        <v>000802</v>
      </c>
      <c r="C1647" t="s">
        <v>9777</v>
      </c>
      <c r="D1647">
        <v>6.48</v>
      </c>
      <c r="E1647">
        <v>3.35</v>
      </c>
      <c r="F1647">
        <v>0.21</v>
      </c>
      <c r="G1647" t="s">
        <v>2382</v>
      </c>
      <c r="H1647">
        <v>1425</v>
      </c>
      <c r="I1647">
        <v>6.47</v>
      </c>
      <c r="J1647">
        <v>6.48</v>
      </c>
      <c r="K1647" t="s">
        <v>8233</v>
      </c>
      <c r="L1647">
        <v>2.66</v>
      </c>
      <c r="M1647" t="s">
        <v>46</v>
      </c>
      <c r="N1647" t="s">
        <v>9035</v>
      </c>
      <c r="O1647">
        <v>6.5</v>
      </c>
      <c r="P1647">
        <v>6.25</v>
      </c>
      <c r="Q1647">
        <v>6.25</v>
      </c>
      <c r="R1647">
        <v>6.27</v>
      </c>
      <c r="S1647">
        <v>3.99</v>
      </c>
      <c r="T1647">
        <v>1.75</v>
      </c>
      <c r="U1647">
        <v>-13.75</v>
      </c>
      <c r="V1647">
        <v>-2378</v>
      </c>
      <c r="W1647">
        <v>6.42</v>
      </c>
      <c r="X1647" t="s">
        <v>4654</v>
      </c>
      <c r="Y1647" t="s">
        <v>1790</v>
      </c>
      <c r="Z1647">
        <v>0.57</v>
      </c>
      <c r="AA1647">
        <v>962</v>
      </c>
      <c r="AB1647">
        <v>2255</v>
      </c>
      <c r="AC1647">
        <v>3.31</v>
      </c>
      <c r="AD1647" t="s">
        <v>9778</v>
      </c>
      <c r="AE1647" t="s">
        <v>9779</v>
      </c>
      <c r="AF1647" t="s">
        <v>9780</v>
      </c>
      <c r="AG1647" t="s">
        <v>9781</v>
      </c>
      <c r="AH1647">
        <v>2.86</v>
      </c>
      <c r="AI1647">
        <v>2.21</v>
      </c>
      <c r="AJ1647">
        <v>5.34</v>
      </c>
      <c r="AK1647">
        <v>10.24</v>
      </c>
      <c r="AL1647">
        <v>2</v>
      </c>
      <c r="AM1647">
        <v>3.35</v>
      </c>
      <c r="AN1647">
        <v>19.78</v>
      </c>
      <c r="AO1647">
        <v>7.46</v>
      </c>
      <c r="AP1647">
        <v>53.19</v>
      </c>
    </row>
    <row r="1648" spans="1:42">
      <c r="A1648">
        <v>1647</v>
      </c>
      <c r="B1648" t="str">
        <f>"300129"</f>
        <v>300129</v>
      </c>
      <c r="C1648" t="s">
        <v>9782</v>
      </c>
      <c r="D1648">
        <v>9.66</v>
      </c>
      <c r="E1648">
        <v>-0.21</v>
      </c>
      <c r="F1648">
        <v>-0.02</v>
      </c>
      <c r="G1648" t="s">
        <v>3971</v>
      </c>
      <c r="H1648">
        <v>765</v>
      </c>
      <c r="I1648">
        <v>9.66</v>
      </c>
      <c r="J1648">
        <v>9.67</v>
      </c>
      <c r="K1648" t="s">
        <v>8233</v>
      </c>
      <c r="L1648">
        <v>1.96</v>
      </c>
      <c r="M1648" t="s">
        <v>46</v>
      </c>
      <c r="N1648" t="s">
        <v>9783</v>
      </c>
      <c r="O1648">
        <v>9.7</v>
      </c>
      <c r="P1648">
        <v>9.47</v>
      </c>
      <c r="Q1648">
        <v>9.64</v>
      </c>
      <c r="R1648">
        <v>9.68</v>
      </c>
      <c r="S1648">
        <v>2.38</v>
      </c>
      <c r="T1648">
        <v>1.07</v>
      </c>
      <c r="U1648">
        <v>-47.62</v>
      </c>
      <c r="V1648">
        <v>-3885</v>
      </c>
      <c r="W1648">
        <v>9.59</v>
      </c>
      <c r="X1648" t="s">
        <v>4833</v>
      </c>
      <c r="Y1648" t="s">
        <v>3090</v>
      </c>
      <c r="Z1648">
        <v>1.14</v>
      </c>
      <c r="AA1648">
        <v>338</v>
      </c>
      <c r="AB1648">
        <v>47</v>
      </c>
      <c r="AC1648">
        <v>2.13</v>
      </c>
      <c r="AD1648" t="s">
        <v>9784</v>
      </c>
      <c r="AE1648" t="s">
        <v>5047</v>
      </c>
      <c r="AF1648" t="s">
        <v>9785</v>
      </c>
      <c r="AG1648" t="s">
        <v>5635</v>
      </c>
      <c r="AH1648">
        <v>-4.92</v>
      </c>
      <c r="AI1648">
        <v>-1.33</v>
      </c>
      <c r="AJ1648">
        <v>5.9</v>
      </c>
      <c r="AK1648">
        <v>11.13</v>
      </c>
      <c r="AL1648">
        <v>-3</v>
      </c>
      <c r="AM1648">
        <v>-0.21</v>
      </c>
      <c r="AN1648">
        <v>35.67</v>
      </c>
      <c r="AO1648">
        <v>-6.03</v>
      </c>
      <c r="AP1648">
        <v>24.48</v>
      </c>
    </row>
    <row r="1649" spans="1:42">
      <c r="A1649">
        <v>1648</v>
      </c>
      <c r="B1649" t="str">
        <f>"000426"</f>
        <v>000426</v>
      </c>
      <c r="C1649" t="s">
        <v>9786</v>
      </c>
      <c r="D1649">
        <v>9.07</v>
      </c>
      <c r="E1649">
        <v>0.78</v>
      </c>
      <c r="F1649">
        <v>0.07</v>
      </c>
      <c r="G1649" t="s">
        <v>4247</v>
      </c>
      <c r="H1649">
        <v>2036</v>
      </c>
      <c r="I1649">
        <v>9.06</v>
      </c>
      <c r="J1649">
        <v>9.07</v>
      </c>
      <c r="K1649" t="s">
        <v>8233</v>
      </c>
      <c r="L1649">
        <v>0.91</v>
      </c>
      <c r="M1649" t="s">
        <v>46</v>
      </c>
      <c r="N1649" t="s">
        <v>2966</v>
      </c>
      <c r="O1649">
        <v>9.12</v>
      </c>
      <c r="P1649">
        <v>8.89</v>
      </c>
      <c r="Q1649">
        <v>9</v>
      </c>
      <c r="R1649">
        <v>9</v>
      </c>
      <c r="S1649">
        <v>2.56</v>
      </c>
      <c r="T1649">
        <v>0.64</v>
      </c>
      <c r="U1649">
        <v>-28.45</v>
      </c>
      <c r="V1649">
        <v>-3250</v>
      </c>
      <c r="W1649">
        <v>9.02</v>
      </c>
      <c r="X1649" t="s">
        <v>9787</v>
      </c>
      <c r="Y1649" t="s">
        <v>3091</v>
      </c>
      <c r="Z1649">
        <v>0.85</v>
      </c>
      <c r="AA1649">
        <v>111</v>
      </c>
      <c r="AB1649">
        <v>655</v>
      </c>
      <c r="AC1649">
        <v>2.74</v>
      </c>
      <c r="AD1649" t="s">
        <v>9788</v>
      </c>
      <c r="AE1649" t="s">
        <v>9789</v>
      </c>
      <c r="AF1649" t="s">
        <v>9790</v>
      </c>
      <c r="AG1649" t="s">
        <v>9791</v>
      </c>
      <c r="AH1649">
        <v>-0.66</v>
      </c>
      <c r="AI1649">
        <v>0.55</v>
      </c>
      <c r="AJ1649">
        <v>3.53</v>
      </c>
      <c r="AK1649">
        <v>8.05</v>
      </c>
      <c r="AL1649">
        <v>1</v>
      </c>
      <c r="AM1649">
        <v>0.78</v>
      </c>
      <c r="AN1649">
        <v>49.42</v>
      </c>
      <c r="AO1649">
        <v>0.78</v>
      </c>
      <c r="AP1649">
        <v>50.17</v>
      </c>
    </row>
    <row r="1650" spans="1:42">
      <c r="A1650">
        <v>1649</v>
      </c>
      <c r="B1650" t="str">
        <f>"600529"</f>
        <v>600529</v>
      </c>
      <c r="C1650" t="s">
        <v>9792</v>
      </c>
      <c r="D1650">
        <v>26.3</v>
      </c>
      <c r="E1650">
        <v>-0.23</v>
      </c>
      <c r="F1650">
        <v>-0.06</v>
      </c>
      <c r="G1650" t="s">
        <v>944</v>
      </c>
      <c r="H1650">
        <v>280</v>
      </c>
      <c r="I1650">
        <v>26.29</v>
      </c>
      <c r="J1650">
        <v>26.3</v>
      </c>
      <c r="K1650" t="s">
        <v>8233</v>
      </c>
      <c r="L1650">
        <v>0.7</v>
      </c>
      <c r="M1650" t="s">
        <v>46</v>
      </c>
      <c r="N1650" t="s">
        <v>6704</v>
      </c>
      <c r="O1650">
        <v>26.58</v>
      </c>
      <c r="P1650">
        <v>26.14</v>
      </c>
      <c r="Q1650">
        <v>26.39</v>
      </c>
      <c r="R1650">
        <v>26.36</v>
      </c>
      <c r="S1650">
        <v>1.67</v>
      </c>
      <c r="T1650">
        <v>0.98</v>
      </c>
      <c r="U1650">
        <v>34.94</v>
      </c>
      <c r="V1650">
        <v>217</v>
      </c>
      <c r="W1650">
        <v>26.32</v>
      </c>
      <c r="X1650" t="s">
        <v>9272</v>
      </c>
      <c r="Y1650" t="s">
        <v>2102</v>
      </c>
      <c r="Z1650">
        <v>1.11</v>
      </c>
      <c r="AA1650">
        <v>3</v>
      </c>
      <c r="AB1650">
        <v>126</v>
      </c>
      <c r="AC1650">
        <v>2.37</v>
      </c>
      <c r="AD1650" t="s">
        <v>9793</v>
      </c>
      <c r="AE1650" t="s">
        <v>4964</v>
      </c>
      <c r="AF1650" t="s">
        <v>9793</v>
      </c>
      <c r="AG1650" t="s">
        <v>4964</v>
      </c>
      <c r="AH1650">
        <v>-1.35</v>
      </c>
      <c r="AI1650">
        <v>0.23</v>
      </c>
      <c r="AJ1650">
        <v>1.84</v>
      </c>
      <c r="AK1650">
        <v>4.26</v>
      </c>
      <c r="AL1650">
        <v>-3</v>
      </c>
      <c r="AM1650">
        <v>-0.23</v>
      </c>
      <c r="AN1650">
        <v>-6.41</v>
      </c>
      <c r="AO1650">
        <v>-3.17</v>
      </c>
      <c r="AP1650">
        <v>-11.83</v>
      </c>
    </row>
    <row r="1651" spans="1:42">
      <c r="A1651">
        <v>1650</v>
      </c>
      <c r="B1651" t="str">
        <f>"831906"</f>
        <v>831906</v>
      </c>
      <c r="C1651" t="s">
        <v>9794</v>
      </c>
      <c r="D1651">
        <v>15.97</v>
      </c>
      <c r="E1651">
        <v>-14.46</v>
      </c>
      <c r="F1651">
        <v>-2.7</v>
      </c>
      <c r="G1651" t="s">
        <v>7753</v>
      </c>
      <c r="H1651">
        <v>904</v>
      </c>
      <c r="I1651">
        <v>15.96</v>
      </c>
      <c r="J1651">
        <v>15.97</v>
      </c>
      <c r="K1651" t="s">
        <v>8233</v>
      </c>
      <c r="L1651">
        <v>35.93</v>
      </c>
      <c r="M1651" t="s">
        <v>46</v>
      </c>
      <c r="N1651" t="s">
        <v>6625</v>
      </c>
      <c r="O1651">
        <v>18.53</v>
      </c>
      <c r="P1651">
        <v>15.78</v>
      </c>
      <c r="Q1651">
        <v>17.82</v>
      </c>
      <c r="R1651">
        <v>18.67</v>
      </c>
      <c r="S1651">
        <v>14.73</v>
      </c>
      <c r="T1651">
        <v>0.74</v>
      </c>
      <c r="U1651">
        <v>-13.73</v>
      </c>
      <c r="V1651">
        <v>-55</v>
      </c>
      <c r="W1651">
        <v>16.97</v>
      </c>
      <c r="X1651" t="s">
        <v>1321</v>
      </c>
      <c r="Y1651" t="s">
        <v>1080</v>
      </c>
      <c r="Z1651">
        <v>1.46</v>
      </c>
      <c r="AA1651">
        <v>47</v>
      </c>
      <c r="AB1651">
        <v>114</v>
      </c>
      <c r="AC1651">
        <v>1.95</v>
      </c>
      <c r="AD1651" t="s">
        <v>9795</v>
      </c>
      <c r="AE1651" t="s">
        <v>9796</v>
      </c>
      <c r="AF1651" t="s">
        <v>9797</v>
      </c>
      <c r="AG1651" t="s">
        <v>9798</v>
      </c>
      <c r="AH1651">
        <v>-25.27</v>
      </c>
      <c r="AI1651">
        <v>21.44</v>
      </c>
      <c r="AJ1651">
        <v>132.92</v>
      </c>
      <c r="AK1651">
        <v>279.19</v>
      </c>
      <c r="AL1651">
        <v>-2</v>
      </c>
      <c r="AM1651">
        <v>-14.46</v>
      </c>
      <c r="AN1651">
        <v>7.54</v>
      </c>
      <c r="AO1651">
        <v>54.6</v>
      </c>
      <c r="AP1651">
        <v>7.54</v>
      </c>
    </row>
    <row r="1652" spans="1:42">
      <c r="A1652">
        <v>1651</v>
      </c>
      <c r="B1652" t="str">
        <f>"300479"</f>
        <v>300479</v>
      </c>
      <c r="C1652" t="s">
        <v>9799</v>
      </c>
      <c r="D1652">
        <v>20.6</v>
      </c>
      <c r="E1652">
        <v>2.44</v>
      </c>
      <c r="F1652">
        <v>0.49</v>
      </c>
      <c r="G1652" t="s">
        <v>3090</v>
      </c>
      <c r="H1652">
        <v>1759</v>
      </c>
      <c r="I1652">
        <v>20.6</v>
      </c>
      <c r="J1652">
        <v>20.61</v>
      </c>
      <c r="K1652" t="s">
        <v>9800</v>
      </c>
      <c r="L1652">
        <v>3.02</v>
      </c>
      <c r="M1652" t="s">
        <v>46</v>
      </c>
      <c r="N1652" t="s">
        <v>6364</v>
      </c>
      <c r="O1652">
        <v>20.68</v>
      </c>
      <c r="P1652">
        <v>19.91</v>
      </c>
      <c r="Q1652">
        <v>20.11</v>
      </c>
      <c r="R1652">
        <v>20.11</v>
      </c>
      <c r="S1652">
        <v>3.83</v>
      </c>
      <c r="T1652">
        <v>1.29</v>
      </c>
      <c r="U1652">
        <v>-82.06</v>
      </c>
      <c r="V1652">
        <v>-1052</v>
      </c>
      <c r="W1652">
        <v>20.43</v>
      </c>
      <c r="X1652" t="s">
        <v>377</v>
      </c>
      <c r="Y1652" t="s">
        <v>3210</v>
      </c>
      <c r="Z1652">
        <v>0.59</v>
      </c>
      <c r="AA1652">
        <v>8</v>
      </c>
      <c r="AB1652">
        <v>277</v>
      </c>
      <c r="AC1652">
        <v>7.07</v>
      </c>
      <c r="AD1652" t="s">
        <v>9801</v>
      </c>
      <c r="AE1652" t="s">
        <v>9802</v>
      </c>
      <c r="AF1652" t="s">
        <v>9801</v>
      </c>
      <c r="AG1652" t="s">
        <v>9802</v>
      </c>
      <c r="AH1652">
        <v>1.48</v>
      </c>
      <c r="AI1652">
        <v>-0.96</v>
      </c>
      <c r="AJ1652">
        <v>8.53</v>
      </c>
      <c r="AK1652">
        <v>14.75</v>
      </c>
      <c r="AL1652">
        <v>1</v>
      </c>
      <c r="AM1652">
        <v>2.44</v>
      </c>
      <c r="AN1652">
        <v>20.54</v>
      </c>
      <c r="AO1652">
        <v>3</v>
      </c>
      <c r="AP1652">
        <v>5.21</v>
      </c>
    </row>
    <row r="1653" spans="1:42">
      <c r="A1653">
        <v>1652</v>
      </c>
      <c r="B1653" t="str">
        <f>"002522"</f>
        <v>002522</v>
      </c>
      <c r="C1653" t="s">
        <v>9803</v>
      </c>
      <c r="D1653">
        <v>4.93</v>
      </c>
      <c r="E1653">
        <v>2.92</v>
      </c>
      <c r="F1653">
        <v>0.14</v>
      </c>
      <c r="G1653" t="s">
        <v>259</v>
      </c>
      <c r="H1653">
        <v>1661</v>
      </c>
      <c r="I1653">
        <v>4.93</v>
      </c>
      <c r="J1653">
        <v>4.94</v>
      </c>
      <c r="K1653" t="s">
        <v>9800</v>
      </c>
      <c r="L1653">
        <v>2.86</v>
      </c>
      <c r="M1653" t="s">
        <v>46</v>
      </c>
      <c r="N1653" t="s">
        <v>1638</v>
      </c>
      <c r="O1653">
        <v>5.04</v>
      </c>
      <c r="P1653">
        <v>4.79</v>
      </c>
      <c r="Q1653">
        <v>4.8</v>
      </c>
      <c r="R1653">
        <v>4.79</v>
      </c>
      <c r="S1653">
        <v>5.22</v>
      </c>
      <c r="T1653">
        <v>1.93</v>
      </c>
      <c r="U1653">
        <v>16.05</v>
      </c>
      <c r="V1653">
        <v>2414</v>
      </c>
      <c r="W1653">
        <v>4.94</v>
      </c>
      <c r="X1653" t="s">
        <v>1540</v>
      </c>
      <c r="Y1653" t="s">
        <v>3971</v>
      </c>
      <c r="Z1653">
        <v>0.93</v>
      </c>
      <c r="AA1653">
        <v>281</v>
      </c>
      <c r="AB1653">
        <v>944</v>
      </c>
      <c r="AC1653">
        <v>2.01</v>
      </c>
      <c r="AD1653" t="s">
        <v>9804</v>
      </c>
      <c r="AE1653" t="s">
        <v>9805</v>
      </c>
      <c r="AF1653" t="s">
        <v>9806</v>
      </c>
      <c r="AG1653" t="s">
        <v>6150</v>
      </c>
      <c r="AH1653">
        <v>0.2</v>
      </c>
      <c r="AI1653">
        <v>2.28</v>
      </c>
      <c r="AJ1653">
        <v>5.92</v>
      </c>
      <c r="AK1653">
        <v>10.26</v>
      </c>
      <c r="AL1653">
        <v>1</v>
      </c>
      <c r="AM1653">
        <v>2.92</v>
      </c>
      <c r="AN1653">
        <v>-8.02</v>
      </c>
      <c r="AO1653">
        <v>4.01</v>
      </c>
      <c r="AP1653">
        <v>-6.1</v>
      </c>
    </row>
    <row r="1654" spans="1:42">
      <c r="A1654">
        <v>1653</v>
      </c>
      <c r="B1654" t="str">
        <f>"000948"</f>
        <v>000948</v>
      </c>
      <c r="C1654" t="s">
        <v>9807</v>
      </c>
      <c r="D1654">
        <v>16.33</v>
      </c>
      <c r="E1654">
        <v>2.7</v>
      </c>
      <c r="F1654">
        <v>0.43</v>
      </c>
      <c r="G1654" t="s">
        <v>8433</v>
      </c>
      <c r="H1654">
        <v>1237</v>
      </c>
      <c r="I1654">
        <v>16.32</v>
      </c>
      <c r="J1654">
        <v>16.33</v>
      </c>
      <c r="K1654" t="s">
        <v>9800</v>
      </c>
      <c r="L1654">
        <v>1.96</v>
      </c>
      <c r="M1654" t="s">
        <v>46</v>
      </c>
      <c r="N1654" t="s">
        <v>3174</v>
      </c>
      <c r="O1654">
        <v>16.42</v>
      </c>
      <c r="P1654">
        <v>15.81</v>
      </c>
      <c r="Q1654">
        <v>15.88</v>
      </c>
      <c r="R1654">
        <v>15.9</v>
      </c>
      <c r="S1654">
        <v>3.84</v>
      </c>
      <c r="T1654">
        <v>1.16</v>
      </c>
      <c r="U1654">
        <v>-18.91</v>
      </c>
      <c r="V1654">
        <v>-459</v>
      </c>
      <c r="W1654">
        <v>16.17</v>
      </c>
      <c r="X1654" t="s">
        <v>401</v>
      </c>
      <c r="Y1654" t="s">
        <v>320</v>
      </c>
      <c r="Z1654">
        <v>0.69</v>
      </c>
      <c r="AA1654">
        <v>66</v>
      </c>
      <c r="AB1654">
        <v>114</v>
      </c>
      <c r="AC1654">
        <v>2.59</v>
      </c>
      <c r="AD1654" t="s">
        <v>9808</v>
      </c>
      <c r="AE1654" t="s">
        <v>9809</v>
      </c>
      <c r="AF1654" t="s">
        <v>9810</v>
      </c>
      <c r="AG1654" t="s">
        <v>4561</v>
      </c>
      <c r="AH1654">
        <v>-0.49</v>
      </c>
      <c r="AI1654">
        <v>-3.83</v>
      </c>
      <c r="AJ1654">
        <v>4.93</v>
      </c>
      <c r="AK1654">
        <v>10.44</v>
      </c>
      <c r="AL1654">
        <v>1</v>
      </c>
      <c r="AM1654">
        <v>2.7</v>
      </c>
      <c r="AN1654">
        <v>-21.53</v>
      </c>
      <c r="AO1654">
        <v>0.49</v>
      </c>
      <c r="AP1654">
        <v>-30.86</v>
      </c>
    </row>
    <row r="1655" spans="1:42">
      <c r="A1655">
        <v>1654</v>
      </c>
      <c r="B1655" t="str">
        <f>"605089"</f>
        <v>605089</v>
      </c>
      <c r="C1655" t="s">
        <v>9811</v>
      </c>
      <c r="D1655">
        <v>41.3</v>
      </c>
      <c r="E1655">
        <v>-3.21</v>
      </c>
      <c r="F1655">
        <v>-1.37</v>
      </c>
      <c r="G1655" t="s">
        <v>6768</v>
      </c>
      <c r="H1655">
        <v>312</v>
      </c>
      <c r="I1655">
        <v>41.3</v>
      </c>
      <c r="J1655">
        <v>41.31</v>
      </c>
      <c r="K1655" t="s">
        <v>9800</v>
      </c>
      <c r="L1655">
        <v>7.81</v>
      </c>
      <c r="M1655" t="s">
        <v>46</v>
      </c>
      <c r="N1655" t="s">
        <v>2237</v>
      </c>
      <c r="O1655">
        <v>43.38</v>
      </c>
      <c r="P1655">
        <v>41.3</v>
      </c>
      <c r="Q1655">
        <v>42.3</v>
      </c>
      <c r="R1655">
        <v>42.67</v>
      </c>
      <c r="S1655">
        <v>4.87</v>
      </c>
      <c r="T1655">
        <v>0.86</v>
      </c>
      <c r="U1655">
        <v>-49.25</v>
      </c>
      <c r="V1655">
        <v>-165</v>
      </c>
      <c r="W1655">
        <v>42.36</v>
      </c>
      <c r="X1655" t="s">
        <v>1255</v>
      </c>
      <c r="Y1655" t="s">
        <v>218</v>
      </c>
      <c r="Z1655">
        <v>1.68</v>
      </c>
      <c r="AA1655">
        <v>21</v>
      </c>
      <c r="AB1655">
        <v>10</v>
      </c>
      <c r="AC1655">
        <v>4.59</v>
      </c>
      <c r="AD1655" t="s">
        <v>9812</v>
      </c>
      <c r="AE1655" t="s">
        <v>3306</v>
      </c>
      <c r="AF1655" t="s">
        <v>9813</v>
      </c>
      <c r="AG1655" t="s">
        <v>9814</v>
      </c>
      <c r="AH1655">
        <v>-0.15</v>
      </c>
      <c r="AI1655">
        <v>8.26</v>
      </c>
      <c r="AJ1655">
        <v>25.51</v>
      </c>
      <c r="AK1655">
        <v>53.27</v>
      </c>
      <c r="AL1655">
        <v>-1</v>
      </c>
      <c r="AM1655">
        <v>-3.21</v>
      </c>
      <c r="AN1655">
        <v>-21.15</v>
      </c>
      <c r="AO1655">
        <v>10.81</v>
      </c>
      <c r="AP1655">
        <v>-1.88</v>
      </c>
    </row>
    <row r="1656" spans="1:42">
      <c r="A1656">
        <v>1655</v>
      </c>
      <c r="B1656" t="str">
        <f>"603218"</f>
        <v>603218</v>
      </c>
      <c r="C1656" t="s">
        <v>9815</v>
      </c>
      <c r="D1656">
        <v>12.86</v>
      </c>
      <c r="E1656">
        <v>-0.92</v>
      </c>
      <c r="F1656">
        <v>-0.12</v>
      </c>
      <c r="G1656" t="s">
        <v>7798</v>
      </c>
      <c r="H1656">
        <v>1046</v>
      </c>
      <c r="I1656">
        <v>12.86</v>
      </c>
      <c r="J1656">
        <v>12.87</v>
      </c>
      <c r="K1656" t="s">
        <v>9800</v>
      </c>
      <c r="L1656">
        <v>0.97</v>
      </c>
      <c r="M1656" t="s">
        <v>46</v>
      </c>
      <c r="N1656" t="s">
        <v>9178</v>
      </c>
      <c r="O1656">
        <v>13.03</v>
      </c>
      <c r="P1656">
        <v>12.75</v>
      </c>
      <c r="Q1656">
        <v>13</v>
      </c>
      <c r="R1656">
        <v>12.98</v>
      </c>
      <c r="S1656">
        <v>2.16</v>
      </c>
      <c r="T1656">
        <v>1.04</v>
      </c>
      <c r="U1656">
        <v>44.6</v>
      </c>
      <c r="V1656">
        <v>876</v>
      </c>
      <c r="W1656">
        <v>12.86</v>
      </c>
      <c r="X1656" t="s">
        <v>4096</v>
      </c>
      <c r="Y1656" t="s">
        <v>7440</v>
      </c>
      <c r="Z1656">
        <v>1.13</v>
      </c>
      <c r="AA1656">
        <v>202</v>
      </c>
      <c r="AB1656">
        <v>142</v>
      </c>
      <c r="AC1656">
        <v>1.36</v>
      </c>
      <c r="AD1656" t="s">
        <v>9816</v>
      </c>
      <c r="AE1656" t="s">
        <v>4936</v>
      </c>
      <c r="AF1656" t="s">
        <v>2796</v>
      </c>
      <c r="AG1656" t="s">
        <v>4002</v>
      </c>
      <c r="AH1656">
        <v>-4.39</v>
      </c>
      <c r="AI1656">
        <v>-6.34</v>
      </c>
      <c r="AJ1656">
        <v>3.14</v>
      </c>
      <c r="AK1656">
        <v>5.62</v>
      </c>
      <c r="AL1656">
        <v>-3</v>
      </c>
      <c r="AM1656">
        <v>-0.92</v>
      </c>
      <c r="AN1656">
        <v>-36.02</v>
      </c>
      <c r="AO1656">
        <v>-7.75</v>
      </c>
      <c r="AP1656">
        <v>-33.33</v>
      </c>
    </row>
    <row r="1657" spans="1:42">
      <c r="A1657">
        <v>1656</v>
      </c>
      <c r="B1657" t="str">
        <f>"600219"</f>
        <v>600219</v>
      </c>
      <c r="C1657" t="s">
        <v>9817</v>
      </c>
      <c r="D1657">
        <v>2.89</v>
      </c>
      <c r="E1657">
        <v>0.35</v>
      </c>
      <c r="F1657">
        <v>0.01</v>
      </c>
      <c r="G1657" t="s">
        <v>2057</v>
      </c>
      <c r="H1657">
        <v>5056</v>
      </c>
      <c r="I1657">
        <v>2.89</v>
      </c>
      <c r="J1657">
        <v>2.9</v>
      </c>
      <c r="K1657" t="s">
        <v>9800</v>
      </c>
      <c r="L1657">
        <v>0.36</v>
      </c>
      <c r="M1657" t="s">
        <v>46</v>
      </c>
      <c r="N1657" t="s">
        <v>1864</v>
      </c>
      <c r="O1657">
        <v>2.91</v>
      </c>
      <c r="P1657">
        <v>2.87</v>
      </c>
      <c r="Q1657">
        <v>2.88</v>
      </c>
      <c r="R1657">
        <v>2.88</v>
      </c>
      <c r="S1657">
        <v>1.39</v>
      </c>
      <c r="T1657">
        <v>0.85</v>
      </c>
      <c r="U1657">
        <v>14.29</v>
      </c>
      <c r="V1657" t="s">
        <v>9766</v>
      </c>
      <c r="W1657">
        <v>2.89</v>
      </c>
      <c r="X1657" t="s">
        <v>868</v>
      </c>
      <c r="Y1657" t="s">
        <v>2850</v>
      </c>
      <c r="Z1657">
        <v>0.78</v>
      </c>
      <c r="AA1657" t="s">
        <v>4963</v>
      </c>
      <c r="AB1657">
        <v>1052</v>
      </c>
      <c r="AC1657">
        <v>0.72</v>
      </c>
      <c r="AD1657" t="s">
        <v>9818</v>
      </c>
      <c r="AE1657" t="s">
        <v>9819</v>
      </c>
      <c r="AF1657" t="s">
        <v>9818</v>
      </c>
      <c r="AG1657" t="s">
        <v>9819</v>
      </c>
      <c r="AH1657">
        <v>-1.7</v>
      </c>
      <c r="AI1657">
        <v>-2.69</v>
      </c>
      <c r="AJ1657">
        <v>1.42</v>
      </c>
      <c r="AK1657">
        <v>2.47</v>
      </c>
      <c r="AL1657">
        <v>1</v>
      </c>
      <c r="AM1657">
        <v>0.35</v>
      </c>
      <c r="AN1657">
        <v>-10.53</v>
      </c>
      <c r="AO1657">
        <v>-5.56</v>
      </c>
      <c r="AP1657">
        <v>-15</v>
      </c>
    </row>
    <row r="1658" spans="1:42">
      <c r="A1658">
        <v>1657</v>
      </c>
      <c r="B1658" t="str">
        <f>"002429"</f>
        <v>002429</v>
      </c>
      <c r="C1658" t="s">
        <v>9820</v>
      </c>
      <c r="D1658">
        <v>5.73</v>
      </c>
      <c r="E1658">
        <v>-0.52</v>
      </c>
      <c r="F1658">
        <v>-0.03</v>
      </c>
      <c r="G1658" t="s">
        <v>1125</v>
      </c>
      <c r="H1658">
        <v>1617</v>
      </c>
      <c r="I1658">
        <v>5.72</v>
      </c>
      <c r="J1658">
        <v>5.73</v>
      </c>
      <c r="K1658" t="s">
        <v>9800</v>
      </c>
      <c r="L1658">
        <v>0.47</v>
      </c>
      <c r="M1658" t="s">
        <v>46</v>
      </c>
      <c r="N1658" t="s">
        <v>7805</v>
      </c>
      <c r="O1658">
        <v>5.77</v>
      </c>
      <c r="P1658">
        <v>5.68</v>
      </c>
      <c r="Q1658">
        <v>5.73</v>
      </c>
      <c r="R1658">
        <v>5.76</v>
      </c>
      <c r="S1658">
        <v>1.56</v>
      </c>
      <c r="T1658">
        <v>0.67</v>
      </c>
      <c r="U1658">
        <v>7.32</v>
      </c>
      <c r="V1658">
        <v>1732</v>
      </c>
      <c r="W1658">
        <v>5.73</v>
      </c>
      <c r="X1658" t="s">
        <v>110</v>
      </c>
      <c r="Y1658" t="s">
        <v>1438</v>
      </c>
      <c r="Z1658">
        <v>0.92</v>
      </c>
      <c r="AA1658">
        <v>1160</v>
      </c>
      <c r="AB1658">
        <v>257</v>
      </c>
      <c r="AC1658">
        <v>1.78</v>
      </c>
      <c r="AD1658" t="s">
        <v>7182</v>
      </c>
      <c r="AE1658" t="s">
        <v>9821</v>
      </c>
      <c r="AF1658" t="s">
        <v>9822</v>
      </c>
      <c r="AG1658" t="s">
        <v>9823</v>
      </c>
      <c r="AH1658">
        <v>-2.05</v>
      </c>
      <c r="AI1658">
        <v>-1.55</v>
      </c>
      <c r="AJ1658">
        <v>1.58</v>
      </c>
      <c r="AK1658">
        <v>3.93</v>
      </c>
      <c r="AL1658">
        <v>-5</v>
      </c>
      <c r="AM1658">
        <v>-0.52</v>
      </c>
      <c r="AN1658">
        <v>68.04</v>
      </c>
      <c r="AO1658">
        <v>7.91</v>
      </c>
      <c r="AP1658">
        <v>68.53</v>
      </c>
    </row>
    <row r="1659" spans="1:42">
      <c r="A1659">
        <v>1658</v>
      </c>
      <c r="B1659" t="str">
        <f>"600312"</f>
        <v>600312</v>
      </c>
      <c r="C1659" t="s">
        <v>9824</v>
      </c>
      <c r="D1659">
        <v>11.86</v>
      </c>
      <c r="E1659">
        <v>-1.17</v>
      </c>
      <c r="F1659">
        <v>-0.14</v>
      </c>
      <c r="G1659" t="s">
        <v>1499</v>
      </c>
      <c r="H1659">
        <v>1735</v>
      </c>
      <c r="I1659">
        <v>11.86</v>
      </c>
      <c r="J1659">
        <v>11.87</v>
      </c>
      <c r="K1659" t="s">
        <v>9800</v>
      </c>
      <c r="L1659">
        <v>0.75</v>
      </c>
      <c r="M1659" t="s">
        <v>46</v>
      </c>
      <c r="N1659" t="s">
        <v>9825</v>
      </c>
      <c r="O1659">
        <v>11.98</v>
      </c>
      <c r="P1659">
        <v>11.82</v>
      </c>
      <c r="Q1659">
        <v>11.98</v>
      </c>
      <c r="R1659">
        <v>12</v>
      </c>
      <c r="S1659">
        <v>1.33</v>
      </c>
      <c r="T1659">
        <v>0.83</v>
      </c>
      <c r="U1659">
        <v>35.57</v>
      </c>
      <c r="V1659">
        <v>3198</v>
      </c>
      <c r="W1659">
        <v>11.87</v>
      </c>
      <c r="X1659" t="s">
        <v>3040</v>
      </c>
      <c r="Y1659" t="s">
        <v>3304</v>
      </c>
      <c r="Z1659">
        <v>1.23</v>
      </c>
      <c r="AA1659">
        <v>254</v>
      </c>
      <c r="AB1659">
        <v>150</v>
      </c>
      <c r="AC1659">
        <v>1.64</v>
      </c>
      <c r="AD1659" t="s">
        <v>9826</v>
      </c>
      <c r="AE1659" t="s">
        <v>9827</v>
      </c>
      <c r="AF1659" t="s">
        <v>9826</v>
      </c>
      <c r="AG1659" t="s">
        <v>9827</v>
      </c>
      <c r="AH1659">
        <v>-0.17</v>
      </c>
      <c r="AI1659">
        <v>-0.08</v>
      </c>
      <c r="AJ1659">
        <v>2.46</v>
      </c>
      <c r="AK1659">
        <v>5.23</v>
      </c>
      <c r="AL1659">
        <v>-1</v>
      </c>
      <c r="AM1659">
        <v>-1.17</v>
      </c>
      <c r="AN1659">
        <v>50.89</v>
      </c>
      <c r="AO1659">
        <v>11.26</v>
      </c>
      <c r="AP1659">
        <v>36.01</v>
      </c>
    </row>
    <row r="1660" spans="1:42">
      <c r="A1660">
        <v>1659</v>
      </c>
      <c r="B1660" t="str">
        <f>"000833"</f>
        <v>000833</v>
      </c>
      <c r="C1660" t="s">
        <v>9828</v>
      </c>
      <c r="D1660">
        <v>6.16</v>
      </c>
      <c r="E1660">
        <v>1.65</v>
      </c>
      <c r="F1660">
        <v>0.1</v>
      </c>
      <c r="G1660" t="s">
        <v>106</v>
      </c>
      <c r="H1660">
        <v>1417</v>
      </c>
      <c r="I1660">
        <v>6.15</v>
      </c>
      <c r="J1660">
        <v>6.16</v>
      </c>
      <c r="K1660" t="s">
        <v>9800</v>
      </c>
      <c r="L1660">
        <v>5.13</v>
      </c>
      <c r="M1660" t="s">
        <v>46</v>
      </c>
      <c r="N1660" t="s">
        <v>9829</v>
      </c>
      <c r="O1660">
        <v>6.53</v>
      </c>
      <c r="P1660">
        <v>6.04</v>
      </c>
      <c r="Q1660">
        <v>6.05</v>
      </c>
      <c r="R1660">
        <v>6.06</v>
      </c>
      <c r="S1660">
        <v>8.09</v>
      </c>
      <c r="T1660">
        <v>4.2</v>
      </c>
      <c r="U1660">
        <v>-2.25</v>
      </c>
      <c r="V1660">
        <v>-126</v>
      </c>
      <c r="W1660">
        <v>6.22</v>
      </c>
      <c r="X1660" t="s">
        <v>656</v>
      </c>
      <c r="Y1660" t="s">
        <v>4670</v>
      </c>
      <c r="Z1660">
        <v>1.36</v>
      </c>
      <c r="AA1660">
        <v>433</v>
      </c>
      <c r="AB1660">
        <v>189</v>
      </c>
      <c r="AC1660">
        <v>1.25</v>
      </c>
      <c r="AD1660" t="s">
        <v>9830</v>
      </c>
      <c r="AE1660" t="s">
        <v>9831</v>
      </c>
      <c r="AF1660" t="s">
        <v>9832</v>
      </c>
      <c r="AG1660" t="s">
        <v>5806</v>
      </c>
      <c r="AH1660">
        <v>2.67</v>
      </c>
      <c r="AI1660">
        <v>2.67</v>
      </c>
      <c r="AJ1660">
        <v>8.52</v>
      </c>
      <c r="AK1660">
        <v>11.23</v>
      </c>
      <c r="AL1660">
        <v>4</v>
      </c>
      <c r="AM1660">
        <v>1.65</v>
      </c>
      <c r="AN1660">
        <v>-7.78</v>
      </c>
      <c r="AO1660">
        <v>5.66</v>
      </c>
      <c r="AP1660">
        <v>-9.68</v>
      </c>
    </row>
    <row r="1661" spans="1:42">
      <c r="A1661">
        <v>1660</v>
      </c>
      <c r="B1661" t="str">
        <f>"600170"</f>
        <v>600170</v>
      </c>
      <c r="C1661" t="s">
        <v>9833</v>
      </c>
      <c r="D1661">
        <v>2.52</v>
      </c>
      <c r="E1661">
        <v>0.8</v>
      </c>
      <c r="F1661">
        <v>0.02</v>
      </c>
      <c r="G1661" t="s">
        <v>2336</v>
      </c>
      <c r="H1661">
        <v>8113</v>
      </c>
      <c r="I1661">
        <v>2.52</v>
      </c>
      <c r="J1661">
        <v>2.53</v>
      </c>
      <c r="K1661" t="s">
        <v>1694</v>
      </c>
      <c r="L1661">
        <v>0.54</v>
      </c>
      <c r="M1661" t="s">
        <v>46</v>
      </c>
      <c r="N1661" t="s">
        <v>9834</v>
      </c>
      <c r="O1661">
        <v>2.53</v>
      </c>
      <c r="P1661">
        <v>2.5</v>
      </c>
      <c r="Q1661">
        <v>2.51</v>
      </c>
      <c r="R1661">
        <v>2.5</v>
      </c>
      <c r="S1661">
        <v>1.2</v>
      </c>
      <c r="T1661">
        <v>0.97</v>
      </c>
      <c r="U1661">
        <v>3.63</v>
      </c>
      <c r="V1661" t="s">
        <v>189</v>
      </c>
      <c r="W1661">
        <v>2.52</v>
      </c>
      <c r="X1661" t="s">
        <v>2047</v>
      </c>
      <c r="Y1661" t="s">
        <v>3876</v>
      </c>
      <c r="Z1661">
        <v>0.53</v>
      </c>
      <c r="AA1661" t="s">
        <v>6645</v>
      </c>
      <c r="AB1661" t="s">
        <v>4035</v>
      </c>
      <c r="AC1661">
        <v>0.73</v>
      </c>
      <c r="AD1661" t="s">
        <v>9835</v>
      </c>
      <c r="AE1661" t="s">
        <v>9836</v>
      </c>
      <c r="AF1661" t="s">
        <v>9835</v>
      </c>
      <c r="AG1661" t="s">
        <v>9836</v>
      </c>
      <c r="AH1661">
        <v>0</v>
      </c>
      <c r="AI1661">
        <v>-1.18</v>
      </c>
      <c r="AJ1661">
        <v>1.58</v>
      </c>
      <c r="AK1661">
        <v>3.3</v>
      </c>
      <c r="AL1661">
        <v>1</v>
      </c>
      <c r="AM1661">
        <v>0.8</v>
      </c>
      <c r="AN1661">
        <v>-1.18</v>
      </c>
      <c r="AO1661">
        <v>-1.56</v>
      </c>
      <c r="AP1661">
        <v>-5.97</v>
      </c>
    </row>
    <row r="1662" spans="1:42">
      <c r="A1662">
        <v>1661</v>
      </c>
      <c r="B1662" t="str">
        <f>"002184"</f>
        <v>002184</v>
      </c>
      <c r="C1662" t="s">
        <v>9837</v>
      </c>
      <c r="D1662">
        <v>15.28</v>
      </c>
      <c r="E1662">
        <v>1.6</v>
      </c>
      <c r="F1662">
        <v>0.24</v>
      </c>
      <c r="G1662" t="s">
        <v>3759</v>
      </c>
      <c r="H1662">
        <v>696</v>
      </c>
      <c r="I1662">
        <v>15.27</v>
      </c>
      <c r="J1662">
        <v>15.28</v>
      </c>
      <c r="K1662" t="s">
        <v>1694</v>
      </c>
      <c r="L1662">
        <v>3.31</v>
      </c>
      <c r="M1662" t="s">
        <v>46</v>
      </c>
      <c r="N1662" t="s">
        <v>7574</v>
      </c>
      <c r="O1662">
        <v>15.29</v>
      </c>
      <c r="P1662">
        <v>14.88</v>
      </c>
      <c r="Q1662">
        <v>15.02</v>
      </c>
      <c r="R1662">
        <v>15.04</v>
      </c>
      <c r="S1662">
        <v>2.73</v>
      </c>
      <c r="T1662">
        <v>1.13</v>
      </c>
      <c r="U1662">
        <v>-48.76</v>
      </c>
      <c r="V1662">
        <v>-2794</v>
      </c>
      <c r="W1662">
        <v>15.12</v>
      </c>
      <c r="X1662" t="s">
        <v>57</v>
      </c>
      <c r="Y1662" t="s">
        <v>5644</v>
      </c>
      <c r="Z1662">
        <v>0.71</v>
      </c>
      <c r="AA1662">
        <v>532</v>
      </c>
      <c r="AB1662">
        <v>656</v>
      </c>
      <c r="AC1662">
        <v>3.95</v>
      </c>
      <c r="AD1662" t="s">
        <v>9838</v>
      </c>
      <c r="AE1662" t="s">
        <v>5012</v>
      </c>
      <c r="AF1662" t="s">
        <v>9839</v>
      </c>
      <c r="AG1662" t="s">
        <v>3231</v>
      </c>
      <c r="AH1662">
        <v>0.79</v>
      </c>
      <c r="AI1662">
        <v>0.59</v>
      </c>
      <c r="AJ1662">
        <v>9.37</v>
      </c>
      <c r="AK1662">
        <v>17.97</v>
      </c>
      <c r="AL1662">
        <v>1</v>
      </c>
      <c r="AM1662">
        <v>1.6</v>
      </c>
      <c r="AN1662">
        <v>34.51</v>
      </c>
      <c r="AO1662">
        <v>4.3</v>
      </c>
      <c r="AP1662">
        <v>28.84</v>
      </c>
    </row>
    <row r="1663" spans="1:42">
      <c r="A1663">
        <v>1662</v>
      </c>
      <c r="B1663" t="str">
        <f>"600369"</f>
        <v>600369</v>
      </c>
      <c r="C1663" t="s">
        <v>9840</v>
      </c>
      <c r="D1663">
        <v>4.18</v>
      </c>
      <c r="E1663">
        <v>1.46</v>
      </c>
      <c r="F1663">
        <v>0.06</v>
      </c>
      <c r="G1663" t="s">
        <v>956</v>
      </c>
      <c r="H1663">
        <v>2665</v>
      </c>
      <c r="I1663">
        <v>4.17</v>
      </c>
      <c r="J1663">
        <v>4.18</v>
      </c>
      <c r="K1663" t="s">
        <v>1694</v>
      </c>
      <c r="L1663">
        <v>0.46</v>
      </c>
      <c r="M1663" t="s">
        <v>46</v>
      </c>
      <c r="N1663" t="s">
        <v>5340</v>
      </c>
      <c r="O1663">
        <v>4.18</v>
      </c>
      <c r="P1663">
        <v>4.11</v>
      </c>
      <c r="Q1663">
        <v>4.11</v>
      </c>
      <c r="R1663">
        <v>4.12</v>
      </c>
      <c r="S1663">
        <v>1.7</v>
      </c>
      <c r="T1663">
        <v>1.12</v>
      </c>
      <c r="U1663">
        <v>-19.2</v>
      </c>
      <c r="V1663" t="s">
        <v>5341</v>
      </c>
      <c r="W1663">
        <v>4.16</v>
      </c>
      <c r="X1663" t="s">
        <v>1499</v>
      </c>
      <c r="Y1663" t="s">
        <v>1008</v>
      </c>
      <c r="Z1663">
        <v>0.54</v>
      </c>
      <c r="AA1663">
        <v>2983</v>
      </c>
      <c r="AB1663">
        <v>6338</v>
      </c>
      <c r="AC1663">
        <v>1.1</v>
      </c>
      <c r="AD1663" t="s">
        <v>1623</v>
      </c>
      <c r="AE1663" t="s">
        <v>9841</v>
      </c>
      <c r="AF1663" t="s">
        <v>9842</v>
      </c>
      <c r="AG1663" t="s">
        <v>6455</v>
      </c>
      <c r="AH1663">
        <v>0.72</v>
      </c>
      <c r="AI1663">
        <v>-0.24</v>
      </c>
      <c r="AJ1663">
        <v>1.22</v>
      </c>
      <c r="AK1663">
        <v>2.51</v>
      </c>
      <c r="AL1663">
        <v>2</v>
      </c>
      <c r="AM1663">
        <v>1.46</v>
      </c>
      <c r="AN1663">
        <v>12.37</v>
      </c>
      <c r="AO1663">
        <v>3.47</v>
      </c>
      <c r="AP1663">
        <v>7.18</v>
      </c>
    </row>
    <row r="1664" spans="1:42">
      <c r="A1664">
        <v>1663</v>
      </c>
      <c r="B1664" t="str">
        <f>"300684"</f>
        <v>300684</v>
      </c>
      <c r="C1664" t="s">
        <v>9843</v>
      </c>
      <c r="D1664">
        <v>20.03</v>
      </c>
      <c r="E1664">
        <v>2.51</v>
      </c>
      <c r="F1664">
        <v>0.49</v>
      </c>
      <c r="G1664" t="s">
        <v>2028</v>
      </c>
      <c r="H1664">
        <v>944</v>
      </c>
      <c r="I1664">
        <v>20.02</v>
      </c>
      <c r="J1664">
        <v>20.03</v>
      </c>
      <c r="K1664" t="s">
        <v>1694</v>
      </c>
      <c r="L1664">
        <v>3.34</v>
      </c>
      <c r="M1664" t="s">
        <v>46</v>
      </c>
      <c r="N1664" t="s">
        <v>1205</v>
      </c>
      <c r="O1664">
        <v>20.09</v>
      </c>
      <c r="P1664">
        <v>19.34</v>
      </c>
      <c r="Q1664">
        <v>19.54</v>
      </c>
      <c r="R1664">
        <v>19.54</v>
      </c>
      <c r="S1664">
        <v>3.84</v>
      </c>
      <c r="T1664">
        <v>0.73</v>
      </c>
      <c r="U1664">
        <v>-48.95</v>
      </c>
      <c r="V1664">
        <v>-934</v>
      </c>
      <c r="W1664">
        <v>19.74</v>
      </c>
      <c r="X1664" t="s">
        <v>5553</v>
      </c>
      <c r="Y1664" t="s">
        <v>1704</v>
      </c>
      <c r="Z1664">
        <v>0.84</v>
      </c>
      <c r="AA1664">
        <v>133</v>
      </c>
      <c r="AB1664">
        <v>314</v>
      </c>
      <c r="AC1664">
        <v>3.2</v>
      </c>
      <c r="AD1664" t="s">
        <v>9844</v>
      </c>
      <c r="AE1664" t="s">
        <v>9845</v>
      </c>
      <c r="AF1664" t="s">
        <v>9846</v>
      </c>
      <c r="AG1664" t="s">
        <v>9847</v>
      </c>
      <c r="AH1664">
        <v>1.16</v>
      </c>
      <c r="AI1664">
        <v>1.52</v>
      </c>
      <c r="AJ1664">
        <v>14.31</v>
      </c>
      <c r="AK1664">
        <v>26.31</v>
      </c>
      <c r="AL1664">
        <v>1</v>
      </c>
      <c r="AM1664">
        <v>2.51</v>
      </c>
      <c r="AN1664">
        <v>41.45</v>
      </c>
      <c r="AO1664">
        <v>14.07</v>
      </c>
      <c r="AP1664">
        <v>24.02</v>
      </c>
    </row>
    <row r="1665" spans="1:42">
      <c r="A1665">
        <v>1664</v>
      </c>
      <c r="B1665" t="str">
        <f>"600282"</f>
        <v>600282</v>
      </c>
      <c r="C1665" t="s">
        <v>9848</v>
      </c>
      <c r="D1665">
        <v>3.75</v>
      </c>
      <c r="E1665">
        <v>1.08</v>
      </c>
      <c r="F1665">
        <v>0.04</v>
      </c>
      <c r="G1665" t="s">
        <v>3849</v>
      </c>
      <c r="H1665">
        <v>2516</v>
      </c>
      <c r="I1665">
        <v>3.75</v>
      </c>
      <c r="J1665">
        <v>3.76</v>
      </c>
      <c r="K1665" t="s">
        <v>1694</v>
      </c>
      <c r="L1665">
        <v>0.52</v>
      </c>
      <c r="M1665" t="s">
        <v>46</v>
      </c>
      <c r="N1665" t="s">
        <v>9849</v>
      </c>
      <c r="O1665">
        <v>3.76</v>
      </c>
      <c r="P1665">
        <v>3.71</v>
      </c>
      <c r="Q1665">
        <v>3.72</v>
      </c>
      <c r="R1665">
        <v>3.71</v>
      </c>
      <c r="S1665">
        <v>1.35</v>
      </c>
      <c r="T1665">
        <v>1.32</v>
      </c>
      <c r="U1665">
        <v>-16.49</v>
      </c>
      <c r="V1665" t="s">
        <v>9850</v>
      </c>
      <c r="W1665">
        <v>3.74</v>
      </c>
      <c r="X1665" t="s">
        <v>830</v>
      </c>
      <c r="Y1665" t="s">
        <v>1960</v>
      </c>
      <c r="Z1665">
        <v>0.68</v>
      </c>
      <c r="AA1665">
        <v>1438</v>
      </c>
      <c r="AB1665" t="s">
        <v>5710</v>
      </c>
      <c r="AC1665">
        <v>0.89</v>
      </c>
      <c r="AD1665" t="s">
        <v>9851</v>
      </c>
      <c r="AE1665" t="s">
        <v>9852</v>
      </c>
      <c r="AF1665" t="s">
        <v>9851</v>
      </c>
      <c r="AG1665" t="s">
        <v>9852</v>
      </c>
      <c r="AH1665">
        <v>0</v>
      </c>
      <c r="AI1665">
        <v>0.54</v>
      </c>
      <c r="AJ1665">
        <v>1.22</v>
      </c>
      <c r="AK1665">
        <v>2.49</v>
      </c>
      <c r="AL1665">
        <v>1</v>
      </c>
      <c r="AM1665">
        <v>1.08</v>
      </c>
      <c r="AN1665">
        <v>29.31</v>
      </c>
      <c r="AO1665">
        <v>-0.27</v>
      </c>
      <c r="AP1665">
        <v>24.58</v>
      </c>
    </row>
    <row r="1666" spans="1:42">
      <c r="A1666">
        <v>1665</v>
      </c>
      <c r="B1666" t="str">
        <f>"836221"</f>
        <v>836221</v>
      </c>
      <c r="C1666" t="s">
        <v>9853</v>
      </c>
      <c r="D1666">
        <v>10.53</v>
      </c>
      <c r="E1666">
        <v>-13.55</v>
      </c>
      <c r="F1666">
        <v>-1.65</v>
      </c>
      <c r="G1666" t="s">
        <v>1909</v>
      </c>
      <c r="H1666">
        <v>1447</v>
      </c>
      <c r="I1666">
        <v>10.53</v>
      </c>
      <c r="J1666">
        <v>10.55</v>
      </c>
      <c r="K1666" t="s">
        <v>1694</v>
      </c>
      <c r="L1666">
        <v>42.6</v>
      </c>
      <c r="M1666" t="s">
        <v>46</v>
      </c>
      <c r="N1666" t="s">
        <v>7323</v>
      </c>
      <c r="O1666">
        <v>11.99</v>
      </c>
      <c r="P1666">
        <v>10.43</v>
      </c>
      <c r="Q1666">
        <v>11.67</v>
      </c>
      <c r="R1666">
        <v>12.18</v>
      </c>
      <c r="S1666">
        <v>12.81</v>
      </c>
      <c r="T1666">
        <v>0.97</v>
      </c>
      <c r="U1666">
        <v>75.42</v>
      </c>
      <c r="V1666">
        <v>1609</v>
      </c>
      <c r="W1666">
        <v>11.19</v>
      </c>
      <c r="X1666" t="s">
        <v>1605</v>
      </c>
      <c r="Y1666" t="s">
        <v>4087</v>
      </c>
      <c r="Z1666">
        <v>1.54</v>
      </c>
      <c r="AA1666">
        <v>147</v>
      </c>
      <c r="AB1666">
        <v>18</v>
      </c>
      <c r="AC1666">
        <v>2.95</v>
      </c>
      <c r="AD1666" t="s">
        <v>9854</v>
      </c>
      <c r="AE1666" t="s">
        <v>9855</v>
      </c>
      <c r="AF1666" t="s">
        <v>9856</v>
      </c>
      <c r="AG1666" t="s">
        <v>9857</v>
      </c>
      <c r="AH1666">
        <v>-12.25</v>
      </c>
      <c r="AI1666">
        <v>13.1</v>
      </c>
      <c r="AJ1666">
        <v>151.75</v>
      </c>
      <c r="AK1666">
        <v>262.1</v>
      </c>
      <c r="AL1666">
        <v>-2</v>
      </c>
      <c r="AM1666">
        <v>-13.55</v>
      </c>
      <c r="AN1666">
        <v>16.74</v>
      </c>
      <c r="AO1666">
        <v>43.07</v>
      </c>
      <c r="AP1666">
        <v>16.74</v>
      </c>
    </row>
    <row r="1667" spans="1:42">
      <c r="A1667">
        <v>1666</v>
      </c>
      <c r="B1667" t="str">
        <f>"688027"</f>
        <v>688027</v>
      </c>
      <c r="C1667" t="s">
        <v>9858</v>
      </c>
      <c r="D1667">
        <v>137.79</v>
      </c>
      <c r="E1667">
        <v>2.1</v>
      </c>
      <c r="F1667">
        <v>2.84</v>
      </c>
      <c r="G1667">
        <v>8749</v>
      </c>
      <c r="H1667">
        <v>101</v>
      </c>
      <c r="I1667">
        <v>137.7</v>
      </c>
      <c r="J1667">
        <v>137.79</v>
      </c>
      <c r="K1667" t="s">
        <v>1694</v>
      </c>
      <c r="L1667">
        <v>1.09</v>
      </c>
      <c r="M1667" t="s">
        <v>46</v>
      </c>
      <c r="N1667" t="s">
        <v>9859</v>
      </c>
      <c r="O1667">
        <v>138.86</v>
      </c>
      <c r="P1667">
        <v>133.5</v>
      </c>
      <c r="Q1667">
        <v>135.35</v>
      </c>
      <c r="R1667">
        <v>134.95</v>
      </c>
      <c r="S1667">
        <v>3.97</v>
      </c>
      <c r="T1667">
        <v>1.14</v>
      </c>
      <c r="U1667">
        <v>-69.15</v>
      </c>
      <c r="V1667">
        <v>-67</v>
      </c>
      <c r="W1667">
        <v>137.09</v>
      </c>
      <c r="X1667">
        <v>4086</v>
      </c>
      <c r="Y1667">
        <v>4662</v>
      </c>
      <c r="Z1667">
        <v>0.88</v>
      </c>
      <c r="AA1667">
        <v>0</v>
      </c>
      <c r="AB1667">
        <v>23</v>
      </c>
      <c r="AC1667">
        <v>7.06</v>
      </c>
      <c r="AD1667" t="s">
        <v>9860</v>
      </c>
      <c r="AE1667" t="s">
        <v>2978</v>
      </c>
      <c r="AF1667" t="s">
        <v>9860</v>
      </c>
      <c r="AG1667" t="s">
        <v>2978</v>
      </c>
      <c r="AH1667">
        <v>3.41</v>
      </c>
      <c r="AI1667">
        <v>0.57</v>
      </c>
      <c r="AJ1667">
        <v>3.84</v>
      </c>
      <c r="AK1667">
        <v>5.86</v>
      </c>
      <c r="AL1667">
        <v>1</v>
      </c>
      <c r="AM1667">
        <v>2.1</v>
      </c>
      <c r="AN1667">
        <v>35.29</v>
      </c>
      <c r="AO1667">
        <v>6.07</v>
      </c>
      <c r="AP1667">
        <v>26.27</v>
      </c>
    </row>
    <row r="1668" spans="1:42">
      <c r="A1668">
        <v>1667</v>
      </c>
      <c r="B1668" t="str">
        <f>"300446"</f>
        <v>300446</v>
      </c>
      <c r="C1668" t="s">
        <v>9861</v>
      </c>
      <c r="D1668">
        <v>16.72</v>
      </c>
      <c r="E1668">
        <v>0.42</v>
      </c>
      <c r="F1668">
        <v>0.07</v>
      </c>
      <c r="G1668" t="s">
        <v>4236</v>
      </c>
      <c r="H1668">
        <v>986</v>
      </c>
      <c r="I1668">
        <v>16.71</v>
      </c>
      <c r="J1668">
        <v>16.72</v>
      </c>
      <c r="K1668" t="s">
        <v>1694</v>
      </c>
      <c r="L1668">
        <v>3.64</v>
      </c>
      <c r="M1668" t="s">
        <v>46</v>
      </c>
      <c r="N1668" t="s">
        <v>8364</v>
      </c>
      <c r="O1668">
        <v>16.8</v>
      </c>
      <c r="P1668">
        <v>16.46</v>
      </c>
      <c r="Q1668">
        <v>16.65</v>
      </c>
      <c r="R1668">
        <v>16.65</v>
      </c>
      <c r="S1668">
        <v>2.04</v>
      </c>
      <c r="T1668">
        <v>0.47</v>
      </c>
      <c r="U1668">
        <v>-64.69</v>
      </c>
      <c r="V1668">
        <v>-1213</v>
      </c>
      <c r="W1668">
        <v>16.67</v>
      </c>
      <c r="X1668" t="s">
        <v>4811</v>
      </c>
      <c r="Y1668" t="s">
        <v>7338</v>
      </c>
      <c r="Z1668">
        <v>1.17</v>
      </c>
      <c r="AA1668">
        <v>55</v>
      </c>
      <c r="AB1668">
        <v>328</v>
      </c>
      <c r="AC1668">
        <v>4.71</v>
      </c>
      <c r="AD1668" t="s">
        <v>9862</v>
      </c>
      <c r="AE1668" t="s">
        <v>9863</v>
      </c>
      <c r="AF1668" t="s">
        <v>9864</v>
      </c>
      <c r="AG1668" t="s">
        <v>9865</v>
      </c>
      <c r="AH1668">
        <v>-2.39</v>
      </c>
      <c r="AI1668">
        <v>-2.73</v>
      </c>
      <c r="AJ1668">
        <v>14.35</v>
      </c>
      <c r="AK1668">
        <v>42.67</v>
      </c>
      <c r="AL1668">
        <v>1</v>
      </c>
      <c r="AM1668">
        <v>0.42</v>
      </c>
      <c r="AN1668">
        <v>67.2</v>
      </c>
      <c r="AO1668">
        <v>16.43</v>
      </c>
      <c r="AP1668">
        <v>53.39</v>
      </c>
    </row>
    <row r="1669" spans="1:42">
      <c r="A1669">
        <v>1668</v>
      </c>
      <c r="B1669" t="str">
        <f>"605378"</f>
        <v>605378</v>
      </c>
      <c r="C1669" t="s">
        <v>9866</v>
      </c>
      <c r="D1669">
        <v>24.45</v>
      </c>
      <c r="E1669">
        <v>0.91</v>
      </c>
      <c r="F1669">
        <v>0.22</v>
      </c>
      <c r="G1669" t="s">
        <v>5028</v>
      </c>
      <c r="H1669">
        <v>1481</v>
      </c>
      <c r="I1669">
        <v>24.45</v>
      </c>
      <c r="J1669">
        <v>24.46</v>
      </c>
      <c r="K1669" t="s">
        <v>1694</v>
      </c>
      <c r="L1669">
        <v>14.65</v>
      </c>
      <c r="M1669" t="s">
        <v>46</v>
      </c>
      <c r="N1669" t="s">
        <v>7664</v>
      </c>
      <c r="O1669">
        <v>24.88</v>
      </c>
      <c r="P1669">
        <v>24.05</v>
      </c>
      <c r="Q1669">
        <v>24.72</v>
      </c>
      <c r="R1669">
        <v>24.23</v>
      </c>
      <c r="S1669">
        <v>3.43</v>
      </c>
      <c r="T1669">
        <v>1.09</v>
      </c>
      <c r="U1669">
        <v>5.07</v>
      </c>
      <c r="V1669">
        <v>17</v>
      </c>
      <c r="W1669">
        <v>24.53</v>
      </c>
      <c r="X1669" t="s">
        <v>3151</v>
      </c>
      <c r="Y1669" t="s">
        <v>7946</v>
      </c>
      <c r="Z1669">
        <v>0.93</v>
      </c>
      <c r="AA1669">
        <v>45</v>
      </c>
      <c r="AB1669">
        <v>22</v>
      </c>
      <c r="AC1669">
        <v>2.72</v>
      </c>
      <c r="AD1669" t="s">
        <v>9334</v>
      </c>
      <c r="AE1669" t="s">
        <v>9867</v>
      </c>
      <c r="AF1669" t="s">
        <v>9868</v>
      </c>
      <c r="AG1669" t="s">
        <v>9869</v>
      </c>
      <c r="AH1669">
        <v>-4.72</v>
      </c>
      <c r="AI1669">
        <v>4.71</v>
      </c>
      <c r="AJ1669">
        <v>66.5</v>
      </c>
      <c r="AK1669">
        <v>82.19</v>
      </c>
      <c r="AL1669">
        <v>1</v>
      </c>
      <c r="AM1669">
        <v>0.91</v>
      </c>
      <c r="AN1669">
        <v>17.66</v>
      </c>
      <c r="AO1669">
        <v>5.66</v>
      </c>
      <c r="AP1669">
        <v>9.35</v>
      </c>
    </row>
    <row r="1670" spans="1:42">
      <c r="A1670">
        <v>1669</v>
      </c>
      <c r="B1670" t="str">
        <f>"300538"</f>
        <v>300538</v>
      </c>
      <c r="C1670" t="s">
        <v>9870</v>
      </c>
      <c r="D1670">
        <v>19.7</v>
      </c>
      <c r="E1670">
        <v>-0.05</v>
      </c>
      <c r="F1670">
        <v>-0.01</v>
      </c>
      <c r="G1670" t="s">
        <v>6873</v>
      </c>
      <c r="H1670">
        <v>746</v>
      </c>
      <c r="I1670">
        <v>19.7</v>
      </c>
      <c r="J1670">
        <v>19.71</v>
      </c>
      <c r="K1670" t="s">
        <v>1694</v>
      </c>
      <c r="L1670">
        <v>5.35</v>
      </c>
      <c r="M1670" t="s">
        <v>46</v>
      </c>
      <c r="N1670" t="s">
        <v>4826</v>
      </c>
      <c r="O1670">
        <v>19.89</v>
      </c>
      <c r="P1670">
        <v>19.38</v>
      </c>
      <c r="Q1670">
        <v>19.69</v>
      </c>
      <c r="R1670">
        <v>19.71</v>
      </c>
      <c r="S1670">
        <v>2.59</v>
      </c>
      <c r="T1670">
        <v>0.75</v>
      </c>
      <c r="U1670">
        <v>-25.33</v>
      </c>
      <c r="V1670">
        <v>-253</v>
      </c>
      <c r="W1670">
        <v>19.58</v>
      </c>
      <c r="X1670" t="s">
        <v>8966</v>
      </c>
      <c r="Y1670" t="s">
        <v>9871</v>
      </c>
      <c r="Z1670">
        <v>0.86</v>
      </c>
      <c r="AA1670">
        <v>146</v>
      </c>
      <c r="AB1670">
        <v>151</v>
      </c>
      <c r="AC1670">
        <v>3.36</v>
      </c>
      <c r="AD1670" t="s">
        <v>9872</v>
      </c>
      <c r="AE1670" t="s">
        <v>9873</v>
      </c>
      <c r="AF1670" t="s">
        <v>1093</v>
      </c>
      <c r="AG1670" t="s">
        <v>9874</v>
      </c>
      <c r="AH1670">
        <v>-2.96</v>
      </c>
      <c r="AI1670">
        <v>-4.14</v>
      </c>
      <c r="AJ1670">
        <v>20.03</v>
      </c>
      <c r="AK1670">
        <v>41.06</v>
      </c>
      <c r="AL1670">
        <v>-2</v>
      </c>
      <c r="AM1670">
        <v>-0.05</v>
      </c>
      <c r="AN1670">
        <v>90.15</v>
      </c>
      <c r="AO1670">
        <v>-6.59</v>
      </c>
      <c r="AP1670">
        <v>61.87</v>
      </c>
    </row>
    <row r="1671" spans="1:42">
      <c r="A1671">
        <v>1670</v>
      </c>
      <c r="B1671" t="str">
        <f>"301510"</f>
        <v>301510</v>
      </c>
      <c r="C1671" t="s">
        <v>9875</v>
      </c>
      <c r="D1671">
        <v>41.48</v>
      </c>
      <c r="E1671">
        <v>-0.81</v>
      </c>
      <c r="F1671">
        <v>-0.34</v>
      </c>
      <c r="G1671" t="s">
        <v>6247</v>
      </c>
      <c r="H1671">
        <v>397</v>
      </c>
      <c r="I1671">
        <v>41.47</v>
      </c>
      <c r="J1671">
        <v>41.48</v>
      </c>
      <c r="K1671" t="s">
        <v>1694</v>
      </c>
      <c r="L1671">
        <v>8.49</v>
      </c>
      <c r="M1671" t="s">
        <v>46</v>
      </c>
      <c r="N1671" t="s">
        <v>5418</v>
      </c>
      <c r="O1671">
        <v>41.7</v>
      </c>
      <c r="P1671">
        <v>40.3</v>
      </c>
      <c r="Q1671">
        <v>41.38</v>
      </c>
      <c r="R1671">
        <v>41.82</v>
      </c>
      <c r="S1671">
        <v>3.35</v>
      </c>
      <c r="T1671">
        <v>0.96</v>
      </c>
      <c r="U1671">
        <v>-11.17</v>
      </c>
      <c r="V1671">
        <v>-29</v>
      </c>
      <c r="W1671">
        <v>40.94</v>
      </c>
      <c r="X1671" t="s">
        <v>141</v>
      </c>
      <c r="Y1671" t="s">
        <v>1777</v>
      </c>
      <c r="Z1671">
        <v>1.18</v>
      </c>
      <c r="AA1671">
        <v>51</v>
      </c>
      <c r="AB1671">
        <v>13</v>
      </c>
      <c r="AC1671">
        <v>13.44</v>
      </c>
      <c r="AD1671" t="s">
        <v>7381</v>
      </c>
      <c r="AE1671" t="s">
        <v>1300</v>
      </c>
      <c r="AF1671" t="s">
        <v>9876</v>
      </c>
      <c r="AG1671" t="s">
        <v>7013</v>
      </c>
      <c r="AH1671">
        <v>-0.65</v>
      </c>
      <c r="AI1671">
        <v>-6.62</v>
      </c>
      <c r="AJ1671">
        <v>24.8</v>
      </c>
      <c r="AK1671">
        <v>52.73</v>
      </c>
      <c r="AL1671">
        <v>-1</v>
      </c>
      <c r="AM1671">
        <v>-0.81</v>
      </c>
      <c r="AN1671">
        <v>245.67</v>
      </c>
      <c r="AO1671">
        <v>-0.46</v>
      </c>
      <c r="AP1671">
        <v>245.67</v>
      </c>
    </row>
    <row r="1672" spans="1:42">
      <c r="A1672">
        <v>1671</v>
      </c>
      <c r="B1672" t="str">
        <f>"688039"</f>
        <v>688039</v>
      </c>
      <c r="C1672" t="s">
        <v>9877</v>
      </c>
      <c r="D1672">
        <v>33.45</v>
      </c>
      <c r="E1672">
        <v>7.38</v>
      </c>
      <c r="F1672">
        <v>2.3</v>
      </c>
      <c r="G1672" t="s">
        <v>1453</v>
      </c>
      <c r="H1672">
        <v>433</v>
      </c>
      <c r="I1672">
        <v>33.45</v>
      </c>
      <c r="J1672">
        <v>33.46</v>
      </c>
      <c r="K1672" t="s">
        <v>1694</v>
      </c>
      <c r="L1672">
        <v>3.29</v>
      </c>
      <c r="M1672" t="s">
        <v>46</v>
      </c>
      <c r="N1672" t="s">
        <v>6517</v>
      </c>
      <c r="O1672">
        <v>33.66</v>
      </c>
      <c r="P1672">
        <v>30.93</v>
      </c>
      <c r="Q1672">
        <v>30.93</v>
      </c>
      <c r="R1672">
        <v>31.15</v>
      </c>
      <c r="S1672">
        <v>8.76</v>
      </c>
      <c r="T1672">
        <v>2.81</v>
      </c>
      <c r="U1672">
        <v>39.98</v>
      </c>
      <c r="V1672">
        <v>220</v>
      </c>
      <c r="W1672">
        <v>32.54</v>
      </c>
      <c r="X1672" t="s">
        <v>7178</v>
      </c>
      <c r="Y1672" t="s">
        <v>2716</v>
      </c>
      <c r="Z1672">
        <v>0.72</v>
      </c>
      <c r="AA1672">
        <v>15</v>
      </c>
      <c r="AB1672">
        <v>18</v>
      </c>
      <c r="AC1672">
        <v>2.81</v>
      </c>
      <c r="AD1672" t="s">
        <v>5678</v>
      </c>
      <c r="AE1672" t="s">
        <v>9878</v>
      </c>
      <c r="AF1672" t="s">
        <v>5678</v>
      </c>
      <c r="AG1672" t="s">
        <v>9878</v>
      </c>
      <c r="AH1672">
        <v>4.73</v>
      </c>
      <c r="AI1672">
        <v>1.27</v>
      </c>
      <c r="AJ1672">
        <v>5.46</v>
      </c>
      <c r="AK1672">
        <v>9.13</v>
      </c>
      <c r="AL1672">
        <v>1</v>
      </c>
      <c r="AM1672">
        <v>7.38</v>
      </c>
      <c r="AN1672">
        <v>24.35</v>
      </c>
      <c r="AO1672">
        <v>10.4</v>
      </c>
      <c r="AP1672">
        <v>11.46</v>
      </c>
    </row>
    <row r="1673" spans="1:42">
      <c r="A1673">
        <v>1672</v>
      </c>
      <c r="B1673" t="str">
        <f>"002217"</f>
        <v>002217</v>
      </c>
      <c r="C1673" t="s">
        <v>9879</v>
      </c>
      <c r="D1673">
        <v>2.99</v>
      </c>
      <c r="E1673">
        <v>1.01</v>
      </c>
      <c r="F1673">
        <v>0.03</v>
      </c>
      <c r="G1673" t="s">
        <v>131</v>
      </c>
      <c r="H1673">
        <v>7892</v>
      </c>
      <c r="I1673">
        <v>2.98</v>
      </c>
      <c r="J1673">
        <v>2.99</v>
      </c>
      <c r="K1673" t="s">
        <v>1694</v>
      </c>
      <c r="L1673">
        <v>1.29</v>
      </c>
      <c r="M1673" t="s">
        <v>46</v>
      </c>
      <c r="N1673" t="s">
        <v>7341</v>
      </c>
      <c r="O1673">
        <v>3</v>
      </c>
      <c r="P1673">
        <v>2.93</v>
      </c>
      <c r="Q1673">
        <v>2.96</v>
      </c>
      <c r="R1673">
        <v>2.96</v>
      </c>
      <c r="S1673">
        <v>2.36</v>
      </c>
      <c r="T1673">
        <v>0.67</v>
      </c>
      <c r="U1673">
        <v>-32.61</v>
      </c>
      <c r="V1673" t="s">
        <v>9880</v>
      </c>
      <c r="W1673">
        <v>2.97</v>
      </c>
      <c r="X1673" t="s">
        <v>842</v>
      </c>
      <c r="Y1673" t="s">
        <v>5519</v>
      </c>
      <c r="Z1673">
        <v>0.77</v>
      </c>
      <c r="AA1673">
        <v>3563</v>
      </c>
      <c r="AB1673">
        <v>5973</v>
      </c>
      <c r="AC1673">
        <v>4.31</v>
      </c>
      <c r="AD1673" t="s">
        <v>7526</v>
      </c>
      <c r="AE1673" t="s">
        <v>9881</v>
      </c>
      <c r="AF1673" t="s">
        <v>3400</v>
      </c>
      <c r="AG1673" t="s">
        <v>9882</v>
      </c>
      <c r="AH1673">
        <v>-2.92</v>
      </c>
      <c r="AI1673">
        <v>-4.17</v>
      </c>
      <c r="AJ1673">
        <v>5.05</v>
      </c>
      <c r="AK1673">
        <v>11.03</v>
      </c>
      <c r="AL1673">
        <v>1</v>
      </c>
      <c r="AM1673">
        <v>1.01</v>
      </c>
      <c r="AN1673">
        <v>17.25</v>
      </c>
      <c r="AO1673">
        <v>-8</v>
      </c>
      <c r="AP1673">
        <v>9.52</v>
      </c>
    </row>
    <row r="1674" spans="1:42">
      <c r="A1674">
        <v>1673</v>
      </c>
      <c r="B1674" t="str">
        <f>"600481"</f>
        <v>600481</v>
      </c>
      <c r="C1674" t="s">
        <v>9883</v>
      </c>
      <c r="D1674">
        <v>8.59</v>
      </c>
      <c r="E1674">
        <v>0</v>
      </c>
      <c r="F1674">
        <v>0</v>
      </c>
      <c r="G1674" t="s">
        <v>1207</v>
      </c>
      <c r="H1674">
        <v>1221</v>
      </c>
      <c r="I1674">
        <v>8.59</v>
      </c>
      <c r="J1674">
        <v>8.6</v>
      </c>
      <c r="K1674" t="s">
        <v>1694</v>
      </c>
      <c r="L1674">
        <v>0.75</v>
      </c>
      <c r="M1674" t="s">
        <v>46</v>
      </c>
      <c r="N1674" t="s">
        <v>7542</v>
      </c>
      <c r="O1674">
        <v>8.67</v>
      </c>
      <c r="P1674">
        <v>8.5</v>
      </c>
      <c r="Q1674">
        <v>8.57</v>
      </c>
      <c r="R1674">
        <v>8.59</v>
      </c>
      <c r="S1674">
        <v>1.98</v>
      </c>
      <c r="T1674">
        <v>0.81</v>
      </c>
      <c r="U1674">
        <v>24.46</v>
      </c>
      <c r="V1674">
        <v>2036</v>
      </c>
      <c r="W1674">
        <v>8.58</v>
      </c>
      <c r="X1674" t="s">
        <v>4833</v>
      </c>
      <c r="Y1674" t="s">
        <v>9217</v>
      </c>
      <c r="Z1674">
        <v>0.95</v>
      </c>
      <c r="AA1674">
        <v>487</v>
      </c>
      <c r="AB1674">
        <v>887</v>
      </c>
      <c r="AC1674">
        <v>2.4</v>
      </c>
      <c r="AD1674" t="s">
        <v>2173</v>
      </c>
      <c r="AE1674" t="s">
        <v>2345</v>
      </c>
      <c r="AF1674" t="s">
        <v>2173</v>
      </c>
      <c r="AG1674" t="s">
        <v>2345</v>
      </c>
      <c r="AH1674">
        <v>-3.48</v>
      </c>
      <c r="AI1674">
        <v>-7.53</v>
      </c>
      <c r="AJ1674">
        <v>2.71</v>
      </c>
      <c r="AK1674">
        <v>5.37</v>
      </c>
      <c r="AL1674">
        <v>0</v>
      </c>
      <c r="AM1674">
        <v>0</v>
      </c>
      <c r="AN1674">
        <v>-30.95</v>
      </c>
      <c r="AO1674">
        <v>-8.42</v>
      </c>
      <c r="AP1674">
        <v>-39.42</v>
      </c>
    </row>
    <row r="1675" spans="1:42">
      <c r="A1675">
        <v>1674</v>
      </c>
      <c r="B1675" t="str">
        <f>"603737"</f>
        <v>603737</v>
      </c>
      <c r="C1675" t="s">
        <v>9884</v>
      </c>
      <c r="D1675">
        <v>53.3</v>
      </c>
      <c r="E1675">
        <v>-1.31</v>
      </c>
      <c r="F1675">
        <v>-0.71</v>
      </c>
      <c r="G1675" t="s">
        <v>1212</v>
      </c>
      <c r="H1675">
        <v>206</v>
      </c>
      <c r="I1675">
        <v>53.29</v>
      </c>
      <c r="J1675">
        <v>53.3</v>
      </c>
      <c r="K1675" t="s">
        <v>1694</v>
      </c>
      <c r="L1675">
        <v>0.43</v>
      </c>
      <c r="M1675" t="s">
        <v>46</v>
      </c>
      <c r="N1675" t="s">
        <v>9885</v>
      </c>
      <c r="O1675">
        <v>54.18</v>
      </c>
      <c r="P1675">
        <v>52.5</v>
      </c>
      <c r="Q1675">
        <v>54.18</v>
      </c>
      <c r="R1675">
        <v>54.01</v>
      </c>
      <c r="S1675">
        <v>3.11</v>
      </c>
      <c r="T1675">
        <v>1.19</v>
      </c>
      <c r="U1675">
        <v>-3.11</v>
      </c>
      <c r="V1675">
        <v>-10</v>
      </c>
      <c r="W1675">
        <v>53.11</v>
      </c>
      <c r="X1675" t="s">
        <v>1743</v>
      </c>
      <c r="Y1675" t="s">
        <v>51</v>
      </c>
      <c r="Z1675">
        <v>1.07</v>
      </c>
      <c r="AA1675">
        <v>3</v>
      </c>
      <c r="AB1675">
        <v>129</v>
      </c>
      <c r="AC1675">
        <v>9.94</v>
      </c>
      <c r="AD1675" t="s">
        <v>9886</v>
      </c>
      <c r="AE1675" t="s">
        <v>9887</v>
      </c>
      <c r="AF1675" t="s">
        <v>9886</v>
      </c>
      <c r="AG1675" t="s">
        <v>9887</v>
      </c>
      <c r="AH1675">
        <v>-3.69</v>
      </c>
      <c r="AI1675">
        <v>-5.98</v>
      </c>
      <c r="AJ1675">
        <v>1.1</v>
      </c>
      <c r="AK1675">
        <v>2.22</v>
      </c>
      <c r="AL1675">
        <v>-6</v>
      </c>
      <c r="AM1675">
        <v>-1.31</v>
      </c>
      <c r="AN1675">
        <v>-34.45</v>
      </c>
      <c r="AO1675">
        <v>-7.8</v>
      </c>
      <c r="AP1675">
        <v>-35.84</v>
      </c>
    </row>
    <row r="1676" spans="1:42">
      <c r="A1676">
        <v>1675</v>
      </c>
      <c r="B1676" t="str">
        <f>"301110"</f>
        <v>301110</v>
      </c>
      <c r="C1676" t="s">
        <v>9888</v>
      </c>
      <c r="D1676">
        <v>47.17</v>
      </c>
      <c r="E1676">
        <v>5.2</v>
      </c>
      <c r="F1676">
        <v>2.33</v>
      </c>
      <c r="G1676" t="s">
        <v>4422</v>
      </c>
      <c r="H1676">
        <v>88</v>
      </c>
      <c r="I1676">
        <v>47.15</v>
      </c>
      <c r="J1676">
        <v>47.17</v>
      </c>
      <c r="K1676" t="s">
        <v>1694</v>
      </c>
      <c r="L1676">
        <v>7.08</v>
      </c>
      <c r="M1676" t="s">
        <v>46</v>
      </c>
      <c r="N1676" t="s">
        <v>4116</v>
      </c>
      <c r="O1676">
        <v>47.47</v>
      </c>
      <c r="P1676">
        <v>44.51</v>
      </c>
      <c r="Q1676">
        <v>44.84</v>
      </c>
      <c r="R1676">
        <v>44.84</v>
      </c>
      <c r="S1676">
        <v>6.6</v>
      </c>
      <c r="T1676">
        <v>1.55</v>
      </c>
      <c r="U1676">
        <v>-57.56</v>
      </c>
      <c r="V1676">
        <v>-274</v>
      </c>
      <c r="W1676">
        <v>46.75</v>
      </c>
      <c r="X1676">
        <v>9081</v>
      </c>
      <c r="Y1676" t="s">
        <v>8137</v>
      </c>
      <c r="Z1676">
        <v>0.55</v>
      </c>
      <c r="AA1676">
        <v>88</v>
      </c>
      <c r="AB1676">
        <v>99</v>
      </c>
      <c r="AC1676">
        <v>2.26</v>
      </c>
      <c r="AD1676" t="s">
        <v>9889</v>
      </c>
      <c r="AE1676" t="s">
        <v>9890</v>
      </c>
      <c r="AF1676" t="s">
        <v>9891</v>
      </c>
      <c r="AG1676" t="s">
        <v>9892</v>
      </c>
      <c r="AH1676">
        <v>4.82</v>
      </c>
      <c r="AI1676">
        <v>0.94</v>
      </c>
      <c r="AJ1676">
        <v>14.43</v>
      </c>
      <c r="AK1676">
        <v>29.98</v>
      </c>
      <c r="AL1676">
        <v>1</v>
      </c>
      <c r="AM1676">
        <v>5.2</v>
      </c>
      <c r="AN1676">
        <v>26.6</v>
      </c>
      <c r="AO1676">
        <v>6.1</v>
      </c>
      <c r="AP1676">
        <v>31.06</v>
      </c>
    </row>
    <row r="1677" spans="1:42">
      <c r="A1677">
        <v>1676</v>
      </c>
      <c r="B1677" t="str">
        <f>"688276"</f>
        <v>688276</v>
      </c>
      <c r="C1677" t="s">
        <v>9893</v>
      </c>
      <c r="D1677">
        <v>59.52</v>
      </c>
      <c r="E1677">
        <v>-1.24</v>
      </c>
      <c r="F1677">
        <v>-0.75</v>
      </c>
      <c r="G1677" t="s">
        <v>1280</v>
      </c>
      <c r="H1677">
        <v>52</v>
      </c>
      <c r="I1677">
        <v>59.51</v>
      </c>
      <c r="J1677">
        <v>59.52</v>
      </c>
      <c r="K1677" t="s">
        <v>9894</v>
      </c>
      <c r="L1677">
        <v>0.83</v>
      </c>
      <c r="M1677" t="s">
        <v>46</v>
      </c>
      <c r="N1677" t="s">
        <v>5397</v>
      </c>
      <c r="O1677">
        <v>60.93</v>
      </c>
      <c r="P1677">
        <v>59.07</v>
      </c>
      <c r="Q1677">
        <v>60.28</v>
      </c>
      <c r="R1677">
        <v>60.27</v>
      </c>
      <c r="S1677">
        <v>3.09</v>
      </c>
      <c r="T1677">
        <v>1.12</v>
      </c>
      <c r="U1677">
        <v>48.21</v>
      </c>
      <c r="V1677">
        <v>83</v>
      </c>
      <c r="W1677">
        <v>59.71</v>
      </c>
      <c r="X1677" t="s">
        <v>189</v>
      </c>
      <c r="Y1677">
        <v>8277</v>
      </c>
      <c r="Z1677">
        <v>1.42</v>
      </c>
      <c r="AA1677">
        <v>44</v>
      </c>
      <c r="AB1677">
        <v>13</v>
      </c>
      <c r="AC1677">
        <v>6.38</v>
      </c>
      <c r="AD1677" t="s">
        <v>9895</v>
      </c>
      <c r="AE1677" t="s">
        <v>9896</v>
      </c>
      <c r="AF1677" t="s">
        <v>9897</v>
      </c>
      <c r="AG1677" t="s">
        <v>9898</v>
      </c>
      <c r="AH1677">
        <v>-2.47</v>
      </c>
      <c r="AI1677">
        <v>-3.38</v>
      </c>
      <c r="AJ1677">
        <v>2.42</v>
      </c>
      <c r="AK1677">
        <v>4.52</v>
      </c>
      <c r="AL1677">
        <v>-4</v>
      </c>
      <c r="AM1677">
        <v>-1.24</v>
      </c>
      <c r="AN1677">
        <v>-13.69</v>
      </c>
      <c r="AO1677">
        <v>-6.71</v>
      </c>
      <c r="AP1677">
        <v>-11.9</v>
      </c>
    </row>
    <row r="1678" spans="1:42">
      <c r="A1678">
        <v>1677</v>
      </c>
      <c r="B1678" t="str">
        <f>"603393"</f>
        <v>603393</v>
      </c>
      <c r="C1678" t="s">
        <v>9899</v>
      </c>
      <c r="D1678">
        <v>31.93</v>
      </c>
      <c r="E1678">
        <v>-0.13</v>
      </c>
      <c r="F1678">
        <v>-0.04</v>
      </c>
      <c r="G1678" t="s">
        <v>1718</v>
      </c>
      <c r="H1678">
        <v>265</v>
      </c>
      <c r="I1678">
        <v>31.92</v>
      </c>
      <c r="J1678">
        <v>31.93</v>
      </c>
      <c r="K1678" t="s">
        <v>9894</v>
      </c>
      <c r="L1678">
        <v>1</v>
      </c>
      <c r="M1678" t="s">
        <v>46</v>
      </c>
      <c r="N1678" t="s">
        <v>9900</v>
      </c>
      <c r="O1678">
        <v>32.23</v>
      </c>
      <c r="P1678">
        <v>31.65</v>
      </c>
      <c r="Q1678">
        <v>31.87</v>
      </c>
      <c r="R1678">
        <v>31.97</v>
      </c>
      <c r="S1678">
        <v>1.81</v>
      </c>
      <c r="T1678">
        <v>0.88</v>
      </c>
      <c r="U1678">
        <v>-22.41</v>
      </c>
      <c r="V1678">
        <v>-51</v>
      </c>
      <c r="W1678">
        <v>31.9</v>
      </c>
      <c r="X1678" t="s">
        <v>4509</v>
      </c>
      <c r="Y1678" t="s">
        <v>2371</v>
      </c>
      <c r="Z1678">
        <v>1.47</v>
      </c>
      <c r="AA1678">
        <v>7</v>
      </c>
      <c r="AB1678">
        <v>30</v>
      </c>
      <c r="AC1678">
        <v>1.95</v>
      </c>
      <c r="AD1678" t="s">
        <v>9901</v>
      </c>
      <c r="AE1678" t="s">
        <v>2689</v>
      </c>
      <c r="AF1678" t="s">
        <v>9902</v>
      </c>
      <c r="AG1678" t="s">
        <v>9903</v>
      </c>
      <c r="AH1678">
        <v>2.27</v>
      </c>
      <c r="AI1678">
        <v>1.66</v>
      </c>
      <c r="AJ1678">
        <v>3.23</v>
      </c>
      <c r="AK1678">
        <v>6.68</v>
      </c>
      <c r="AL1678">
        <v>-1</v>
      </c>
      <c r="AM1678">
        <v>-0.13</v>
      </c>
      <c r="AN1678">
        <v>50.83</v>
      </c>
      <c r="AO1678">
        <v>15.69</v>
      </c>
      <c r="AP1678">
        <v>49.56</v>
      </c>
    </row>
    <row r="1679" spans="1:42">
      <c r="A1679">
        <v>1678</v>
      </c>
      <c r="B1679" t="str">
        <f>"000836"</f>
        <v>000836</v>
      </c>
      <c r="C1679" t="s">
        <v>9904</v>
      </c>
      <c r="D1679">
        <v>2.96</v>
      </c>
      <c r="E1679">
        <v>1.72</v>
      </c>
      <c r="F1679">
        <v>0.05</v>
      </c>
      <c r="G1679" t="s">
        <v>582</v>
      </c>
      <c r="H1679">
        <v>4688</v>
      </c>
      <c r="I1679">
        <v>2.95</v>
      </c>
      <c r="J1679">
        <v>2.96</v>
      </c>
      <c r="K1679" t="s">
        <v>9894</v>
      </c>
      <c r="L1679">
        <v>3.34</v>
      </c>
      <c r="M1679" t="s">
        <v>46</v>
      </c>
      <c r="N1679" t="s">
        <v>9905</v>
      </c>
      <c r="O1679">
        <v>3</v>
      </c>
      <c r="P1679">
        <v>2.89</v>
      </c>
      <c r="Q1679">
        <v>2.9</v>
      </c>
      <c r="R1679">
        <v>2.91</v>
      </c>
      <c r="S1679">
        <v>3.78</v>
      </c>
      <c r="T1679">
        <v>0.84</v>
      </c>
      <c r="U1679">
        <v>-30.57</v>
      </c>
      <c r="V1679" t="s">
        <v>9906</v>
      </c>
      <c r="W1679">
        <v>2.95</v>
      </c>
      <c r="X1679" t="s">
        <v>1092</v>
      </c>
      <c r="Y1679" t="s">
        <v>3139</v>
      </c>
      <c r="Z1679">
        <v>0.81</v>
      </c>
      <c r="AA1679">
        <v>3722</v>
      </c>
      <c r="AB1679">
        <v>2881</v>
      </c>
      <c r="AC1679">
        <v>2.95</v>
      </c>
      <c r="AD1679" t="s">
        <v>9053</v>
      </c>
      <c r="AE1679" t="s">
        <v>9907</v>
      </c>
      <c r="AF1679" t="s">
        <v>9053</v>
      </c>
      <c r="AG1679" t="s">
        <v>9907</v>
      </c>
      <c r="AH1679">
        <v>1.02</v>
      </c>
      <c r="AI1679">
        <v>-3.58</v>
      </c>
      <c r="AJ1679">
        <v>10.09</v>
      </c>
      <c r="AK1679">
        <v>23.36</v>
      </c>
      <c r="AL1679">
        <v>1</v>
      </c>
      <c r="AM1679">
        <v>1.72</v>
      </c>
      <c r="AN1679">
        <v>9.23</v>
      </c>
      <c r="AO1679">
        <v>10.04</v>
      </c>
      <c r="AP1679">
        <v>-1.33</v>
      </c>
    </row>
    <row r="1680" spans="1:42">
      <c r="A1680">
        <v>1679</v>
      </c>
      <c r="B1680" t="str">
        <f>"600158"</f>
        <v>600158</v>
      </c>
      <c r="C1680" t="s">
        <v>9908</v>
      </c>
      <c r="D1680">
        <v>8.53</v>
      </c>
      <c r="E1680">
        <v>2.4</v>
      </c>
      <c r="F1680">
        <v>0.2</v>
      </c>
      <c r="G1680" t="s">
        <v>1296</v>
      </c>
      <c r="H1680">
        <v>1336</v>
      </c>
      <c r="I1680">
        <v>8.53</v>
      </c>
      <c r="J1680">
        <v>8.54</v>
      </c>
      <c r="K1680" t="s">
        <v>9894</v>
      </c>
      <c r="L1680">
        <v>1.47</v>
      </c>
      <c r="M1680" t="s">
        <v>46</v>
      </c>
      <c r="N1680" t="s">
        <v>9909</v>
      </c>
      <c r="O1680">
        <v>8.55</v>
      </c>
      <c r="P1680">
        <v>8.31</v>
      </c>
      <c r="Q1680">
        <v>8.33</v>
      </c>
      <c r="R1680">
        <v>8.33</v>
      </c>
      <c r="S1680">
        <v>2.88</v>
      </c>
      <c r="T1680">
        <v>1.77</v>
      </c>
      <c r="U1680">
        <v>-26.24</v>
      </c>
      <c r="V1680">
        <v>-2678</v>
      </c>
      <c r="W1680">
        <v>8.46</v>
      </c>
      <c r="X1680" t="s">
        <v>2984</v>
      </c>
      <c r="Y1680" t="s">
        <v>5203</v>
      </c>
      <c r="Z1680">
        <v>0.63</v>
      </c>
      <c r="AA1680">
        <v>258</v>
      </c>
      <c r="AB1680">
        <v>1873</v>
      </c>
      <c r="AC1680">
        <v>3.29</v>
      </c>
      <c r="AD1680" t="s">
        <v>9910</v>
      </c>
      <c r="AE1680" t="s">
        <v>9911</v>
      </c>
      <c r="AF1680" t="s">
        <v>9910</v>
      </c>
      <c r="AG1680" t="s">
        <v>9911</v>
      </c>
      <c r="AH1680">
        <v>0.35</v>
      </c>
      <c r="AI1680">
        <v>-0.12</v>
      </c>
      <c r="AJ1680">
        <v>2.75</v>
      </c>
      <c r="AK1680">
        <v>5.61</v>
      </c>
      <c r="AL1680">
        <v>1</v>
      </c>
      <c r="AM1680">
        <v>2.4</v>
      </c>
      <c r="AN1680">
        <v>-2.29</v>
      </c>
      <c r="AO1680">
        <v>1.55</v>
      </c>
      <c r="AP1680">
        <v>-17.34</v>
      </c>
    </row>
    <row r="1681" spans="1:42">
      <c r="A1681">
        <v>1680</v>
      </c>
      <c r="B1681" t="str">
        <f>"605555"</f>
        <v>605555</v>
      </c>
      <c r="C1681" t="s">
        <v>9912</v>
      </c>
      <c r="D1681">
        <v>23.59</v>
      </c>
      <c r="E1681">
        <v>1.42</v>
      </c>
      <c r="F1681">
        <v>0.33</v>
      </c>
      <c r="G1681" t="s">
        <v>4953</v>
      </c>
      <c r="H1681">
        <v>373</v>
      </c>
      <c r="I1681">
        <v>23.58</v>
      </c>
      <c r="J1681">
        <v>23.59</v>
      </c>
      <c r="K1681" t="s">
        <v>9894</v>
      </c>
      <c r="L1681">
        <v>3.71</v>
      </c>
      <c r="M1681" t="s">
        <v>46</v>
      </c>
      <c r="N1681" t="s">
        <v>9913</v>
      </c>
      <c r="O1681">
        <v>24.02</v>
      </c>
      <c r="P1681">
        <v>23.04</v>
      </c>
      <c r="Q1681">
        <v>23.43</v>
      </c>
      <c r="R1681">
        <v>23.26</v>
      </c>
      <c r="S1681">
        <v>4.21</v>
      </c>
      <c r="T1681">
        <v>0.8</v>
      </c>
      <c r="U1681">
        <v>-33.79</v>
      </c>
      <c r="V1681">
        <v>-149</v>
      </c>
      <c r="W1681">
        <v>23.64</v>
      </c>
      <c r="X1681" t="s">
        <v>1639</v>
      </c>
      <c r="Y1681" t="s">
        <v>4037</v>
      </c>
      <c r="Z1681">
        <v>1.08</v>
      </c>
      <c r="AA1681">
        <v>5</v>
      </c>
      <c r="AB1681">
        <v>32</v>
      </c>
      <c r="AC1681">
        <v>3.28</v>
      </c>
      <c r="AD1681" t="s">
        <v>9914</v>
      </c>
      <c r="AE1681" t="s">
        <v>9915</v>
      </c>
      <c r="AF1681" t="s">
        <v>9916</v>
      </c>
      <c r="AG1681" t="s">
        <v>9917</v>
      </c>
      <c r="AH1681">
        <v>2.97</v>
      </c>
      <c r="AI1681">
        <v>1.68</v>
      </c>
      <c r="AJ1681">
        <v>14.27</v>
      </c>
      <c r="AK1681">
        <v>27.05</v>
      </c>
      <c r="AL1681">
        <v>1</v>
      </c>
      <c r="AM1681">
        <v>1.42</v>
      </c>
      <c r="AN1681">
        <v>66.83</v>
      </c>
      <c r="AO1681">
        <v>15.58</v>
      </c>
      <c r="AP1681">
        <v>53.98</v>
      </c>
    </row>
    <row r="1682" spans="1:42">
      <c r="A1682">
        <v>1681</v>
      </c>
      <c r="B1682" t="str">
        <f>"831195"</f>
        <v>831195</v>
      </c>
      <c r="C1682" t="s">
        <v>9918</v>
      </c>
      <c r="D1682">
        <v>13.85</v>
      </c>
      <c r="E1682">
        <v>-5.07</v>
      </c>
      <c r="F1682">
        <v>-0.74</v>
      </c>
      <c r="G1682" t="s">
        <v>1317</v>
      </c>
      <c r="H1682">
        <v>1088</v>
      </c>
      <c r="I1682">
        <v>13.85</v>
      </c>
      <c r="J1682">
        <v>13.86</v>
      </c>
      <c r="K1682" t="s">
        <v>9894</v>
      </c>
      <c r="L1682">
        <v>21.24</v>
      </c>
      <c r="M1682" t="s">
        <v>46</v>
      </c>
      <c r="N1682" t="s">
        <v>2245</v>
      </c>
      <c r="O1682">
        <v>15.21</v>
      </c>
      <c r="P1682">
        <v>13.75</v>
      </c>
      <c r="Q1682">
        <v>14.95</v>
      </c>
      <c r="R1682">
        <v>14.59</v>
      </c>
      <c r="S1682">
        <v>10.01</v>
      </c>
      <c r="T1682">
        <v>0.65</v>
      </c>
      <c r="U1682">
        <v>40.25</v>
      </c>
      <c r="V1682">
        <v>237</v>
      </c>
      <c r="W1682">
        <v>14.29</v>
      </c>
      <c r="X1682" t="s">
        <v>3659</v>
      </c>
      <c r="Y1682" t="s">
        <v>3226</v>
      </c>
      <c r="Z1682">
        <v>1.64</v>
      </c>
      <c r="AA1682">
        <v>285</v>
      </c>
      <c r="AB1682">
        <v>89</v>
      </c>
      <c r="AC1682">
        <v>2.03</v>
      </c>
      <c r="AD1682" t="s">
        <v>9919</v>
      </c>
      <c r="AE1682" t="s">
        <v>9920</v>
      </c>
      <c r="AF1682" t="s">
        <v>9921</v>
      </c>
      <c r="AG1682" t="s">
        <v>9922</v>
      </c>
      <c r="AH1682">
        <v>-30.4</v>
      </c>
      <c r="AI1682">
        <v>29.92</v>
      </c>
      <c r="AJ1682">
        <v>92.15</v>
      </c>
      <c r="AK1682">
        <v>183.9</v>
      </c>
      <c r="AL1682">
        <v>-3</v>
      </c>
      <c r="AM1682">
        <v>-5.07</v>
      </c>
      <c r="AN1682">
        <v>80.81</v>
      </c>
      <c r="AO1682">
        <v>67.88</v>
      </c>
      <c r="AP1682">
        <v>88.69</v>
      </c>
    </row>
    <row r="1683" spans="1:42">
      <c r="A1683">
        <v>1682</v>
      </c>
      <c r="B1683" t="str">
        <f>"600552"</f>
        <v>600552</v>
      </c>
      <c r="C1683" t="s">
        <v>9923</v>
      </c>
      <c r="D1683">
        <v>12.97</v>
      </c>
      <c r="E1683">
        <v>0.23</v>
      </c>
      <c r="F1683">
        <v>0.03</v>
      </c>
      <c r="G1683" t="s">
        <v>3295</v>
      </c>
      <c r="H1683">
        <v>688</v>
      </c>
      <c r="I1683">
        <v>12.97</v>
      </c>
      <c r="J1683">
        <v>12.98</v>
      </c>
      <c r="K1683" t="s">
        <v>9894</v>
      </c>
      <c r="L1683">
        <v>1.03</v>
      </c>
      <c r="M1683" t="s">
        <v>46</v>
      </c>
      <c r="N1683" t="s">
        <v>9924</v>
      </c>
      <c r="O1683">
        <v>13.03</v>
      </c>
      <c r="P1683">
        <v>12.8</v>
      </c>
      <c r="Q1683">
        <v>12.96</v>
      </c>
      <c r="R1683">
        <v>12.94</v>
      </c>
      <c r="S1683">
        <v>1.78</v>
      </c>
      <c r="T1683">
        <v>0.54</v>
      </c>
      <c r="U1683">
        <v>57.51</v>
      </c>
      <c r="V1683">
        <v>3689</v>
      </c>
      <c r="W1683">
        <v>12.9</v>
      </c>
      <c r="X1683" t="s">
        <v>2300</v>
      </c>
      <c r="Y1683" t="s">
        <v>944</v>
      </c>
      <c r="Z1683">
        <v>0.99</v>
      </c>
      <c r="AA1683">
        <v>36</v>
      </c>
      <c r="AB1683">
        <v>261</v>
      </c>
      <c r="AC1683">
        <v>3.01</v>
      </c>
      <c r="AD1683" t="s">
        <v>9925</v>
      </c>
      <c r="AE1683" t="s">
        <v>9926</v>
      </c>
      <c r="AF1683" t="s">
        <v>9927</v>
      </c>
      <c r="AG1683" t="s">
        <v>2098</v>
      </c>
      <c r="AH1683">
        <v>-0.99</v>
      </c>
      <c r="AI1683">
        <v>-3.21</v>
      </c>
      <c r="AJ1683">
        <v>4.23</v>
      </c>
      <c r="AK1683">
        <v>10.64</v>
      </c>
      <c r="AL1683">
        <v>1</v>
      </c>
      <c r="AM1683">
        <v>0.23</v>
      </c>
      <c r="AN1683">
        <v>41.13</v>
      </c>
      <c r="AO1683">
        <v>9.45</v>
      </c>
      <c r="AP1683">
        <v>21.33</v>
      </c>
    </row>
    <row r="1684" spans="1:42">
      <c r="A1684">
        <v>1683</v>
      </c>
      <c r="B1684" t="str">
        <f>"603278"</f>
        <v>603278</v>
      </c>
      <c r="C1684" t="s">
        <v>9928</v>
      </c>
      <c r="D1684">
        <v>12.98</v>
      </c>
      <c r="E1684">
        <v>-3.21</v>
      </c>
      <c r="F1684">
        <v>-0.43</v>
      </c>
      <c r="G1684" t="s">
        <v>9929</v>
      </c>
      <c r="H1684">
        <v>1110</v>
      </c>
      <c r="I1684">
        <v>12.97</v>
      </c>
      <c r="J1684">
        <v>12.98</v>
      </c>
      <c r="K1684" t="s">
        <v>9894</v>
      </c>
      <c r="L1684">
        <v>2.84</v>
      </c>
      <c r="M1684" t="s">
        <v>46</v>
      </c>
      <c r="N1684" t="s">
        <v>9930</v>
      </c>
      <c r="O1684">
        <v>13.62</v>
      </c>
      <c r="P1684">
        <v>12.9</v>
      </c>
      <c r="Q1684">
        <v>13.6</v>
      </c>
      <c r="R1684">
        <v>13.41</v>
      </c>
      <c r="S1684">
        <v>5.37</v>
      </c>
      <c r="T1684">
        <v>0.57</v>
      </c>
      <c r="U1684">
        <v>5.41</v>
      </c>
      <c r="V1684">
        <v>79</v>
      </c>
      <c r="W1684">
        <v>13.08</v>
      </c>
      <c r="X1684" t="s">
        <v>3736</v>
      </c>
      <c r="Y1684" t="s">
        <v>5355</v>
      </c>
      <c r="Z1684">
        <v>1.24</v>
      </c>
      <c r="AA1684">
        <v>24</v>
      </c>
      <c r="AB1684">
        <v>32</v>
      </c>
      <c r="AC1684">
        <v>2.34</v>
      </c>
      <c r="AD1684" t="s">
        <v>9931</v>
      </c>
      <c r="AE1684" t="s">
        <v>9932</v>
      </c>
      <c r="AF1684" t="s">
        <v>9933</v>
      </c>
      <c r="AG1684" t="s">
        <v>9934</v>
      </c>
      <c r="AH1684">
        <v>-1.37</v>
      </c>
      <c r="AI1684">
        <v>-10.97</v>
      </c>
      <c r="AJ1684">
        <v>10.67</v>
      </c>
      <c r="AK1684">
        <v>27.53</v>
      </c>
      <c r="AL1684">
        <v>-2</v>
      </c>
      <c r="AM1684">
        <v>-3.21</v>
      </c>
      <c r="AN1684">
        <v>88.66</v>
      </c>
      <c r="AO1684">
        <v>11.04</v>
      </c>
      <c r="AP1684">
        <v>69.01</v>
      </c>
    </row>
    <row r="1685" spans="1:42">
      <c r="A1685">
        <v>1684</v>
      </c>
      <c r="B1685" t="str">
        <f>"600705"</f>
        <v>600705</v>
      </c>
      <c r="C1685" t="s">
        <v>9935</v>
      </c>
      <c r="D1685">
        <v>3.31</v>
      </c>
      <c r="E1685">
        <v>1.22</v>
      </c>
      <c r="F1685">
        <v>0.04</v>
      </c>
      <c r="G1685" t="s">
        <v>4962</v>
      </c>
      <c r="H1685">
        <v>4761</v>
      </c>
      <c r="I1685">
        <v>3.31</v>
      </c>
      <c r="J1685">
        <v>3.32</v>
      </c>
      <c r="K1685" t="s">
        <v>9894</v>
      </c>
      <c r="L1685">
        <v>0.41</v>
      </c>
      <c r="M1685" t="s">
        <v>46</v>
      </c>
      <c r="N1685" t="s">
        <v>164</v>
      </c>
      <c r="O1685">
        <v>3.32</v>
      </c>
      <c r="P1685">
        <v>3.26</v>
      </c>
      <c r="Q1685">
        <v>3.28</v>
      </c>
      <c r="R1685">
        <v>3.27</v>
      </c>
      <c r="S1685">
        <v>1.83</v>
      </c>
      <c r="T1685">
        <v>0.86</v>
      </c>
      <c r="U1685">
        <v>-1.87</v>
      </c>
      <c r="V1685">
        <v>-1963</v>
      </c>
      <c r="W1685">
        <v>3.29</v>
      </c>
      <c r="X1685" t="s">
        <v>2222</v>
      </c>
      <c r="Y1685" t="s">
        <v>1125</v>
      </c>
      <c r="Z1685">
        <v>0.71</v>
      </c>
      <c r="AA1685" t="s">
        <v>905</v>
      </c>
      <c r="AB1685" t="s">
        <v>578</v>
      </c>
      <c r="AC1685">
        <v>0.79</v>
      </c>
      <c r="AD1685" t="s">
        <v>9936</v>
      </c>
      <c r="AE1685" t="s">
        <v>9937</v>
      </c>
      <c r="AF1685" t="s">
        <v>9938</v>
      </c>
      <c r="AG1685" t="s">
        <v>9939</v>
      </c>
      <c r="AH1685">
        <v>-0.6</v>
      </c>
      <c r="AI1685">
        <v>-4.34</v>
      </c>
      <c r="AJ1685">
        <v>1.4</v>
      </c>
      <c r="AK1685">
        <v>2.78</v>
      </c>
      <c r="AL1685">
        <v>1</v>
      </c>
      <c r="AM1685">
        <v>1.22</v>
      </c>
      <c r="AN1685">
        <v>2.8</v>
      </c>
      <c r="AO1685">
        <v>-0.6</v>
      </c>
      <c r="AP1685">
        <v>6.09</v>
      </c>
    </row>
    <row r="1686" spans="1:42">
      <c r="A1686">
        <v>1685</v>
      </c>
      <c r="B1686" t="str">
        <f>"600850"</f>
        <v>600850</v>
      </c>
      <c r="C1686" t="s">
        <v>9940</v>
      </c>
      <c r="D1686">
        <v>23.45</v>
      </c>
      <c r="E1686">
        <v>1.6</v>
      </c>
      <c r="F1686">
        <v>0.37</v>
      </c>
      <c r="G1686" t="s">
        <v>6615</v>
      </c>
      <c r="H1686">
        <v>829</v>
      </c>
      <c r="I1686">
        <v>23.44</v>
      </c>
      <c r="J1686">
        <v>23.45</v>
      </c>
      <c r="K1686" t="s">
        <v>9894</v>
      </c>
      <c r="L1686">
        <v>0.85</v>
      </c>
      <c r="M1686" t="s">
        <v>46</v>
      </c>
      <c r="N1686" t="s">
        <v>9941</v>
      </c>
      <c r="O1686">
        <v>23.5</v>
      </c>
      <c r="P1686">
        <v>22.9</v>
      </c>
      <c r="Q1686">
        <v>23.1</v>
      </c>
      <c r="R1686">
        <v>23.08</v>
      </c>
      <c r="S1686">
        <v>2.6</v>
      </c>
      <c r="T1686">
        <v>0.63</v>
      </c>
      <c r="U1686">
        <v>7.17</v>
      </c>
      <c r="V1686">
        <v>138</v>
      </c>
      <c r="W1686">
        <v>23.25</v>
      </c>
      <c r="X1686" t="s">
        <v>5620</v>
      </c>
      <c r="Y1686" t="s">
        <v>3032</v>
      </c>
      <c r="Z1686">
        <v>0.83</v>
      </c>
      <c r="AA1686">
        <v>100</v>
      </c>
      <c r="AB1686">
        <v>71</v>
      </c>
      <c r="AC1686">
        <v>3.82</v>
      </c>
      <c r="AD1686" t="s">
        <v>4018</v>
      </c>
      <c r="AE1686" t="s">
        <v>9942</v>
      </c>
      <c r="AF1686" t="s">
        <v>9943</v>
      </c>
      <c r="AG1686" t="s">
        <v>9944</v>
      </c>
      <c r="AH1686">
        <v>-0.34</v>
      </c>
      <c r="AI1686">
        <v>-2.37</v>
      </c>
      <c r="AJ1686">
        <v>2.65</v>
      </c>
      <c r="AK1686">
        <v>7.56</v>
      </c>
      <c r="AL1686">
        <v>1</v>
      </c>
      <c r="AM1686">
        <v>1.6</v>
      </c>
      <c r="AN1686">
        <v>18.55</v>
      </c>
      <c r="AO1686">
        <v>-0.85</v>
      </c>
      <c r="AP1686">
        <v>5.06</v>
      </c>
    </row>
    <row r="1687" spans="1:42">
      <c r="A1687">
        <v>1686</v>
      </c>
      <c r="B1687" t="str">
        <f>"002161"</f>
        <v>002161</v>
      </c>
      <c r="C1687" t="s">
        <v>9945</v>
      </c>
      <c r="D1687">
        <v>6.18</v>
      </c>
      <c r="E1687">
        <v>0.98</v>
      </c>
      <c r="F1687">
        <v>0.06</v>
      </c>
      <c r="G1687" t="s">
        <v>869</v>
      </c>
      <c r="H1687">
        <v>3636</v>
      </c>
      <c r="I1687">
        <v>6.18</v>
      </c>
      <c r="J1687">
        <v>6.19</v>
      </c>
      <c r="K1687" t="s">
        <v>9894</v>
      </c>
      <c r="L1687">
        <v>2.7</v>
      </c>
      <c r="M1687" t="s">
        <v>46</v>
      </c>
      <c r="N1687" t="s">
        <v>3931</v>
      </c>
      <c r="O1687">
        <v>6.21</v>
      </c>
      <c r="P1687">
        <v>6.06</v>
      </c>
      <c r="Q1687">
        <v>6.13</v>
      </c>
      <c r="R1687">
        <v>6.12</v>
      </c>
      <c r="S1687">
        <v>2.45</v>
      </c>
      <c r="T1687">
        <v>0.52</v>
      </c>
      <c r="U1687">
        <v>-6.05</v>
      </c>
      <c r="V1687">
        <v>-773</v>
      </c>
      <c r="W1687">
        <v>6.16</v>
      </c>
      <c r="X1687" t="s">
        <v>1849</v>
      </c>
      <c r="Y1687" t="s">
        <v>1499</v>
      </c>
      <c r="Z1687">
        <v>0.89</v>
      </c>
      <c r="AA1687">
        <v>709</v>
      </c>
      <c r="AB1687">
        <v>508</v>
      </c>
      <c r="AC1687">
        <v>3.08</v>
      </c>
      <c r="AD1687" t="s">
        <v>9946</v>
      </c>
      <c r="AE1687" t="s">
        <v>5901</v>
      </c>
      <c r="AF1687" t="s">
        <v>9947</v>
      </c>
      <c r="AG1687" t="s">
        <v>9948</v>
      </c>
      <c r="AH1687">
        <v>-1.44</v>
      </c>
      <c r="AI1687">
        <v>-4.78</v>
      </c>
      <c r="AJ1687">
        <v>10.95</v>
      </c>
      <c r="AK1687">
        <v>28.75</v>
      </c>
      <c r="AL1687">
        <v>1</v>
      </c>
      <c r="AM1687">
        <v>0.98</v>
      </c>
      <c r="AN1687">
        <v>31.77</v>
      </c>
      <c r="AO1687">
        <v>12.57</v>
      </c>
      <c r="AP1687">
        <v>17.94</v>
      </c>
    </row>
    <row r="1688" spans="1:42">
      <c r="A1688">
        <v>1687</v>
      </c>
      <c r="B1688" t="str">
        <f>"001266"</f>
        <v>001266</v>
      </c>
      <c r="C1688" t="s">
        <v>9949</v>
      </c>
      <c r="D1688">
        <v>31.84</v>
      </c>
      <c r="E1688">
        <v>-0.66</v>
      </c>
      <c r="F1688">
        <v>-0.21</v>
      </c>
      <c r="G1688" t="s">
        <v>2691</v>
      </c>
      <c r="H1688">
        <v>1534</v>
      </c>
      <c r="I1688">
        <v>31.83</v>
      </c>
      <c r="J1688">
        <v>31.84</v>
      </c>
      <c r="K1688" t="s">
        <v>9894</v>
      </c>
      <c r="L1688">
        <v>10.87</v>
      </c>
      <c r="M1688" t="s">
        <v>46</v>
      </c>
      <c r="N1688" t="s">
        <v>897</v>
      </c>
      <c r="O1688">
        <v>32.28</v>
      </c>
      <c r="P1688">
        <v>31.41</v>
      </c>
      <c r="Q1688">
        <v>31.8</v>
      </c>
      <c r="R1688">
        <v>32.05</v>
      </c>
      <c r="S1688">
        <v>2.71</v>
      </c>
      <c r="T1688">
        <v>0.68</v>
      </c>
      <c r="U1688">
        <v>24.46</v>
      </c>
      <c r="V1688">
        <v>57</v>
      </c>
      <c r="W1688">
        <v>31.81</v>
      </c>
      <c r="X1688" t="s">
        <v>153</v>
      </c>
      <c r="Y1688" t="s">
        <v>1118</v>
      </c>
      <c r="Z1688">
        <v>1.3</v>
      </c>
      <c r="AA1688">
        <v>42</v>
      </c>
      <c r="AB1688">
        <v>33</v>
      </c>
      <c r="AC1688">
        <v>3.21</v>
      </c>
      <c r="AD1688" t="s">
        <v>6676</v>
      </c>
      <c r="AE1688" t="s">
        <v>8490</v>
      </c>
      <c r="AF1688" t="s">
        <v>9950</v>
      </c>
      <c r="AG1688" t="s">
        <v>7282</v>
      </c>
      <c r="AH1688">
        <v>-3.1</v>
      </c>
      <c r="AI1688">
        <v>1.89</v>
      </c>
      <c r="AJ1688">
        <v>37.61</v>
      </c>
      <c r="AK1688">
        <v>91.2</v>
      </c>
      <c r="AL1688">
        <v>-4</v>
      </c>
      <c r="AM1688">
        <v>-0.66</v>
      </c>
      <c r="AN1688">
        <v>21.25</v>
      </c>
      <c r="AO1688">
        <v>3.48</v>
      </c>
      <c r="AP1688">
        <v>7.53</v>
      </c>
    </row>
    <row r="1689" spans="1:42">
      <c r="A1689">
        <v>1688</v>
      </c>
      <c r="B1689" t="str">
        <f>"002383"</f>
        <v>002383</v>
      </c>
      <c r="C1689" t="s">
        <v>9951</v>
      </c>
      <c r="D1689">
        <v>8.03</v>
      </c>
      <c r="E1689">
        <v>0.75</v>
      </c>
      <c r="F1689">
        <v>0.06</v>
      </c>
      <c r="G1689" t="s">
        <v>959</v>
      </c>
      <c r="H1689">
        <v>3254</v>
      </c>
      <c r="I1689">
        <v>8.03</v>
      </c>
      <c r="J1689">
        <v>8.04</v>
      </c>
      <c r="K1689" t="s">
        <v>9894</v>
      </c>
      <c r="L1689">
        <v>2.41</v>
      </c>
      <c r="M1689" t="s">
        <v>46</v>
      </c>
      <c r="N1689" t="s">
        <v>3001</v>
      </c>
      <c r="O1689">
        <v>8.08</v>
      </c>
      <c r="P1689">
        <v>7.91</v>
      </c>
      <c r="Q1689">
        <v>7.99</v>
      </c>
      <c r="R1689">
        <v>7.97</v>
      </c>
      <c r="S1689">
        <v>2.13</v>
      </c>
      <c r="T1689">
        <v>0.53</v>
      </c>
      <c r="U1689">
        <v>-33.99</v>
      </c>
      <c r="V1689">
        <v>-2274</v>
      </c>
      <c r="W1689">
        <v>7.98</v>
      </c>
      <c r="X1689" t="s">
        <v>3201</v>
      </c>
      <c r="Y1689" t="s">
        <v>8775</v>
      </c>
      <c r="Z1689">
        <v>1.05</v>
      </c>
      <c r="AA1689">
        <v>106</v>
      </c>
      <c r="AB1689">
        <v>363</v>
      </c>
      <c r="AC1689">
        <v>4.32</v>
      </c>
      <c r="AD1689" t="s">
        <v>9952</v>
      </c>
      <c r="AE1689" t="s">
        <v>9953</v>
      </c>
      <c r="AF1689" t="s">
        <v>9954</v>
      </c>
      <c r="AG1689" t="s">
        <v>9955</v>
      </c>
      <c r="AH1689">
        <v>-3.49</v>
      </c>
      <c r="AI1689">
        <v>-1.47</v>
      </c>
      <c r="AJ1689">
        <v>11.15</v>
      </c>
      <c r="AK1689">
        <v>25.15</v>
      </c>
      <c r="AL1689">
        <v>1</v>
      </c>
      <c r="AM1689">
        <v>0.75</v>
      </c>
      <c r="AN1689">
        <v>23.16</v>
      </c>
      <c r="AO1689">
        <v>3.21</v>
      </c>
      <c r="AP1689">
        <v>13.26</v>
      </c>
    </row>
    <row r="1690" spans="1:42">
      <c r="A1690">
        <v>1689</v>
      </c>
      <c r="B1690" t="str">
        <f>"300331"</f>
        <v>300331</v>
      </c>
      <c r="C1690" t="s">
        <v>9956</v>
      </c>
      <c r="D1690">
        <v>24.75</v>
      </c>
      <c r="E1690">
        <v>1.48</v>
      </c>
      <c r="F1690">
        <v>0.36</v>
      </c>
      <c r="G1690" t="s">
        <v>2650</v>
      </c>
      <c r="H1690">
        <v>437</v>
      </c>
      <c r="I1690">
        <v>24.74</v>
      </c>
      <c r="J1690">
        <v>24.75</v>
      </c>
      <c r="K1690" t="s">
        <v>9894</v>
      </c>
      <c r="L1690">
        <v>2.4</v>
      </c>
      <c r="M1690" t="s">
        <v>46</v>
      </c>
      <c r="N1690" t="s">
        <v>958</v>
      </c>
      <c r="O1690">
        <v>24.81</v>
      </c>
      <c r="P1690">
        <v>24.24</v>
      </c>
      <c r="Q1690">
        <v>24.38</v>
      </c>
      <c r="R1690">
        <v>24.39</v>
      </c>
      <c r="S1690">
        <v>2.34</v>
      </c>
      <c r="T1690">
        <v>0.64</v>
      </c>
      <c r="U1690">
        <v>-47.14</v>
      </c>
      <c r="V1690">
        <v>-660</v>
      </c>
      <c r="W1690">
        <v>24.58</v>
      </c>
      <c r="X1690" t="s">
        <v>1710</v>
      </c>
      <c r="Y1690" t="s">
        <v>9251</v>
      </c>
      <c r="Z1690">
        <v>0.91</v>
      </c>
      <c r="AA1690">
        <v>4</v>
      </c>
      <c r="AB1690">
        <v>284</v>
      </c>
      <c r="AC1690">
        <v>3.68</v>
      </c>
      <c r="AD1690" t="s">
        <v>2686</v>
      </c>
      <c r="AE1690" t="s">
        <v>9957</v>
      </c>
      <c r="AF1690" t="s">
        <v>9683</v>
      </c>
      <c r="AG1690" t="s">
        <v>9958</v>
      </c>
      <c r="AH1690">
        <v>-3.17</v>
      </c>
      <c r="AI1690">
        <v>-2.17</v>
      </c>
      <c r="AJ1690">
        <v>8.84</v>
      </c>
      <c r="AK1690">
        <v>21.26</v>
      </c>
      <c r="AL1690">
        <v>1</v>
      </c>
      <c r="AM1690">
        <v>1.48</v>
      </c>
      <c r="AN1690">
        <v>32.14</v>
      </c>
      <c r="AO1690">
        <v>6.04</v>
      </c>
      <c r="AP1690">
        <v>32.28</v>
      </c>
    </row>
    <row r="1691" spans="1:42">
      <c r="A1691">
        <v>1690</v>
      </c>
      <c r="B1691" t="str">
        <f>"002579"</f>
        <v>002579</v>
      </c>
      <c r="C1691" t="s">
        <v>9959</v>
      </c>
      <c r="D1691">
        <v>9.44</v>
      </c>
      <c r="E1691">
        <v>1.72</v>
      </c>
      <c r="F1691">
        <v>0.16</v>
      </c>
      <c r="G1691" t="s">
        <v>3971</v>
      </c>
      <c r="H1691">
        <v>1910</v>
      </c>
      <c r="I1691">
        <v>9.44</v>
      </c>
      <c r="J1691">
        <v>9.45</v>
      </c>
      <c r="K1691" t="s">
        <v>9894</v>
      </c>
      <c r="L1691">
        <v>2.17</v>
      </c>
      <c r="M1691" t="s">
        <v>46</v>
      </c>
      <c r="N1691" t="s">
        <v>4193</v>
      </c>
      <c r="O1691">
        <v>9.46</v>
      </c>
      <c r="P1691">
        <v>9.19</v>
      </c>
      <c r="Q1691">
        <v>9.31</v>
      </c>
      <c r="R1691">
        <v>9.28</v>
      </c>
      <c r="S1691">
        <v>2.91</v>
      </c>
      <c r="T1691">
        <v>0.58</v>
      </c>
      <c r="U1691">
        <v>-20.41</v>
      </c>
      <c r="V1691">
        <v>-1717</v>
      </c>
      <c r="W1691">
        <v>9.36</v>
      </c>
      <c r="X1691" t="s">
        <v>2685</v>
      </c>
      <c r="Y1691" t="s">
        <v>6754</v>
      </c>
      <c r="Z1691">
        <v>0.82</v>
      </c>
      <c r="AA1691">
        <v>1687</v>
      </c>
      <c r="AB1691">
        <v>821</v>
      </c>
      <c r="AC1691">
        <v>2.29</v>
      </c>
      <c r="AD1691" t="s">
        <v>9960</v>
      </c>
      <c r="AE1691" t="s">
        <v>9961</v>
      </c>
      <c r="AF1691" t="s">
        <v>9962</v>
      </c>
      <c r="AG1691" t="s">
        <v>7674</v>
      </c>
      <c r="AH1691">
        <v>-2.88</v>
      </c>
      <c r="AI1691">
        <v>-8.88</v>
      </c>
      <c r="AJ1691">
        <v>8.38</v>
      </c>
      <c r="AK1691">
        <v>20.84</v>
      </c>
      <c r="AL1691">
        <v>1</v>
      </c>
      <c r="AM1691">
        <v>1.72</v>
      </c>
      <c r="AN1691">
        <v>-11.69</v>
      </c>
      <c r="AO1691">
        <v>-4.26</v>
      </c>
      <c r="AP1691">
        <v>-12.92</v>
      </c>
    </row>
    <row r="1692" spans="1:42">
      <c r="A1692">
        <v>1691</v>
      </c>
      <c r="B1692" t="str">
        <f>"603028"</f>
        <v>603028</v>
      </c>
      <c r="C1692" t="s">
        <v>9963</v>
      </c>
      <c r="D1692">
        <v>10.7</v>
      </c>
      <c r="E1692">
        <v>-4.63</v>
      </c>
      <c r="F1692">
        <v>-0.52</v>
      </c>
      <c r="G1692" t="s">
        <v>1949</v>
      </c>
      <c r="H1692">
        <v>864</v>
      </c>
      <c r="I1692">
        <v>10.69</v>
      </c>
      <c r="J1692">
        <v>10.7</v>
      </c>
      <c r="K1692" t="s">
        <v>9964</v>
      </c>
      <c r="L1692">
        <v>3.8</v>
      </c>
      <c r="M1692" t="s">
        <v>46</v>
      </c>
      <c r="N1692" t="s">
        <v>1638</v>
      </c>
      <c r="O1692">
        <v>11.26</v>
      </c>
      <c r="P1692">
        <v>10.58</v>
      </c>
      <c r="Q1692">
        <v>11.21</v>
      </c>
      <c r="R1692">
        <v>11.22</v>
      </c>
      <c r="S1692">
        <v>6.06</v>
      </c>
      <c r="T1692">
        <v>2.23</v>
      </c>
      <c r="U1692">
        <v>29.34</v>
      </c>
      <c r="V1692">
        <v>896</v>
      </c>
      <c r="W1692">
        <v>10.85</v>
      </c>
      <c r="X1692" t="s">
        <v>6890</v>
      </c>
      <c r="Y1692" t="s">
        <v>4968</v>
      </c>
      <c r="Z1692">
        <v>0.98</v>
      </c>
      <c r="AA1692">
        <v>155</v>
      </c>
      <c r="AB1692">
        <v>134</v>
      </c>
      <c r="AC1692">
        <v>4.13</v>
      </c>
      <c r="AD1692" t="s">
        <v>9965</v>
      </c>
      <c r="AE1692" t="s">
        <v>9966</v>
      </c>
      <c r="AF1692" t="s">
        <v>9965</v>
      </c>
      <c r="AG1692" t="s">
        <v>9966</v>
      </c>
      <c r="AH1692">
        <v>-9.78</v>
      </c>
      <c r="AI1692">
        <v>-9.55</v>
      </c>
      <c r="AJ1692">
        <v>7.78</v>
      </c>
      <c r="AK1692">
        <v>12.34</v>
      </c>
      <c r="AL1692">
        <v>-4</v>
      </c>
      <c r="AM1692">
        <v>-4.63</v>
      </c>
      <c r="AN1692">
        <v>15.93</v>
      </c>
      <c r="AO1692">
        <v>-15.88</v>
      </c>
      <c r="AP1692">
        <v>22.71</v>
      </c>
    </row>
    <row r="1693" spans="1:42">
      <c r="A1693">
        <v>1692</v>
      </c>
      <c r="B1693" t="str">
        <f>"000501"</f>
        <v>000501</v>
      </c>
      <c r="C1693" t="s">
        <v>9967</v>
      </c>
      <c r="D1693">
        <v>8.84</v>
      </c>
      <c r="E1693">
        <v>1.38</v>
      </c>
      <c r="F1693">
        <v>0.12</v>
      </c>
      <c r="G1693" t="s">
        <v>1759</v>
      </c>
      <c r="H1693">
        <v>1016</v>
      </c>
      <c r="I1693">
        <v>8.84</v>
      </c>
      <c r="J1693">
        <v>8.85</v>
      </c>
      <c r="K1693" t="s">
        <v>9964</v>
      </c>
      <c r="L1693">
        <v>1.73</v>
      </c>
      <c r="M1693" t="s">
        <v>46</v>
      </c>
      <c r="N1693" t="s">
        <v>9968</v>
      </c>
      <c r="O1693">
        <v>9.04</v>
      </c>
      <c r="P1693">
        <v>8.69</v>
      </c>
      <c r="Q1693">
        <v>8.69</v>
      </c>
      <c r="R1693">
        <v>8.72</v>
      </c>
      <c r="S1693">
        <v>4.01</v>
      </c>
      <c r="T1693">
        <v>2.31</v>
      </c>
      <c r="U1693">
        <v>22.08</v>
      </c>
      <c r="V1693">
        <v>1255</v>
      </c>
      <c r="W1693">
        <v>8.89</v>
      </c>
      <c r="X1693" t="s">
        <v>8192</v>
      </c>
      <c r="Y1693" t="s">
        <v>3618</v>
      </c>
      <c r="Z1693">
        <v>0.82</v>
      </c>
      <c r="AA1693">
        <v>1158</v>
      </c>
      <c r="AB1693">
        <v>1326</v>
      </c>
      <c r="AC1693">
        <v>0.62</v>
      </c>
      <c r="AD1693" t="s">
        <v>9969</v>
      </c>
      <c r="AE1693" t="s">
        <v>9970</v>
      </c>
      <c r="AF1693" t="s">
        <v>9971</v>
      </c>
      <c r="AG1693" t="s">
        <v>9972</v>
      </c>
      <c r="AH1693">
        <v>0.8</v>
      </c>
      <c r="AI1693">
        <v>0</v>
      </c>
      <c r="AJ1693">
        <v>2.89</v>
      </c>
      <c r="AK1693">
        <v>5.49</v>
      </c>
      <c r="AL1693">
        <v>2</v>
      </c>
      <c r="AM1693">
        <v>1.38</v>
      </c>
      <c r="AN1693">
        <v>-20.72</v>
      </c>
      <c r="AO1693">
        <v>3.51</v>
      </c>
      <c r="AP1693">
        <v>-10.44</v>
      </c>
    </row>
    <row r="1694" spans="1:42">
      <c r="A1694">
        <v>1693</v>
      </c>
      <c r="B1694" t="str">
        <f>"603890"</f>
        <v>603890</v>
      </c>
      <c r="C1694" t="s">
        <v>9973</v>
      </c>
      <c r="D1694">
        <v>11.04</v>
      </c>
      <c r="E1694">
        <v>2.22</v>
      </c>
      <c r="F1694">
        <v>0.24</v>
      </c>
      <c r="G1694" t="s">
        <v>2402</v>
      </c>
      <c r="H1694">
        <v>1904</v>
      </c>
      <c r="I1694">
        <v>11.03</v>
      </c>
      <c r="J1694">
        <v>11.04</v>
      </c>
      <c r="K1694" t="s">
        <v>9964</v>
      </c>
      <c r="L1694">
        <v>2.47</v>
      </c>
      <c r="M1694" t="s">
        <v>46</v>
      </c>
      <c r="N1694" t="s">
        <v>570</v>
      </c>
      <c r="O1694">
        <v>11.13</v>
      </c>
      <c r="P1694">
        <v>10.68</v>
      </c>
      <c r="Q1694">
        <v>10.76</v>
      </c>
      <c r="R1694">
        <v>10.8</v>
      </c>
      <c r="S1694">
        <v>4.17</v>
      </c>
      <c r="T1694">
        <v>0.9</v>
      </c>
      <c r="U1694">
        <v>-35.89</v>
      </c>
      <c r="V1694">
        <v>-1196</v>
      </c>
      <c r="W1694">
        <v>10.91</v>
      </c>
      <c r="X1694" t="s">
        <v>3736</v>
      </c>
      <c r="Y1694" t="s">
        <v>1577</v>
      </c>
      <c r="Z1694">
        <v>0.86</v>
      </c>
      <c r="AA1694">
        <v>433</v>
      </c>
      <c r="AB1694">
        <v>857</v>
      </c>
      <c r="AC1694">
        <v>1.88</v>
      </c>
      <c r="AD1694" t="s">
        <v>7059</v>
      </c>
      <c r="AE1694" t="s">
        <v>4286</v>
      </c>
      <c r="AF1694" t="s">
        <v>7059</v>
      </c>
      <c r="AG1694" t="s">
        <v>4286</v>
      </c>
      <c r="AH1694">
        <v>0</v>
      </c>
      <c r="AI1694">
        <v>2.89</v>
      </c>
      <c r="AJ1694">
        <v>6.53</v>
      </c>
      <c r="AK1694">
        <v>16.18</v>
      </c>
      <c r="AL1694">
        <v>1</v>
      </c>
      <c r="AM1694">
        <v>2.22</v>
      </c>
      <c r="AN1694">
        <v>22.12</v>
      </c>
      <c r="AO1694">
        <v>1.66</v>
      </c>
      <c r="AP1694">
        <v>3.18</v>
      </c>
    </row>
    <row r="1695" spans="1:42">
      <c r="A1695">
        <v>1694</v>
      </c>
      <c r="B1695" t="str">
        <f>"600704"</f>
        <v>600704</v>
      </c>
      <c r="C1695" t="s">
        <v>9974</v>
      </c>
      <c r="D1695">
        <v>4.65</v>
      </c>
      <c r="E1695">
        <v>0.65</v>
      </c>
      <c r="F1695">
        <v>0.03</v>
      </c>
      <c r="G1695" t="s">
        <v>352</v>
      </c>
      <c r="H1695">
        <v>2137</v>
      </c>
      <c r="I1695">
        <v>4.65</v>
      </c>
      <c r="J1695">
        <v>4.66</v>
      </c>
      <c r="K1695" t="s">
        <v>9964</v>
      </c>
      <c r="L1695">
        <v>0.5</v>
      </c>
      <c r="M1695" t="s">
        <v>46</v>
      </c>
      <c r="N1695" t="s">
        <v>9975</v>
      </c>
      <c r="O1695">
        <v>4.69</v>
      </c>
      <c r="P1695">
        <v>4.6</v>
      </c>
      <c r="Q1695">
        <v>4.62</v>
      </c>
      <c r="R1695">
        <v>4.62</v>
      </c>
      <c r="S1695">
        <v>1.95</v>
      </c>
      <c r="T1695">
        <v>0.94</v>
      </c>
      <c r="U1695">
        <v>-37.92</v>
      </c>
      <c r="V1695" t="s">
        <v>9976</v>
      </c>
      <c r="W1695">
        <v>4.65</v>
      </c>
      <c r="X1695" t="s">
        <v>1499</v>
      </c>
      <c r="Y1695" t="s">
        <v>1412</v>
      </c>
      <c r="Z1695">
        <v>0.67</v>
      </c>
      <c r="AA1695">
        <v>758</v>
      </c>
      <c r="AB1695">
        <v>6304</v>
      </c>
      <c r="AC1695">
        <v>0.71</v>
      </c>
      <c r="AD1695" t="s">
        <v>9977</v>
      </c>
      <c r="AE1695" t="s">
        <v>5759</v>
      </c>
      <c r="AF1695" t="s">
        <v>9978</v>
      </c>
      <c r="AG1695" t="s">
        <v>9979</v>
      </c>
      <c r="AH1695">
        <v>0.65</v>
      </c>
      <c r="AI1695">
        <v>-0.43</v>
      </c>
      <c r="AJ1695">
        <v>1.47</v>
      </c>
      <c r="AK1695">
        <v>3.13</v>
      </c>
      <c r="AL1695">
        <v>1</v>
      </c>
      <c r="AM1695">
        <v>0.65</v>
      </c>
      <c r="AN1695">
        <v>-0.21</v>
      </c>
      <c r="AO1695">
        <v>1.53</v>
      </c>
      <c r="AP1695">
        <v>8.14</v>
      </c>
    </row>
    <row r="1696" spans="1:42">
      <c r="A1696">
        <v>1695</v>
      </c>
      <c r="B1696" t="str">
        <f>"002276"</f>
        <v>002276</v>
      </c>
      <c r="C1696" t="s">
        <v>9980</v>
      </c>
      <c r="D1696">
        <v>10.32</v>
      </c>
      <c r="E1696">
        <v>0.19</v>
      </c>
      <c r="F1696">
        <v>0.02</v>
      </c>
      <c r="G1696" t="s">
        <v>4356</v>
      </c>
      <c r="H1696">
        <v>1182</v>
      </c>
      <c r="I1696">
        <v>10.31</v>
      </c>
      <c r="J1696">
        <v>10.32</v>
      </c>
      <c r="K1696" t="s">
        <v>9964</v>
      </c>
      <c r="L1696">
        <v>1.12</v>
      </c>
      <c r="M1696" t="s">
        <v>46</v>
      </c>
      <c r="N1696" t="s">
        <v>6407</v>
      </c>
      <c r="O1696">
        <v>10.4</v>
      </c>
      <c r="P1696">
        <v>10.18</v>
      </c>
      <c r="Q1696">
        <v>10.27</v>
      </c>
      <c r="R1696">
        <v>10.3</v>
      </c>
      <c r="S1696">
        <v>2.14</v>
      </c>
      <c r="T1696">
        <v>0.91</v>
      </c>
      <c r="U1696">
        <v>-36.64</v>
      </c>
      <c r="V1696">
        <v>-1878</v>
      </c>
      <c r="W1696">
        <v>10.28</v>
      </c>
      <c r="X1696" t="s">
        <v>4381</v>
      </c>
      <c r="Y1696" t="s">
        <v>8805</v>
      </c>
      <c r="Z1696">
        <v>1.03</v>
      </c>
      <c r="AA1696">
        <v>151</v>
      </c>
      <c r="AB1696">
        <v>96</v>
      </c>
      <c r="AC1696">
        <v>2.01</v>
      </c>
      <c r="AD1696" t="s">
        <v>9981</v>
      </c>
      <c r="AE1696" t="s">
        <v>1332</v>
      </c>
      <c r="AF1696" t="s">
        <v>2911</v>
      </c>
      <c r="AG1696" t="s">
        <v>5770</v>
      </c>
      <c r="AH1696">
        <v>-2.64</v>
      </c>
      <c r="AI1696">
        <v>-3.55</v>
      </c>
      <c r="AJ1696">
        <v>4.72</v>
      </c>
      <c r="AK1696">
        <v>7.26</v>
      </c>
      <c r="AL1696">
        <v>1</v>
      </c>
      <c r="AM1696">
        <v>0.19</v>
      </c>
      <c r="AN1696">
        <v>25.85</v>
      </c>
      <c r="AO1696">
        <v>-3.37</v>
      </c>
      <c r="AP1696">
        <v>14.92</v>
      </c>
    </row>
    <row r="1697" spans="1:42">
      <c r="A1697">
        <v>1696</v>
      </c>
      <c r="B1697" t="str">
        <f>"002931"</f>
        <v>002931</v>
      </c>
      <c r="C1697" t="s">
        <v>9982</v>
      </c>
      <c r="D1697">
        <v>14.29</v>
      </c>
      <c r="E1697">
        <v>1.78</v>
      </c>
      <c r="F1697">
        <v>0.25</v>
      </c>
      <c r="G1697" t="s">
        <v>5741</v>
      </c>
      <c r="H1697">
        <v>1111</v>
      </c>
      <c r="I1697">
        <v>14.29</v>
      </c>
      <c r="J1697">
        <v>14.3</v>
      </c>
      <c r="K1697" t="s">
        <v>9964</v>
      </c>
      <c r="L1697">
        <v>4.58</v>
      </c>
      <c r="M1697" t="s">
        <v>46</v>
      </c>
      <c r="N1697" t="s">
        <v>4530</v>
      </c>
      <c r="O1697">
        <v>14.51</v>
      </c>
      <c r="P1697">
        <v>13.99</v>
      </c>
      <c r="Q1697">
        <v>14.1</v>
      </c>
      <c r="R1697">
        <v>14.04</v>
      </c>
      <c r="S1697">
        <v>3.7</v>
      </c>
      <c r="T1697">
        <v>0.99</v>
      </c>
      <c r="U1697">
        <v>-1.14</v>
      </c>
      <c r="V1697">
        <v>-15</v>
      </c>
      <c r="W1697">
        <v>14.23</v>
      </c>
      <c r="X1697" t="s">
        <v>4941</v>
      </c>
      <c r="Y1697" t="s">
        <v>5235</v>
      </c>
      <c r="Z1697">
        <v>0.92</v>
      </c>
      <c r="AA1697">
        <v>383</v>
      </c>
      <c r="AB1697">
        <v>127</v>
      </c>
      <c r="AC1697">
        <v>4.31</v>
      </c>
      <c r="AD1697" t="s">
        <v>9983</v>
      </c>
      <c r="AE1697" t="s">
        <v>4499</v>
      </c>
      <c r="AF1697" t="s">
        <v>9984</v>
      </c>
      <c r="AG1697" t="s">
        <v>9985</v>
      </c>
      <c r="AH1697">
        <v>0.78</v>
      </c>
      <c r="AI1697">
        <v>-3.64</v>
      </c>
      <c r="AJ1697">
        <v>12.31</v>
      </c>
      <c r="AK1697">
        <v>27.77</v>
      </c>
      <c r="AL1697">
        <v>1</v>
      </c>
      <c r="AM1697">
        <v>1.78</v>
      </c>
      <c r="AN1697">
        <v>42.76</v>
      </c>
      <c r="AO1697">
        <v>-7.69</v>
      </c>
      <c r="AP1697">
        <v>22.77</v>
      </c>
    </row>
    <row r="1698" spans="1:42">
      <c r="A1698">
        <v>1697</v>
      </c>
      <c r="B1698" t="str">
        <f>"301015"</f>
        <v>301015</v>
      </c>
      <c r="C1698" t="s">
        <v>9986</v>
      </c>
      <c r="D1698">
        <v>40.23</v>
      </c>
      <c r="E1698">
        <v>0.88</v>
      </c>
      <c r="F1698">
        <v>0.35</v>
      </c>
      <c r="G1698" t="s">
        <v>7389</v>
      </c>
      <c r="H1698">
        <v>510</v>
      </c>
      <c r="I1698">
        <v>40.22</v>
      </c>
      <c r="J1698">
        <v>40.23</v>
      </c>
      <c r="K1698" t="s">
        <v>9964</v>
      </c>
      <c r="L1698">
        <v>2.5</v>
      </c>
      <c r="M1698" t="s">
        <v>46</v>
      </c>
      <c r="N1698" t="s">
        <v>4156</v>
      </c>
      <c r="O1698">
        <v>40.35</v>
      </c>
      <c r="P1698">
        <v>39.13</v>
      </c>
      <c r="Q1698">
        <v>39.84</v>
      </c>
      <c r="R1698">
        <v>39.88</v>
      </c>
      <c r="S1698">
        <v>3.06</v>
      </c>
      <c r="T1698">
        <v>0.9</v>
      </c>
      <c r="U1698">
        <v>-74.71</v>
      </c>
      <c r="V1698">
        <v>-192</v>
      </c>
      <c r="W1698">
        <v>39.79</v>
      </c>
      <c r="X1698" t="s">
        <v>4525</v>
      </c>
      <c r="Y1698" t="s">
        <v>141</v>
      </c>
      <c r="Z1698">
        <v>0.88</v>
      </c>
      <c r="AA1698">
        <v>13</v>
      </c>
      <c r="AB1698">
        <v>6</v>
      </c>
      <c r="AC1698">
        <v>8.77</v>
      </c>
      <c r="AD1698" t="s">
        <v>9987</v>
      </c>
      <c r="AE1698" t="s">
        <v>8872</v>
      </c>
      <c r="AF1698" t="s">
        <v>9988</v>
      </c>
      <c r="AG1698" t="s">
        <v>9989</v>
      </c>
      <c r="AH1698">
        <v>6.26</v>
      </c>
      <c r="AI1698">
        <v>4.44</v>
      </c>
      <c r="AJ1698">
        <v>9.48</v>
      </c>
      <c r="AK1698">
        <v>16.34</v>
      </c>
      <c r="AL1698">
        <v>4</v>
      </c>
      <c r="AM1698">
        <v>0.88</v>
      </c>
      <c r="AN1698">
        <v>74.31</v>
      </c>
      <c r="AO1698">
        <v>20.09</v>
      </c>
      <c r="AP1698">
        <v>50.79</v>
      </c>
    </row>
    <row r="1699" spans="1:42">
      <c r="A1699">
        <v>1698</v>
      </c>
      <c r="B1699" t="str">
        <f>"002891"</f>
        <v>002891</v>
      </c>
      <c r="C1699" t="s">
        <v>9990</v>
      </c>
      <c r="D1699">
        <v>24.86</v>
      </c>
      <c r="E1699">
        <v>1.18</v>
      </c>
      <c r="F1699">
        <v>0.29</v>
      </c>
      <c r="G1699" t="s">
        <v>6257</v>
      </c>
      <c r="H1699">
        <v>356</v>
      </c>
      <c r="I1699">
        <v>24.83</v>
      </c>
      <c r="J1699">
        <v>24.86</v>
      </c>
      <c r="K1699" t="s">
        <v>9964</v>
      </c>
      <c r="L1699">
        <v>1.6</v>
      </c>
      <c r="M1699" t="s">
        <v>46</v>
      </c>
      <c r="N1699" t="s">
        <v>5862</v>
      </c>
      <c r="O1699">
        <v>25.28</v>
      </c>
      <c r="P1699">
        <v>24.57</v>
      </c>
      <c r="Q1699">
        <v>24.57</v>
      </c>
      <c r="R1699">
        <v>24.57</v>
      </c>
      <c r="S1699">
        <v>2.89</v>
      </c>
      <c r="T1699">
        <v>1.86</v>
      </c>
      <c r="U1699">
        <v>-55.39</v>
      </c>
      <c r="V1699">
        <v>-263</v>
      </c>
      <c r="W1699">
        <v>24.98</v>
      </c>
      <c r="X1699" t="s">
        <v>3662</v>
      </c>
      <c r="Y1699" t="s">
        <v>7195</v>
      </c>
      <c r="Z1699">
        <v>1.1</v>
      </c>
      <c r="AA1699">
        <v>24</v>
      </c>
      <c r="AB1699">
        <v>51</v>
      </c>
      <c r="AC1699">
        <v>3.37</v>
      </c>
      <c r="AD1699" t="s">
        <v>9991</v>
      </c>
      <c r="AE1699" t="s">
        <v>9541</v>
      </c>
      <c r="AF1699" t="s">
        <v>9991</v>
      </c>
      <c r="AG1699" t="s">
        <v>9992</v>
      </c>
      <c r="AH1699">
        <v>2.73</v>
      </c>
      <c r="AI1699">
        <v>3.89</v>
      </c>
      <c r="AJ1699">
        <v>3.2</v>
      </c>
      <c r="AK1699">
        <v>5.9</v>
      </c>
      <c r="AL1699">
        <v>2</v>
      </c>
      <c r="AM1699">
        <v>1.18</v>
      </c>
      <c r="AN1699">
        <v>11.68</v>
      </c>
      <c r="AO1699">
        <v>3.8</v>
      </c>
      <c r="AP1699">
        <v>14.83</v>
      </c>
    </row>
    <row r="1700" spans="1:42">
      <c r="A1700">
        <v>1699</v>
      </c>
      <c r="B1700" t="str">
        <f>"002185"</f>
        <v>002185</v>
      </c>
      <c r="C1700" t="s">
        <v>9993</v>
      </c>
      <c r="D1700">
        <v>8.94</v>
      </c>
      <c r="E1700">
        <v>0</v>
      </c>
      <c r="F1700">
        <v>0</v>
      </c>
      <c r="G1700" t="s">
        <v>263</v>
      </c>
      <c r="H1700">
        <v>4659</v>
      </c>
      <c r="I1700">
        <v>8.93</v>
      </c>
      <c r="J1700">
        <v>8.94</v>
      </c>
      <c r="K1700" t="s">
        <v>9994</v>
      </c>
      <c r="L1700">
        <v>0.41</v>
      </c>
      <c r="M1700" t="s">
        <v>46</v>
      </c>
      <c r="N1700" t="s">
        <v>9995</v>
      </c>
      <c r="O1700">
        <v>8.97</v>
      </c>
      <c r="P1700">
        <v>8.82</v>
      </c>
      <c r="Q1700">
        <v>8.91</v>
      </c>
      <c r="R1700">
        <v>8.94</v>
      </c>
      <c r="S1700">
        <v>1.68</v>
      </c>
      <c r="T1700">
        <v>0.64</v>
      </c>
      <c r="U1700">
        <v>-7.4</v>
      </c>
      <c r="V1700">
        <v>-850</v>
      </c>
      <c r="W1700">
        <v>8.9</v>
      </c>
      <c r="X1700" t="s">
        <v>9996</v>
      </c>
      <c r="Y1700" t="s">
        <v>1605</v>
      </c>
      <c r="Z1700">
        <v>1.03</v>
      </c>
      <c r="AA1700">
        <v>766</v>
      </c>
      <c r="AB1700">
        <v>63</v>
      </c>
      <c r="AC1700">
        <v>1.8</v>
      </c>
      <c r="AD1700" t="s">
        <v>9997</v>
      </c>
      <c r="AE1700" t="s">
        <v>4404</v>
      </c>
      <c r="AF1700" t="s">
        <v>9997</v>
      </c>
      <c r="AG1700" t="s">
        <v>9998</v>
      </c>
      <c r="AH1700">
        <v>-1.54</v>
      </c>
      <c r="AI1700">
        <v>-2.19</v>
      </c>
      <c r="AJ1700">
        <v>1.98</v>
      </c>
      <c r="AK1700">
        <v>3.64</v>
      </c>
      <c r="AL1700">
        <v>0</v>
      </c>
      <c r="AM1700">
        <v>0</v>
      </c>
      <c r="AN1700">
        <v>8.23</v>
      </c>
      <c r="AO1700">
        <v>-1.22</v>
      </c>
      <c r="AP1700">
        <v>-0.11</v>
      </c>
    </row>
    <row r="1701" spans="1:42">
      <c r="A1701">
        <v>1700</v>
      </c>
      <c r="B1701" t="str">
        <f>"000728"</f>
        <v>000728</v>
      </c>
      <c r="C1701" t="s">
        <v>9999</v>
      </c>
      <c r="D1701">
        <v>6.96</v>
      </c>
      <c r="E1701">
        <v>1.02</v>
      </c>
      <c r="F1701">
        <v>0.07</v>
      </c>
      <c r="G1701" t="s">
        <v>2859</v>
      </c>
      <c r="H1701">
        <v>2841</v>
      </c>
      <c r="I1701">
        <v>6.96</v>
      </c>
      <c r="J1701">
        <v>6.97</v>
      </c>
      <c r="K1701" t="s">
        <v>9994</v>
      </c>
      <c r="L1701">
        <v>0.39</v>
      </c>
      <c r="M1701" t="s">
        <v>46</v>
      </c>
      <c r="N1701" t="s">
        <v>4752</v>
      </c>
      <c r="O1701">
        <v>6.98</v>
      </c>
      <c r="P1701">
        <v>6.88</v>
      </c>
      <c r="Q1701">
        <v>6.89</v>
      </c>
      <c r="R1701">
        <v>6.89</v>
      </c>
      <c r="S1701">
        <v>1.45</v>
      </c>
      <c r="T1701">
        <v>0.75</v>
      </c>
      <c r="U1701">
        <v>-37.62</v>
      </c>
      <c r="V1701">
        <v>-9902</v>
      </c>
      <c r="W1701">
        <v>6.93</v>
      </c>
      <c r="X1701" t="s">
        <v>3207</v>
      </c>
      <c r="Y1701" t="s">
        <v>10000</v>
      </c>
      <c r="Z1701">
        <v>0.73</v>
      </c>
      <c r="AA1701">
        <v>347</v>
      </c>
      <c r="AB1701">
        <v>5302</v>
      </c>
      <c r="AC1701">
        <v>0.89</v>
      </c>
      <c r="AD1701" t="s">
        <v>10001</v>
      </c>
      <c r="AE1701" t="s">
        <v>10002</v>
      </c>
      <c r="AF1701" t="s">
        <v>10001</v>
      </c>
      <c r="AG1701" t="s">
        <v>10002</v>
      </c>
      <c r="AH1701">
        <v>-0.14</v>
      </c>
      <c r="AI1701">
        <v>-1.14</v>
      </c>
      <c r="AJ1701">
        <v>1.51</v>
      </c>
      <c r="AK1701">
        <v>2.98</v>
      </c>
      <c r="AL1701">
        <v>1</v>
      </c>
      <c r="AM1701">
        <v>1.02</v>
      </c>
      <c r="AN1701">
        <v>12.62</v>
      </c>
      <c r="AO1701">
        <v>0.72</v>
      </c>
      <c r="AP1701">
        <v>4.98</v>
      </c>
    </row>
    <row r="1702" spans="1:42">
      <c r="A1702">
        <v>1701</v>
      </c>
      <c r="B1702" t="str">
        <f>"002644"</f>
        <v>002644</v>
      </c>
      <c r="C1702" t="s">
        <v>10003</v>
      </c>
      <c r="D1702">
        <v>10.48</v>
      </c>
      <c r="E1702">
        <v>-1.87</v>
      </c>
      <c r="F1702">
        <v>-0.2</v>
      </c>
      <c r="G1702" t="s">
        <v>829</v>
      </c>
      <c r="H1702">
        <v>838</v>
      </c>
      <c r="I1702">
        <v>10.47</v>
      </c>
      <c r="J1702">
        <v>10.48</v>
      </c>
      <c r="K1702" t="s">
        <v>9994</v>
      </c>
      <c r="L1702">
        <v>2.18</v>
      </c>
      <c r="M1702" t="s">
        <v>46</v>
      </c>
      <c r="N1702" t="s">
        <v>10004</v>
      </c>
      <c r="O1702">
        <v>10.74</v>
      </c>
      <c r="P1702">
        <v>10.24</v>
      </c>
      <c r="Q1702">
        <v>10.55</v>
      </c>
      <c r="R1702">
        <v>10.68</v>
      </c>
      <c r="S1702">
        <v>4.68</v>
      </c>
      <c r="T1702">
        <v>1.84</v>
      </c>
      <c r="U1702">
        <v>56.42</v>
      </c>
      <c r="V1702">
        <v>1147</v>
      </c>
      <c r="W1702">
        <v>10.53</v>
      </c>
      <c r="X1702" t="s">
        <v>4584</v>
      </c>
      <c r="Y1702" t="s">
        <v>6890</v>
      </c>
      <c r="Z1702">
        <v>1.06</v>
      </c>
      <c r="AA1702">
        <v>96</v>
      </c>
      <c r="AB1702">
        <v>80</v>
      </c>
      <c r="AC1702">
        <v>3.06</v>
      </c>
      <c r="AD1702" t="s">
        <v>10005</v>
      </c>
      <c r="AE1702" t="s">
        <v>10006</v>
      </c>
      <c r="AF1702" t="s">
        <v>10005</v>
      </c>
      <c r="AG1702" t="s">
        <v>10006</v>
      </c>
      <c r="AH1702">
        <v>-1.13</v>
      </c>
      <c r="AI1702">
        <v>-1.78</v>
      </c>
      <c r="AJ1702">
        <v>5.3</v>
      </c>
      <c r="AK1702">
        <v>8.09</v>
      </c>
      <c r="AL1702">
        <v>-1</v>
      </c>
      <c r="AM1702">
        <v>-1.87</v>
      </c>
      <c r="AN1702">
        <v>12.93</v>
      </c>
      <c r="AO1702">
        <v>5.65</v>
      </c>
      <c r="AP1702">
        <v>-13.03</v>
      </c>
    </row>
    <row r="1703" spans="1:42">
      <c r="A1703">
        <v>1702</v>
      </c>
      <c r="B1703" t="str">
        <f>"601997"</f>
        <v>601997</v>
      </c>
      <c r="C1703" t="s">
        <v>10007</v>
      </c>
      <c r="D1703">
        <v>5.13</v>
      </c>
      <c r="E1703">
        <v>0.79</v>
      </c>
      <c r="F1703">
        <v>0.04</v>
      </c>
      <c r="G1703" t="s">
        <v>291</v>
      </c>
      <c r="H1703">
        <v>1730</v>
      </c>
      <c r="I1703">
        <v>5.13</v>
      </c>
      <c r="J1703">
        <v>5.14</v>
      </c>
      <c r="K1703" t="s">
        <v>9994</v>
      </c>
      <c r="L1703">
        <v>0.64</v>
      </c>
      <c r="M1703" t="s">
        <v>46</v>
      </c>
      <c r="N1703" t="s">
        <v>6118</v>
      </c>
      <c r="O1703">
        <v>5.14</v>
      </c>
      <c r="P1703">
        <v>5.08</v>
      </c>
      <c r="Q1703">
        <v>5.09</v>
      </c>
      <c r="R1703">
        <v>5.09</v>
      </c>
      <c r="S1703">
        <v>1.18</v>
      </c>
      <c r="T1703">
        <v>0.98</v>
      </c>
      <c r="U1703">
        <v>-36.01</v>
      </c>
      <c r="V1703" t="s">
        <v>10008</v>
      </c>
      <c r="W1703">
        <v>5.12</v>
      </c>
      <c r="X1703" t="s">
        <v>2967</v>
      </c>
      <c r="Y1703" t="s">
        <v>44</v>
      </c>
      <c r="Z1703">
        <v>0.59</v>
      </c>
      <c r="AA1703">
        <v>375</v>
      </c>
      <c r="AB1703" t="s">
        <v>731</v>
      </c>
      <c r="AC1703">
        <v>0.34</v>
      </c>
      <c r="AD1703" t="s">
        <v>10009</v>
      </c>
      <c r="AE1703" t="s">
        <v>7857</v>
      </c>
      <c r="AF1703" t="s">
        <v>10010</v>
      </c>
      <c r="AG1703" t="s">
        <v>10011</v>
      </c>
      <c r="AH1703">
        <v>0</v>
      </c>
      <c r="AI1703">
        <v>-0.39</v>
      </c>
      <c r="AJ1703">
        <v>1.93</v>
      </c>
      <c r="AK1703">
        <v>3.92</v>
      </c>
      <c r="AL1703">
        <v>2</v>
      </c>
      <c r="AM1703">
        <v>0.79</v>
      </c>
      <c r="AN1703">
        <v>-1.16</v>
      </c>
      <c r="AO1703">
        <v>-1.16</v>
      </c>
      <c r="AP1703">
        <v>-0.19</v>
      </c>
    </row>
    <row r="1704" spans="1:42">
      <c r="A1704">
        <v>1703</v>
      </c>
      <c r="B1704" t="str">
        <f>"600213"</f>
        <v>600213</v>
      </c>
      <c r="C1704" t="s">
        <v>10012</v>
      </c>
      <c r="D1704">
        <v>10.33</v>
      </c>
      <c r="E1704">
        <v>2.28</v>
      </c>
      <c r="F1704">
        <v>0.23</v>
      </c>
      <c r="G1704" t="s">
        <v>4369</v>
      </c>
      <c r="H1704">
        <v>2065</v>
      </c>
      <c r="I1704">
        <v>10.32</v>
      </c>
      <c r="J1704">
        <v>10.33</v>
      </c>
      <c r="K1704" t="s">
        <v>9994</v>
      </c>
      <c r="L1704">
        <v>3.98</v>
      </c>
      <c r="M1704" t="s">
        <v>46</v>
      </c>
      <c r="N1704" t="s">
        <v>1992</v>
      </c>
      <c r="O1704">
        <v>10.4</v>
      </c>
      <c r="P1704">
        <v>9.99</v>
      </c>
      <c r="Q1704">
        <v>10.08</v>
      </c>
      <c r="R1704">
        <v>10.1</v>
      </c>
      <c r="S1704">
        <v>4.06</v>
      </c>
      <c r="T1704">
        <v>1.78</v>
      </c>
      <c r="U1704">
        <v>-20.3</v>
      </c>
      <c r="V1704">
        <v>-548</v>
      </c>
      <c r="W1704">
        <v>10.25</v>
      </c>
      <c r="X1704" t="s">
        <v>5316</v>
      </c>
      <c r="Y1704" t="s">
        <v>3090</v>
      </c>
      <c r="Z1704">
        <v>0.91</v>
      </c>
      <c r="AA1704">
        <v>221</v>
      </c>
      <c r="AB1704">
        <v>27</v>
      </c>
      <c r="AC1704">
        <v>37.62</v>
      </c>
      <c r="AD1704" t="s">
        <v>3744</v>
      </c>
      <c r="AE1704" t="s">
        <v>8824</v>
      </c>
      <c r="AF1704" t="s">
        <v>3744</v>
      </c>
      <c r="AG1704" t="s">
        <v>8824</v>
      </c>
      <c r="AH1704">
        <v>0.1</v>
      </c>
      <c r="AI1704">
        <v>1.47</v>
      </c>
      <c r="AJ1704">
        <v>8.26</v>
      </c>
      <c r="AK1704">
        <v>15.17</v>
      </c>
      <c r="AL1704">
        <v>1</v>
      </c>
      <c r="AM1704">
        <v>2.28</v>
      </c>
      <c r="AN1704">
        <v>-14.84</v>
      </c>
      <c r="AO1704">
        <v>10.13</v>
      </c>
      <c r="AP1704">
        <v>19.56</v>
      </c>
    </row>
    <row r="1705" spans="1:42">
      <c r="A1705">
        <v>1704</v>
      </c>
      <c r="B1705" t="str">
        <f>"300258"</f>
        <v>300258</v>
      </c>
      <c r="C1705" t="s">
        <v>10013</v>
      </c>
      <c r="D1705">
        <v>14.03</v>
      </c>
      <c r="E1705">
        <v>-3.04</v>
      </c>
      <c r="F1705">
        <v>-0.44</v>
      </c>
      <c r="G1705" t="s">
        <v>6356</v>
      </c>
      <c r="H1705">
        <v>1205</v>
      </c>
      <c r="I1705">
        <v>14.02</v>
      </c>
      <c r="J1705">
        <v>14.03</v>
      </c>
      <c r="K1705" t="s">
        <v>9994</v>
      </c>
      <c r="L1705">
        <v>1.79</v>
      </c>
      <c r="M1705" t="s">
        <v>46</v>
      </c>
      <c r="N1705" t="s">
        <v>3590</v>
      </c>
      <c r="O1705">
        <v>14.48</v>
      </c>
      <c r="P1705">
        <v>13.95</v>
      </c>
      <c r="Q1705">
        <v>14.37</v>
      </c>
      <c r="R1705">
        <v>14.47</v>
      </c>
      <c r="S1705">
        <v>3.66</v>
      </c>
      <c r="T1705">
        <v>0.98</v>
      </c>
      <c r="U1705">
        <v>-12.22</v>
      </c>
      <c r="V1705">
        <v>-276</v>
      </c>
      <c r="W1705">
        <v>14.09</v>
      </c>
      <c r="X1705" t="s">
        <v>3255</v>
      </c>
      <c r="Y1705" t="s">
        <v>57</v>
      </c>
      <c r="Z1705">
        <v>1.5</v>
      </c>
      <c r="AA1705">
        <v>214</v>
      </c>
      <c r="AB1705">
        <v>153</v>
      </c>
      <c r="AC1705">
        <v>1.92</v>
      </c>
      <c r="AD1705" t="s">
        <v>10014</v>
      </c>
      <c r="AE1705" t="s">
        <v>10015</v>
      </c>
      <c r="AF1705" t="s">
        <v>9565</v>
      </c>
      <c r="AG1705" t="s">
        <v>10016</v>
      </c>
      <c r="AH1705">
        <v>-3.57</v>
      </c>
      <c r="AI1705">
        <v>-4.88</v>
      </c>
      <c r="AJ1705">
        <v>5.93</v>
      </c>
      <c r="AK1705">
        <v>10.87</v>
      </c>
      <c r="AL1705">
        <v>-1</v>
      </c>
      <c r="AM1705">
        <v>-3.04</v>
      </c>
      <c r="AN1705">
        <v>21.89</v>
      </c>
      <c r="AO1705">
        <v>4.47</v>
      </c>
      <c r="AP1705">
        <v>9.87</v>
      </c>
    </row>
    <row r="1706" spans="1:42">
      <c r="A1706">
        <v>1705</v>
      </c>
      <c r="B1706" t="str">
        <f>"002033"</f>
        <v>002033</v>
      </c>
      <c r="C1706" t="s">
        <v>10017</v>
      </c>
      <c r="D1706">
        <v>8.35</v>
      </c>
      <c r="E1706">
        <v>-0.48</v>
      </c>
      <c r="F1706">
        <v>-0.04</v>
      </c>
      <c r="G1706" t="s">
        <v>1207</v>
      </c>
      <c r="H1706">
        <v>1084</v>
      </c>
      <c r="I1706">
        <v>8.35</v>
      </c>
      <c r="J1706">
        <v>8.36</v>
      </c>
      <c r="K1706" t="s">
        <v>9994</v>
      </c>
      <c r="L1706">
        <v>2.53</v>
      </c>
      <c r="M1706" t="s">
        <v>46</v>
      </c>
      <c r="N1706" t="s">
        <v>2139</v>
      </c>
      <c r="O1706">
        <v>8.47</v>
      </c>
      <c r="P1706">
        <v>8.31</v>
      </c>
      <c r="Q1706">
        <v>8.36</v>
      </c>
      <c r="R1706">
        <v>8.39</v>
      </c>
      <c r="S1706">
        <v>1.91</v>
      </c>
      <c r="T1706">
        <v>1.47</v>
      </c>
      <c r="U1706">
        <v>38.93</v>
      </c>
      <c r="V1706">
        <v>3077</v>
      </c>
      <c r="W1706">
        <v>8.38</v>
      </c>
      <c r="X1706" t="s">
        <v>970</v>
      </c>
      <c r="Y1706" t="s">
        <v>10018</v>
      </c>
      <c r="Z1706">
        <v>1.14</v>
      </c>
      <c r="AA1706">
        <v>747</v>
      </c>
      <c r="AB1706">
        <v>27</v>
      </c>
      <c r="AC1706">
        <v>1.84</v>
      </c>
      <c r="AD1706" t="s">
        <v>10019</v>
      </c>
      <c r="AE1706" t="s">
        <v>2378</v>
      </c>
      <c r="AF1706" t="s">
        <v>10019</v>
      </c>
      <c r="AG1706" t="s">
        <v>2378</v>
      </c>
      <c r="AH1706">
        <v>0</v>
      </c>
      <c r="AI1706">
        <v>0.36</v>
      </c>
      <c r="AJ1706">
        <v>6.2</v>
      </c>
      <c r="AK1706">
        <v>11.15</v>
      </c>
      <c r="AL1706">
        <v>-1</v>
      </c>
      <c r="AM1706">
        <v>-0.48</v>
      </c>
      <c r="AN1706">
        <v>-29.54</v>
      </c>
      <c r="AO1706">
        <v>3.6</v>
      </c>
      <c r="AP1706">
        <v>-5.44</v>
      </c>
    </row>
    <row r="1707" spans="1:42">
      <c r="A1707">
        <v>1706</v>
      </c>
      <c r="B1707" t="str">
        <f>"600476"</f>
        <v>600476</v>
      </c>
      <c r="C1707" t="s">
        <v>10020</v>
      </c>
      <c r="D1707">
        <v>17.65</v>
      </c>
      <c r="E1707">
        <v>2.56</v>
      </c>
      <c r="F1707">
        <v>0.44</v>
      </c>
      <c r="G1707" t="s">
        <v>426</v>
      </c>
      <c r="H1707">
        <v>1457</v>
      </c>
      <c r="I1707">
        <v>17.64</v>
      </c>
      <c r="J1707">
        <v>17.65</v>
      </c>
      <c r="K1707" t="s">
        <v>9994</v>
      </c>
      <c r="L1707">
        <v>4.13</v>
      </c>
      <c r="M1707" t="s">
        <v>46</v>
      </c>
      <c r="N1707" t="s">
        <v>6518</v>
      </c>
      <c r="O1707">
        <v>17.8</v>
      </c>
      <c r="P1707">
        <v>17.19</v>
      </c>
      <c r="Q1707">
        <v>17.39</v>
      </c>
      <c r="R1707">
        <v>17.21</v>
      </c>
      <c r="S1707">
        <v>3.54</v>
      </c>
      <c r="T1707">
        <v>0.62</v>
      </c>
      <c r="U1707">
        <v>-60</v>
      </c>
      <c r="V1707">
        <v>-1035</v>
      </c>
      <c r="W1707">
        <v>17.53</v>
      </c>
      <c r="X1707" t="s">
        <v>6768</v>
      </c>
      <c r="Y1707" t="s">
        <v>1566</v>
      </c>
      <c r="Z1707">
        <v>0.75</v>
      </c>
      <c r="AA1707">
        <v>21</v>
      </c>
      <c r="AB1707">
        <v>212</v>
      </c>
      <c r="AC1707">
        <v>27.64</v>
      </c>
      <c r="AD1707" t="s">
        <v>10021</v>
      </c>
      <c r="AE1707" t="s">
        <v>10022</v>
      </c>
      <c r="AF1707" t="s">
        <v>10021</v>
      </c>
      <c r="AG1707" t="s">
        <v>10022</v>
      </c>
      <c r="AH1707">
        <v>-2.22</v>
      </c>
      <c r="AI1707">
        <v>-8.07</v>
      </c>
      <c r="AJ1707">
        <v>15.46</v>
      </c>
      <c r="AK1707">
        <v>37.21</v>
      </c>
      <c r="AL1707">
        <v>1</v>
      </c>
      <c r="AM1707">
        <v>2.56</v>
      </c>
      <c r="AN1707">
        <v>4.19</v>
      </c>
      <c r="AO1707">
        <v>5.18</v>
      </c>
      <c r="AP1707">
        <v>9.22</v>
      </c>
    </row>
    <row r="1708" spans="1:42">
      <c r="A1708">
        <v>1707</v>
      </c>
      <c r="B1708" t="str">
        <f>"301001"</f>
        <v>301001</v>
      </c>
      <c r="C1708" t="s">
        <v>10023</v>
      </c>
      <c r="D1708">
        <v>28.28</v>
      </c>
      <c r="E1708">
        <v>4.16</v>
      </c>
      <c r="F1708">
        <v>1.13</v>
      </c>
      <c r="G1708" t="s">
        <v>5666</v>
      </c>
      <c r="H1708">
        <v>796</v>
      </c>
      <c r="I1708">
        <v>28.2</v>
      </c>
      <c r="J1708">
        <v>28.28</v>
      </c>
      <c r="K1708" t="s">
        <v>9994</v>
      </c>
      <c r="L1708">
        <v>12.05</v>
      </c>
      <c r="M1708" t="s">
        <v>46</v>
      </c>
      <c r="N1708" t="s">
        <v>3183</v>
      </c>
      <c r="O1708">
        <v>28.75</v>
      </c>
      <c r="P1708">
        <v>27</v>
      </c>
      <c r="Q1708">
        <v>27.24</v>
      </c>
      <c r="R1708">
        <v>27.15</v>
      </c>
      <c r="S1708">
        <v>6.45</v>
      </c>
      <c r="T1708">
        <v>2.21</v>
      </c>
      <c r="U1708">
        <v>5.48</v>
      </c>
      <c r="V1708">
        <v>16</v>
      </c>
      <c r="W1708">
        <v>28.12</v>
      </c>
      <c r="X1708" t="s">
        <v>4509</v>
      </c>
      <c r="Y1708" t="s">
        <v>882</v>
      </c>
      <c r="Z1708">
        <v>1.16</v>
      </c>
      <c r="AA1708">
        <v>3</v>
      </c>
      <c r="AB1708">
        <v>4</v>
      </c>
      <c r="AC1708">
        <v>2.82</v>
      </c>
      <c r="AD1708" t="s">
        <v>3612</v>
      </c>
      <c r="AE1708" t="s">
        <v>10024</v>
      </c>
      <c r="AF1708" t="s">
        <v>10025</v>
      </c>
      <c r="AG1708" t="s">
        <v>10026</v>
      </c>
      <c r="AH1708">
        <v>4.86</v>
      </c>
      <c r="AI1708">
        <v>3.1</v>
      </c>
      <c r="AJ1708">
        <v>25.38</v>
      </c>
      <c r="AK1708">
        <v>39.33</v>
      </c>
      <c r="AL1708">
        <v>1</v>
      </c>
      <c r="AM1708">
        <v>4.16</v>
      </c>
      <c r="AN1708">
        <v>33.65</v>
      </c>
      <c r="AO1708">
        <v>7.12</v>
      </c>
      <c r="AP1708">
        <v>33.08</v>
      </c>
    </row>
    <row r="1709" spans="1:42">
      <c r="A1709">
        <v>1708</v>
      </c>
      <c r="B1709" t="str">
        <f>"002572"</f>
        <v>002572</v>
      </c>
      <c r="C1709" t="s">
        <v>10027</v>
      </c>
      <c r="D1709">
        <v>16.21</v>
      </c>
      <c r="E1709">
        <v>-0.8</v>
      </c>
      <c r="F1709">
        <v>-0.13</v>
      </c>
      <c r="G1709" t="s">
        <v>10028</v>
      </c>
      <c r="H1709">
        <v>665</v>
      </c>
      <c r="I1709">
        <v>16.21</v>
      </c>
      <c r="J1709">
        <v>16.22</v>
      </c>
      <c r="K1709" t="s">
        <v>9994</v>
      </c>
      <c r="L1709">
        <v>1.13</v>
      </c>
      <c r="M1709" t="s">
        <v>46</v>
      </c>
      <c r="N1709" t="s">
        <v>10029</v>
      </c>
      <c r="O1709">
        <v>16.4</v>
      </c>
      <c r="P1709">
        <v>16.08</v>
      </c>
      <c r="Q1709">
        <v>16.4</v>
      </c>
      <c r="R1709">
        <v>16.34</v>
      </c>
      <c r="S1709">
        <v>1.96</v>
      </c>
      <c r="T1709">
        <v>0.76</v>
      </c>
      <c r="U1709">
        <v>55.75</v>
      </c>
      <c r="V1709">
        <v>834</v>
      </c>
      <c r="W1709">
        <v>16.16</v>
      </c>
      <c r="X1709" t="s">
        <v>6794</v>
      </c>
      <c r="Y1709" t="s">
        <v>7338</v>
      </c>
      <c r="Z1709">
        <v>1.17</v>
      </c>
      <c r="AA1709">
        <v>276</v>
      </c>
      <c r="AB1709">
        <v>110</v>
      </c>
      <c r="AC1709">
        <v>2.42</v>
      </c>
      <c r="AD1709" t="s">
        <v>10030</v>
      </c>
      <c r="AE1709" t="s">
        <v>10031</v>
      </c>
      <c r="AF1709" t="s">
        <v>10032</v>
      </c>
      <c r="AG1709" t="s">
        <v>10033</v>
      </c>
      <c r="AH1709">
        <v>-4.31</v>
      </c>
      <c r="AI1709">
        <v>-6.25</v>
      </c>
      <c r="AJ1709">
        <v>3.96</v>
      </c>
      <c r="AK1709">
        <v>8.57</v>
      </c>
      <c r="AL1709">
        <v>-6</v>
      </c>
      <c r="AM1709">
        <v>-0.8</v>
      </c>
      <c r="AN1709">
        <v>-7.16</v>
      </c>
      <c r="AO1709">
        <v>-10.98</v>
      </c>
      <c r="AP1709">
        <v>3.71</v>
      </c>
    </row>
    <row r="1710" spans="1:42">
      <c r="A1710">
        <v>1709</v>
      </c>
      <c r="B1710" t="str">
        <f>"002606"</f>
        <v>002606</v>
      </c>
      <c r="C1710" t="s">
        <v>10034</v>
      </c>
      <c r="D1710">
        <v>8.13</v>
      </c>
      <c r="E1710">
        <v>-1.09</v>
      </c>
      <c r="F1710">
        <v>-0.09</v>
      </c>
      <c r="G1710" t="s">
        <v>2081</v>
      </c>
      <c r="H1710">
        <v>3626</v>
      </c>
      <c r="I1710">
        <v>8.13</v>
      </c>
      <c r="J1710">
        <v>8.15</v>
      </c>
      <c r="K1710" t="s">
        <v>10035</v>
      </c>
      <c r="L1710">
        <v>3.39</v>
      </c>
      <c r="M1710" t="s">
        <v>46</v>
      </c>
      <c r="N1710" t="s">
        <v>2566</v>
      </c>
      <c r="O1710">
        <v>8.24</v>
      </c>
      <c r="P1710">
        <v>8.07</v>
      </c>
      <c r="Q1710">
        <v>8.22</v>
      </c>
      <c r="R1710">
        <v>8.22</v>
      </c>
      <c r="S1710">
        <v>2.07</v>
      </c>
      <c r="T1710">
        <v>0.73</v>
      </c>
      <c r="U1710">
        <v>62.52</v>
      </c>
      <c r="V1710">
        <v>2135</v>
      </c>
      <c r="W1710">
        <v>8.15</v>
      </c>
      <c r="X1710" t="s">
        <v>3690</v>
      </c>
      <c r="Y1710" t="s">
        <v>5779</v>
      </c>
      <c r="Z1710">
        <v>1.29</v>
      </c>
      <c r="AA1710">
        <v>487</v>
      </c>
      <c r="AB1710">
        <v>42</v>
      </c>
      <c r="AC1710">
        <v>2.3</v>
      </c>
      <c r="AD1710" t="s">
        <v>10036</v>
      </c>
      <c r="AE1710" t="s">
        <v>10037</v>
      </c>
      <c r="AF1710" t="s">
        <v>10038</v>
      </c>
      <c r="AG1710" t="s">
        <v>10039</v>
      </c>
      <c r="AH1710">
        <v>-2.17</v>
      </c>
      <c r="AI1710">
        <v>5.86</v>
      </c>
      <c r="AJ1710">
        <v>12.19</v>
      </c>
      <c r="AK1710">
        <v>26.58</v>
      </c>
      <c r="AL1710">
        <v>-1</v>
      </c>
      <c r="AM1710">
        <v>-1.09</v>
      </c>
      <c r="AN1710">
        <v>-12.96</v>
      </c>
      <c r="AO1710">
        <v>9.72</v>
      </c>
      <c r="AP1710">
        <v>-21.45</v>
      </c>
    </row>
    <row r="1711" spans="1:42">
      <c r="A1711">
        <v>1710</v>
      </c>
      <c r="B1711" t="str">
        <f>"002329"</f>
        <v>002329</v>
      </c>
      <c r="C1711" t="s">
        <v>10040</v>
      </c>
      <c r="D1711">
        <v>5.71</v>
      </c>
      <c r="E1711">
        <v>0.35</v>
      </c>
      <c r="F1711">
        <v>0.02</v>
      </c>
      <c r="G1711" t="s">
        <v>1925</v>
      </c>
      <c r="H1711">
        <v>2016</v>
      </c>
      <c r="I1711">
        <v>5.71</v>
      </c>
      <c r="J1711">
        <v>5.72</v>
      </c>
      <c r="K1711" t="s">
        <v>10035</v>
      </c>
      <c r="L1711">
        <v>3.45</v>
      </c>
      <c r="M1711" t="s">
        <v>46</v>
      </c>
      <c r="N1711" t="s">
        <v>10041</v>
      </c>
      <c r="O1711">
        <v>5.83</v>
      </c>
      <c r="P1711">
        <v>5.64</v>
      </c>
      <c r="Q1711">
        <v>5.67</v>
      </c>
      <c r="R1711">
        <v>5.69</v>
      </c>
      <c r="S1711">
        <v>3.34</v>
      </c>
      <c r="T1711">
        <v>1.32</v>
      </c>
      <c r="U1711">
        <v>56</v>
      </c>
      <c r="V1711">
        <v>5707</v>
      </c>
      <c r="W1711">
        <v>5.73</v>
      </c>
      <c r="X1711" t="s">
        <v>1499</v>
      </c>
      <c r="Y1711" t="s">
        <v>1232</v>
      </c>
      <c r="Z1711">
        <v>1.02</v>
      </c>
      <c r="AA1711">
        <v>269</v>
      </c>
      <c r="AB1711">
        <v>553</v>
      </c>
      <c r="AC1711">
        <v>2.63</v>
      </c>
      <c r="AD1711" t="s">
        <v>10042</v>
      </c>
      <c r="AE1711" t="s">
        <v>10043</v>
      </c>
      <c r="AF1711" t="s">
        <v>10044</v>
      </c>
      <c r="AG1711" t="s">
        <v>10045</v>
      </c>
      <c r="AH1711">
        <v>-0.52</v>
      </c>
      <c r="AI1711">
        <v>-2.23</v>
      </c>
      <c r="AJ1711">
        <v>8.12</v>
      </c>
      <c r="AK1711">
        <v>16.49</v>
      </c>
      <c r="AL1711">
        <v>1</v>
      </c>
      <c r="AM1711">
        <v>0.35</v>
      </c>
      <c r="AN1711">
        <v>-25.16</v>
      </c>
      <c r="AO1711">
        <v>5.74</v>
      </c>
      <c r="AP1711">
        <v>-18.31</v>
      </c>
    </row>
    <row r="1712" spans="1:42">
      <c r="A1712">
        <v>1711</v>
      </c>
      <c r="B1712" t="str">
        <f>"000592"</f>
        <v>000592</v>
      </c>
      <c r="C1712" t="s">
        <v>10046</v>
      </c>
      <c r="D1712">
        <v>2.57</v>
      </c>
      <c r="E1712">
        <v>1.18</v>
      </c>
      <c r="F1712">
        <v>0.03</v>
      </c>
      <c r="G1712" t="s">
        <v>68</v>
      </c>
      <c r="H1712">
        <v>5460</v>
      </c>
      <c r="I1712">
        <v>2.56</v>
      </c>
      <c r="J1712">
        <v>2.57</v>
      </c>
      <c r="K1712" t="s">
        <v>10035</v>
      </c>
      <c r="L1712">
        <v>2.37</v>
      </c>
      <c r="M1712" t="s">
        <v>46</v>
      </c>
      <c r="N1712" t="s">
        <v>10047</v>
      </c>
      <c r="O1712">
        <v>2.58</v>
      </c>
      <c r="P1712">
        <v>2.52</v>
      </c>
      <c r="Q1712">
        <v>2.53</v>
      </c>
      <c r="R1712">
        <v>2.54</v>
      </c>
      <c r="S1712">
        <v>2.36</v>
      </c>
      <c r="T1712">
        <v>1.24</v>
      </c>
      <c r="U1712">
        <v>-16.89</v>
      </c>
      <c r="V1712" t="s">
        <v>10048</v>
      </c>
      <c r="W1712">
        <v>2.56</v>
      </c>
      <c r="X1712" t="s">
        <v>3785</v>
      </c>
      <c r="Y1712" t="s">
        <v>1885</v>
      </c>
      <c r="Z1712">
        <v>0.7</v>
      </c>
      <c r="AA1712">
        <v>4556</v>
      </c>
      <c r="AB1712" t="s">
        <v>3328</v>
      </c>
      <c r="AC1712">
        <v>2.08</v>
      </c>
      <c r="AD1712" t="s">
        <v>8992</v>
      </c>
      <c r="AE1712" t="s">
        <v>10049</v>
      </c>
      <c r="AF1712" t="s">
        <v>10050</v>
      </c>
      <c r="AG1712" t="s">
        <v>10051</v>
      </c>
      <c r="AH1712">
        <v>0.78</v>
      </c>
      <c r="AI1712">
        <v>0</v>
      </c>
      <c r="AJ1712">
        <v>5.84</v>
      </c>
      <c r="AK1712">
        <v>11.95</v>
      </c>
      <c r="AL1712">
        <v>1</v>
      </c>
      <c r="AM1712">
        <v>1.18</v>
      </c>
      <c r="AN1712">
        <v>-1.15</v>
      </c>
      <c r="AO1712">
        <v>6.2</v>
      </c>
      <c r="AP1712">
        <v>-4.81</v>
      </c>
    </row>
    <row r="1713" spans="1:42">
      <c r="A1713">
        <v>1712</v>
      </c>
      <c r="B1713" t="str">
        <f>"002876"</f>
        <v>002876</v>
      </c>
      <c r="C1713" t="s">
        <v>10052</v>
      </c>
      <c r="D1713">
        <v>32.86</v>
      </c>
      <c r="E1713">
        <v>-0.18</v>
      </c>
      <c r="F1713">
        <v>-0.06</v>
      </c>
      <c r="G1713" t="s">
        <v>1069</v>
      </c>
      <c r="H1713">
        <v>336</v>
      </c>
      <c r="I1713">
        <v>32.85</v>
      </c>
      <c r="J1713">
        <v>32.87</v>
      </c>
      <c r="K1713" t="s">
        <v>10035</v>
      </c>
      <c r="L1713">
        <v>2.38</v>
      </c>
      <c r="M1713" t="s">
        <v>46</v>
      </c>
      <c r="N1713" t="s">
        <v>3409</v>
      </c>
      <c r="O1713">
        <v>33.19</v>
      </c>
      <c r="P1713">
        <v>32.43</v>
      </c>
      <c r="Q1713">
        <v>32.9</v>
      </c>
      <c r="R1713">
        <v>32.92</v>
      </c>
      <c r="S1713">
        <v>2.31</v>
      </c>
      <c r="T1713">
        <v>0.61</v>
      </c>
      <c r="U1713">
        <v>-5.84</v>
      </c>
      <c r="V1713">
        <v>-15</v>
      </c>
      <c r="W1713">
        <v>32.82</v>
      </c>
      <c r="X1713" t="s">
        <v>882</v>
      </c>
      <c r="Y1713" t="s">
        <v>1118</v>
      </c>
      <c r="Z1713">
        <v>1.19</v>
      </c>
      <c r="AA1713">
        <v>53</v>
      </c>
      <c r="AB1713">
        <v>5</v>
      </c>
      <c r="AC1713">
        <v>2.43</v>
      </c>
      <c r="AD1713" t="s">
        <v>10053</v>
      </c>
      <c r="AE1713" t="s">
        <v>10054</v>
      </c>
      <c r="AF1713" t="s">
        <v>8331</v>
      </c>
      <c r="AG1713" t="s">
        <v>10055</v>
      </c>
      <c r="AH1713">
        <v>-2.09</v>
      </c>
      <c r="AI1713">
        <v>-3.81</v>
      </c>
      <c r="AJ1713">
        <v>11.74</v>
      </c>
      <c r="AK1713">
        <v>21.85</v>
      </c>
      <c r="AL1713">
        <v>-2</v>
      </c>
      <c r="AM1713">
        <v>-0.18</v>
      </c>
      <c r="AN1713">
        <v>-9.23</v>
      </c>
      <c r="AO1713">
        <v>3.86</v>
      </c>
      <c r="AP1713">
        <v>-24.84</v>
      </c>
    </row>
    <row r="1714" spans="1:42">
      <c r="A1714">
        <v>1713</v>
      </c>
      <c r="B1714" t="str">
        <f>"603363"</f>
        <v>603363</v>
      </c>
      <c r="C1714" t="s">
        <v>10056</v>
      </c>
      <c r="D1714">
        <v>7.95</v>
      </c>
      <c r="E1714">
        <v>-2.93</v>
      </c>
      <c r="F1714">
        <v>-0.24</v>
      </c>
      <c r="G1714" t="s">
        <v>4194</v>
      </c>
      <c r="H1714">
        <v>1487</v>
      </c>
      <c r="I1714">
        <v>7.94</v>
      </c>
      <c r="J1714">
        <v>7.95</v>
      </c>
      <c r="K1714" t="s">
        <v>10035</v>
      </c>
      <c r="L1714">
        <v>1.97</v>
      </c>
      <c r="M1714" t="s">
        <v>46</v>
      </c>
      <c r="N1714" t="s">
        <v>10057</v>
      </c>
      <c r="O1714">
        <v>8.19</v>
      </c>
      <c r="P1714">
        <v>7.92</v>
      </c>
      <c r="Q1714">
        <v>8.19</v>
      </c>
      <c r="R1714">
        <v>8.19</v>
      </c>
      <c r="S1714">
        <v>3.3</v>
      </c>
      <c r="T1714">
        <v>1.55</v>
      </c>
      <c r="U1714">
        <v>52.18</v>
      </c>
      <c r="V1714">
        <v>7628</v>
      </c>
      <c r="W1714">
        <v>8.01</v>
      </c>
      <c r="X1714" t="s">
        <v>941</v>
      </c>
      <c r="Y1714" t="s">
        <v>3204</v>
      </c>
      <c r="Z1714">
        <v>2.2</v>
      </c>
      <c r="AA1714">
        <v>3353</v>
      </c>
      <c r="AB1714">
        <v>1027</v>
      </c>
      <c r="AC1714">
        <v>6.5</v>
      </c>
      <c r="AD1714" t="s">
        <v>10058</v>
      </c>
      <c r="AE1714" t="s">
        <v>10059</v>
      </c>
      <c r="AF1714" t="s">
        <v>10060</v>
      </c>
      <c r="AG1714" t="s">
        <v>10061</v>
      </c>
      <c r="AH1714">
        <v>-3.28</v>
      </c>
      <c r="AI1714">
        <v>-4.56</v>
      </c>
      <c r="AJ1714">
        <v>3.87</v>
      </c>
      <c r="AK1714">
        <v>8.33</v>
      </c>
      <c r="AL1714">
        <v>-1</v>
      </c>
      <c r="AM1714">
        <v>-2.93</v>
      </c>
      <c r="AN1714">
        <v>-38.32</v>
      </c>
      <c r="AO1714">
        <v>-1.36</v>
      </c>
      <c r="AP1714">
        <v>-40.67</v>
      </c>
    </row>
    <row r="1715" spans="1:42">
      <c r="A1715">
        <v>1714</v>
      </c>
      <c r="B1715" t="str">
        <f>"002939"</f>
        <v>002939</v>
      </c>
      <c r="C1715" t="s">
        <v>10062</v>
      </c>
      <c r="D1715">
        <v>8.35</v>
      </c>
      <c r="E1715">
        <v>0.72</v>
      </c>
      <c r="F1715">
        <v>0.06</v>
      </c>
      <c r="G1715" t="s">
        <v>960</v>
      </c>
      <c r="H1715">
        <v>6101</v>
      </c>
      <c r="I1715">
        <v>8.34</v>
      </c>
      <c r="J1715">
        <v>8.35</v>
      </c>
      <c r="K1715" t="s">
        <v>10035</v>
      </c>
      <c r="L1715">
        <v>0.4</v>
      </c>
      <c r="M1715" t="s">
        <v>46</v>
      </c>
      <c r="N1715" t="s">
        <v>10063</v>
      </c>
      <c r="O1715">
        <v>8.35</v>
      </c>
      <c r="P1715">
        <v>8.25</v>
      </c>
      <c r="Q1715">
        <v>8.29</v>
      </c>
      <c r="R1715">
        <v>8.29</v>
      </c>
      <c r="S1715">
        <v>1.21</v>
      </c>
      <c r="T1715">
        <v>1.03</v>
      </c>
      <c r="U1715">
        <v>-17.18</v>
      </c>
      <c r="V1715">
        <v>-2997</v>
      </c>
      <c r="W1715">
        <v>8.31</v>
      </c>
      <c r="X1715" t="s">
        <v>10064</v>
      </c>
      <c r="Y1715" t="s">
        <v>494</v>
      </c>
      <c r="Z1715">
        <v>0.83</v>
      </c>
      <c r="AA1715">
        <v>143</v>
      </c>
      <c r="AB1715">
        <v>3275</v>
      </c>
      <c r="AC1715">
        <v>1.19</v>
      </c>
      <c r="AD1715" t="s">
        <v>10065</v>
      </c>
      <c r="AE1715" t="s">
        <v>10066</v>
      </c>
      <c r="AF1715" t="s">
        <v>10067</v>
      </c>
      <c r="AG1715" t="s">
        <v>10068</v>
      </c>
      <c r="AH1715">
        <v>0.48</v>
      </c>
      <c r="AI1715">
        <v>-1.53</v>
      </c>
      <c r="AJ1715">
        <v>1.12</v>
      </c>
      <c r="AK1715">
        <v>2.35</v>
      </c>
      <c r="AL1715">
        <v>2</v>
      </c>
      <c r="AM1715">
        <v>0.72</v>
      </c>
      <c r="AN1715">
        <v>2.08</v>
      </c>
      <c r="AO1715">
        <v>0.72</v>
      </c>
      <c r="AP1715">
        <v>-2.57</v>
      </c>
    </row>
    <row r="1716" spans="1:42">
      <c r="A1716">
        <v>1715</v>
      </c>
      <c r="B1716" t="str">
        <f>"600987"</f>
        <v>600987</v>
      </c>
      <c r="C1716" t="s">
        <v>10069</v>
      </c>
      <c r="D1716">
        <v>9.28</v>
      </c>
      <c r="E1716">
        <v>0.22</v>
      </c>
      <c r="F1716">
        <v>0.02</v>
      </c>
      <c r="G1716" t="s">
        <v>1986</v>
      </c>
      <c r="H1716">
        <v>270</v>
      </c>
      <c r="I1716">
        <v>9.27</v>
      </c>
      <c r="J1716">
        <v>9.28</v>
      </c>
      <c r="K1716" t="s">
        <v>10035</v>
      </c>
      <c r="L1716">
        <v>1.18</v>
      </c>
      <c r="M1716" t="s">
        <v>46</v>
      </c>
      <c r="N1716" t="s">
        <v>10070</v>
      </c>
      <c r="O1716">
        <v>9.49</v>
      </c>
      <c r="P1716">
        <v>9.15</v>
      </c>
      <c r="Q1716">
        <v>9.36</v>
      </c>
      <c r="R1716">
        <v>9.26</v>
      </c>
      <c r="S1716">
        <v>3.67</v>
      </c>
      <c r="T1716">
        <v>1.34</v>
      </c>
      <c r="U1716">
        <v>-30.63</v>
      </c>
      <c r="V1716">
        <v>-590</v>
      </c>
      <c r="W1716">
        <v>9.32</v>
      </c>
      <c r="X1716" t="s">
        <v>4048</v>
      </c>
      <c r="Y1716" t="s">
        <v>9204</v>
      </c>
      <c r="Z1716">
        <v>0.95</v>
      </c>
      <c r="AA1716">
        <v>45</v>
      </c>
      <c r="AB1716">
        <v>212</v>
      </c>
      <c r="AC1716">
        <v>1.64</v>
      </c>
      <c r="AD1716" t="s">
        <v>8897</v>
      </c>
      <c r="AE1716" t="s">
        <v>6969</v>
      </c>
      <c r="AF1716" t="s">
        <v>8897</v>
      </c>
      <c r="AG1716" t="s">
        <v>6969</v>
      </c>
      <c r="AH1716">
        <v>-2.21</v>
      </c>
      <c r="AI1716">
        <v>-1.07</v>
      </c>
      <c r="AJ1716">
        <v>3.39</v>
      </c>
      <c r="AK1716">
        <v>5.61</v>
      </c>
      <c r="AL1716">
        <v>1</v>
      </c>
      <c r="AM1716">
        <v>0.22</v>
      </c>
      <c r="AN1716">
        <v>33.53</v>
      </c>
      <c r="AO1716">
        <v>10.21</v>
      </c>
      <c r="AP1716">
        <v>28.18</v>
      </c>
    </row>
    <row r="1717" spans="1:42">
      <c r="A1717">
        <v>1716</v>
      </c>
      <c r="B1717" t="str">
        <f>"603663"</f>
        <v>603663</v>
      </c>
      <c r="C1717" t="s">
        <v>10071</v>
      </c>
      <c r="D1717">
        <v>10.59</v>
      </c>
      <c r="E1717">
        <v>1.34</v>
      </c>
      <c r="F1717">
        <v>0.14</v>
      </c>
      <c r="G1717" t="s">
        <v>1438</v>
      </c>
      <c r="H1717">
        <v>2352</v>
      </c>
      <c r="I1717">
        <v>10.58</v>
      </c>
      <c r="J1717">
        <v>10.59</v>
      </c>
      <c r="K1717" t="s">
        <v>10035</v>
      </c>
      <c r="L1717">
        <v>2.61</v>
      </c>
      <c r="M1717" t="s">
        <v>46</v>
      </c>
      <c r="N1717" t="s">
        <v>1591</v>
      </c>
      <c r="O1717">
        <v>10.6</v>
      </c>
      <c r="P1717">
        <v>10.41</v>
      </c>
      <c r="Q1717">
        <v>10.48</v>
      </c>
      <c r="R1717">
        <v>10.45</v>
      </c>
      <c r="S1717">
        <v>1.82</v>
      </c>
      <c r="T1717">
        <v>0.45</v>
      </c>
      <c r="U1717">
        <v>-1.21</v>
      </c>
      <c r="V1717">
        <v>-79</v>
      </c>
      <c r="W1717">
        <v>10.51</v>
      </c>
      <c r="X1717" t="s">
        <v>5191</v>
      </c>
      <c r="Y1717" t="s">
        <v>525</v>
      </c>
      <c r="Z1717">
        <v>0.89</v>
      </c>
      <c r="AA1717">
        <v>442</v>
      </c>
      <c r="AB1717">
        <v>1318</v>
      </c>
      <c r="AC1717">
        <v>3.54</v>
      </c>
      <c r="AD1717" t="s">
        <v>10072</v>
      </c>
      <c r="AE1717" t="s">
        <v>4419</v>
      </c>
      <c r="AF1717" t="s">
        <v>4998</v>
      </c>
      <c r="AG1717" t="s">
        <v>4321</v>
      </c>
      <c r="AH1717">
        <v>-1.49</v>
      </c>
      <c r="AI1717">
        <v>-8.79</v>
      </c>
      <c r="AJ1717">
        <v>9.65</v>
      </c>
      <c r="AK1717">
        <v>31.8</v>
      </c>
      <c r="AL1717">
        <v>1</v>
      </c>
      <c r="AM1717">
        <v>1.34</v>
      </c>
      <c r="AN1717">
        <v>17.54</v>
      </c>
      <c r="AO1717">
        <v>15.61</v>
      </c>
      <c r="AP1717">
        <v>9.18</v>
      </c>
    </row>
    <row r="1718" spans="1:42">
      <c r="A1718">
        <v>1717</v>
      </c>
      <c r="B1718" t="str">
        <f>"603995"</f>
        <v>603995</v>
      </c>
      <c r="C1718" t="s">
        <v>10073</v>
      </c>
      <c r="D1718">
        <v>21.19</v>
      </c>
      <c r="E1718">
        <v>-0.89</v>
      </c>
      <c r="F1718">
        <v>-0.19</v>
      </c>
      <c r="G1718" t="s">
        <v>7374</v>
      </c>
      <c r="H1718">
        <v>778</v>
      </c>
      <c r="I1718">
        <v>21.19</v>
      </c>
      <c r="J1718">
        <v>21.2</v>
      </c>
      <c r="K1718" t="s">
        <v>10035</v>
      </c>
      <c r="L1718">
        <v>1.44</v>
      </c>
      <c r="M1718" t="s">
        <v>46</v>
      </c>
      <c r="N1718" t="s">
        <v>10074</v>
      </c>
      <c r="O1718">
        <v>21.55</v>
      </c>
      <c r="P1718">
        <v>20.91</v>
      </c>
      <c r="Q1718">
        <v>21.43</v>
      </c>
      <c r="R1718">
        <v>21.38</v>
      </c>
      <c r="S1718">
        <v>2.99</v>
      </c>
      <c r="T1718">
        <v>1.21</v>
      </c>
      <c r="U1718">
        <v>7.26</v>
      </c>
      <c r="V1718">
        <v>78</v>
      </c>
      <c r="W1718">
        <v>21.22</v>
      </c>
      <c r="X1718" t="s">
        <v>8966</v>
      </c>
      <c r="Y1718" t="s">
        <v>688</v>
      </c>
      <c r="Z1718">
        <v>1.08</v>
      </c>
      <c r="AA1718">
        <v>106</v>
      </c>
      <c r="AB1718">
        <v>249</v>
      </c>
      <c r="AC1718">
        <v>1.57</v>
      </c>
      <c r="AD1718" t="s">
        <v>10075</v>
      </c>
      <c r="AE1718" t="s">
        <v>10076</v>
      </c>
      <c r="AF1718" t="s">
        <v>10077</v>
      </c>
      <c r="AG1718" t="s">
        <v>10078</v>
      </c>
      <c r="AH1718">
        <v>-2.49</v>
      </c>
      <c r="AI1718">
        <v>-3.9</v>
      </c>
      <c r="AJ1718">
        <v>2.91</v>
      </c>
      <c r="AK1718">
        <v>7.35</v>
      </c>
      <c r="AL1718">
        <v>-3</v>
      </c>
      <c r="AM1718">
        <v>-0.89</v>
      </c>
      <c r="AN1718">
        <v>-22.47</v>
      </c>
      <c r="AO1718">
        <v>-0.52</v>
      </c>
      <c r="AP1718">
        <v>-25.52</v>
      </c>
    </row>
    <row r="1719" spans="1:42">
      <c r="A1719">
        <v>1718</v>
      </c>
      <c r="B1719" t="str">
        <f>"002011"</f>
        <v>002011</v>
      </c>
      <c r="C1719" t="s">
        <v>10079</v>
      </c>
      <c r="D1719">
        <v>12.28</v>
      </c>
      <c r="E1719">
        <v>2.16</v>
      </c>
      <c r="F1719">
        <v>0.26</v>
      </c>
      <c r="G1719" t="s">
        <v>6697</v>
      </c>
      <c r="H1719">
        <v>1868</v>
      </c>
      <c r="I1719">
        <v>12.26</v>
      </c>
      <c r="J1719">
        <v>12.28</v>
      </c>
      <c r="K1719" t="s">
        <v>10035</v>
      </c>
      <c r="L1719">
        <v>1.04</v>
      </c>
      <c r="M1719" t="s">
        <v>46</v>
      </c>
      <c r="N1719" t="s">
        <v>10080</v>
      </c>
      <c r="O1719">
        <v>12.3</v>
      </c>
      <c r="P1719">
        <v>11.94</v>
      </c>
      <c r="Q1719">
        <v>12.1</v>
      </c>
      <c r="R1719">
        <v>12.02</v>
      </c>
      <c r="S1719">
        <v>3</v>
      </c>
      <c r="T1719">
        <v>1.05</v>
      </c>
      <c r="U1719">
        <v>-2.49</v>
      </c>
      <c r="V1719">
        <v>-132</v>
      </c>
      <c r="W1719">
        <v>12.13</v>
      </c>
      <c r="X1719" t="s">
        <v>4928</v>
      </c>
      <c r="Y1719" t="s">
        <v>5674</v>
      </c>
      <c r="Z1719">
        <v>1.01</v>
      </c>
      <c r="AA1719">
        <v>7</v>
      </c>
      <c r="AB1719">
        <v>222</v>
      </c>
      <c r="AC1719">
        <v>3.08</v>
      </c>
      <c r="AD1719" t="s">
        <v>8346</v>
      </c>
      <c r="AE1719" t="s">
        <v>10081</v>
      </c>
      <c r="AF1719" t="s">
        <v>10082</v>
      </c>
      <c r="AG1719" t="s">
        <v>10083</v>
      </c>
      <c r="AH1719">
        <v>0.33</v>
      </c>
      <c r="AI1719">
        <v>-2.07</v>
      </c>
      <c r="AJ1719">
        <v>3.02</v>
      </c>
      <c r="AK1719">
        <v>6</v>
      </c>
      <c r="AL1719">
        <v>1</v>
      </c>
      <c r="AM1719">
        <v>2.16</v>
      </c>
      <c r="AN1719">
        <v>-6.47</v>
      </c>
      <c r="AO1719">
        <v>2.25</v>
      </c>
      <c r="AP1719">
        <v>-6.26</v>
      </c>
    </row>
    <row r="1720" spans="1:42">
      <c r="A1720">
        <v>1719</v>
      </c>
      <c r="B1720" t="str">
        <f>"300487"</f>
        <v>300487</v>
      </c>
      <c r="C1720" t="s">
        <v>10084</v>
      </c>
      <c r="D1720">
        <v>50.21</v>
      </c>
      <c r="E1720">
        <v>-0.16</v>
      </c>
      <c r="F1720">
        <v>-0.08</v>
      </c>
      <c r="G1720" t="s">
        <v>1710</v>
      </c>
      <c r="H1720">
        <v>274</v>
      </c>
      <c r="I1720">
        <v>50.2</v>
      </c>
      <c r="J1720">
        <v>50.21</v>
      </c>
      <c r="K1720" t="s">
        <v>10035</v>
      </c>
      <c r="L1720">
        <v>0.76</v>
      </c>
      <c r="M1720" t="s">
        <v>46</v>
      </c>
      <c r="N1720" t="s">
        <v>720</v>
      </c>
      <c r="O1720">
        <v>52.5</v>
      </c>
      <c r="P1720">
        <v>49.8</v>
      </c>
      <c r="Q1720">
        <v>50.29</v>
      </c>
      <c r="R1720">
        <v>50.29</v>
      </c>
      <c r="S1720">
        <v>5.37</v>
      </c>
      <c r="T1720">
        <v>0.84</v>
      </c>
      <c r="U1720">
        <v>80.44</v>
      </c>
      <c r="V1720">
        <v>436</v>
      </c>
      <c r="W1720">
        <v>50.27</v>
      </c>
      <c r="X1720" t="s">
        <v>1384</v>
      </c>
      <c r="Y1720">
        <v>9550</v>
      </c>
      <c r="Z1720">
        <v>1.41</v>
      </c>
      <c r="AA1720">
        <v>18</v>
      </c>
      <c r="AB1720">
        <v>6</v>
      </c>
      <c r="AC1720">
        <v>8.28</v>
      </c>
      <c r="AD1720" t="s">
        <v>10085</v>
      </c>
      <c r="AE1720" t="s">
        <v>10086</v>
      </c>
      <c r="AF1720" t="s">
        <v>10087</v>
      </c>
      <c r="AG1720" t="s">
        <v>10088</v>
      </c>
      <c r="AH1720">
        <v>1.41</v>
      </c>
      <c r="AI1720">
        <v>-5.48</v>
      </c>
      <c r="AJ1720">
        <v>2.4</v>
      </c>
      <c r="AK1720">
        <v>5.28</v>
      </c>
      <c r="AL1720">
        <v>-1</v>
      </c>
      <c r="AM1720">
        <v>-0.16</v>
      </c>
      <c r="AN1720">
        <v>9.22</v>
      </c>
      <c r="AO1720">
        <v>-3.41</v>
      </c>
      <c r="AP1720">
        <v>2.66</v>
      </c>
    </row>
    <row r="1721" spans="1:42">
      <c r="A1721">
        <v>1720</v>
      </c>
      <c r="B1721" t="str">
        <f>"603022"</f>
        <v>603022</v>
      </c>
      <c r="C1721" t="s">
        <v>10089</v>
      </c>
      <c r="D1721">
        <v>10.49</v>
      </c>
      <c r="E1721">
        <v>-2.42</v>
      </c>
      <c r="F1721">
        <v>-0.26</v>
      </c>
      <c r="G1721" t="s">
        <v>829</v>
      </c>
      <c r="H1721">
        <v>4389</v>
      </c>
      <c r="I1721">
        <v>10.48</v>
      </c>
      <c r="J1721">
        <v>10.49</v>
      </c>
      <c r="K1721" t="s">
        <v>10035</v>
      </c>
      <c r="L1721">
        <v>5.54</v>
      </c>
      <c r="M1721" t="s">
        <v>46</v>
      </c>
      <c r="N1721" t="s">
        <v>3513</v>
      </c>
      <c r="O1721">
        <v>10.59</v>
      </c>
      <c r="P1721">
        <v>10.3</v>
      </c>
      <c r="Q1721">
        <v>10.59</v>
      </c>
      <c r="R1721">
        <v>10.75</v>
      </c>
      <c r="S1721">
        <v>2.7</v>
      </c>
      <c r="T1721">
        <v>1.67</v>
      </c>
      <c r="U1721">
        <v>41.48</v>
      </c>
      <c r="V1721">
        <v>686</v>
      </c>
      <c r="W1721">
        <v>10.45</v>
      </c>
      <c r="X1721" t="s">
        <v>4909</v>
      </c>
      <c r="Y1721" t="s">
        <v>2650</v>
      </c>
      <c r="Z1721">
        <v>1.3</v>
      </c>
      <c r="AA1721">
        <v>331</v>
      </c>
      <c r="AB1721">
        <v>181</v>
      </c>
      <c r="AC1721">
        <v>2.76</v>
      </c>
      <c r="AD1721" t="s">
        <v>5838</v>
      </c>
      <c r="AE1721" t="s">
        <v>10090</v>
      </c>
      <c r="AF1721" t="s">
        <v>5838</v>
      </c>
      <c r="AG1721" t="s">
        <v>10090</v>
      </c>
      <c r="AH1721">
        <v>3.45</v>
      </c>
      <c r="AI1721">
        <v>3.25</v>
      </c>
      <c r="AJ1721">
        <v>19.45</v>
      </c>
      <c r="AK1721">
        <v>22.16</v>
      </c>
      <c r="AL1721">
        <v>-2</v>
      </c>
      <c r="AM1721">
        <v>-2.42</v>
      </c>
      <c r="AN1721">
        <v>18.53</v>
      </c>
      <c r="AO1721">
        <v>5.75</v>
      </c>
      <c r="AP1721">
        <v>7.04</v>
      </c>
    </row>
    <row r="1722" spans="1:42">
      <c r="A1722">
        <v>1721</v>
      </c>
      <c r="B1722" t="str">
        <f>"000632"</f>
        <v>000632</v>
      </c>
      <c r="C1722" t="s">
        <v>10091</v>
      </c>
      <c r="D1722">
        <v>4.78</v>
      </c>
      <c r="E1722">
        <v>1.7</v>
      </c>
      <c r="F1722">
        <v>0.08</v>
      </c>
      <c r="G1722" t="s">
        <v>142</v>
      </c>
      <c r="H1722">
        <v>4284</v>
      </c>
      <c r="I1722">
        <v>4.78</v>
      </c>
      <c r="J1722">
        <v>4.79</v>
      </c>
      <c r="K1722" t="s">
        <v>10035</v>
      </c>
      <c r="L1722">
        <v>5.21</v>
      </c>
      <c r="M1722" t="s">
        <v>46</v>
      </c>
      <c r="N1722" t="s">
        <v>3150</v>
      </c>
      <c r="O1722">
        <v>4.83</v>
      </c>
      <c r="P1722">
        <v>4.66</v>
      </c>
      <c r="Q1722">
        <v>4.68</v>
      </c>
      <c r="R1722">
        <v>4.7</v>
      </c>
      <c r="S1722">
        <v>3.62</v>
      </c>
      <c r="T1722">
        <v>0.57</v>
      </c>
      <c r="U1722">
        <v>-37.34</v>
      </c>
      <c r="V1722">
        <v>-3669</v>
      </c>
      <c r="W1722">
        <v>4.77</v>
      </c>
      <c r="X1722" t="s">
        <v>6981</v>
      </c>
      <c r="Y1722" t="s">
        <v>2081</v>
      </c>
      <c r="Z1722">
        <v>0.7</v>
      </c>
      <c r="AA1722">
        <v>542</v>
      </c>
      <c r="AB1722">
        <v>571</v>
      </c>
      <c r="AC1722">
        <v>1.54</v>
      </c>
      <c r="AD1722" t="s">
        <v>10092</v>
      </c>
      <c r="AE1722" t="s">
        <v>10093</v>
      </c>
      <c r="AF1722" t="s">
        <v>10092</v>
      </c>
      <c r="AG1722" t="s">
        <v>10093</v>
      </c>
      <c r="AH1722">
        <v>0.21</v>
      </c>
      <c r="AI1722">
        <v>-0.83</v>
      </c>
      <c r="AJ1722">
        <v>15.81</v>
      </c>
      <c r="AK1722">
        <v>50.62</v>
      </c>
      <c r="AL1722">
        <v>1</v>
      </c>
      <c r="AM1722">
        <v>1.7</v>
      </c>
      <c r="AN1722">
        <v>4.82</v>
      </c>
      <c r="AO1722">
        <v>12.47</v>
      </c>
      <c r="AP1722">
        <v>10.14</v>
      </c>
    </row>
    <row r="1723" spans="1:42">
      <c r="A1723">
        <v>1722</v>
      </c>
      <c r="B1723" t="str">
        <f>"002736"</f>
        <v>002736</v>
      </c>
      <c r="C1723" t="s">
        <v>10094</v>
      </c>
      <c r="D1723">
        <v>9.49</v>
      </c>
      <c r="E1723">
        <v>-0.11</v>
      </c>
      <c r="F1723">
        <v>-0.01</v>
      </c>
      <c r="G1723" t="s">
        <v>447</v>
      </c>
      <c r="H1723">
        <v>965</v>
      </c>
      <c r="I1723">
        <v>9.49</v>
      </c>
      <c r="J1723">
        <v>9.5</v>
      </c>
      <c r="K1723" t="s">
        <v>10035</v>
      </c>
      <c r="L1723">
        <v>0.13</v>
      </c>
      <c r="M1723" t="s">
        <v>46</v>
      </c>
      <c r="N1723" t="s">
        <v>3965</v>
      </c>
      <c r="O1723">
        <v>9.52</v>
      </c>
      <c r="P1723">
        <v>9.41</v>
      </c>
      <c r="Q1723">
        <v>9.49</v>
      </c>
      <c r="R1723">
        <v>9.5</v>
      </c>
      <c r="S1723">
        <v>1.16</v>
      </c>
      <c r="T1723">
        <v>0.79</v>
      </c>
      <c r="U1723">
        <v>-12.66</v>
      </c>
      <c r="V1723">
        <v>-864</v>
      </c>
      <c r="W1723">
        <v>9.48</v>
      </c>
      <c r="X1723" t="s">
        <v>5611</v>
      </c>
      <c r="Y1723" t="s">
        <v>3642</v>
      </c>
      <c r="Z1723">
        <v>0.92</v>
      </c>
      <c r="AA1723">
        <v>66</v>
      </c>
      <c r="AB1723">
        <v>131</v>
      </c>
      <c r="AC1723">
        <v>1.15</v>
      </c>
      <c r="AD1723" t="s">
        <v>10095</v>
      </c>
      <c r="AE1723" t="s">
        <v>10096</v>
      </c>
      <c r="AF1723" t="s">
        <v>10097</v>
      </c>
      <c r="AG1723" t="s">
        <v>10098</v>
      </c>
      <c r="AH1723">
        <v>-0.32</v>
      </c>
      <c r="AI1723">
        <v>-3.65</v>
      </c>
      <c r="AJ1723">
        <v>0.4</v>
      </c>
      <c r="AK1723">
        <v>0.98</v>
      </c>
      <c r="AL1723">
        <v>-1</v>
      </c>
      <c r="AM1723">
        <v>-0.11</v>
      </c>
      <c r="AN1723">
        <v>10.22</v>
      </c>
      <c r="AO1723">
        <v>-0.63</v>
      </c>
      <c r="AP1723">
        <v>8.83</v>
      </c>
    </row>
    <row r="1724" spans="1:42">
      <c r="A1724">
        <v>1723</v>
      </c>
      <c r="B1724" t="str">
        <f>"002043"</f>
        <v>002043</v>
      </c>
      <c r="C1724" t="s">
        <v>10099</v>
      </c>
      <c r="D1724">
        <v>9.23</v>
      </c>
      <c r="E1724">
        <v>-0.43</v>
      </c>
      <c r="F1724">
        <v>-0.04</v>
      </c>
      <c r="G1724" t="s">
        <v>2025</v>
      </c>
      <c r="H1724">
        <v>961</v>
      </c>
      <c r="I1724">
        <v>9.23</v>
      </c>
      <c r="J1724">
        <v>9.24</v>
      </c>
      <c r="K1724" t="s">
        <v>10035</v>
      </c>
      <c r="L1724">
        <v>1.82</v>
      </c>
      <c r="M1724" t="s">
        <v>46</v>
      </c>
      <c r="N1724" t="s">
        <v>10100</v>
      </c>
      <c r="O1724">
        <v>9.31</v>
      </c>
      <c r="P1724">
        <v>9.13</v>
      </c>
      <c r="Q1724">
        <v>9.31</v>
      </c>
      <c r="R1724">
        <v>9.27</v>
      </c>
      <c r="S1724">
        <v>1.94</v>
      </c>
      <c r="T1724">
        <v>1.08</v>
      </c>
      <c r="U1724">
        <v>-1.63</v>
      </c>
      <c r="V1724">
        <v>-87</v>
      </c>
      <c r="W1724">
        <v>9.19</v>
      </c>
      <c r="X1724" t="s">
        <v>8433</v>
      </c>
      <c r="Y1724" t="s">
        <v>7022</v>
      </c>
      <c r="Z1724">
        <v>1.47</v>
      </c>
      <c r="AA1724">
        <v>565</v>
      </c>
      <c r="AB1724">
        <v>505</v>
      </c>
      <c r="AC1724">
        <v>2.6</v>
      </c>
      <c r="AD1724" t="s">
        <v>10101</v>
      </c>
      <c r="AE1724" t="s">
        <v>10102</v>
      </c>
      <c r="AF1724" t="s">
        <v>10103</v>
      </c>
      <c r="AG1724" t="s">
        <v>10104</v>
      </c>
      <c r="AH1724">
        <v>-2.74</v>
      </c>
      <c r="AI1724">
        <v>-6.01</v>
      </c>
      <c r="AJ1724">
        <v>4.64</v>
      </c>
      <c r="AK1724">
        <v>10.22</v>
      </c>
      <c r="AL1724">
        <v>-3</v>
      </c>
      <c r="AM1724">
        <v>-0.43</v>
      </c>
      <c r="AN1724">
        <v>-10.91</v>
      </c>
      <c r="AO1724">
        <v>-2.84</v>
      </c>
      <c r="AP1724">
        <v>8.97</v>
      </c>
    </row>
    <row r="1725" spans="1:42">
      <c r="A1725">
        <v>1724</v>
      </c>
      <c r="B1725" t="str">
        <f>"601865"</f>
        <v>601865</v>
      </c>
      <c r="C1725" t="s">
        <v>10105</v>
      </c>
      <c r="D1725">
        <v>25.34</v>
      </c>
      <c r="E1725">
        <v>0.12</v>
      </c>
      <c r="F1725">
        <v>0.03</v>
      </c>
      <c r="G1725" t="s">
        <v>5055</v>
      </c>
      <c r="H1725">
        <v>234</v>
      </c>
      <c r="I1725">
        <v>25.34</v>
      </c>
      <c r="J1725">
        <v>25.36</v>
      </c>
      <c r="K1725" t="s">
        <v>10106</v>
      </c>
      <c r="L1725">
        <v>0.27</v>
      </c>
      <c r="M1725" t="s">
        <v>46</v>
      </c>
      <c r="N1725" t="s">
        <v>2216</v>
      </c>
      <c r="O1725">
        <v>25.76</v>
      </c>
      <c r="P1725">
        <v>25.03</v>
      </c>
      <c r="Q1725">
        <v>25.28</v>
      </c>
      <c r="R1725">
        <v>25.31</v>
      </c>
      <c r="S1725">
        <v>2.88</v>
      </c>
      <c r="T1725">
        <v>1.38</v>
      </c>
      <c r="U1725">
        <v>46.32</v>
      </c>
      <c r="V1725">
        <v>352</v>
      </c>
      <c r="W1725">
        <v>25.47</v>
      </c>
      <c r="X1725" t="s">
        <v>9272</v>
      </c>
      <c r="Y1725" t="s">
        <v>156</v>
      </c>
      <c r="Z1725">
        <v>1.16</v>
      </c>
      <c r="AA1725">
        <v>9</v>
      </c>
      <c r="AB1725">
        <v>30</v>
      </c>
      <c r="AC1725">
        <v>2.83</v>
      </c>
      <c r="AD1725" t="s">
        <v>10107</v>
      </c>
      <c r="AE1725" t="s">
        <v>10108</v>
      </c>
      <c r="AF1725" t="s">
        <v>10109</v>
      </c>
      <c r="AG1725" t="s">
        <v>10110</v>
      </c>
      <c r="AH1725">
        <v>-0.86</v>
      </c>
      <c r="AI1725">
        <v>-3.1</v>
      </c>
      <c r="AJ1725">
        <v>0.56</v>
      </c>
      <c r="AK1725">
        <v>1.24</v>
      </c>
      <c r="AL1725">
        <v>1</v>
      </c>
      <c r="AM1725">
        <v>0.12</v>
      </c>
      <c r="AN1725">
        <v>-23.37</v>
      </c>
      <c r="AO1725">
        <v>-3.39</v>
      </c>
      <c r="AP1725">
        <v>-26.76</v>
      </c>
    </row>
    <row r="1726" spans="1:42">
      <c r="A1726">
        <v>1725</v>
      </c>
      <c r="B1726" t="str">
        <f>"600606"</f>
        <v>600606</v>
      </c>
      <c r="C1726" t="s">
        <v>10111</v>
      </c>
      <c r="D1726">
        <v>2.47</v>
      </c>
      <c r="E1726">
        <v>0</v>
      </c>
      <c r="F1726">
        <v>0</v>
      </c>
      <c r="G1726" t="s">
        <v>10112</v>
      </c>
      <c r="H1726">
        <v>5979</v>
      </c>
      <c r="I1726">
        <v>2.47</v>
      </c>
      <c r="J1726">
        <v>2.48</v>
      </c>
      <c r="K1726" t="s">
        <v>10106</v>
      </c>
      <c r="L1726">
        <v>0.33</v>
      </c>
      <c r="M1726" t="s">
        <v>46</v>
      </c>
      <c r="N1726" t="s">
        <v>10113</v>
      </c>
      <c r="O1726">
        <v>2.49</v>
      </c>
      <c r="P1726">
        <v>2.45</v>
      </c>
      <c r="Q1726">
        <v>2.46</v>
      </c>
      <c r="R1726">
        <v>2.47</v>
      </c>
      <c r="S1726">
        <v>1.62</v>
      </c>
      <c r="T1726">
        <v>0.92</v>
      </c>
      <c r="U1726">
        <v>-21.3</v>
      </c>
      <c r="V1726" t="s">
        <v>10114</v>
      </c>
      <c r="W1726">
        <v>2.47</v>
      </c>
      <c r="X1726" t="s">
        <v>273</v>
      </c>
      <c r="Y1726" t="s">
        <v>2419</v>
      </c>
      <c r="Z1726">
        <v>1.18</v>
      </c>
      <c r="AA1726" t="s">
        <v>239</v>
      </c>
      <c r="AB1726" t="s">
        <v>4422</v>
      </c>
      <c r="AC1726">
        <v>0.37</v>
      </c>
      <c r="AD1726" t="s">
        <v>10115</v>
      </c>
      <c r="AE1726" t="s">
        <v>10116</v>
      </c>
      <c r="AF1726" t="s">
        <v>10115</v>
      </c>
      <c r="AG1726" t="s">
        <v>10116</v>
      </c>
      <c r="AH1726">
        <v>-2.37</v>
      </c>
      <c r="AI1726">
        <v>-6.08</v>
      </c>
      <c r="AJ1726">
        <v>1.05</v>
      </c>
      <c r="AK1726">
        <v>2.14</v>
      </c>
      <c r="AL1726">
        <v>0</v>
      </c>
      <c r="AM1726">
        <v>0</v>
      </c>
      <c r="AN1726">
        <v>-17.11</v>
      </c>
      <c r="AO1726">
        <v>-1.59</v>
      </c>
      <c r="AP1726">
        <v>-15.41</v>
      </c>
    </row>
    <row r="1727" spans="1:42">
      <c r="A1727">
        <v>1726</v>
      </c>
      <c r="B1727" t="str">
        <f>"002056"</f>
        <v>002056</v>
      </c>
      <c r="C1727" t="s">
        <v>10117</v>
      </c>
      <c r="D1727">
        <v>13.48</v>
      </c>
      <c r="E1727">
        <v>-0.37</v>
      </c>
      <c r="F1727">
        <v>-0.05</v>
      </c>
      <c r="G1727" t="s">
        <v>1199</v>
      </c>
      <c r="H1727">
        <v>1498</v>
      </c>
      <c r="I1727">
        <v>13.48</v>
      </c>
      <c r="J1727">
        <v>13.49</v>
      </c>
      <c r="K1727" t="s">
        <v>10106</v>
      </c>
      <c r="L1727">
        <v>0.53</v>
      </c>
      <c r="M1727" t="s">
        <v>46</v>
      </c>
      <c r="N1727" t="s">
        <v>4634</v>
      </c>
      <c r="O1727">
        <v>13.55</v>
      </c>
      <c r="P1727">
        <v>13.39</v>
      </c>
      <c r="Q1727">
        <v>13.48</v>
      </c>
      <c r="R1727">
        <v>13.53</v>
      </c>
      <c r="S1727">
        <v>1.18</v>
      </c>
      <c r="T1727">
        <v>0.46</v>
      </c>
      <c r="U1727">
        <v>-6.76</v>
      </c>
      <c r="V1727">
        <v>-227</v>
      </c>
      <c r="W1727">
        <v>13.46</v>
      </c>
      <c r="X1727" t="s">
        <v>1236</v>
      </c>
      <c r="Y1727" t="s">
        <v>3716</v>
      </c>
      <c r="Z1727">
        <v>1.22</v>
      </c>
      <c r="AA1727">
        <v>366</v>
      </c>
      <c r="AB1727">
        <v>56</v>
      </c>
      <c r="AC1727">
        <v>2.48</v>
      </c>
      <c r="AD1727" t="s">
        <v>9748</v>
      </c>
      <c r="AE1727" t="s">
        <v>9319</v>
      </c>
      <c r="AF1727" t="s">
        <v>569</v>
      </c>
      <c r="AG1727" t="s">
        <v>10118</v>
      </c>
      <c r="AH1727">
        <v>-2.11</v>
      </c>
      <c r="AI1727">
        <v>-8.11</v>
      </c>
      <c r="AJ1727">
        <v>1.87</v>
      </c>
      <c r="AK1727">
        <v>6.4</v>
      </c>
      <c r="AL1727">
        <v>-3</v>
      </c>
      <c r="AM1727">
        <v>-0.37</v>
      </c>
      <c r="AN1727">
        <v>-26.66</v>
      </c>
      <c r="AO1727">
        <v>-7.61</v>
      </c>
      <c r="AP1727">
        <v>-25.07</v>
      </c>
    </row>
    <row r="1728" spans="1:42">
      <c r="A1728">
        <v>1727</v>
      </c>
      <c r="B1728" t="str">
        <f>"002272"</f>
        <v>002272</v>
      </c>
      <c r="C1728" t="s">
        <v>10119</v>
      </c>
      <c r="D1728">
        <v>6.89</v>
      </c>
      <c r="E1728">
        <v>2.84</v>
      </c>
      <c r="F1728">
        <v>0.19</v>
      </c>
      <c r="G1728" t="s">
        <v>172</v>
      </c>
      <c r="H1728">
        <v>6654</v>
      </c>
      <c r="I1728">
        <v>6.89</v>
      </c>
      <c r="J1728">
        <v>6.9</v>
      </c>
      <c r="K1728" t="s">
        <v>10106</v>
      </c>
      <c r="L1728">
        <v>5.09</v>
      </c>
      <c r="M1728" t="s">
        <v>46</v>
      </c>
      <c r="N1728" t="s">
        <v>3125</v>
      </c>
      <c r="O1728">
        <v>6.94</v>
      </c>
      <c r="P1728">
        <v>6.62</v>
      </c>
      <c r="Q1728">
        <v>6.7</v>
      </c>
      <c r="R1728">
        <v>6.7</v>
      </c>
      <c r="S1728">
        <v>4.78</v>
      </c>
      <c r="T1728">
        <v>1.06</v>
      </c>
      <c r="U1728">
        <v>22.67</v>
      </c>
      <c r="V1728">
        <v>2471</v>
      </c>
      <c r="W1728">
        <v>6.75</v>
      </c>
      <c r="X1728" t="s">
        <v>7434</v>
      </c>
      <c r="Y1728" t="s">
        <v>5002</v>
      </c>
      <c r="Z1728">
        <v>0.93</v>
      </c>
      <c r="AA1728">
        <v>58</v>
      </c>
      <c r="AB1728">
        <v>534</v>
      </c>
      <c r="AC1728">
        <v>2.1</v>
      </c>
      <c r="AD1728" t="s">
        <v>10120</v>
      </c>
      <c r="AE1728" t="s">
        <v>10121</v>
      </c>
      <c r="AF1728" t="s">
        <v>10122</v>
      </c>
      <c r="AG1728" t="s">
        <v>10123</v>
      </c>
      <c r="AH1728">
        <v>1.03</v>
      </c>
      <c r="AI1728">
        <v>0.15</v>
      </c>
      <c r="AJ1728">
        <v>14.14</v>
      </c>
      <c r="AK1728">
        <v>29.16</v>
      </c>
      <c r="AL1728">
        <v>1</v>
      </c>
      <c r="AM1728">
        <v>2.84</v>
      </c>
      <c r="AN1728">
        <v>13.88</v>
      </c>
      <c r="AO1728">
        <v>14.07</v>
      </c>
      <c r="AP1728">
        <v>0</v>
      </c>
    </row>
    <row r="1729" spans="1:42">
      <c r="A1729">
        <v>1728</v>
      </c>
      <c r="B1729" t="str">
        <f>"688185"</f>
        <v>688185</v>
      </c>
      <c r="C1729" t="s">
        <v>10124</v>
      </c>
      <c r="D1729">
        <v>83.85</v>
      </c>
      <c r="E1729">
        <v>-0.93</v>
      </c>
      <c r="F1729">
        <v>-0.79</v>
      </c>
      <c r="G1729" t="s">
        <v>3284</v>
      </c>
      <c r="H1729">
        <v>157</v>
      </c>
      <c r="I1729">
        <v>83.84</v>
      </c>
      <c r="J1729">
        <v>83.85</v>
      </c>
      <c r="K1729" t="s">
        <v>10106</v>
      </c>
      <c r="L1729">
        <v>1.19</v>
      </c>
      <c r="M1729" t="s">
        <v>46</v>
      </c>
      <c r="N1729" t="s">
        <v>7654</v>
      </c>
      <c r="O1729">
        <v>85.56</v>
      </c>
      <c r="P1729">
        <v>82.8</v>
      </c>
      <c r="Q1729">
        <v>85.14</v>
      </c>
      <c r="R1729">
        <v>84.64</v>
      </c>
      <c r="S1729">
        <v>3.26</v>
      </c>
      <c r="T1729">
        <v>0.85</v>
      </c>
      <c r="U1729">
        <v>3.38</v>
      </c>
      <c r="V1729">
        <v>5</v>
      </c>
      <c r="W1729">
        <v>84.01</v>
      </c>
      <c r="X1729">
        <v>7175</v>
      </c>
      <c r="Y1729">
        <v>6515</v>
      </c>
      <c r="Z1729">
        <v>1.1</v>
      </c>
      <c r="AA1729">
        <v>43</v>
      </c>
      <c r="AB1729">
        <v>49</v>
      </c>
      <c r="AC1729">
        <v>3.6</v>
      </c>
      <c r="AD1729" t="s">
        <v>3619</v>
      </c>
      <c r="AE1729" t="s">
        <v>10125</v>
      </c>
      <c r="AF1729" t="s">
        <v>10126</v>
      </c>
      <c r="AG1729" t="s">
        <v>10127</v>
      </c>
      <c r="AH1729">
        <v>0.05</v>
      </c>
      <c r="AI1729">
        <v>1.22</v>
      </c>
      <c r="AJ1729">
        <v>4.46</v>
      </c>
      <c r="AK1729">
        <v>8.22</v>
      </c>
      <c r="AL1729">
        <v>-1</v>
      </c>
      <c r="AM1729">
        <v>-0.93</v>
      </c>
      <c r="AN1729">
        <v>-42.58</v>
      </c>
      <c r="AO1729">
        <v>4.88</v>
      </c>
      <c r="AP1729">
        <v>-63</v>
      </c>
    </row>
    <row r="1730" spans="1:42">
      <c r="A1730">
        <v>1729</v>
      </c>
      <c r="B1730" t="str">
        <f>"603887"</f>
        <v>603887</v>
      </c>
      <c r="C1730" t="s">
        <v>10128</v>
      </c>
      <c r="D1730">
        <v>8.55</v>
      </c>
      <c r="E1730">
        <v>1.54</v>
      </c>
      <c r="F1730">
        <v>0.13</v>
      </c>
      <c r="G1730" t="s">
        <v>368</v>
      </c>
      <c r="H1730">
        <v>1986</v>
      </c>
      <c r="I1730">
        <v>8.55</v>
      </c>
      <c r="J1730">
        <v>8.56</v>
      </c>
      <c r="K1730" t="s">
        <v>10106</v>
      </c>
      <c r="L1730">
        <v>2.98</v>
      </c>
      <c r="M1730" t="s">
        <v>46</v>
      </c>
      <c r="N1730" t="s">
        <v>2636</v>
      </c>
      <c r="O1730">
        <v>8.61</v>
      </c>
      <c r="P1730">
        <v>8.38</v>
      </c>
      <c r="Q1730">
        <v>8.45</v>
      </c>
      <c r="R1730">
        <v>8.42</v>
      </c>
      <c r="S1730">
        <v>2.73</v>
      </c>
      <c r="T1730">
        <v>1.02</v>
      </c>
      <c r="U1730">
        <v>30.32</v>
      </c>
      <c r="V1730">
        <v>1669</v>
      </c>
      <c r="W1730">
        <v>8.55</v>
      </c>
      <c r="X1730" t="s">
        <v>4746</v>
      </c>
      <c r="Y1730" t="s">
        <v>7114</v>
      </c>
      <c r="Z1730">
        <v>0.86</v>
      </c>
      <c r="AA1730">
        <v>438</v>
      </c>
      <c r="AB1730">
        <v>4</v>
      </c>
      <c r="AC1730">
        <v>1.24</v>
      </c>
      <c r="AD1730" t="s">
        <v>10129</v>
      </c>
      <c r="AE1730" t="s">
        <v>10130</v>
      </c>
      <c r="AF1730" t="s">
        <v>10129</v>
      </c>
      <c r="AG1730" t="s">
        <v>10130</v>
      </c>
      <c r="AH1730">
        <v>-0.35</v>
      </c>
      <c r="AI1730">
        <v>-3.82</v>
      </c>
      <c r="AJ1730">
        <v>7.21</v>
      </c>
      <c r="AK1730">
        <v>17.57</v>
      </c>
      <c r="AL1730">
        <v>1</v>
      </c>
      <c r="AM1730">
        <v>1.54</v>
      </c>
      <c r="AN1730">
        <v>24.45</v>
      </c>
      <c r="AO1730">
        <v>9.62</v>
      </c>
      <c r="AP1730">
        <v>10.47</v>
      </c>
    </row>
    <row r="1731" spans="1:42">
      <c r="A1731">
        <v>1730</v>
      </c>
      <c r="B1731" t="str">
        <f>"002396"</f>
        <v>002396</v>
      </c>
      <c r="C1731" t="s">
        <v>10131</v>
      </c>
      <c r="D1731">
        <v>18.93</v>
      </c>
      <c r="E1731">
        <v>2.49</v>
      </c>
      <c r="F1731">
        <v>0.46</v>
      </c>
      <c r="G1731" t="s">
        <v>6873</v>
      </c>
      <c r="H1731">
        <v>911</v>
      </c>
      <c r="I1731">
        <v>18.92</v>
      </c>
      <c r="J1731">
        <v>18.93</v>
      </c>
      <c r="K1731" t="s">
        <v>10106</v>
      </c>
      <c r="L1731">
        <v>1.05</v>
      </c>
      <c r="M1731" t="s">
        <v>46</v>
      </c>
      <c r="N1731" t="s">
        <v>8509</v>
      </c>
      <c r="O1731">
        <v>18.95</v>
      </c>
      <c r="P1731">
        <v>18.42</v>
      </c>
      <c r="Q1731">
        <v>18.48</v>
      </c>
      <c r="R1731">
        <v>18.47</v>
      </c>
      <c r="S1731">
        <v>2.87</v>
      </c>
      <c r="T1731">
        <v>1.38</v>
      </c>
      <c r="U1731">
        <v>-28.81</v>
      </c>
      <c r="V1731">
        <v>-476</v>
      </c>
      <c r="W1731">
        <v>18.76</v>
      </c>
      <c r="X1731" t="s">
        <v>2716</v>
      </c>
      <c r="Y1731" t="s">
        <v>5692</v>
      </c>
      <c r="Z1731">
        <v>0.54</v>
      </c>
      <c r="AA1731">
        <v>259</v>
      </c>
      <c r="AB1731">
        <v>57</v>
      </c>
      <c r="AC1731">
        <v>1.77</v>
      </c>
      <c r="AD1731" t="s">
        <v>8776</v>
      </c>
      <c r="AE1731" t="s">
        <v>10132</v>
      </c>
      <c r="AF1731" t="s">
        <v>10133</v>
      </c>
      <c r="AG1731" t="s">
        <v>10134</v>
      </c>
      <c r="AH1731">
        <v>1.28</v>
      </c>
      <c r="AI1731">
        <v>-0.79</v>
      </c>
      <c r="AJ1731">
        <v>2.37</v>
      </c>
      <c r="AK1731">
        <v>4.86</v>
      </c>
      <c r="AL1731">
        <v>1</v>
      </c>
      <c r="AM1731">
        <v>2.49</v>
      </c>
      <c r="AN1731">
        <v>-0.68</v>
      </c>
      <c r="AO1731">
        <v>4.01</v>
      </c>
      <c r="AP1731">
        <v>-11.67</v>
      </c>
    </row>
    <row r="1732" spans="1:42">
      <c r="A1732">
        <v>1731</v>
      </c>
      <c r="B1732" t="str">
        <f>"301117"</f>
        <v>301117</v>
      </c>
      <c r="C1732" t="s">
        <v>10135</v>
      </c>
      <c r="D1732">
        <v>65.25</v>
      </c>
      <c r="E1732">
        <v>3.55</v>
      </c>
      <c r="F1732">
        <v>2.24</v>
      </c>
      <c r="G1732" t="s">
        <v>60</v>
      </c>
      <c r="H1732">
        <v>78</v>
      </c>
      <c r="I1732">
        <v>65.24</v>
      </c>
      <c r="J1732">
        <v>65.25</v>
      </c>
      <c r="K1732" t="s">
        <v>10106</v>
      </c>
      <c r="L1732">
        <v>4.12</v>
      </c>
      <c r="M1732" t="s">
        <v>46</v>
      </c>
      <c r="N1732" t="s">
        <v>7323</v>
      </c>
      <c r="O1732">
        <v>65.9</v>
      </c>
      <c r="P1732">
        <v>62.28</v>
      </c>
      <c r="Q1732">
        <v>63.53</v>
      </c>
      <c r="R1732">
        <v>63.01</v>
      </c>
      <c r="S1732">
        <v>5.75</v>
      </c>
      <c r="T1732">
        <v>0.94</v>
      </c>
      <c r="U1732">
        <v>-16.95</v>
      </c>
      <c r="V1732">
        <v>-20</v>
      </c>
      <c r="W1732">
        <v>64.36</v>
      </c>
      <c r="X1732">
        <v>8048</v>
      </c>
      <c r="Y1732">
        <v>9801</v>
      </c>
      <c r="Z1732">
        <v>0.82</v>
      </c>
      <c r="AA1732">
        <v>9</v>
      </c>
      <c r="AB1732">
        <v>5</v>
      </c>
      <c r="AC1732">
        <v>4.48</v>
      </c>
      <c r="AD1732" t="s">
        <v>10136</v>
      </c>
      <c r="AE1732" t="s">
        <v>10137</v>
      </c>
      <c r="AF1732" t="s">
        <v>10138</v>
      </c>
      <c r="AG1732" t="s">
        <v>8480</v>
      </c>
      <c r="AH1732">
        <v>3.26</v>
      </c>
      <c r="AI1732">
        <v>4.42</v>
      </c>
      <c r="AJ1732">
        <v>11.29</v>
      </c>
      <c r="AK1732">
        <v>26.17</v>
      </c>
      <c r="AL1732">
        <v>1</v>
      </c>
      <c r="AM1732">
        <v>3.55</v>
      </c>
      <c r="AN1732">
        <v>-17.56</v>
      </c>
      <c r="AO1732">
        <v>13.56</v>
      </c>
      <c r="AP1732">
        <v>-18.89</v>
      </c>
    </row>
    <row r="1733" spans="1:42">
      <c r="A1733">
        <v>1732</v>
      </c>
      <c r="B1733" t="str">
        <f>"002370"</f>
        <v>002370</v>
      </c>
      <c r="C1733" t="s">
        <v>10139</v>
      </c>
      <c r="D1733">
        <v>4.84</v>
      </c>
      <c r="E1733">
        <v>-0.21</v>
      </c>
      <c r="F1733">
        <v>-0.01</v>
      </c>
      <c r="G1733" t="s">
        <v>2178</v>
      </c>
      <c r="H1733">
        <v>2354</v>
      </c>
      <c r="I1733">
        <v>4.83</v>
      </c>
      <c r="J1733">
        <v>4.84</v>
      </c>
      <c r="K1733" t="s">
        <v>10106</v>
      </c>
      <c r="L1733">
        <v>4.19</v>
      </c>
      <c r="M1733" t="s">
        <v>46</v>
      </c>
      <c r="N1733" t="s">
        <v>4760</v>
      </c>
      <c r="O1733">
        <v>4.91</v>
      </c>
      <c r="P1733">
        <v>4.8</v>
      </c>
      <c r="Q1733">
        <v>4.82</v>
      </c>
      <c r="R1733">
        <v>4.85</v>
      </c>
      <c r="S1733">
        <v>2.27</v>
      </c>
      <c r="T1733">
        <v>0.46</v>
      </c>
      <c r="U1733">
        <v>11.94</v>
      </c>
      <c r="V1733">
        <v>2906</v>
      </c>
      <c r="W1733">
        <v>4.85</v>
      </c>
      <c r="X1733" t="s">
        <v>3971</v>
      </c>
      <c r="Y1733" t="s">
        <v>1949</v>
      </c>
      <c r="Z1733">
        <v>1.16</v>
      </c>
      <c r="AA1733">
        <v>4753</v>
      </c>
      <c r="AB1733">
        <v>303</v>
      </c>
      <c r="AC1733">
        <v>11.69</v>
      </c>
      <c r="AD1733" t="s">
        <v>10140</v>
      </c>
      <c r="AE1733" t="s">
        <v>10141</v>
      </c>
      <c r="AF1733" t="s">
        <v>10140</v>
      </c>
      <c r="AG1733" t="s">
        <v>10141</v>
      </c>
      <c r="AH1733">
        <v>-1.43</v>
      </c>
      <c r="AI1733">
        <v>-1.83</v>
      </c>
      <c r="AJ1733">
        <v>14.5</v>
      </c>
      <c r="AK1733">
        <v>49.75</v>
      </c>
      <c r="AL1733">
        <v>-1</v>
      </c>
      <c r="AM1733">
        <v>-0.21</v>
      </c>
      <c r="AN1733">
        <v>-1.63</v>
      </c>
      <c r="AO1733">
        <v>2.54</v>
      </c>
      <c r="AP1733">
        <v>-17.12</v>
      </c>
    </row>
    <row r="1734" spans="1:42">
      <c r="A1734">
        <v>1733</v>
      </c>
      <c r="B1734" t="str">
        <f>"300593"</f>
        <v>300593</v>
      </c>
      <c r="C1734" t="s">
        <v>10142</v>
      </c>
      <c r="D1734">
        <v>16.97</v>
      </c>
      <c r="E1734">
        <v>-2.47</v>
      </c>
      <c r="F1734">
        <v>-0.43</v>
      </c>
      <c r="G1734" t="s">
        <v>6113</v>
      </c>
      <c r="H1734">
        <v>579</v>
      </c>
      <c r="I1734">
        <v>16.97</v>
      </c>
      <c r="J1734">
        <v>16.98</v>
      </c>
      <c r="K1734" t="s">
        <v>10106</v>
      </c>
      <c r="L1734">
        <v>1.51</v>
      </c>
      <c r="M1734" t="s">
        <v>46</v>
      </c>
      <c r="N1734" t="s">
        <v>3436</v>
      </c>
      <c r="O1734">
        <v>17.38</v>
      </c>
      <c r="P1734">
        <v>16.93</v>
      </c>
      <c r="Q1734">
        <v>17.3</v>
      </c>
      <c r="R1734">
        <v>17.4</v>
      </c>
      <c r="S1734">
        <v>2.59</v>
      </c>
      <c r="T1734">
        <v>1.1</v>
      </c>
      <c r="U1734">
        <v>53.17</v>
      </c>
      <c r="V1734">
        <v>956</v>
      </c>
      <c r="W1734">
        <v>17.04</v>
      </c>
      <c r="X1734" t="s">
        <v>1578</v>
      </c>
      <c r="Y1734" t="s">
        <v>314</v>
      </c>
      <c r="Z1734">
        <v>1.88</v>
      </c>
      <c r="AA1734">
        <v>179</v>
      </c>
      <c r="AB1734">
        <v>67</v>
      </c>
      <c r="AC1734">
        <v>2.95</v>
      </c>
      <c r="AD1734" t="s">
        <v>10143</v>
      </c>
      <c r="AE1734" t="s">
        <v>10144</v>
      </c>
      <c r="AF1734" t="s">
        <v>10145</v>
      </c>
      <c r="AG1734" t="s">
        <v>10146</v>
      </c>
      <c r="AH1734">
        <v>-3.52</v>
      </c>
      <c r="AI1734">
        <v>-2.81</v>
      </c>
      <c r="AJ1734">
        <v>4.94</v>
      </c>
      <c r="AK1734">
        <v>8.38</v>
      </c>
      <c r="AL1734">
        <v>-2</v>
      </c>
      <c r="AM1734">
        <v>-2.47</v>
      </c>
      <c r="AN1734">
        <v>-47.91</v>
      </c>
      <c r="AO1734">
        <v>2.66</v>
      </c>
      <c r="AP1734">
        <v>-51.82</v>
      </c>
    </row>
    <row r="1735" spans="1:42">
      <c r="A1735">
        <v>1734</v>
      </c>
      <c r="B1735" t="str">
        <f>"301520"</f>
        <v>301520</v>
      </c>
      <c r="C1735" t="s">
        <v>10147</v>
      </c>
      <c r="D1735">
        <v>58.33</v>
      </c>
      <c r="E1735">
        <v>-0.98</v>
      </c>
      <c r="F1735">
        <v>-0.58</v>
      </c>
      <c r="G1735" t="s">
        <v>2877</v>
      </c>
      <c r="H1735">
        <v>201</v>
      </c>
      <c r="I1735">
        <v>58.33</v>
      </c>
      <c r="J1735">
        <v>58.34</v>
      </c>
      <c r="K1735" t="s">
        <v>10106</v>
      </c>
      <c r="L1735">
        <v>12.54</v>
      </c>
      <c r="M1735" t="s">
        <v>46</v>
      </c>
      <c r="N1735" t="s">
        <v>5940</v>
      </c>
      <c r="O1735">
        <v>58.91</v>
      </c>
      <c r="P1735">
        <v>57.13</v>
      </c>
      <c r="Q1735">
        <v>58.91</v>
      </c>
      <c r="R1735">
        <v>58.91</v>
      </c>
      <c r="S1735">
        <v>3.02</v>
      </c>
      <c r="T1735">
        <v>0.73</v>
      </c>
      <c r="U1735">
        <v>84.28</v>
      </c>
      <c r="V1735">
        <v>214</v>
      </c>
      <c r="W1735">
        <v>57.9</v>
      </c>
      <c r="X1735" t="s">
        <v>2615</v>
      </c>
      <c r="Y1735">
        <v>9776</v>
      </c>
      <c r="Z1735">
        <v>1.03</v>
      </c>
      <c r="AA1735">
        <v>167</v>
      </c>
      <c r="AB1735">
        <v>1</v>
      </c>
      <c r="AC1735">
        <v>2.71</v>
      </c>
      <c r="AD1735" t="s">
        <v>9889</v>
      </c>
      <c r="AE1735" t="s">
        <v>10148</v>
      </c>
      <c r="AF1735" t="s">
        <v>10149</v>
      </c>
      <c r="AG1735" t="s">
        <v>10150</v>
      </c>
      <c r="AH1735">
        <v>-5.28</v>
      </c>
      <c r="AI1735">
        <v>-6.78</v>
      </c>
      <c r="AJ1735">
        <v>41.41</v>
      </c>
      <c r="AK1735">
        <v>97.97</v>
      </c>
      <c r="AL1735">
        <v>-2</v>
      </c>
      <c r="AM1735">
        <v>-0.98</v>
      </c>
      <c r="AN1735">
        <v>-14.07</v>
      </c>
      <c r="AO1735">
        <v>-5.08</v>
      </c>
      <c r="AP1735">
        <v>-14.07</v>
      </c>
    </row>
    <row r="1736" spans="1:42">
      <c r="A1736">
        <v>1735</v>
      </c>
      <c r="B1736" t="str">
        <f>"600479"</f>
        <v>600479</v>
      </c>
      <c r="C1736" t="s">
        <v>10151</v>
      </c>
      <c r="D1736">
        <v>11.56</v>
      </c>
      <c r="E1736">
        <v>0.52</v>
      </c>
      <c r="F1736">
        <v>0.06</v>
      </c>
      <c r="G1736" t="s">
        <v>6550</v>
      </c>
      <c r="H1736">
        <v>624</v>
      </c>
      <c r="I1736">
        <v>11.56</v>
      </c>
      <c r="J1736">
        <v>11.57</v>
      </c>
      <c r="K1736" t="s">
        <v>10106</v>
      </c>
      <c r="L1736">
        <v>2.37</v>
      </c>
      <c r="M1736" t="s">
        <v>46</v>
      </c>
      <c r="N1736" t="s">
        <v>2909</v>
      </c>
      <c r="O1736">
        <v>11.73</v>
      </c>
      <c r="P1736">
        <v>11.45</v>
      </c>
      <c r="Q1736">
        <v>11.5</v>
      </c>
      <c r="R1736">
        <v>11.5</v>
      </c>
      <c r="S1736">
        <v>2.43</v>
      </c>
      <c r="T1736">
        <v>0.52</v>
      </c>
      <c r="U1736">
        <v>0.46</v>
      </c>
      <c r="V1736">
        <v>8</v>
      </c>
      <c r="W1736">
        <v>11.57</v>
      </c>
      <c r="X1736" t="s">
        <v>944</v>
      </c>
      <c r="Y1736" t="s">
        <v>7481</v>
      </c>
      <c r="Z1736">
        <v>0.88</v>
      </c>
      <c r="AA1736">
        <v>33</v>
      </c>
      <c r="AB1736">
        <v>119</v>
      </c>
      <c r="AC1736">
        <v>2.18</v>
      </c>
      <c r="AD1736" t="s">
        <v>10152</v>
      </c>
      <c r="AE1736" t="s">
        <v>10153</v>
      </c>
      <c r="AF1736" t="s">
        <v>8840</v>
      </c>
      <c r="AG1736" t="s">
        <v>10154</v>
      </c>
      <c r="AH1736">
        <v>-1.03</v>
      </c>
      <c r="AI1736">
        <v>-1.7</v>
      </c>
      <c r="AJ1736">
        <v>7.54</v>
      </c>
      <c r="AK1736">
        <v>25.24</v>
      </c>
      <c r="AL1736">
        <v>2</v>
      </c>
      <c r="AM1736">
        <v>0.52</v>
      </c>
      <c r="AN1736">
        <v>24.97</v>
      </c>
      <c r="AO1736">
        <v>4.33</v>
      </c>
      <c r="AP1736">
        <v>9.26</v>
      </c>
    </row>
    <row r="1737" spans="1:42">
      <c r="A1737">
        <v>1736</v>
      </c>
      <c r="B1737" t="str">
        <f>"300025"</f>
        <v>300025</v>
      </c>
      <c r="C1737" t="s">
        <v>10155</v>
      </c>
      <c r="D1737">
        <v>10.52</v>
      </c>
      <c r="E1737">
        <v>2.73</v>
      </c>
      <c r="F1737">
        <v>0.28</v>
      </c>
      <c r="G1737" t="s">
        <v>1438</v>
      </c>
      <c r="H1737">
        <v>792</v>
      </c>
      <c r="I1737">
        <v>10.52</v>
      </c>
      <c r="J1737">
        <v>10.53</v>
      </c>
      <c r="K1737" t="s">
        <v>10106</v>
      </c>
      <c r="L1737">
        <v>2.55</v>
      </c>
      <c r="M1737" t="s">
        <v>46</v>
      </c>
      <c r="N1737" t="s">
        <v>6625</v>
      </c>
      <c r="O1737">
        <v>10.56</v>
      </c>
      <c r="P1737">
        <v>10.15</v>
      </c>
      <c r="Q1737">
        <v>10.24</v>
      </c>
      <c r="R1737">
        <v>10.24</v>
      </c>
      <c r="S1737">
        <v>4</v>
      </c>
      <c r="T1737">
        <v>1.07</v>
      </c>
      <c r="U1737">
        <v>-18.7</v>
      </c>
      <c r="V1737">
        <v>-1063</v>
      </c>
      <c r="W1737">
        <v>10.39</v>
      </c>
      <c r="X1737" t="s">
        <v>944</v>
      </c>
      <c r="Y1737" t="s">
        <v>753</v>
      </c>
      <c r="Z1737">
        <v>0.72</v>
      </c>
      <c r="AA1737">
        <v>450</v>
      </c>
      <c r="AB1737">
        <v>682</v>
      </c>
      <c r="AC1737">
        <v>7.81</v>
      </c>
      <c r="AD1737" t="s">
        <v>10156</v>
      </c>
      <c r="AE1737" t="s">
        <v>7931</v>
      </c>
      <c r="AF1737" t="s">
        <v>4814</v>
      </c>
      <c r="AG1737" t="s">
        <v>10157</v>
      </c>
      <c r="AH1737">
        <v>2.33</v>
      </c>
      <c r="AI1737">
        <v>1.45</v>
      </c>
      <c r="AJ1737">
        <v>6.73</v>
      </c>
      <c r="AK1737">
        <v>14.45</v>
      </c>
      <c r="AL1737">
        <v>1</v>
      </c>
      <c r="AM1737">
        <v>2.73</v>
      </c>
      <c r="AN1737">
        <v>121.47</v>
      </c>
      <c r="AO1737">
        <v>17.67</v>
      </c>
      <c r="AP1737">
        <v>95.18</v>
      </c>
    </row>
    <row r="1738" spans="1:42">
      <c r="A1738">
        <v>1737</v>
      </c>
      <c r="B1738" t="str">
        <f>"002976"</f>
        <v>002976</v>
      </c>
      <c r="C1738" t="s">
        <v>10158</v>
      </c>
      <c r="D1738">
        <v>34.71</v>
      </c>
      <c r="E1738">
        <v>-0.54</v>
      </c>
      <c r="F1738">
        <v>-0.19</v>
      </c>
      <c r="G1738" t="s">
        <v>3457</v>
      </c>
      <c r="H1738">
        <v>717</v>
      </c>
      <c r="I1738">
        <v>34.71</v>
      </c>
      <c r="J1738">
        <v>34.72</v>
      </c>
      <c r="K1738" t="s">
        <v>10106</v>
      </c>
      <c r="L1738">
        <v>5.16</v>
      </c>
      <c r="M1738" t="s">
        <v>46</v>
      </c>
      <c r="N1738" t="s">
        <v>517</v>
      </c>
      <c r="O1738">
        <v>35.09</v>
      </c>
      <c r="P1738">
        <v>34.06</v>
      </c>
      <c r="Q1738">
        <v>35</v>
      </c>
      <c r="R1738">
        <v>34.9</v>
      </c>
      <c r="S1738">
        <v>2.95</v>
      </c>
      <c r="T1738">
        <v>0.48</v>
      </c>
      <c r="U1738">
        <v>-3.77</v>
      </c>
      <c r="V1738">
        <v>-38</v>
      </c>
      <c r="W1738">
        <v>34.41</v>
      </c>
      <c r="X1738" t="s">
        <v>2877</v>
      </c>
      <c r="Y1738" t="s">
        <v>1384</v>
      </c>
      <c r="Z1738">
        <v>1.47</v>
      </c>
      <c r="AA1738">
        <v>5</v>
      </c>
      <c r="AB1738">
        <v>6</v>
      </c>
      <c r="AC1738">
        <v>5.06</v>
      </c>
      <c r="AD1738" t="s">
        <v>10159</v>
      </c>
      <c r="AE1738" t="s">
        <v>10160</v>
      </c>
      <c r="AF1738" t="s">
        <v>10161</v>
      </c>
      <c r="AG1738" t="s">
        <v>10162</v>
      </c>
      <c r="AH1738">
        <v>-3.56</v>
      </c>
      <c r="AI1738">
        <v>5.47</v>
      </c>
      <c r="AJ1738">
        <v>21.81</v>
      </c>
      <c r="AK1738">
        <v>58.87</v>
      </c>
      <c r="AL1738">
        <v>-3</v>
      </c>
      <c r="AM1738">
        <v>-0.54</v>
      </c>
      <c r="AN1738">
        <v>53.38</v>
      </c>
      <c r="AO1738">
        <v>-3.21</v>
      </c>
      <c r="AP1738">
        <v>32.94</v>
      </c>
    </row>
    <row r="1739" spans="1:42">
      <c r="A1739">
        <v>1738</v>
      </c>
      <c r="B1739" t="str">
        <f>"300376"</f>
        <v>300376</v>
      </c>
      <c r="C1739" t="s">
        <v>10163</v>
      </c>
      <c r="D1739">
        <v>6.46</v>
      </c>
      <c r="E1739">
        <v>0.94</v>
      </c>
      <c r="F1739">
        <v>0.06</v>
      </c>
      <c r="G1739" t="s">
        <v>1196</v>
      </c>
      <c r="H1739">
        <v>2505</v>
      </c>
      <c r="I1739">
        <v>6.45</v>
      </c>
      <c r="J1739">
        <v>6.46</v>
      </c>
      <c r="K1739" t="s">
        <v>10106</v>
      </c>
      <c r="L1739">
        <v>0.77</v>
      </c>
      <c r="M1739" t="s">
        <v>46</v>
      </c>
      <c r="N1739" t="s">
        <v>10164</v>
      </c>
      <c r="O1739">
        <v>6.48</v>
      </c>
      <c r="P1739">
        <v>6.35</v>
      </c>
      <c r="Q1739">
        <v>6.41</v>
      </c>
      <c r="R1739">
        <v>6.4</v>
      </c>
      <c r="S1739">
        <v>2.03</v>
      </c>
      <c r="T1739">
        <v>0.67</v>
      </c>
      <c r="U1739">
        <v>-2.7</v>
      </c>
      <c r="V1739">
        <v>-540</v>
      </c>
      <c r="W1739">
        <v>6.42</v>
      </c>
      <c r="X1739" t="s">
        <v>3275</v>
      </c>
      <c r="Y1739" t="s">
        <v>5002</v>
      </c>
      <c r="Z1739">
        <v>1.02</v>
      </c>
      <c r="AA1739">
        <v>1732</v>
      </c>
      <c r="AB1739">
        <v>506</v>
      </c>
      <c r="AC1739">
        <v>2.17</v>
      </c>
      <c r="AD1739" t="s">
        <v>2295</v>
      </c>
      <c r="AE1739" t="s">
        <v>9487</v>
      </c>
      <c r="AF1739" t="s">
        <v>10165</v>
      </c>
      <c r="AG1739" t="s">
        <v>10166</v>
      </c>
      <c r="AH1739">
        <v>-1.97</v>
      </c>
      <c r="AI1739">
        <v>-0.46</v>
      </c>
      <c r="AJ1739">
        <v>4.54</v>
      </c>
      <c r="AK1739">
        <v>6.54</v>
      </c>
      <c r="AL1739">
        <v>1</v>
      </c>
      <c r="AM1739">
        <v>0.94</v>
      </c>
      <c r="AN1739">
        <v>-5.14</v>
      </c>
      <c r="AO1739">
        <v>0.47</v>
      </c>
      <c r="AP1739">
        <v>-13.06</v>
      </c>
    </row>
    <row r="1740" spans="1:42">
      <c r="A1740">
        <v>1739</v>
      </c>
      <c r="B1740" t="str">
        <f>"300377"</f>
        <v>300377</v>
      </c>
      <c r="C1740" t="s">
        <v>10167</v>
      </c>
      <c r="D1740">
        <v>9.04</v>
      </c>
      <c r="E1740">
        <v>3.08</v>
      </c>
      <c r="F1740">
        <v>0.27</v>
      </c>
      <c r="G1740" t="s">
        <v>446</v>
      </c>
      <c r="H1740">
        <v>1722</v>
      </c>
      <c r="I1740">
        <v>9.04</v>
      </c>
      <c r="J1740">
        <v>9.05</v>
      </c>
      <c r="K1740" t="s">
        <v>10106</v>
      </c>
      <c r="L1740">
        <v>1.91</v>
      </c>
      <c r="M1740" t="s">
        <v>46</v>
      </c>
      <c r="N1740" t="s">
        <v>3436</v>
      </c>
      <c r="O1740">
        <v>9.09</v>
      </c>
      <c r="P1740">
        <v>8.74</v>
      </c>
      <c r="Q1740">
        <v>8.78</v>
      </c>
      <c r="R1740">
        <v>8.77</v>
      </c>
      <c r="S1740">
        <v>3.99</v>
      </c>
      <c r="T1740">
        <v>1.18</v>
      </c>
      <c r="U1740">
        <v>0.15</v>
      </c>
      <c r="V1740">
        <v>15</v>
      </c>
      <c r="W1740">
        <v>8.95</v>
      </c>
      <c r="X1740" t="s">
        <v>744</v>
      </c>
      <c r="Y1740" t="s">
        <v>3041</v>
      </c>
      <c r="Z1740">
        <v>0.73</v>
      </c>
      <c r="AA1740">
        <v>268</v>
      </c>
      <c r="AB1740">
        <v>725</v>
      </c>
      <c r="AC1740">
        <v>2.32</v>
      </c>
      <c r="AD1740" t="s">
        <v>1002</v>
      </c>
      <c r="AE1740" t="s">
        <v>8158</v>
      </c>
      <c r="AF1740" t="s">
        <v>10168</v>
      </c>
      <c r="AG1740" t="s">
        <v>10169</v>
      </c>
      <c r="AH1740">
        <v>0.78</v>
      </c>
      <c r="AI1740">
        <v>-0.99</v>
      </c>
      <c r="AJ1740">
        <v>4.55</v>
      </c>
      <c r="AK1740">
        <v>10.03</v>
      </c>
      <c r="AL1740">
        <v>1</v>
      </c>
      <c r="AM1740">
        <v>3.08</v>
      </c>
      <c r="AN1740">
        <v>11.47</v>
      </c>
      <c r="AO1740">
        <v>6.23</v>
      </c>
      <c r="AP1740">
        <v>2.61</v>
      </c>
    </row>
    <row r="1741" spans="1:42">
      <c r="A1741">
        <v>1740</v>
      </c>
      <c r="B1741" t="str">
        <f>"300400"</f>
        <v>300400</v>
      </c>
      <c r="C1741" t="s">
        <v>10170</v>
      </c>
      <c r="D1741">
        <v>18.16</v>
      </c>
      <c r="E1741">
        <v>1.68</v>
      </c>
      <c r="F1741">
        <v>0.3</v>
      </c>
      <c r="G1741" t="s">
        <v>10064</v>
      </c>
      <c r="H1741">
        <v>796</v>
      </c>
      <c r="I1741">
        <v>18.16</v>
      </c>
      <c r="J1741">
        <v>18.17</v>
      </c>
      <c r="K1741" t="s">
        <v>10106</v>
      </c>
      <c r="L1741">
        <v>2.64</v>
      </c>
      <c r="M1741" t="s">
        <v>46</v>
      </c>
      <c r="N1741" t="s">
        <v>10171</v>
      </c>
      <c r="O1741">
        <v>18.22</v>
      </c>
      <c r="P1741">
        <v>17.66</v>
      </c>
      <c r="Q1741">
        <v>17.85</v>
      </c>
      <c r="R1741">
        <v>17.86</v>
      </c>
      <c r="S1741">
        <v>3.14</v>
      </c>
      <c r="T1741">
        <v>0.75</v>
      </c>
      <c r="U1741">
        <v>3.9</v>
      </c>
      <c r="V1741">
        <v>58</v>
      </c>
      <c r="W1741">
        <v>18.04</v>
      </c>
      <c r="X1741" t="s">
        <v>4914</v>
      </c>
      <c r="Y1741" t="s">
        <v>4761</v>
      </c>
      <c r="Z1741">
        <v>0.96</v>
      </c>
      <c r="AA1741">
        <v>42</v>
      </c>
      <c r="AB1741">
        <v>19</v>
      </c>
      <c r="AC1741">
        <v>5.51</v>
      </c>
      <c r="AD1741" t="s">
        <v>10172</v>
      </c>
      <c r="AE1741" t="s">
        <v>10173</v>
      </c>
      <c r="AF1741" t="s">
        <v>10174</v>
      </c>
      <c r="AG1741" t="s">
        <v>10175</v>
      </c>
      <c r="AH1741">
        <v>0.28</v>
      </c>
      <c r="AI1741">
        <v>-5.27</v>
      </c>
      <c r="AJ1741">
        <v>8.17</v>
      </c>
      <c r="AK1741">
        <v>20.15</v>
      </c>
      <c r="AL1741">
        <v>1</v>
      </c>
      <c r="AM1741">
        <v>1.68</v>
      </c>
      <c r="AN1741">
        <v>10.6</v>
      </c>
      <c r="AO1741">
        <v>5.77</v>
      </c>
      <c r="AP1741">
        <v>8.74</v>
      </c>
    </row>
    <row r="1742" spans="1:42">
      <c r="A1742">
        <v>1741</v>
      </c>
      <c r="B1742" t="str">
        <f>"603036"</f>
        <v>603036</v>
      </c>
      <c r="C1742" t="s">
        <v>10176</v>
      </c>
      <c r="D1742">
        <v>15.56</v>
      </c>
      <c r="E1742">
        <v>-2.63</v>
      </c>
      <c r="F1742">
        <v>-0.42</v>
      </c>
      <c r="G1742" t="s">
        <v>3158</v>
      </c>
      <c r="H1742">
        <v>575</v>
      </c>
      <c r="I1742">
        <v>15.55</v>
      </c>
      <c r="J1742">
        <v>15.56</v>
      </c>
      <c r="K1742" t="s">
        <v>10106</v>
      </c>
      <c r="L1742">
        <v>3.58</v>
      </c>
      <c r="M1742" t="s">
        <v>46</v>
      </c>
      <c r="N1742" t="s">
        <v>5632</v>
      </c>
      <c r="O1742">
        <v>15.88</v>
      </c>
      <c r="P1742">
        <v>15.31</v>
      </c>
      <c r="Q1742">
        <v>15.83</v>
      </c>
      <c r="R1742">
        <v>15.98</v>
      </c>
      <c r="S1742">
        <v>3.57</v>
      </c>
      <c r="T1742">
        <v>0.9</v>
      </c>
      <c r="U1742">
        <v>-29.45</v>
      </c>
      <c r="V1742">
        <v>-253</v>
      </c>
      <c r="W1742">
        <v>15.54</v>
      </c>
      <c r="X1742" t="s">
        <v>5767</v>
      </c>
      <c r="Y1742" t="s">
        <v>10177</v>
      </c>
      <c r="Z1742">
        <v>1.29</v>
      </c>
      <c r="AA1742">
        <v>25</v>
      </c>
      <c r="AB1742">
        <v>226</v>
      </c>
      <c r="AC1742">
        <v>2.6</v>
      </c>
      <c r="AD1742" t="s">
        <v>10178</v>
      </c>
      <c r="AE1742" t="s">
        <v>5327</v>
      </c>
      <c r="AF1742" t="s">
        <v>10178</v>
      </c>
      <c r="AG1742" t="s">
        <v>5327</v>
      </c>
      <c r="AH1742">
        <v>7.38</v>
      </c>
      <c r="AI1742">
        <v>9.12</v>
      </c>
      <c r="AJ1742">
        <v>15.43</v>
      </c>
      <c r="AK1742">
        <v>23.52</v>
      </c>
      <c r="AL1742">
        <v>-1</v>
      </c>
      <c r="AM1742">
        <v>-2.63</v>
      </c>
      <c r="AN1742">
        <v>52.1</v>
      </c>
      <c r="AO1742">
        <v>20.15</v>
      </c>
      <c r="AP1742">
        <v>52.85</v>
      </c>
    </row>
    <row r="1743" spans="1:42">
      <c r="A1743">
        <v>1742</v>
      </c>
      <c r="B1743" t="str">
        <f>"300206"</f>
        <v>300206</v>
      </c>
      <c r="C1743" t="s">
        <v>10179</v>
      </c>
      <c r="D1743">
        <v>11.06</v>
      </c>
      <c r="E1743">
        <v>1.65</v>
      </c>
      <c r="F1743">
        <v>0.18</v>
      </c>
      <c r="G1743" t="s">
        <v>740</v>
      </c>
      <c r="H1743">
        <v>1229</v>
      </c>
      <c r="I1743">
        <v>11.06</v>
      </c>
      <c r="J1743">
        <v>11.07</v>
      </c>
      <c r="K1743" t="s">
        <v>7102</v>
      </c>
      <c r="L1743">
        <v>3.05</v>
      </c>
      <c r="M1743" t="s">
        <v>46</v>
      </c>
      <c r="N1743" t="s">
        <v>208</v>
      </c>
      <c r="O1743">
        <v>11.12</v>
      </c>
      <c r="P1743">
        <v>10.87</v>
      </c>
      <c r="Q1743">
        <v>10.89</v>
      </c>
      <c r="R1743">
        <v>10.88</v>
      </c>
      <c r="S1743">
        <v>2.3</v>
      </c>
      <c r="T1743">
        <v>0.45</v>
      </c>
      <c r="U1743">
        <v>-46.95</v>
      </c>
      <c r="V1743">
        <v>-1683</v>
      </c>
      <c r="W1743">
        <v>11</v>
      </c>
      <c r="X1743" t="s">
        <v>1988</v>
      </c>
      <c r="Y1743" t="s">
        <v>9059</v>
      </c>
      <c r="Z1743">
        <v>1.02</v>
      </c>
      <c r="AA1743">
        <v>129</v>
      </c>
      <c r="AB1743">
        <v>796</v>
      </c>
      <c r="AC1743">
        <v>3.25</v>
      </c>
      <c r="AD1743" t="s">
        <v>10180</v>
      </c>
      <c r="AE1743" t="s">
        <v>10181</v>
      </c>
      <c r="AF1743" t="s">
        <v>10182</v>
      </c>
      <c r="AG1743" t="s">
        <v>10183</v>
      </c>
      <c r="AH1743">
        <v>-1.86</v>
      </c>
      <c r="AI1743">
        <v>-3.15</v>
      </c>
      <c r="AJ1743">
        <v>10.03</v>
      </c>
      <c r="AK1743">
        <v>37.08</v>
      </c>
      <c r="AL1743">
        <v>1</v>
      </c>
      <c r="AM1743">
        <v>1.65</v>
      </c>
      <c r="AN1743">
        <v>-6.43</v>
      </c>
      <c r="AO1743">
        <v>3.85</v>
      </c>
      <c r="AP1743">
        <v>-16.21</v>
      </c>
    </row>
    <row r="1744" spans="1:42">
      <c r="A1744">
        <v>1743</v>
      </c>
      <c r="B1744" t="str">
        <f>"301302"</f>
        <v>301302</v>
      </c>
      <c r="C1744" t="s">
        <v>10184</v>
      </c>
      <c r="D1744">
        <v>26.08</v>
      </c>
      <c r="E1744">
        <v>3</v>
      </c>
      <c r="F1744">
        <v>0.76</v>
      </c>
      <c r="G1744" t="s">
        <v>2559</v>
      </c>
      <c r="H1744">
        <v>341</v>
      </c>
      <c r="I1744">
        <v>26.08</v>
      </c>
      <c r="J1744">
        <v>26.09</v>
      </c>
      <c r="K1744" t="s">
        <v>7102</v>
      </c>
      <c r="L1744">
        <v>5.15</v>
      </c>
      <c r="M1744" t="s">
        <v>46</v>
      </c>
      <c r="N1744" t="s">
        <v>4489</v>
      </c>
      <c r="O1744">
        <v>26.2</v>
      </c>
      <c r="P1744">
        <v>25.05</v>
      </c>
      <c r="Q1744">
        <v>25.22</v>
      </c>
      <c r="R1744">
        <v>25.32</v>
      </c>
      <c r="S1744">
        <v>4.54</v>
      </c>
      <c r="T1744">
        <v>0.62</v>
      </c>
      <c r="U1744">
        <v>-14.93</v>
      </c>
      <c r="V1744">
        <v>-20</v>
      </c>
      <c r="W1744">
        <v>25.62</v>
      </c>
      <c r="X1744" t="s">
        <v>2924</v>
      </c>
      <c r="Y1744" t="s">
        <v>48</v>
      </c>
      <c r="Z1744">
        <v>0.79</v>
      </c>
      <c r="AA1744">
        <v>12</v>
      </c>
      <c r="AB1744">
        <v>4</v>
      </c>
      <c r="AC1744">
        <v>1.76</v>
      </c>
      <c r="AD1744" t="s">
        <v>3887</v>
      </c>
      <c r="AE1744" t="s">
        <v>9021</v>
      </c>
      <c r="AF1744" t="s">
        <v>10185</v>
      </c>
      <c r="AG1744" t="s">
        <v>10186</v>
      </c>
      <c r="AH1744">
        <v>1.09</v>
      </c>
      <c r="AI1744">
        <v>-14.63</v>
      </c>
      <c r="AJ1744">
        <v>13.12</v>
      </c>
      <c r="AK1744">
        <v>46.87</v>
      </c>
      <c r="AL1744">
        <v>1</v>
      </c>
      <c r="AM1744">
        <v>3</v>
      </c>
      <c r="AN1744">
        <v>-38.91</v>
      </c>
      <c r="AO1744">
        <v>-9.41</v>
      </c>
      <c r="AP1744">
        <v>-47.77</v>
      </c>
    </row>
    <row r="1745" spans="1:42">
      <c r="A1745">
        <v>1744</v>
      </c>
      <c r="B1745" t="str">
        <f>"300699"</f>
        <v>300699</v>
      </c>
      <c r="C1745" t="s">
        <v>10187</v>
      </c>
      <c r="D1745">
        <v>25.07</v>
      </c>
      <c r="E1745">
        <v>0.68</v>
      </c>
      <c r="F1745">
        <v>0.17</v>
      </c>
      <c r="G1745" t="s">
        <v>4827</v>
      </c>
      <c r="H1745">
        <v>664</v>
      </c>
      <c r="I1745">
        <v>25.07</v>
      </c>
      <c r="J1745">
        <v>25.08</v>
      </c>
      <c r="K1745" t="s">
        <v>7102</v>
      </c>
      <c r="L1745">
        <v>0.56</v>
      </c>
      <c r="M1745" t="s">
        <v>46</v>
      </c>
      <c r="N1745" t="s">
        <v>823</v>
      </c>
      <c r="O1745">
        <v>25.26</v>
      </c>
      <c r="P1745">
        <v>24.72</v>
      </c>
      <c r="Q1745">
        <v>24.91</v>
      </c>
      <c r="R1745">
        <v>24.9</v>
      </c>
      <c r="S1745">
        <v>2.17</v>
      </c>
      <c r="T1745">
        <v>1.05</v>
      </c>
      <c r="U1745">
        <v>-67.6</v>
      </c>
      <c r="V1745">
        <v>-2103</v>
      </c>
      <c r="W1745">
        <v>25</v>
      </c>
      <c r="X1745" t="s">
        <v>7210</v>
      </c>
      <c r="Y1745" t="s">
        <v>9766</v>
      </c>
      <c r="Z1745">
        <v>0.86</v>
      </c>
      <c r="AA1745">
        <v>307</v>
      </c>
      <c r="AB1745">
        <v>285</v>
      </c>
      <c r="AC1745">
        <v>4</v>
      </c>
      <c r="AD1745" t="s">
        <v>10188</v>
      </c>
      <c r="AE1745" t="s">
        <v>10189</v>
      </c>
      <c r="AF1745" t="s">
        <v>10190</v>
      </c>
      <c r="AG1745" t="s">
        <v>8222</v>
      </c>
      <c r="AH1745">
        <v>-1.07</v>
      </c>
      <c r="AI1745">
        <v>-2.75</v>
      </c>
      <c r="AJ1745">
        <v>1.6</v>
      </c>
      <c r="AK1745">
        <v>3.22</v>
      </c>
      <c r="AL1745">
        <v>1</v>
      </c>
      <c r="AM1745">
        <v>0.68</v>
      </c>
      <c r="AN1745">
        <v>-43.94</v>
      </c>
      <c r="AO1745">
        <v>-0.48</v>
      </c>
      <c r="AP1745">
        <v>-45.31</v>
      </c>
    </row>
    <row r="1746" spans="1:42">
      <c r="A1746">
        <v>1745</v>
      </c>
      <c r="B1746" t="str">
        <f>"000768"</f>
        <v>000768</v>
      </c>
      <c r="C1746" t="s">
        <v>10191</v>
      </c>
      <c r="D1746">
        <v>21.96</v>
      </c>
      <c r="E1746">
        <v>0.37</v>
      </c>
      <c r="F1746">
        <v>0.08</v>
      </c>
      <c r="G1746" t="s">
        <v>3915</v>
      </c>
      <c r="H1746">
        <v>721</v>
      </c>
      <c r="I1746">
        <v>21.96</v>
      </c>
      <c r="J1746">
        <v>21.97</v>
      </c>
      <c r="K1746" t="s">
        <v>7102</v>
      </c>
      <c r="L1746">
        <v>0.19</v>
      </c>
      <c r="M1746" t="s">
        <v>46</v>
      </c>
      <c r="N1746" t="s">
        <v>10192</v>
      </c>
      <c r="O1746">
        <v>22.03</v>
      </c>
      <c r="P1746">
        <v>21.8</v>
      </c>
      <c r="Q1746">
        <v>21.9</v>
      </c>
      <c r="R1746">
        <v>21.88</v>
      </c>
      <c r="S1746">
        <v>1.05</v>
      </c>
      <c r="T1746">
        <v>0.7</v>
      </c>
      <c r="U1746">
        <v>-23.25</v>
      </c>
      <c r="V1746">
        <v>-488</v>
      </c>
      <c r="W1746">
        <v>21.9</v>
      </c>
      <c r="X1746" t="s">
        <v>9272</v>
      </c>
      <c r="Y1746" t="s">
        <v>7485</v>
      </c>
      <c r="Z1746">
        <v>0.88</v>
      </c>
      <c r="AA1746">
        <v>4</v>
      </c>
      <c r="AB1746">
        <v>484</v>
      </c>
      <c r="AC1746">
        <v>3.65</v>
      </c>
      <c r="AD1746" t="s">
        <v>10193</v>
      </c>
      <c r="AE1746" t="s">
        <v>10194</v>
      </c>
      <c r="AF1746" t="s">
        <v>10195</v>
      </c>
      <c r="AG1746" t="s">
        <v>10196</v>
      </c>
      <c r="AH1746">
        <v>-1.3</v>
      </c>
      <c r="AI1746">
        <v>-2.92</v>
      </c>
      <c r="AJ1746">
        <v>0.81</v>
      </c>
      <c r="AK1746">
        <v>1.54</v>
      </c>
      <c r="AL1746">
        <v>1</v>
      </c>
      <c r="AM1746">
        <v>0.37</v>
      </c>
      <c r="AN1746">
        <v>-13.37</v>
      </c>
      <c r="AO1746">
        <v>0.6</v>
      </c>
      <c r="AP1746">
        <v>-16.85</v>
      </c>
    </row>
    <row r="1747" spans="1:42">
      <c r="A1747">
        <v>1746</v>
      </c>
      <c r="B1747" t="str">
        <f>"002389"</f>
        <v>002389</v>
      </c>
      <c r="C1747" t="s">
        <v>10197</v>
      </c>
      <c r="D1747">
        <v>19.28</v>
      </c>
      <c r="E1747">
        <v>1.05</v>
      </c>
      <c r="F1747">
        <v>0.2</v>
      </c>
      <c r="G1747" t="s">
        <v>4753</v>
      </c>
      <c r="H1747">
        <v>407</v>
      </c>
      <c r="I1747">
        <v>19.28</v>
      </c>
      <c r="J1747">
        <v>19.29</v>
      </c>
      <c r="K1747" t="s">
        <v>7102</v>
      </c>
      <c r="L1747">
        <v>0.6</v>
      </c>
      <c r="M1747" t="s">
        <v>46</v>
      </c>
      <c r="N1747" t="s">
        <v>392</v>
      </c>
      <c r="O1747">
        <v>19.34</v>
      </c>
      <c r="P1747">
        <v>18.98</v>
      </c>
      <c r="Q1747">
        <v>19.02</v>
      </c>
      <c r="R1747">
        <v>19.08</v>
      </c>
      <c r="S1747">
        <v>1.89</v>
      </c>
      <c r="T1747">
        <v>0.93</v>
      </c>
      <c r="U1747">
        <v>15.47</v>
      </c>
      <c r="V1747">
        <v>482</v>
      </c>
      <c r="W1747">
        <v>19.2</v>
      </c>
      <c r="X1747" t="s">
        <v>3116</v>
      </c>
      <c r="Y1747" t="s">
        <v>1044</v>
      </c>
      <c r="Z1747">
        <v>0.56</v>
      </c>
      <c r="AA1747">
        <v>200</v>
      </c>
      <c r="AB1747">
        <v>153</v>
      </c>
      <c r="AC1747">
        <v>2.41</v>
      </c>
      <c r="AD1747" t="s">
        <v>10198</v>
      </c>
      <c r="AE1747" t="s">
        <v>10199</v>
      </c>
      <c r="AF1747" t="s">
        <v>10200</v>
      </c>
      <c r="AG1747" t="s">
        <v>8306</v>
      </c>
      <c r="AH1747">
        <v>-1.23</v>
      </c>
      <c r="AI1747">
        <v>-2.97</v>
      </c>
      <c r="AJ1747">
        <v>2.25</v>
      </c>
      <c r="AK1747">
        <v>3.81</v>
      </c>
      <c r="AL1747">
        <v>1</v>
      </c>
      <c r="AM1747">
        <v>1.05</v>
      </c>
      <c r="AN1747">
        <v>-6</v>
      </c>
      <c r="AO1747">
        <v>-2.72</v>
      </c>
      <c r="AP1747">
        <v>-24.92</v>
      </c>
    </row>
    <row r="1748" spans="1:42">
      <c r="A1748">
        <v>1747</v>
      </c>
      <c r="B1748" t="str">
        <f>"002841"</f>
        <v>002841</v>
      </c>
      <c r="C1748" t="s">
        <v>10201</v>
      </c>
      <c r="D1748">
        <v>45.6</v>
      </c>
      <c r="E1748">
        <v>0.71</v>
      </c>
      <c r="F1748">
        <v>0.32</v>
      </c>
      <c r="G1748" t="s">
        <v>3110</v>
      </c>
      <c r="H1748">
        <v>139</v>
      </c>
      <c r="I1748">
        <v>45.59</v>
      </c>
      <c r="J1748">
        <v>45.6</v>
      </c>
      <c r="K1748" t="s">
        <v>7752</v>
      </c>
      <c r="L1748">
        <v>0.52</v>
      </c>
      <c r="M1748" t="s">
        <v>46</v>
      </c>
      <c r="N1748" t="s">
        <v>8179</v>
      </c>
      <c r="O1748">
        <v>45.97</v>
      </c>
      <c r="P1748">
        <v>44.45</v>
      </c>
      <c r="Q1748">
        <v>45.24</v>
      </c>
      <c r="R1748">
        <v>45.28</v>
      </c>
      <c r="S1748">
        <v>3.36</v>
      </c>
      <c r="T1748">
        <v>1.04</v>
      </c>
      <c r="U1748">
        <v>5.88</v>
      </c>
      <c r="V1748">
        <v>3</v>
      </c>
      <c r="W1748">
        <v>45.15</v>
      </c>
      <c r="X1748" t="s">
        <v>1154</v>
      </c>
      <c r="Y1748" t="s">
        <v>7656</v>
      </c>
      <c r="Z1748">
        <v>0.69</v>
      </c>
      <c r="AA1748">
        <v>5</v>
      </c>
      <c r="AB1748">
        <v>2</v>
      </c>
      <c r="AC1748">
        <v>2.59</v>
      </c>
      <c r="AD1748" t="s">
        <v>10202</v>
      </c>
      <c r="AE1748" t="s">
        <v>10203</v>
      </c>
      <c r="AF1748" t="s">
        <v>10204</v>
      </c>
      <c r="AG1748" t="s">
        <v>10205</v>
      </c>
      <c r="AH1748">
        <v>-1.19</v>
      </c>
      <c r="AI1748">
        <v>0.29</v>
      </c>
      <c r="AJ1748">
        <v>1.45</v>
      </c>
      <c r="AK1748">
        <v>3.02</v>
      </c>
      <c r="AL1748">
        <v>1</v>
      </c>
      <c r="AM1748">
        <v>0.71</v>
      </c>
      <c r="AN1748">
        <v>-21.37</v>
      </c>
      <c r="AO1748">
        <v>6.94</v>
      </c>
      <c r="AP1748">
        <v>-27.68</v>
      </c>
    </row>
    <row r="1749" spans="1:42">
      <c r="A1749">
        <v>1748</v>
      </c>
      <c r="B1749" t="str">
        <f>"688549"</f>
        <v>688549</v>
      </c>
      <c r="C1749" t="s">
        <v>10206</v>
      </c>
      <c r="D1749">
        <v>9.27</v>
      </c>
      <c r="E1749">
        <v>1.2</v>
      </c>
      <c r="F1749">
        <v>0.11</v>
      </c>
      <c r="G1749" t="s">
        <v>422</v>
      </c>
      <c r="H1749">
        <v>2343</v>
      </c>
      <c r="I1749">
        <v>9.26</v>
      </c>
      <c r="J1749">
        <v>9.27</v>
      </c>
      <c r="K1749" t="s">
        <v>7752</v>
      </c>
      <c r="L1749">
        <v>4.7</v>
      </c>
      <c r="M1749" t="s">
        <v>46</v>
      </c>
      <c r="N1749" t="s">
        <v>10207</v>
      </c>
      <c r="O1749">
        <v>9.38</v>
      </c>
      <c r="P1749">
        <v>9.08</v>
      </c>
      <c r="Q1749">
        <v>9.19</v>
      </c>
      <c r="R1749">
        <v>9.16</v>
      </c>
      <c r="S1749">
        <v>3.28</v>
      </c>
      <c r="T1749">
        <v>0.63</v>
      </c>
      <c r="U1749">
        <v>-6.64</v>
      </c>
      <c r="V1749">
        <v>-373</v>
      </c>
      <c r="W1749">
        <v>9.22</v>
      </c>
      <c r="X1749" t="s">
        <v>8539</v>
      </c>
      <c r="Y1749" t="s">
        <v>3090</v>
      </c>
      <c r="Z1749">
        <v>1.06</v>
      </c>
      <c r="AA1749">
        <v>1495</v>
      </c>
      <c r="AB1749">
        <v>826</v>
      </c>
      <c r="AC1749">
        <v>4.5</v>
      </c>
      <c r="AD1749" t="s">
        <v>10208</v>
      </c>
      <c r="AE1749" t="s">
        <v>10209</v>
      </c>
      <c r="AF1749" t="s">
        <v>10210</v>
      </c>
      <c r="AG1749" t="s">
        <v>10211</v>
      </c>
      <c r="AH1749">
        <v>-3.24</v>
      </c>
      <c r="AI1749">
        <v>-4.24</v>
      </c>
      <c r="AJ1749">
        <v>17.57</v>
      </c>
      <c r="AK1749">
        <v>41.87</v>
      </c>
      <c r="AL1749">
        <v>1</v>
      </c>
      <c r="AM1749">
        <v>1.2</v>
      </c>
      <c r="AN1749">
        <v>78.96</v>
      </c>
      <c r="AO1749">
        <v>0.54</v>
      </c>
      <c r="AP1749">
        <v>78.96</v>
      </c>
    </row>
    <row r="1750" spans="1:42">
      <c r="A1750">
        <v>1749</v>
      </c>
      <c r="B1750" t="str">
        <f>"601866"</f>
        <v>601866</v>
      </c>
      <c r="C1750" t="s">
        <v>10212</v>
      </c>
      <c r="D1750">
        <v>2.36</v>
      </c>
      <c r="E1750">
        <v>1.29</v>
      </c>
      <c r="F1750">
        <v>0.03</v>
      </c>
      <c r="G1750" t="s">
        <v>2657</v>
      </c>
      <c r="H1750">
        <v>3790</v>
      </c>
      <c r="I1750">
        <v>2.36</v>
      </c>
      <c r="J1750">
        <v>2.37</v>
      </c>
      <c r="K1750" t="s">
        <v>7752</v>
      </c>
      <c r="L1750">
        <v>0.58</v>
      </c>
      <c r="M1750" t="s">
        <v>46</v>
      </c>
      <c r="N1750" t="s">
        <v>10213</v>
      </c>
      <c r="O1750">
        <v>2.37</v>
      </c>
      <c r="P1750">
        <v>2.32</v>
      </c>
      <c r="Q1750">
        <v>2.33</v>
      </c>
      <c r="R1750">
        <v>2.33</v>
      </c>
      <c r="S1750">
        <v>2.15</v>
      </c>
      <c r="T1750">
        <v>1.89</v>
      </c>
      <c r="U1750">
        <v>-7.08</v>
      </c>
      <c r="V1750" t="s">
        <v>2540</v>
      </c>
      <c r="W1750">
        <v>2.35</v>
      </c>
      <c r="X1750" t="s">
        <v>1125</v>
      </c>
      <c r="Y1750" t="s">
        <v>1293</v>
      </c>
      <c r="Z1750">
        <v>0.78</v>
      </c>
      <c r="AA1750">
        <v>2111</v>
      </c>
      <c r="AB1750" t="s">
        <v>48</v>
      </c>
      <c r="AC1750">
        <v>1.1</v>
      </c>
      <c r="AD1750" t="s">
        <v>511</v>
      </c>
      <c r="AE1750" t="s">
        <v>10214</v>
      </c>
      <c r="AF1750" t="s">
        <v>10215</v>
      </c>
      <c r="AG1750" t="s">
        <v>10216</v>
      </c>
      <c r="AH1750">
        <v>2.61</v>
      </c>
      <c r="AI1750">
        <v>2.16</v>
      </c>
      <c r="AJ1750">
        <v>1.34</v>
      </c>
      <c r="AK1750">
        <v>2.13</v>
      </c>
      <c r="AL1750">
        <v>2</v>
      </c>
      <c r="AM1750">
        <v>1.29</v>
      </c>
      <c r="AN1750">
        <v>1.29</v>
      </c>
      <c r="AO1750">
        <v>3.51</v>
      </c>
      <c r="AP1750">
        <v>-5.22</v>
      </c>
    </row>
    <row r="1751" spans="1:42">
      <c r="A1751">
        <v>1750</v>
      </c>
      <c r="B1751" t="str">
        <f>"301096"</f>
        <v>301096</v>
      </c>
      <c r="C1751" t="s">
        <v>10217</v>
      </c>
      <c r="D1751">
        <v>64.31</v>
      </c>
      <c r="E1751">
        <v>-0.29</v>
      </c>
      <c r="F1751">
        <v>-0.19</v>
      </c>
      <c r="G1751" t="s">
        <v>1177</v>
      </c>
      <c r="H1751">
        <v>84</v>
      </c>
      <c r="I1751">
        <v>64.28</v>
      </c>
      <c r="J1751">
        <v>64.31</v>
      </c>
      <c r="K1751" t="s">
        <v>7752</v>
      </c>
      <c r="L1751">
        <v>2.53</v>
      </c>
      <c r="M1751" t="s">
        <v>46</v>
      </c>
      <c r="N1751" t="s">
        <v>1906</v>
      </c>
      <c r="O1751">
        <v>65.13</v>
      </c>
      <c r="P1751">
        <v>64.03</v>
      </c>
      <c r="Q1751">
        <v>64.88</v>
      </c>
      <c r="R1751">
        <v>64.5</v>
      </c>
      <c r="S1751">
        <v>1.71</v>
      </c>
      <c r="T1751">
        <v>1.33</v>
      </c>
      <c r="U1751">
        <v>-2.94</v>
      </c>
      <c r="V1751">
        <v>-2</v>
      </c>
      <c r="W1751">
        <v>64.45</v>
      </c>
      <c r="X1751" t="s">
        <v>2807</v>
      </c>
      <c r="Y1751">
        <v>6447</v>
      </c>
      <c r="Z1751">
        <v>1.72</v>
      </c>
      <c r="AA1751">
        <v>5</v>
      </c>
      <c r="AB1751">
        <v>7</v>
      </c>
      <c r="AC1751">
        <v>2.69</v>
      </c>
      <c r="AD1751" t="s">
        <v>10218</v>
      </c>
      <c r="AE1751" t="s">
        <v>10219</v>
      </c>
      <c r="AF1751" t="s">
        <v>10220</v>
      </c>
      <c r="AG1751" t="s">
        <v>10221</v>
      </c>
      <c r="AH1751">
        <v>-4.56</v>
      </c>
      <c r="AI1751">
        <v>-4.26</v>
      </c>
      <c r="AJ1751">
        <v>7.53</v>
      </c>
      <c r="AK1751">
        <v>12.05</v>
      </c>
      <c r="AL1751">
        <v>-3</v>
      </c>
      <c r="AM1751">
        <v>-0.29</v>
      </c>
      <c r="AN1751">
        <v>-4.74</v>
      </c>
      <c r="AO1751">
        <v>-6.23</v>
      </c>
      <c r="AP1751">
        <v>-15.49</v>
      </c>
    </row>
    <row r="1752" spans="1:42">
      <c r="A1752">
        <v>1751</v>
      </c>
      <c r="B1752" t="str">
        <f>"603630"</f>
        <v>603630</v>
      </c>
      <c r="C1752" t="s">
        <v>10222</v>
      </c>
      <c r="D1752">
        <v>16.56</v>
      </c>
      <c r="E1752">
        <v>1.47</v>
      </c>
      <c r="F1752">
        <v>0.24</v>
      </c>
      <c r="G1752" t="s">
        <v>2568</v>
      </c>
      <c r="H1752">
        <v>724</v>
      </c>
      <c r="I1752">
        <v>16.56</v>
      </c>
      <c r="J1752">
        <v>16.57</v>
      </c>
      <c r="K1752" t="s">
        <v>7752</v>
      </c>
      <c r="L1752">
        <v>3.02</v>
      </c>
      <c r="M1752" t="s">
        <v>46</v>
      </c>
      <c r="N1752" t="s">
        <v>2245</v>
      </c>
      <c r="O1752">
        <v>16.94</v>
      </c>
      <c r="P1752">
        <v>16.21</v>
      </c>
      <c r="Q1752">
        <v>16.33</v>
      </c>
      <c r="R1752">
        <v>16.32</v>
      </c>
      <c r="S1752">
        <v>4.47</v>
      </c>
      <c r="T1752">
        <v>3.08</v>
      </c>
      <c r="U1752">
        <v>-9.85</v>
      </c>
      <c r="V1752">
        <v>-125</v>
      </c>
      <c r="W1752">
        <v>16.61</v>
      </c>
      <c r="X1752" t="s">
        <v>1704</v>
      </c>
      <c r="Y1752" t="s">
        <v>5831</v>
      </c>
      <c r="Z1752">
        <v>0.94</v>
      </c>
      <c r="AA1752">
        <v>40</v>
      </c>
      <c r="AB1752">
        <v>54</v>
      </c>
      <c r="AC1752">
        <v>1.88</v>
      </c>
      <c r="AD1752" t="s">
        <v>10223</v>
      </c>
      <c r="AE1752" t="s">
        <v>10224</v>
      </c>
      <c r="AF1752" t="s">
        <v>10223</v>
      </c>
      <c r="AG1752" t="s">
        <v>10224</v>
      </c>
      <c r="AH1752">
        <v>2.79</v>
      </c>
      <c r="AI1752">
        <v>3.24</v>
      </c>
      <c r="AJ1752">
        <v>5.2</v>
      </c>
      <c r="AK1752">
        <v>7.93</v>
      </c>
      <c r="AL1752">
        <v>4</v>
      </c>
      <c r="AM1752">
        <v>1.47</v>
      </c>
      <c r="AN1752">
        <v>6.43</v>
      </c>
      <c r="AO1752">
        <v>9.45</v>
      </c>
      <c r="AP1752">
        <v>16.29</v>
      </c>
    </row>
    <row r="1753" spans="1:42">
      <c r="A1753">
        <v>1752</v>
      </c>
      <c r="B1753" t="str">
        <f>"688320"</f>
        <v>688320</v>
      </c>
      <c r="C1753" t="s">
        <v>10225</v>
      </c>
      <c r="D1753">
        <v>44.7</v>
      </c>
      <c r="E1753">
        <v>-0.95</v>
      </c>
      <c r="F1753">
        <v>-0.43</v>
      </c>
      <c r="G1753" t="s">
        <v>4422</v>
      </c>
      <c r="H1753">
        <v>262</v>
      </c>
      <c r="I1753">
        <v>44.7</v>
      </c>
      <c r="J1753">
        <v>44.71</v>
      </c>
      <c r="K1753" t="s">
        <v>7752</v>
      </c>
      <c r="L1753">
        <v>2.46</v>
      </c>
      <c r="M1753" t="s">
        <v>46</v>
      </c>
      <c r="N1753" t="s">
        <v>1392</v>
      </c>
      <c r="O1753">
        <v>45.21</v>
      </c>
      <c r="P1753">
        <v>43.62</v>
      </c>
      <c r="Q1753">
        <v>45.19</v>
      </c>
      <c r="R1753">
        <v>45.13</v>
      </c>
      <c r="S1753">
        <v>3.52</v>
      </c>
      <c r="T1753">
        <v>1.04</v>
      </c>
      <c r="U1753">
        <v>-12.01</v>
      </c>
      <c r="V1753">
        <v>-35</v>
      </c>
      <c r="W1753">
        <v>44.25</v>
      </c>
      <c r="X1753" t="s">
        <v>1769</v>
      </c>
      <c r="Y1753" t="s">
        <v>4443</v>
      </c>
      <c r="Z1753">
        <v>1.32</v>
      </c>
      <c r="AA1753">
        <v>11</v>
      </c>
      <c r="AB1753">
        <v>10</v>
      </c>
      <c r="AC1753">
        <v>4.28</v>
      </c>
      <c r="AD1753" t="s">
        <v>10226</v>
      </c>
      <c r="AE1753" t="s">
        <v>10227</v>
      </c>
      <c r="AF1753" t="s">
        <v>10228</v>
      </c>
      <c r="AG1753" t="s">
        <v>7310</v>
      </c>
      <c r="AH1753">
        <v>-1.76</v>
      </c>
      <c r="AI1753">
        <v>-6.99</v>
      </c>
      <c r="AJ1753">
        <v>7.72</v>
      </c>
      <c r="AK1753">
        <v>14.33</v>
      </c>
      <c r="AL1753">
        <v>-2</v>
      </c>
      <c r="AM1753">
        <v>-0.95</v>
      </c>
      <c r="AN1753">
        <v>-4.12</v>
      </c>
      <c r="AO1753">
        <v>4.93</v>
      </c>
      <c r="AP1753">
        <v>-25.25</v>
      </c>
    </row>
    <row r="1754" spans="1:42">
      <c r="A1754">
        <v>1753</v>
      </c>
      <c r="B1754" t="str">
        <f>"002707"</f>
        <v>002707</v>
      </c>
      <c r="C1754" t="s">
        <v>10229</v>
      </c>
      <c r="D1754">
        <v>7.41</v>
      </c>
      <c r="E1754">
        <v>-0.4</v>
      </c>
      <c r="F1754">
        <v>-0.03</v>
      </c>
      <c r="G1754" t="s">
        <v>1412</v>
      </c>
      <c r="H1754">
        <v>1858</v>
      </c>
      <c r="I1754">
        <v>7.41</v>
      </c>
      <c r="J1754">
        <v>7.42</v>
      </c>
      <c r="K1754" t="s">
        <v>7752</v>
      </c>
      <c r="L1754">
        <v>1.86</v>
      </c>
      <c r="M1754" t="s">
        <v>46</v>
      </c>
      <c r="N1754" t="s">
        <v>5809</v>
      </c>
      <c r="O1754">
        <v>7.53</v>
      </c>
      <c r="P1754">
        <v>7.39</v>
      </c>
      <c r="Q1754">
        <v>7.45</v>
      </c>
      <c r="R1754">
        <v>7.44</v>
      </c>
      <c r="S1754">
        <v>1.88</v>
      </c>
      <c r="T1754">
        <v>0.67</v>
      </c>
      <c r="U1754">
        <v>55.06</v>
      </c>
      <c r="V1754">
        <v>9621</v>
      </c>
      <c r="W1754">
        <v>7.44</v>
      </c>
      <c r="X1754" t="s">
        <v>1317</v>
      </c>
      <c r="Y1754" t="s">
        <v>3002</v>
      </c>
      <c r="Z1754">
        <v>1.21</v>
      </c>
      <c r="AA1754">
        <v>8634</v>
      </c>
      <c r="AB1754">
        <v>254</v>
      </c>
      <c r="AC1754">
        <v>9.94</v>
      </c>
      <c r="AD1754" t="s">
        <v>10230</v>
      </c>
      <c r="AE1754" t="s">
        <v>10231</v>
      </c>
      <c r="AF1754" t="s">
        <v>10232</v>
      </c>
      <c r="AG1754" t="s">
        <v>10233</v>
      </c>
      <c r="AH1754">
        <v>0.27</v>
      </c>
      <c r="AI1754">
        <v>0.82</v>
      </c>
      <c r="AJ1754">
        <v>6.24</v>
      </c>
      <c r="AK1754">
        <v>15.72</v>
      </c>
      <c r="AL1754">
        <v>-1</v>
      </c>
      <c r="AM1754">
        <v>-0.4</v>
      </c>
      <c r="AN1754">
        <v>-25</v>
      </c>
      <c r="AO1754">
        <v>9.29</v>
      </c>
      <c r="AP1754">
        <v>-1.72</v>
      </c>
    </row>
    <row r="1755" spans="1:42">
      <c r="A1755">
        <v>1754</v>
      </c>
      <c r="B1755" t="str">
        <f>"002430"</f>
        <v>002430</v>
      </c>
      <c r="C1755" t="s">
        <v>10234</v>
      </c>
      <c r="D1755">
        <v>30.9</v>
      </c>
      <c r="E1755">
        <v>-1.87</v>
      </c>
      <c r="F1755">
        <v>-0.59</v>
      </c>
      <c r="G1755" t="s">
        <v>1899</v>
      </c>
      <c r="H1755">
        <v>359</v>
      </c>
      <c r="I1755">
        <v>30.89</v>
      </c>
      <c r="J1755">
        <v>30.9</v>
      </c>
      <c r="K1755" t="s">
        <v>7752</v>
      </c>
      <c r="L1755">
        <v>0.38</v>
      </c>
      <c r="M1755" t="s">
        <v>46</v>
      </c>
      <c r="N1755" t="s">
        <v>6601</v>
      </c>
      <c r="O1755">
        <v>31.55</v>
      </c>
      <c r="P1755">
        <v>30.83</v>
      </c>
      <c r="Q1755">
        <v>31.47</v>
      </c>
      <c r="R1755">
        <v>31.49</v>
      </c>
      <c r="S1755">
        <v>2.29</v>
      </c>
      <c r="T1755">
        <v>1.74</v>
      </c>
      <c r="U1755">
        <v>-70.74</v>
      </c>
      <c r="V1755">
        <v>-571</v>
      </c>
      <c r="W1755">
        <v>31.05</v>
      </c>
      <c r="X1755" t="s">
        <v>4509</v>
      </c>
      <c r="Y1755" t="s">
        <v>4717</v>
      </c>
      <c r="Z1755">
        <v>1.57</v>
      </c>
      <c r="AA1755">
        <v>9</v>
      </c>
      <c r="AB1755">
        <v>475</v>
      </c>
      <c r="AC1755">
        <v>3.61</v>
      </c>
      <c r="AD1755" t="s">
        <v>10235</v>
      </c>
      <c r="AE1755" t="s">
        <v>10236</v>
      </c>
      <c r="AF1755" t="s">
        <v>10237</v>
      </c>
      <c r="AG1755" t="s">
        <v>10238</v>
      </c>
      <c r="AH1755">
        <v>-3.62</v>
      </c>
      <c r="AI1755">
        <v>-2.49</v>
      </c>
      <c r="AJ1755">
        <v>0.73</v>
      </c>
      <c r="AK1755">
        <v>1.46</v>
      </c>
      <c r="AL1755">
        <v>-3</v>
      </c>
      <c r="AM1755">
        <v>-1.87</v>
      </c>
      <c r="AN1755">
        <v>-19.45</v>
      </c>
      <c r="AO1755">
        <v>-8.25</v>
      </c>
      <c r="AP1755">
        <v>-24.41</v>
      </c>
    </row>
    <row r="1756" spans="1:42">
      <c r="A1756">
        <v>1755</v>
      </c>
      <c r="B1756" t="str">
        <f>"600682"</f>
        <v>600682</v>
      </c>
      <c r="C1756" t="s">
        <v>10239</v>
      </c>
      <c r="D1756">
        <v>7.93</v>
      </c>
      <c r="E1756">
        <v>1.54</v>
      </c>
      <c r="F1756">
        <v>0.12</v>
      </c>
      <c r="G1756" t="s">
        <v>3385</v>
      </c>
      <c r="H1756">
        <v>1324</v>
      </c>
      <c r="I1756">
        <v>7.92</v>
      </c>
      <c r="J1756">
        <v>7.93</v>
      </c>
      <c r="K1756" t="s">
        <v>7752</v>
      </c>
      <c r="L1756">
        <v>1.22</v>
      </c>
      <c r="M1756" t="s">
        <v>46</v>
      </c>
      <c r="N1756" t="s">
        <v>10240</v>
      </c>
      <c r="O1756">
        <v>8.1</v>
      </c>
      <c r="P1756">
        <v>7.88</v>
      </c>
      <c r="Q1756">
        <v>7.92</v>
      </c>
      <c r="R1756">
        <v>7.81</v>
      </c>
      <c r="S1756">
        <v>2.82</v>
      </c>
      <c r="T1756">
        <v>2.36</v>
      </c>
      <c r="U1756">
        <v>-36.8</v>
      </c>
      <c r="V1756">
        <v>-1004</v>
      </c>
      <c r="W1756">
        <v>7.97</v>
      </c>
      <c r="X1756" t="s">
        <v>2359</v>
      </c>
      <c r="Y1756" t="s">
        <v>9036</v>
      </c>
      <c r="Z1756">
        <v>0.9</v>
      </c>
      <c r="AA1756">
        <v>84</v>
      </c>
      <c r="AB1756">
        <v>632</v>
      </c>
      <c r="AC1756">
        <v>0.61</v>
      </c>
      <c r="AD1756" t="s">
        <v>10241</v>
      </c>
      <c r="AE1756" t="s">
        <v>3676</v>
      </c>
      <c r="AF1756" t="s">
        <v>113</v>
      </c>
      <c r="AG1756" t="s">
        <v>10242</v>
      </c>
      <c r="AH1756">
        <v>1.41</v>
      </c>
      <c r="AI1756">
        <v>1.67</v>
      </c>
      <c r="AJ1756">
        <v>2.04</v>
      </c>
      <c r="AK1756">
        <v>3.8</v>
      </c>
      <c r="AL1756">
        <v>2</v>
      </c>
      <c r="AM1756">
        <v>1.54</v>
      </c>
      <c r="AN1756">
        <v>-12.95</v>
      </c>
      <c r="AO1756">
        <v>3.12</v>
      </c>
      <c r="AP1756">
        <v>-9.89</v>
      </c>
    </row>
    <row r="1757" spans="1:42">
      <c r="A1757">
        <v>1756</v>
      </c>
      <c r="B1757" t="str">
        <f>"688536"</f>
        <v>688536</v>
      </c>
      <c r="C1757" t="s">
        <v>10243</v>
      </c>
      <c r="D1757">
        <v>159</v>
      </c>
      <c r="E1757">
        <v>-1.74</v>
      </c>
      <c r="F1757">
        <v>-2.82</v>
      </c>
      <c r="G1757">
        <v>7105</v>
      </c>
      <c r="H1757">
        <v>94</v>
      </c>
      <c r="I1757">
        <v>159</v>
      </c>
      <c r="J1757">
        <v>159.64</v>
      </c>
      <c r="K1757" t="s">
        <v>7752</v>
      </c>
      <c r="L1757">
        <v>0.59</v>
      </c>
      <c r="M1757" t="s">
        <v>46</v>
      </c>
      <c r="N1757" t="s">
        <v>9048</v>
      </c>
      <c r="O1757">
        <v>162.13</v>
      </c>
      <c r="P1757">
        <v>157.28</v>
      </c>
      <c r="Q1757">
        <v>161.33</v>
      </c>
      <c r="R1757">
        <v>161.82</v>
      </c>
      <c r="S1757">
        <v>3</v>
      </c>
      <c r="T1757">
        <v>1.14</v>
      </c>
      <c r="U1757">
        <v>61.59</v>
      </c>
      <c r="V1757">
        <v>115</v>
      </c>
      <c r="W1757">
        <v>158.75</v>
      </c>
      <c r="X1757">
        <v>3867</v>
      </c>
      <c r="Y1757">
        <v>3237</v>
      </c>
      <c r="Z1757">
        <v>1.19</v>
      </c>
      <c r="AA1757">
        <v>123</v>
      </c>
      <c r="AB1757">
        <v>3</v>
      </c>
      <c r="AC1757">
        <v>3.78</v>
      </c>
      <c r="AD1757" t="s">
        <v>10244</v>
      </c>
      <c r="AE1757" t="s">
        <v>10245</v>
      </c>
      <c r="AF1757" t="s">
        <v>10246</v>
      </c>
      <c r="AG1757" t="s">
        <v>7283</v>
      </c>
      <c r="AH1757">
        <v>-1.46</v>
      </c>
      <c r="AI1757">
        <v>-2</v>
      </c>
      <c r="AJ1757">
        <v>1.63</v>
      </c>
      <c r="AK1757">
        <v>3.17</v>
      </c>
      <c r="AL1757">
        <v>-2</v>
      </c>
      <c r="AM1757">
        <v>-1.74</v>
      </c>
      <c r="AN1757">
        <v>-42.22</v>
      </c>
      <c r="AO1757">
        <v>-0.38</v>
      </c>
      <c r="AP1757">
        <v>-49.27</v>
      </c>
    </row>
    <row r="1758" spans="1:42">
      <c r="A1758">
        <v>1757</v>
      </c>
      <c r="B1758" t="str">
        <f>"603296"</f>
        <v>603296</v>
      </c>
      <c r="C1758" t="s">
        <v>10247</v>
      </c>
      <c r="D1758">
        <v>77.9</v>
      </c>
      <c r="E1758">
        <v>1.59</v>
      </c>
      <c r="F1758">
        <v>1.22</v>
      </c>
      <c r="G1758" t="s">
        <v>7836</v>
      </c>
      <c r="H1758">
        <v>77</v>
      </c>
      <c r="I1758">
        <v>77.89</v>
      </c>
      <c r="J1758">
        <v>77.9</v>
      </c>
      <c r="K1758" t="s">
        <v>7752</v>
      </c>
      <c r="L1758">
        <v>2.46</v>
      </c>
      <c r="M1758" t="s">
        <v>46</v>
      </c>
      <c r="N1758" t="s">
        <v>7558</v>
      </c>
      <c r="O1758">
        <v>78.36</v>
      </c>
      <c r="P1758">
        <v>75.75</v>
      </c>
      <c r="Q1758">
        <v>77</v>
      </c>
      <c r="R1758">
        <v>76.68</v>
      </c>
      <c r="S1758">
        <v>3.4</v>
      </c>
      <c r="T1758">
        <v>1.12</v>
      </c>
      <c r="U1758">
        <v>53.09</v>
      </c>
      <c r="V1758">
        <v>86</v>
      </c>
      <c r="W1758">
        <v>77.11</v>
      </c>
      <c r="X1758">
        <v>7109</v>
      </c>
      <c r="Y1758">
        <v>7505</v>
      </c>
      <c r="Z1758">
        <v>0.95</v>
      </c>
      <c r="AA1758">
        <v>58</v>
      </c>
      <c r="AB1758">
        <v>24</v>
      </c>
      <c r="AC1758">
        <v>2.81</v>
      </c>
      <c r="AD1758" t="s">
        <v>7670</v>
      </c>
      <c r="AE1758" t="s">
        <v>10248</v>
      </c>
      <c r="AF1758" t="s">
        <v>10249</v>
      </c>
      <c r="AG1758" t="s">
        <v>7191</v>
      </c>
      <c r="AH1758">
        <v>0.78</v>
      </c>
      <c r="AI1758">
        <v>-0.26</v>
      </c>
      <c r="AJ1758">
        <v>5.54</v>
      </c>
      <c r="AK1758">
        <v>13.39</v>
      </c>
      <c r="AL1758">
        <v>1</v>
      </c>
      <c r="AM1758">
        <v>1.59</v>
      </c>
      <c r="AN1758">
        <v>-3.59</v>
      </c>
      <c r="AO1758">
        <v>-3.67</v>
      </c>
      <c r="AP1758">
        <v>-3.59</v>
      </c>
    </row>
    <row r="1759" spans="1:42">
      <c r="A1759">
        <v>1758</v>
      </c>
      <c r="B1759" t="str">
        <f>"603858"</f>
        <v>603858</v>
      </c>
      <c r="C1759" t="s">
        <v>10250</v>
      </c>
      <c r="D1759">
        <v>17.83</v>
      </c>
      <c r="E1759">
        <v>-0.72</v>
      </c>
      <c r="F1759">
        <v>-0.13</v>
      </c>
      <c r="G1759" t="s">
        <v>2705</v>
      </c>
      <c r="H1759">
        <v>203</v>
      </c>
      <c r="I1759">
        <v>17.83</v>
      </c>
      <c r="J1759">
        <v>17.84</v>
      </c>
      <c r="K1759" t="s">
        <v>7752</v>
      </c>
      <c r="L1759">
        <v>0.57</v>
      </c>
      <c r="M1759" t="s">
        <v>46</v>
      </c>
      <c r="N1759" t="s">
        <v>10251</v>
      </c>
      <c r="O1759">
        <v>18.05</v>
      </c>
      <c r="P1759">
        <v>17.76</v>
      </c>
      <c r="Q1759">
        <v>17.9</v>
      </c>
      <c r="R1759">
        <v>17.96</v>
      </c>
      <c r="S1759">
        <v>1.61</v>
      </c>
      <c r="T1759">
        <v>0.9</v>
      </c>
      <c r="U1759">
        <v>-0.46</v>
      </c>
      <c r="V1759">
        <v>-6</v>
      </c>
      <c r="W1759">
        <v>17.87</v>
      </c>
      <c r="X1759" t="s">
        <v>4148</v>
      </c>
      <c r="Y1759" t="s">
        <v>5420</v>
      </c>
      <c r="Z1759">
        <v>1.31</v>
      </c>
      <c r="AA1759">
        <v>3</v>
      </c>
      <c r="AB1759">
        <v>121</v>
      </c>
      <c r="AC1759">
        <v>1.61</v>
      </c>
      <c r="AD1759" t="s">
        <v>85</v>
      </c>
      <c r="AE1759" t="s">
        <v>10252</v>
      </c>
      <c r="AF1759" t="s">
        <v>85</v>
      </c>
      <c r="AG1759" t="s">
        <v>10252</v>
      </c>
      <c r="AH1759">
        <v>-1.16</v>
      </c>
      <c r="AI1759">
        <v>-0.67</v>
      </c>
      <c r="AJ1759">
        <v>1.49</v>
      </c>
      <c r="AK1759">
        <v>3.72</v>
      </c>
      <c r="AL1759">
        <v>-1</v>
      </c>
      <c r="AM1759">
        <v>-0.72</v>
      </c>
      <c r="AN1759">
        <v>-11.07</v>
      </c>
      <c r="AO1759">
        <v>3.66</v>
      </c>
      <c r="AP1759">
        <v>-18.7</v>
      </c>
    </row>
    <row r="1760" spans="1:42">
      <c r="A1760">
        <v>1759</v>
      </c>
      <c r="B1760" t="str">
        <f>"002673"</f>
        <v>002673</v>
      </c>
      <c r="C1760" t="s">
        <v>10253</v>
      </c>
      <c r="D1760">
        <v>6.62</v>
      </c>
      <c r="E1760">
        <v>0.3</v>
      </c>
      <c r="F1760">
        <v>0.02</v>
      </c>
      <c r="G1760" t="s">
        <v>172</v>
      </c>
      <c r="H1760">
        <v>1663</v>
      </c>
      <c r="I1760">
        <v>6.62</v>
      </c>
      <c r="J1760">
        <v>6.63</v>
      </c>
      <c r="K1760" t="s">
        <v>7752</v>
      </c>
      <c r="L1760">
        <v>0.41</v>
      </c>
      <c r="M1760" t="s">
        <v>46</v>
      </c>
      <c r="N1760" t="s">
        <v>10254</v>
      </c>
      <c r="O1760">
        <v>6.65</v>
      </c>
      <c r="P1760">
        <v>6.58</v>
      </c>
      <c r="Q1760">
        <v>6.61</v>
      </c>
      <c r="R1760">
        <v>6.6</v>
      </c>
      <c r="S1760">
        <v>1.06</v>
      </c>
      <c r="T1760">
        <v>0.91</v>
      </c>
      <c r="U1760">
        <v>19.23</v>
      </c>
      <c r="V1760">
        <v>5063</v>
      </c>
      <c r="W1760">
        <v>6.61</v>
      </c>
      <c r="X1760" t="s">
        <v>6189</v>
      </c>
      <c r="Y1760" t="s">
        <v>10255</v>
      </c>
      <c r="Z1760">
        <v>1.25</v>
      </c>
      <c r="AA1760">
        <v>1972</v>
      </c>
      <c r="AB1760">
        <v>2182</v>
      </c>
      <c r="AC1760">
        <v>1.07</v>
      </c>
      <c r="AD1760" t="s">
        <v>10256</v>
      </c>
      <c r="AE1760" t="s">
        <v>10257</v>
      </c>
      <c r="AF1760" t="s">
        <v>4911</v>
      </c>
      <c r="AG1760" t="s">
        <v>10258</v>
      </c>
      <c r="AH1760">
        <v>-0.75</v>
      </c>
      <c r="AI1760">
        <v>-2.07</v>
      </c>
      <c r="AJ1760">
        <v>1.37</v>
      </c>
      <c r="AK1760">
        <v>2.7</v>
      </c>
      <c r="AL1760">
        <v>1</v>
      </c>
      <c r="AM1760">
        <v>0.3</v>
      </c>
      <c r="AN1760">
        <v>9.6</v>
      </c>
      <c r="AO1760">
        <v>0.15</v>
      </c>
      <c r="AP1760">
        <v>5.08</v>
      </c>
    </row>
    <row r="1761" spans="1:42">
      <c r="A1761">
        <v>1760</v>
      </c>
      <c r="B1761" t="str">
        <f>"300102"</f>
        <v>300102</v>
      </c>
      <c r="C1761" t="s">
        <v>10259</v>
      </c>
      <c r="D1761">
        <v>7.92</v>
      </c>
      <c r="E1761">
        <v>0.25</v>
      </c>
      <c r="F1761">
        <v>0.02</v>
      </c>
      <c r="G1761" t="s">
        <v>2081</v>
      </c>
      <c r="H1761">
        <v>387</v>
      </c>
      <c r="I1761">
        <v>7.92</v>
      </c>
      <c r="J1761">
        <v>7.93</v>
      </c>
      <c r="K1761" t="s">
        <v>7752</v>
      </c>
      <c r="L1761">
        <v>1.57</v>
      </c>
      <c r="M1761" t="s">
        <v>46</v>
      </c>
      <c r="N1761" t="s">
        <v>4278</v>
      </c>
      <c r="O1761">
        <v>7.96</v>
      </c>
      <c r="P1761">
        <v>7.76</v>
      </c>
      <c r="Q1761">
        <v>7.9</v>
      </c>
      <c r="R1761">
        <v>7.9</v>
      </c>
      <c r="S1761">
        <v>2.53</v>
      </c>
      <c r="T1761">
        <v>0.93</v>
      </c>
      <c r="U1761">
        <v>-13.97</v>
      </c>
      <c r="V1761">
        <v>-400</v>
      </c>
      <c r="W1761">
        <v>7.88</v>
      </c>
      <c r="X1761" t="s">
        <v>4228</v>
      </c>
      <c r="Y1761" t="s">
        <v>8775</v>
      </c>
      <c r="Z1761">
        <v>0.97</v>
      </c>
      <c r="AA1761">
        <v>79</v>
      </c>
      <c r="AB1761">
        <v>269</v>
      </c>
      <c r="AC1761">
        <v>1.79</v>
      </c>
      <c r="AD1761" t="s">
        <v>10260</v>
      </c>
      <c r="AE1761" t="s">
        <v>10261</v>
      </c>
      <c r="AF1761" t="s">
        <v>10262</v>
      </c>
      <c r="AG1761" t="s">
        <v>10263</v>
      </c>
      <c r="AH1761">
        <v>-2.46</v>
      </c>
      <c r="AI1761">
        <v>-2.94</v>
      </c>
      <c r="AJ1761">
        <v>5.54</v>
      </c>
      <c r="AK1761">
        <v>10.04</v>
      </c>
      <c r="AL1761">
        <v>1</v>
      </c>
      <c r="AM1761">
        <v>0.25</v>
      </c>
      <c r="AN1761">
        <v>25.32</v>
      </c>
      <c r="AO1761">
        <v>-1</v>
      </c>
      <c r="AP1761">
        <v>15.79</v>
      </c>
    </row>
    <row r="1762" spans="1:42">
      <c r="A1762">
        <v>1761</v>
      </c>
      <c r="B1762" t="str">
        <f>"300032"</f>
        <v>300032</v>
      </c>
      <c r="C1762" t="s">
        <v>10264</v>
      </c>
      <c r="D1762">
        <v>6.28</v>
      </c>
      <c r="E1762">
        <v>1.95</v>
      </c>
      <c r="F1762">
        <v>0.12</v>
      </c>
      <c r="G1762" t="s">
        <v>1092</v>
      </c>
      <c r="H1762">
        <v>4006</v>
      </c>
      <c r="I1762">
        <v>6.27</v>
      </c>
      <c r="J1762">
        <v>6.28</v>
      </c>
      <c r="K1762" t="s">
        <v>7752</v>
      </c>
      <c r="L1762">
        <v>2.25</v>
      </c>
      <c r="M1762" t="s">
        <v>46</v>
      </c>
      <c r="N1762" t="s">
        <v>2212</v>
      </c>
      <c r="O1762">
        <v>6.28</v>
      </c>
      <c r="P1762">
        <v>6.14</v>
      </c>
      <c r="Q1762">
        <v>6.15</v>
      </c>
      <c r="R1762">
        <v>6.16</v>
      </c>
      <c r="S1762">
        <v>2.27</v>
      </c>
      <c r="T1762">
        <v>0.89</v>
      </c>
      <c r="U1762">
        <v>-34.06</v>
      </c>
      <c r="V1762">
        <v>-6318</v>
      </c>
      <c r="W1762">
        <v>6.23</v>
      </c>
      <c r="X1762" t="s">
        <v>3091</v>
      </c>
      <c r="Y1762" t="s">
        <v>2402</v>
      </c>
      <c r="Z1762">
        <v>0.68</v>
      </c>
      <c r="AA1762">
        <v>239</v>
      </c>
      <c r="AB1762">
        <v>6163</v>
      </c>
      <c r="AC1762">
        <v>4.21</v>
      </c>
      <c r="AD1762" t="s">
        <v>8623</v>
      </c>
      <c r="AE1762" t="s">
        <v>10265</v>
      </c>
      <c r="AF1762" t="s">
        <v>8623</v>
      </c>
      <c r="AG1762" t="s">
        <v>10265</v>
      </c>
      <c r="AH1762">
        <v>0.96</v>
      </c>
      <c r="AI1762">
        <v>-1.26</v>
      </c>
      <c r="AJ1762">
        <v>6.54</v>
      </c>
      <c r="AK1762">
        <v>14.83</v>
      </c>
      <c r="AL1762">
        <v>1</v>
      </c>
      <c r="AM1762">
        <v>1.95</v>
      </c>
      <c r="AN1762">
        <v>24.36</v>
      </c>
      <c r="AO1762">
        <v>-10.54</v>
      </c>
      <c r="AP1762">
        <v>15.87</v>
      </c>
    </row>
    <row r="1763" spans="1:42">
      <c r="A1763">
        <v>1762</v>
      </c>
      <c r="B1763" t="str">
        <f>"001309"</f>
        <v>001309</v>
      </c>
      <c r="C1763" t="s">
        <v>10266</v>
      </c>
      <c r="D1763">
        <v>92.89</v>
      </c>
      <c r="E1763">
        <v>0.85</v>
      </c>
      <c r="F1763">
        <v>0.78</v>
      </c>
      <c r="G1763" t="s">
        <v>1254</v>
      </c>
      <c r="H1763">
        <v>120</v>
      </c>
      <c r="I1763">
        <v>92.88</v>
      </c>
      <c r="J1763">
        <v>92.89</v>
      </c>
      <c r="K1763" t="s">
        <v>7752</v>
      </c>
      <c r="L1763">
        <v>1.82</v>
      </c>
      <c r="M1763" t="s">
        <v>46</v>
      </c>
      <c r="N1763" t="s">
        <v>10267</v>
      </c>
      <c r="O1763">
        <v>93.49</v>
      </c>
      <c r="P1763">
        <v>90.55</v>
      </c>
      <c r="Q1763">
        <v>91.29</v>
      </c>
      <c r="R1763">
        <v>92.11</v>
      </c>
      <c r="S1763">
        <v>3.19</v>
      </c>
      <c r="T1763">
        <v>0.78</v>
      </c>
      <c r="U1763">
        <v>56.94</v>
      </c>
      <c r="V1763">
        <v>82</v>
      </c>
      <c r="W1763">
        <v>92.3</v>
      </c>
      <c r="X1763">
        <v>5054</v>
      </c>
      <c r="Y1763">
        <v>7144</v>
      </c>
      <c r="Z1763">
        <v>0.71</v>
      </c>
      <c r="AA1763">
        <v>68</v>
      </c>
      <c r="AB1763">
        <v>14</v>
      </c>
      <c r="AC1763">
        <v>10.49</v>
      </c>
      <c r="AD1763" t="s">
        <v>10268</v>
      </c>
      <c r="AE1763" t="s">
        <v>6296</v>
      </c>
      <c r="AF1763" t="s">
        <v>10269</v>
      </c>
      <c r="AG1763" t="s">
        <v>10270</v>
      </c>
      <c r="AH1763">
        <v>2.23</v>
      </c>
      <c r="AI1763">
        <v>4.39</v>
      </c>
      <c r="AJ1763">
        <v>5.61</v>
      </c>
      <c r="AK1763">
        <v>13.46</v>
      </c>
      <c r="AL1763">
        <v>5</v>
      </c>
      <c r="AM1763">
        <v>0.85</v>
      </c>
      <c r="AN1763">
        <v>145.94</v>
      </c>
      <c r="AO1763">
        <v>1.53</v>
      </c>
      <c r="AP1763">
        <v>114.97</v>
      </c>
    </row>
    <row r="1764" spans="1:42">
      <c r="A1764">
        <v>1763</v>
      </c>
      <c r="B1764" t="str">
        <f>"301029"</f>
        <v>301029</v>
      </c>
      <c r="C1764" t="s">
        <v>10271</v>
      </c>
      <c r="D1764">
        <v>27.8</v>
      </c>
      <c r="E1764">
        <v>-1.45</v>
      </c>
      <c r="F1764">
        <v>-0.41</v>
      </c>
      <c r="G1764" t="s">
        <v>3373</v>
      </c>
      <c r="H1764">
        <v>198</v>
      </c>
      <c r="I1764">
        <v>27.8</v>
      </c>
      <c r="J1764">
        <v>27.81</v>
      </c>
      <c r="K1764" t="s">
        <v>10272</v>
      </c>
      <c r="L1764">
        <v>1.36</v>
      </c>
      <c r="M1764" t="s">
        <v>46</v>
      </c>
      <c r="N1764" t="s">
        <v>3326</v>
      </c>
      <c r="O1764">
        <v>28.23</v>
      </c>
      <c r="P1764">
        <v>27.51</v>
      </c>
      <c r="Q1764">
        <v>28.23</v>
      </c>
      <c r="R1764">
        <v>28.21</v>
      </c>
      <c r="S1764">
        <v>2.55</v>
      </c>
      <c r="T1764">
        <v>1.18</v>
      </c>
      <c r="U1764">
        <v>29.7</v>
      </c>
      <c r="V1764">
        <v>196</v>
      </c>
      <c r="W1764">
        <v>27.77</v>
      </c>
      <c r="X1764" t="s">
        <v>8211</v>
      </c>
      <c r="Y1764" t="s">
        <v>1692</v>
      </c>
      <c r="Z1764">
        <v>1.46</v>
      </c>
      <c r="AA1764">
        <v>36</v>
      </c>
      <c r="AB1764">
        <v>131</v>
      </c>
      <c r="AC1764">
        <v>5.37</v>
      </c>
      <c r="AD1764" t="s">
        <v>9025</v>
      </c>
      <c r="AE1764" t="s">
        <v>9942</v>
      </c>
      <c r="AF1764" t="s">
        <v>10273</v>
      </c>
      <c r="AG1764" t="s">
        <v>10274</v>
      </c>
      <c r="AH1764">
        <v>-3.57</v>
      </c>
      <c r="AI1764">
        <v>-6.3</v>
      </c>
      <c r="AJ1764">
        <v>3.35</v>
      </c>
      <c r="AK1764">
        <v>7.14</v>
      </c>
      <c r="AL1764">
        <v>-3</v>
      </c>
      <c r="AM1764">
        <v>-1.45</v>
      </c>
      <c r="AN1764">
        <v>-49.02</v>
      </c>
      <c r="AO1764">
        <v>-0.47</v>
      </c>
      <c r="AP1764">
        <v>-53.02</v>
      </c>
    </row>
    <row r="1765" spans="1:42">
      <c r="A1765">
        <v>1764</v>
      </c>
      <c r="B1765" t="str">
        <f>"002625"</f>
        <v>002625</v>
      </c>
      <c r="C1765" t="s">
        <v>10275</v>
      </c>
      <c r="D1765">
        <v>13.86</v>
      </c>
      <c r="E1765">
        <v>-0.65</v>
      </c>
      <c r="F1765">
        <v>-0.09</v>
      </c>
      <c r="G1765" t="s">
        <v>4382</v>
      </c>
      <c r="H1765">
        <v>930</v>
      </c>
      <c r="I1765">
        <v>13.85</v>
      </c>
      <c r="J1765">
        <v>13.86</v>
      </c>
      <c r="K1765" t="s">
        <v>10272</v>
      </c>
      <c r="L1765">
        <v>0.46</v>
      </c>
      <c r="M1765" t="s">
        <v>46</v>
      </c>
      <c r="N1765" t="s">
        <v>1190</v>
      </c>
      <c r="O1765">
        <v>13.99</v>
      </c>
      <c r="P1765">
        <v>13.73</v>
      </c>
      <c r="Q1765">
        <v>13.96</v>
      </c>
      <c r="R1765">
        <v>13.95</v>
      </c>
      <c r="S1765">
        <v>1.86</v>
      </c>
      <c r="T1765">
        <v>1.1</v>
      </c>
      <c r="U1765">
        <v>49.92</v>
      </c>
      <c r="V1765">
        <v>1272</v>
      </c>
      <c r="W1765">
        <v>13.82</v>
      </c>
      <c r="X1765" t="s">
        <v>6838</v>
      </c>
      <c r="Y1765" t="s">
        <v>8009</v>
      </c>
      <c r="Z1765">
        <v>1.16</v>
      </c>
      <c r="AA1765">
        <v>779</v>
      </c>
      <c r="AB1765">
        <v>113</v>
      </c>
      <c r="AC1765">
        <v>3.44</v>
      </c>
      <c r="AD1765" t="s">
        <v>10276</v>
      </c>
      <c r="AE1765" t="s">
        <v>8984</v>
      </c>
      <c r="AF1765" t="s">
        <v>10277</v>
      </c>
      <c r="AG1765" t="s">
        <v>10278</v>
      </c>
      <c r="AH1765">
        <v>-2.81</v>
      </c>
      <c r="AI1765">
        <v>-4.15</v>
      </c>
      <c r="AJ1765">
        <v>1.22</v>
      </c>
      <c r="AK1765">
        <v>2.54</v>
      </c>
      <c r="AL1765">
        <v>-3</v>
      </c>
      <c r="AM1765">
        <v>-0.65</v>
      </c>
      <c r="AN1765">
        <v>-18.57</v>
      </c>
      <c r="AO1765">
        <v>-1.63</v>
      </c>
      <c r="AP1765">
        <v>-23.72</v>
      </c>
    </row>
    <row r="1766" spans="1:42">
      <c r="A1766">
        <v>1765</v>
      </c>
      <c r="B1766" t="str">
        <f>"603816"</f>
        <v>603816</v>
      </c>
      <c r="C1766" t="s">
        <v>10279</v>
      </c>
      <c r="D1766">
        <v>36.71</v>
      </c>
      <c r="E1766">
        <v>-2.05</v>
      </c>
      <c r="F1766">
        <v>-0.77</v>
      </c>
      <c r="G1766" t="s">
        <v>5302</v>
      </c>
      <c r="H1766">
        <v>382</v>
      </c>
      <c r="I1766">
        <v>36.71</v>
      </c>
      <c r="J1766">
        <v>36.72</v>
      </c>
      <c r="K1766" t="s">
        <v>10272</v>
      </c>
      <c r="L1766">
        <v>0.37</v>
      </c>
      <c r="M1766" t="s">
        <v>46</v>
      </c>
      <c r="N1766" t="s">
        <v>2055</v>
      </c>
      <c r="O1766">
        <v>37.47</v>
      </c>
      <c r="P1766">
        <v>36.5</v>
      </c>
      <c r="Q1766">
        <v>37.47</v>
      </c>
      <c r="R1766">
        <v>37.48</v>
      </c>
      <c r="S1766">
        <v>2.59</v>
      </c>
      <c r="T1766">
        <v>0.87</v>
      </c>
      <c r="U1766">
        <v>27.94</v>
      </c>
      <c r="V1766">
        <v>144</v>
      </c>
      <c r="W1766">
        <v>36.85</v>
      </c>
      <c r="X1766" t="s">
        <v>882</v>
      </c>
      <c r="Y1766" t="s">
        <v>734</v>
      </c>
      <c r="Z1766">
        <v>1.72</v>
      </c>
      <c r="AA1766">
        <v>47</v>
      </c>
      <c r="AB1766">
        <v>114</v>
      </c>
      <c r="AC1766">
        <v>3.22</v>
      </c>
      <c r="AD1766" t="s">
        <v>7833</v>
      </c>
      <c r="AE1766" t="s">
        <v>10280</v>
      </c>
      <c r="AF1766" t="s">
        <v>7833</v>
      </c>
      <c r="AG1766" t="s">
        <v>10280</v>
      </c>
      <c r="AH1766">
        <v>-4.7</v>
      </c>
      <c r="AI1766">
        <v>-5.51</v>
      </c>
      <c r="AJ1766">
        <v>1.13</v>
      </c>
      <c r="AK1766">
        <v>2.5</v>
      </c>
      <c r="AL1766">
        <v>-3</v>
      </c>
      <c r="AM1766">
        <v>-2.05</v>
      </c>
      <c r="AN1766">
        <v>-11.75</v>
      </c>
      <c r="AO1766">
        <v>-0.19</v>
      </c>
      <c r="AP1766">
        <v>8.35</v>
      </c>
    </row>
    <row r="1767" spans="1:42">
      <c r="A1767">
        <v>1766</v>
      </c>
      <c r="B1767" t="str">
        <f>"002912"</f>
        <v>002912</v>
      </c>
      <c r="C1767" t="s">
        <v>10281</v>
      </c>
      <c r="D1767">
        <v>29.66</v>
      </c>
      <c r="E1767">
        <v>3.17</v>
      </c>
      <c r="F1767">
        <v>0.91</v>
      </c>
      <c r="G1767" t="s">
        <v>6302</v>
      </c>
      <c r="H1767">
        <v>241</v>
      </c>
      <c r="I1767">
        <v>29.66</v>
      </c>
      <c r="J1767">
        <v>29.67</v>
      </c>
      <c r="K1767" t="s">
        <v>10272</v>
      </c>
      <c r="L1767">
        <v>2.36</v>
      </c>
      <c r="M1767" t="s">
        <v>46</v>
      </c>
      <c r="N1767" t="s">
        <v>3100</v>
      </c>
      <c r="O1767">
        <v>29.9</v>
      </c>
      <c r="P1767">
        <v>28.4</v>
      </c>
      <c r="Q1767">
        <v>28.94</v>
      </c>
      <c r="R1767">
        <v>28.75</v>
      </c>
      <c r="S1767">
        <v>5.22</v>
      </c>
      <c r="T1767">
        <v>1.46</v>
      </c>
      <c r="U1767">
        <v>25.48</v>
      </c>
      <c r="V1767">
        <v>134</v>
      </c>
      <c r="W1767">
        <v>29.25</v>
      </c>
      <c r="X1767" t="s">
        <v>4525</v>
      </c>
      <c r="Y1767" t="s">
        <v>9766</v>
      </c>
      <c r="Z1767">
        <v>0.56</v>
      </c>
      <c r="AA1767">
        <v>22</v>
      </c>
      <c r="AB1767">
        <v>84</v>
      </c>
      <c r="AC1767">
        <v>3.1</v>
      </c>
      <c r="AD1767" t="s">
        <v>472</v>
      </c>
      <c r="AE1767" t="s">
        <v>10282</v>
      </c>
      <c r="AF1767" t="s">
        <v>10283</v>
      </c>
      <c r="AG1767" t="s">
        <v>10284</v>
      </c>
      <c r="AH1767">
        <v>1.19</v>
      </c>
      <c r="AI1767">
        <v>-2.79</v>
      </c>
      <c r="AJ1767">
        <v>5.03</v>
      </c>
      <c r="AK1767">
        <v>10.46</v>
      </c>
      <c r="AL1767">
        <v>1</v>
      </c>
      <c r="AM1767">
        <v>3.17</v>
      </c>
      <c r="AN1767">
        <v>-6.26</v>
      </c>
      <c r="AO1767">
        <v>6.5</v>
      </c>
      <c r="AP1767">
        <v>-16.45</v>
      </c>
    </row>
    <row r="1768" spans="1:42">
      <c r="A1768">
        <v>1767</v>
      </c>
      <c r="B1768" t="str">
        <f>"002116"</f>
        <v>002116</v>
      </c>
      <c r="C1768" t="s">
        <v>10285</v>
      </c>
      <c r="D1768">
        <v>10.67</v>
      </c>
      <c r="E1768">
        <v>2.5</v>
      </c>
      <c r="F1768">
        <v>0.26</v>
      </c>
      <c r="G1768" t="s">
        <v>881</v>
      </c>
      <c r="H1768">
        <v>1006</v>
      </c>
      <c r="I1768">
        <v>10.66</v>
      </c>
      <c r="J1768">
        <v>10.67</v>
      </c>
      <c r="K1768" t="s">
        <v>10272</v>
      </c>
      <c r="L1768">
        <v>2.51</v>
      </c>
      <c r="M1768" t="s">
        <v>46</v>
      </c>
      <c r="N1768" t="s">
        <v>5763</v>
      </c>
      <c r="O1768">
        <v>10.97</v>
      </c>
      <c r="P1768">
        <v>10.33</v>
      </c>
      <c r="Q1768">
        <v>10.42</v>
      </c>
      <c r="R1768">
        <v>10.41</v>
      </c>
      <c r="S1768">
        <v>6.15</v>
      </c>
      <c r="T1768">
        <v>3.84</v>
      </c>
      <c r="U1768">
        <v>11.32</v>
      </c>
      <c r="V1768">
        <v>155</v>
      </c>
      <c r="W1768">
        <v>10.7</v>
      </c>
      <c r="X1768" t="s">
        <v>7068</v>
      </c>
      <c r="Y1768" t="s">
        <v>7642</v>
      </c>
      <c r="Z1768">
        <v>1.03</v>
      </c>
      <c r="AA1768">
        <v>114</v>
      </c>
      <c r="AB1768">
        <v>153</v>
      </c>
      <c r="AC1768">
        <v>2.27</v>
      </c>
      <c r="AD1768" t="s">
        <v>10286</v>
      </c>
      <c r="AE1768" t="s">
        <v>10287</v>
      </c>
      <c r="AF1768" t="s">
        <v>9113</v>
      </c>
      <c r="AG1768" t="s">
        <v>4744</v>
      </c>
      <c r="AH1768">
        <v>0.76</v>
      </c>
      <c r="AI1768">
        <v>0.95</v>
      </c>
      <c r="AJ1768">
        <v>3.66</v>
      </c>
      <c r="AK1768">
        <v>5.78</v>
      </c>
      <c r="AL1768">
        <v>1</v>
      </c>
      <c r="AM1768">
        <v>2.5</v>
      </c>
      <c r="AN1768">
        <v>6.49</v>
      </c>
      <c r="AO1768">
        <v>2.11</v>
      </c>
      <c r="AP1768">
        <v>8.55</v>
      </c>
    </row>
    <row r="1769" spans="1:42">
      <c r="A1769">
        <v>1768</v>
      </c>
      <c r="B1769" t="str">
        <f>"000982"</f>
        <v>000982</v>
      </c>
      <c r="C1769" t="s">
        <v>10288</v>
      </c>
      <c r="D1769">
        <v>1.59</v>
      </c>
      <c r="E1769">
        <v>1.92</v>
      </c>
      <c r="F1769">
        <v>0.03</v>
      </c>
      <c r="G1769" t="s">
        <v>10289</v>
      </c>
      <c r="H1769" t="s">
        <v>7836</v>
      </c>
      <c r="I1769">
        <v>1.58</v>
      </c>
      <c r="J1769">
        <v>1.59</v>
      </c>
      <c r="K1769" t="s">
        <v>10272</v>
      </c>
      <c r="L1769">
        <v>1.66</v>
      </c>
      <c r="M1769" t="s">
        <v>46</v>
      </c>
      <c r="N1769" t="s">
        <v>3556</v>
      </c>
      <c r="O1769">
        <v>1.6</v>
      </c>
      <c r="P1769">
        <v>1.56</v>
      </c>
      <c r="Q1769">
        <v>1.57</v>
      </c>
      <c r="R1769">
        <v>1.56</v>
      </c>
      <c r="S1769">
        <v>2.56</v>
      </c>
      <c r="T1769">
        <v>0.93</v>
      </c>
      <c r="U1769">
        <v>12.14</v>
      </c>
      <c r="V1769" t="s">
        <v>4928</v>
      </c>
      <c r="W1769">
        <v>1.58</v>
      </c>
      <c r="X1769" t="s">
        <v>1462</v>
      </c>
      <c r="Y1769" t="s">
        <v>4109</v>
      </c>
      <c r="Z1769">
        <v>0.39</v>
      </c>
      <c r="AA1769" t="s">
        <v>6478</v>
      </c>
      <c r="AB1769" t="s">
        <v>144</v>
      </c>
      <c r="AC1769">
        <v>5.54</v>
      </c>
      <c r="AD1769" t="s">
        <v>10290</v>
      </c>
      <c r="AE1769" t="s">
        <v>10291</v>
      </c>
      <c r="AF1769" t="s">
        <v>10290</v>
      </c>
      <c r="AG1769" t="s">
        <v>10291</v>
      </c>
      <c r="AH1769">
        <v>1.27</v>
      </c>
      <c r="AI1769">
        <v>-3.05</v>
      </c>
      <c r="AJ1769">
        <v>4.53</v>
      </c>
      <c r="AK1769">
        <v>10.55</v>
      </c>
      <c r="AL1769">
        <v>1</v>
      </c>
      <c r="AM1769">
        <v>1.92</v>
      </c>
      <c r="AN1769">
        <v>-10.67</v>
      </c>
      <c r="AO1769">
        <v>0.63</v>
      </c>
      <c r="AP1769">
        <v>-19.29</v>
      </c>
    </row>
    <row r="1770" spans="1:42">
      <c r="A1770">
        <v>1769</v>
      </c>
      <c r="B1770" t="str">
        <f>"603556"</f>
        <v>603556</v>
      </c>
      <c r="C1770" t="s">
        <v>10292</v>
      </c>
      <c r="D1770">
        <v>26</v>
      </c>
      <c r="E1770">
        <v>-1.18</v>
      </c>
      <c r="F1770">
        <v>-0.31</v>
      </c>
      <c r="G1770" t="s">
        <v>5785</v>
      </c>
      <c r="H1770">
        <v>159</v>
      </c>
      <c r="I1770">
        <v>26</v>
      </c>
      <c r="J1770">
        <v>26.01</v>
      </c>
      <c r="K1770" t="s">
        <v>10272</v>
      </c>
      <c r="L1770">
        <v>0.88</v>
      </c>
      <c r="M1770" t="s">
        <v>46</v>
      </c>
      <c r="N1770" t="s">
        <v>10293</v>
      </c>
      <c r="O1770">
        <v>26.58</v>
      </c>
      <c r="P1770">
        <v>25.91</v>
      </c>
      <c r="Q1770">
        <v>26.28</v>
      </c>
      <c r="R1770">
        <v>26.31</v>
      </c>
      <c r="S1770">
        <v>2.55</v>
      </c>
      <c r="T1770">
        <v>1</v>
      </c>
      <c r="U1770">
        <v>5.39</v>
      </c>
      <c r="V1770">
        <v>13</v>
      </c>
      <c r="W1770">
        <v>26.15</v>
      </c>
      <c r="X1770" t="s">
        <v>5585</v>
      </c>
      <c r="Y1770" t="s">
        <v>5710</v>
      </c>
      <c r="Z1770">
        <v>0.84</v>
      </c>
      <c r="AA1770">
        <v>21</v>
      </c>
      <c r="AB1770">
        <v>1</v>
      </c>
      <c r="AC1770">
        <v>2.01</v>
      </c>
      <c r="AD1770" t="s">
        <v>10294</v>
      </c>
      <c r="AE1770" t="s">
        <v>10295</v>
      </c>
      <c r="AF1770" t="s">
        <v>10294</v>
      </c>
      <c r="AG1770" t="s">
        <v>10295</v>
      </c>
      <c r="AH1770">
        <v>-0.04</v>
      </c>
      <c r="AI1770">
        <v>7.71</v>
      </c>
      <c r="AJ1770">
        <v>2.27</v>
      </c>
      <c r="AK1770">
        <v>5.23</v>
      </c>
      <c r="AL1770">
        <v>-1</v>
      </c>
      <c r="AM1770">
        <v>-1.18</v>
      </c>
      <c r="AN1770">
        <v>53.85</v>
      </c>
      <c r="AO1770">
        <v>13.44</v>
      </c>
      <c r="AP1770">
        <v>37.35</v>
      </c>
    </row>
    <row r="1771" spans="1:42">
      <c r="A1771">
        <v>1770</v>
      </c>
      <c r="B1771" t="str">
        <f>"002471"</f>
        <v>002471</v>
      </c>
      <c r="C1771" t="s">
        <v>10296</v>
      </c>
      <c r="D1771">
        <v>3.11</v>
      </c>
      <c r="E1771">
        <v>0</v>
      </c>
      <c r="F1771">
        <v>0</v>
      </c>
      <c r="G1771" t="s">
        <v>999</v>
      </c>
      <c r="H1771">
        <v>7765</v>
      </c>
      <c r="I1771">
        <v>3.11</v>
      </c>
      <c r="J1771">
        <v>3.12</v>
      </c>
      <c r="K1771" t="s">
        <v>10272</v>
      </c>
      <c r="L1771">
        <v>2.84</v>
      </c>
      <c r="M1771" t="s">
        <v>46</v>
      </c>
      <c r="N1771" t="s">
        <v>4144</v>
      </c>
      <c r="O1771">
        <v>3.13</v>
      </c>
      <c r="P1771">
        <v>3.07</v>
      </c>
      <c r="Q1771">
        <v>3.1</v>
      </c>
      <c r="R1771">
        <v>3.11</v>
      </c>
      <c r="S1771">
        <v>1.93</v>
      </c>
      <c r="T1771">
        <v>0.42</v>
      </c>
      <c r="U1771">
        <v>15.1</v>
      </c>
      <c r="V1771" t="s">
        <v>1400</v>
      </c>
      <c r="W1771">
        <v>3.11</v>
      </c>
      <c r="X1771" t="s">
        <v>106</v>
      </c>
      <c r="Y1771" t="s">
        <v>2778</v>
      </c>
      <c r="Z1771">
        <v>1.17</v>
      </c>
      <c r="AA1771">
        <v>4987</v>
      </c>
      <c r="AB1771">
        <v>1659</v>
      </c>
      <c r="AC1771">
        <v>2.4</v>
      </c>
      <c r="AD1771" t="s">
        <v>10297</v>
      </c>
      <c r="AE1771" t="s">
        <v>4990</v>
      </c>
      <c r="AF1771" t="s">
        <v>2255</v>
      </c>
      <c r="AG1771" t="s">
        <v>10298</v>
      </c>
      <c r="AH1771">
        <v>-1.58</v>
      </c>
      <c r="AI1771">
        <v>1.63</v>
      </c>
      <c r="AJ1771">
        <v>11.61</v>
      </c>
      <c r="AK1771">
        <v>36.67</v>
      </c>
      <c r="AL1771">
        <v>0</v>
      </c>
      <c r="AM1771">
        <v>0</v>
      </c>
      <c r="AN1771">
        <v>19.16</v>
      </c>
      <c r="AO1771">
        <v>9.12</v>
      </c>
      <c r="AP1771">
        <v>7.24</v>
      </c>
    </row>
    <row r="1772" spans="1:42">
      <c r="A1772">
        <v>1771</v>
      </c>
      <c r="B1772" t="str">
        <f>"300354"</f>
        <v>300354</v>
      </c>
      <c r="C1772" t="s">
        <v>10299</v>
      </c>
      <c r="D1772">
        <v>45.57</v>
      </c>
      <c r="E1772">
        <v>-0.93</v>
      </c>
      <c r="F1772">
        <v>-0.43</v>
      </c>
      <c r="G1772" t="s">
        <v>2389</v>
      </c>
      <c r="H1772">
        <v>452</v>
      </c>
      <c r="I1772">
        <v>45.5</v>
      </c>
      <c r="J1772">
        <v>45.57</v>
      </c>
      <c r="K1772" t="s">
        <v>10272</v>
      </c>
      <c r="L1772">
        <v>3.08</v>
      </c>
      <c r="M1772" t="s">
        <v>46</v>
      </c>
      <c r="N1772" t="s">
        <v>4714</v>
      </c>
      <c r="O1772">
        <v>46.48</v>
      </c>
      <c r="P1772">
        <v>44.59</v>
      </c>
      <c r="Q1772">
        <v>45.18</v>
      </c>
      <c r="R1772">
        <v>46</v>
      </c>
      <c r="S1772">
        <v>4.11</v>
      </c>
      <c r="T1772">
        <v>0.76</v>
      </c>
      <c r="U1772">
        <v>0.41</v>
      </c>
      <c r="V1772">
        <v>1</v>
      </c>
      <c r="W1772">
        <v>45.33</v>
      </c>
      <c r="X1772" t="s">
        <v>8636</v>
      </c>
      <c r="Y1772" t="s">
        <v>682</v>
      </c>
      <c r="Z1772">
        <v>0.95</v>
      </c>
      <c r="AA1772">
        <v>5</v>
      </c>
      <c r="AB1772">
        <v>58</v>
      </c>
      <c r="AC1772">
        <v>9.47</v>
      </c>
      <c r="AD1772" t="s">
        <v>6383</v>
      </c>
      <c r="AE1772" t="s">
        <v>2060</v>
      </c>
      <c r="AF1772" t="s">
        <v>10300</v>
      </c>
      <c r="AG1772" t="s">
        <v>2846</v>
      </c>
      <c r="AH1772">
        <v>2.45</v>
      </c>
      <c r="AI1772">
        <v>6.75</v>
      </c>
      <c r="AJ1772">
        <v>15.54</v>
      </c>
      <c r="AK1772">
        <v>23.32</v>
      </c>
      <c r="AL1772">
        <v>-2</v>
      </c>
      <c r="AM1772">
        <v>-0.93</v>
      </c>
      <c r="AN1772">
        <v>19.83</v>
      </c>
      <c r="AO1772">
        <v>37.67</v>
      </c>
      <c r="AP1772">
        <v>22.53</v>
      </c>
    </row>
    <row r="1773" spans="1:42">
      <c r="A1773">
        <v>1772</v>
      </c>
      <c r="B1773" t="str">
        <f>"603927"</f>
        <v>603927</v>
      </c>
      <c r="C1773" t="s">
        <v>10301</v>
      </c>
      <c r="D1773">
        <v>31.89</v>
      </c>
      <c r="E1773">
        <v>2.28</v>
      </c>
      <c r="F1773">
        <v>0.71</v>
      </c>
      <c r="G1773" t="s">
        <v>1069</v>
      </c>
      <c r="H1773">
        <v>248</v>
      </c>
      <c r="I1773">
        <v>31.88</v>
      </c>
      <c r="J1773">
        <v>31.89</v>
      </c>
      <c r="K1773" t="s">
        <v>10272</v>
      </c>
      <c r="L1773">
        <v>0.6</v>
      </c>
      <c r="M1773" t="s">
        <v>46</v>
      </c>
      <c r="N1773" t="s">
        <v>10302</v>
      </c>
      <c r="O1773">
        <v>32.2</v>
      </c>
      <c r="P1773">
        <v>30.94</v>
      </c>
      <c r="Q1773">
        <v>31.09</v>
      </c>
      <c r="R1773">
        <v>31.18</v>
      </c>
      <c r="S1773">
        <v>4.04</v>
      </c>
      <c r="T1773">
        <v>1.07</v>
      </c>
      <c r="U1773">
        <v>-21.81</v>
      </c>
      <c r="V1773">
        <v>-135</v>
      </c>
      <c r="W1773">
        <v>31.56</v>
      </c>
      <c r="X1773" t="s">
        <v>4977</v>
      </c>
      <c r="Y1773" t="s">
        <v>1455</v>
      </c>
      <c r="Z1773">
        <v>0.81</v>
      </c>
      <c r="AA1773">
        <v>10</v>
      </c>
      <c r="AB1773">
        <v>135</v>
      </c>
      <c r="AC1773">
        <v>6.35</v>
      </c>
      <c r="AD1773" t="s">
        <v>10303</v>
      </c>
      <c r="AE1773" t="s">
        <v>4170</v>
      </c>
      <c r="AF1773" t="s">
        <v>10303</v>
      </c>
      <c r="AG1773" t="s">
        <v>4170</v>
      </c>
      <c r="AH1773">
        <v>0.06</v>
      </c>
      <c r="AI1773">
        <v>-3.31</v>
      </c>
      <c r="AJ1773">
        <v>1.77</v>
      </c>
      <c r="AK1773">
        <v>3.39</v>
      </c>
      <c r="AL1773">
        <v>1</v>
      </c>
      <c r="AM1773">
        <v>2.28</v>
      </c>
      <c r="AN1773">
        <v>9.74</v>
      </c>
      <c r="AO1773">
        <v>4.56</v>
      </c>
      <c r="AP1773">
        <v>1.14</v>
      </c>
    </row>
    <row r="1774" spans="1:42">
      <c r="A1774">
        <v>1773</v>
      </c>
      <c r="B1774" t="str">
        <f>"600776"</f>
        <v>600776</v>
      </c>
      <c r="C1774" t="s">
        <v>10304</v>
      </c>
      <c r="D1774">
        <v>12.15</v>
      </c>
      <c r="E1774">
        <v>1.33</v>
      </c>
      <c r="F1774">
        <v>0.16</v>
      </c>
      <c r="G1774" t="s">
        <v>2297</v>
      </c>
      <c r="H1774">
        <v>1428</v>
      </c>
      <c r="I1774">
        <v>12.15</v>
      </c>
      <c r="J1774">
        <v>12.16</v>
      </c>
      <c r="K1774" t="s">
        <v>10272</v>
      </c>
      <c r="L1774">
        <v>0.97</v>
      </c>
      <c r="M1774" t="s">
        <v>46</v>
      </c>
      <c r="N1774" t="s">
        <v>4428</v>
      </c>
      <c r="O1774">
        <v>12.18</v>
      </c>
      <c r="P1774">
        <v>11.91</v>
      </c>
      <c r="Q1774">
        <v>11.92</v>
      </c>
      <c r="R1774">
        <v>11.99</v>
      </c>
      <c r="S1774">
        <v>2.25</v>
      </c>
      <c r="T1774">
        <v>0.76</v>
      </c>
      <c r="U1774">
        <v>-38.52</v>
      </c>
      <c r="V1774">
        <v>-3184</v>
      </c>
      <c r="W1774">
        <v>12.1</v>
      </c>
      <c r="X1774" t="s">
        <v>1312</v>
      </c>
      <c r="Y1774" t="s">
        <v>2735</v>
      </c>
      <c r="Z1774">
        <v>0.67</v>
      </c>
      <c r="AA1774">
        <v>808</v>
      </c>
      <c r="AB1774">
        <v>247</v>
      </c>
      <c r="AC1774">
        <v>4.49</v>
      </c>
      <c r="AD1774" t="s">
        <v>62</v>
      </c>
      <c r="AE1774" t="s">
        <v>10305</v>
      </c>
      <c r="AF1774" t="s">
        <v>7702</v>
      </c>
      <c r="AG1774" t="s">
        <v>10306</v>
      </c>
      <c r="AH1774">
        <v>0.91</v>
      </c>
      <c r="AI1774">
        <v>-1.46</v>
      </c>
      <c r="AJ1774">
        <v>2.92</v>
      </c>
      <c r="AK1774">
        <v>7.34</v>
      </c>
      <c r="AL1774">
        <v>1</v>
      </c>
      <c r="AM1774">
        <v>1.33</v>
      </c>
      <c r="AN1774">
        <v>33.52</v>
      </c>
      <c r="AO1774">
        <v>-8.37</v>
      </c>
      <c r="AP1774">
        <v>15.94</v>
      </c>
    </row>
    <row r="1775" spans="1:42">
      <c r="A1775">
        <v>1774</v>
      </c>
      <c r="B1775" t="str">
        <f>"688512"</f>
        <v>688512</v>
      </c>
      <c r="C1775" t="s">
        <v>10307</v>
      </c>
      <c r="D1775">
        <v>20.5</v>
      </c>
      <c r="E1775">
        <v>3.38</v>
      </c>
      <c r="F1775">
        <v>0.67</v>
      </c>
      <c r="G1775" t="s">
        <v>1503</v>
      </c>
      <c r="H1775">
        <v>943</v>
      </c>
      <c r="I1775">
        <v>20.49</v>
      </c>
      <c r="J1775">
        <v>20.5</v>
      </c>
      <c r="K1775" t="s">
        <v>10272</v>
      </c>
      <c r="L1775">
        <v>10.71</v>
      </c>
      <c r="M1775" t="s">
        <v>46</v>
      </c>
      <c r="N1775" t="s">
        <v>3624</v>
      </c>
      <c r="O1775">
        <v>20.5</v>
      </c>
      <c r="P1775">
        <v>19.03</v>
      </c>
      <c r="Q1775">
        <v>20</v>
      </c>
      <c r="R1775">
        <v>19.83</v>
      </c>
      <c r="S1775">
        <v>7.41</v>
      </c>
      <c r="T1775">
        <v>1.44</v>
      </c>
      <c r="U1775">
        <v>-59.77</v>
      </c>
      <c r="V1775">
        <v>-324</v>
      </c>
      <c r="W1775">
        <v>19.62</v>
      </c>
      <c r="X1775" t="s">
        <v>3121</v>
      </c>
      <c r="Y1775" t="s">
        <v>7649</v>
      </c>
      <c r="Z1775">
        <v>0.93</v>
      </c>
      <c r="AA1775">
        <v>44</v>
      </c>
      <c r="AB1775">
        <v>226</v>
      </c>
      <c r="AC1775">
        <v>4.15</v>
      </c>
      <c r="AD1775" t="s">
        <v>9089</v>
      </c>
      <c r="AE1775" t="s">
        <v>10308</v>
      </c>
      <c r="AF1775" t="s">
        <v>10309</v>
      </c>
      <c r="AG1775" t="s">
        <v>10310</v>
      </c>
      <c r="AH1775">
        <v>7.61</v>
      </c>
      <c r="AI1775">
        <v>10.04</v>
      </c>
      <c r="AJ1775">
        <v>35.81</v>
      </c>
      <c r="AK1775">
        <v>47.91</v>
      </c>
      <c r="AL1775">
        <v>5</v>
      </c>
      <c r="AM1775">
        <v>3.38</v>
      </c>
      <c r="AN1775">
        <v>-2.01</v>
      </c>
      <c r="AO1775">
        <v>8.7</v>
      </c>
      <c r="AP1775">
        <v>-2.01</v>
      </c>
    </row>
    <row r="1776" spans="1:42">
      <c r="A1776">
        <v>1775</v>
      </c>
      <c r="B1776" t="str">
        <f>"430478"</f>
        <v>430478</v>
      </c>
      <c r="C1776" t="s">
        <v>10311</v>
      </c>
      <c r="D1776">
        <v>23.93</v>
      </c>
      <c r="E1776">
        <v>-9.77</v>
      </c>
      <c r="F1776">
        <v>-2.59</v>
      </c>
      <c r="G1776" t="s">
        <v>4766</v>
      </c>
      <c r="H1776">
        <v>387</v>
      </c>
      <c r="I1776">
        <v>23.93</v>
      </c>
      <c r="J1776">
        <v>23.95</v>
      </c>
      <c r="K1776" t="s">
        <v>6902</v>
      </c>
      <c r="L1776">
        <v>23.24</v>
      </c>
      <c r="M1776" t="s">
        <v>46</v>
      </c>
      <c r="N1776" t="s">
        <v>8057</v>
      </c>
      <c r="O1776">
        <v>26.85</v>
      </c>
      <c r="P1776">
        <v>23.52</v>
      </c>
      <c r="Q1776">
        <v>25.65</v>
      </c>
      <c r="R1776">
        <v>26.52</v>
      </c>
      <c r="S1776">
        <v>12.56</v>
      </c>
      <c r="T1776">
        <v>0.46</v>
      </c>
      <c r="U1776">
        <v>-26.04</v>
      </c>
      <c r="V1776">
        <v>-150</v>
      </c>
      <c r="W1776">
        <v>24.96</v>
      </c>
      <c r="X1776" t="s">
        <v>5420</v>
      </c>
      <c r="Y1776" t="s">
        <v>876</v>
      </c>
      <c r="Z1776">
        <v>1.57</v>
      </c>
      <c r="AA1776">
        <v>43</v>
      </c>
      <c r="AB1776">
        <v>71</v>
      </c>
      <c r="AC1776">
        <v>2.15</v>
      </c>
      <c r="AD1776" t="s">
        <v>10312</v>
      </c>
      <c r="AE1776" t="s">
        <v>10313</v>
      </c>
      <c r="AF1776" t="s">
        <v>10314</v>
      </c>
      <c r="AG1776" t="s">
        <v>3034</v>
      </c>
      <c r="AH1776">
        <v>-18.3</v>
      </c>
      <c r="AI1776">
        <v>4.59</v>
      </c>
      <c r="AJ1776">
        <v>93.04</v>
      </c>
      <c r="AK1776">
        <v>278.23</v>
      </c>
      <c r="AL1776">
        <v>-1</v>
      </c>
      <c r="AM1776">
        <v>-9.77</v>
      </c>
      <c r="AN1776">
        <v>-6.67</v>
      </c>
      <c r="AO1776">
        <v>70.56</v>
      </c>
      <c r="AP1776">
        <v>-6.67</v>
      </c>
    </row>
    <row r="1777" spans="1:42">
      <c r="A1777">
        <v>1776</v>
      </c>
      <c r="B1777" t="str">
        <f>"002270"</f>
        <v>002270</v>
      </c>
      <c r="C1777" t="s">
        <v>10315</v>
      </c>
      <c r="D1777">
        <v>13.49</v>
      </c>
      <c r="E1777">
        <v>0.22</v>
      </c>
      <c r="F1777">
        <v>0.03</v>
      </c>
      <c r="G1777" t="s">
        <v>5968</v>
      </c>
      <c r="H1777">
        <v>1040</v>
      </c>
      <c r="I1777">
        <v>13.48</v>
      </c>
      <c r="J1777">
        <v>13.49</v>
      </c>
      <c r="K1777" t="s">
        <v>6902</v>
      </c>
      <c r="L1777">
        <v>1.1</v>
      </c>
      <c r="M1777" t="s">
        <v>46</v>
      </c>
      <c r="N1777" t="s">
        <v>4326</v>
      </c>
      <c r="O1777">
        <v>13.55</v>
      </c>
      <c r="P1777">
        <v>13.2</v>
      </c>
      <c r="Q1777">
        <v>13.43</v>
      </c>
      <c r="R1777">
        <v>13.46</v>
      </c>
      <c r="S1777">
        <v>2.6</v>
      </c>
      <c r="T1777">
        <v>0.71</v>
      </c>
      <c r="U1777">
        <v>-22.8</v>
      </c>
      <c r="V1777">
        <v>-517</v>
      </c>
      <c r="W1777">
        <v>13.4</v>
      </c>
      <c r="X1777" t="s">
        <v>2921</v>
      </c>
      <c r="Y1777" t="s">
        <v>5767</v>
      </c>
      <c r="Z1777">
        <v>1</v>
      </c>
      <c r="AA1777">
        <v>126</v>
      </c>
      <c r="AB1777">
        <v>59</v>
      </c>
      <c r="AC1777">
        <v>3.68</v>
      </c>
      <c r="AD1777" t="s">
        <v>10316</v>
      </c>
      <c r="AE1777" t="s">
        <v>8543</v>
      </c>
      <c r="AF1777" t="s">
        <v>10317</v>
      </c>
      <c r="AG1777" t="s">
        <v>10318</v>
      </c>
      <c r="AH1777">
        <v>1.66</v>
      </c>
      <c r="AI1777">
        <v>4.82</v>
      </c>
      <c r="AJ1777">
        <v>3.38</v>
      </c>
      <c r="AK1777">
        <v>8.81</v>
      </c>
      <c r="AL1777">
        <v>3</v>
      </c>
      <c r="AM1777">
        <v>0.22</v>
      </c>
      <c r="AN1777">
        <v>89.2</v>
      </c>
      <c r="AO1777">
        <v>7.23</v>
      </c>
      <c r="AP1777">
        <v>77.27</v>
      </c>
    </row>
    <row r="1778" spans="1:42">
      <c r="A1778">
        <v>1777</v>
      </c>
      <c r="B1778" t="str">
        <f>"600057"</f>
        <v>600057</v>
      </c>
      <c r="C1778" t="s">
        <v>10319</v>
      </c>
      <c r="D1778">
        <v>6.67</v>
      </c>
      <c r="E1778">
        <v>0.76</v>
      </c>
      <c r="F1778">
        <v>0.05</v>
      </c>
      <c r="G1778" t="s">
        <v>1439</v>
      </c>
      <c r="H1778">
        <v>852</v>
      </c>
      <c r="I1778">
        <v>6.67</v>
      </c>
      <c r="J1778">
        <v>6.68</v>
      </c>
      <c r="K1778" t="s">
        <v>6902</v>
      </c>
      <c r="L1778">
        <v>0.78</v>
      </c>
      <c r="M1778" t="s">
        <v>46</v>
      </c>
      <c r="N1778" t="s">
        <v>10320</v>
      </c>
      <c r="O1778">
        <v>6.76</v>
      </c>
      <c r="P1778">
        <v>6.61</v>
      </c>
      <c r="Q1778">
        <v>6.63</v>
      </c>
      <c r="R1778">
        <v>6.62</v>
      </c>
      <c r="S1778">
        <v>2.27</v>
      </c>
      <c r="T1778">
        <v>1.29</v>
      </c>
      <c r="U1778">
        <v>-37.01</v>
      </c>
      <c r="V1778">
        <v>-5110</v>
      </c>
      <c r="W1778">
        <v>6.68</v>
      </c>
      <c r="X1778" t="s">
        <v>5564</v>
      </c>
      <c r="Y1778" t="s">
        <v>4893</v>
      </c>
      <c r="Z1778">
        <v>0.91</v>
      </c>
      <c r="AA1778">
        <v>1435</v>
      </c>
      <c r="AB1778">
        <v>1275</v>
      </c>
      <c r="AC1778">
        <v>1.03</v>
      </c>
      <c r="AD1778" t="s">
        <v>9656</v>
      </c>
      <c r="AE1778" t="s">
        <v>8803</v>
      </c>
      <c r="AF1778" t="s">
        <v>260</v>
      </c>
      <c r="AG1778" t="s">
        <v>10321</v>
      </c>
      <c r="AH1778">
        <v>0.91</v>
      </c>
      <c r="AI1778">
        <v>1.83</v>
      </c>
      <c r="AJ1778">
        <v>1.8</v>
      </c>
      <c r="AK1778">
        <v>3.77</v>
      </c>
      <c r="AL1778">
        <v>2</v>
      </c>
      <c r="AM1778">
        <v>0.76</v>
      </c>
      <c r="AN1778">
        <v>-30.95</v>
      </c>
      <c r="AO1778">
        <v>3.09</v>
      </c>
      <c r="AP1778">
        <v>-34.99</v>
      </c>
    </row>
    <row r="1779" spans="1:42">
      <c r="A1779">
        <v>1778</v>
      </c>
      <c r="B1779" t="str">
        <f>"002993"</f>
        <v>002993</v>
      </c>
      <c r="C1779" t="s">
        <v>10322</v>
      </c>
      <c r="D1779">
        <v>39.3</v>
      </c>
      <c r="E1779">
        <v>1.76</v>
      </c>
      <c r="F1779">
        <v>0.68</v>
      </c>
      <c r="G1779" t="s">
        <v>6768</v>
      </c>
      <c r="H1779">
        <v>256</v>
      </c>
      <c r="I1779">
        <v>39.29</v>
      </c>
      <c r="J1779">
        <v>39.3</v>
      </c>
      <c r="K1779" t="s">
        <v>6902</v>
      </c>
      <c r="L1779">
        <v>1.2</v>
      </c>
      <c r="M1779" t="s">
        <v>46</v>
      </c>
      <c r="N1779" t="s">
        <v>1805</v>
      </c>
      <c r="O1779">
        <v>39.5</v>
      </c>
      <c r="P1779">
        <v>37.87</v>
      </c>
      <c r="Q1779">
        <v>39</v>
      </c>
      <c r="R1779">
        <v>38.62</v>
      </c>
      <c r="S1779">
        <v>4.22</v>
      </c>
      <c r="T1779">
        <v>1.27</v>
      </c>
      <c r="U1779">
        <v>47.26</v>
      </c>
      <c r="V1779">
        <v>149</v>
      </c>
      <c r="W1779">
        <v>38.95</v>
      </c>
      <c r="X1779" t="s">
        <v>8636</v>
      </c>
      <c r="Y1779" t="s">
        <v>390</v>
      </c>
      <c r="Z1779">
        <v>0.73</v>
      </c>
      <c r="AA1779">
        <v>77</v>
      </c>
      <c r="AB1779">
        <v>13</v>
      </c>
      <c r="AC1779">
        <v>2.32</v>
      </c>
      <c r="AD1779" t="s">
        <v>9451</v>
      </c>
      <c r="AE1779" t="s">
        <v>1860</v>
      </c>
      <c r="AF1779" t="s">
        <v>10323</v>
      </c>
      <c r="AG1779" t="s">
        <v>10324</v>
      </c>
      <c r="AH1779">
        <v>1.11</v>
      </c>
      <c r="AI1779">
        <v>-0.58</v>
      </c>
      <c r="AJ1779">
        <v>3.64</v>
      </c>
      <c r="AK1779">
        <v>5.94</v>
      </c>
      <c r="AL1779">
        <v>1</v>
      </c>
      <c r="AM1779">
        <v>1.76</v>
      </c>
      <c r="AN1779">
        <v>17.63</v>
      </c>
      <c r="AO1779">
        <v>4.6</v>
      </c>
      <c r="AP1779">
        <v>9.99</v>
      </c>
    </row>
    <row r="1780" spans="1:42">
      <c r="A1780">
        <v>1779</v>
      </c>
      <c r="B1780" t="str">
        <f>"000065"</f>
        <v>000065</v>
      </c>
      <c r="C1780" t="s">
        <v>10325</v>
      </c>
      <c r="D1780">
        <v>11.23</v>
      </c>
      <c r="E1780">
        <v>2.18</v>
      </c>
      <c r="F1780">
        <v>0.24</v>
      </c>
      <c r="G1780" t="s">
        <v>4706</v>
      </c>
      <c r="H1780">
        <v>935</v>
      </c>
      <c r="I1780">
        <v>11.22</v>
      </c>
      <c r="J1780">
        <v>11.23</v>
      </c>
      <c r="K1780" t="s">
        <v>6902</v>
      </c>
      <c r="L1780">
        <v>1.1</v>
      </c>
      <c r="M1780" t="s">
        <v>46</v>
      </c>
      <c r="N1780" t="s">
        <v>533</v>
      </c>
      <c r="O1780">
        <v>11.28</v>
      </c>
      <c r="P1780">
        <v>10.9</v>
      </c>
      <c r="Q1780">
        <v>10.99</v>
      </c>
      <c r="R1780">
        <v>10.99</v>
      </c>
      <c r="S1780">
        <v>3.46</v>
      </c>
      <c r="T1780">
        <v>1.24</v>
      </c>
      <c r="U1780">
        <v>-14.41</v>
      </c>
      <c r="V1780">
        <v>-808</v>
      </c>
      <c r="W1780">
        <v>11.14</v>
      </c>
      <c r="X1780" t="s">
        <v>3959</v>
      </c>
      <c r="Y1780" t="s">
        <v>5878</v>
      </c>
      <c r="Z1780">
        <v>0.75</v>
      </c>
      <c r="AA1780">
        <v>611</v>
      </c>
      <c r="AB1780">
        <v>751</v>
      </c>
      <c r="AC1780">
        <v>1.38</v>
      </c>
      <c r="AD1780" t="s">
        <v>4895</v>
      </c>
      <c r="AE1780" t="s">
        <v>5895</v>
      </c>
      <c r="AF1780" t="s">
        <v>10326</v>
      </c>
      <c r="AG1780" t="s">
        <v>1058</v>
      </c>
      <c r="AH1780">
        <v>0.09</v>
      </c>
      <c r="AI1780">
        <v>-2.18</v>
      </c>
      <c r="AJ1780">
        <v>2.64</v>
      </c>
      <c r="AK1780">
        <v>5.57</v>
      </c>
      <c r="AL1780">
        <v>1</v>
      </c>
      <c r="AM1780">
        <v>2.18</v>
      </c>
      <c r="AN1780">
        <v>37.12</v>
      </c>
      <c r="AO1780">
        <v>-0.97</v>
      </c>
      <c r="AP1780">
        <v>26.89</v>
      </c>
    </row>
    <row r="1781" spans="1:42">
      <c r="A1781">
        <v>1780</v>
      </c>
      <c r="B1781" t="str">
        <f>"300805"</f>
        <v>300805</v>
      </c>
      <c r="C1781" t="s">
        <v>10327</v>
      </c>
      <c r="D1781">
        <v>9.52</v>
      </c>
      <c r="E1781">
        <v>4.62</v>
      </c>
      <c r="F1781">
        <v>0.42</v>
      </c>
      <c r="G1781" t="s">
        <v>1540</v>
      </c>
      <c r="H1781">
        <v>1245</v>
      </c>
      <c r="I1781">
        <v>9.51</v>
      </c>
      <c r="J1781">
        <v>9.52</v>
      </c>
      <c r="K1781" t="s">
        <v>6902</v>
      </c>
      <c r="L1781">
        <v>4.1</v>
      </c>
      <c r="M1781" t="s">
        <v>46</v>
      </c>
      <c r="N1781" t="s">
        <v>7965</v>
      </c>
      <c r="O1781">
        <v>9.58</v>
      </c>
      <c r="P1781">
        <v>9.11</v>
      </c>
      <c r="Q1781">
        <v>9.11</v>
      </c>
      <c r="R1781">
        <v>9.1</v>
      </c>
      <c r="S1781">
        <v>5.16</v>
      </c>
      <c r="T1781">
        <v>1.18</v>
      </c>
      <c r="U1781">
        <v>-31.88</v>
      </c>
      <c r="V1781">
        <v>-995</v>
      </c>
      <c r="W1781">
        <v>9.43</v>
      </c>
      <c r="X1781" t="s">
        <v>3319</v>
      </c>
      <c r="Y1781" t="s">
        <v>2567</v>
      </c>
      <c r="Z1781">
        <v>0.72</v>
      </c>
      <c r="AA1781">
        <v>277</v>
      </c>
      <c r="AB1781">
        <v>281</v>
      </c>
      <c r="AC1781">
        <v>2.65</v>
      </c>
      <c r="AD1781" t="s">
        <v>10328</v>
      </c>
      <c r="AE1781" t="s">
        <v>10329</v>
      </c>
      <c r="AF1781" t="s">
        <v>10330</v>
      </c>
      <c r="AG1781" t="s">
        <v>10331</v>
      </c>
      <c r="AH1781">
        <v>2.15</v>
      </c>
      <c r="AI1781">
        <v>2.92</v>
      </c>
      <c r="AJ1781">
        <v>8.82</v>
      </c>
      <c r="AK1781">
        <v>21.51</v>
      </c>
      <c r="AL1781">
        <v>1</v>
      </c>
      <c r="AM1781">
        <v>4.62</v>
      </c>
      <c r="AN1781">
        <v>39.59</v>
      </c>
      <c r="AO1781">
        <v>8.3</v>
      </c>
      <c r="AP1781">
        <v>29.88</v>
      </c>
    </row>
    <row r="1782" spans="1:42">
      <c r="A1782">
        <v>1781</v>
      </c>
      <c r="B1782" t="str">
        <f>"002966"</f>
        <v>002966</v>
      </c>
      <c r="C1782" t="s">
        <v>10332</v>
      </c>
      <c r="D1782">
        <v>6.43</v>
      </c>
      <c r="E1782">
        <v>-0.92</v>
      </c>
      <c r="F1782">
        <v>-0.06</v>
      </c>
      <c r="G1782" t="s">
        <v>2915</v>
      </c>
      <c r="H1782">
        <v>1711</v>
      </c>
      <c r="I1782">
        <v>6.43</v>
      </c>
      <c r="J1782">
        <v>6.44</v>
      </c>
      <c r="K1782" t="s">
        <v>6902</v>
      </c>
      <c r="L1782">
        <v>0.48</v>
      </c>
      <c r="M1782" t="s">
        <v>46</v>
      </c>
      <c r="N1782" t="s">
        <v>2442</v>
      </c>
      <c r="O1782">
        <v>6.52</v>
      </c>
      <c r="P1782">
        <v>6.4</v>
      </c>
      <c r="Q1782">
        <v>6.48</v>
      </c>
      <c r="R1782">
        <v>6.49</v>
      </c>
      <c r="S1782">
        <v>1.85</v>
      </c>
      <c r="T1782">
        <v>0.62</v>
      </c>
      <c r="U1782">
        <v>9.41</v>
      </c>
      <c r="V1782">
        <v>1077</v>
      </c>
      <c r="W1782">
        <v>6.45</v>
      </c>
      <c r="X1782" t="s">
        <v>4417</v>
      </c>
      <c r="Y1782" t="s">
        <v>5815</v>
      </c>
      <c r="Z1782">
        <v>1.37</v>
      </c>
      <c r="AA1782">
        <v>1000</v>
      </c>
      <c r="AB1782">
        <v>198</v>
      </c>
      <c r="AC1782">
        <v>0.62</v>
      </c>
      <c r="AD1782" t="s">
        <v>10333</v>
      </c>
      <c r="AE1782" t="s">
        <v>10334</v>
      </c>
      <c r="AF1782" t="s">
        <v>8626</v>
      </c>
      <c r="AG1782" t="s">
        <v>10335</v>
      </c>
      <c r="AH1782">
        <v>-0.62</v>
      </c>
      <c r="AI1782">
        <v>-0.16</v>
      </c>
      <c r="AJ1782">
        <v>2.16</v>
      </c>
      <c r="AK1782">
        <v>4.4</v>
      </c>
      <c r="AL1782">
        <v>-1</v>
      </c>
      <c r="AM1782">
        <v>-0.92</v>
      </c>
      <c r="AN1782">
        <v>-13.69</v>
      </c>
      <c r="AO1782">
        <v>2.72</v>
      </c>
      <c r="AP1782">
        <v>-6.4</v>
      </c>
    </row>
    <row r="1783" spans="1:42">
      <c r="A1783">
        <v>1782</v>
      </c>
      <c r="B1783" t="str">
        <f>"301391"</f>
        <v>301391</v>
      </c>
      <c r="C1783" t="s">
        <v>10336</v>
      </c>
      <c r="D1783">
        <v>108.7</v>
      </c>
      <c r="E1783">
        <v>4.62</v>
      </c>
      <c r="F1783">
        <v>4.8</v>
      </c>
      <c r="G1783" t="s">
        <v>1154</v>
      </c>
      <c r="H1783">
        <v>56</v>
      </c>
      <c r="I1783">
        <v>108.66</v>
      </c>
      <c r="J1783">
        <v>108.7</v>
      </c>
      <c r="K1783" t="s">
        <v>6902</v>
      </c>
      <c r="L1783">
        <v>2.88</v>
      </c>
      <c r="M1783" t="s">
        <v>46</v>
      </c>
      <c r="N1783" t="s">
        <v>2500</v>
      </c>
      <c r="O1783">
        <v>109.8</v>
      </c>
      <c r="P1783">
        <v>103.32</v>
      </c>
      <c r="Q1783">
        <v>104</v>
      </c>
      <c r="R1783">
        <v>103.9</v>
      </c>
      <c r="S1783">
        <v>6.24</v>
      </c>
      <c r="T1783">
        <v>2.59</v>
      </c>
      <c r="U1783">
        <v>-9.68</v>
      </c>
      <c r="V1783">
        <v>-16</v>
      </c>
      <c r="W1783">
        <v>107.39</v>
      </c>
      <c r="X1783">
        <v>4033</v>
      </c>
      <c r="Y1783">
        <v>6291</v>
      </c>
      <c r="Z1783">
        <v>0.64</v>
      </c>
      <c r="AA1783">
        <v>1</v>
      </c>
      <c r="AB1783">
        <v>17</v>
      </c>
      <c r="AC1783">
        <v>3.45</v>
      </c>
      <c r="AD1783" t="s">
        <v>8052</v>
      </c>
      <c r="AE1783" t="s">
        <v>10337</v>
      </c>
      <c r="AF1783" t="s">
        <v>10338</v>
      </c>
      <c r="AG1783" t="s">
        <v>10339</v>
      </c>
      <c r="AH1783">
        <v>2.07</v>
      </c>
      <c r="AI1783">
        <v>2.55</v>
      </c>
      <c r="AJ1783">
        <v>4.92</v>
      </c>
      <c r="AK1783">
        <v>8.44</v>
      </c>
      <c r="AL1783">
        <v>1</v>
      </c>
      <c r="AM1783">
        <v>4.62</v>
      </c>
      <c r="AN1783">
        <v>28.03</v>
      </c>
      <c r="AO1783">
        <v>9.6</v>
      </c>
      <c r="AP1783">
        <v>13.94</v>
      </c>
    </row>
    <row r="1784" spans="1:42">
      <c r="A1784">
        <v>1783</v>
      </c>
      <c r="B1784" t="str">
        <f>"300244"</f>
        <v>300244</v>
      </c>
      <c r="C1784" t="s">
        <v>10340</v>
      </c>
      <c r="D1784">
        <v>26.58</v>
      </c>
      <c r="E1784">
        <v>-0.49</v>
      </c>
      <c r="F1784">
        <v>-0.13</v>
      </c>
      <c r="G1784" t="s">
        <v>2921</v>
      </c>
      <c r="H1784">
        <v>418</v>
      </c>
      <c r="I1784">
        <v>26.55</v>
      </c>
      <c r="J1784">
        <v>26.58</v>
      </c>
      <c r="K1784" t="s">
        <v>6902</v>
      </c>
      <c r="L1784">
        <v>0.83</v>
      </c>
      <c r="M1784" t="s">
        <v>46</v>
      </c>
      <c r="N1784" t="s">
        <v>3150</v>
      </c>
      <c r="O1784">
        <v>26.87</v>
      </c>
      <c r="P1784">
        <v>26.38</v>
      </c>
      <c r="Q1784">
        <v>26.41</v>
      </c>
      <c r="R1784">
        <v>26.71</v>
      </c>
      <c r="S1784">
        <v>1.83</v>
      </c>
      <c r="T1784">
        <v>0.53</v>
      </c>
      <c r="U1784">
        <v>-12.15</v>
      </c>
      <c r="V1784">
        <v>-26</v>
      </c>
      <c r="W1784">
        <v>26.59</v>
      </c>
      <c r="X1784" t="s">
        <v>1280</v>
      </c>
      <c r="Y1784" t="s">
        <v>1520</v>
      </c>
      <c r="Z1784">
        <v>0.93</v>
      </c>
      <c r="AA1784">
        <v>6</v>
      </c>
      <c r="AB1784">
        <v>51</v>
      </c>
      <c r="AC1784">
        <v>2.12</v>
      </c>
      <c r="AD1784" t="s">
        <v>10341</v>
      </c>
      <c r="AE1784" t="s">
        <v>9789</v>
      </c>
      <c r="AF1784" t="s">
        <v>10342</v>
      </c>
      <c r="AG1784" t="s">
        <v>10343</v>
      </c>
      <c r="AH1784">
        <v>-1.92</v>
      </c>
      <c r="AI1784">
        <v>1.03</v>
      </c>
      <c r="AJ1784">
        <v>2.62</v>
      </c>
      <c r="AK1784">
        <v>8.72</v>
      </c>
      <c r="AL1784">
        <v>-1</v>
      </c>
      <c r="AM1784">
        <v>-0.49</v>
      </c>
      <c r="AN1784">
        <v>6.62</v>
      </c>
      <c r="AO1784">
        <v>13.83</v>
      </c>
      <c r="AP1784">
        <v>-5.11</v>
      </c>
    </row>
    <row r="1785" spans="1:42">
      <c r="A1785">
        <v>1784</v>
      </c>
      <c r="B1785" t="str">
        <f>"688595"</f>
        <v>688595</v>
      </c>
      <c r="C1785" t="s">
        <v>10344</v>
      </c>
      <c r="D1785">
        <v>40.37</v>
      </c>
      <c r="E1785">
        <v>1.28</v>
      </c>
      <c r="F1785">
        <v>0.51</v>
      </c>
      <c r="G1785" t="s">
        <v>5553</v>
      </c>
      <c r="H1785">
        <v>209</v>
      </c>
      <c r="I1785">
        <v>40.21</v>
      </c>
      <c r="J1785">
        <v>40.37</v>
      </c>
      <c r="K1785" t="s">
        <v>6902</v>
      </c>
      <c r="L1785">
        <v>1.95</v>
      </c>
      <c r="M1785" t="s">
        <v>46</v>
      </c>
      <c r="N1785" t="s">
        <v>5094</v>
      </c>
      <c r="O1785">
        <v>40.58</v>
      </c>
      <c r="P1785">
        <v>39.32</v>
      </c>
      <c r="Q1785">
        <v>39.73</v>
      </c>
      <c r="R1785">
        <v>39.86</v>
      </c>
      <c r="S1785">
        <v>3.16</v>
      </c>
      <c r="T1785">
        <v>0.73</v>
      </c>
      <c r="U1785">
        <v>43.04</v>
      </c>
      <c r="V1785">
        <v>159</v>
      </c>
      <c r="W1785">
        <v>39.85</v>
      </c>
      <c r="X1785" t="s">
        <v>682</v>
      </c>
      <c r="Y1785" t="s">
        <v>61</v>
      </c>
      <c r="Z1785">
        <v>0.83</v>
      </c>
      <c r="AA1785">
        <v>2</v>
      </c>
      <c r="AB1785">
        <v>26</v>
      </c>
      <c r="AC1785">
        <v>6.38</v>
      </c>
      <c r="AD1785" t="s">
        <v>10345</v>
      </c>
      <c r="AE1785" t="s">
        <v>10346</v>
      </c>
      <c r="AF1785" t="s">
        <v>10345</v>
      </c>
      <c r="AG1785" t="s">
        <v>10346</v>
      </c>
      <c r="AH1785">
        <v>-2.56</v>
      </c>
      <c r="AI1785">
        <v>-0.59</v>
      </c>
      <c r="AJ1785">
        <v>7.31</v>
      </c>
      <c r="AK1785">
        <v>15.3</v>
      </c>
      <c r="AL1785">
        <v>1</v>
      </c>
      <c r="AM1785">
        <v>1.28</v>
      </c>
      <c r="AN1785">
        <v>0.35</v>
      </c>
      <c r="AO1785">
        <v>0.57</v>
      </c>
      <c r="AP1785">
        <v>-9.2</v>
      </c>
    </row>
    <row r="1786" spans="1:42">
      <c r="A1786">
        <v>1785</v>
      </c>
      <c r="B1786" t="str">
        <f>"600113"</f>
        <v>600113</v>
      </c>
      <c r="C1786" t="s">
        <v>10347</v>
      </c>
      <c r="D1786">
        <v>8.7</v>
      </c>
      <c r="E1786">
        <v>1.4</v>
      </c>
      <c r="F1786">
        <v>0.12</v>
      </c>
      <c r="G1786" t="s">
        <v>446</v>
      </c>
      <c r="H1786">
        <v>2196</v>
      </c>
      <c r="I1786">
        <v>8.69</v>
      </c>
      <c r="J1786">
        <v>8.7</v>
      </c>
      <c r="K1786" t="s">
        <v>6902</v>
      </c>
      <c r="L1786">
        <v>3.1</v>
      </c>
      <c r="M1786" t="s">
        <v>46</v>
      </c>
      <c r="N1786" t="s">
        <v>7011</v>
      </c>
      <c r="O1786">
        <v>8.75</v>
      </c>
      <c r="P1786">
        <v>8.54</v>
      </c>
      <c r="Q1786">
        <v>8.56</v>
      </c>
      <c r="R1786">
        <v>8.58</v>
      </c>
      <c r="S1786">
        <v>2.45</v>
      </c>
      <c r="T1786">
        <v>0.8</v>
      </c>
      <c r="U1786">
        <v>-22.29</v>
      </c>
      <c r="V1786">
        <v>-1684</v>
      </c>
      <c r="W1786">
        <v>8.69</v>
      </c>
      <c r="X1786" t="s">
        <v>5779</v>
      </c>
      <c r="Y1786" t="s">
        <v>10018</v>
      </c>
      <c r="Z1786">
        <v>0.96</v>
      </c>
      <c r="AA1786">
        <v>627</v>
      </c>
      <c r="AB1786">
        <v>1053</v>
      </c>
      <c r="AC1786">
        <v>1.65</v>
      </c>
      <c r="AD1786" t="s">
        <v>10348</v>
      </c>
      <c r="AE1786" t="s">
        <v>10333</v>
      </c>
      <c r="AF1786" t="s">
        <v>10349</v>
      </c>
      <c r="AG1786" t="s">
        <v>10350</v>
      </c>
      <c r="AH1786">
        <v>0.12</v>
      </c>
      <c r="AI1786">
        <v>-2.47</v>
      </c>
      <c r="AJ1786">
        <v>9.07</v>
      </c>
      <c r="AK1786">
        <v>22.57</v>
      </c>
      <c r="AL1786">
        <v>2</v>
      </c>
      <c r="AM1786">
        <v>1.4</v>
      </c>
      <c r="AN1786">
        <v>0.81</v>
      </c>
      <c r="AO1786">
        <v>15.23</v>
      </c>
      <c r="AP1786">
        <v>24.82</v>
      </c>
    </row>
    <row r="1787" spans="1:42">
      <c r="A1787">
        <v>1786</v>
      </c>
      <c r="B1787" t="str">
        <f>"601233"</f>
        <v>601233</v>
      </c>
      <c r="C1787" t="s">
        <v>10351</v>
      </c>
      <c r="D1787">
        <v>13.44</v>
      </c>
      <c r="E1787">
        <v>-1.1</v>
      </c>
      <c r="F1787">
        <v>-0.15</v>
      </c>
      <c r="G1787" t="s">
        <v>1045</v>
      </c>
      <c r="H1787">
        <v>1287</v>
      </c>
      <c r="I1787">
        <v>13.44</v>
      </c>
      <c r="J1787">
        <v>13.47</v>
      </c>
      <c r="K1787" t="s">
        <v>6902</v>
      </c>
      <c r="L1787">
        <v>0.36</v>
      </c>
      <c r="M1787" t="s">
        <v>46</v>
      </c>
      <c r="N1787" t="s">
        <v>10352</v>
      </c>
      <c r="O1787">
        <v>13.64</v>
      </c>
      <c r="P1787">
        <v>13.44</v>
      </c>
      <c r="Q1787">
        <v>13.62</v>
      </c>
      <c r="R1787">
        <v>13.59</v>
      </c>
      <c r="S1787">
        <v>1.47</v>
      </c>
      <c r="T1787">
        <v>1.18</v>
      </c>
      <c r="U1787">
        <v>50.91</v>
      </c>
      <c r="V1787">
        <v>1085</v>
      </c>
      <c r="W1787">
        <v>13.55</v>
      </c>
      <c r="X1787" t="s">
        <v>2650</v>
      </c>
      <c r="Y1787" t="s">
        <v>6365</v>
      </c>
      <c r="Z1787">
        <v>1.44</v>
      </c>
      <c r="AA1787">
        <v>134</v>
      </c>
      <c r="AB1787">
        <v>37</v>
      </c>
      <c r="AC1787">
        <v>0.91</v>
      </c>
      <c r="AD1787" t="s">
        <v>10353</v>
      </c>
      <c r="AE1787" t="s">
        <v>10354</v>
      </c>
      <c r="AF1787" t="s">
        <v>10355</v>
      </c>
      <c r="AG1787" t="s">
        <v>7491</v>
      </c>
      <c r="AH1787">
        <v>-2.61</v>
      </c>
      <c r="AI1787">
        <v>-3.52</v>
      </c>
      <c r="AJ1787">
        <v>0.96</v>
      </c>
      <c r="AK1787">
        <v>1.88</v>
      </c>
      <c r="AL1787">
        <v>-3</v>
      </c>
      <c r="AM1787">
        <v>-1.1</v>
      </c>
      <c r="AN1787">
        <v>-6.99</v>
      </c>
      <c r="AO1787">
        <v>-6.01</v>
      </c>
      <c r="AP1787">
        <v>-4</v>
      </c>
    </row>
    <row r="1788" spans="1:42">
      <c r="A1788">
        <v>1787</v>
      </c>
      <c r="B1788" t="str">
        <f>"000750"</f>
        <v>000750</v>
      </c>
      <c r="C1788" t="s">
        <v>10356</v>
      </c>
      <c r="D1788">
        <v>3.68</v>
      </c>
      <c r="E1788">
        <v>1.1</v>
      </c>
      <c r="F1788">
        <v>0.04</v>
      </c>
      <c r="G1788" t="s">
        <v>1348</v>
      </c>
      <c r="H1788">
        <v>6383</v>
      </c>
      <c r="I1788">
        <v>3.67</v>
      </c>
      <c r="J1788">
        <v>3.68</v>
      </c>
      <c r="K1788" t="s">
        <v>6902</v>
      </c>
      <c r="L1788">
        <v>0.56</v>
      </c>
      <c r="M1788" t="s">
        <v>46</v>
      </c>
      <c r="N1788" t="s">
        <v>1745</v>
      </c>
      <c r="O1788">
        <v>3.69</v>
      </c>
      <c r="P1788">
        <v>3.62</v>
      </c>
      <c r="Q1788">
        <v>3.63</v>
      </c>
      <c r="R1788">
        <v>3.64</v>
      </c>
      <c r="S1788">
        <v>1.92</v>
      </c>
      <c r="T1788">
        <v>0.99</v>
      </c>
      <c r="U1788">
        <v>-25.89</v>
      </c>
      <c r="V1788" t="s">
        <v>9976</v>
      </c>
      <c r="W1788">
        <v>3.66</v>
      </c>
      <c r="X1788" t="s">
        <v>1807</v>
      </c>
      <c r="Y1788" t="s">
        <v>4161</v>
      </c>
      <c r="Z1788">
        <v>0.63</v>
      </c>
      <c r="AA1788">
        <v>5407</v>
      </c>
      <c r="AB1788">
        <v>7444</v>
      </c>
      <c r="AC1788">
        <v>1.07</v>
      </c>
      <c r="AD1788" t="s">
        <v>10357</v>
      </c>
      <c r="AE1788" t="s">
        <v>10358</v>
      </c>
      <c r="AF1788" t="s">
        <v>10359</v>
      </c>
      <c r="AG1788" t="s">
        <v>10360</v>
      </c>
      <c r="AH1788">
        <v>-0.54</v>
      </c>
      <c r="AI1788">
        <v>-1.87</v>
      </c>
      <c r="AJ1788">
        <v>1.65</v>
      </c>
      <c r="AK1788">
        <v>3.35</v>
      </c>
      <c r="AL1788">
        <v>2</v>
      </c>
      <c r="AM1788">
        <v>1.1</v>
      </c>
      <c r="AN1788">
        <v>11.85</v>
      </c>
      <c r="AO1788">
        <v>2.79</v>
      </c>
      <c r="AP1788">
        <v>8.24</v>
      </c>
    </row>
    <row r="1789" spans="1:42">
      <c r="A1789">
        <v>1788</v>
      </c>
      <c r="B1789" t="str">
        <f>"300471"</f>
        <v>300471</v>
      </c>
      <c r="C1789" t="s">
        <v>10361</v>
      </c>
      <c r="D1789">
        <v>13.64</v>
      </c>
      <c r="E1789">
        <v>-2.64</v>
      </c>
      <c r="F1789">
        <v>-0.37</v>
      </c>
      <c r="G1789" t="s">
        <v>8408</v>
      </c>
      <c r="H1789">
        <v>1135</v>
      </c>
      <c r="I1789">
        <v>13.64</v>
      </c>
      <c r="J1789">
        <v>13.65</v>
      </c>
      <c r="K1789" t="s">
        <v>10362</v>
      </c>
      <c r="L1789">
        <v>2.31</v>
      </c>
      <c r="M1789" t="s">
        <v>46</v>
      </c>
      <c r="N1789" t="s">
        <v>10363</v>
      </c>
      <c r="O1789">
        <v>13.97</v>
      </c>
      <c r="P1789">
        <v>13.58</v>
      </c>
      <c r="Q1789">
        <v>13.87</v>
      </c>
      <c r="R1789">
        <v>14.01</v>
      </c>
      <c r="S1789">
        <v>2.78</v>
      </c>
      <c r="T1789">
        <v>0.82</v>
      </c>
      <c r="U1789">
        <v>36.52</v>
      </c>
      <c r="V1789">
        <v>1138</v>
      </c>
      <c r="W1789">
        <v>13.68</v>
      </c>
      <c r="X1789" t="s">
        <v>4168</v>
      </c>
      <c r="Y1789" t="s">
        <v>4970</v>
      </c>
      <c r="Z1789">
        <v>1.37</v>
      </c>
      <c r="AA1789">
        <v>1205</v>
      </c>
      <c r="AB1789">
        <v>29</v>
      </c>
      <c r="AC1789">
        <v>4.32</v>
      </c>
      <c r="AD1789" t="s">
        <v>5890</v>
      </c>
      <c r="AE1789" t="s">
        <v>10364</v>
      </c>
      <c r="AF1789" t="s">
        <v>10365</v>
      </c>
      <c r="AG1789" t="s">
        <v>10366</v>
      </c>
      <c r="AH1789">
        <v>-3.81</v>
      </c>
      <c r="AI1789">
        <v>-3.4</v>
      </c>
      <c r="AJ1789">
        <v>7.52</v>
      </c>
      <c r="AK1789">
        <v>16.39</v>
      </c>
      <c r="AL1789">
        <v>-1</v>
      </c>
      <c r="AM1789">
        <v>-2.64</v>
      </c>
      <c r="AN1789">
        <v>14.24</v>
      </c>
      <c r="AO1789">
        <v>4.36</v>
      </c>
      <c r="AP1789">
        <v>-0.58</v>
      </c>
    </row>
    <row r="1790" spans="1:42">
      <c r="A1790">
        <v>1789</v>
      </c>
      <c r="B1790" t="str">
        <f>"301408"</f>
        <v>301408</v>
      </c>
      <c r="C1790" t="s">
        <v>10367</v>
      </c>
      <c r="D1790">
        <v>17.5</v>
      </c>
      <c r="E1790">
        <v>-0.17</v>
      </c>
      <c r="F1790">
        <v>-0.03</v>
      </c>
      <c r="G1790" t="s">
        <v>5779</v>
      </c>
      <c r="H1790">
        <v>457</v>
      </c>
      <c r="I1790">
        <v>17.49</v>
      </c>
      <c r="J1790">
        <v>17.5</v>
      </c>
      <c r="K1790" t="s">
        <v>10362</v>
      </c>
      <c r="L1790">
        <v>10.41</v>
      </c>
      <c r="M1790" t="s">
        <v>46</v>
      </c>
      <c r="N1790" t="s">
        <v>3721</v>
      </c>
      <c r="O1790">
        <v>17.95</v>
      </c>
      <c r="P1790">
        <v>17.35</v>
      </c>
      <c r="Q1790">
        <v>17.35</v>
      </c>
      <c r="R1790">
        <v>17.53</v>
      </c>
      <c r="S1790">
        <v>3.42</v>
      </c>
      <c r="T1790">
        <v>0.51</v>
      </c>
      <c r="U1790">
        <v>29.94</v>
      </c>
      <c r="V1790">
        <v>369</v>
      </c>
      <c r="W1790">
        <v>17.63</v>
      </c>
      <c r="X1790" t="s">
        <v>3033</v>
      </c>
      <c r="Y1790" t="s">
        <v>6431</v>
      </c>
      <c r="Z1790">
        <v>0.95</v>
      </c>
      <c r="AA1790">
        <v>193</v>
      </c>
      <c r="AB1790">
        <v>15</v>
      </c>
      <c r="AC1790">
        <v>3.65</v>
      </c>
      <c r="AD1790" t="s">
        <v>7381</v>
      </c>
      <c r="AE1790" t="s">
        <v>10368</v>
      </c>
      <c r="AF1790" t="s">
        <v>10369</v>
      </c>
      <c r="AG1790" t="s">
        <v>1039</v>
      </c>
      <c r="AH1790">
        <v>-3.15</v>
      </c>
      <c r="AI1790">
        <v>0.46</v>
      </c>
      <c r="AJ1790">
        <v>36.86</v>
      </c>
      <c r="AK1790">
        <v>112.32</v>
      </c>
      <c r="AL1790">
        <v>-1</v>
      </c>
      <c r="AM1790">
        <v>-0.17</v>
      </c>
      <c r="AN1790">
        <v>7.76</v>
      </c>
      <c r="AO1790">
        <v>1.86</v>
      </c>
      <c r="AP1790">
        <v>7.76</v>
      </c>
    </row>
    <row r="1791" spans="1:42">
      <c r="A1791">
        <v>1790</v>
      </c>
      <c r="B1791" t="str">
        <f>"300964"</f>
        <v>300964</v>
      </c>
      <c r="C1791" t="s">
        <v>10370</v>
      </c>
      <c r="D1791">
        <v>42.95</v>
      </c>
      <c r="E1791">
        <v>3.92</v>
      </c>
      <c r="F1791">
        <v>1.62</v>
      </c>
      <c r="G1791" t="s">
        <v>4036</v>
      </c>
      <c r="H1791">
        <v>268</v>
      </c>
      <c r="I1791">
        <v>42.94</v>
      </c>
      <c r="J1791">
        <v>42.96</v>
      </c>
      <c r="K1791" t="s">
        <v>10362</v>
      </c>
      <c r="L1791">
        <v>7.88</v>
      </c>
      <c r="M1791" t="s">
        <v>46</v>
      </c>
      <c r="N1791" t="s">
        <v>3756</v>
      </c>
      <c r="O1791">
        <v>43.3</v>
      </c>
      <c r="P1791">
        <v>40.82</v>
      </c>
      <c r="Q1791">
        <v>41.79</v>
      </c>
      <c r="R1791">
        <v>41.33</v>
      </c>
      <c r="S1791">
        <v>6</v>
      </c>
      <c r="T1791">
        <v>1.83</v>
      </c>
      <c r="U1791">
        <v>-47.15</v>
      </c>
      <c r="V1791">
        <v>-91</v>
      </c>
      <c r="W1791">
        <v>42.46</v>
      </c>
      <c r="X1791" t="s">
        <v>189</v>
      </c>
      <c r="Y1791" t="s">
        <v>4105</v>
      </c>
      <c r="Z1791">
        <v>0.83</v>
      </c>
      <c r="AA1791">
        <v>29</v>
      </c>
      <c r="AB1791">
        <v>9</v>
      </c>
      <c r="AC1791">
        <v>3.25</v>
      </c>
      <c r="AD1791" t="s">
        <v>10371</v>
      </c>
      <c r="AE1791" t="s">
        <v>10372</v>
      </c>
      <c r="AF1791" t="s">
        <v>10373</v>
      </c>
      <c r="AG1791" t="s">
        <v>672</v>
      </c>
      <c r="AH1791">
        <v>0.8</v>
      </c>
      <c r="AI1791">
        <v>-1.13</v>
      </c>
      <c r="AJ1791">
        <v>16.27</v>
      </c>
      <c r="AK1791">
        <v>29.44</v>
      </c>
      <c r="AL1791">
        <v>1</v>
      </c>
      <c r="AM1791">
        <v>3.92</v>
      </c>
      <c r="AN1791">
        <v>60.32</v>
      </c>
      <c r="AO1791">
        <v>3.2</v>
      </c>
      <c r="AP1791">
        <v>55.39</v>
      </c>
    </row>
    <row r="1792" spans="1:42">
      <c r="A1792">
        <v>1791</v>
      </c>
      <c r="B1792" t="str">
        <f>"603963"</f>
        <v>603963</v>
      </c>
      <c r="C1792" t="s">
        <v>10374</v>
      </c>
      <c r="D1792">
        <v>12.37</v>
      </c>
      <c r="E1792">
        <v>4.04</v>
      </c>
      <c r="F1792">
        <v>0.48</v>
      </c>
      <c r="G1792" t="s">
        <v>10375</v>
      </c>
      <c r="H1792">
        <v>681</v>
      </c>
      <c r="I1792">
        <v>12.36</v>
      </c>
      <c r="J1792">
        <v>12.37</v>
      </c>
      <c r="K1792" t="s">
        <v>10362</v>
      </c>
      <c r="L1792">
        <v>4.04</v>
      </c>
      <c r="M1792" t="s">
        <v>46</v>
      </c>
      <c r="N1792" t="s">
        <v>10376</v>
      </c>
      <c r="O1792">
        <v>13</v>
      </c>
      <c r="P1792">
        <v>11.85</v>
      </c>
      <c r="Q1792">
        <v>11.9</v>
      </c>
      <c r="R1792">
        <v>11.89</v>
      </c>
      <c r="S1792">
        <v>9.67</v>
      </c>
      <c r="T1792">
        <v>2.13</v>
      </c>
      <c r="U1792">
        <v>-63.69</v>
      </c>
      <c r="V1792">
        <v>-1228</v>
      </c>
      <c r="W1792">
        <v>12.41</v>
      </c>
      <c r="X1792" t="s">
        <v>3304</v>
      </c>
      <c r="Y1792" t="s">
        <v>3758</v>
      </c>
      <c r="Z1792">
        <v>1.05</v>
      </c>
      <c r="AA1792">
        <v>232</v>
      </c>
      <c r="AB1792">
        <v>430</v>
      </c>
      <c r="AC1792">
        <v>7.04</v>
      </c>
      <c r="AD1792" t="s">
        <v>10377</v>
      </c>
      <c r="AE1792" t="s">
        <v>10378</v>
      </c>
      <c r="AF1792" t="s">
        <v>10377</v>
      </c>
      <c r="AG1792" t="s">
        <v>10378</v>
      </c>
      <c r="AH1792">
        <v>3.95</v>
      </c>
      <c r="AI1792">
        <v>3.43</v>
      </c>
      <c r="AJ1792">
        <v>7.38</v>
      </c>
      <c r="AK1792">
        <v>13.51</v>
      </c>
      <c r="AL1792">
        <v>2</v>
      </c>
      <c r="AM1792">
        <v>4.04</v>
      </c>
      <c r="AN1792">
        <v>-5.28</v>
      </c>
      <c r="AO1792">
        <v>11.64</v>
      </c>
      <c r="AP1792">
        <v>-22.64</v>
      </c>
    </row>
    <row r="1793" spans="1:42">
      <c r="A1793">
        <v>1792</v>
      </c>
      <c r="B1793" t="str">
        <f>"600583"</f>
        <v>600583</v>
      </c>
      <c r="C1793" t="s">
        <v>10379</v>
      </c>
      <c r="D1793">
        <v>6.39</v>
      </c>
      <c r="E1793">
        <v>-0.62</v>
      </c>
      <c r="F1793">
        <v>-0.04</v>
      </c>
      <c r="G1793" t="s">
        <v>937</v>
      </c>
      <c r="H1793">
        <v>1654</v>
      </c>
      <c r="I1793">
        <v>6.39</v>
      </c>
      <c r="J1793">
        <v>6.4</v>
      </c>
      <c r="K1793" t="s">
        <v>10362</v>
      </c>
      <c r="L1793">
        <v>0.39</v>
      </c>
      <c r="M1793" t="s">
        <v>46</v>
      </c>
      <c r="N1793" t="s">
        <v>4774</v>
      </c>
      <c r="O1793">
        <v>6.5</v>
      </c>
      <c r="P1793">
        <v>6.37</v>
      </c>
      <c r="Q1793">
        <v>6.39</v>
      </c>
      <c r="R1793">
        <v>6.43</v>
      </c>
      <c r="S1793">
        <v>2.02</v>
      </c>
      <c r="T1793">
        <v>0.89</v>
      </c>
      <c r="U1793">
        <v>52.18</v>
      </c>
      <c r="V1793">
        <v>7432</v>
      </c>
      <c r="W1793">
        <v>6.43</v>
      </c>
      <c r="X1793" t="s">
        <v>8755</v>
      </c>
      <c r="Y1793" t="s">
        <v>7498</v>
      </c>
      <c r="Z1793">
        <v>0.9</v>
      </c>
      <c r="AA1793">
        <v>2469</v>
      </c>
      <c r="AB1793">
        <v>17</v>
      </c>
      <c r="AC1793">
        <v>1.15</v>
      </c>
      <c r="AD1793" t="s">
        <v>10380</v>
      </c>
      <c r="AE1793" t="s">
        <v>10381</v>
      </c>
      <c r="AF1793" t="s">
        <v>10380</v>
      </c>
      <c r="AG1793" t="s">
        <v>10381</v>
      </c>
      <c r="AH1793">
        <v>1.75</v>
      </c>
      <c r="AI1793">
        <v>1.43</v>
      </c>
      <c r="AJ1793">
        <v>1.37</v>
      </c>
      <c r="AK1793">
        <v>2.55</v>
      </c>
      <c r="AL1793">
        <v>-1</v>
      </c>
      <c r="AM1793">
        <v>-0.62</v>
      </c>
      <c r="AN1793">
        <v>7.21</v>
      </c>
      <c r="AO1793">
        <v>2.57</v>
      </c>
      <c r="AP1793">
        <v>17.9</v>
      </c>
    </row>
    <row r="1794" spans="1:42">
      <c r="A1794">
        <v>1793</v>
      </c>
      <c r="B1794" t="str">
        <f>"300415"</f>
        <v>300415</v>
      </c>
      <c r="C1794" t="s">
        <v>10382</v>
      </c>
      <c r="D1794">
        <v>18.49</v>
      </c>
      <c r="E1794">
        <v>-1.96</v>
      </c>
      <c r="F1794">
        <v>-0.37</v>
      </c>
      <c r="G1794" t="s">
        <v>7677</v>
      </c>
      <c r="H1794">
        <v>320</v>
      </c>
      <c r="I1794">
        <v>18.49</v>
      </c>
      <c r="J1794">
        <v>18.5</v>
      </c>
      <c r="K1794" t="s">
        <v>10362</v>
      </c>
      <c r="L1794">
        <v>1.41</v>
      </c>
      <c r="M1794" t="s">
        <v>46</v>
      </c>
      <c r="N1794" t="s">
        <v>10383</v>
      </c>
      <c r="O1794">
        <v>18.82</v>
      </c>
      <c r="P1794">
        <v>18.08</v>
      </c>
      <c r="Q1794">
        <v>18.79</v>
      </c>
      <c r="R1794">
        <v>18.86</v>
      </c>
      <c r="S1794">
        <v>3.92</v>
      </c>
      <c r="T1794">
        <v>1.25</v>
      </c>
      <c r="U1794">
        <v>15.7</v>
      </c>
      <c r="V1794">
        <v>127</v>
      </c>
      <c r="W1794">
        <v>18.38</v>
      </c>
      <c r="X1794" t="s">
        <v>7177</v>
      </c>
      <c r="Y1794" t="s">
        <v>4013</v>
      </c>
      <c r="Z1794">
        <v>1.41</v>
      </c>
      <c r="AA1794">
        <v>6</v>
      </c>
      <c r="AB1794">
        <v>69</v>
      </c>
      <c r="AC1794">
        <v>3.35</v>
      </c>
      <c r="AD1794" t="s">
        <v>10384</v>
      </c>
      <c r="AE1794" t="s">
        <v>10385</v>
      </c>
      <c r="AF1794" t="s">
        <v>10386</v>
      </c>
      <c r="AG1794" t="s">
        <v>2600</v>
      </c>
      <c r="AH1794">
        <v>-2.53</v>
      </c>
      <c r="AI1794">
        <v>-2.01</v>
      </c>
      <c r="AJ1794">
        <v>3.03</v>
      </c>
      <c r="AK1794">
        <v>7.06</v>
      </c>
      <c r="AL1794">
        <v>-3</v>
      </c>
      <c r="AM1794">
        <v>-1.96</v>
      </c>
      <c r="AN1794">
        <v>6.51</v>
      </c>
      <c r="AO1794">
        <v>-0.11</v>
      </c>
      <c r="AP1794">
        <v>-12.45</v>
      </c>
    </row>
    <row r="1795" spans="1:42">
      <c r="A1795">
        <v>1794</v>
      </c>
      <c r="B1795" t="str">
        <f>"002750"</f>
        <v>002750</v>
      </c>
      <c r="C1795" t="s">
        <v>10387</v>
      </c>
      <c r="D1795">
        <v>10.95</v>
      </c>
      <c r="E1795">
        <v>-0.64</v>
      </c>
      <c r="F1795">
        <v>-0.07</v>
      </c>
      <c r="G1795" t="s">
        <v>5638</v>
      </c>
      <c r="H1795">
        <v>819</v>
      </c>
      <c r="I1795">
        <v>10.95</v>
      </c>
      <c r="J1795">
        <v>10.96</v>
      </c>
      <c r="K1795" t="s">
        <v>10362</v>
      </c>
      <c r="L1795">
        <v>2.5</v>
      </c>
      <c r="M1795" t="s">
        <v>46</v>
      </c>
      <c r="N1795" t="s">
        <v>10388</v>
      </c>
      <c r="O1795">
        <v>11.26</v>
      </c>
      <c r="P1795">
        <v>10.89</v>
      </c>
      <c r="Q1795">
        <v>10.99</v>
      </c>
      <c r="R1795">
        <v>11.02</v>
      </c>
      <c r="S1795">
        <v>3.36</v>
      </c>
      <c r="T1795">
        <v>0.43</v>
      </c>
      <c r="U1795">
        <v>56.08</v>
      </c>
      <c r="V1795">
        <v>3044</v>
      </c>
      <c r="W1795">
        <v>11.04</v>
      </c>
      <c r="X1795" t="s">
        <v>1988</v>
      </c>
      <c r="Y1795" t="s">
        <v>1236</v>
      </c>
      <c r="Z1795">
        <v>1.12</v>
      </c>
      <c r="AA1795">
        <v>1162</v>
      </c>
      <c r="AB1795">
        <v>438</v>
      </c>
      <c r="AC1795">
        <v>7.88</v>
      </c>
      <c r="AD1795" t="s">
        <v>4195</v>
      </c>
      <c r="AE1795" t="s">
        <v>10389</v>
      </c>
      <c r="AF1795" t="s">
        <v>10390</v>
      </c>
      <c r="AG1795" t="s">
        <v>10391</v>
      </c>
      <c r="AH1795">
        <v>-2.49</v>
      </c>
      <c r="AI1795">
        <v>-4.45</v>
      </c>
      <c r="AJ1795">
        <v>8.45</v>
      </c>
      <c r="AK1795">
        <v>31.3</v>
      </c>
      <c r="AL1795">
        <v>-1</v>
      </c>
      <c r="AM1795">
        <v>-0.64</v>
      </c>
      <c r="AN1795">
        <v>-1.62</v>
      </c>
      <c r="AO1795">
        <v>0.46</v>
      </c>
      <c r="AP1795">
        <v>-23.21</v>
      </c>
    </row>
    <row r="1796" spans="1:42">
      <c r="A1796">
        <v>1795</v>
      </c>
      <c r="B1796" t="str">
        <f>"300054"</f>
        <v>300054</v>
      </c>
      <c r="C1796" t="s">
        <v>10392</v>
      </c>
      <c r="D1796">
        <v>24.7</v>
      </c>
      <c r="E1796">
        <v>0.86</v>
      </c>
      <c r="F1796">
        <v>0.21</v>
      </c>
      <c r="G1796" t="s">
        <v>5963</v>
      </c>
      <c r="H1796">
        <v>594</v>
      </c>
      <c r="I1796">
        <v>24.7</v>
      </c>
      <c r="J1796">
        <v>24.71</v>
      </c>
      <c r="K1796" t="s">
        <v>10362</v>
      </c>
      <c r="L1796">
        <v>0.61</v>
      </c>
      <c r="M1796" t="s">
        <v>46</v>
      </c>
      <c r="N1796" t="s">
        <v>1206</v>
      </c>
      <c r="O1796">
        <v>24.71</v>
      </c>
      <c r="P1796">
        <v>24.07</v>
      </c>
      <c r="Q1796">
        <v>24.55</v>
      </c>
      <c r="R1796">
        <v>24.49</v>
      </c>
      <c r="S1796">
        <v>2.61</v>
      </c>
      <c r="T1796">
        <v>0.76</v>
      </c>
      <c r="U1796">
        <v>1.82</v>
      </c>
      <c r="V1796">
        <v>26</v>
      </c>
      <c r="W1796">
        <v>24.39</v>
      </c>
      <c r="X1796" t="s">
        <v>1177</v>
      </c>
      <c r="Y1796" t="s">
        <v>3121</v>
      </c>
      <c r="Z1796">
        <v>0.64</v>
      </c>
      <c r="AA1796">
        <v>69</v>
      </c>
      <c r="AB1796">
        <v>138</v>
      </c>
      <c r="AC1796">
        <v>5.25</v>
      </c>
      <c r="AD1796" t="s">
        <v>10393</v>
      </c>
      <c r="AE1796" t="s">
        <v>6987</v>
      </c>
      <c r="AF1796" t="s">
        <v>10394</v>
      </c>
      <c r="AG1796" t="s">
        <v>8314</v>
      </c>
      <c r="AH1796">
        <v>0.61</v>
      </c>
      <c r="AI1796">
        <v>0.65</v>
      </c>
      <c r="AJ1796">
        <v>2.38</v>
      </c>
      <c r="AK1796">
        <v>4.62</v>
      </c>
      <c r="AL1796">
        <v>1</v>
      </c>
      <c r="AM1796">
        <v>0.86</v>
      </c>
      <c r="AN1796">
        <v>16.29</v>
      </c>
      <c r="AO1796">
        <v>1.27</v>
      </c>
      <c r="AP1796">
        <v>15.21</v>
      </c>
    </row>
    <row r="1797" spans="1:42">
      <c r="A1797">
        <v>1796</v>
      </c>
      <c r="B1797" t="str">
        <f>"000893"</f>
        <v>000893</v>
      </c>
      <c r="C1797" t="s">
        <v>10395</v>
      </c>
      <c r="D1797">
        <v>27.2</v>
      </c>
      <c r="E1797">
        <v>0.22</v>
      </c>
      <c r="F1797">
        <v>0.06</v>
      </c>
      <c r="G1797" t="s">
        <v>3373</v>
      </c>
      <c r="H1797">
        <v>354</v>
      </c>
      <c r="I1797">
        <v>27.19</v>
      </c>
      <c r="J1797">
        <v>27.2</v>
      </c>
      <c r="K1797" t="s">
        <v>10362</v>
      </c>
      <c r="L1797">
        <v>0.5</v>
      </c>
      <c r="M1797" t="s">
        <v>46</v>
      </c>
      <c r="N1797" t="s">
        <v>2410</v>
      </c>
      <c r="O1797">
        <v>27.34</v>
      </c>
      <c r="P1797">
        <v>26.77</v>
      </c>
      <c r="Q1797">
        <v>27.21</v>
      </c>
      <c r="R1797">
        <v>27.14</v>
      </c>
      <c r="S1797">
        <v>2.1</v>
      </c>
      <c r="T1797">
        <v>0.7</v>
      </c>
      <c r="U1797">
        <v>-47.89</v>
      </c>
      <c r="V1797">
        <v>-272</v>
      </c>
      <c r="W1797">
        <v>27.04</v>
      </c>
      <c r="X1797" t="s">
        <v>1177</v>
      </c>
      <c r="Y1797" t="s">
        <v>587</v>
      </c>
      <c r="Z1797">
        <v>0.77</v>
      </c>
      <c r="AA1797">
        <v>2</v>
      </c>
      <c r="AB1797">
        <v>21</v>
      </c>
      <c r="AC1797">
        <v>2.3</v>
      </c>
      <c r="AD1797" t="s">
        <v>10396</v>
      </c>
      <c r="AE1797" t="s">
        <v>10397</v>
      </c>
      <c r="AF1797" t="s">
        <v>10398</v>
      </c>
      <c r="AG1797" t="s">
        <v>10399</v>
      </c>
      <c r="AH1797">
        <v>-0.66</v>
      </c>
      <c r="AI1797">
        <v>-3.31</v>
      </c>
      <c r="AJ1797">
        <v>1.41</v>
      </c>
      <c r="AK1797">
        <v>4.04</v>
      </c>
      <c r="AL1797">
        <v>1</v>
      </c>
      <c r="AM1797">
        <v>0.22</v>
      </c>
      <c r="AN1797">
        <v>0.07</v>
      </c>
      <c r="AO1797">
        <v>-5.23</v>
      </c>
      <c r="AP1797">
        <v>1.38</v>
      </c>
    </row>
    <row r="1798" spans="1:42">
      <c r="A1798">
        <v>1797</v>
      </c>
      <c r="B1798" t="str">
        <f>"603348"</f>
        <v>603348</v>
      </c>
      <c r="C1798" t="s">
        <v>10400</v>
      </c>
      <c r="D1798">
        <v>39.49</v>
      </c>
      <c r="E1798">
        <v>-1.42</v>
      </c>
      <c r="F1798">
        <v>-0.57</v>
      </c>
      <c r="G1798" t="s">
        <v>5553</v>
      </c>
      <c r="H1798">
        <v>403</v>
      </c>
      <c r="I1798">
        <v>39.48</v>
      </c>
      <c r="J1798">
        <v>39.49</v>
      </c>
      <c r="K1798" t="s">
        <v>10362</v>
      </c>
      <c r="L1798">
        <v>1.05</v>
      </c>
      <c r="M1798" t="s">
        <v>46</v>
      </c>
      <c r="N1798" t="s">
        <v>8108</v>
      </c>
      <c r="O1798">
        <v>40.26</v>
      </c>
      <c r="P1798">
        <v>39.16</v>
      </c>
      <c r="Q1798">
        <v>40.19</v>
      </c>
      <c r="R1798">
        <v>40.06</v>
      </c>
      <c r="S1798">
        <v>2.75</v>
      </c>
      <c r="T1798">
        <v>0.87</v>
      </c>
      <c r="U1798">
        <v>-20.39</v>
      </c>
      <c r="V1798">
        <v>-42</v>
      </c>
      <c r="W1798">
        <v>39.41</v>
      </c>
      <c r="X1798" t="s">
        <v>8137</v>
      </c>
      <c r="Y1798" t="s">
        <v>4959</v>
      </c>
      <c r="Z1798">
        <v>1.47</v>
      </c>
      <c r="AA1798">
        <v>26</v>
      </c>
      <c r="AB1798">
        <v>71</v>
      </c>
      <c r="AC1798">
        <v>3.32</v>
      </c>
      <c r="AD1798" t="s">
        <v>10401</v>
      </c>
      <c r="AE1798" t="s">
        <v>10402</v>
      </c>
      <c r="AF1798" t="s">
        <v>10401</v>
      </c>
      <c r="AG1798" t="s">
        <v>10402</v>
      </c>
      <c r="AH1798">
        <v>-6.31</v>
      </c>
      <c r="AI1798">
        <v>-10.25</v>
      </c>
      <c r="AJ1798">
        <v>3.49</v>
      </c>
      <c r="AK1798">
        <v>7.1</v>
      </c>
      <c r="AL1798">
        <v>-3</v>
      </c>
      <c r="AM1798">
        <v>-1.42</v>
      </c>
      <c r="AN1798">
        <v>-31.23</v>
      </c>
      <c r="AO1798">
        <v>-3.02</v>
      </c>
      <c r="AP1798">
        <v>-39.82</v>
      </c>
    </row>
    <row r="1799" spans="1:42">
      <c r="A1799">
        <v>1798</v>
      </c>
      <c r="B1799" t="str">
        <f>"600571"</f>
        <v>600571</v>
      </c>
      <c r="C1799" t="s">
        <v>10403</v>
      </c>
      <c r="D1799">
        <v>12.14</v>
      </c>
      <c r="E1799">
        <v>9.96</v>
      </c>
      <c r="F1799">
        <v>1.1</v>
      </c>
      <c r="G1799" t="s">
        <v>3275</v>
      </c>
      <c r="H1799">
        <v>2107</v>
      </c>
      <c r="I1799">
        <v>12.14</v>
      </c>
      <c r="J1799" t="s">
        <v>76</v>
      </c>
      <c r="K1799" t="s">
        <v>10404</v>
      </c>
      <c r="L1799">
        <v>2.02</v>
      </c>
      <c r="M1799" t="s">
        <v>46</v>
      </c>
      <c r="N1799" t="s">
        <v>5236</v>
      </c>
      <c r="O1799">
        <v>12.14</v>
      </c>
      <c r="P1799">
        <v>12.14</v>
      </c>
      <c r="Q1799">
        <v>12.14</v>
      </c>
      <c r="R1799">
        <v>11.04</v>
      </c>
      <c r="S1799">
        <v>0</v>
      </c>
      <c r="T1799">
        <v>0.66</v>
      </c>
      <c r="U1799">
        <v>100</v>
      </c>
      <c r="V1799" t="s">
        <v>2419</v>
      </c>
      <c r="W1799">
        <v>12.14</v>
      </c>
      <c r="X1799" t="s">
        <v>3275</v>
      </c>
      <c r="Y1799">
        <v>0</v>
      </c>
      <c r="Z1799">
        <v>1</v>
      </c>
      <c r="AA1799" t="s">
        <v>1125</v>
      </c>
      <c r="AB1799">
        <v>0</v>
      </c>
      <c r="AC1799">
        <v>5.04</v>
      </c>
      <c r="AD1799" t="s">
        <v>2306</v>
      </c>
      <c r="AE1799" t="s">
        <v>5239</v>
      </c>
      <c r="AF1799" t="s">
        <v>10405</v>
      </c>
      <c r="AG1799" t="s">
        <v>10406</v>
      </c>
      <c r="AH1799">
        <v>19.72</v>
      </c>
      <c r="AI1799">
        <v>18.67</v>
      </c>
      <c r="AJ1799">
        <v>13.46</v>
      </c>
      <c r="AK1799">
        <v>17.46</v>
      </c>
      <c r="AL1799">
        <v>2</v>
      </c>
      <c r="AM1799">
        <v>9.96</v>
      </c>
      <c r="AN1799">
        <v>31.67</v>
      </c>
      <c r="AO1799">
        <v>26.85</v>
      </c>
      <c r="AP1799">
        <v>5.84</v>
      </c>
    </row>
    <row r="1800" spans="1:42">
      <c r="A1800">
        <v>1799</v>
      </c>
      <c r="B1800" t="str">
        <f>"002810"</f>
        <v>002810</v>
      </c>
      <c r="C1800" t="s">
        <v>10407</v>
      </c>
      <c r="D1800">
        <v>20.31</v>
      </c>
      <c r="E1800">
        <v>-1.84</v>
      </c>
      <c r="F1800">
        <v>-0.38</v>
      </c>
      <c r="G1800" t="s">
        <v>6349</v>
      </c>
      <c r="H1800">
        <v>646</v>
      </c>
      <c r="I1800">
        <v>20.31</v>
      </c>
      <c r="J1800">
        <v>20.32</v>
      </c>
      <c r="K1800" t="s">
        <v>10404</v>
      </c>
      <c r="L1800">
        <v>1.6</v>
      </c>
      <c r="M1800" t="s">
        <v>46</v>
      </c>
      <c r="N1800" t="s">
        <v>966</v>
      </c>
      <c r="O1800">
        <v>20.76</v>
      </c>
      <c r="P1800">
        <v>20.2</v>
      </c>
      <c r="Q1800">
        <v>20.71</v>
      </c>
      <c r="R1800">
        <v>20.69</v>
      </c>
      <c r="S1800">
        <v>2.71</v>
      </c>
      <c r="T1800">
        <v>0.81</v>
      </c>
      <c r="U1800">
        <v>29.48</v>
      </c>
      <c r="V1800">
        <v>217</v>
      </c>
      <c r="W1800">
        <v>20.4</v>
      </c>
      <c r="X1800" t="s">
        <v>2550</v>
      </c>
      <c r="Y1800" t="s">
        <v>1525</v>
      </c>
      <c r="Z1800">
        <v>1.84</v>
      </c>
      <c r="AA1800">
        <v>24</v>
      </c>
      <c r="AB1800">
        <v>183</v>
      </c>
      <c r="AC1800">
        <v>3.45</v>
      </c>
      <c r="AD1800" t="s">
        <v>10408</v>
      </c>
      <c r="AE1800" t="s">
        <v>10409</v>
      </c>
      <c r="AF1800" t="s">
        <v>10122</v>
      </c>
      <c r="AG1800" t="s">
        <v>10410</v>
      </c>
      <c r="AH1800">
        <v>3.36</v>
      </c>
      <c r="AI1800">
        <v>5.51</v>
      </c>
      <c r="AJ1800">
        <v>6.75</v>
      </c>
      <c r="AK1800">
        <v>11.44</v>
      </c>
      <c r="AL1800">
        <v>-1</v>
      </c>
      <c r="AM1800">
        <v>-1.84</v>
      </c>
      <c r="AN1800">
        <v>-8.18</v>
      </c>
      <c r="AO1800">
        <v>7.06</v>
      </c>
      <c r="AP1800">
        <v>-19.47</v>
      </c>
    </row>
    <row r="1801" spans="1:42">
      <c r="A1801">
        <v>1800</v>
      </c>
      <c r="B1801" t="str">
        <f>"600873"</f>
        <v>600873</v>
      </c>
      <c r="C1801" t="s">
        <v>10411</v>
      </c>
      <c r="D1801">
        <v>9.4</v>
      </c>
      <c r="E1801">
        <v>-1.57</v>
      </c>
      <c r="F1801">
        <v>-0.15</v>
      </c>
      <c r="G1801" t="s">
        <v>2960</v>
      </c>
      <c r="H1801">
        <v>1353</v>
      </c>
      <c r="I1801">
        <v>9.4</v>
      </c>
      <c r="J1801">
        <v>9.41</v>
      </c>
      <c r="K1801" t="s">
        <v>10404</v>
      </c>
      <c r="L1801">
        <v>0.39</v>
      </c>
      <c r="M1801" t="s">
        <v>46</v>
      </c>
      <c r="N1801" t="s">
        <v>8942</v>
      </c>
      <c r="O1801">
        <v>9.54</v>
      </c>
      <c r="P1801">
        <v>9.37</v>
      </c>
      <c r="Q1801">
        <v>9.53</v>
      </c>
      <c r="R1801">
        <v>9.55</v>
      </c>
      <c r="S1801">
        <v>1.78</v>
      </c>
      <c r="T1801">
        <v>1.11</v>
      </c>
      <c r="U1801">
        <v>82.79</v>
      </c>
      <c r="V1801">
        <v>7629</v>
      </c>
      <c r="W1801">
        <v>9.44</v>
      </c>
      <c r="X1801" t="s">
        <v>10412</v>
      </c>
      <c r="Y1801" t="s">
        <v>3373</v>
      </c>
      <c r="Z1801">
        <v>1.86</v>
      </c>
      <c r="AA1801">
        <v>2295</v>
      </c>
      <c r="AB1801">
        <v>125</v>
      </c>
      <c r="AC1801">
        <v>1.95</v>
      </c>
      <c r="AD1801" t="s">
        <v>7453</v>
      </c>
      <c r="AE1801" t="s">
        <v>10413</v>
      </c>
      <c r="AF1801" t="s">
        <v>7453</v>
      </c>
      <c r="AG1801" t="s">
        <v>10413</v>
      </c>
      <c r="AH1801">
        <v>-0.42</v>
      </c>
      <c r="AI1801">
        <v>-0.11</v>
      </c>
      <c r="AJ1801">
        <v>1.28</v>
      </c>
      <c r="AK1801">
        <v>2.16</v>
      </c>
      <c r="AL1801">
        <v>-1</v>
      </c>
      <c r="AM1801">
        <v>-1.57</v>
      </c>
      <c r="AN1801">
        <v>-3.89</v>
      </c>
      <c r="AO1801">
        <v>-0.11</v>
      </c>
      <c r="AP1801">
        <v>4.79</v>
      </c>
    </row>
    <row r="1802" spans="1:42">
      <c r="A1802">
        <v>1801</v>
      </c>
      <c r="B1802" t="str">
        <f>"688662"</f>
        <v>688662</v>
      </c>
      <c r="C1802" t="s">
        <v>10414</v>
      </c>
      <c r="D1802">
        <v>38.69</v>
      </c>
      <c r="E1802">
        <v>1.02</v>
      </c>
      <c r="F1802">
        <v>0.39</v>
      </c>
      <c r="G1802" t="s">
        <v>6581</v>
      </c>
      <c r="H1802">
        <v>362</v>
      </c>
      <c r="I1802">
        <v>38.68</v>
      </c>
      <c r="J1802">
        <v>38.69</v>
      </c>
      <c r="K1802" t="s">
        <v>10404</v>
      </c>
      <c r="L1802">
        <v>5.29</v>
      </c>
      <c r="M1802" t="s">
        <v>46</v>
      </c>
      <c r="N1802" t="s">
        <v>4575</v>
      </c>
      <c r="O1802">
        <v>39.23</v>
      </c>
      <c r="P1802">
        <v>37.2</v>
      </c>
      <c r="Q1802">
        <v>38</v>
      </c>
      <c r="R1802">
        <v>38.3</v>
      </c>
      <c r="S1802">
        <v>5.3</v>
      </c>
      <c r="T1802">
        <v>1.68</v>
      </c>
      <c r="U1802">
        <v>48.82</v>
      </c>
      <c r="V1802">
        <v>115</v>
      </c>
      <c r="W1802">
        <v>38.09</v>
      </c>
      <c r="X1802" t="s">
        <v>7487</v>
      </c>
      <c r="Y1802" t="s">
        <v>682</v>
      </c>
      <c r="Z1802">
        <v>1.28</v>
      </c>
      <c r="AA1802">
        <v>65</v>
      </c>
      <c r="AB1802">
        <v>13</v>
      </c>
      <c r="AC1802">
        <v>4.98</v>
      </c>
      <c r="AD1802" t="s">
        <v>10415</v>
      </c>
      <c r="AE1802" t="s">
        <v>10416</v>
      </c>
      <c r="AF1802" t="s">
        <v>10417</v>
      </c>
      <c r="AG1802" t="s">
        <v>10090</v>
      </c>
      <c r="AH1802">
        <v>1.68</v>
      </c>
      <c r="AI1802">
        <v>-0.69</v>
      </c>
      <c r="AJ1802">
        <v>10.62</v>
      </c>
      <c r="AK1802">
        <v>21.04</v>
      </c>
      <c r="AL1802">
        <v>2</v>
      </c>
      <c r="AM1802">
        <v>1.02</v>
      </c>
      <c r="AN1802">
        <v>47.5</v>
      </c>
      <c r="AO1802">
        <v>2.65</v>
      </c>
      <c r="AP1802">
        <v>24.61</v>
      </c>
    </row>
    <row r="1803" spans="1:42">
      <c r="A1803">
        <v>1802</v>
      </c>
      <c r="B1803" t="str">
        <f>"600801"</f>
        <v>600801</v>
      </c>
      <c r="C1803" t="s">
        <v>10418</v>
      </c>
      <c r="D1803">
        <v>13.06</v>
      </c>
      <c r="E1803">
        <v>-1.95</v>
      </c>
      <c r="F1803">
        <v>-0.26</v>
      </c>
      <c r="G1803" t="s">
        <v>1317</v>
      </c>
      <c r="H1803">
        <v>602</v>
      </c>
      <c r="I1803">
        <v>13.06</v>
      </c>
      <c r="J1803">
        <v>13.07</v>
      </c>
      <c r="K1803" t="s">
        <v>10404</v>
      </c>
      <c r="L1803">
        <v>0.62</v>
      </c>
      <c r="M1803" t="s">
        <v>46</v>
      </c>
      <c r="N1803" t="s">
        <v>10419</v>
      </c>
      <c r="O1803">
        <v>13.38</v>
      </c>
      <c r="P1803">
        <v>13</v>
      </c>
      <c r="Q1803">
        <v>13.3</v>
      </c>
      <c r="R1803">
        <v>13.32</v>
      </c>
      <c r="S1803">
        <v>2.85</v>
      </c>
      <c r="T1803">
        <v>1.72</v>
      </c>
      <c r="U1803">
        <v>13.81</v>
      </c>
      <c r="V1803">
        <v>428</v>
      </c>
      <c r="W1803">
        <v>13.11</v>
      </c>
      <c r="X1803" t="s">
        <v>320</v>
      </c>
      <c r="Y1803" t="s">
        <v>2973</v>
      </c>
      <c r="Z1803">
        <v>1.13</v>
      </c>
      <c r="AA1803">
        <v>733</v>
      </c>
      <c r="AB1803">
        <v>462</v>
      </c>
      <c r="AC1803">
        <v>0.96</v>
      </c>
      <c r="AD1803" t="s">
        <v>10420</v>
      </c>
      <c r="AE1803" t="s">
        <v>10421</v>
      </c>
      <c r="AF1803" t="s">
        <v>10422</v>
      </c>
      <c r="AG1803" t="s">
        <v>10423</v>
      </c>
      <c r="AH1803">
        <v>-3.47</v>
      </c>
      <c r="AI1803">
        <v>-4.32</v>
      </c>
      <c r="AJ1803">
        <v>1.41</v>
      </c>
      <c r="AK1803">
        <v>2.42</v>
      </c>
      <c r="AL1803">
        <v>-1</v>
      </c>
      <c r="AM1803">
        <v>-1.95</v>
      </c>
      <c r="AN1803">
        <v>-8.74</v>
      </c>
      <c r="AO1803">
        <v>-9.56</v>
      </c>
      <c r="AP1803">
        <v>-10.06</v>
      </c>
    </row>
    <row r="1804" spans="1:42">
      <c r="A1804">
        <v>1803</v>
      </c>
      <c r="B1804" t="str">
        <f>"600211"</f>
        <v>600211</v>
      </c>
      <c r="C1804" t="s">
        <v>10424</v>
      </c>
      <c r="D1804">
        <v>51.81</v>
      </c>
      <c r="E1804">
        <v>-0.17</v>
      </c>
      <c r="F1804">
        <v>-0.09</v>
      </c>
      <c r="G1804" t="s">
        <v>153</v>
      </c>
      <c r="H1804">
        <v>94</v>
      </c>
      <c r="I1804">
        <v>51.81</v>
      </c>
      <c r="J1804">
        <v>51.82</v>
      </c>
      <c r="K1804" t="s">
        <v>10404</v>
      </c>
      <c r="L1804">
        <v>0.85</v>
      </c>
      <c r="M1804" t="s">
        <v>46</v>
      </c>
      <c r="N1804" t="s">
        <v>761</v>
      </c>
      <c r="O1804">
        <v>52.35</v>
      </c>
      <c r="P1804">
        <v>51.26</v>
      </c>
      <c r="Q1804">
        <v>52.06</v>
      </c>
      <c r="R1804">
        <v>51.9</v>
      </c>
      <c r="S1804">
        <v>2.1</v>
      </c>
      <c r="T1804">
        <v>0.82</v>
      </c>
      <c r="U1804">
        <v>-24.44</v>
      </c>
      <c r="V1804">
        <v>-99</v>
      </c>
      <c r="W1804">
        <v>51.73</v>
      </c>
      <c r="X1804" t="s">
        <v>51</v>
      </c>
      <c r="Y1804" t="s">
        <v>1646</v>
      </c>
      <c r="Z1804">
        <v>1.07</v>
      </c>
      <c r="AA1804">
        <v>9</v>
      </c>
      <c r="AB1804">
        <v>38</v>
      </c>
      <c r="AC1804">
        <v>3.76</v>
      </c>
      <c r="AD1804" t="s">
        <v>10425</v>
      </c>
      <c r="AE1804" t="s">
        <v>1247</v>
      </c>
      <c r="AF1804" t="s">
        <v>10425</v>
      </c>
      <c r="AG1804" t="s">
        <v>1247</v>
      </c>
      <c r="AH1804">
        <v>-0.77</v>
      </c>
      <c r="AI1804">
        <v>-2.06</v>
      </c>
      <c r="AJ1804">
        <v>2.69</v>
      </c>
      <c r="AK1804">
        <v>6.02</v>
      </c>
      <c r="AL1804">
        <v>-1</v>
      </c>
      <c r="AM1804">
        <v>-0.17</v>
      </c>
      <c r="AN1804">
        <v>52.52</v>
      </c>
      <c r="AO1804">
        <v>4.04</v>
      </c>
      <c r="AP1804">
        <v>27.99</v>
      </c>
    </row>
    <row r="1805" spans="1:42">
      <c r="A1805">
        <v>1804</v>
      </c>
      <c r="B1805" t="str">
        <f>"600420"</f>
        <v>600420</v>
      </c>
      <c r="C1805" t="s">
        <v>10426</v>
      </c>
      <c r="D1805">
        <v>10.47</v>
      </c>
      <c r="E1805">
        <v>0.67</v>
      </c>
      <c r="F1805">
        <v>0.07</v>
      </c>
      <c r="G1805" t="s">
        <v>740</v>
      </c>
      <c r="H1805">
        <v>649</v>
      </c>
      <c r="I1805">
        <v>10.47</v>
      </c>
      <c r="J1805">
        <v>10.48</v>
      </c>
      <c r="K1805" t="s">
        <v>10404</v>
      </c>
      <c r="L1805">
        <v>0.87</v>
      </c>
      <c r="M1805" t="s">
        <v>46</v>
      </c>
      <c r="N1805" t="s">
        <v>10427</v>
      </c>
      <c r="O1805">
        <v>10.53</v>
      </c>
      <c r="P1805">
        <v>10.36</v>
      </c>
      <c r="Q1805">
        <v>10.39</v>
      </c>
      <c r="R1805">
        <v>10.4</v>
      </c>
      <c r="S1805">
        <v>1.63</v>
      </c>
      <c r="T1805">
        <v>0.74</v>
      </c>
      <c r="U1805">
        <v>-29.05</v>
      </c>
      <c r="V1805">
        <v>-1686</v>
      </c>
      <c r="W1805">
        <v>10.45</v>
      </c>
      <c r="X1805" t="s">
        <v>5785</v>
      </c>
      <c r="Y1805" t="s">
        <v>4517</v>
      </c>
      <c r="Z1805">
        <v>0.7</v>
      </c>
      <c r="AA1805">
        <v>1373</v>
      </c>
      <c r="AB1805">
        <v>3</v>
      </c>
      <c r="AC1805">
        <v>1.15</v>
      </c>
      <c r="AD1805" t="s">
        <v>8189</v>
      </c>
      <c r="AE1805" t="s">
        <v>10428</v>
      </c>
      <c r="AF1805" t="s">
        <v>5035</v>
      </c>
      <c r="AG1805" t="s">
        <v>602</v>
      </c>
      <c r="AH1805">
        <v>-0.29</v>
      </c>
      <c r="AI1805">
        <v>0.67</v>
      </c>
      <c r="AJ1805">
        <v>2.62</v>
      </c>
      <c r="AK1805">
        <v>6.8</v>
      </c>
      <c r="AL1805">
        <v>2</v>
      </c>
      <c r="AM1805">
        <v>0.67</v>
      </c>
      <c r="AN1805">
        <v>16.33</v>
      </c>
      <c r="AO1805">
        <v>3.56</v>
      </c>
      <c r="AP1805">
        <v>11.5</v>
      </c>
    </row>
    <row r="1806" spans="1:42">
      <c r="A1806">
        <v>1805</v>
      </c>
      <c r="B1806" t="str">
        <f>"002639"</f>
        <v>002639</v>
      </c>
      <c r="C1806" t="s">
        <v>10429</v>
      </c>
      <c r="D1806">
        <v>7.77</v>
      </c>
      <c r="E1806">
        <v>-0.64</v>
      </c>
      <c r="F1806">
        <v>-0.05</v>
      </c>
      <c r="G1806" t="s">
        <v>1296</v>
      </c>
      <c r="H1806">
        <v>2166</v>
      </c>
      <c r="I1806">
        <v>7.76</v>
      </c>
      <c r="J1806">
        <v>7.77</v>
      </c>
      <c r="K1806" t="s">
        <v>10404</v>
      </c>
      <c r="L1806">
        <v>2.16</v>
      </c>
      <c r="M1806" t="s">
        <v>46</v>
      </c>
      <c r="N1806" t="s">
        <v>2533</v>
      </c>
      <c r="O1806">
        <v>7.8</v>
      </c>
      <c r="P1806">
        <v>7.67</v>
      </c>
      <c r="Q1806">
        <v>7.79</v>
      </c>
      <c r="R1806">
        <v>7.82</v>
      </c>
      <c r="S1806">
        <v>1.66</v>
      </c>
      <c r="T1806">
        <v>0.83</v>
      </c>
      <c r="U1806">
        <v>-21.54</v>
      </c>
      <c r="V1806">
        <v>-1138</v>
      </c>
      <c r="W1806">
        <v>7.73</v>
      </c>
      <c r="X1806" t="s">
        <v>4221</v>
      </c>
      <c r="Y1806" t="s">
        <v>5513</v>
      </c>
      <c r="Z1806">
        <v>1.13</v>
      </c>
      <c r="AA1806">
        <v>36</v>
      </c>
      <c r="AB1806">
        <v>371</v>
      </c>
      <c r="AC1806">
        <v>2.4</v>
      </c>
      <c r="AD1806" t="s">
        <v>10430</v>
      </c>
      <c r="AE1806" t="s">
        <v>10431</v>
      </c>
      <c r="AF1806" t="s">
        <v>10432</v>
      </c>
      <c r="AG1806" t="s">
        <v>10433</v>
      </c>
      <c r="AH1806">
        <v>-2.88</v>
      </c>
      <c r="AI1806">
        <v>-0.64</v>
      </c>
      <c r="AJ1806">
        <v>6.95</v>
      </c>
      <c r="AK1806">
        <v>15.22</v>
      </c>
      <c r="AL1806">
        <v>-3</v>
      </c>
      <c r="AM1806">
        <v>-0.64</v>
      </c>
      <c r="AN1806">
        <v>-8.59</v>
      </c>
      <c r="AO1806">
        <v>3.19</v>
      </c>
      <c r="AP1806">
        <v>-22.22</v>
      </c>
    </row>
    <row r="1807" spans="1:42">
      <c r="A1807">
        <v>1806</v>
      </c>
      <c r="B1807" t="str">
        <f>"600629"</f>
        <v>600629</v>
      </c>
      <c r="C1807" t="s">
        <v>10434</v>
      </c>
      <c r="D1807">
        <v>5.3</v>
      </c>
      <c r="E1807">
        <v>2.91</v>
      </c>
      <c r="F1807">
        <v>0.15</v>
      </c>
      <c r="G1807" t="s">
        <v>2930</v>
      </c>
      <c r="H1807">
        <v>1788</v>
      </c>
      <c r="I1807">
        <v>5.29</v>
      </c>
      <c r="J1807">
        <v>5.3</v>
      </c>
      <c r="K1807" t="s">
        <v>10404</v>
      </c>
      <c r="L1807">
        <v>2.2</v>
      </c>
      <c r="M1807" t="s">
        <v>46</v>
      </c>
      <c r="N1807" t="s">
        <v>10435</v>
      </c>
      <c r="O1807">
        <v>5.3</v>
      </c>
      <c r="P1807">
        <v>5.13</v>
      </c>
      <c r="Q1807">
        <v>5.17</v>
      </c>
      <c r="R1807">
        <v>5.15</v>
      </c>
      <c r="S1807">
        <v>3.3</v>
      </c>
      <c r="T1807">
        <v>0.9</v>
      </c>
      <c r="U1807">
        <v>1.73</v>
      </c>
      <c r="V1807">
        <v>308</v>
      </c>
      <c r="W1807">
        <v>5.24</v>
      </c>
      <c r="X1807" t="s">
        <v>6586</v>
      </c>
      <c r="Y1807" t="s">
        <v>1261</v>
      </c>
      <c r="Z1807">
        <v>0.67</v>
      </c>
      <c r="AA1807">
        <v>1988</v>
      </c>
      <c r="AB1807">
        <v>3369</v>
      </c>
      <c r="AC1807">
        <v>1.07</v>
      </c>
      <c r="AD1807" t="s">
        <v>10436</v>
      </c>
      <c r="AE1807" t="s">
        <v>10437</v>
      </c>
      <c r="AF1807" t="s">
        <v>10438</v>
      </c>
      <c r="AG1807" t="s">
        <v>10439</v>
      </c>
      <c r="AH1807">
        <v>-2.03</v>
      </c>
      <c r="AI1807">
        <v>-6.85</v>
      </c>
      <c r="AJ1807">
        <v>6.63</v>
      </c>
      <c r="AK1807">
        <v>14.49</v>
      </c>
      <c r="AL1807">
        <v>1</v>
      </c>
      <c r="AM1807">
        <v>2.91</v>
      </c>
      <c r="AN1807">
        <v>21.28</v>
      </c>
      <c r="AO1807">
        <v>-2.57</v>
      </c>
      <c r="AP1807">
        <v>13.01</v>
      </c>
    </row>
    <row r="1808" spans="1:42">
      <c r="A1808">
        <v>1807</v>
      </c>
      <c r="B1808" t="str">
        <f>"300842"</f>
        <v>300842</v>
      </c>
      <c r="C1808" t="s">
        <v>10440</v>
      </c>
      <c r="D1808">
        <v>71.5</v>
      </c>
      <c r="E1808">
        <v>0.44</v>
      </c>
      <c r="F1808">
        <v>0.31</v>
      </c>
      <c r="G1808" t="s">
        <v>578</v>
      </c>
      <c r="H1808">
        <v>271</v>
      </c>
      <c r="I1808">
        <v>71.49</v>
      </c>
      <c r="J1808">
        <v>71.5</v>
      </c>
      <c r="K1808" t="s">
        <v>10404</v>
      </c>
      <c r="L1808">
        <v>1.79</v>
      </c>
      <c r="M1808" t="s">
        <v>46</v>
      </c>
      <c r="N1808" t="s">
        <v>10441</v>
      </c>
      <c r="O1808">
        <v>71.66</v>
      </c>
      <c r="P1808">
        <v>70.04</v>
      </c>
      <c r="Q1808">
        <v>70.6</v>
      </c>
      <c r="R1808">
        <v>71.19</v>
      </c>
      <c r="S1808">
        <v>2.28</v>
      </c>
      <c r="T1808">
        <v>0.55</v>
      </c>
      <c r="U1808">
        <v>13.64</v>
      </c>
      <c r="V1808">
        <v>30</v>
      </c>
      <c r="W1808">
        <v>70.93</v>
      </c>
      <c r="X1808">
        <v>7042</v>
      </c>
      <c r="Y1808">
        <v>8297</v>
      </c>
      <c r="Z1808">
        <v>0.85</v>
      </c>
      <c r="AA1808">
        <v>11</v>
      </c>
      <c r="AB1808">
        <v>60</v>
      </c>
      <c r="AC1808">
        <v>5.87</v>
      </c>
      <c r="AD1808" t="s">
        <v>7895</v>
      </c>
      <c r="AE1808" t="s">
        <v>10442</v>
      </c>
      <c r="AF1808" t="s">
        <v>10443</v>
      </c>
      <c r="AG1808" t="s">
        <v>10444</v>
      </c>
      <c r="AH1808">
        <v>-2.52</v>
      </c>
      <c r="AI1808">
        <v>1.32</v>
      </c>
      <c r="AJ1808">
        <v>6.34</v>
      </c>
      <c r="AK1808">
        <v>18.19</v>
      </c>
      <c r="AL1808">
        <v>1</v>
      </c>
      <c r="AM1808">
        <v>0.44</v>
      </c>
      <c r="AN1808">
        <v>39.13</v>
      </c>
      <c r="AO1808">
        <v>7.52</v>
      </c>
      <c r="AP1808">
        <v>16.72</v>
      </c>
    </row>
    <row r="1809" spans="1:42">
      <c r="A1809">
        <v>1808</v>
      </c>
      <c r="B1809" t="str">
        <f>"000060"</f>
        <v>000060</v>
      </c>
      <c r="C1809" t="s">
        <v>10445</v>
      </c>
      <c r="D1809">
        <v>4.44</v>
      </c>
      <c r="E1809">
        <v>0.23</v>
      </c>
      <c r="F1809">
        <v>0.01</v>
      </c>
      <c r="G1809" t="s">
        <v>259</v>
      </c>
      <c r="H1809">
        <v>2323</v>
      </c>
      <c r="I1809">
        <v>4.44</v>
      </c>
      <c r="J1809">
        <v>4.45</v>
      </c>
      <c r="K1809" t="s">
        <v>10404</v>
      </c>
      <c r="L1809">
        <v>0.66</v>
      </c>
      <c r="M1809" t="s">
        <v>46</v>
      </c>
      <c r="N1809" t="s">
        <v>10446</v>
      </c>
      <c r="O1809">
        <v>4.47</v>
      </c>
      <c r="P1809">
        <v>4.41</v>
      </c>
      <c r="Q1809">
        <v>4.42</v>
      </c>
      <c r="R1809">
        <v>4.43</v>
      </c>
      <c r="S1809">
        <v>1.35</v>
      </c>
      <c r="T1809">
        <v>0.94</v>
      </c>
      <c r="U1809">
        <v>15.1</v>
      </c>
      <c r="V1809">
        <v>6545</v>
      </c>
      <c r="W1809">
        <v>4.44</v>
      </c>
      <c r="X1809" t="s">
        <v>4356</v>
      </c>
      <c r="Y1809" t="s">
        <v>830</v>
      </c>
      <c r="Z1809">
        <v>0.89</v>
      </c>
      <c r="AA1809">
        <v>5686</v>
      </c>
      <c r="AB1809">
        <v>2168</v>
      </c>
      <c r="AC1809">
        <v>1.35</v>
      </c>
      <c r="AD1809" t="s">
        <v>10447</v>
      </c>
      <c r="AE1809" t="s">
        <v>1300</v>
      </c>
      <c r="AF1809" t="s">
        <v>2554</v>
      </c>
      <c r="AG1809" t="s">
        <v>1300</v>
      </c>
      <c r="AH1809">
        <v>-1.77</v>
      </c>
      <c r="AI1809">
        <v>-3.27</v>
      </c>
      <c r="AJ1809">
        <v>2.26</v>
      </c>
      <c r="AK1809">
        <v>4.14</v>
      </c>
      <c r="AL1809">
        <v>1</v>
      </c>
      <c r="AM1809">
        <v>0.23</v>
      </c>
      <c r="AN1809">
        <v>11</v>
      </c>
      <c r="AO1809">
        <v>-4.93</v>
      </c>
      <c r="AP1809">
        <v>10.45</v>
      </c>
    </row>
    <row r="1810" spans="1:42">
      <c r="A1810">
        <v>1809</v>
      </c>
      <c r="B1810" t="str">
        <f>"600455"</f>
        <v>600455</v>
      </c>
      <c r="C1810" t="s">
        <v>10448</v>
      </c>
      <c r="D1810">
        <v>25.63</v>
      </c>
      <c r="E1810">
        <v>2.44</v>
      </c>
      <c r="F1810">
        <v>0.61</v>
      </c>
      <c r="G1810" t="s">
        <v>1321</v>
      </c>
      <c r="H1810">
        <v>449</v>
      </c>
      <c r="I1810">
        <v>25.63</v>
      </c>
      <c r="J1810">
        <v>25.65</v>
      </c>
      <c r="K1810" t="s">
        <v>10404</v>
      </c>
      <c r="L1810">
        <v>6.82</v>
      </c>
      <c r="M1810" t="s">
        <v>46</v>
      </c>
      <c r="N1810" t="s">
        <v>7108</v>
      </c>
      <c r="O1810">
        <v>25.82</v>
      </c>
      <c r="P1810">
        <v>24.8</v>
      </c>
      <c r="Q1810">
        <v>24.98</v>
      </c>
      <c r="R1810">
        <v>25.02</v>
      </c>
      <c r="S1810">
        <v>4.08</v>
      </c>
      <c r="T1810">
        <v>0.86</v>
      </c>
      <c r="U1810">
        <v>-47.86</v>
      </c>
      <c r="V1810">
        <v>-369</v>
      </c>
      <c r="W1810">
        <v>25.5</v>
      </c>
      <c r="X1810" t="s">
        <v>1455</v>
      </c>
      <c r="Y1810" t="s">
        <v>1710</v>
      </c>
      <c r="Z1810">
        <v>0.85</v>
      </c>
      <c r="AA1810">
        <v>175</v>
      </c>
      <c r="AB1810">
        <v>17</v>
      </c>
      <c r="AC1810">
        <v>6.16</v>
      </c>
      <c r="AD1810" t="s">
        <v>10449</v>
      </c>
      <c r="AE1810" t="s">
        <v>10450</v>
      </c>
      <c r="AF1810" t="s">
        <v>10449</v>
      </c>
      <c r="AG1810" t="s">
        <v>10450</v>
      </c>
      <c r="AH1810">
        <v>2.4</v>
      </c>
      <c r="AI1810">
        <v>1.26</v>
      </c>
      <c r="AJ1810">
        <v>18.25</v>
      </c>
      <c r="AK1810">
        <v>46.39</v>
      </c>
      <c r="AL1810">
        <v>1</v>
      </c>
      <c r="AM1810">
        <v>2.44</v>
      </c>
      <c r="AN1810">
        <v>15.87</v>
      </c>
      <c r="AO1810">
        <v>9.86</v>
      </c>
      <c r="AP1810">
        <v>19.54</v>
      </c>
    </row>
    <row r="1811" spans="1:42">
      <c r="A1811">
        <v>1810</v>
      </c>
      <c r="B1811" t="str">
        <f>"688301"</f>
        <v>688301</v>
      </c>
      <c r="C1811" t="s">
        <v>10451</v>
      </c>
      <c r="D1811">
        <v>214.39</v>
      </c>
      <c r="E1811">
        <v>-1.57</v>
      </c>
      <c r="F1811">
        <v>-3.41</v>
      </c>
      <c r="G1811">
        <v>5054</v>
      </c>
      <c r="H1811">
        <v>40</v>
      </c>
      <c r="I1811">
        <v>214.39</v>
      </c>
      <c r="J1811">
        <v>214.99</v>
      </c>
      <c r="K1811" t="s">
        <v>10404</v>
      </c>
      <c r="L1811">
        <v>0.5</v>
      </c>
      <c r="M1811" t="s">
        <v>46</v>
      </c>
      <c r="N1811" t="s">
        <v>5236</v>
      </c>
      <c r="O1811">
        <v>218.43</v>
      </c>
      <c r="P1811">
        <v>212.59</v>
      </c>
      <c r="Q1811">
        <v>217.91</v>
      </c>
      <c r="R1811">
        <v>217.8</v>
      </c>
      <c r="S1811">
        <v>2.68</v>
      </c>
      <c r="T1811">
        <v>0.78</v>
      </c>
      <c r="U1811">
        <v>54.19</v>
      </c>
      <c r="V1811">
        <v>55</v>
      </c>
      <c r="W1811">
        <v>214.84</v>
      </c>
      <c r="X1811">
        <v>2721</v>
      </c>
      <c r="Y1811">
        <v>2333</v>
      </c>
      <c r="Z1811">
        <v>1.17</v>
      </c>
      <c r="AA1811">
        <v>0</v>
      </c>
      <c r="AB1811">
        <v>3</v>
      </c>
      <c r="AC1811">
        <v>5.65</v>
      </c>
      <c r="AD1811" t="s">
        <v>10452</v>
      </c>
      <c r="AE1811" t="s">
        <v>3867</v>
      </c>
      <c r="AF1811" t="s">
        <v>10452</v>
      </c>
      <c r="AG1811" t="s">
        <v>3867</v>
      </c>
      <c r="AH1811">
        <v>-4.66</v>
      </c>
      <c r="AI1811">
        <v>-5.72</v>
      </c>
      <c r="AJ1811">
        <v>1.74</v>
      </c>
      <c r="AK1811">
        <v>3.67</v>
      </c>
      <c r="AL1811">
        <v>-3</v>
      </c>
      <c r="AM1811">
        <v>-1.57</v>
      </c>
      <c r="AN1811">
        <v>-34.03</v>
      </c>
      <c r="AO1811">
        <v>-1.01</v>
      </c>
      <c r="AP1811">
        <v>-36.47</v>
      </c>
    </row>
    <row r="1812" spans="1:42">
      <c r="A1812">
        <v>1811</v>
      </c>
      <c r="B1812" t="str">
        <f>"301277"</f>
        <v>301277</v>
      </c>
      <c r="C1812" t="s">
        <v>10453</v>
      </c>
      <c r="D1812">
        <v>22.74</v>
      </c>
      <c r="E1812">
        <v>1.34</v>
      </c>
      <c r="F1812">
        <v>0.3</v>
      </c>
      <c r="G1812" t="s">
        <v>7817</v>
      </c>
      <c r="H1812">
        <v>732</v>
      </c>
      <c r="I1812">
        <v>22.74</v>
      </c>
      <c r="J1812">
        <v>22.75</v>
      </c>
      <c r="K1812" t="s">
        <v>5123</v>
      </c>
      <c r="L1812">
        <v>9.5</v>
      </c>
      <c r="M1812" t="s">
        <v>46</v>
      </c>
      <c r="N1812" t="s">
        <v>7424</v>
      </c>
      <c r="O1812">
        <v>23.1</v>
      </c>
      <c r="P1812">
        <v>22.21</v>
      </c>
      <c r="Q1812">
        <v>22.55</v>
      </c>
      <c r="R1812">
        <v>22.44</v>
      </c>
      <c r="S1812">
        <v>3.97</v>
      </c>
      <c r="T1812">
        <v>0.46</v>
      </c>
      <c r="U1812">
        <v>58.12</v>
      </c>
      <c r="V1812">
        <v>617</v>
      </c>
      <c r="W1812">
        <v>22.8</v>
      </c>
      <c r="X1812" t="s">
        <v>3328</v>
      </c>
      <c r="Y1812" t="s">
        <v>6419</v>
      </c>
      <c r="Z1812">
        <v>1</v>
      </c>
      <c r="AA1812">
        <v>383</v>
      </c>
      <c r="AB1812">
        <v>46</v>
      </c>
      <c r="AC1812">
        <v>3.19</v>
      </c>
      <c r="AD1812" t="s">
        <v>5838</v>
      </c>
      <c r="AE1812" t="s">
        <v>10454</v>
      </c>
      <c r="AF1812" t="s">
        <v>10455</v>
      </c>
      <c r="AG1812" t="s">
        <v>302</v>
      </c>
      <c r="AH1812">
        <v>-2.4</v>
      </c>
      <c r="AI1812">
        <v>-5.76</v>
      </c>
      <c r="AJ1812">
        <v>33.38</v>
      </c>
      <c r="AK1812">
        <v>111.98</v>
      </c>
      <c r="AL1812">
        <v>1</v>
      </c>
      <c r="AM1812">
        <v>1.34</v>
      </c>
      <c r="AN1812">
        <v>20.25</v>
      </c>
      <c r="AO1812">
        <v>1.52</v>
      </c>
      <c r="AP1812">
        <v>-18.11</v>
      </c>
    </row>
    <row r="1813" spans="1:42">
      <c r="A1813">
        <v>1812</v>
      </c>
      <c r="B1813" t="str">
        <f>"001287"</f>
        <v>001287</v>
      </c>
      <c r="C1813" t="s">
        <v>10456</v>
      </c>
      <c r="D1813">
        <v>21.73</v>
      </c>
      <c r="E1813">
        <v>1.35</v>
      </c>
      <c r="F1813">
        <v>0.29</v>
      </c>
      <c r="G1813" t="s">
        <v>5660</v>
      </c>
      <c r="H1813">
        <v>512</v>
      </c>
      <c r="I1813">
        <v>21.73</v>
      </c>
      <c r="J1813">
        <v>21.74</v>
      </c>
      <c r="K1813" t="s">
        <v>5123</v>
      </c>
      <c r="L1813">
        <v>2.64</v>
      </c>
      <c r="M1813" t="s">
        <v>46</v>
      </c>
      <c r="N1813" t="s">
        <v>10457</v>
      </c>
      <c r="O1813">
        <v>21.86</v>
      </c>
      <c r="P1813">
        <v>21.27</v>
      </c>
      <c r="Q1813">
        <v>21.44</v>
      </c>
      <c r="R1813">
        <v>21.44</v>
      </c>
      <c r="S1813">
        <v>2.75</v>
      </c>
      <c r="T1813">
        <v>0.82</v>
      </c>
      <c r="U1813">
        <v>23.34</v>
      </c>
      <c r="V1813">
        <v>291</v>
      </c>
      <c r="W1813">
        <v>21.57</v>
      </c>
      <c r="X1813" t="s">
        <v>9211</v>
      </c>
      <c r="Y1813" t="s">
        <v>8396</v>
      </c>
      <c r="Z1813">
        <v>1.01</v>
      </c>
      <c r="AA1813">
        <v>149</v>
      </c>
      <c r="AB1813">
        <v>80</v>
      </c>
      <c r="AC1813">
        <v>3.33</v>
      </c>
      <c r="AD1813" t="s">
        <v>10458</v>
      </c>
      <c r="AE1813" t="s">
        <v>1542</v>
      </c>
      <c r="AF1813" t="s">
        <v>10459</v>
      </c>
      <c r="AG1813" t="s">
        <v>10460</v>
      </c>
      <c r="AH1813">
        <v>-1.5</v>
      </c>
      <c r="AI1813">
        <v>-3.76</v>
      </c>
      <c r="AJ1813">
        <v>7.77</v>
      </c>
      <c r="AK1813">
        <v>18.67</v>
      </c>
      <c r="AL1813">
        <v>1</v>
      </c>
      <c r="AM1813">
        <v>1.35</v>
      </c>
      <c r="AN1813">
        <v>85.09</v>
      </c>
      <c r="AO1813">
        <v>-0.87</v>
      </c>
      <c r="AP1813">
        <v>85.09</v>
      </c>
    </row>
    <row r="1814" spans="1:42">
      <c r="A1814">
        <v>1813</v>
      </c>
      <c r="B1814" t="str">
        <f>"603035"</f>
        <v>603035</v>
      </c>
      <c r="C1814" t="s">
        <v>10461</v>
      </c>
      <c r="D1814">
        <v>20</v>
      </c>
      <c r="E1814">
        <v>-1.23</v>
      </c>
      <c r="F1814">
        <v>-0.25</v>
      </c>
      <c r="G1814" t="s">
        <v>744</v>
      </c>
      <c r="H1814">
        <v>1156</v>
      </c>
      <c r="I1814">
        <v>19.99</v>
      </c>
      <c r="J1814">
        <v>20</v>
      </c>
      <c r="K1814" t="s">
        <v>5123</v>
      </c>
      <c r="L1814">
        <v>1.42</v>
      </c>
      <c r="M1814" t="s">
        <v>46</v>
      </c>
      <c r="N1814" t="s">
        <v>10462</v>
      </c>
      <c r="O1814">
        <v>20.27</v>
      </c>
      <c r="P1814">
        <v>19.86</v>
      </c>
      <c r="Q1814">
        <v>20.25</v>
      </c>
      <c r="R1814">
        <v>20.25</v>
      </c>
      <c r="S1814">
        <v>2.02</v>
      </c>
      <c r="T1814">
        <v>0.79</v>
      </c>
      <c r="U1814">
        <v>23.77</v>
      </c>
      <c r="V1814">
        <v>260</v>
      </c>
      <c r="W1814">
        <v>20.01</v>
      </c>
      <c r="X1814" t="s">
        <v>9871</v>
      </c>
      <c r="Y1814" t="s">
        <v>7210</v>
      </c>
      <c r="Z1814">
        <v>1.55</v>
      </c>
      <c r="AA1814">
        <v>262</v>
      </c>
      <c r="AB1814">
        <v>9</v>
      </c>
      <c r="AC1814">
        <v>1.56</v>
      </c>
      <c r="AD1814" t="s">
        <v>10463</v>
      </c>
      <c r="AE1814" t="s">
        <v>10464</v>
      </c>
      <c r="AF1814" t="s">
        <v>10463</v>
      </c>
      <c r="AG1814" t="s">
        <v>10464</v>
      </c>
      <c r="AH1814">
        <v>-3.66</v>
      </c>
      <c r="AI1814">
        <v>-2.39</v>
      </c>
      <c r="AJ1814">
        <v>4.82</v>
      </c>
      <c r="AK1814">
        <v>10.42</v>
      </c>
      <c r="AL1814">
        <v>-3</v>
      </c>
      <c r="AM1814">
        <v>-1.23</v>
      </c>
      <c r="AN1814">
        <v>-4.08</v>
      </c>
      <c r="AO1814">
        <v>1.11</v>
      </c>
      <c r="AP1814">
        <v>-9.42</v>
      </c>
    </row>
    <row r="1815" spans="1:42">
      <c r="A1815">
        <v>1814</v>
      </c>
      <c r="B1815" t="str">
        <f>"300578"</f>
        <v>300578</v>
      </c>
      <c r="C1815" t="s">
        <v>10465</v>
      </c>
      <c r="D1815">
        <v>19.79</v>
      </c>
      <c r="E1815">
        <v>4.71</v>
      </c>
      <c r="F1815">
        <v>0.89</v>
      </c>
      <c r="G1815" t="s">
        <v>1038</v>
      </c>
      <c r="H1815">
        <v>533</v>
      </c>
      <c r="I1815">
        <v>19.78</v>
      </c>
      <c r="J1815">
        <v>19.79</v>
      </c>
      <c r="K1815" t="s">
        <v>5123</v>
      </c>
      <c r="L1815">
        <v>2.86</v>
      </c>
      <c r="M1815" t="s">
        <v>46</v>
      </c>
      <c r="N1815" t="s">
        <v>4248</v>
      </c>
      <c r="O1815">
        <v>19.93</v>
      </c>
      <c r="P1815">
        <v>18.78</v>
      </c>
      <c r="Q1815">
        <v>18.9</v>
      </c>
      <c r="R1815">
        <v>18.9</v>
      </c>
      <c r="S1815">
        <v>6.08</v>
      </c>
      <c r="T1815">
        <v>2.41</v>
      </c>
      <c r="U1815">
        <v>-58.66</v>
      </c>
      <c r="V1815">
        <v>-755</v>
      </c>
      <c r="W1815">
        <v>19.5</v>
      </c>
      <c r="X1815" t="s">
        <v>5592</v>
      </c>
      <c r="Y1815" t="s">
        <v>1604</v>
      </c>
      <c r="Z1815">
        <v>0.61</v>
      </c>
      <c r="AA1815">
        <v>55</v>
      </c>
      <c r="AB1815">
        <v>269</v>
      </c>
      <c r="AC1815">
        <v>2.39</v>
      </c>
      <c r="AD1815" t="s">
        <v>9983</v>
      </c>
      <c r="AE1815" t="s">
        <v>10466</v>
      </c>
      <c r="AF1815" t="s">
        <v>10467</v>
      </c>
      <c r="AG1815" t="s">
        <v>10468</v>
      </c>
      <c r="AH1815">
        <v>2.91</v>
      </c>
      <c r="AI1815">
        <v>1.18</v>
      </c>
      <c r="AJ1815">
        <v>4.98</v>
      </c>
      <c r="AK1815">
        <v>8.77</v>
      </c>
      <c r="AL1815">
        <v>1</v>
      </c>
      <c r="AM1815">
        <v>4.71</v>
      </c>
      <c r="AN1815">
        <v>27.6</v>
      </c>
      <c r="AO1815">
        <v>1.07</v>
      </c>
      <c r="AP1815">
        <v>19</v>
      </c>
    </row>
    <row r="1816" spans="1:42">
      <c r="A1816">
        <v>1815</v>
      </c>
      <c r="B1816" t="str">
        <f>"600740"</f>
        <v>600740</v>
      </c>
      <c r="C1816" t="s">
        <v>10469</v>
      </c>
      <c r="D1816">
        <v>5.25</v>
      </c>
      <c r="E1816">
        <v>1.35</v>
      </c>
      <c r="F1816">
        <v>0.07</v>
      </c>
      <c r="G1816" t="s">
        <v>3809</v>
      </c>
      <c r="H1816">
        <v>1760</v>
      </c>
      <c r="I1816">
        <v>5.25</v>
      </c>
      <c r="J1816">
        <v>5.26</v>
      </c>
      <c r="K1816" t="s">
        <v>5123</v>
      </c>
      <c r="L1816">
        <v>0.8</v>
      </c>
      <c r="M1816" t="s">
        <v>46</v>
      </c>
      <c r="N1816" t="s">
        <v>10470</v>
      </c>
      <c r="O1816">
        <v>5.28</v>
      </c>
      <c r="P1816">
        <v>5.18</v>
      </c>
      <c r="Q1816">
        <v>5.18</v>
      </c>
      <c r="R1816">
        <v>5.18</v>
      </c>
      <c r="S1816">
        <v>1.93</v>
      </c>
      <c r="T1816">
        <v>0.82</v>
      </c>
      <c r="U1816">
        <v>-74.06</v>
      </c>
      <c r="V1816" t="s">
        <v>10471</v>
      </c>
      <c r="W1816">
        <v>5.25</v>
      </c>
      <c r="X1816" t="s">
        <v>4183</v>
      </c>
      <c r="Y1816" t="s">
        <v>1915</v>
      </c>
      <c r="Z1816">
        <v>0.59</v>
      </c>
      <c r="AA1816">
        <v>2008</v>
      </c>
      <c r="AB1816">
        <v>3058</v>
      </c>
      <c r="AC1816">
        <v>0.88</v>
      </c>
      <c r="AD1816" t="s">
        <v>10472</v>
      </c>
      <c r="AE1816" t="s">
        <v>6836</v>
      </c>
      <c r="AF1816" t="s">
        <v>10472</v>
      </c>
      <c r="AG1816" t="s">
        <v>6836</v>
      </c>
      <c r="AH1816">
        <v>1.55</v>
      </c>
      <c r="AI1816">
        <v>2.54</v>
      </c>
      <c r="AJ1816">
        <v>3.48</v>
      </c>
      <c r="AK1816">
        <v>5.71</v>
      </c>
      <c r="AL1816">
        <v>1</v>
      </c>
      <c r="AM1816">
        <v>1.35</v>
      </c>
      <c r="AN1816">
        <v>0.77</v>
      </c>
      <c r="AO1816">
        <v>4.58</v>
      </c>
      <c r="AP1816">
        <v>-2.96</v>
      </c>
    </row>
    <row r="1817" spans="1:42">
      <c r="A1817">
        <v>1816</v>
      </c>
      <c r="B1817" t="str">
        <f>"688478"</f>
        <v>688478</v>
      </c>
      <c r="C1817" t="s">
        <v>10473</v>
      </c>
      <c r="D1817">
        <v>54.4</v>
      </c>
      <c r="E1817">
        <v>-1.45</v>
      </c>
      <c r="F1817">
        <v>-0.8</v>
      </c>
      <c r="G1817" t="s">
        <v>2924</v>
      </c>
      <c r="H1817">
        <v>304</v>
      </c>
      <c r="I1817">
        <v>54.4</v>
      </c>
      <c r="J1817">
        <v>54.44</v>
      </c>
      <c r="K1817" t="s">
        <v>5123</v>
      </c>
      <c r="L1817">
        <v>6.32</v>
      </c>
      <c r="M1817" t="s">
        <v>46</v>
      </c>
      <c r="N1817" t="s">
        <v>5949</v>
      </c>
      <c r="O1817">
        <v>56.62</v>
      </c>
      <c r="P1817">
        <v>53.93</v>
      </c>
      <c r="Q1817">
        <v>55.19</v>
      </c>
      <c r="R1817">
        <v>55.2</v>
      </c>
      <c r="S1817">
        <v>4.87</v>
      </c>
      <c r="T1817">
        <v>0.69</v>
      </c>
      <c r="U1817">
        <v>57.89</v>
      </c>
      <c r="V1817">
        <v>133</v>
      </c>
      <c r="W1817">
        <v>54.76</v>
      </c>
      <c r="X1817" t="s">
        <v>1743</v>
      </c>
      <c r="Y1817">
        <v>8107</v>
      </c>
      <c r="Z1817">
        <v>1.43</v>
      </c>
      <c r="AA1817">
        <v>17</v>
      </c>
      <c r="AB1817">
        <v>4</v>
      </c>
      <c r="AC1817">
        <v>4.86</v>
      </c>
      <c r="AD1817" t="s">
        <v>10474</v>
      </c>
      <c r="AE1817" t="s">
        <v>10475</v>
      </c>
      <c r="AF1817" t="s">
        <v>10476</v>
      </c>
      <c r="AG1817" t="s">
        <v>10477</v>
      </c>
      <c r="AH1817">
        <v>1.17</v>
      </c>
      <c r="AI1817">
        <v>10.5</v>
      </c>
      <c r="AJ1817">
        <v>25.81</v>
      </c>
      <c r="AK1817">
        <v>52.09</v>
      </c>
      <c r="AL1817">
        <v>-2</v>
      </c>
      <c r="AM1817">
        <v>-1.45</v>
      </c>
      <c r="AN1817">
        <v>68.58</v>
      </c>
      <c r="AO1817">
        <v>22.74</v>
      </c>
      <c r="AP1817">
        <v>68.58</v>
      </c>
    </row>
    <row r="1818" spans="1:42">
      <c r="A1818">
        <v>1817</v>
      </c>
      <c r="B1818" t="str">
        <f>"600021"</f>
        <v>600021</v>
      </c>
      <c r="C1818" t="s">
        <v>10478</v>
      </c>
      <c r="D1818">
        <v>8.8</v>
      </c>
      <c r="E1818">
        <v>0</v>
      </c>
      <c r="F1818">
        <v>0</v>
      </c>
      <c r="G1818" t="s">
        <v>422</v>
      </c>
      <c r="H1818">
        <v>442</v>
      </c>
      <c r="I1818">
        <v>8.8</v>
      </c>
      <c r="J1818">
        <v>8.81</v>
      </c>
      <c r="K1818" t="s">
        <v>5123</v>
      </c>
      <c r="L1818">
        <v>0.47</v>
      </c>
      <c r="M1818" t="s">
        <v>46</v>
      </c>
      <c r="N1818" t="s">
        <v>10479</v>
      </c>
      <c r="O1818">
        <v>8.83</v>
      </c>
      <c r="P1818">
        <v>8.75</v>
      </c>
      <c r="Q1818">
        <v>8.81</v>
      </c>
      <c r="R1818">
        <v>8.8</v>
      </c>
      <c r="S1818">
        <v>0.91</v>
      </c>
      <c r="T1818">
        <v>0.92</v>
      </c>
      <c r="U1818">
        <v>-30.09</v>
      </c>
      <c r="V1818">
        <v>-6882</v>
      </c>
      <c r="W1818">
        <v>8.79</v>
      </c>
      <c r="X1818" t="s">
        <v>1900</v>
      </c>
      <c r="Y1818" t="s">
        <v>525</v>
      </c>
      <c r="Z1818">
        <v>1.1</v>
      </c>
      <c r="AA1818">
        <v>847</v>
      </c>
      <c r="AB1818">
        <v>3053</v>
      </c>
      <c r="AC1818">
        <v>1.35</v>
      </c>
      <c r="AD1818" t="s">
        <v>10480</v>
      </c>
      <c r="AE1818" t="s">
        <v>10481</v>
      </c>
      <c r="AF1818" t="s">
        <v>5883</v>
      </c>
      <c r="AG1818" t="s">
        <v>10482</v>
      </c>
      <c r="AH1818">
        <v>0</v>
      </c>
      <c r="AI1818">
        <v>-1.35</v>
      </c>
      <c r="AJ1818">
        <v>1.7</v>
      </c>
      <c r="AK1818">
        <v>3.02</v>
      </c>
      <c r="AL1818">
        <v>0</v>
      </c>
      <c r="AM1818">
        <v>0</v>
      </c>
      <c r="AN1818">
        <v>-11.82</v>
      </c>
      <c r="AO1818">
        <v>0.46</v>
      </c>
      <c r="AP1818">
        <v>-9.47</v>
      </c>
    </row>
    <row r="1819" spans="1:42">
      <c r="A1819">
        <v>1818</v>
      </c>
      <c r="B1819" t="str">
        <f>"000729"</f>
        <v>000729</v>
      </c>
      <c r="C1819" t="s">
        <v>10483</v>
      </c>
      <c r="D1819">
        <v>9.71</v>
      </c>
      <c r="E1819">
        <v>-2.41</v>
      </c>
      <c r="F1819">
        <v>-0.24</v>
      </c>
      <c r="G1819" t="s">
        <v>1438</v>
      </c>
      <c r="H1819">
        <v>1483</v>
      </c>
      <c r="I1819">
        <v>9.71</v>
      </c>
      <c r="J1819">
        <v>9.72</v>
      </c>
      <c r="K1819" t="s">
        <v>5123</v>
      </c>
      <c r="L1819">
        <v>0.44</v>
      </c>
      <c r="M1819" t="s">
        <v>46</v>
      </c>
      <c r="N1819" t="s">
        <v>3965</v>
      </c>
      <c r="O1819">
        <v>9.92</v>
      </c>
      <c r="P1819">
        <v>9.68</v>
      </c>
      <c r="Q1819">
        <v>9.92</v>
      </c>
      <c r="R1819">
        <v>9.95</v>
      </c>
      <c r="S1819">
        <v>2.41</v>
      </c>
      <c r="T1819">
        <v>1.32</v>
      </c>
      <c r="U1819">
        <v>23.36</v>
      </c>
      <c r="V1819">
        <v>1243</v>
      </c>
      <c r="W1819">
        <v>9.77</v>
      </c>
      <c r="X1819" t="s">
        <v>1721</v>
      </c>
      <c r="Y1819" t="s">
        <v>616</v>
      </c>
      <c r="Z1819">
        <v>1.54</v>
      </c>
      <c r="AA1819">
        <v>498</v>
      </c>
      <c r="AB1819">
        <v>30</v>
      </c>
      <c r="AC1819">
        <v>1.93</v>
      </c>
      <c r="AD1819" t="s">
        <v>10484</v>
      </c>
      <c r="AE1819" t="s">
        <v>10485</v>
      </c>
      <c r="AF1819" t="s">
        <v>10486</v>
      </c>
      <c r="AG1819" t="s">
        <v>10487</v>
      </c>
      <c r="AH1819">
        <v>-1.62</v>
      </c>
      <c r="AI1819">
        <v>-3.19</v>
      </c>
      <c r="AJ1819">
        <v>1.16</v>
      </c>
      <c r="AK1819">
        <v>2.11</v>
      </c>
      <c r="AL1819">
        <v>-1</v>
      </c>
      <c r="AM1819">
        <v>-2.41</v>
      </c>
      <c r="AN1819">
        <v>-7.87</v>
      </c>
      <c r="AO1819">
        <v>-6.18</v>
      </c>
      <c r="AP1819">
        <v>-3.29</v>
      </c>
    </row>
    <row r="1820" spans="1:42">
      <c r="A1820">
        <v>1819</v>
      </c>
      <c r="B1820" t="str">
        <f>"301507"</f>
        <v>301507</v>
      </c>
      <c r="C1820" t="s">
        <v>10488</v>
      </c>
      <c r="D1820">
        <v>18.59</v>
      </c>
      <c r="E1820">
        <v>0.54</v>
      </c>
      <c r="F1820">
        <v>0.1</v>
      </c>
      <c r="G1820" t="s">
        <v>3030</v>
      </c>
      <c r="H1820">
        <v>1252</v>
      </c>
      <c r="I1820">
        <v>18.59</v>
      </c>
      <c r="J1820">
        <v>18.6</v>
      </c>
      <c r="K1820" t="s">
        <v>5123</v>
      </c>
      <c r="L1820">
        <v>6.89</v>
      </c>
      <c r="M1820" t="s">
        <v>46</v>
      </c>
      <c r="N1820" t="s">
        <v>2892</v>
      </c>
      <c r="O1820">
        <v>18.69</v>
      </c>
      <c r="P1820">
        <v>18.32</v>
      </c>
      <c r="Q1820">
        <v>18.4</v>
      </c>
      <c r="R1820">
        <v>18.49</v>
      </c>
      <c r="S1820">
        <v>2</v>
      </c>
      <c r="T1820">
        <v>0.55</v>
      </c>
      <c r="U1820">
        <v>-19.91</v>
      </c>
      <c r="V1820">
        <v>-184</v>
      </c>
      <c r="W1820">
        <v>18.5</v>
      </c>
      <c r="X1820" t="s">
        <v>6097</v>
      </c>
      <c r="Y1820" t="s">
        <v>6247</v>
      </c>
      <c r="Z1820">
        <v>0.99</v>
      </c>
      <c r="AA1820">
        <v>27</v>
      </c>
      <c r="AB1820">
        <v>147</v>
      </c>
      <c r="AC1820">
        <v>4.51</v>
      </c>
      <c r="AD1820" t="s">
        <v>10489</v>
      </c>
      <c r="AE1820" t="s">
        <v>10490</v>
      </c>
      <c r="AF1820" t="s">
        <v>10491</v>
      </c>
      <c r="AG1820" t="s">
        <v>10492</v>
      </c>
      <c r="AH1820">
        <v>-6.68</v>
      </c>
      <c r="AI1820">
        <v>-11.35</v>
      </c>
      <c r="AJ1820">
        <v>28.38</v>
      </c>
      <c r="AK1820">
        <v>69.3</v>
      </c>
      <c r="AL1820">
        <v>1</v>
      </c>
      <c r="AM1820">
        <v>0.54</v>
      </c>
      <c r="AN1820">
        <v>85.9</v>
      </c>
      <c r="AO1820">
        <v>0.49</v>
      </c>
      <c r="AP1820">
        <v>85.9</v>
      </c>
    </row>
    <row r="1821" spans="1:42">
      <c r="A1821">
        <v>1820</v>
      </c>
      <c r="B1821" t="str">
        <f>"600961"</f>
        <v>600961</v>
      </c>
      <c r="C1821" t="s">
        <v>10493</v>
      </c>
      <c r="D1821">
        <v>7.77</v>
      </c>
      <c r="E1821">
        <v>-0.38</v>
      </c>
      <c r="F1821">
        <v>-0.03</v>
      </c>
      <c r="G1821" t="s">
        <v>960</v>
      </c>
      <c r="H1821">
        <v>1480</v>
      </c>
      <c r="I1821">
        <v>7.77</v>
      </c>
      <c r="J1821">
        <v>7.78</v>
      </c>
      <c r="K1821" t="s">
        <v>5123</v>
      </c>
      <c r="L1821">
        <v>2.04</v>
      </c>
      <c r="M1821" t="s">
        <v>46</v>
      </c>
      <c r="N1821" t="s">
        <v>8281</v>
      </c>
      <c r="O1821">
        <v>7.79</v>
      </c>
      <c r="P1821">
        <v>7.6</v>
      </c>
      <c r="Q1821">
        <v>7.75</v>
      </c>
      <c r="R1821">
        <v>7.8</v>
      </c>
      <c r="S1821">
        <v>2.44</v>
      </c>
      <c r="T1821">
        <v>0.63</v>
      </c>
      <c r="U1821">
        <v>-26.21</v>
      </c>
      <c r="V1821">
        <v>-1617</v>
      </c>
      <c r="W1821">
        <v>7.72</v>
      </c>
      <c r="X1821" t="s">
        <v>4542</v>
      </c>
      <c r="Y1821" t="s">
        <v>426</v>
      </c>
      <c r="Z1821">
        <v>1.1</v>
      </c>
      <c r="AA1821">
        <v>20</v>
      </c>
      <c r="AB1821">
        <v>880</v>
      </c>
      <c r="AC1821">
        <v>4.04</v>
      </c>
      <c r="AD1821" t="s">
        <v>1013</v>
      </c>
      <c r="AE1821" t="s">
        <v>10494</v>
      </c>
      <c r="AF1821" t="s">
        <v>9508</v>
      </c>
      <c r="AG1821" t="s">
        <v>10495</v>
      </c>
      <c r="AH1821">
        <v>-1.4</v>
      </c>
      <c r="AI1821">
        <v>1.44</v>
      </c>
      <c r="AJ1821">
        <v>9.73</v>
      </c>
      <c r="AK1821">
        <v>18.25</v>
      </c>
      <c r="AL1821">
        <v>-2</v>
      </c>
      <c r="AM1821">
        <v>-0.38</v>
      </c>
      <c r="AN1821">
        <v>9.44</v>
      </c>
      <c r="AO1821">
        <v>2.64</v>
      </c>
      <c r="AP1821">
        <v>6.29</v>
      </c>
    </row>
    <row r="1822" spans="1:42">
      <c r="A1822">
        <v>1821</v>
      </c>
      <c r="B1822" t="str">
        <f>"002655"</f>
        <v>002655</v>
      </c>
      <c r="C1822" t="s">
        <v>10496</v>
      </c>
      <c r="D1822">
        <v>13.21</v>
      </c>
      <c r="E1822">
        <v>0.76</v>
      </c>
      <c r="F1822">
        <v>0.1</v>
      </c>
      <c r="G1822" t="s">
        <v>788</v>
      </c>
      <c r="H1822">
        <v>1458</v>
      </c>
      <c r="I1822">
        <v>13.21</v>
      </c>
      <c r="J1822">
        <v>13.22</v>
      </c>
      <c r="K1822" t="s">
        <v>5123</v>
      </c>
      <c r="L1822">
        <v>2.28</v>
      </c>
      <c r="M1822" t="s">
        <v>46</v>
      </c>
      <c r="N1822" t="s">
        <v>1213</v>
      </c>
      <c r="O1822">
        <v>13.24</v>
      </c>
      <c r="P1822">
        <v>12.88</v>
      </c>
      <c r="Q1822">
        <v>13.2</v>
      </c>
      <c r="R1822">
        <v>13.11</v>
      </c>
      <c r="S1822">
        <v>2.75</v>
      </c>
      <c r="T1822">
        <v>0.4</v>
      </c>
      <c r="U1822">
        <v>-49.16</v>
      </c>
      <c r="V1822">
        <v>-1491</v>
      </c>
      <c r="W1822">
        <v>13.12</v>
      </c>
      <c r="X1822" t="s">
        <v>7177</v>
      </c>
      <c r="Y1822" t="s">
        <v>6257</v>
      </c>
      <c r="Z1822">
        <v>0.74</v>
      </c>
      <c r="AA1822">
        <v>32</v>
      </c>
      <c r="AB1822">
        <v>803</v>
      </c>
      <c r="AC1822">
        <v>7.9</v>
      </c>
      <c r="AD1822" t="s">
        <v>10497</v>
      </c>
      <c r="AE1822" t="s">
        <v>10498</v>
      </c>
      <c r="AF1822" t="s">
        <v>10499</v>
      </c>
      <c r="AG1822" t="s">
        <v>10500</v>
      </c>
      <c r="AH1822">
        <v>-2.72</v>
      </c>
      <c r="AI1822">
        <v>-2.87</v>
      </c>
      <c r="AJ1822">
        <v>9.65</v>
      </c>
      <c r="AK1822">
        <v>31.07</v>
      </c>
      <c r="AL1822">
        <v>1</v>
      </c>
      <c r="AM1822">
        <v>0.76</v>
      </c>
      <c r="AN1822">
        <v>18.79</v>
      </c>
      <c r="AO1822">
        <v>2.8</v>
      </c>
      <c r="AP1822">
        <v>-1.56</v>
      </c>
    </row>
    <row r="1823" spans="1:42">
      <c r="A1823">
        <v>1822</v>
      </c>
      <c r="B1823" t="str">
        <f>"873570"</f>
        <v>873570</v>
      </c>
      <c r="C1823" t="s">
        <v>10501</v>
      </c>
      <c r="D1823">
        <v>44.78</v>
      </c>
      <c r="E1823">
        <v>-15.33</v>
      </c>
      <c r="F1823">
        <v>-8.11</v>
      </c>
      <c r="G1823" t="s">
        <v>1212</v>
      </c>
      <c r="H1823">
        <v>224</v>
      </c>
      <c r="I1823">
        <v>44.72</v>
      </c>
      <c r="J1823">
        <v>44.78</v>
      </c>
      <c r="K1823" t="s">
        <v>5123</v>
      </c>
      <c r="L1823">
        <v>29.27</v>
      </c>
      <c r="M1823" t="s">
        <v>46</v>
      </c>
      <c r="N1823" t="s">
        <v>6308</v>
      </c>
      <c r="O1823">
        <v>53.94</v>
      </c>
      <c r="P1823">
        <v>44.54</v>
      </c>
      <c r="Q1823">
        <v>52.89</v>
      </c>
      <c r="R1823">
        <v>52.89</v>
      </c>
      <c r="S1823">
        <v>17.77</v>
      </c>
      <c r="T1823">
        <v>0.61</v>
      </c>
      <c r="U1823">
        <v>-17.18</v>
      </c>
      <c r="V1823">
        <v>-54</v>
      </c>
      <c r="W1823">
        <v>47.75</v>
      </c>
      <c r="X1823" t="s">
        <v>3284</v>
      </c>
      <c r="Y1823">
        <v>8870</v>
      </c>
      <c r="Z1823">
        <v>1.54</v>
      </c>
      <c r="AA1823">
        <v>7</v>
      </c>
      <c r="AB1823">
        <v>152</v>
      </c>
      <c r="AC1823">
        <v>4.54</v>
      </c>
      <c r="AD1823" t="s">
        <v>10502</v>
      </c>
      <c r="AE1823" t="s">
        <v>7695</v>
      </c>
      <c r="AF1823" t="s">
        <v>10503</v>
      </c>
      <c r="AG1823" t="s">
        <v>10504</v>
      </c>
      <c r="AH1823">
        <v>-32.86</v>
      </c>
      <c r="AI1823">
        <v>-33.26</v>
      </c>
      <c r="AJ1823">
        <v>89.19</v>
      </c>
      <c r="AK1823">
        <v>269.36</v>
      </c>
      <c r="AL1823">
        <v>-3</v>
      </c>
      <c r="AM1823">
        <v>-15.33</v>
      </c>
      <c r="AN1823">
        <v>407.13</v>
      </c>
      <c r="AO1823">
        <v>407.13</v>
      </c>
      <c r="AP1823">
        <v>407.13</v>
      </c>
    </row>
    <row r="1824" spans="1:42">
      <c r="A1824">
        <v>1823</v>
      </c>
      <c r="B1824" t="str">
        <f>"002227"</f>
        <v>002227</v>
      </c>
      <c r="C1824" t="s">
        <v>10505</v>
      </c>
      <c r="D1824">
        <v>13.05</v>
      </c>
      <c r="E1824">
        <v>0.38</v>
      </c>
      <c r="F1824">
        <v>0.05</v>
      </c>
      <c r="G1824" t="s">
        <v>6891</v>
      </c>
      <c r="H1824">
        <v>1260</v>
      </c>
      <c r="I1824">
        <v>13.03</v>
      </c>
      <c r="J1824">
        <v>13.05</v>
      </c>
      <c r="K1824" t="s">
        <v>5123</v>
      </c>
      <c r="L1824">
        <v>3.26</v>
      </c>
      <c r="M1824" t="s">
        <v>46</v>
      </c>
      <c r="N1824" t="s">
        <v>5256</v>
      </c>
      <c r="O1824">
        <v>13.88</v>
      </c>
      <c r="P1824">
        <v>12.99</v>
      </c>
      <c r="Q1824">
        <v>13.3</v>
      </c>
      <c r="R1824">
        <v>13</v>
      </c>
      <c r="S1824">
        <v>6.85</v>
      </c>
      <c r="T1824">
        <v>2.74</v>
      </c>
      <c r="U1824">
        <v>60.71</v>
      </c>
      <c r="V1824">
        <v>720</v>
      </c>
      <c r="W1824">
        <v>13.31</v>
      </c>
      <c r="X1824" t="s">
        <v>616</v>
      </c>
      <c r="Y1824" t="s">
        <v>1718</v>
      </c>
      <c r="Z1824">
        <v>1.16</v>
      </c>
      <c r="AA1824">
        <v>6</v>
      </c>
      <c r="AB1824">
        <v>3</v>
      </c>
      <c r="AC1824">
        <v>3.04</v>
      </c>
      <c r="AD1824" t="s">
        <v>10506</v>
      </c>
      <c r="AE1824" t="s">
        <v>10507</v>
      </c>
      <c r="AF1824" t="s">
        <v>2963</v>
      </c>
      <c r="AG1824" t="s">
        <v>10508</v>
      </c>
      <c r="AH1824">
        <v>-0.31</v>
      </c>
      <c r="AI1824">
        <v>1.01</v>
      </c>
      <c r="AJ1824">
        <v>6.24</v>
      </c>
      <c r="AK1824">
        <v>9.22</v>
      </c>
      <c r="AL1824">
        <v>1</v>
      </c>
      <c r="AM1824">
        <v>0.38</v>
      </c>
      <c r="AN1824">
        <v>4.4</v>
      </c>
      <c r="AO1824">
        <v>3.9</v>
      </c>
      <c r="AP1824">
        <v>-6.38</v>
      </c>
    </row>
    <row r="1825" spans="1:42">
      <c r="A1825">
        <v>1824</v>
      </c>
      <c r="B1825" t="str">
        <f>"003005"</f>
        <v>003005</v>
      </c>
      <c r="C1825" t="s">
        <v>10509</v>
      </c>
      <c r="D1825">
        <v>33.38</v>
      </c>
      <c r="E1825">
        <v>2.99</v>
      </c>
      <c r="F1825">
        <v>0.97</v>
      </c>
      <c r="G1825" t="s">
        <v>5923</v>
      </c>
      <c r="H1825">
        <v>884</v>
      </c>
      <c r="I1825">
        <v>33.37</v>
      </c>
      <c r="J1825">
        <v>33.38</v>
      </c>
      <c r="K1825" t="s">
        <v>5123</v>
      </c>
      <c r="L1825">
        <v>4.42</v>
      </c>
      <c r="M1825" t="s">
        <v>46</v>
      </c>
      <c r="N1825" t="s">
        <v>5820</v>
      </c>
      <c r="O1825">
        <v>33.73</v>
      </c>
      <c r="P1825">
        <v>32.11</v>
      </c>
      <c r="Q1825">
        <v>32.38</v>
      </c>
      <c r="R1825">
        <v>32.41</v>
      </c>
      <c r="S1825">
        <v>5</v>
      </c>
      <c r="T1825">
        <v>0.96</v>
      </c>
      <c r="U1825">
        <v>-59.43</v>
      </c>
      <c r="V1825">
        <v>-334</v>
      </c>
      <c r="W1825">
        <v>32.94</v>
      </c>
      <c r="X1825" t="s">
        <v>5951</v>
      </c>
      <c r="Y1825" t="s">
        <v>1456</v>
      </c>
      <c r="Z1825">
        <v>0.9</v>
      </c>
      <c r="AA1825">
        <v>36</v>
      </c>
      <c r="AB1825">
        <v>201</v>
      </c>
      <c r="AC1825">
        <v>3.34</v>
      </c>
      <c r="AD1825" t="s">
        <v>10510</v>
      </c>
      <c r="AE1825" t="s">
        <v>10511</v>
      </c>
      <c r="AF1825" t="s">
        <v>10512</v>
      </c>
      <c r="AG1825" t="s">
        <v>10513</v>
      </c>
      <c r="AH1825">
        <v>-3.05</v>
      </c>
      <c r="AI1825">
        <v>-1.85</v>
      </c>
      <c r="AJ1825">
        <v>13.09</v>
      </c>
      <c r="AK1825">
        <v>27.52</v>
      </c>
      <c r="AL1825">
        <v>1</v>
      </c>
      <c r="AM1825">
        <v>2.99</v>
      </c>
      <c r="AN1825">
        <v>-16.97</v>
      </c>
      <c r="AO1825">
        <v>-0.63</v>
      </c>
      <c r="AP1825">
        <v>-32.43</v>
      </c>
    </row>
    <row r="1826" spans="1:42">
      <c r="A1826">
        <v>1825</v>
      </c>
      <c r="B1826" t="str">
        <f>"300549"</f>
        <v>300549</v>
      </c>
      <c r="C1826" t="s">
        <v>10514</v>
      </c>
      <c r="D1826">
        <v>19.56</v>
      </c>
      <c r="E1826">
        <v>-2</v>
      </c>
      <c r="F1826">
        <v>-0.4</v>
      </c>
      <c r="G1826" t="s">
        <v>2405</v>
      </c>
      <c r="H1826">
        <v>401</v>
      </c>
      <c r="I1826">
        <v>19.55</v>
      </c>
      <c r="J1826">
        <v>19.56</v>
      </c>
      <c r="K1826" t="s">
        <v>10515</v>
      </c>
      <c r="L1826">
        <v>5.45</v>
      </c>
      <c r="M1826" t="s">
        <v>46</v>
      </c>
      <c r="N1826" t="s">
        <v>5445</v>
      </c>
      <c r="O1826">
        <v>19.9</v>
      </c>
      <c r="P1826">
        <v>19.24</v>
      </c>
      <c r="Q1826">
        <v>19.72</v>
      </c>
      <c r="R1826">
        <v>19.96</v>
      </c>
      <c r="S1826">
        <v>3.31</v>
      </c>
      <c r="T1826">
        <v>1.26</v>
      </c>
      <c r="U1826">
        <v>42.46</v>
      </c>
      <c r="V1826">
        <v>276</v>
      </c>
      <c r="W1826">
        <v>19.5</v>
      </c>
      <c r="X1826" t="s">
        <v>6657</v>
      </c>
      <c r="Y1826" t="s">
        <v>4037</v>
      </c>
      <c r="Z1826">
        <v>1.28</v>
      </c>
      <c r="AA1826">
        <v>143</v>
      </c>
      <c r="AB1826">
        <v>48</v>
      </c>
      <c r="AC1826">
        <v>4.76</v>
      </c>
      <c r="AD1826" t="s">
        <v>9334</v>
      </c>
      <c r="AE1826" t="s">
        <v>932</v>
      </c>
      <c r="AF1826" t="s">
        <v>10516</v>
      </c>
      <c r="AG1826" t="s">
        <v>369</v>
      </c>
      <c r="AH1826">
        <v>-0.91</v>
      </c>
      <c r="AI1826">
        <v>-2.69</v>
      </c>
      <c r="AJ1826">
        <v>18.23</v>
      </c>
      <c r="AK1826">
        <v>27.07</v>
      </c>
      <c r="AL1826">
        <v>-1</v>
      </c>
      <c r="AM1826">
        <v>-2</v>
      </c>
      <c r="AN1826">
        <v>61.39</v>
      </c>
      <c r="AO1826">
        <v>-5.83</v>
      </c>
      <c r="AP1826">
        <v>48.52</v>
      </c>
    </row>
    <row r="1827" spans="1:42">
      <c r="A1827">
        <v>1826</v>
      </c>
      <c r="B1827" t="str">
        <f>"603439"</f>
        <v>603439</v>
      </c>
      <c r="C1827" t="s">
        <v>10517</v>
      </c>
      <c r="D1827">
        <v>19.3</v>
      </c>
      <c r="E1827">
        <v>-0.67</v>
      </c>
      <c r="F1827">
        <v>-0.13</v>
      </c>
      <c r="G1827" t="s">
        <v>4145</v>
      </c>
      <c r="H1827">
        <v>267</v>
      </c>
      <c r="I1827">
        <v>19.3</v>
      </c>
      <c r="J1827">
        <v>19.31</v>
      </c>
      <c r="K1827" t="s">
        <v>10515</v>
      </c>
      <c r="L1827">
        <v>1.36</v>
      </c>
      <c r="M1827" t="s">
        <v>46</v>
      </c>
      <c r="N1827" t="s">
        <v>10518</v>
      </c>
      <c r="O1827">
        <v>19.49</v>
      </c>
      <c r="P1827">
        <v>19.2</v>
      </c>
      <c r="Q1827">
        <v>19.42</v>
      </c>
      <c r="R1827">
        <v>19.43</v>
      </c>
      <c r="S1827">
        <v>1.49</v>
      </c>
      <c r="T1827">
        <v>0.82</v>
      </c>
      <c r="U1827">
        <v>15.53</v>
      </c>
      <c r="V1827">
        <v>75</v>
      </c>
      <c r="W1827">
        <v>19.29</v>
      </c>
      <c r="X1827" t="s">
        <v>7966</v>
      </c>
      <c r="Y1827" t="s">
        <v>3328</v>
      </c>
      <c r="Z1827">
        <v>1.34</v>
      </c>
      <c r="AA1827">
        <v>207</v>
      </c>
      <c r="AB1827">
        <v>78</v>
      </c>
      <c r="AC1827">
        <v>5.8</v>
      </c>
      <c r="AD1827" t="s">
        <v>10519</v>
      </c>
      <c r="AE1827" t="s">
        <v>10520</v>
      </c>
      <c r="AF1827" t="s">
        <v>10521</v>
      </c>
      <c r="AG1827" t="s">
        <v>7372</v>
      </c>
      <c r="AH1827">
        <v>-0.77</v>
      </c>
      <c r="AI1827">
        <v>-1.63</v>
      </c>
      <c r="AJ1827">
        <v>3.63</v>
      </c>
      <c r="AK1827">
        <v>9.71</v>
      </c>
      <c r="AL1827">
        <v>-1</v>
      </c>
      <c r="AM1827">
        <v>-0.67</v>
      </c>
      <c r="AN1827">
        <v>41.7</v>
      </c>
      <c r="AO1827">
        <v>6.45</v>
      </c>
      <c r="AP1827">
        <v>18.92</v>
      </c>
    </row>
    <row r="1828" spans="1:42">
      <c r="A1828">
        <v>1827</v>
      </c>
      <c r="B1828" t="str">
        <f>"002048"</f>
        <v>002048</v>
      </c>
      <c r="C1828" t="s">
        <v>10522</v>
      </c>
      <c r="D1828">
        <v>13.62</v>
      </c>
      <c r="E1828">
        <v>-0.66</v>
      </c>
      <c r="F1828">
        <v>-0.09</v>
      </c>
      <c r="G1828" t="s">
        <v>4117</v>
      </c>
      <c r="H1828">
        <v>847</v>
      </c>
      <c r="I1828">
        <v>13.61</v>
      </c>
      <c r="J1828">
        <v>13.62</v>
      </c>
      <c r="K1828" t="s">
        <v>10515</v>
      </c>
      <c r="L1828">
        <v>1.51</v>
      </c>
      <c r="M1828" t="s">
        <v>46</v>
      </c>
      <c r="N1828" t="s">
        <v>9687</v>
      </c>
      <c r="O1828">
        <v>13.72</v>
      </c>
      <c r="P1828">
        <v>13.45</v>
      </c>
      <c r="Q1828">
        <v>13.72</v>
      </c>
      <c r="R1828">
        <v>13.71</v>
      </c>
      <c r="S1828">
        <v>1.97</v>
      </c>
      <c r="T1828">
        <v>1.02</v>
      </c>
      <c r="U1828">
        <v>-48.14</v>
      </c>
      <c r="V1828">
        <v>-750</v>
      </c>
      <c r="W1828">
        <v>13.59</v>
      </c>
      <c r="X1828" t="s">
        <v>2921</v>
      </c>
      <c r="Y1828" t="s">
        <v>6646</v>
      </c>
      <c r="Z1828">
        <v>1.12</v>
      </c>
      <c r="AA1828">
        <v>38</v>
      </c>
      <c r="AB1828">
        <v>22</v>
      </c>
      <c r="AC1828">
        <v>0.93</v>
      </c>
      <c r="AD1828" t="s">
        <v>10523</v>
      </c>
      <c r="AE1828" t="s">
        <v>667</v>
      </c>
      <c r="AF1828" t="s">
        <v>10524</v>
      </c>
      <c r="AG1828" t="s">
        <v>10525</v>
      </c>
      <c r="AH1828">
        <v>-2.58</v>
      </c>
      <c r="AI1828">
        <v>-2.01</v>
      </c>
      <c r="AJ1828">
        <v>4.27</v>
      </c>
      <c r="AK1828">
        <v>8.94</v>
      </c>
      <c r="AL1828">
        <v>-3</v>
      </c>
      <c r="AM1828">
        <v>-0.66</v>
      </c>
      <c r="AN1828">
        <v>-0.22</v>
      </c>
      <c r="AO1828">
        <v>0.81</v>
      </c>
      <c r="AP1828">
        <v>-5.48</v>
      </c>
    </row>
    <row r="1829" spans="1:42">
      <c r="A1829">
        <v>1828</v>
      </c>
      <c r="B1829" t="str">
        <f>"002294"</f>
        <v>002294</v>
      </c>
      <c r="C1829" t="s">
        <v>10526</v>
      </c>
      <c r="D1829">
        <v>33.11</v>
      </c>
      <c r="E1829">
        <v>-1.28</v>
      </c>
      <c r="F1829">
        <v>-0.43</v>
      </c>
      <c r="G1829" t="s">
        <v>8329</v>
      </c>
      <c r="H1829">
        <v>218</v>
      </c>
      <c r="I1829">
        <v>33.11</v>
      </c>
      <c r="J1829">
        <v>33.15</v>
      </c>
      <c r="K1829" t="s">
        <v>10515</v>
      </c>
      <c r="L1829">
        <v>0.29</v>
      </c>
      <c r="M1829" t="s">
        <v>46</v>
      </c>
      <c r="N1829" t="s">
        <v>1023</v>
      </c>
      <c r="O1829">
        <v>33.54</v>
      </c>
      <c r="P1829">
        <v>32.93</v>
      </c>
      <c r="Q1829">
        <v>33.37</v>
      </c>
      <c r="R1829">
        <v>33.54</v>
      </c>
      <c r="S1829">
        <v>1.82</v>
      </c>
      <c r="T1829">
        <v>0.97</v>
      </c>
      <c r="U1829">
        <v>41.61</v>
      </c>
      <c r="V1829">
        <v>124</v>
      </c>
      <c r="W1829">
        <v>33.12</v>
      </c>
      <c r="X1829" t="s">
        <v>1118</v>
      </c>
      <c r="Y1829" t="s">
        <v>7487</v>
      </c>
      <c r="Z1829">
        <v>1.01</v>
      </c>
      <c r="AA1829">
        <v>1</v>
      </c>
      <c r="AB1829">
        <v>10</v>
      </c>
      <c r="AC1829">
        <v>4.67</v>
      </c>
      <c r="AD1829" t="s">
        <v>6511</v>
      </c>
      <c r="AE1829" t="s">
        <v>10527</v>
      </c>
      <c r="AF1829" t="s">
        <v>6511</v>
      </c>
      <c r="AG1829" t="s">
        <v>10528</v>
      </c>
      <c r="AH1829">
        <v>-1.43</v>
      </c>
      <c r="AI1829">
        <v>1.32</v>
      </c>
      <c r="AJ1829">
        <v>0.91</v>
      </c>
      <c r="AK1829">
        <v>1.79</v>
      </c>
      <c r="AL1829">
        <v>-2</v>
      </c>
      <c r="AM1829">
        <v>-1.28</v>
      </c>
      <c r="AN1829">
        <v>2.35</v>
      </c>
      <c r="AO1829">
        <v>2.35</v>
      </c>
      <c r="AP1829">
        <v>-3.22</v>
      </c>
    </row>
    <row r="1830" spans="1:42">
      <c r="A1830">
        <v>1829</v>
      </c>
      <c r="B1830" t="str">
        <f>"600480"</f>
        <v>600480</v>
      </c>
      <c r="C1830" t="s">
        <v>10529</v>
      </c>
      <c r="D1830">
        <v>8.78</v>
      </c>
      <c r="E1830">
        <v>-1.01</v>
      </c>
      <c r="F1830">
        <v>-0.09</v>
      </c>
      <c r="G1830" t="s">
        <v>447</v>
      </c>
      <c r="H1830">
        <v>711</v>
      </c>
      <c r="I1830">
        <v>8.78</v>
      </c>
      <c r="J1830">
        <v>8.79</v>
      </c>
      <c r="K1830" t="s">
        <v>10515</v>
      </c>
      <c r="L1830">
        <v>1.33</v>
      </c>
      <c r="M1830" t="s">
        <v>46</v>
      </c>
      <c r="N1830" t="s">
        <v>5934</v>
      </c>
      <c r="O1830">
        <v>8.89</v>
      </c>
      <c r="P1830">
        <v>8.71</v>
      </c>
      <c r="Q1830">
        <v>8.89</v>
      </c>
      <c r="R1830">
        <v>8.87</v>
      </c>
      <c r="S1830">
        <v>2.03</v>
      </c>
      <c r="T1830">
        <v>0.87</v>
      </c>
      <c r="U1830">
        <v>-3.55</v>
      </c>
      <c r="V1830">
        <v>-166</v>
      </c>
      <c r="W1830">
        <v>8.77</v>
      </c>
      <c r="X1830" t="s">
        <v>3350</v>
      </c>
      <c r="Y1830" t="s">
        <v>5674</v>
      </c>
      <c r="Z1830">
        <v>1.57</v>
      </c>
      <c r="AA1830">
        <v>387</v>
      </c>
      <c r="AB1830">
        <v>414</v>
      </c>
      <c r="AC1830">
        <v>1.21</v>
      </c>
      <c r="AD1830" t="s">
        <v>10530</v>
      </c>
      <c r="AE1830" t="s">
        <v>10531</v>
      </c>
      <c r="AF1830" t="s">
        <v>10532</v>
      </c>
      <c r="AG1830" t="s">
        <v>10533</v>
      </c>
      <c r="AH1830">
        <v>-2.23</v>
      </c>
      <c r="AI1830">
        <v>-1.24</v>
      </c>
      <c r="AJ1830">
        <v>4.67</v>
      </c>
      <c r="AK1830">
        <v>8.97</v>
      </c>
      <c r="AL1830">
        <v>-2</v>
      </c>
      <c r="AM1830">
        <v>-1.01</v>
      </c>
      <c r="AN1830">
        <v>4.52</v>
      </c>
      <c r="AO1830">
        <v>2.45</v>
      </c>
      <c r="AP1830">
        <v>14.32</v>
      </c>
    </row>
    <row r="1831" spans="1:42">
      <c r="A1831">
        <v>1830</v>
      </c>
      <c r="B1831" t="str">
        <f>"300979"</f>
        <v>300979</v>
      </c>
      <c r="C1831" t="s">
        <v>10534</v>
      </c>
      <c r="D1831">
        <v>47</v>
      </c>
      <c r="E1831">
        <v>-1.67</v>
      </c>
      <c r="F1831">
        <v>-0.8</v>
      </c>
      <c r="G1831" t="s">
        <v>3327</v>
      </c>
      <c r="H1831">
        <v>139</v>
      </c>
      <c r="I1831">
        <v>46.99</v>
      </c>
      <c r="J1831">
        <v>47</v>
      </c>
      <c r="K1831" t="s">
        <v>10515</v>
      </c>
      <c r="L1831">
        <v>1.55</v>
      </c>
      <c r="M1831" t="s">
        <v>46</v>
      </c>
      <c r="N1831" t="s">
        <v>3209</v>
      </c>
      <c r="O1831">
        <v>47.79</v>
      </c>
      <c r="P1831">
        <v>46.64</v>
      </c>
      <c r="Q1831">
        <v>47.79</v>
      </c>
      <c r="R1831">
        <v>47.8</v>
      </c>
      <c r="S1831">
        <v>2.41</v>
      </c>
      <c r="T1831">
        <v>1.16</v>
      </c>
      <c r="U1831">
        <v>5.46</v>
      </c>
      <c r="V1831">
        <v>4</v>
      </c>
      <c r="W1831">
        <v>47.2</v>
      </c>
      <c r="X1831" t="s">
        <v>7974</v>
      </c>
      <c r="Y1831" t="s">
        <v>1083</v>
      </c>
      <c r="Z1831">
        <v>0.92</v>
      </c>
      <c r="AA1831">
        <v>6</v>
      </c>
      <c r="AB1831">
        <v>5</v>
      </c>
      <c r="AC1831">
        <v>3.84</v>
      </c>
      <c r="AD1831" t="s">
        <v>10535</v>
      </c>
      <c r="AE1831" t="s">
        <v>10536</v>
      </c>
      <c r="AF1831" t="s">
        <v>10537</v>
      </c>
      <c r="AG1831" t="s">
        <v>10538</v>
      </c>
      <c r="AH1831">
        <v>-3.35</v>
      </c>
      <c r="AI1831">
        <v>-0.15</v>
      </c>
      <c r="AJ1831">
        <v>5.47</v>
      </c>
      <c r="AK1831">
        <v>8.25</v>
      </c>
      <c r="AL1831">
        <v>-1</v>
      </c>
      <c r="AM1831">
        <v>-1.67</v>
      </c>
      <c r="AN1831">
        <v>-15.94</v>
      </c>
      <c r="AO1831">
        <v>-8.76</v>
      </c>
      <c r="AP1831">
        <v>-1.3</v>
      </c>
    </row>
    <row r="1832" spans="1:42">
      <c r="A1832">
        <v>1831</v>
      </c>
      <c r="B1832" t="str">
        <f>"603703"</f>
        <v>603703</v>
      </c>
      <c r="C1832" t="s">
        <v>10539</v>
      </c>
      <c r="D1832">
        <v>12.68</v>
      </c>
      <c r="E1832">
        <v>-0.94</v>
      </c>
      <c r="F1832">
        <v>-0.12</v>
      </c>
      <c r="G1832" t="s">
        <v>752</v>
      </c>
      <c r="H1832">
        <v>344</v>
      </c>
      <c r="I1832">
        <v>12.68</v>
      </c>
      <c r="J1832">
        <v>12.69</v>
      </c>
      <c r="K1832" t="s">
        <v>10515</v>
      </c>
      <c r="L1832">
        <v>2.02</v>
      </c>
      <c r="M1832" t="s">
        <v>46</v>
      </c>
      <c r="N1832" t="s">
        <v>2682</v>
      </c>
      <c r="O1832">
        <v>13.03</v>
      </c>
      <c r="P1832">
        <v>12.38</v>
      </c>
      <c r="Q1832">
        <v>12.8</v>
      </c>
      <c r="R1832">
        <v>12.8</v>
      </c>
      <c r="S1832">
        <v>5.08</v>
      </c>
      <c r="T1832">
        <v>1.73</v>
      </c>
      <c r="U1832">
        <v>73.69</v>
      </c>
      <c r="V1832">
        <v>1821</v>
      </c>
      <c r="W1832">
        <v>12.7</v>
      </c>
      <c r="X1832" t="s">
        <v>7062</v>
      </c>
      <c r="Y1832" t="s">
        <v>4569</v>
      </c>
      <c r="Z1832">
        <v>0.98</v>
      </c>
      <c r="AA1832">
        <v>1864</v>
      </c>
      <c r="AB1832">
        <v>155</v>
      </c>
      <c r="AC1832">
        <v>6.21</v>
      </c>
      <c r="AD1832" t="s">
        <v>10540</v>
      </c>
      <c r="AE1832" t="s">
        <v>1699</v>
      </c>
      <c r="AF1832" t="s">
        <v>10540</v>
      </c>
      <c r="AG1832" t="s">
        <v>1699</v>
      </c>
      <c r="AH1832">
        <v>-0.63</v>
      </c>
      <c r="AI1832">
        <v>1.6</v>
      </c>
      <c r="AJ1832">
        <v>3.87</v>
      </c>
      <c r="AK1832">
        <v>7.87</v>
      </c>
      <c r="AL1832">
        <v>-1</v>
      </c>
      <c r="AM1832">
        <v>-0.94</v>
      </c>
      <c r="AN1832">
        <v>24.68</v>
      </c>
      <c r="AO1832">
        <v>12.11</v>
      </c>
      <c r="AP1832">
        <v>-0.16</v>
      </c>
    </row>
    <row r="1833" spans="1:42">
      <c r="A1833">
        <v>1832</v>
      </c>
      <c r="B1833" t="str">
        <f>"688798"</f>
        <v>688798</v>
      </c>
      <c r="C1833" t="s">
        <v>10541</v>
      </c>
      <c r="D1833">
        <v>77.46</v>
      </c>
      <c r="E1833">
        <v>0.61</v>
      </c>
      <c r="F1833">
        <v>0.47</v>
      </c>
      <c r="G1833" t="s">
        <v>10542</v>
      </c>
      <c r="H1833">
        <v>296</v>
      </c>
      <c r="I1833">
        <v>77.45</v>
      </c>
      <c r="J1833">
        <v>77.46</v>
      </c>
      <c r="K1833" t="s">
        <v>10515</v>
      </c>
      <c r="L1833">
        <v>1.03</v>
      </c>
      <c r="M1833" t="s">
        <v>46</v>
      </c>
      <c r="N1833" t="s">
        <v>2744</v>
      </c>
      <c r="O1833">
        <v>77.55</v>
      </c>
      <c r="P1833">
        <v>75.62</v>
      </c>
      <c r="Q1833">
        <v>76.97</v>
      </c>
      <c r="R1833">
        <v>76.99</v>
      </c>
      <c r="S1833">
        <v>2.51</v>
      </c>
      <c r="T1833">
        <v>1.04</v>
      </c>
      <c r="U1833">
        <v>-9.95</v>
      </c>
      <c r="V1833">
        <v>-14</v>
      </c>
      <c r="W1833">
        <v>76.73</v>
      </c>
      <c r="X1833">
        <v>7368</v>
      </c>
      <c r="Y1833">
        <v>6523</v>
      </c>
      <c r="Z1833">
        <v>1.13</v>
      </c>
      <c r="AA1833">
        <v>19</v>
      </c>
      <c r="AB1833">
        <v>10</v>
      </c>
      <c r="AC1833">
        <v>5.1</v>
      </c>
      <c r="AD1833" t="s">
        <v>10543</v>
      </c>
      <c r="AE1833" t="s">
        <v>7353</v>
      </c>
      <c r="AF1833" t="s">
        <v>10544</v>
      </c>
      <c r="AG1833" t="s">
        <v>10402</v>
      </c>
      <c r="AH1833">
        <v>0.6</v>
      </c>
      <c r="AI1833">
        <v>0.23</v>
      </c>
      <c r="AJ1833">
        <v>3.06</v>
      </c>
      <c r="AK1833">
        <v>5.99</v>
      </c>
      <c r="AL1833">
        <v>2</v>
      </c>
      <c r="AM1833">
        <v>0.61</v>
      </c>
      <c r="AN1833">
        <v>13.51</v>
      </c>
      <c r="AO1833">
        <v>-8.06</v>
      </c>
      <c r="AP1833">
        <v>3.38</v>
      </c>
    </row>
    <row r="1834" spans="1:42">
      <c r="A1834">
        <v>1833</v>
      </c>
      <c r="B1834" t="str">
        <f>"601028"</f>
        <v>601028</v>
      </c>
      <c r="C1834" t="s">
        <v>10545</v>
      </c>
      <c r="D1834">
        <v>11.13</v>
      </c>
      <c r="E1834">
        <v>0.63</v>
      </c>
      <c r="F1834">
        <v>0.07</v>
      </c>
      <c r="G1834" t="s">
        <v>5726</v>
      </c>
      <c r="H1834">
        <v>2047</v>
      </c>
      <c r="I1834">
        <v>11.13</v>
      </c>
      <c r="J1834">
        <v>11.14</v>
      </c>
      <c r="K1834" t="s">
        <v>10515</v>
      </c>
      <c r="L1834">
        <v>1.22</v>
      </c>
      <c r="M1834" t="s">
        <v>46</v>
      </c>
      <c r="N1834" t="s">
        <v>10546</v>
      </c>
      <c r="O1834">
        <v>11.29</v>
      </c>
      <c r="P1834">
        <v>10.98</v>
      </c>
      <c r="Q1834">
        <v>11.04</v>
      </c>
      <c r="R1834">
        <v>11.06</v>
      </c>
      <c r="S1834">
        <v>2.8</v>
      </c>
      <c r="T1834">
        <v>0.65</v>
      </c>
      <c r="U1834">
        <v>44.34</v>
      </c>
      <c r="V1834">
        <v>3449</v>
      </c>
      <c r="W1834">
        <v>11.11</v>
      </c>
      <c r="X1834" t="s">
        <v>7374</v>
      </c>
      <c r="Y1834" t="s">
        <v>10547</v>
      </c>
      <c r="Z1834">
        <v>1.32</v>
      </c>
      <c r="AA1834">
        <v>422</v>
      </c>
      <c r="AB1834">
        <v>274</v>
      </c>
      <c r="AC1834">
        <v>2.82</v>
      </c>
      <c r="AD1834" t="s">
        <v>10548</v>
      </c>
      <c r="AE1834" t="s">
        <v>10549</v>
      </c>
      <c r="AF1834" t="s">
        <v>10548</v>
      </c>
      <c r="AG1834" t="s">
        <v>10549</v>
      </c>
      <c r="AH1834">
        <v>1.74</v>
      </c>
      <c r="AI1834">
        <v>-1.07</v>
      </c>
      <c r="AJ1834">
        <v>6.51</v>
      </c>
      <c r="AK1834">
        <v>10.62</v>
      </c>
      <c r="AL1834">
        <v>1</v>
      </c>
      <c r="AM1834">
        <v>0.63</v>
      </c>
      <c r="AN1834">
        <v>-2.71</v>
      </c>
      <c r="AO1834">
        <v>-2.71</v>
      </c>
      <c r="AP1834">
        <v>-53.63</v>
      </c>
    </row>
    <row r="1835" spans="1:42">
      <c r="A1835">
        <v>1834</v>
      </c>
      <c r="B1835" t="str">
        <f>"688401"</f>
        <v>688401</v>
      </c>
      <c r="C1835" t="s">
        <v>10550</v>
      </c>
      <c r="D1835">
        <v>30.59</v>
      </c>
      <c r="E1835">
        <v>-0.46</v>
      </c>
      <c r="F1835">
        <v>-0.14</v>
      </c>
      <c r="G1835" t="s">
        <v>4527</v>
      </c>
      <c r="H1835">
        <v>403</v>
      </c>
      <c r="I1835">
        <v>30.59</v>
      </c>
      <c r="J1835">
        <v>30.6</v>
      </c>
      <c r="K1835" t="s">
        <v>10515</v>
      </c>
      <c r="L1835">
        <v>3.11</v>
      </c>
      <c r="M1835" t="s">
        <v>46</v>
      </c>
      <c r="N1835" t="s">
        <v>2943</v>
      </c>
      <c r="O1835">
        <v>30.73</v>
      </c>
      <c r="P1835">
        <v>29.81</v>
      </c>
      <c r="Q1835">
        <v>30.73</v>
      </c>
      <c r="R1835">
        <v>30.73</v>
      </c>
      <c r="S1835">
        <v>2.99</v>
      </c>
      <c r="T1835">
        <v>0.87</v>
      </c>
      <c r="U1835">
        <v>21.29</v>
      </c>
      <c r="V1835">
        <v>84</v>
      </c>
      <c r="W1835">
        <v>30.24</v>
      </c>
      <c r="X1835" t="s">
        <v>1520</v>
      </c>
      <c r="Y1835" t="s">
        <v>5183</v>
      </c>
      <c r="Z1835">
        <v>1.59</v>
      </c>
      <c r="AA1835">
        <v>4</v>
      </c>
      <c r="AB1835">
        <v>40</v>
      </c>
      <c r="AC1835">
        <v>4.16</v>
      </c>
      <c r="AD1835" t="s">
        <v>10551</v>
      </c>
      <c r="AE1835" t="s">
        <v>10552</v>
      </c>
      <c r="AF1835" t="s">
        <v>7006</v>
      </c>
      <c r="AG1835" t="s">
        <v>6253</v>
      </c>
      <c r="AH1835">
        <v>0.49</v>
      </c>
      <c r="AI1835">
        <v>-0.84</v>
      </c>
      <c r="AJ1835">
        <v>14.81</v>
      </c>
      <c r="AK1835">
        <v>20.87</v>
      </c>
      <c r="AL1835">
        <v>-2</v>
      </c>
      <c r="AM1835">
        <v>-0.46</v>
      </c>
      <c r="AN1835">
        <v>2.27</v>
      </c>
      <c r="AO1835">
        <v>7.03</v>
      </c>
      <c r="AP1835">
        <v>-14.34</v>
      </c>
    </row>
    <row r="1836" spans="1:42">
      <c r="A1836">
        <v>1835</v>
      </c>
      <c r="B1836" t="str">
        <f>"603080"</f>
        <v>603080</v>
      </c>
      <c r="C1836" t="s">
        <v>10553</v>
      </c>
      <c r="D1836">
        <v>17.8</v>
      </c>
      <c r="E1836">
        <v>-0.84</v>
      </c>
      <c r="F1836">
        <v>-0.15</v>
      </c>
      <c r="G1836" t="s">
        <v>9224</v>
      </c>
      <c r="H1836">
        <v>688</v>
      </c>
      <c r="I1836">
        <v>17.8</v>
      </c>
      <c r="J1836">
        <v>17.81</v>
      </c>
      <c r="K1836" t="s">
        <v>10515</v>
      </c>
      <c r="L1836">
        <v>4.24</v>
      </c>
      <c r="M1836" t="s">
        <v>46</v>
      </c>
      <c r="N1836" t="s">
        <v>10554</v>
      </c>
      <c r="O1836">
        <v>18.05</v>
      </c>
      <c r="P1836">
        <v>17.6</v>
      </c>
      <c r="Q1836">
        <v>17.85</v>
      </c>
      <c r="R1836">
        <v>17.95</v>
      </c>
      <c r="S1836">
        <v>2.51</v>
      </c>
      <c r="T1836">
        <v>1.37</v>
      </c>
      <c r="U1836">
        <v>31.63</v>
      </c>
      <c r="V1836">
        <v>432</v>
      </c>
      <c r="W1836">
        <v>17.77</v>
      </c>
      <c r="X1836" t="s">
        <v>7781</v>
      </c>
      <c r="Y1836" t="s">
        <v>8211</v>
      </c>
      <c r="Z1836">
        <v>1.48</v>
      </c>
      <c r="AA1836">
        <v>429</v>
      </c>
      <c r="AB1836">
        <v>206</v>
      </c>
      <c r="AC1836">
        <v>1.79</v>
      </c>
      <c r="AD1836" t="s">
        <v>4498</v>
      </c>
      <c r="AE1836" t="s">
        <v>10555</v>
      </c>
      <c r="AF1836" t="s">
        <v>4498</v>
      </c>
      <c r="AG1836" t="s">
        <v>10555</v>
      </c>
      <c r="AH1836">
        <v>1.6</v>
      </c>
      <c r="AI1836">
        <v>1.02</v>
      </c>
      <c r="AJ1836">
        <v>11.83</v>
      </c>
      <c r="AK1836">
        <v>19.72</v>
      </c>
      <c r="AL1836">
        <v>-1</v>
      </c>
      <c r="AM1836">
        <v>-0.84</v>
      </c>
      <c r="AN1836">
        <v>29.83</v>
      </c>
      <c r="AO1836">
        <v>6.46</v>
      </c>
      <c r="AP1836">
        <v>26.06</v>
      </c>
    </row>
    <row r="1837" spans="1:42">
      <c r="A1837">
        <v>1836</v>
      </c>
      <c r="B1837" t="str">
        <f>"603939"</f>
        <v>603939</v>
      </c>
      <c r="C1837" t="s">
        <v>10556</v>
      </c>
      <c r="D1837">
        <v>38.35</v>
      </c>
      <c r="E1837">
        <v>0.6</v>
      </c>
      <c r="F1837">
        <v>0.23</v>
      </c>
      <c r="G1837" t="s">
        <v>3032</v>
      </c>
      <c r="H1837">
        <v>396</v>
      </c>
      <c r="I1837">
        <v>38.33</v>
      </c>
      <c r="J1837">
        <v>38.35</v>
      </c>
      <c r="K1837" t="s">
        <v>10557</v>
      </c>
      <c r="L1837">
        <v>0.28</v>
      </c>
      <c r="M1837" t="s">
        <v>46</v>
      </c>
      <c r="N1837" t="s">
        <v>2216</v>
      </c>
      <c r="O1837">
        <v>38.46</v>
      </c>
      <c r="P1837">
        <v>37.7</v>
      </c>
      <c r="Q1837">
        <v>37.89</v>
      </c>
      <c r="R1837">
        <v>38.12</v>
      </c>
      <c r="S1837">
        <v>1.99</v>
      </c>
      <c r="T1837">
        <v>0.56</v>
      </c>
      <c r="U1837">
        <v>-71.74</v>
      </c>
      <c r="V1837">
        <v>-239</v>
      </c>
      <c r="W1837">
        <v>38.14</v>
      </c>
      <c r="X1837" t="s">
        <v>4977</v>
      </c>
      <c r="Y1837" t="s">
        <v>8636</v>
      </c>
      <c r="Z1837">
        <v>1.32</v>
      </c>
      <c r="AA1837">
        <v>30</v>
      </c>
      <c r="AB1837">
        <v>65</v>
      </c>
      <c r="AC1837">
        <v>4.12</v>
      </c>
      <c r="AD1837" t="s">
        <v>10558</v>
      </c>
      <c r="AE1837" t="s">
        <v>10559</v>
      </c>
      <c r="AF1837" t="s">
        <v>3449</v>
      </c>
      <c r="AG1837" t="s">
        <v>10560</v>
      </c>
      <c r="AH1837">
        <v>1.13</v>
      </c>
      <c r="AI1837">
        <v>3.87</v>
      </c>
      <c r="AJ1837">
        <v>1.15</v>
      </c>
      <c r="AK1837">
        <v>2.74</v>
      </c>
      <c r="AL1837">
        <v>2</v>
      </c>
      <c r="AM1837">
        <v>0.6</v>
      </c>
      <c r="AN1837">
        <v>-15.36</v>
      </c>
      <c r="AO1837">
        <v>7.18</v>
      </c>
      <c r="AP1837">
        <v>-15.83</v>
      </c>
    </row>
    <row r="1838" spans="1:42">
      <c r="A1838">
        <v>1837</v>
      </c>
      <c r="B1838" t="str">
        <f>"600593"</f>
        <v>600593</v>
      </c>
      <c r="C1838" t="s">
        <v>10561</v>
      </c>
      <c r="D1838">
        <v>20.64</v>
      </c>
      <c r="E1838">
        <v>10.02</v>
      </c>
      <c r="F1838">
        <v>1.88</v>
      </c>
      <c r="G1838" t="s">
        <v>1951</v>
      </c>
      <c r="H1838">
        <v>138</v>
      </c>
      <c r="I1838">
        <v>20.64</v>
      </c>
      <c r="J1838" t="s">
        <v>76</v>
      </c>
      <c r="K1838" t="s">
        <v>10557</v>
      </c>
      <c r="L1838">
        <v>4.01</v>
      </c>
      <c r="M1838" t="s">
        <v>46</v>
      </c>
      <c r="N1838" t="s">
        <v>3631</v>
      </c>
      <c r="O1838">
        <v>20.64</v>
      </c>
      <c r="P1838">
        <v>20.08</v>
      </c>
      <c r="Q1838">
        <v>20.63</v>
      </c>
      <c r="R1838">
        <v>18.76</v>
      </c>
      <c r="S1838">
        <v>2.99</v>
      </c>
      <c r="T1838">
        <v>1.64</v>
      </c>
      <c r="U1838">
        <v>100</v>
      </c>
      <c r="V1838" t="s">
        <v>4036</v>
      </c>
      <c r="W1838">
        <v>20.61</v>
      </c>
      <c r="X1838" t="s">
        <v>7531</v>
      </c>
      <c r="Y1838" t="s">
        <v>4943</v>
      </c>
      <c r="Z1838">
        <v>2.16</v>
      </c>
      <c r="AA1838" t="s">
        <v>48</v>
      </c>
      <c r="AB1838">
        <v>0</v>
      </c>
      <c r="AC1838">
        <v>8.95</v>
      </c>
      <c r="AD1838" t="s">
        <v>10562</v>
      </c>
      <c r="AE1838" t="s">
        <v>8961</v>
      </c>
      <c r="AF1838" t="s">
        <v>10562</v>
      </c>
      <c r="AG1838" t="s">
        <v>8961</v>
      </c>
      <c r="AH1838">
        <v>21.2</v>
      </c>
      <c r="AI1838">
        <v>22.35</v>
      </c>
      <c r="AJ1838">
        <v>10.97</v>
      </c>
      <c r="AK1838">
        <v>16.22</v>
      </c>
      <c r="AL1838">
        <v>4</v>
      </c>
      <c r="AM1838">
        <v>10.02</v>
      </c>
      <c r="AN1838">
        <v>23.3</v>
      </c>
      <c r="AO1838">
        <v>25.32</v>
      </c>
      <c r="AP1838">
        <v>54.26</v>
      </c>
    </row>
    <row r="1839" spans="1:42">
      <c r="A1839">
        <v>1838</v>
      </c>
      <c r="B1839" t="str">
        <f>"603997"</f>
        <v>603997</v>
      </c>
      <c r="C1839" t="s">
        <v>10563</v>
      </c>
      <c r="D1839">
        <v>13.9</v>
      </c>
      <c r="E1839">
        <v>-1.7</v>
      </c>
      <c r="F1839">
        <v>-0.24</v>
      </c>
      <c r="G1839" t="s">
        <v>6271</v>
      </c>
      <c r="H1839">
        <v>209</v>
      </c>
      <c r="I1839">
        <v>13.89</v>
      </c>
      <c r="J1839">
        <v>13.9</v>
      </c>
      <c r="K1839" t="s">
        <v>10557</v>
      </c>
      <c r="L1839">
        <v>0.66</v>
      </c>
      <c r="M1839" t="s">
        <v>46</v>
      </c>
      <c r="N1839" t="s">
        <v>2216</v>
      </c>
      <c r="O1839">
        <v>14.13</v>
      </c>
      <c r="P1839">
        <v>13.5</v>
      </c>
      <c r="Q1839">
        <v>14.13</v>
      </c>
      <c r="R1839">
        <v>14.14</v>
      </c>
      <c r="S1839">
        <v>4.46</v>
      </c>
      <c r="T1839">
        <v>1</v>
      </c>
      <c r="U1839">
        <v>61.26</v>
      </c>
      <c r="V1839">
        <v>1135</v>
      </c>
      <c r="W1839">
        <v>13.9</v>
      </c>
      <c r="X1839" t="s">
        <v>1320</v>
      </c>
      <c r="Y1839" t="s">
        <v>7781</v>
      </c>
      <c r="Z1839">
        <v>1.14</v>
      </c>
      <c r="AA1839">
        <v>147</v>
      </c>
      <c r="AB1839">
        <v>11</v>
      </c>
      <c r="AC1839">
        <v>4.07</v>
      </c>
      <c r="AD1839" t="s">
        <v>896</v>
      </c>
      <c r="AE1839" t="s">
        <v>10564</v>
      </c>
      <c r="AF1839" t="s">
        <v>896</v>
      </c>
      <c r="AG1839" t="s">
        <v>10564</v>
      </c>
      <c r="AH1839">
        <v>-2.39</v>
      </c>
      <c r="AI1839">
        <v>-4.99</v>
      </c>
      <c r="AJ1839">
        <v>1.62</v>
      </c>
      <c r="AK1839">
        <v>4</v>
      </c>
      <c r="AL1839">
        <v>-2</v>
      </c>
      <c r="AM1839">
        <v>-1.7</v>
      </c>
      <c r="AN1839">
        <v>-9.03</v>
      </c>
      <c r="AO1839">
        <v>-7.27</v>
      </c>
      <c r="AP1839">
        <v>6.76</v>
      </c>
    </row>
    <row r="1840" spans="1:42">
      <c r="A1840">
        <v>1839</v>
      </c>
      <c r="B1840" t="str">
        <f>"002683"</f>
        <v>002683</v>
      </c>
      <c r="C1840" t="s">
        <v>10565</v>
      </c>
      <c r="D1840">
        <v>20.9</v>
      </c>
      <c r="E1840">
        <v>-0.62</v>
      </c>
      <c r="F1840">
        <v>-0.13</v>
      </c>
      <c r="G1840" t="s">
        <v>7022</v>
      </c>
      <c r="H1840">
        <v>378</v>
      </c>
      <c r="I1840">
        <v>20.9</v>
      </c>
      <c r="J1840">
        <v>20.97</v>
      </c>
      <c r="K1840" t="s">
        <v>10557</v>
      </c>
      <c r="L1840">
        <v>0.77</v>
      </c>
      <c r="M1840" t="s">
        <v>46</v>
      </c>
      <c r="N1840" t="s">
        <v>10566</v>
      </c>
      <c r="O1840">
        <v>21.27</v>
      </c>
      <c r="P1840">
        <v>20.69</v>
      </c>
      <c r="Q1840">
        <v>21.01</v>
      </c>
      <c r="R1840">
        <v>21.03</v>
      </c>
      <c r="S1840">
        <v>2.76</v>
      </c>
      <c r="T1840">
        <v>1.21</v>
      </c>
      <c r="U1840">
        <v>-26.32</v>
      </c>
      <c r="V1840">
        <v>-75</v>
      </c>
      <c r="W1840">
        <v>20.93</v>
      </c>
      <c r="X1840" t="s">
        <v>4036</v>
      </c>
      <c r="Y1840" t="s">
        <v>48</v>
      </c>
      <c r="Z1840">
        <v>1.04</v>
      </c>
      <c r="AA1840">
        <v>66</v>
      </c>
      <c r="AB1840">
        <v>10</v>
      </c>
      <c r="AC1840">
        <v>2.52</v>
      </c>
      <c r="AD1840" t="s">
        <v>10567</v>
      </c>
      <c r="AE1840" t="s">
        <v>10568</v>
      </c>
      <c r="AF1840" t="s">
        <v>10569</v>
      </c>
      <c r="AG1840" t="s">
        <v>4412</v>
      </c>
      <c r="AH1840">
        <v>-3.11</v>
      </c>
      <c r="AI1840">
        <v>-6.15</v>
      </c>
      <c r="AJ1840">
        <v>1.85</v>
      </c>
      <c r="AK1840">
        <v>3.97</v>
      </c>
      <c r="AL1840">
        <v>-6</v>
      </c>
      <c r="AM1840">
        <v>-0.62</v>
      </c>
      <c r="AN1840">
        <v>-21.61</v>
      </c>
      <c r="AO1840">
        <v>-2.75</v>
      </c>
      <c r="AP1840">
        <v>-22.22</v>
      </c>
    </row>
    <row r="1841" spans="1:42">
      <c r="A1841">
        <v>1840</v>
      </c>
      <c r="B1841" t="str">
        <f>"301380"</f>
        <v>301380</v>
      </c>
      <c r="C1841" t="s">
        <v>10570</v>
      </c>
      <c r="D1841">
        <v>48.43</v>
      </c>
      <c r="E1841">
        <v>5.17</v>
      </c>
      <c r="F1841">
        <v>2.38</v>
      </c>
      <c r="G1841" t="s">
        <v>4509</v>
      </c>
      <c r="H1841">
        <v>655</v>
      </c>
      <c r="I1841">
        <v>48.43</v>
      </c>
      <c r="J1841">
        <v>48.45</v>
      </c>
      <c r="K1841" t="s">
        <v>10557</v>
      </c>
      <c r="L1841">
        <v>7.94</v>
      </c>
      <c r="M1841" t="s">
        <v>46</v>
      </c>
      <c r="N1841" t="s">
        <v>10571</v>
      </c>
      <c r="O1841">
        <v>48.45</v>
      </c>
      <c r="P1841">
        <v>46.01</v>
      </c>
      <c r="Q1841">
        <v>46.3</v>
      </c>
      <c r="R1841">
        <v>46.05</v>
      </c>
      <c r="S1841">
        <v>5.3</v>
      </c>
      <c r="T1841">
        <v>1.67</v>
      </c>
      <c r="U1841">
        <v>66.16</v>
      </c>
      <c r="V1841">
        <v>301</v>
      </c>
      <c r="W1841">
        <v>47.54</v>
      </c>
      <c r="X1841">
        <v>7759</v>
      </c>
      <c r="Y1841" t="s">
        <v>7836</v>
      </c>
      <c r="Z1841">
        <v>0.53</v>
      </c>
      <c r="AA1841">
        <v>140</v>
      </c>
      <c r="AB1841">
        <v>15</v>
      </c>
      <c r="AC1841">
        <v>4.16</v>
      </c>
      <c r="AD1841" t="s">
        <v>10572</v>
      </c>
      <c r="AE1841" t="s">
        <v>10573</v>
      </c>
      <c r="AF1841" t="s">
        <v>10574</v>
      </c>
      <c r="AG1841" t="s">
        <v>9733</v>
      </c>
      <c r="AH1841">
        <v>3.02</v>
      </c>
      <c r="AI1841">
        <v>-1.48</v>
      </c>
      <c r="AJ1841">
        <v>14.95</v>
      </c>
      <c r="AK1841">
        <v>31.75</v>
      </c>
      <c r="AL1841">
        <v>1</v>
      </c>
      <c r="AM1841">
        <v>5.17</v>
      </c>
      <c r="AN1841">
        <v>40.34</v>
      </c>
      <c r="AO1841">
        <v>6.16</v>
      </c>
      <c r="AP1841">
        <v>23.36</v>
      </c>
    </row>
    <row r="1842" spans="1:42">
      <c r="A1842">
        <v>1841</v>
      </c>
      <c r="B1842" t="str">
        <f>"688361"</f>
        <v>688361</v>
      </c>
      <c r="C1842" t="s">
        <v>10575</v>
      </c>
      <c r="D1842">
        <v>77.27</v>
      </c>
      <c r="E1842">
        <v>-1.98</v>
      </c>
      <c r="F1842">
        <v>-1.56</v>
      </c>
      <c r="G1842" t="s">
        <v>4525</v>
      </c>
      <c r="H1842">
        <v>91</v>
      </c>
      <c r="I1842">
        <v>77.27</v>
      </c>
      <c r="J1842">
        <v>77.28</v>
      </c>
      <c r="K1842" t="s">
        <v>10557</v>
      </c>
      <c r="L1842">
        <v>2.12</v>
      </c>
      <c r="M1842" t="s">
        <v>46</v>
      </c>
      <c r="N1842" t="s">
        <v>10576</v>
      </c>
      <c r="O1842">
        <v>78.42</v>
      </c>
      <c r="P1842">
        <v>75.6</v>
      </c>
      <c r="Q1842">
        <v>78.28</v>
      </c>
      <c r="R1842">
        <v>78.83</v>
      </c>
      <c r="S1842">
        <v>3.58</v>
      </c>
      <c r="T1842">
        <v>0.87</v>
      </c>
      <c r="U1842">
        <v>56.98</v>
      </c>
      <c r="V1842">
        <v>137</v>
      </c>
      <c r="W1842">
        <v>76.89</v>
      </c>
      <c r="X1842">
        <v>8003</v>
      </c>
      <c r="Y1842">
        <v>5799</v>
      </c>
      <c r="Z1842">
        <v>1.38</v>
      </c>
      <c r="AA1842">
        <v>22</v>
      </c>
      <c r="AB1842">
        <v>17</v>
      </c>
      <c r="AC1842">
        <v>10.53</v>
      </c>
      <c r="AD1842" t="s">
        <v>10577</v>
      </c>
      <c r="AE1842" t="s">
        <v>10578</v>
      </c>
      <c r="AF1842" t="s">
        <v>10579</v>
      </c>
      <c r="AG1842" t="s">
        <v>10580</v>
      </c>
      <c r="AH1842">
        <v>-2.4</v>
      </c>
      <c r="AI1842">
        <v>-1.06</v>
      </c>
      <c r="AJ1842">
        <v>6.21</v>
      </c>
      <c r="AK1842">
        <v>14.25</v>
      </c>
      <c r="AL1842">
        <v>-1</v>
      </c>
      <c r="AM1842">
        <v>-1.98</v>
      </c>
      <c r="AN1842">
        <v>227.42</v>
      </c>
      <c r="AO1842">
        <v>-0.68</v>
      </c>
      <c r="AP1842">
        <v>227.42</v>
      </c>
    </row>
    <row r="1843" spans="1:42">
      <c r="A1843">
        <v>1842</v>
      </c>
      <c r="B1843" t="str">
        <f>"300982"</f>
        <v>300982</v>
      </c>
      <c r="C1843" t="s">
        <v>10581</v>
      </c>
      <c r="D1843">
        <v>31.8</v>
      </c>
      <c r="E1843">
        <v>-2.63</v>
      </c>
      <c r="F1843">
        <v>-0.86</v>
      </c>
      <c r="G1843" t="s">
        <v>57</v>
      </c>
      <c r="H1843">
        <v>766</v>
      </c>
      <c r="I1843">
        <v>31.77</v>
      </c>
      <c r="J1843">
        <v>31.8</v>
      </c>
      <c r="K1843" t="s">
        <v>10557</v>
      </c>
      <c r="L1843">
        <v>4.1</v>
      </c>
      <c r="M1843" t="s">
        <v>46</v>
      </c>
      <c r="N1843" t="s">
        <v>1206</v>
      </c>
      <c r="O1843">
        <v>32.79</v>
      </c>
      <c r="P1843">
        <v>31.62</v>
      </c>
      <c r="Q1843">
        <v>32.79</v>
      </c>
      <c r="R1843">
        <v>32.66</v>
      </c>
      <c r="S1843">
        <v>3.58</v>
      </c>
      <c r="T1843">
        <v>1.39</v>
      </c>
      <c r="U1843">
        <v>-41.87</v>
      </c>
      <c r="V1843">
        <v>-110</v>
      </c>
      <c r="W1843">
        <v>32.05</v>
      </c>
      <c r="X1843" t="s">
        <v>390</v>
      </c>
      <c r="Y1843" t="s">
        <v>8137</v>
      </c>
      <c r="Z1843">
        <v>1</v>
      </c>
      <c r="AA1843">
        <v>13</v>
      </c>
      <c r="AB1843">
        <v>116</v>
      </c>
      <c r="AC1843">
        <v>2.05</v>
      </c>
      <c r="AD1843" t="s">
        <v>2208</v>
      </c>
      <c r="AE1843" t="s">
        <v>6973</v>
      </c>
      <c r="AF1843" t="s">
        <v>10582</v>
      </c>
      <c r="AG1843" t="s">
        <v>10583</v>
      </c>
      <c r="AH1843">
        <v>-4.96</v>
      </c>
      <c r="AI1843">
        <v>-6.53</v>
      </c>
      <c r="AJ1843">
        <v>9.52</v>
      </c>
      <c r="AK1843">
        <v>18.89</v>
      </c>
      <c r="AL1843">
        <v>-3</v>
      </c>
      <c r="AM1843">
        <v>-2.63</v>
      </c>
      <c r="AN1843">
        <v>-22.04</v>
      </c>
      <c r="AO1843">
        <v>1.86</v>
      </c>
      <c r="AP1843">
        <v>-24.86</v>
      </c>
    </row>
    <row r="1844" spans="1:42">
      <c r="A1844">
        <v>1843</v>
      </c>
      <c r="B1844" t="str">
        <f>"002681"</f>
        <v>002681</v>
      </c>
      <c r="C1844" t="s">
        <v>10584</v>
      </c>
      <c r="D1844">
        <v>5.18</v>
      </c>
      <c r="E1844">
        <v>1.17</v>
      </c>
      <c r="F1844">
        <v>0.06</v>
      </c>
      <c r="G1844" t="s">
        <v>3809</v>
      </c>
      <c r="H1844">
        <v>3727</v>
      </c>
      <c r="I1844">
        <v>5.18</v>
      </c>
      <c r="J1844">
        <v>5.19</v>
      </c>
      <c r="K1844" t="s">
        <v>10557</v>
      </c>
      <c r="L1844">
        <v>1.52</v>
      </c>
      <c r="M1844" t="s">
        <v>46</v>
      </c>
      <c r="N1844" t="s">
        <v>9676</v>
      </c>
      <c r="O1844">
        <v>5.19</v>
      </c>
      <c r="P1844">
        <v>5.07</v>
      </c>
      <c r="Q1844">
        <v>5.1</v>
      </c>
      <c r="R1844">
        <v>5.12</v>
      </c>
      <c r="S1844">
        <v>2.34</v>
      </c>
      <c r="T1844">
        <v>0.46</v>
      </c>
      <c r="U1844">
        <v>-24.37</v>
      </c>
      <c r="V1844">
        <v>-6435</v>
      </c>
      <c r="W1844">
        <v>5.14</v>
      </c>
      <c r="X1844" t="s">
        <v>3254</v>
      </c>
      <c r="Y1844" t="s">
        <v>1909</v>
      </c>
      <c r="Z1844">
        <v>0.93</v>
      </c>
      <c r="AA1844">
        <v>370</v>
      </c>
      <c r="AB1844">
        <v>7434</v>
      </c>
      <c r="AC1844">
        <v>3.89</v>
      </c>
      <c r="AD1844" t="s">
        <v>10585</v>
      </c>
      <c r="AE1844" t="s">
        <v>10586</v>
      </c>
      <c r="AF1844" t="s">
        <v>10587</v>
      </c>
      <c r="AG1844" t="s">
        <v>7578</v>
      </c>
      <c r="AH1844">
        <v>-1.89</v>
      </c>
      <c r="AI1844">
        <v>-5.47</v>
      </c>
      <c r="AJ1844">
        <v>6.94</v>
      </c>
      <c r="AK1844">
        <v>17.87</v>
      </c>
      <c r="AL1844">
        <v>1</v>
      </c>
      <c r="AM1844">
        <v>1.17</v>
      </c>
      <c r="AN1844">
        <v>37.4</v>
      </c>
      <c r="AO1844">
        <v>0</v>
      </c>
      <c r="AP1844">
        <v>34.2</v>
      </c>
    </row>
    <row r="1845" spans="1:42">
      <c r="A1845">
        <v>1844</v>
      </c>
      <c r="B1845" t="str">
        <f>"002662"</f>
        <v>002662</v>
      </c>
      <c r="C1845" t="s">
        <v>10588</v>
      </c>
      <c r="D1845">
        <v>3.79</v>
      </c>
      <c r="E1845">
        <v>-0.52</v>
      </c>
      <c r="F1845">
        <v>-0.02</v>
      </c>
      <c r="G1845" t="s">
        <v>3512</v>
      </c>
      <c r="H1845">
        <v>4015</v>
      </c>
      <c r="I1845">
        <v>3.78</v>
      </c>
      <c r="J1845">
        <v>3.79</v>
      </c>
      <c r="K1845" t="s">
        <v>10557</v>
      </c>
      <c r="L1845">
        <v>1.88</v>
      </c>
      <c r="M1845" t="s">
        <v>46</v>
      </c>
      <c r="N1845" t="s">
        <v>3661</v>
      </c>
      <c r="O1845">
        <v>3.82</v>
      </c>
      <c r="P1845">
        <v>3.73</v>
      </c>
      <c r="Q1845">
        <v>3.81</v>
      </c>
      <c r="R1845">
        <v>3.81</v>
      </c>
      <c r="S1845">
        <v>2.36</v>
      </c>
      <c r="T1845">
        <v>0.75</v>
      </c>
      <c r="U1845">
        <v>-24.59</v>
      </c>
      <c r="V1845">
        <v>-7901</v>
      </c>
      <c r="W1845">
        <v>3.77</v>
      </c>
      <c r="X1845" t="s">
        <v>1412</v>
      </c>
      <c r="Y1845" t="s">
        <v>1915</v>
      </c>
      <c r="Z1845">
        <v>1.18</v>
      </c>
      <c r="AA1845">
        <v>1510</v>
      </c>
      <c r="AB1845">
        <v>2478</v>
      </c>
      <c r="AC1845">
        <v>1.44</v>
      </c>
      <c r="AD1845" t="s">
        <v>3481</v>
      </c>
      <c r="AE1845" t="s">
        <v>10589</v>
      </c>
      <c r="AF1845" t="s">
        <v>3481</v>
      </c>
      <c r="AG1845" t="s">
        <v>10589</v>
      </c>
      <c r="AH1845">
        <v>-3.32</v>
      </c>
      <c r="AI1845">
        <v>-1.3</v>
      </c>
      <c r="AJ1845">
        <v>6.71</v>
      </c>
      <c r="AK1845">
        <v>14.35</v>
      </c>
      <c r="AL1845">
        <v>-3</v>
      </c>
      <c r="AM1845">
        <v>-0.52</v>
      </c>
      <c r="AN1845">
        <v>17.7</v>
      </c>
      <c r="AO1845">
        <v>3.27</v>
      </c>
      <c r="AP1845">
        <v>9.54</v>
      </c>
    </row>
    <row r="1846" spans="1:42">
      <c r="A1846">
        <v>1845</v>
      </c>
      <c r="B1846" t="str">
        <f>"600398"</f>
        <v>600398</v>
      </c>
      <c r="C1846" t="s">
        <v>10590</v>
      </c>
      <c r="D1846">
        <v>7.5</v>
      </c>
      <c r="E1846">
        <v>-1.06</v>
      </c>
      <c r="F1846">
        <v>-0.08</v>
      </c>
      <c r="G1846" t="s">
        <v>1296</v>
      </c>
      <c r="H1846">
        <v>736</v>
      </c>
      <c r="I1846">
        <v>7.49</v>
      </c>
      <c r="J1846">
        <v>7.5</v>
      </c>
      <c r="K1846" t="s">
        <v>10557</v>
      </c>
      <c r="L1846">
        <v>0.33</v>
      </c>
      <c r="M1846" t="s">
        <v>46</v>
      </c>
      <c r="N1846" t="s">
        <v>10591</v>
      </c>
      <c r="O1846">
        <v>7.59</v>
      </c>
      <c r="P1846">
        <v>7.42</v>
      </c>
      <c r="Q1846">
        <v>7.55</v>
      </c>
      <c r="R1846">
        <v>7.58</v>
      </c>
      <c r="S1846">
        <v>2.24</v>
      </c>
      <c r="T1846">
        <v>0.89</v>
      </c>
      <c r="U1846">
        <v>23.83</v>
      </c>
      <c r="V1846">
        <v>795</v>
      </c>
      <c r="W1846">
        <v>7.52</v>
      </c>
      <c r="X1846" t="s">
        <v>4235</v>
      </c>
      <c r="Y1846" t="s">
        <v>6381</v>
      </c>
      <c r="Z1846">
        <v>1.23</v>
      </c>
      <c r="AA1846">
        <v>22</v>
      </c>
      <c r="AB1846">
        <v>137</v>
      </c>
      <c r="AC1846">
        <v>2.21</v>
      </c>
      <c r="AD1846" t="s">
        <v>5343</v>
      </c>
      <c r="AE1846" t="s">
        <v>10592</v>
      </c>
      <c r="AF1846" t="s">
        <v>5343</v>
      </c>
      <c r="AG1846" t="s">
        <v>10592</v>
      </c>
      <c r="AH1846">
        <v>-1.19</v>
      </c>
      <c r="AI1846">
        <v>0</v>
      </c>
      <c r="AJ1846">
        <v>1.19</v>
      </c>
      <c r="AK1846">
        <v>2.16</v>
      </c>
      <c r="AL1846">
        <v>-1</v>
      </c>
      <c r="AM1846">
        <v>-1.06</v>
      </c>
      <c r="AN1846">
        <v>54</v>
      </c>
      <c r="AO1846">
        <v>0.94</v>
      </c>
      <c r="AP1846">
        <v>82.48</v>
      </c>
    </row>
    <row r="1847" spans="1:42">
      <c r="A1847">
        <v>1846</v>
      </c>
      <c r="B1847" t="str">
        <f>"000811"</f>
        <v>000811</v>
      </c>
      <c r="C1847" t="s">
        <v>10593</v>
      </c>
      <c r="D1847">
        <v>14.12</v>
      </c>
      <c r="E1847">
        <v>-0.49</v>
      </c>
      <c r="F1847">
        <v>-0.07</v>
      </c>
      <c r="G1847" t="s">
        <v>10412</v>
      </c>
      <c r="H1847">
        <v>1276</v>
      </c>
      <c r="I1847">
        <v>14.11</v>
      </c>
      <c r="J1847">
        <v>14.12</v>
      </c>
      <c r="K1847" t="s">
        <v>10557</v>
      </c>
      <c r="L1847">
        <v>1.01</v>
      </c>
      <c r="M1847" t="s">
        <v>46</v>
      </c>
      <c r="N1847" t="s">
        <v>5473</v>
      </c>
      <c r="O1847">
        <v>14.25</v>
      </c>
      <c r="P1847">
        <v>13.98</v>
      </c>
      <c r="Q1847">
        <v>14.19</v>
      </c>
      <c r="R1847">
        <v>14.19</v>
      </c>
      <c r="S1847">
        <v>1.9</v>
      </c>
      <c r="T1847">
        <v>0.57</v>
      </c>
      <c r="U1847">
        <v>16.32</v>
      </c>
      <c r="V1847">
        <v>282</v>
      </c>
      <c r="W1847">
        <v>14.1</v>
      </c>
      <c r="X1847" t="s">
        <v>8166</v>
      </c>
      <c r="Y1847" t="s">
        <v>1559</v>
      </c>
      <c r="Z1847">
        <v>1.03</v>
      </c>
      <c r="AA1847">
        <v>172</v>
      </c>
      <c r="AB1847">
        <v>138</v>
      </c>
      <c r="AC1847">
        <v>2.03</v>
      </c>
      <c r="AD1847" t="s">
        <v>10594</v>
      </c>
      <c r="AE1847" t="s">
        <v>4187</v>
      </c>
      <c r="AF1847" t="s">
        <v>10595</v>
      </c>
      <c r="AG1847" t="s">
        <v>4728</v>
      </c>
      <c r="AH1847">
        <v>-3.22</v>
      </c>
      <c r="AI1847">
        <v>2.32</v>
      </c>
      <c r="AJ1847">
        <v>3.94</v>
      </c>
      <c r="AK1847">
        <v>9.81</v>
      </c>
      <c r="AL1847">
        <v>-3</v>
      </c>
      <c r="AM1847">
        <v>-0.49</v>
      </c>
      <c r="AN1847">
        <v>29.54</v>
      </c>
      <c r="AO1847">
        <v>12.33</v>
      </c>
      <c r="AP1847">
        <v>20.58</v>
      </c>
    </row>
    <row r="1848" spans="1:42">
      <c r="A1848">
        <v>1847</v>
      </c>
      <c r="B1848" t="str">
        <f>"688617"</f>
        <v>688617</v>
      </c>
      <c r="C1848" t="s">
        <v>10596</v>
      </c>
      <c r="D1848">
        <v>377.72</v>
      </c>
      <c r="E1848">
        <v>1.2</v>
      </c>
      <c r="F1848">
        <v>4.49</v>
      </c>
      <c r="G1848">
        <v>2831</v>
      </c>
      <c r="H1848">
        <v>81</v>
      </c>
      <c r="I1848">
        <v>377.1</v>
      </c>
      <c r="J1848">
        <v>377.72</v>
      </c>
      <c r="K1848" t="s">
        <v>10557</v>
      </c>
      <c r="L1848">
        <v>0.63</v>
      </c>
      <c r="M1848" t="s">
        <v>46</v>
      </c>
      <c r="N1848" t="s">
        <v>654</v>
      </c>
      <c r="O1848">
        <v>378.87</v>
      </c>
      <c r="P1848">
        <v>369.95</v>
      </c>
      <c r="Q1848">
        <v>373.97</v>
      </c>
      <c r="R1848">
        <v>373.23</v>
      </c>
      <c r="S1848">
        <v>2.39</v>
      </c>
      <c r="T1848">
        <v>0.86</v>
      </c>
      <c r="U1848">
        <v>-17.12</v>
      </c>
      <c r="V1848">
        <v>-12</v>
      </c>
      <c r="W1848">
        <v>373.85</v>
      </c>
      <c r="X1848">
        <v>1230</v>
      </c>
      <c r="Y1848">
        <v>1601</v>
      </c>
      <c r="Z1848">
        <v>0.77</v>
      </c>
      <c r="AA1848">
        <v>6</v>
      </c>
      <c r="AB1848">
        <v>1</v>
      </c>
      <c r="AC1848">
        <v>14.21</v>
      </c>
      <c r="AD1848" t="s">
        <v>10597</v>
      </c>
      <c r="AE1848" t="s">
        <v>10598</v>
      </c>
      <c r="AF1848" t="s">
        <v>10599</v>
      </c>
      <c r="AG1848" t="s">
        <v>5858</v>
      </c>
      <c r="AH1848">
        <v>3.86</v>
      </c>
      <c r="AI1848">
        <v>9.16</v>
      </c>
      <c r="AJ1848">
        <v>2.1</v>
      </c>
      <c r="AK1848">
        <v>4.29</v>
      </c>
      <c r="AL1848">
        <v>5</v>
      </c>
      <c r="AM1848">
        <v>1.2</v>
      </c>
      <c r="AN1848">
        <v>23.73</v>
      </c>
      <c r="AO1848">
        <v>6.39</v>
      </c>
      <c r="AP1848">
        <v>28.76</v>
      </c>
    </row>
    <row r="1849" spans="1:42">
      <c r="A1849">
        <v>1848</v>
      </c>
      <c r="B1849" t="str">
        <f>"600757"</f>
        <v>600757</v>
      </c>
      <c r="C1849" t="s">
        <v>10600</v>
      </c>
      <c r="D1849">
        <v>8.15</v>
      </c>
      <c r="E1849">
        <v>3.16</v>
      </c>
      <c r="F1849">
        <v>0.25</v>
      </c>
      <c r="G1849" t="s">
        <v>1987</v>
      </c>
      <c r="H1849">
        <v>1160</v>
      </c>
      <c r="I1849">
        <v>8.14</v>
      </c>
      <c r="J1849">
        <v>8.15</v>
      </c>
      <c r="K1849" t="s">
        <v>10557</v>
      </c>
      <c r="L1849">
        <v>1.08</v>
      </c>
      <c r="M1849" t="s">
        <v>46</v>
      </c>
      <c r="N1849" t="s">
        <v>8603</v>
      </c>
      <c r="O1849">
        <v>8.16</v>
      </c>
      <c r="P1849">
        <v>7.9</v>
      </c>
      <c r="Q1849">
        <v>7.9</v>
      </c>
      <c r="R1849">
        <v>7.9</v>
      </c>
      <c r="S1849">
        <v>3.29</v>
      </c>
      <c r="T1849">
        <v>1.4</v>
      </c>
      <c r="U1849">
        <v>-48.48</v>
      </c>
      <c r="V1849">
        <v>-2843</v>
      </c>
      <c r="W1849">
        <v>8.08</v>
      </c>
      <c r="X1849" t="s">
        <v>5660</v>
      </c>
      <c r="Y1849" t="s">
        <v>6891</v>
      </c>
      <c r="Z1849">
        <v>0.62</v>
      </c>
      <c r="AA1849">
        <v>233</v>
      </c>
      <c r="AB1849">
        <v>1075</v>
      </c>
      <c r="AC1849">
        <v>1.11</v>
      </c>
      <c r="AD1849" t="s">
        <v>1324</v>
      </c>
      <c r="AE1849" t="s">
        <v>10601</v>
      </c>
      <c r="AF1849" t="s">
        <v>9711</v>
      </c>
      <c r="AG1849" t="s">
        <v>10602</v>
      </c>
      <c r="AH1849">
        <v>2</v>
      </c>
      <c r="AI1849">
        <v>-1.09</v>
      </c>
      <c r="AJ1849">
        <v>2.36</v>
      </c>
      <c r="AK1849">
        <v>4.95</v>
      </c>
      <c r="AL1849">
        <v>2</v>
      </c>
      <c r="AM1849">
        <v>3.16</v>
      </c>
      <c r="AN1849">
        <v>51.49</v>
      </c>
      <c r="AO1849">
        <v>5.98</v>
      </c>
      <c r="AP1849">
        <v>58.56</v>
      </c>
    </row>
    <row r="1850" spans="1:42">
      <c r="A1850">
        <v>1849</v>
      </c>
      <c r="B1850" t="str">
        <f>"300795"</f>
        <v>300795</v>
      </c>
      <c r="C1850" t="s">
        <v>10603</v>
      </c>
      <c r="D1850">
        <v>38.3</v>
      </c>
      <c r="E1850">
        <v>0.84</v>
      </c>
      <c r="F1850">
        <v>0.32</v>
      </c>
      <c r="G1850" t="s">
        <v>5553</v>
      </c>
      <c r="H1850">
        <v>405</v>
      </c>
      <c r="I1850">
        <v>38.2</v>
      </c>
      <c r="J1850">
        <v>38.3</v>
      </c>
      <c r="K1850" t="s">
        <v>10557</v>
      </c>
      <c r="L1850">
        <v>3.16</v>
      </c>
      <c r="M1850" t="s">
        <v>46</v>
      </c>
      <c r="N1850" t="s">
        <v>1501</v>
      </c>
      <c r="O1850">
        <v>38.77</v>
      </c>
      <c r="P1850">
        <v>37.5</v>
      </c>
      <c r="Q1850">
        <v>38.2</v>
      </c>
      <c r="R1850">
        <v>37.98</v>
      </c>
      <c r="S1850">
        <v>3.34</v>
      </c>
      <c r="T1850">
        <v>2.07</v>
      </c>
      <c r="U1850">
        <v>-28.21</v>
      </c>
      <c r="V1850">
        <v>-44</v>
      </c>
      <c r="W1850">
        <v>38.11</v>
      </c>
      <c r="X1850" t="s">
        <v>1967</v>
      </c>
      <c r="Y1850" t="s">
        <v>1769</v>
      </c>
      <c r="Z1850">
        <v>0.91</v>
      </c>
      <c r="AA1850">
        <v>15</v>
      </c>
      <c r="AB1850">
        <v>2</v>
      </c>
      <c r="AC1850">
        <v>10.72</v>
      </c>
      <c r="AD1850" t="s">
        <v>10604</v>
      </c>
      <c r="AE1850" t="s">
        <v>10605</v>
      </c>
      <c r="AF1850" t="s">
        <v>10606</v>
      </c>
      <c r="AG1850" t="s">
        <v>10607</v>
      </c>
      <c r="AH1850">
        <v>12.35</v>
      </c>
      <c r="AI1850">
        <v>9.96</v>
      </c>
      <c r="AJ1850">
        <v>7.91</v>
      </c>
      <c r="AK1850">
        <v>10.78</v>
      </c>
      <c r="AL1850">
        <v>4</v>
      </c>
      <c r="AM1850">
        <v>0.84</v>
      </c>
      <c r="AN1850">
        <v>40.76</v>
      </c>
      <c r="AO1850">
        <v>32.57</v>
      </c>
      <c r="AP1850">
        <v>64.1</v>
      </c>
    </row>
    <row r="1851" spans="1:42">
      <c r="A1851">
        <v>1850</v>
      </c>
      <c r="B1851" t="str">
        <f>"300318"</f>
        <v>300318</v>
      </c>
      <c r="C1851" t="s">
        <v>10608</v>
      </c>
      <c r="D1851">
        <v>6.77</v>
      </c>
      <c r="E1851">
        <v>-0.88</v>
      </c>
      <c r="F1851">
        <v>-0.06</v>
      </c>
      <c r="G1851" t="s">
        <v>3687</v>
      </c>
      <c r="H1851">
        <v>883</v>
      </c>
      <c r="I1851">
        <v>6.76</v>
      </c>
      <c r="J1851">
        <v>6.77</v>
      </c>
      <c r="K1851" t="s">
        <v>10557</v>
      </c>
      <c r="L1851">
        <v>1.97</v>
      </c>
      <c r="M1851" t="s">
        <v>46</v>
      </c>
      <c r="N1851" t="s">
        <v>5691</v>
      </c>
      <c r="O1851">
        <v>6.85</v>
      </c>
      <c r="P1851">
        <v>6.67</v>
      </c>
      <c r="Q1851">
        <v>6.83</v>
      </c>
      <c r="R1851">
        <v>6.83</v>
      </c>
      <c r="S1851">
        <v>2.64</v>
      </c>
      <c r="T1851">
        <v>1.68</v>
      </c>
      <c r="U1851">
        <v>-9.83</v>
      </c>
      <c r="V1851">
        <v>-444</v>
      </c>
      <c r="W1851">
        <v>6.74</v>
      </c>
      <c r="X1851" t="s">
        <v>10609</v>
      </c>
      <c r="Y1851" t="s">
        <v>4568</v>
      </c>
      <c r="Z1851">
        <v>1.16</v>
      </c>
      <c r="AA1851">
        <v>477</v>
      </c>
      <c r="AB1851">
        <v>881</v>
      </c>
      <c r="AC1851">
        <v>3.93</v>
      </c>
      <c r="AD1851" t="s">
        <v>10610</v>
      </c>
      <c r="AE1851" t="s">
        <v>9124</v>
      </c>
      <c r="AF1851" t="s">
        <v>10611</v>
      </c>
      <c r="AG1851" t="s">
        <v>10612</v>
      </c>
      <c r="AH1851">
        <v>1.8</v>
      </c>
      <c r="AI1851">
        <v>3.68</v>
      </c>
      <c r="AJ1851">
        <v>4.98</v>
      </c>
      <c r="AK1851">
        <v>7.82</v>
      </c>
      <c r="AL1851">
        <v>-1</v>
      </c>
      <c r="AM1851">
        <v>-0.88</v>
      </c>
      <c r="AN1851">
        <v>15.73</v>
      </c>
      <c r="AO1851">
        <v>9.55</v>
      </c>
      <c r="AP1851">
        <v>4.48</v>
      </c>
    </row>
    <row r="1852" spans="1:42">
      <c r="A1852">
        <v>1851</v>
      </c>
      <c r="B1852" t="str">
        <f>"688282"</f>
        <v>688282</v>
      </c>
      <c r="C1852" t="s">
        <v>10613</v>
      </c>
      <c r="D1852">
        <v>39.33</v>
      </c>
      <c r="E1852">
        <v>-2.26</v>
      </c>
      <c r="F1852">
        <v>-0.91</v>
      </c>
      <c r="G1852" t="s">
        <v>914</v>
      </c>
      <c r="H1852">
        <v>259</v>
      </c>
      <c r="I1852">
        <v>39.33</v>
      </c>
      <c r="J1852">
        <v>39.34</v>
      </c>
      <c r="K1852" t="s">
        <v>10614</v>
      </c>
      <c r="L1852">
        <v>7.42</v>
      </c>
      <c r="M1852" t="s">
        <v>46</v>
      </c>
      <c r="N1852" t="s">
        <v>10615</v>
      </c>
      <c r="O1852">
        <v>40.04</v>
      </c>
      <c r="P1852">
        <v>39.18</v>
      </c>
      <c r="Q1852">
        <v>40</v>
      </c>
      <c r="R1852">
        <v>40.24</v>
      </c>
      <c r="S1852">
        <v>2.14</v>
      </c>
      <c r="T1852">
        <v>1.48</v>
      </c>
      <c r="U1852">
        <v>68.55</v>
      </c>
      <c r="V1852">
        <v>222</v>
      </c>
      <c r="W1852">
        <v>39.61</v>
      </c>
      <c r="X1852" t="s">
        <v>6595</v>
      </c>
      <c r="Y1852" t="s">
        <v>189</v>
      </c>
      <c r="Z1852">
        <v>1.27</v>
      </c>
      <c r="AA1852">
        <v>87</v>
      </c>
      <c r="AB1852">
        <v>27</v>
      </c>
      <c r="AC1852">
        <v>2.36</v>
      </c>
      <c r="AD1852" t="s">
        <v>10616</v>
      </c>
      <c r="AE1852" t="s">
        <v>10617</v>
      </c>
      <c r="AF1852" t="s">
        <v>10618</v>
      </c>
      <c r="AG1852" t="s">
        <v>7714</v>
      </c>
      <c r="AH1852">
        <v>-18.15</v>
      </c>
      <c r="AI1852">
        <v>-23.3</v>
      </c>
      <c r="AJ1852">
        <v>24.23</v>
      </c>
      <c r="AK1852">
        <v>32.45</v>
      </c>
      <c r="AL1852">
        <v>-6</v>
      </c>
      <c r="AM1852">
        <v>-2.26</v>
      </c>
      <c r="AN1852">
        <v>-12.79</v>
      </c>
      <c r="AO1852">
        <v>-20.91</v>
      </c>
      <c r="AP1852">
        <v>-20.06</v>
      </c>
    </row>
    <row r="1853" spans="1:42">
      <c r="A1853">
        <v>1852</v>
      </c>
      <c r="B1853" t="str">
        <f>"300173"</f>
        <v>300173</v>
      </c>
      <c r="C1853" t="s">
        <v>10619</v>
      </c>
      <c r="D1853">
        <v>5.14</v>
      </c>
      <c r="E1853">
        <v>0.19</v>
      </c>
      <c r="F1853">
        <v>0.01</v>
      </c>
      <c r="G1853" t="s">
        <v>3809</v>
      </c>
      <c r="H1853">
        <v>1171</v>
      </c>
      <c r="I1853">
        <v>5.14</v>
      </c>
      <c r="J1853">
        <v>5.15</v>
      </c>
      <c r="K1853" t="s">
        <v>10614</v>
      </c>
      <c r="L1853">
        <v>2.81</v>
      </c>
      <c r="M1853" t="s">
        <v>46</v>
      </c>
      <c r="N1853" t="s">
        <v>119</v>
      </c>
      <c r="O1853">
        <v>5.15</v>
      </c>
      <c r="P1853">
        <v>5.05</v>
      </c>
      <c r="Q1853">
        <v>5.11</v>
      </c>
      <c r="R1853">
        <v>5.13</v>
      </c>
      <c r="S1853">
        <v>1.95</v>
      </c>
      <c r="T1853">
        <v>0.58</v>
      </c>
      <c r="U1853">
        <v>1.03</v>
      </c>
      <c r="V1853">
        <v>163</v>
      </c>
      <c r="W1853">
        <v>5.1</v>
      </c>
      <c r="X1853" t="s">
        <v>829</v>
      </c>
      <c r="Y1853" t="s">
        <v>1789</v>
      </c>
      <c r="Z1853">
        <v>1.17</v>
      </c>
      <c r="AA1853">
        <v>769</v>
      </c>
      <c r="AB1853">
        <v>3156</v>
      </c>
      <c r="AC1853">
        <v>4.33</v>
      </c>
      <c r="AD1853" t="s">
        <v>10620</v>
      </c>
      <c r="AE1853" t="s">
        <v>10621</v>
      </c>
      <c r="AF1853" t="s">
        <v>10622</v>
      </c>
      <c r="AG1853" t="s">
        <v>10623</v>
      </c>
      <c r="AH1853">
        <v>-0.96</v>
      </c>
      <c r="AI1853">
        <v>-1.53</v>
      </c>
      <c r="AJ1853">
        <v>11.49</v>
      </c>
      <c r="AK1853">
        <v>27.21</v>
      </c>
      <c r="AL1853">
        <v>1</v>
      </c>
      <c r="AM1853">
        <v>0.19</v>
      </c>
      <c r="AN1853">
        <v>18.98</v>
      </c>
      <c r="AO1853">
        <v>8.9</v>
      </c>
      <c r="AP1853">
        <v>17.35</v>
      </c>
    </row>
    <row r="1854" spans="1:42">
      <c r="A1854">
        <v>1853</v>
      </c>
      <c r="B1854" t="str">
        <f>"603101"</f>
        <v>603101</v>
      </c>
      <c r="C1854" t="s">
        <v>10624</v>
      </c>
      <c r="D1854">
        <v>7.26</v>
      </c>
      <c r="E1854">
        <v>0.69</v>
      </c>
      <c r="F1854">
        <v>0.05</v>
      </c>
      <c r="G1854" t="s">
        <v>44</v>
      </c>
      <c r="H1854">
        <v>1461</v>
      </c>
      <c r="I1854">
        <v>7.26</v>
      </c>
      <c r="J1854">
        <v>7.27</v>
      </c>
      <c r="K1854" t="s">
        <v>10614</v>
      </c>
      <c r="L1854">
        <v>3.07</v>
      </c>
      <c r="M1854" t="s">
        <v>46</v>
      </c>
      <c r="N1854" t="s">
        <v>4263</v>
      </c>
      <c r="O1854">
        <v>7.37</v>
      </c>
      <c r="P1854">
        <v>7.15</v>
      </c>
      <c r="Q1854">
        <v>7.19</v>
      </c>
      <c r="R1854">
        <v>7.21</v>
      </c>
      <c r="S1854">
        <v>3.05</v>
      </c>
      <c r="T1854">
        <v>1.24</v>
      </c>
      <c r="U1854">
        <v>-18.96</v>
      </c>
      <c r="V1854">
        <v>-684</v>
      </c>
      <c r="W1854">
        <v>7.29</v>
      </c>
      <c r="X1854" t="s">
        <v>2367</v>
      </c>
      <c r="Y1854" t="s">
        <v>10255</v>
      </c>
      <c r="Z1854">
        <v>0.91</v>
      </c>
      <c r="AA1854">
        <v>205</v>
      </c>
      <c r="AB1854">
        <v>1148</v>
      </c>
      <c r="AC1854">
        <v>2.34</v>
      </c>
      <c r="AD1854" t="s">
        <v>10625</v>
      </c>
      <c r="AE1854" t="s">
        <v>5683</v>
      </c>
      <c r="AF1854" t="s">
        <v>10625</v>
      </c>
      <c r="AG1854" t="s">
        <v>5683</v>
      </c>
      <c r="AH1854">
        <v>2.83</v>
      </c>
      <c r="AI1854">
        <v>-0.41</v>
      </c>
      <c r="AJ1854">
        <v>7.81</v>
      </c>
      <c r="AK1854">
        <v>15.42</v>
      </c>
      <c r="AL1854">
        <v>3</v>
      </c>
      <c r="AM1854">
        <v>0.69</v>
      </c>
      <c r="AN1854">
        <v>14.87</v>
      </c>
      <c r="AO1854">
        <v>5.99</v>
      </c>
      <c r="AP1854">
        <v>31.05</v>
      </c>
    </row>
    <row r="1855" spans="1:42">
      <c r="A1855">
        <v>1854</v>
      </c>
      <c r="B1855" t="str">
        <f>"603077"</f>
        <v>603077</v>
      </c>
      <c r="C1855" t="s">
        <v>10626</v>
      </c>
      <c r="D1855">
        <v>2.36</v>
      </c>
      <c r="E1855">
        <v>0.85</v>
      </c>
      <c r="F1855">
        <v>0.02</v>
      </c>
      <c r="G1855" t="s">
        <v>2157</v>
      </c>
      <c r="H1855">
        <v>7963</v>
      </c>
      <c r="I1855">
        <v>2.35</v>
      </c>
      <c r="J1855">
        <v>2.36</v>
      </c>
      <c r="K1855" t="s">
        <v>10614</v>
      </c>
      <c r="L1855">
        <v>0.51</v>
      </c>
      <c r="M1855" t="s">
        <v>46</v>
      </c>
      <c r="N1855" t="s">
        <v>10627</v>
      </c>
      <c r="O1855">
        <v>2.37</v>
      </c>
      <c r="P1855">
        <v>2.33</v>
      </c>
      <c r="Q1855">
        <v>2.34</v>
      </c>
      <c r="R1855">
        <v>2.34</v>
      </c>
      <c r="S1855">
        <v>1.71</v>
      </c>
      <c r="T1855">
        <v>1.13</v>
      </c>
      <c r="U1855">
        <v>-28.44</v>
      </c>
      <c r="V1855" t="s">
        <v>10628</v>
      </c>
      <c r="W1855">
        <v>2.35</v>
      </c>
      <c r="X1855" t="s">
        <v>1470</v>
      </c>
      <c r="Y1855" t="s">
        <v>1678</v>
      </c>
      <c r="Z1855">
        <v>0.64</v>
      </c>
      <c r="AA1855" t="s">
        <v>7210</v>
      </c>
      <c r="AB1855">
        <v>3809</v>
      </c>
      <c r="AC1855">
        <v>1.05</v>
      </c>
      <c r="AD1855" t="s">
        <v>10629</v>
      </c>
      <c r="AE1855" t="s">
        <v>10189</v>
      </c>
      <c r="AF1855" t="s">
        <v>10629</v>
      </c>
      <c r="AG1855" t="s">
        <v>10189</v>
      </c>
      <c r="AH1855">
        <v>0.43</v>
      </c>
      <c r="AI1855">
        <v>-0.42</v>
      </c>
      <c r="AJ1855">
        <v>1.53</v>
      </c>
      <c r="AK1855">
        <v>2.75</v>
      </c>
      <c r="AL1855">
        <v>1</v>
      </c>
      <c r="AM1855">
        <v>0.85</v>
      </c>
      <c r="AN1855">
        <v>-21.07</v>
      </c>
      <c r="AO1855">
        <v>-0.42</v>
      </c>
      <c r="AP1855">
        <v>-23.13</v>
      </c>
    </row>
    <row r="1856" spans="1:42">
      <c r="A1856">
        <v>1855</v>
      </c>
      <c r="B1856" t="str">
        <f>"300469"</f>
        <v>300469</v>
      </c>
      <c r="C1856" t="s">
        <v>10630</v>
      </c>
      <c r="D1856">
        <v>16.8</v>
      </c>
      <c r="E1856">
        <v>4.87</v>
      </c>
      <c r="F1856">
        <v>0.78</v>
      </c>
      <c r="G1856" t="s">
        <v>9204</v>
      </c>
      <c r="H1856">
        <v>2230</v>
      </c>
      <c r="I1856">
        <v>16.79</v>
      </c>
      <c r="J1856">
        <v>16.8</v>
      </c>
      <c r="K1856" t="s">
        <v>10614</v>
      </c>
      <c r="L1856">
        <v>2.72</v>
      </c>
      <c r="M1856" t="s">
        <v>46</v>
      </c>
      <c r="N1856" t="s">
        <v>9321</v>
      </c>
      <c r="O1856">
        <v>16.84</v>
      </c>
      <c r="P1856">
        <v>16</v>
      </c>
      <c r="Q1856">
        <v>16.09</v>
      </c>
      <c r="R1856">
        <v>16.02</v>
      </c>
      <c r="S1856">
        <v>5.24</v>
      </c>
      <c r="T1856">
        <v>1.26</v>
      </c>
      <c r="U1856">
        <v>-43.01</v>
      </c>
      <c r="V1856">
        <v>-489</v>
      </c>
      <c r="W1856">
        <v>16.45</v>
      </c>
      <c r="X1856" t="s">
        <v>6247</v>
      </c>
      <c r="Y1856" t="s">
        <v>2550</v>
      </c>
      <c r="Z1856">
        <v>0.84</v>
      </c>
      <c r="AA1856">
        <v>1</v>
      </c>
      <c r="AB1856">
        <v>401</v>
      </c>
      <c r="AC1856">
        <v>5.99</v>
      </c>
      <c r="AD1856" t="s">
        <v>10631</v>
      </c>
      <c r="AE1856" t="s">
        <v>10632</v>
      </c>
      <c r="AF1856" t="s">
        <v>10633</v>
      </c>
      <c r="AG1856" t="s">
        <v>10634</v>
      </c>
      <c r="AH1856">
        <v>1.14</v>
      </c>
      <c r="AI1856">
        <v>-1.06</v>
      </c>
      <c r="AJ1856">
        <v>6.58</v>
      </c>
      <c r="AK1856">
        <v>13.5</v>
      </c>
      <c r="AL1856">
        <v>1</v>
      </c>
      <c r="AM1856">
        <v>4.87</v>
      </c>
      <c r="AN1856">
        <v>37.48</v>
      </c>
      <c r="AO1856">
        <v>7.76</v>
      </c>
      <c r="AP1856">
        <v>21.65</v>
      </c>
    </row>
    <row r="1857" spans="1:42">
      <c r="A1857">
        <v>1856</v>
      </c>
      <c r="B1857" t="str">
        <f>"688520"</f>
        <v>688520</v>
      </c>
      <c r="C1857" t="s">
        <v>10635</v>
      </c>
      <c r="D1857">
        <v>51.76</v>
      </c>
      <c r="E1857">
        <v>3.54</v>
      </c>
      <c r="F1857">
        <v>1.77</v>
      </c>
      <c r="G1857" t="s">
        <v>9024</v>
      </c>
      <c r="H1857">
        <v>126</v>
      </c>
      <c r="I1857">
        <v>51.76</v>
      </c>
      <c r="J1857">
        <v>51.78</v>
      </c>
      <c r="K1857" t="s">
        <v>10614</v>
      </c>
      <c r="L1857">
        <v>2.08</v>
      </c>
      <c r="M1857" t="s">
        <v>46</v>
      </c>
      <c r="N1857" t="s">
        <v>1907</v>
      </c>
      <c r="O1857">
        <v>51.96</v>
      </c>
      <c r="P1857">
        <v>49.51</v>
      </c>
      <c r="Q1857">
        <v>50.5</v>
      </c>
      <c r="R1857">
        <v>49.99</v>
      </c>
      <c r="S1857">
        <v>4.9</v>
      </c>
      <c r="T1857">
        <v>1.81</v>
      </c>
      <c r="U1857">
        <v>47.63</v>
      </c>
      <c r="V1857">
        <v>94</v>
      </c>
      <c r="W1857">
        <v>50.82</v>
      </c>
      <c r="X1857">
        <v>7319</v>
      </c>
      <c r="Y1857" t="s">
        <v>1777</v>
      </c>
      <c r="Z1857">
        <v>0.55</v>
      </c>
      <c r="AA1857">
        <v>30</v>
      </c>
      <c r="AB1857">
        <v>20</v>
      </c>
      <c r="AC1857">
        <v>-53.22</v>
      </c>
      <c r="AD1857" t="s">
        <v>10636</v>
      </c>
      <c r="AE1857" t="s">
        <v>10637</v>
      </c>
      <c r="AF1857" t="s">
        <v>10638</v>
      </c>
      <c r="AG1857" t="s">
        <v>8453</v>
      </c>
      <c r="AH1857">
        <v>2.62</v>
      </c>
      <c r="AI1857">
        <v>5.5</v>
      </c>
      <c r="AJ1857">
        <v>4.03</v>
      </c>
      <c r="AK1857">
        <v>7.84</v>
      </c>
      <c r="AL1857">
        <v>2</v>
      </c>
      <c r="AM1857">
        <v>3.54</v>
      </c>
      <c r="AN1857">
        <v>-14.59</v>
      </c>
      <c r="AO1857">
        <v>3.87</v>
      </c>
      <c r="AP1857">
        <v>-40.55</v>
      </c>
    </row>
    <row r="1858" spans="1:42">
      <c r="A1858">
        <v>1857</v>
      </c>
      <c r="B1858" t="str">
        <f>"601128"</f>
        <v>601128</v>
      </c>
      <c r="C1858" t="s">
        <v>10639</v>
      </c>
      <c r="D1858">
        <v>6.84</v>
      </c>
      <c r="E1858">
        <v>0.88</v>
      </c>
      <c r="F1858">
        <v>0.06</v>
      </c>
      <c r="G1858" t="s">
        <v>2291</v>
      </c>
      <c r="H1858">
        <v>3815</v>
      </c>
      <c r="I1858">
        <v>6.82</v>
      </c>
      <c r="J1858">
        <v>6.84</v>
      </c>
      <c r="K1858" t="s">
        <v>10614</v>
      </c>
      <c r="L1858">
        <v>0.58</v>
      </c>
      <c r="M1858" t="s">
        <v>46</v>
      </c>
      <c r="N1858" t="s">
        <v>10640</v>
      </c>
      <c r="O1858">
        <v>6.84</v>
      </c>
      <c r="P1858">
        <v>6.78</v>
      </c>
      <c r="Q1858">
        <v>6.79</v>
      </c>
      <c r="R1858">
        <v>6.78</v>
      </c>
      <c r="S1858">
        <v>0.88</v>
      </c>
      <c r="T1858">
        <v>0.8</v>
      </c>
      <c r="U1858">
        <v>-8.65</v>
      </c>
      <c r="V1858">
        <v>-2110</v>
      </c>
      <c r="W1858">
        <v>6.81</v>
      </c>
      <c r="X1858" t="s">
        <v>9644</v>
      </c>
      <c r="Y1858" t="s">
        <v>6698</v>
      </c>
      <c r="Z1858">
        <v>1.03</v>
      </c>
      <c r="AA1858">
        <v>169</v>
      </c>
      <c r="AB1858">
        <v>1991</v>
      </c>
      <c r="AC1858">
        <v>0.79</v>
      </c>
      <c r="AD1858" t="s">
        <v>10641</v>
      </c>
      <c r="AE1858" t="s">
        <v>6476</v>
      </c>
      <c r="AF1858" t="s">
        <v>10642</v>
      </c>
      <c r="AG1858" t="s">
        <v>3961</v>
      </c>
      <c r="AH1858">
        <v>-0.15</v>
      </c>
      <c r="AI1858">
        <v>-1.44</v>
      </c>
      <c r="AJ1858">
        <v>1.97</v>
      </c>
      <c r="AK1858">
        <v>4.22</v>
      </c>
      <c r="AL1858">
        <v>2</v>
      </c>
      <c r="AM1858">
        <v>0.88</v>
      </c>
      <c r="AN1858">
        <v>-6.3</v>
      </c>
      <c r="AO1858">
        <v>-5.79</v>
      </c>
      <c r="AP1858">
        <v>-3.53</v>
      </c>
    </row>
    <row r="1859" spans="1:42">
      <c r="A1859">
        <v>1858</v>
      </c>
      <c r="B1859" t="str">
        <f>"600353"</f>
        <v>600353</v>
      </c>
      <c r="C1859" t="s">
        <v>10643</v>
      </c>
      <c r="D1859">
        <v>8.9</v>
      </c>
      <c r="E1859">
        <v>-0.34</v>
      </c>
      <c r="F1859">
        <v>-0.03</v>
      </c>
      <c r="G1859" t="s">
        <v>1908</v>
      </c>
      <c r="H1859">
        <v>1065</v>
      </c>
      <c r="I1859">
        <v>8.9</v>
      </c>
      <c r="J1859">
        <v>8.91</v>
      </c>
      <c r="K1859" t="s">
        <v>10614</v>
      </c>
      <c r="L1859">
        <v>1.47</v>
      </c>
      <c r="M1859" t="s">
        <v>46</v>
      </c>
      <c r="N1859" t="s">
        <v>1318</v>
      </c>
      <c r="O1859">
        <v>8.96</v>
      </c>
      <c r="P1859">
        <v>8.74</v>
      </c>
      <c r="Q1859">
        <v>8.93</v>
      </c>
      <c r="R1859">
        <v>8.93</v>
      </c>
      <c r="S1859">
        <v>2.46</v>
      </c>
      <c r="T1859">
        <v>0.74</v>
      </c>
      <c r="U1859">
        <v>9.05</v>
      </c>
      <c r="V1859">
        <v>496</v>
      </c>
      <c r="W1859">
        <v>8.85</v>
      </c>
      <c r="X1859" t="s">
        <v>7529</v>
      </c>
      <c r="Y1859" t="s">
        <v>4616</v>
      </c>
      <c r="Z1859">
        <v>1.27</v>
      </c>
      <c r="AA1859">
        <v>32</v>
      </c>
      <c r="AB1859">
        <v>171</v>
      </c>
      <c r="AC1859">
        <v>4.23</v>
      </c>
      <c r="AD1859" t="s">
        <v>10644</v>
      </c>
      <c r="AE1859" t="s">
        <v>10645</v>
      </c>
      <c r="AF1859" t="s">
        <v>10646</v>
      </c>
      <c r="AG1859" t="s">
        <v>4267</v>
      </c>
      <c r="AH1859">
        <v>-1.66</v>
      </c>
      <c r="AI1859">
        <v>1.6</v>
      </c>
      <c r="AJ1859">
        <v>4.96</v>
      </c>
      <c r="AK1859">
        <v>11.4</v>
      </c>
      <c r="AL1859">
        <v>-3</v>
      </c>
      <c r="AM1859">
        <v>-0.34</v>
      </c>
      <c r="AN1859">
        <v>-13.34</v>
      </c>
      <c r="AO1859">
        <v>8.27</v>
      </c>
      <c r="AP1859">
        <v>-8.34</v>
      </c>
    </row>
    <row r="1860" spans="1:42">
      <c r="A1860">
        <v>1859</v>
      </c>
      <c r="B1860" t="str">
        <f>"301321"</f>
        <v>301321</v>
      </c>
      <c r="C1860" t="s">
        <v>10647</v>
      </c>
      <c r="D1860">
        <v>18.38</v>
      </c>
      <c r="E1860">
        <v>2.45</v>
      </c>
      <c r="F1860">
        <v>0.44</v>
      </c>
      <c r="G1860" t="s">
        <v>6732</v>
      </c>
      <c r="H1860">
        <v>1179</v>
      </c>
      <c r="I1860">
        <v>18.36</v>
      </c>
      <c r="J1860">
        <v>18.38</v>
      </c>
      <c r="K1860" t="s">
        <v>10614</v>
      </c>
      <c r="L1860">
        <v>3.1</v>
      </c>
      <c r="M1860" t="s">
        <v>46</v>
      </c>
      <c r="N1860" t="s">
        <v>3024</v>
      </c>
      <c r="O1860">
        <v>18.41</v>
      </c>
      <c r="P1860">
        <v>17.71</v>
      </c>
      <c r="Q1860">
        <v>17.98</v>
      </c>
      <c r="R1860">
        <v>17.94</v>
      </c>
      <c r="S1860">
        <v>3.9</v>
      </c>
      <c r="T1860">
        <v>0.81</v>
      </c>
      <c r="U1860">
        <v>-89.15</v>
      </c>
      <c r="V1860">
        <v>-699</v>
      </c>
      <c r="W1860">
        <v>18.14</v>
      </c>
      <c r="X1860" t="s">
        <v>2727</v>
      </c>
      <c r="Y1860" t="s">
        <v>6097</v>
      </c>
      <c r="Z1860">
        <v>1</v>
      </c>
      <c r="AA1860">
        <v>1</v>
      </c>
      <c r="AB1860">
        <v>28</v>
      </c>
      <c r="AC1860">
        <v>2.5</v>
      </c>
      <c r="AD1860" t="s">
        <v>10648</v>
      </c>
      <c r="AE1860" t="s">
        <v>10649</v>
      </c>
      <c r="AF1860" t="s">
        <v>10648</v>
      </c>
      <c r="AG1860" t="s">
        <v>10649</v>
      </c>
      <c r="AH1860">
        <v>-0.27</v>
      </c>
      <c r="AI1860">
        <v>-4.27</v>
      </c>
      <c r="AJ1860">
        <v>10.35</v>
      </c>
      <c r="AK1860">
        <v>22.21</v>
      </c>
      <c r="AL1860">
        <v>1</v>
      </c>
      <c r="AM1860">
        <v>2.45</v>
      </c>
      <c r="AN1860">
        <v>47.39</v>
      </c>
      <c r="AO1860">
        <v>8.63</v>
      </c>
      <c r="AP1860">
        <v>21.64</v>
      </c>
    </row>
    <row r="1861" spans="1:42">
      <c r="A1861">
        <v>1860</v>
      </c>
      <c r="B1861" t="str">
        <f>"300348"</f>
        <v>300348</v>
      </c>
      <c r="C1861" t="s">
        <v>10650</v>
      </c>
      <c r="D1861">
        <v>10.82</v>
      </c>
      <c r="E1861">
        <v>1.98</v>
      </c>
      <c r="F1861">
        <v>0.21</v>
      </c>
      <c r="G1861" t="s">
        <v>8045</v>
      </c>
      <c r="H1861">
        <v>1388</v>
      </c>
      <c r="I1861">
        <v>10.82</v>
      </c>
      <c r="J1861">
        <v>10.83</v>
      </c>
      <c r="K1861" t="s">
        <v>10614</v>
      </c>
      <c r="L1861">
        <v>1.57</v>
      </c>
      <c r="M1861" t="s">
        <v>46</v>
      </c>
      <c r="N1861" t="s">
        <v>966</v>
      </c>
      <c r="O1861">
        <v>10.9</v>
      </c>
      <c r="P1861">
        <v>10.56</v>
      </c>
      <c r="Q1861">
        <v>10.6</v>
      </c>
      <c r="R1861">
        <v>10.61</v>
      </c>
      <c r="S1861">
        <v>3.2</v>
      </c>
      <c r="T1861">
        <v>0.96</v>
      </c>
      <c r="U1861">
        <v>-38.65</v>
      </c>
      <c r="V1861">
        <v>-1782</v>
      </c>
      <c r="W1861">
        <v>10.74</v>
      </c>
      <c r="X1861" t="s">
        <v>5692</v>
      </c>
      <c r="Y1861" t="s">
        <v>6732</v>
      </c>
      <c r="Z1861">
        <v>0.69</v>
      </c>
      <c r="AA1861">
        <v>207</v>
      </c>
      <c r="AB1861">
        <v>296</v>
      </c>
      <c r="AC1861">
        <v>5.18</v>
      </c>
      <c r="AD1861" t="s">
        <v>10651</v>
      </c>
      <c r="AE1861" t="s">
        <v>10652</v>
      </c>
      <c r="AF1861" t="s">
        <v>10653</v>
      </c>
      <c r="AG1861" t="s">
        <v>10654</v>
      </c>
      <c r="AH1861">
        <v>-0.18</v>
      </c>
      <c r="AI1861">
        <v>0</v>
      </c>
      <c r="AJ1861">
        <v>4.54</v>
      </c>
      <c r="AK1861">
        <v>9.79</v>
      </c>
      <c r="AL1861">
        <v>1</v>
      </c>
      <c r="AM1861">
        <v>1.98</v>
      </c>
      <c r="AN1861">
        <v>6.39</v>
      </c>
      <c r="AO1861">
        <v>7.66</v>
      </c>
      <c r="AP1861">
        <v>-7.12</v>
      </c>
    </row>
    <row r="1862" spans="1:42">
      <c r="A1862">
        <v>1861</v>
      </c>
      <c r="B1862" t="str">
        <f>"688331"</f>
        <v>688331</v>
      </c>
      <c r="C1862" t="s">
        <v>10655</v>
      </c>
      <c r="D1862">
        <v>69.16</v>
      </c>
      <c r="E1862">
        <v>-0.62</v>
      </c>
      <c r="F1862">
        <v>-0.43</v>
      </c>
      <c r="G1862" t="s">
        <v>61</v>
      </c>
      <c r="H1862">
        <v>81</v>
      </c>
      <c r="I1862">
        <v>69.16</v>
      </c>
      <c r="J1862">
        <v>69.2</v>
      </c>
      <c r="K1862" t="s">
        <v>10614</v>
      </c>
      <c r="L1862">
        <v>0.95</v>
      </c>
      <c r="M1862" t="s">
        <v>46</v>
      </c>
      <c r="N1862" t="s">
        <v>1804</v>
      </c>
      <c r="O1862">
        <v>70.08</v>
      </c>
      <c r="P1862">
        <v>68.11</v>
      </c>
      <c r="Q1862">
        <v>70.08</v>
      </c>
      <c r="R1862">
        <v>69.59</v>
      </c>
      <c r="S1862">
        <v>2.83</v>
      </c>
      <c r="T1862">
        <v>0.68</v>
      </c>
      <c r="U1862">
        <v>-1.52</v>
      </c>
      <c r="V1862">
        <v>-1</v>
      </c>
      <c r="W1862">
        <v>69.01</v>
      </c>
      <c r="X1862">
        <v>7804</v>
      </c>
      <c r="Y1862">
        <v>7393</v>
      </c>
      <c r="Z1862">
        <v>1.06</v>
      </c>
      <c r="AA1862">
        <v>7</v>
      </c>
      <c r="AB1862">
        <v>9</v>
      </c>
      <c r="AC1862">
        <v>9.51</v>
      </c>
      <c r="AD1862" t="s">
        <v>2152</v>
      </c>
      <c r="AE1862" t="s">
        <v>6606</v>
      </c>
      <c r="AF1862" t="s">
        <v>7074</v>
      </c>
      <c r="AG1862" t="s">
        <v>667</v>
      </c>
      <c r="AH1862">
        <v>-0.47</v>
      </c>
      <c r="AI1862">
        <v>4.6</v>
      </c>
      <c r="AJ1862">
        <v>3.55</v>
      </c>
      <c r="AK1862">
        <v>7.91</v>
      </c>
      <c r="AL1862">
        <v>-1</v>
      </c>
      <c r="AM1862">
        <v>-0.62</v>
      </c>
      <c r="AN1862">
        <v>-10.75</v>
      </c>
      <c r="AO1862">
        <v>7.93</v>
      </c>
      <c r="AP1862">
        <v>-7.55</v>
      </c>
    </row>
    <row r="1863" spans="1:42">
      <c r="A1863">
        <v>1862</v>
      </c>
      <c r="B1863" t="str">
        <f>"000559"</f>
        <v>000559</v>
      </c>
      <c r="C1863" t="s">
        <v>10656</v>
      </c>
      <c r="D1863">
        <v>5.49</v>
      </c>
      <c r="E1863">
        <v>-0.36</v>
      </c>
      <c r="F1863">
        <v>-0.02</v>
      </c>
      <c r="G1863" t="s">
        <v>1960</v>
      </c>
      <c r="H1863">
        <v>1086</v>
      </c>
      <c r="I1863">
        <v>5.48</v>
      </c>
      <c r="J1863">
        <v>5.49</v>
      </c>
      <c r="K1863" t="s">
        <v>10614</v>
      </c>
      <c r="L1863">
        <v>0.58</v>
      </c>
      <c r="M1863" t="s">
        <v>46</v>
      </c>
      <c r="N1863" t="s">
        <v>8509</v>
      </c>
      <c r="O1863">
        <v>5.55</v>
      </c>
      <c r="P1863">
        <v>5.42</v>
      </c>
      <c r="Q1863">
        <v>5.51</v>
      </c>
      <c r="R1863">
        <v>5.51</v>
      </c>
      <c r="S1863">
        <v>2.36</v>
      </c>
      <c r="T1863">
        <v>0.94</v>
      </c>
      <c r="U1863">
        <v>11.98</v>
      </c>
      <c r="V1863">
        <v>1930</v>
      </c>
      <c r="W1863">
        <v>5.49</v>
      </c>
      <c r="X1863" t="s">
        <v>1949</v>
      </c>
      <c r="Y1863" t="s">
        <v>3884</v>
      </c>
      <c r="Z1863">
        <v>1.32</v>
      </c>
      <c r="AA1863">
        <v>896</v>
      </c>
      <c r="AB1863">
        <v>231</v>
      </c>
      <c r="AC1863">
        <v>2.16</v>
      </c>
      <c r="AD1863" t="s">
        <v>10657</v>
      </c>
      <c r="AE1863" t="s">
        <v>2037</v>
      </c>
      <c r="AF1863" t="s">
        <v>10657</v>
      </c>
      <c r="AG1863" t="s">
        <v>2037</v>
      </c>
      <c r="AH1863">
        <v>-2.14</v>
      </c>
      <c r="AI1863">
        <v>-1.44</v>
      </c>
      <c r="AJ1863">
        <v>1.72</v>
      </c>
      <c r="AK1863">
        <v>3.66</v>
      </c>
      <c r="AL1863">
        <v>-3</v>
      </c>
      <c r="AM1863">
        <v>-0.36</v>
      </c>
      <c r="AN1863">
        <v>19.35</v>
      </c>
      <c r="AO1863">
        <v>4.77</v>
      </c>
      <c r="AP1863">
        <v>12.73</v>
      </c>
    </row>
    <row r="1864" spans="1:42">
      <c r="A1864">
        <v>1863</v>
      </c>
      <c r="B1864" t="str">
        <f>"600262"</f>
        <v>600262</v>
      </c>
      <c r="C1864" t="s">
        <v>10658</v>
      </c>
      <c r="D1864">
        <v>20.04</v>
      </c>
      <c r="E1864">
        <v>1.78</v>
      </c>
      <c r="F1864">
        <v>0.35</v>
      </c>
      <c r="G1864" t="s">
        <v>6573</v>
      </c>
      <c r="H1864">
        <v>675</v>
      </c>
      <c r="I1864">
        <v>20.02</v>
      </c>
      <c r="J1864">
        <v>20.04</v>
      </c>
      <c r="K1864" t="s">
        <v>10614</v>
      </c>
      <c r="L1864">
        <v>3.1</v>
      </c>
      <c r="M1864" t="s">
        <v>46</v>
      </c>
      <c r="N1864" t="s">
        <v>8612</v>
      </c>
      <c r="O1864">
        <v>20.48</v>
      </c>
      <c r="P1864">
        <v>19.41</v>
      </c>
      <c r="Q1864">
        <v>19.6</v>
      </c>
      <c r="R1864">
        <v>19.69</v>
      </c>
      <c r="S1864">
        <v>5.43</v>
      </c>
      <c r="T1864">
        <v>1.07</v>
      </c>
      <c r="U1864">
        <v>-61.19</v>
      </c>
      <c r="V1864">
        <v>-410</v>
      </c>
      <c r="W1864">
        <v>19.91</v>
      </c>
      <c r="X1864" t="s">
        <v>7472</v>
      </c>
      <c r="Y1864" t="s">
        <v>117</v>
      </c>
      <c r="Z1864">
        <v>1.03</v>
      </c>
      <c r="AA1864">
        <v>7</v>
      </c>
      <c r="AB1864">
        <v>177</v>
      </c>
      <c r="AC1864">
        <v>2.36</v>
      </c>
      <c r="AD1864" t="s">
        <v>10659</v>
      </c>
      <c r="AE1864" t="s">
        <v>8127</v>
      </c>
      <c r="AF1864" t="s">
        <v>10659</v>
      </c>
      <c r="AG1864" t="s">
        <v>8127</v>
      </c>
      <c r="AH1864">
        <v>2.51</v>
      </c>
      <c r="AI1864">
        <v>6.6</v>
      </c>
      <c r="AJ1864">
        <v>9.73</v>
      </c>
      <c r="AK1864">
        <v>17.54</v>
      </c>
      <c r="AL1864">
        <v>1</v>
      </c>
      <c r="AM1864">
        <v>1.78</v>
      </c>
      <c r="AN1864">
        <v>27.16</v>
      </c>
      <c r="AO1864">
        <v>13.16</v>
      </c>
      <c r="AP1864">
        <v>18.16</v>
      </c>
    </row>
    <row r="1865" spans="1:42">
      <c r="A1865">
        <v>1864</v>
      </c>
      <c r="B1865" t="str">
        <f>"002448"</f>
        <v>002448</v>
      </c>
      <c r="C1865" t="s">
        <v>10660</v>
      </c>
      <c r="D1865">
        <v>7.25</v>
      </c>
      <c r="E1865">
        <v>-0.55</v>
      </c>
      <c r="F1865">
        <v>-0.04</v>
      </c>
      <c r="G1865" t="s">
        <v>4194</v>
      </c>
      <c r="H1865">
        <v>1120</v>
      </c>
      <c r="I1865">
        <v>7.24</v>
      </c>
      <c r="J1865">
        <v>7.25</v>
      </c>
      <c r="K1865" t="s">
        <v>10614</v>
      </c>
      <c r="L1865">
        <v>3.05</v>
      </c>
      <c r="M1865" t="s">
        <v>46</v>
      </c>
      <c r="N1865" t="s">
        <v>2474</v>
      </c>
      <c r="O1865">
        <v>7.34</v>
      </c>
      <c r="P1865">
        <v>7.14</v>
      </c>
      <c r="Q1865">
        <v>7.34</v>
      </c>
      <c r="R1865">
        <v>7.29</v>
      </c>
      <c r="S1865">
        <v>2.74</v>
      </c>
      <c r="T1865">
        <v>0.81</v>
      </c>
      <c r="U1865">
        <v>24.49</v>
      </c>
      <c r="V1865">
        <v>1405</v>
      </c>
      <c r="W1865">
        <v>7.22</v>
      </c>
      <c r="X1865" t="s">
        <v>1065</v>
      </c>
      <c r="Y1865" t="s">
        <v>10661</v>
      </c>
      <c r="Z1865">
        <v>1.5</v>
      </c>
      <c r="AA1865">
        <v>1093</v>
      </c>
      <c r="AB1865">
        <v>327</v>
      </c>
      <c r="AC1865">
        <v>1.29</v>
      </c>
      <c r="AD1865" t="s">
        <v>7063</v>
      </c>
      <c r="AE1865" t="s">
        <v>10662</v>
      </c>
      <c r="AF1865" t="s">
        <v>10663</v>
      </c>
      <c r="AG1865" t="s">
        <v>10664</v>
      </c>
      <c r="AH1865">
        <v>-3.33</v>
      </c>
      <c r="AI1865">
        <v>-1.76</v>
      </c>
      <c r="AJ1865">
        <v>10.18</v>
      </c>
      <c r="AK1865">
        <v>21.96</v>
      </c>
      <c r="AL1865">
        <v>-3</v>
      </c>
      <c r="AM1865">
        <v>-0.55</v>
      </c>
      <c r="AN1865">
        <v>37.57</v>
      </c>
      <c r="AO1865">
        <v>5.07</v>
      </c>
      <c r="AP1865">
        <v>28.09</v>
      </c>
    </row>
    <row r="1866" spans="1:42">
      <c r="A1866">
        <v>1865</v>
      </c>
      <c r="B1866" t="str">
        <f>"600719"</f>
        <v>600719</v>
      </c>
      <c r="C1866" t="s">
        <v>10665</v>
      </c>
      <c r="D1866">
        <v>7.95</v>
      </c>
      <c r="E1866">
        <v>-1.12</v>
      </c>
      <c r="F1866">
        <v>-0.09</v>
      </c>
      <c r="G1866" t="s">
        <v>1987</v>
      </c>
      <c r="H1866">
        <v>1889</v>
      </c>
      <c r="I1866">
        <v>7.95</v>
      </c>
      <c r="J1866">
        <v>7.96</v>
      </c>
      <c r="K1866" t="s">
        <v>10614</v>
      </c>
      <c r="L1866">
        <v>3.23</v>
      </c>
      <c r="M1866" t="s">
        <v>46</v>
      </c>
      <c r="N1866" t="s">
        <v>3575</v>
      </c>
      <c r="O1866">
        <v>8.14</v>
      </c>
      <c r="P1866">
        <v>7.94</v>
      </c>
      <c r="Q1866">
        <v>8.06</v>
      </c>
      <c r="R1866">
        <v>8.04</v>
      </c>
      <c r="S1866">
        <v>2.49</v>
      </c>
      <c r="T1866">
        <v>0.69</v>
      </c>
      <c r="U1866">
        <v>36.05</v>
      </c>
      <c r="V1866">
        <v>3871</v>
      </c>
      <c r="W1866">
        <v>8.01</v>
      </c>
      <c r="X1866" t="s">
        <v>2514</v>
      </c>
      <c r="Y1866" t="s">
        <v>4087</v>
      </c>
      <c r="Z1866">
        <v>2.08</v>
      </c>
      <c r="AA1866">
        <v>1104</v>
      </c>
      <c r="AB1866">
        <v>273</v>
      </c>
      <c r="AC1866">
        <v>5.5</v>
      </c>
      <c r="AD1866" t="s">
        <v>10666</v>
      </c>
      <c r="AE1866" t="s">
        <v>10667</v>
      </c>
      <c r="AF1866" t="s">
        <v>10666</v>
      </c>
      <c r="AG1866" t="s">
        <v>10667</v>
      </c>
      <c r="AH1866">
        <v>0.25</v>
      </c>
      <c r="AI1866">
        <v>4.33</v>
      </c>
      <c r="AJ1866">
        <v>15.75</v>
      </c>
      <c r="AK1866">
        <v>26.75</v>
      </c>
      <c r="AL1866">
        <v>-2</v>
      </c>
      <c r="AM1866">
        <v>-1.12</v>
      </c>
      <c r="AN1866">
        <v>56.5</v>
      </c>
      <c r="AO1866">
        <v>8.31</v>
      </c>
      <c r="AP1866">
        <v>66.67</v>
      </c>
    </row>
    <row r="1867" spans="1:42">
      <c r="A1867">
        <v>1866</v>
      </c>
      <c r="B1867" t="str">
        <f>"300423"</f>
        <v>300423</v>
      </c>
      <c r="C1867" t="s">
        <v>10668</v>
      </c>
      <c r="D1867">
        <v>8.88</v>
      </c>
      <c r="E1867">
        <v>-1.88</v>
      </c>
      <c r="F1867">
        <v>-0.17</v>
      </c>
      <c r="G1867" t="s">
        <v>1807</v>
      </c>
      <c r="H1867">
        <v>1376</v>
      </c>
      <c r="I1867">
        <v>8.87</v>
      </c>
      <c r="J1867">
        <v>8.88</v>
      </c>
      <c r="K1867" t="s">
        <v>10614</v>
      </c>
      <c r="L1867">
        <v>3.61</v>
      </c>
      <c r="M1867" t="s">
        <v>46</v>
      </c>
      <c r="N1867" t="s">
        <v>3355</v>
      </c>
      <c r="O1867">
        <v>9.11</v>
      </c>
      <c r="P1867">
        <v>8.8</v>
      </c>
      <c r="Q1867">
        <v>9.05</v>
      </c>
      <c r="R1867">
        <v>9.05</v>
      </c>
      <c r="S1867">
        <v>3.43</v>
      </c>
      <c r="T1867">
        <v>0.78</v>
      </c>
      <c r="U1867">
        <v>11.25</v>
      </c>
      <c r="V1867">
        <v>497</v>
      </c>
      <c r="W1867">
        <v>8.93</v>
      </c>
      <c r="X1867" t="s">
        <v>2168</v>
      </c>
      <c r="Y1867" t="s">
        <v>3255</v>
      </c>
      <c r="Z1867">
        <v>1.35</v>
      </c>
      <c r="AA1867">
        <v>566</v>
      </c>
      <c r="AB1867">
        <v>815</v>
      </c>
      <c r="AC1867">
        <v>1.66</v>
      </c>
      <c r="AD1867" t="s">
        <v>10669</v>
      </c>
      <c r="AE1867" t="s">
        <v>1019</v>
      </c>
      <c r="AF1867" t="s">
        <v>10670</v>
      </c>
      <c r="AG1867" t="s">
        <v>10671</v>
      </c>
      <c r="AH1867">
        <v>-6.53</v>
      </c>
      <c r="AI1867">
        <v>0.11</v>
      </c>
      <c r="AJ1867">
        <v>14.7</v>
      </c>
      <c r="AK1867">
        <v>26.66</v>
      </c>
      <c r="AL1867">
        <v>-3</v>
      </c>
      <c r="AM1867">
        <v>-1.88</v>
      </c>
      <c r="AN1867">
        <v>-4.52</v>
      </c>
      <c r="AO1867">
        <v>6.86</v>
      </c>
      <c r="AP1867">
        <v>-10.48</v>
      </c>
    </row>
    <row r="1868" spans="1:42">
      <c r="A1868">
        <v>1867</v>
      </c>
      <c r="B1868" t="str">
        <f>"603042"</f>
        <v>603042</v>
      </c>
      <c r="C1868" t="s">
        <v>10672</v>
      </c>
      <c r="D1868">
        <v>16.32</v>
      </c>
      <c r="E1868">
        <v>2.45</v>
      </c>
      <c r="F1868">
        <v>0.39</v>
      </c>
      <c r="G1868" t="s">
        <v>3958</v>
      </c>
      <c r="H1868">
        <v>1060</v>
      </c>
      <c r="I1868">
        <v>16.31</v>
      </c>
      <c r="J1868">
        <v>16.32</v>
      </c>
      <c r="K1868" t="s">
        <v>10614</v>
      </c>
      <c r="L1868">
        <v>4.03</v>
      </c>
      <c r="M1868" t="s">
        <v>46</v>
      </c>
      <c r="N1868" t="s">
        <v>10673</v>
      </c>
      <c r="O1868">
        <v>16.34</v>
      </c>
      <c r="P1868">
        <v>15.81</v>
      </c>
      <c r="Q1868">
        <v>16</v>
      </c>
      <c r="R1868">
        <v>15.93</v>
      </c>
      <c r="S1868">
        <v>3.33</v>
      </c>
      <c r="T1868">
        <v>1</v>
      </c>
      <c r="U1868">
        <v>-46.99</v>
      </c>
      <c r="V1868">
        <v>-1007</v>
      </c>
      <c r="W1868">
        <v>16.16</v>
      </c>
      <c r="X1868" t="s">
        <v>688</v>
      </c>
      <c r="Y1868" t="s">
        <v>4846</v>
      </c>
      <c r="Z1868">
        <v>0.69</v>
      </c>
      <c r="AA1868">
        <v>156</v>
      </c>
      <c r="AB1868">
        <v>230</v>
      </c>
      <c r="AC1868">
        <v>2.83</v>
      </c>
      <c r="AD1868" t="s">
        <v>7072</v>
      </c>
      <c r="AE1868" t="s">
        <v>10674</v>
      </c>
      <c r="AF1868" t="s">
        <v>7072</v>
      </c>
      <c r="AG1868" t="s">
        <v>10674</v>
      </c>
      <c r="AH1868">
        <v>0.74</v>
      </c>
      <c r="AI1868">
        <v>-2.51</v>
      </c>
      <c r="AJ1868">
        <v>11.48</v>
      </c>
      <c r="AK1868">
        <v>24.17</v>
      </c>
      <c r="AL1868">
        <v>1</v>
      </c>
      <c r="AM1868">
        <v>2.45</v>
      </c>
      <c r="AN1868">
        <v>77.97</v>
      </c>
      <c r="AO1868">
        <v>2.51</v>
      </c>
      <c r="AP1868">
        <v>50.14</v>
      </c>
    </row>
    <row r="1869" spans="1:42">
      <c r="A1869">
        <v>1868</v>
      </c>
      <c r="B1869" t="str">
        <f>"000532"</f>
        <v>000532</v>
      </c>
      <c r="C1869" t="s">
        <v>10675</v>
      </c>
      <c r="D1869">
        <v>11.61</v>
      </c>
      <c r="E1869">
        <v>2.56</v>
      </c>
      <c r="F1869">
        <v>0.29</v>
      </c>
      <c r="G1869" t="s">
        <v>2131</v>
      </c>
      <c r="H1869">
        <v>914</v>
      </c>
      <c r="I1869">
        <v>11.6</v>
      </c>
      <c r="J1869">
        <v>11.61</v>
      </c>
      <c r="K1869" t="s">
        <v>10614</v>
      </c>
      <c r="L1869">
        <v>2.61</v>
      </c>
      <c r="M1869" t="s">
        <v>46</v>
      </c>
      <c r="N1869" t="s">
        <v>5243</v>
      </c>
      <c r="O1869">
        <v>12.07</v>
      </c>
      <c r="P1869">
        <v>11.19</v>
      </c>
      <c r="Q1869">
        <v>11.32</v>
      </c>
      <c r="R1869">
        <v>11.32</v>
      </c>
      <c r="S1869">
        <v>7.77</v>
      </c>
      <c r="T1869">
        <v>0.8</v>
      </c>
      <c r="U1869">
        <v>2.41</v>
      </c>
      <c r="V1869">
        <v>20</v>
      </c>
      <c r="W1869">
        <v>11.64</v>
      </c>
      <c r="X1869" t="s">
        <v>4358</v>
      </c>
      <c r="Y1869" t="s">
        <v>3304</v>
      </c>
      <c r="Z1869">
        <v>0.97</v>
      </c>
      <c r="AA1869">
        <v>91</v>
      </c>
      <c r="AB1869">
        <v>107</v>
      </c>
      <c r="AC1869">
        <v>3.03</v>
      </c>
      <c r="AD1869" t="s">
        <v>10504</v>
      </c>
      <c r="AE1869" t="s">
        <v>2747</v>
      </c>
      <c r="AF1869" t="s">
        <v>4472</v>
      </c>
      <c r="AG1869" t="s">
        <v>10676</v>
      </c>
      <c r="AH1869">
        <v>0.26</v>
      </c>
      <c r="AI1869">
        <v>1.57</v>
      </c>
      <c r="AJ1869">
        <v>5.68</v>
      </c>
      <c r="AK1869">
        <v>18.96</v>
      </c>
      <c r="AL1869">
        <v>1</v>
      </c>
      <c r="AM1869">
        <v>2.56</v>
      </c>
      <c r="AN1869">
        <v>8.4</v>
      </c>
      <c r="AO1869">
        <v>6.22</v>
      </c>
      <c r="AP1869">
        <v>6.03</v>
      </c>
    </row>
    <row r="1870" spans="1:42">
      <c r="A1870">
        <v>1869</v>
      </c>
      <c r="B1870" t="str">
        <f>"000739"</f>
        <v>000739</v>
      </c>
      <c r="C1870" t="s">
        <v>10677</v>
      </c>
      <c r="D1870">
        <v>16.45</v>
      </c>
      <c r="E1870">
        <v>-1.38</v>
      </c>
      <c r="F1870">
        <v>-0.23</v>
      </c>
      <c r="G1870" t="s">
        <v>8539</v>
      </c>
      <c r="H1870">
        <v>637</v>
      </c>
      <c r="I1870">
        <v>16.44</v>
      </c>
      <c r="J1870">
        <v>16.45</v>
      </c>
      <c r="K1870" t="s">
        <v>10614</v>
      </c>
      <c r="L1870">
        <v>0.54</v>
      </c>
      <c r="M1870" t="s">
        <v>46</v>
      </c>
      <c r="N1870" t="s">
        <v>10678</v>
      </c>
      <c r="O1870">
        <v>16.7</v>
      </c>
      <c r="P1870">
        <v>16.4</v>
      </c>
      <c r="Q1870">
        <v>16.61</v>
      </c>
      <c r="R1870">
        <v>16.68</v>
      </c>
      <c r="S1870">
        <v>1.8</v>
      </c>
      <c r="T1870">
        <v>0.98</v>
      </c>
      <c r="U1870">
        <v>19.08</v>
      </c>
      <c r="V1870">
        <v>405</v>
      </c>
      <c r="W1870">
        <v>16.51</v>
      </c>
      <c r="X1870" t="s">
        <v>1320</v>
      </c>
      <c r="Y1870" t="s">
        <v>3327</v>
      </c>
      <c r="Z1870">
        <v>1.8</v>
      </c>
      <c r="AA1870">
        <v>149</v>
      </c>
      <c r="AB1870">
        <v>285</v>
      </c>
      <c r="AC1870">
        <v>3.22</v>
      </c>
      <c r="AD1870" t="s">
        <v>10679</v>
      </c>
      <c r="AE1870" t="s">
        <v>10680</v>
      </c>
      <c r="AF1870" t="s">
        <v>10681</v>
      </c>
      <c r="AG1870" t="s">
        <v>4090</v>
      </c>
      <c r="AH1870">
        <v>-1.79</v>
      </c>
      <c r="AI1870">
        <v>-2.84</v>
      </c>
      <c r="AJ1870">
        <v>1.44</v>
      </c>
      <c r="AK1870">
        <v>3.28</v>
      </c>
      <c r="AL1870">
        <v>-1</v>
      </c>
      <c r="AM1870">
        <v>-1.38</v>
      </c>
      <c r="AN1870">
        <v>-22.55</v>
      </c>
      <c r="AO1870">
        <v>-2.49</v>
      </c>
      <c r="AP1870">
        <v>-23.45</v>
      </c>
    </row>
    <row r="1871" spans="1:42">
      <c r="A1871">
        <v>1870</v>
      </c>
      <c r="B1871" t="str">
        <f>"600125"</f>
        <v>600125</v>
      </c>
      <c r="C1871" t="s">
        <v>10682</v>
      </c>
      <c r="D1871">
        <v>6.29</v>
      </c>
      <c r="E1871">
        <v>0.96</v>
      </c>
      <c r="F1871">
        <v>0.06</v>
      </c>
      <c r="G1871" t="s">
        <v>2778</v>
      </c>
      <c r="H1871">
        <v>1109</v>
      </c>
      <c r="I1871">
        <v>6.28</v>
      </c>
      <c r="J1871">
        <v>6.29</v>
      </c>
      <c r="K1871" t="s">
        <v>10683</v>
      </c>
      <c r="L1871">
        <v>1.27</v>
      </c>
      <c r="M1871" t="s">
        <v>46</v>
      </c>
      <c r="N1871" t="s">
        <v>2466</v>
      </c>
      <c r="O1871">
        <v>6.32</v>
      </c>
      <c r="P1871">
        <v>6.2</v>
      </c>
      <c r="Q1871">
        <v>6.2</v>
      </c>
      <c r="R1871">
        <v>6.23</v>
      </c>
      <c r="S1871">
        <v>1.93</v>
      </c>
      <c r="T1871">
        <v>1.1</v>
      </c>
      <c r="U1871">
        <v>-48.82</v>
      </c>
      <c r="V1871" t="s">
        <v>10684</v>
      </c>
      <c r="W1871">
        <v>6.28</v>
      </c>
      <c r="X1871" t="s">
        <v>2705</v>
      </c>
      <c r="Y1871" t="s">
        <v>3402</v>
      </c>
      <c r="Z1871">
        <v>0.61</v>
      </c>
      <c r="AA1871">
        <v>382</v>
      </c>
      <c r="AB1871">
        <v>7115</v>
      </c>
      <c r="AC1871">
        <v>1.17</v>
      </c>
      <c r="AD1871" t="s">
        <v>10685</v>
      </c>
      <c r="AE1871" t="s">
        <v>10686</v>
      </c>
      <c r="AF1871" t="s">
        <v>10685</v>
      </c>
      <c r="AG1871" t="s">
        <v>10686</v>
      </c>
      <c r="AH1871">
        <v>0.64</v>
      </c>
      <c r="AI1871">
        <v>1.13</v>
      </c>
      <c r="AJ1871">
        <v>4</v>
      </c>
      <c r="AK1871">
        <v>7.05</v>
      </c>
      <c r="AL1871">
        <v>1</v>
      </c>
      <c r="AM1871">
        <v>0.96</v>
      </c>
      <c r="AN1871">
        <v>16.91</v>
      </c>
      <c r="AO1871">
        <v>5.36</v>
      </c>
      <c r="AP1871">
        <v>18.23</v>
      </c>
    </row>
    <row r="1872" spans="1:42">
      <c r="A1872">
        <v>1871</v>
      </c>
      <c r="B1872" t="str">
        <f>"600339"</f>
        <v>600339</v>
      </c>
      <c r="C1872" t="s">
        <v>10687</v>
      </c>
      <c r="D1872">
        <v>3.23</v>
      </c>
      <c r="E1872">
        <v>1.57</v>
      </c>
      <c r="F1872">
        <v>0.05</v>
      </c>
      <c r="G1872" t="s">
        <v>2472</v>
      </c>
      <c r="H1872">
        <v>1807</v>
      </c>
      <c r="I1872">
        <v>3.22</v>
      </c>
      <c r="J1872">
        <v>3.23</v>
      </c>
      <c r="K1872" t="s">
        <v>10683</v>
      </c>
      <c r="L1872">
        <v>0.58</v>
      </c>
      <c r="M1872" t="s">
        <v>46</v>
      </c>
      <c r="N1872" t="s">
        <v>10688</v>
      </c>
      <c r="O1872">
        <v>3.24</v>
      </c>
      <c r="P1872">
        <v>3.16</v>
      </c>
      <c r="Q1872">
        <v>3.18</v>
      </c>
      <c r="R1872">
        <v>3.18</v>
      </c>
      <c r="S1872">
        <v>2.52</v>
      </c>
      <c r="T1872">
        <v>1.27</v>
      </c>
      <c r="U1872">
        <v>-32.34</v>
      </c>
      <c r="V1872" t="s">
        <v>10689</v>
      </c>
      <c r="W1872">
        <v>3.21</v>
      </c>
      <c r="X1872" t="s">
        <v>1790</v>
      </c>
      <c r="Y1872" t="s">
        <v>2160</v>
      </c>
      <c r="Z1872">
        <v>0.59</v>
      </c>
      <c r="AA1872">
        <v>4492</v>
      </c>
      <c r="AB1872">
        <v>321</v>
      </c>
      <c r="AC1872">
        <v>0.69</v>
      </c>
      <c r="AD1872" t="s">
        <v>10690</v>
      </c>
      <c r="AE1872" t="s">
        <v>10691</v>
      </c>
      <c r="AF1872" t="s">
        <v>10690</v>
      </c>
      <c r="AG1872" t="s">
        <v>10691</v>
      </c>
      <c r="AH1872">
        <v>0.62</v>
      </c>
      <c r="AI1872">
        <v>-1.22</v>
      </c>
      <c r="AJ1872">
        <v>1.49</v>
      </c>
      <c r="AK1872">
        <v>2.87</v>
      </c>
      <c r="AL1872">
        <v>1</v>
      </c>
      <c r="AM1872">
        <v>1.57</v>
      </c>
      <c r="AN1872">
        <v>9.86</v>
      </c>
      <c r="AO1872">
        <v>-3.29</v>
      </c>
      <c r="AP1872">
        <v>12.15</v>
      </c>
    </row>
    <row r="1873" spans="1:42">
      <c r="A1873">
        <v>1872</v>
      </c>
      <c r="B1873" t="str">
        <f>"600664"</f>
        <v>600664</v>
      </c>
      <c r="C1873" t="s">
        <v>10692</v>
      </c>
      <c r="D1873">
        <v>3.68</v>
      </c>
      <c r="E1873">
        <v>-0.27</v>
      </c>
      <c r="F1873">
        <v>-0.01</v>
      </c>
      <c r="G1873" t="s">
        <v>92</v>
      </c>
      <c r="H1873">
        <v>3946</v>
      </c>
      <c r="I1873">
        <v>3.68</v>
      </c>
      <c r="J1873">
        <v>3.69</v>
      </c>
      <c r="K1873" t="s">
        <v>10683</v>
      </c>
      <c r="L1873">
        <v>1.12</v>
      </c>
      <c r="M1873" t="s">
        <v>46</v>
      </c>
      <c r="N1873" t="s">
        <v>10693</v>
      </c>
      <c r="O1873">
        <v>3.74</v>
      </c>
      <c r="P1873">
        <v>3.66</v>
      </c>
      <c r="Q1873">
        <v>3.68</v>
      </c>
      <c r="R1873">
        <v>3.69</v>
      </c>
      <c r="S1873">
        <v>2.17</v>
      </c>
      <c r="T1873">
        <v>0.58</v>
      </c>
      <c r="U1873">
        <v>-11.59</v>
      </c>
      <c r="V1873">
        <v>-4271</v>
      </c>
      <c r="W1873">
        <v>3.7</v>
      </c>
      <c r="X1873" t="s">
        <v>959</v>
      </c>
      <c r="Y1873" t="s">
        <v>1759</v>
      </c>
      <c r="Z1873">
        <v>1.12</v>
      </c>
      <c r="AA1873">
        <v>1039</v>
      </c>
      <c r="AB1873">
        <v>5127</v>
      </c>
      <c r="AC1873">
        <v>2.01</v>
      </c>
      <c r="AD1873" t="s">
        <v>10694</v>
      </c>
      <c r="AE1873" t="s">
        <v>10695</v>
      </c>
      <c r="AF1873" t="s">
        <v>1631</v>
      </c>
      <c r="AG1873" t="s">
        <v>10696</v>
      </c>
      <c r="AH1873">
        <v>-0.81</v>
      </c>
      <c r="AI1873">
        <v>-0.81</v>
      </c>
      <c r="AJ1873">
        <v>3.5</v>
      </c>
      <c r="AK1873">
        <v>10.78</v>
      </c>
      <c r="AL1873">
        <v>-1</v>
      </c>
      <c r="AM1873">
        <v>-0.27</v>
      </c>
      <c r="AN1873">
        <v>22.26</v>
      </c>
      <c r="AO1873">
        <v>2.79</v>
      </c>
      <c r="AP1873">
        <v>18.33</v>
      </c>
    </row>
    <row r="1874" spans="1:42">
      <c r="A1874">
        <v>1873</v>
      </c>
      <c r="B1874" t="str">
        <f>"600073"</f>
        <v>600073</v>
      </c>
      <c r="C1874" t="s">
        <v>10697</v>
      </c>
      <c r="D1874">
        <v>7.12</v>
      </c>
      <c r="E1874">
        <v>0.42</v>
      </c>
      <c r="F1874">
        <v>0.03</v>
      </c>
      <c r="G1874" t="s">
        <v>2217</v>
      </c>
      <c r="H1874">
        <v>532</v>
      </c>
      <c r="I1874">
        <v>7.11</v>
      </c>
      <c r="J1874">
        <v>7.12</v>
      </c>
      <c r="K1874" t="s">
        <v>10683</v>
      </c>
      <c r="L1874">
        <v>1.56</v>
      </c>
      <c r="M1874" t="s">
        <v>46</v>
      </c>
      <c r="N1874" t="s">
        <v>9687</v>
      </c>
      <c r="O1874">
        <v>7.16</v>
      </c>
      <c r="P1874">
        <v>7.06</v>
      </c>
      <c r="Q1874">
        <v>7.09</v>
      </c>
      <c r="R1874">
        <v>7.09</v>
      </c>
      <c r="S1874">
        <v>1.41</v>
      </c>
      <c r="T1874">
        <v>1.67</v>
      </c>
      <c r="U1874">
        <v>-55.01</v>
      </c>
      <c r="V1874">
        <v>-7670</v>
      </c>
      <c r="W1874">
        <v>7.11</v>
      </c>
      <c r="X1874" t="s">
        <v>3091</v>
      </c>
      <c r="Y1874" t="s">
        <v>3158</v>
      </c>
      <c r="Z1874">
        <v>0.99</v>
      </c>
      <c r="AA1874">
        <v>492</v>
      </c>
      <c r="AB1874">
        <v>1665</v>
      </c>
      <c r="AC1874">
        <v>1.35</v>
      </c>
      <c r="AD1874" t="s">
        <v>10698</v>
      </c>
      <c r="AE1874" t="s">
        <v>10699</v>
      </c>
      <c r="AF1874" t="s">
        <v>10698</v>
      </c>
      <c r="AG1874" t="s">
        <v>10699</v>
      </c>
      <c r="AH1874">
        <v>0.56</v>
      </c>
      <c r="AI1874">
        <v>0.56</v>
      </c>
      <c r="AJ1874">
        <v>3.14</v>
      </c>
      <c r="AK1874">
        <v>6.23</v>
      </c>
      <c r="AL1874">
        <v>2</v>
      </c>
      <c r="AM1874">
        <v>0.42</v>
      </c>
      <c r="AN1874">
        <v>-8.6</v>
      </c>
      <c r="AO1874">
        <v>1.86</v>
      </c>
      <c r="AP1874">
        <v>-2.86</v>
      </c>
    </row>
    <row r="1875" spans="1:42">
      <c r="A1875">
        <v>1874</v>
      </c>
      <c r="B1875" t="str">
        <f>"301072"</f>
        <v>301072</v>
      </c>
      <c r="C1875" t="s">
        <v>10700</v>
      </c>
      <c r="D1875">
        <v>27.69</v>
      </c>
      <c r="E1875">
        <v>-2.91</v>
      </c>
      <c r="F1875">
        <v>-0.83</v>
      </c>
      <c r="G1875" t="s">
        <v>3210</v>
      </c>
      <c r="H1875">
        <v>588</v>
      </c>
      <c r="I1875">
        <v>27.69</v>
      </c>
      <c r="J1875">
        <v>27.7</v>
      </c>
      <c r="K1875" t="s">
        <v>10683</v>
      </c>
      <c r="L1875">
        <v>11.25</v>
      </c>
      <c r="M1875" t="s">
        <v>46</v>
      </c>
      <c r="N1875" t="s">
        <v>10701</v>
      </c>
      <c r="O1875">
        <v>28.84</v>
      </c>
      <c r="P1875">
        <v>27.21</v>
      </c>
      <c r="Q1875">
        <v>28.84</v>
      </c>
      <c r="R1875">
        <v>28.52</v>
      </c>
      <c r="S1875">
        <v>5.72</v>
      </c>
      <c r="T1875">
        <v>1.15</v>
      </c>
      <c r="U1875">
        <v>-17.58</v>
      </c>
      <c r="V1875">
        <v>-61</v>
      </c>
      <c r="W1875">
        <v>27.72</v>
      </c>
      <c r="X1875" t="s">
        <v>1455</v>
      </c>
      <c r="Y1875" t="s">
        <v>1255</v>
      </c>
      <c r="Z1875">
        <v>1.1</v>
      </c>
      <c r="AA1875">
        <v>24</v>
      </c>
      <c r="AB1875">
        <v>121</v>
      </c>
      <c r="AC1875">
        <v>3.55</v>
      </c>
      <c r="AD1875" t="s">
        <v>10702</v>
      </c>
      <c r="AE1875" t="s">
        <v>10703</v>
      </c>
      <c r="AF1875" t="s">
        <v>10704</v>
      </c>
      <c r="AG1875" t="s">
        <v>10705</v>
      </c>
      <c r="AH1875">
        <v>-2.16</v>
      </c>
      <c r="AI1875">
        <v>-2.09</v>
      </c>
      <c r="AJ1875">
        <v>36.77</v>
      </c>
      <c r="AK1875">
        <v>60.28</v>
      </c>
      <c r="AL1875">
        <v>-1</v>
      </c>
      <c r="AM1875">
        <v>-2.91</v>
      </c>
      <c r="AN1875">
        <v>35.07</v>
      </c>
      <c r="AO1875">
        <v>4.14</v>
      </c>
      <c r="AP1875">
        <v>18.43</v>
      </c>
    </row>
    <row r="1876" spans="1:42">
      <c r="A1876">
        <v>1875</v>
      </c>
      <c r="B1876" t="str">
        <f>"000633"</f>
        <v>000633</v>
      </c>
      <c r="C1876" t="s">
        <v>10706</v>
      </c>
      <c r="D1876">
        <v>7.3</v>
      </c>
      <c r="E1876">
        <v>-1.75</v>
      </c>
      <c r="F1876">
        <v>-0.13</v>
      </c>
      <c r="G1876" t="s">
        <v>2081</v>
      </c>
      <c r="H1876">
        <v>4385</v>
      </c>
      <c r="I1876">
        <v>7.3</v>
      </c>
      <c r="J1876">
        <v>7.31</v>
      </c>
      <c r="K1876" t="s">
        <v>10683</v>
      </c>
      <c r="L1876">
        <v>3.71</v>
      </c>
      <c r="M1876" t="s">
        <v>46</v>
      </c>
      <c r="N1876" t="s">
        <v>3757</v>
      </c>
      <c r="O1876">
        <v>7.39</v>
      </c>
      <c r="P1876">
        <v>7.23</v>
      </c>
      <c r="Q1876">
        <v>7.39</v>
      </c>
      <c r="R1876">
        <v>7.43</v>
      </c>
      <c r="S1876">
        <v>2.15</v>
      </c>
      <c r="T1876">
        <v>0.36</v>
      </c>
      <c r="U1876">
        <v>1.81</v>
      </c>
      <c r="V1876">
        <v>124</v>
      </c>
      <c r="W1876">
        <v>7.29</v>
      </c>
      <c r="X1876" t="s">
        <v>8243</v>
      </c>
      <c r="Y1876" t="s">
        <v>7068</v>
      </c>
      <c r="Z1876">
        <v>1.68</v>
      </c>
      <c r="AA1876">
        <v>157</v>
      </c>
      <c r="AB1876">
        <v>1597</v>
      </c>
      <c r="AC1876">
        <v>15.73</v>
      </c>
      <c r="AD1876" t="s">
        <v>10707</v>
      </c>
      <c r="AE1876" t="s">
        <v>10708</v>
      </c>
      <c r="AF1876" t="s">
        <v>10707</v>
      </c>
      <c r="AG1876" t="s">
        <v>10708</v>
      </c>
      <c r="AH1876">
        <v>-1.75</v>
      </c>
      <c r="AI1876">
        <v>-7.36</v>
      </c>
      <c r="AJ1876">
        <v>12.59</v>
      </c>
      <c r="AK1876">
        <v>55.32</v>
      </c>
      <c r="AL1876">
        <v>-1</v>
      </c>
      <c r="AM1876">
        <v>-1.75</v>
      </c>
      <c r="AN1876">
        <v>-9.88</v>
      </c>
      <c r="AO1876">
        <v>-4.33</v>
      </c>
      <c r="AP1876">
        <v>-15.9</v>
      </c>
    </row>
    <row r="1877" spans="1:42">
      <c r="A1877">
        <v>1876</v>
      </c>
      <c r="B1877" t="str">
        <f>"000581"</f>
        <v>000581</v>
      </c>
      <c r="C1877" t="s">
        <v>10709</v>
      </c>
      <c r="D1877">
        <v>16.15</v>
      </c>
      <c r="E1877">
        <v>-0.92</v>
      </c>
      <c r="F1877">
        <v>-0.15</v>
      </c>
      <c r="G1877" t="s">
        <v>6058</v>
      </c>
      <c r="H1877">
        <v>456</v>
      </c>
      <c r="I1877">
        <v>16.15</v>
      </c>
      <c r="J1877">
        <v>16.16</v>
      </c>
      <c r="K1877" t="s">
        <v>10683</v>
      </c>
      <c r="L1877">
        <v>0.78</v>
      </c>
      <c r="M1877" t="s">
        <v>46</v>
      </c>
      <c r="N1877" t="s">
        <v>7713</v>
      </c>
      <c r="O1877">
        <v>16.34</v>
      </c>
      <c r="P1877">
        <v>15.96</v>
      </c>
      <c r="Q1877">
        <v>16.32</v>
      </c>
      <c r="R1877">
        <v>16.3</v>
      </c>
      <c r="S1877">
        <v>2.33</v>
      </c>
      <c r="T1877">
        <v>0.99</v>
      </c>
      <c r="U1877">
        <v>27.41</v>
      </c>
      <c r="V1877">
        <v>649</v>
      </c>
      <c r="W1877">
        <v>16.11</v>
      </c>
      <c r="X1877" t="s">
        <v>2124</v>
      </c>
      <c r="Y1877" t="s">
        <v>6768</v>
      </c>
      <c r="Z1877">
        <v>1.25</v>
      </c>
      <c r="AA1877">
        <v>412</v>
      </c>
      <c r="AB1877">
        <v>82</v>
      </c>
      <c r="AC1877">
        <v>0.86</v>
      </c>
      <c r="AD1877" t="s">
        <v>10710</v>
      </c>
      <c r="AE1877" t="s">
        <v>10711</v>
      </c>
      <c r="AF1877" t="s">
        <v>10712</v>
      </c>
      <c r="AG1877" t="s">
        <v>8200</v>
      </c>
      <c r="AH1877">
        <v>-2.83</v>
      </c>
      <c r="AI1877">
        <v>-2.06</v>
      </c>
      <c r="AJ1877">
        <v>2.13</v>
      </c>
      <c r="AK1877">
        <v>4.74</v>
      </c>
      <c r="AL1877">
        <v>-3</v>
      </c>
      <c r="AM1877">
        <v>-0.92</v>
      </c>
      <c r="AN1877">
        <v>-8.39</v>
      </c>
      <c r="AO1877">
        <v>-0.68</v>
      </c>
      <c r="AP1877">
        <v>-10.18</v>
      </c>
    </row>
    <row r="1878" spans="1:42">
      <c r="A1878">
        <v>1877</v>
      </c>
      <c r="B1878" t="str">
        <f>"002691"</f>
        <v>002691</v>
      </c>
      <c r="C1878" t="s">
        <v>10713</v>
      </c>
      <c r="D1878">
        <v>7.24</v>
      </c>
      <c r="E1878">
        <v>-0.96</v>
      </c>
      <c r="F1878">
        <v>-0.07</v>
      </c>
      <c r="G1878" t="s">
        <v>44</v>
      </c>
      <c r="H1878">
        <v>2790</v>
      </c>
      <c r="I1878">
        <v>7.23</v>
      </c>
      <c r="J1878">
        <v>7.25</v>
      </c>
      <c r="K1878" t="s">
        <v>10683</v>
      </c>
      <c r="L1878">
        <v>4.28</v>
      </c>
      <c r="M1878" t="s">
        <v>46</v>
      </c>
      <c r="N1878" t="s">
        <v>6442</v>
      </c>
      <c r="O1878">
        <v>7.36</v>
      </c>
      <c r="P1878">
        <v>7.11</v>
      </c>
      <c r="Q1878">
        <v>7.25</v>
      </c>
      <c r="R1878">
        <v>7.31</v>
      </c>
      <c r="S1878">
        <v>3.42</v>
      </c>
      <c r="T1878">
        <v>0.49</v>
      </c>
      <c r="U1878">
        <v>18.57</v>
      </c>
      <c r="V1878">
        <v>1092</v>
      </c>
      <c r="W1878">
        <v>7.24</v>
      </c>
      <c r="X1878" t="s">
        <v>655</v>
      </c>
      <c r="Y1878" t="s">
        <v>7628</v>
      </c>
      <c r="Z1878">
        <v>1.25</v>
      </c>
      <c r="AA1878">
        <v>425</v>
      </c>
      <c r="AB1878">
        <v>438</v>
      </c>
      <c r="AC1878">
        <v>2.82</v>
      </c>
      <c r="AD1878" t="s">
        <v>10714</v>
      </c>
      <c r="AE1878" t="s">
        <v>10715</v>
      </c>
      <c r="AF1878" t="s">
        <v>10716</v>
      </c>
      <c r="AG1878" t="s">
        <v>10717</v>
      </c>
      <c r="AH1878">
        <v>-0.82</v>
      </c>
      <c r="AI1878">
        <v>0.7</v>
      </c>
      <c r="AJ1878">
        <v>17.04</v>
      </c>
      <c r="AK1878">
        <v>47.93</v>
      </c>
      <c r="AL1878">
        <v>-1</v>
      </c>
      <c r="AM1878">
        <v>-0.96</v>
      </c>
      <c r="AN1878">
        <v>37.12</v>
      </c>
      <c r="AO1878">
        <v>13.66</v>
      </c>
      <c r="AP1878">
        <v>28.14</v>
      </c>
    </row>
    <row r="1879" spans="1:42">
      <c r="A1879">
        <v>1878</v>
      </c>
      <c r="B1879" t="str">
        <f>"688480"</f>
        <v>688480</v>
      </c>
      <c r="C1879" t="s">
        <v>10718</v>
      </c>
      <c r="D1879">
        <v>40.99</v>
      </c>
      <c r="E1879">
        <v>-0.85</v>
      </c>
      <c r="F1879">
        <v>-0.35</v>
      </c>
      <c r="G1879" t="s">
        <v>4036</v>
      </c>
      <c r="H1879">
        <v>245</v>
      </c>
      <c r="I1879">
        <v>40.99</v>
      </c>
      <c r="J1879">
        <v>41</v>
      </c>
      <c r="K1879" t="s">
        <v>10683</v>
      </c>
      <c r="L1879">
        <v>6.17</v>
      </c>
      <c r="M1879" t="s">
        <v>46</v>
      </c>
      <c r="N1879" t="s">
        <v>3605</v>
      </c>
      <c r="O1879">
        <v>41.26</v>
      </c>
      <c r="P1879">
        <v>39.15</v>
      </c>
      <c r="Q1879">
        <v>41.21</v>
      </c>
      <c r="R1879">
        <v>41.34</v>
      </c>
      <c r="S1879">
        <v>5.1</v>
      </c>
      <c r="T1879">
        <v>1.74</v>
      </c>
      <c r="U1879">
        <v>70.3</v>
      </c>
      <c r="V1879">
        <v>578</v>
      </c>
      <c r="W1879">
        <v>40.08</v>
      </c>
      <c r="X1879" t="s">
        <v>7656</v>
      </c>
      <c r="Y1879" t="s">
        <v>2807</v>
      </c>
      <c r="Z1879">
        <v>1.33</v>
      </c>
      <c r="AA1879">
        <v>474</v>
      </c>
      <c r="AB1879">
        <v>85</v>
      </c>
      <c r="AC1879">
        <v>4.36</v>
      </c>
      <c r="AD1879" t="s">
        <v>10719</v>
      </c>
      <c r="AE1879" t="s">
        <v>7952</v>
      </c>
      <c r="AF1879" t="s">
        <v>10720</v>
      </c>
      <c r="AG1879" t="s">
        <v>10721</v>
      </c>
      <c r="AH1879">
        <v>-6.59</v>
      </c>
      <c r="AI1879">
        <v>0.1</v>
      </c>
      <c r="AJ1879">
        <v>13.48</v>
      </c>
      <c r="AK1879">
        <v>23.95</v>
      </c>
      <c r="AL1879">
        <v>-3</v>
      </c>
      <c r="AM1879">
        <v>-0.85</v>
      </c>
      <c r="AN1879">
        <v>89.68</v>
      </c>
      <c r="AO1879">
        <v>21.7</v>
      </c>
      <c r="AP1879">
        <v>119.55</v>
      </c>
    </row>
    <row r="1880" spans="1:42">
      <c r="A1880">
        <v>1879</v>
      </c>
      <c r="B1880" t="str">
        <f>"301376"</f>
        <v>301376</v>
      </c>
      <c r="C1880" t="s">
        <v>10722</v>
      </c>
      <c r="D1880">
        <v>24.15</v>
      </c>
      <c r="E1880">
        <v>3.92</v>
      </c>
      <c r="F1880">
        <v>0.91</v>
      </c>
      <c r="G1880" t="s">
        <v>616</v>
      </c>
      <c r="H1880">
        <v>568</v>
      </c>
      <c r="I1880">
        <v>24.14</v>
      </c>
      <c r="J1880">
        <v>24.15</v>
      </c>
      <c r="K1880" t="s">
        <v>10683</v>
      </c>
      <c r="L1880">
        <v>12.8</v>
      </c>
      <c r="M1880" t="s">
        <v>46</v>
      </c>
      <c r="N1880" t="s">
        <v>2149</v>
      </c>
      <c r="O1880">
        <v>24.48</v>
      </c>
      <c r="P1880">
        <v>22.78</v>
      </c>
      <c r="Q1880">
        <v>23.2</v>
      </c>
      <c r="R1880">
        <v>23.24</v>
      </c>
      <c r="S1880">
        <v>7.31</v>
      </c>
      <c r="T1880">
        <v>2.13</v>
      </c>
      <c r="U1880">
        <v>-47.64</v>
      </c>
      <c r="V1880">
        <v>-412</v>
      </c>
      <c r="W1880">
        <v>23.94</v>
      </c>
      <c r="X1880" t="s">
        <v>377</v>
      </c>
      <c r="Y1880" t="s">
        <v>2716</v>
      </c>
      <c r="Z1880">
        <v>1.03</v>
      </c>
      <c r="AA1880">
        <v>34</v>
      </c>
      <c r="AB1880">
        <v>144</v>
      </c>
      <c r="AC1880">
        <v>3.24</v>
      </c>
      <c r="AD1880" t="s">
        <v>10723</v>
      </c>
      <c r="AE1880" t="s">
        <v>10724</v>
      </c>
      <c r="AF1880" t="s">
        <v>10725</v>
      </c>
      <c r="AG1880" t="s">
        <v>10726</v>
      </c>
      <c r="AH1880">
        <v>6.29</v>
      </c>
      <c r="AI1880">
        <v>3.65</v>
      </c>
      <c r="AJ1880">
        <v>33.6</v>
      </c>
      <c r="AK1880">
        <v>42.83</v>
      </c>
      <c r="AL1880">
        <v>1</v>
      </c>
      <c r="AM1880">
        <v>3.92</v>
      </c>
      <c r="AN1880">
        <v>-2.07</v>
      </c>
      <c r="AO1880">
        <v>7.29</v>
      </c>
      <c r="AP1880">
        <v>-2.07</v>
      </c>
    </row>
    <row r="1881" spans="1:42">
      <c r="A1881">
        <v>1880</v>
      </c>
      <c r="B1881" t="str">
        <f>"000713"</f>
        <v>000713</v>
      </c>
      <c r="C1881" t="s">
        <v>10727</v>
      </c>
      <c r="D1881">
        <v>8.5</v>
      </c>
      <c r="E1881">
        <v>-0.93</v>
      </c>
      <c r="F1881">
        <v>-0.08</v>
      </c>
      <c r="G1881" t="s">
        <v>1790</v>
      </c>
      <c r="H1881">
        <v>1172</v>
      </c>
      <c r="I1881">
        <v>8.5</v>
      </c>
      <c r="J1881">
        <v>8.51</v>
      </c>
      <c r="K1881" t="s">
        <v>10683</v>
      </c>
      <c r="L1881">
        <v>1.97</v>
      </c>
      <c r="M1881" t="s">
        <v>46</v>
      </c>
      <c r="N1881" t="s">
        <v>4428</v>
      </c>
      <c r="O1881">
        <v>8.68</v>
      </c>
      <c r="P1881">
        <v>8.48</v>
      </c>
      <c r="Q1881">
        <v>8.5</v>
      </c>
      <c r="R1881">
        <v>8.58</v>
      </c>
      <c r="S1881">
        <v>2.33</v>
      </c>
      <c r="T1881">
        <v>1.03</v>
      </c>
      <c r="U1881">
        <v>46.69</v>
      </c>
      <c r="V1881">
        <v>3456</v>
      </c>
      <c r="W1881">
        <v>8.57</v>
      </c>
      <c r="X1881" t="s">
        <v>3462</v>
      </c>
      <c r="Y1881" t="s">
        <v>9332</v>
      </c>
      <c r="Z1881">
        <v>1.37</v>
      </c>
      <c r="AA1881">
        <v>842</v>
      </c>
      <c r="AB1881">
        <v>748</v>
      </c>
      <c r="AC1881">
        <v>2.77</v>
      </c>
      <c r="AD1881" t="s">
        <v>9701</v>
      </c>
      <c r="AE1881" t="s">
        <v>10728</v>
      </c>
      <c r="AF1881" t="s">
        <v>9701</v>
      </c>
      <c r="AG1881" t="s">
        <v>10728</v>
      </c>
      <c r="AH1881">
        <v>-0.23</v>
      </c>
      <c r="AI1881">
        <v>1.92</v>
      </c>
      <c r="AJ1881">
        <v>6.57</v>
      </c>
      <c r="AK1881">
        <v>11.51</v>
      </c>
      <c r="AL1881">
        <v>-2</v>
      </c>
      <c r="AM1881">
        <v>-0.93</v>
      </c>
      <c r="AN1881">
        <v>-5.45</v>
      </c>
      <c r="AO1881">
        <v>4.42</v>
      </c>
      <c r="AP1881">
        <v>1.19</v>
      </c>
    </row>
    <row r="1882" spans="1:42">
      <c r="A1882">
        <v>1881</v>
      </c>
      <c r="B1882" t="str">
        <f>"000589"</f>
        <v>000589</v>
      </c>
      <c r="C1882" t="s">
        <v>10729</v>
      </c>
      <c r="D1882">
        <v>6.22</v>
      </c>
      <c r="E1882">
        <v>0.65</v>
      </c>
      <c r="F1882">
        <v>0.04</v>
      </c>
      <c r="G1882" t="s">
        <v>1245</v>
      </c>
      <c r="H1882">
        <v>646</v>
      </c>
      <c r="I1882">
        <v>6.21</v>
      </c>
      <c r="J1882">
        <v>6.22</v>
      </c>
      <c r="K1882" t="s">
        <v>10683</v>
      </c>
      <c r="L1882">
        <v>1.44</v>
      </c>
      <c r="M1882" t="s">
        <v>46</v>
      </c>
      <c r="N1882" t="s">
        <v>10730</v>
      </c>
      <c r="O1882">
        <v>6.27</v>
      </c>
      <c r="P1882">
        <v>6.12</v>
      </c>
      <c r="Q1882">
        <v>6.18</v>
      </c>
      <c r="R1882">
        <v>6.18</v>
      </c>
      <c r="S1882">
        <v>2.43</v>
      </c>
      <c r="T1882">
        <v>1.07</v>
      </c>
      <c r="U1882">
        <v>-13.97</v>
      </c>
      <c r="V1882">
        <v>-1270</v>
      </c>
      <c r="W1882">
        <v>6.18</v>
      </c>
      <c r="X1882" t="s">
        <v>2781</v>
      </c>
      <c r="Y1882" t="s">
        <v>9404</v>
      </c>
      <c r="Z1882">
        <v>1.04</v>
      </c>
      <c r="AA1882">
        <v>2414</v>
      </c>
      <c r="AB1882">
        <v>907</v>
      </c>
      <c r="AC1882">
        <v>1.1</v>
      </c>
      <c r="AD1882" t="s">
        <v>8865</v>
      </c>
      <c r="AE1882" t="s">
        <v>1551</v>
      </c>
      <c r="AF1882" t="s">
        <v>113</v>
      </c>
      <c r="AG1882" t="s">
        <v>10731</v>
      </c>
      <c r="AH1882">
        <v>-3.42</v>
      </c>
      <c r="AI1882">
        <v>-4.31</v>
      </c>
      <c r="AJ1882">
        <v>5.34</v>
      </c>
      <c r="AK1882">
        <v>8.17</v>
      </c>
      <c r="AL1882">
        <v>1</v>
      </c>
      <c r="AM1882">
        <v>0.65</v>
      </c>
      <c r="AN1882">
        <v>35.51</v>
      </c>
      <c r="AO1882">
        <v>-3.57</v>
      </c>
      <c r="AP1882">
        <v>39.78</v>
      </c>
    </row>
    <row r="1883" spans="1:42">
      <c r="A1883">
        <v>1882</v>
      </c>
      <c r="B1883" t="str">
        <f>"605588"</f>
        <v>605588</v>
      </c>
      <c r="C1883" t="s">
        <v>10732</v>
      </c>
      <c r="D1883">
        <v>53.31</v>
      </c>
      <c r="E1883">
        <v>-0.97</v>
      </c>
      <c r="F1883">
        <v>-0.52</v>
      </c>
      <c r="G1883" t="s">
        <v>1455</v>
      </c>
      <c r="H1883">
        <v>423</v>
      </c>
      <c r="I1883">
        <v>53.3</v>
      </c>
      <c r="J1883">
        <v>53.31</v>
      </c>
      <c r="K1883" t="s">
        <v>10683</v>
      </c>
      <c r="L1883">
        <v>8.47</v>
      </c>
      <c r="M1883" t="s">
        <v>46</v>
      </c>
      <c r="N1883" t="s">
        <v>9198</v>
      </c>
      <c r="O1883">
        <v>53.82</v>
      </c>
      <c r="P1883">
        <v>52.6</v>
      </c>
      <c r="Q1883">
        <v>53.34</v>
      </c>
      <c r="R1883">
        <v>53.83</v>
      </c>
      <c r="S1883">
        <v>2.27</v>
      </c>
      <c r="T1883">
        <v>0.6</v>
      </c>
      <c r="U1883">
        <v>60.74</v>
      </c>
      <c r="V1883">
        <v>198</v>
      </c>
      <c r="W1883">
        <v>52.98</v>
      </c>
      <c r="X1883" t="s">
        <v>8636</v>
      </c>
      <c r="Y1883">
        <v>7614</v>
      </c>
      <c r="Z1883">
        <v>1.57</v>
      </c>
      <c r="AA1883">
        <v>165</v>
      </c>
      <c r="AB1883">
        <v>44</v>
      </c>
      <c r="AC1883">
        <v>3.75</v>
      </c>
      <c r="AD1883" t="s">
        <v>10733</v>
      </c>
      <c r="AE1883" t="s">
        <v>10734</v>
      </c>
      <c r="AF1883" t="s">
        <v>10735</v>
      </c>
      <c r="AG1883" t="s">
        <v>2987</v>
      </c>
      <c r="AH1883">
        <v>-0.06</v>
      </c>
      <c r="AI1883">
        <v>-1.64</v>
      </c>
      <c r="AJ1883">
        <v>45.83</v>
      </c>
      <c r="AK1883">
        <v>79.34</v>
      </c>
      <c r="AL1883">
        <v>-2</v>
      </c>
      <c r="AM1883">
        <v>-0.97</v>
      </c>
      <c r="AN1883">
        <v>85.81</v>
      </c>
      <c r="AO1883">
        <v>-1.08</v>
      </c>
      <c r="AP1883">
        <v>65.3</v>
      </c>
    </row>
    <row r="1884" spans="1:42">
      <c r="A1884">
        <v>1883</v>
      </c>
      <c r="B1884" t="str">
        <f>"600755"</f>
        <v>600755</v>
      </c>
      <c r="C1884" t="s">
        <v>10736</v>
      </c>
      <c r="D1884">
        <v>6.81</v>
      </c>
      <c r="E1884">
        <v>0.89</v>
      </c>
      <c r="F1884">
        <v>0.06</v>
      </c>
      <c r="G1884" t="s">
        <v>1412</v>
      </c>
      <c r="H1884">
        <v>520</v>
      </c>
      <c r="I1884">
        <v>6.81</v>
      </c>
      <c r="J1884">
        <v>6.82</v>
      </c>
      <c r="K1884" t="s">
        <v>10683</v>
      </c>
      <c r="L1884">
        <v>0.75</v>
      </c>
      <c r="M1884" t="s">
        <v>46</v>
      </c>
      <c r="N1884" t="s">
        <v>10737</v>
      </c>
      <c r="O1884">
        <v>6.84</v>
      </c>
      <c r="P1884">
        <v>6.74</v>
      </c>
      <c r="Q1884">
        <v>6.74</v>
      </c>
      <c r="R1884">
        <v>6.75</v>
      </c>
      <c r="S1884">
        <v>1.48</v>
      </c>
      <c r="T1884">
        <v>1.46</v>
      </c>
      <c r="U1884">
        <v>-48.16</v>
      </c>
      <c r="V1884" t="s">
        <v>10738</v>
      </c>
      <c r="W1884">
        <v>6.81</v>
      </c>
      <c r="X1884" t="s">
        <v>4584</v>
      </c>
      <c r="Y1884" t="s">
        <v>7733</v>
      </c>
      <c r="Z1884">
        <v>0.6</v>
      </c>
      <c r="AA1884">
        <v>950</v>
      </c>
      <c r="AB1884">
        <v>1251</v>
      </c>
      <c r="AC1884">
        <v>0.71</v>
      </c>
      <c r="AD1884" t="s">
        <v>10739</v>
      </c>
      <c r="AE1884" t="s">
        <v>10740</v>
      </c>
      <c r="AF1884" t="s">
        <v>10741</v>
      </c>
      <c r="AG1884" t="s">
        <v>7515</v>
      </c>
      <c r="AH1884">
        <v>0.15</v>
      </c>
      <c r="AI1884">
        <v>-0.87</v>
      </c>
      <c r="AJ1884">
        <v>1.79</v>
      </c>
      <c r="AK1884">
        <v>3.31</v>
      </c>
      <c r="AL1884">
        <v>1</v>
      </c>
      <c r="AM1884">
        <v>0.89</v>
      </c>
      <c r="AN1884">
        <v>4.93</v>
      </c>
      <c r="AO1884">
        <v>0.29</v>
      </c>
      <c r="AP1884">
        <v>7.92</v>
      </c>
    </row>
    <row r="1885" spans="1:42">
      <c r="A1885">
        <v>1884</v>
      </c>
      <c r="B1885" t="str">
        <f>"688068"</f>
        <v>688068</v>
      </c>
      <c r="C1885" t="s">
        <v>10742</v>
      </c>
      <c r="D1885">
        <v>45.08</v>
      </c>
      <c r="E1885">
        <v>2.27</v>
      </c>
      <c r="F1885">
        <v>1</v>
      </c>
      <c r="G1885" t="s">
        <v>6266</v>
      </c>
      <c r="H1885">
        <v>266</v>
      </c>
      <c r="I1885">
        <v>45.07</v>
      </c>
      <c r="J1885">
        <v>45.08</v>
      </c>
      <c r="K1885" t="s">
        <v>10683</v>
      </c>
      <c r="L1885">
        <v>2.51</v>
      </c>
      <c r="M1885" t="s">
        <v>46</v>
      </c>
      <c r="N1885" t="s">
        <v>3534</v>
      </c>
      <c r="O1885">
        <v>45.39</v>
      </c>
      <c r="P1885">
        <v>43.79</v>
      </c>
      <c r="Q1885">
        <v>44.38</v>
      </c>
      <c r="R1885">
        <v>44.08</v>
      </c>
      <c r="S1885">
        <v>3.63</v>
      </c>
      <c r="T1885">
        <v>0.89</v>
      </c>
      <c r="U1885">
        <v>67.01</v>
      </c>
      <c r="V1885">
        <v>178</v>
      </c>
      <c r="W1885">
        <v>44.74</v>
      </c>
      <c r="X1885">
        <v>9745</v>
      </c>
      <c r="Y1885" t="s">
        <v>1777</v>
      </c>
      <c r="Z1885">
        <v>0.73</v>
      </c>
      <c r="AA1885">
        <v>55</v>
      </c>
      <c r="AB1885">
        <v>4</v>
      </c>
      <c r="AC1885">
        <v>1.22</v>
      </c>
      <c r="AD1885" t="s">
        <v>10743</v>
      </c>
      <c r="AE1885" t="s">
        <v>10744</v>
      </c>
      <c r="AF1885" t="s">
        <v>10743</v>
      </c>
      <c r="AG1885" t="s">
        <v>10744</v>
      </c>
      <c r="AH1885">
        <v>0.18</v>
      </c>
      <c r="AI1885">
        <v>-5.23</v>
      </c>
      <c r="AJ1885">
        <v>6.83</v>
      </c>
      <c r="AK1885">
        <v>16.63</v>
      </c>
      <c r="AL1885">
        <v>2</v>
      </c>
      <c r="AM1885">
        <v>2.27</v>
      </c>
      <c r="AN1885">
        <v>-25.98</v>
      </c>
      <c r="AO1885">
        <v>12.33</v>
      </c>
      <c r="AP1885">
        <v>-46.27</v>
      </c>
    </row>
    <row r="1886" spans="1:42">
      <c r="A1886">
        <v>1885</v>
      </c>
      <c r="B1886" t="str">
        <f>"300134"</f>
        <v>300134</v>
      </c>
      <c r="C1886" t="s">
        <v>10745</v>
      </c>
      <c r="D1886">
        <v>10.96</v>
      </c>
      <c r="E1886">
        <v>2.05</v>
      </c>
      <c r="F1886">
        <v>0.22</v>
      </c>
      <c r="G1886" t="s">
        <v>3463</v>
      </c>
      <c r="H1886">
        <v>887</v>
      </c>
      <c r="I1886">
        <v>10.95</v>
      </c>
      <c r="J1886">
        <v>10.96</v>
      </c>
      <c r="K1886" t="s">
        <v>3947</v>
      </c>
      <c r="L1886">
        <v>1.34</v>
      </c>
      <c r="M1886" t="s">
        <v>46</v>
      </c>
      <c r="N1886" t="s">
        <v>5088</v>
      </c>
      <c r="O1886">
        <v>10.99</v>
      </c>
      <c r="P1886">
        <v>10.67</v>
      </c>
      <c r="Q1886">
        <v>10.7</v>
      </c>
      <c r="R1886">
        <v>10.74</v>
      </c>
      <c r="S1886">
        <v>2.98</v>
      </c>
      <c r="T1886">
        <v>1.01</v>
      </c>
      <c r="U1886">
        <v>4.22</v>
      </c>
      <c r="V1886">
        <v>333</v>
      </c>
      <c r="W1886">
        <v>10.87</v>
      </c>
      <c r="X1886" t="s">
        <v>5706</v>
      </c>
      <c r="Y1886" t="s">
        <v>9550</v>
      </c>
      <c r="Z1886">
        <v>0.71</v>
      </c>
      <c r="AA1886">
        <v>2679</v>
      </c>
      <c r="AB1886">
        <v>51</v>
      </c>
      <c r="AC1886">
        <v>1.84</v>
      </c>
      <c r="AD1886" t="s">
        <v>1404</v>
      </c>
      <c r="AE1886" t="s">
        <v>10746</v>
      </c>
      <c r="AF1886" t="s">
        <v>10747</v>
      </c>
      <c r="AG1886" t="s">
        <v>10748</v>
      </c>
      <c r="AH1886">
        <v>0.27</v>
      </c>
      <c r="AI1886">
        <v>-3.35</v>
      </c>
      <c r="AJ1886">
        <v>3.29</v>
      </c>
      <c r="AK1886">
        <v>7.94</v>
      </c>
      <c r="AL1886">
        <v>1</v>
      </c>
      <c r="AM1886">
        <v>2.05</v>
      </c>
      <c r="AN1886">
        <v>41.24</v>
      </c>
      <c r="AO1886">
        <v>1.67</v>
      </c>
      <c r="AP1886">
        <v>26.27</v>
      </c>
    </row>
    <row r="1887" spans="1:42">
      <c r="A1887">
        <v>1886</v>
      </c>
      <c r="B1887" t="str">
        <f>"301533"</f>
        <v>301533</v>
      </c>
      <c r="C1887" t="s">
        <v>10749</v>
      </c>
      <c r="D1887">
        <v>39.73</v>
      </c>
      <c r="E1887">
        <v>-2.38</v>
      </c>
      <c r="F1887">
        <v>-0.97</v>
      </c>
      <c r="G1887" t="s">
        <v>4036</v>
      </c>
      <c r="H1887">
        <v>391</v>
      </c>
      <c r="I1887">
        <v>39.72</v>
      </c>
      <c r="J1887">
        <v>39.73</v>
      </c>
      <c r="K1887" t="s">
        <v>3947</v>
      </c>
      <c r="L1887">
        <v>11.95</v>
      </c>
      <c r="M1887" t="s">
        <v>46</v>
      </c>
      <c r="N1887" t="s">
        <v>1461</v>
      </c>
      <c r="O1887">
        <v>41.17</v>
      </c>
      <c r="P1887">
        <v>39.36</v>
      </c>
      <c r="Q1887">
        <v>40.7</v>
      </c>
      <c r="R1887">
        <v>40.7</v>
      </c>
      <c r="S1887">
        <v>4.45</v>
      </c>
      <c r="T1887">
        <v>0.67</v>
      </c>
      <c r="U1887">
        <v>11.53</v>
      </c>
      <c r="V1887">
        <v>37</v>
      </c>
      <c r="W1887">
        <v>40.01</v>
      </c>
      <c r="X1887" t="s">
        <v>8137</v>
      </c>
      <c r="Y1887">
        <v>9383</v>
      </c>
      <c r="Z1887">
        <v>1.76</v>
      </c>
      <c r="AA1887">
        <v>35</v>
      </c>
      <c r="AB1887">
        <v>39</v>
      </c>
      <c r="AC1887">
        <v>3.55</v>
      </c>
      <c r="AD1887" t="s">
        <v>10750</v>
      </c>
      <c r="AE1887" t="s">
        <v>10751</v>
      </c>
      <c r="AF1887" t="s">
        <v>10752</v>
      </c>
      <c r="AG1887" t="s">
        <v>10753</v>
      </c>
      <c r="AH1887">
        <v>-6.34</v>
      </c>
      <c r="AI1887">
        <v>-3.78</v>
      </c>
      <c r="AJ1887">
        <v>41.73</v>
      </c>
      <c r="AK1887">
        <v>100.79</v>
      </c>
      <c r="AL1887">
        <v>-3</v>
      </c>
      <c r="AM1887">
        <v>-2.38</v>
      </c>
      <c r="AN1887">
        <v>34.68</v>
      </c>
      <c r="AO1887">
        <v>-0.35</v>
      </c>
      <c r="AP1887">
        <v>34.68</v>
      </c>
    </row>
    <row r="1888" spans="1:42">
      <c r="A1888">
        <v>1887</v>
      </c>
      <c r="B1888" t="str">
        <f>"300050"</f>
        <v>300050</v>
      </c>
      <c r="C1888" t="s">
        <v>10754</v>
      </c>
      <c r="D1888">
        <v>5.31</v>
      </c>
      <c r="E1888">
        <v>2.91</v>
      </c>
      <c r="F1888">
        <v>0.15</v>
      </c>
      <c r="G1888" t="s">
        <v>1509</v>
      </c>
      <c r="H1888">
        <v>1890</v>
      </c>
      <c r="I1888">
        <v>5.3</v>
      </c>
      <c r="J1888">
        <v>5.31</v>
      </c>
      <c r="K1888" t="s">
        <v>3947</v>
      </c>
      <c r="L1888">
        <v>3.61</v>
      </c>
      <c r="M1888" t="s">
        <v>46</v>
      </c>
      <c r="N1888" t="s">
        <v>5134</v>
      </c>
      <c r="O1888">
        <v>5.33</v>
      </c>
      <c r="P1888">
        <v>5.12</v>
      </c>
      <c r="Q1888">
        <v>5.18</v>
      </c>
      <c r="R1888">
        <v>5.16</v>
      </c>
      <c r="S1888">
        <v>4.07</v>
      </c>
      <c r="T1888">
        <v>1.12</v>
      </c>
      <c r="U1888">
        <v>-45.63</v>
      </c>
      <c r="V1888">
        <v>-8776</v>
      </c>
      <c r="W1888">
        <v>5.26</v>
      </c>
      <c r="X1888" t="s">
        <v>3091</v>
      </c>
      <c r="Y1888" t="s">
        <v>1261</v>
      </c>
      <c r="Z1888">
        <v>0.59</v>
      </c>
      <c r="AA1888">
        <v>2264</v>
      </c>
      <c r="AB1888">
        <v>663</v>
      </c>
      <c r="AC1888">
        <v>4.31</v>
      </c>
      <c r="AD1888" t="s">
        <v>10755</v>
      </c>
      <c r="AE1888" t="s">
        <v>10756</v>
      </c>
      <c r="AF1888" t="s">
        <v>10757</v>
      </c>
      <c r="AG1888" t="s">
        <v>10758</v>
      </c>
      <c r="AH1888">
        <v>1.14</v>
      </c>
      <c r="AI1888">
        <v>-0.93</v>
      </c>
      <c r="AJ1888">
        <v>8.92</v>
      </c>
      <c r="AK1888">
        <v>19.76</v>
      </c>
      <c r="AL1888">
        <v>1</v>
      </c>
      <c r="AM1888">
        <v>2.91</v>
      </c>
      <c r="AN1888">
        <v>38.28</v>
      </c>
      <c r="AO1888">
        <v>7.49</v>
      </c>
      <c r="AP1888">
        <v>39.74</v>
      </c>
    </row>
    <row r="1889" spans="1:42">
      <c r="A1889">
        <v>1888</v>
      </c>
      <c r="B1889" t="str">
        <f>"000623"</f>
        <v>000623</v>
      </c>
      <c r="C1889" t="s">
        <v>10759</v>
      </c>
      <c r="D1889">
        <v>16.44</v>
      </c>
      <c r="E1889">
        <v>0.06</v>
      </c>
      <c r="F1889">
        <v>0.01</v>
      </c>
      <c r="G1889" t="s">
        <v>9192</v>
      </c>
      <c r="H1889">
        <v>288</v>
      </c>
      <c r="I1889">
        <v>16.44</v>
      </c>
      <c r="J1889">
        <v>16.45</v>
      </c>
      <c r="K1889" t="s">
        <v>3947</v>
      </c>
      <c r="L1889">
        <v>0.54</v>
      </c>
      <c r="M1889" t="s">
        <v>46</v>
      </c>
      <c r="N1889" t="s">
        <v>10760</v>
      </c>
      <c r="O1889">
        <v>16.53</v>
      </c>
      <c r="P1889">
        <v>16.32</v>
      </c>
      <c r="Q1889">
        <v>16.46</v>
      </c>
      <c r="R1889">
        <v>16.43</v>
      </c>
      <c r="S1889">
        <v>1.28</v>
      </c>
      <c r="T1889">
        <v>0.77</v>
      </c>
      <c r="U1889">
        <v>-32.27</v>
      </c>
      <c r="V1889">
        <v>-1042</v>
      </c>
      <c r="W1889">
        <v>16.43</v>
      </c>
      <c r="X1889" t="s">
        <v>1069</v>
      </c>
      <c r="Y1889" t="s">
        <v>8952</v>
      </c>
      <c r="Z1889">
        <v>1.29</v>
      </c>
      <c r="AA1889">
        <v>79</v>
      </c>
      <c r="AB1889">
        <v>658</v>
      </c>
      <c r="AC1889">
        <v>0.72</v>
      </c>
      <c r="AD1889" t="s">
        <v>5722</v>
      </c>
      <c r="AE1889" t="s">
        <v>10761</v>
      </c>
      <c r="AF1889" t="s">
        <v>10762</v>
      </c>
      <c r="AG1889" t="s">
        <v>10763</v>
      </c>
      <c r="AH1889">
        <v>-0.78</v>
      </c>
      <c r="AI1889">
        <v>-1.2</v>
      </c>
      <c r="AJ1889">
        <v>1.73</v>
      </c>
      <c r="AK1889">
        <v>4.05</v>
      </c>
      <c r="AL1889">
        <v>1</v>
      </c>
      <c r="AM1889">
        <v>0.06</v>
      </c>
      <c r="AN1889">
        <v>11.91</v>
      </c>
      <c r="AO1889">
        <v>2.49</v>
      </c>
      <c r="AP1889">
        <v>9.24</v>
      </c>
    </row>
    <row r="1890" spans="1:42">
      <c r="A1890">
        <v>1889</v>
      </c>
      <c r="B1890" t="str">
        <f>"000543"</f>
        <v>000543</v>
      </c>
      <c r="C1890" t="s">
        <v>10764</v>
      </c>
      <c r="D1890">
        <v>6.65</v>
      </c>
      <c r="E1890">
        <v>-0.75</v>
      </c>
      <c r="F1890">
        <v>-0.05</v>
      </c>
      <c r="G1890" t="s">
        <v>2291</v>
      </c>
      <c r="H1890">
        <v>1228</v>
      </c>
      <c r="I1890">
        <v>6.65</v>
      </c>
      <c r="J1890">
        <v>6.66</v>
      </c>
      <c r="K1890" t="s">
        <v>3947</v>
      </c>
      <c r="L1890">
        <v>0.68</v>
      </c>
      <c r="M1890" t="s">
        <v>46</v>
      </c>
      <c r="N1890" t="s">
        <v>5360</v>
      </c>
      <c r="O1890">
        <v>6.78</v>
      </c>
      <c r="P1890">
        <v>6.61</v>
      </c>
      <c r="Q1890">
        <v>6.7</v>
      </c>
      <c r="R1890">
        <v>6.7</v>
      </c>
      <c r="S1890">
        <v>2.54</v>
      </c>
      <c r="T1890">
        <v>0.76</v>
      </c>
      <c r="U1890">
        <v>-10.54</v>
      </c>
      <c r="V1890">
        <v>-727</v>
      </c>
      <c r="W1890">
        <v>6.69</v>
      </c>
      <c r="X1890" t="s">
        <v>2514</v>
      </c>
      <c r="Y1890" t="s">
        <v>7862</v>
      </c>
      <c r="Z1890">
        <v>1.33</v>
      </c>
      <c r="AA1890">
        <v>235</v>
      </c>
      <c r="AB1890">
        <v>737</v>
      </c>
      <c r="AC1890">
        <v>1.07</v>
      </c>
      <c r="AD1890" t="s">
        <v>10765</v>
      </c>
      <c r="AE1890" t="s">
        <v>10766</v>
      </c>
      <c r="AF1890" t="s">
        <v>10765</v>
      </c>
      <c r="AG1890" t="s">
        <v>10766</v>
      </c>
      <c r="AH1890">
        <v>-1.04</v>
      </c>
      <c r="AI1890">
        <v>5.22</v>
      </c>
      <c r="AJ1890">
        <v>1.78</v>
      </c>
      <c r="AK1890">
        <v>5.17</v>
      </c>
      <c r="AL1890">
        <v>-1</v>
      </c>
      <c r="AM1890">
        <v>-0.75</v>
      </c>
      <c r="AN1890">
        <v>50.11</v>
      </c>
      <c r="AO1890">
        <v>5.56</v>
      </c>
      <c r="AP1890">
        <v>46.8</v>
      </c>
    </row>
    <row r="1891" spans="1:42">
      <c r="A1891">
        <v>1890</v>
      </c>
      <c r="B1891" t="str">
        <f>"002815"</f>
        <v>002815</v>
      </c>
      <c r="C1891" t="s">
        <v>10767</v>
      </c>
      <c r="D1891">
        <v>10.03</v>
      </c>
      <c r="E1891">
        <v>0.7</v>
      </c>
      <c r="F1891">
        <v>0.07</v>
      </c>
      <c r="G1891" t="s">
        <v>740</v>
      </c>
      <c r="H1891">
        <v>2737</v>
      </c>
      <c r="I1891">
        <v>10.02</v>
      </c>
      <c r="J1891">
        <v>10.03</v>
      </c>
      <c r="K1891" t="s">
        <v>3947</v>
      </c>
      <c r="L1891">
        <v>1.62</v>
      </c>
      <c r="M1891" t="s">
        <v>46</v>
      </c>
      <c r="N1891" t="s">
        <v>10768</v>
      </c>
      <c r="O1891">
        <v>10.05</v>
      </c>
      <c r="P1891">
        <v>9.77</v>
      </c>
      <c r="Q1891">
        <v>9.96</v>
      </c>
      <c r="R1891">
        <v>9.96</v>
      </c>
      <c r="S1891">
        <v>2.81</v>
      </c>
      <c r="T1891">
        <v>1.04</v>
      </c>
      <c r="U1891">
        <v>-40.66</v>
      </c>
      <c r="V1891">
        <v>-1385</v>
      </c>
      <c r="W1891">
        <v>9.94</v>
      </c>
      <c r="X1891" t="s">
        <v>7374</v>
      </c>
      <c r="Y1891" t="s">
        <v>6045</v>
      </c>
      <c r="Z1891">
        <v>1.11</v>
      </c>
      <c r="AA1891">
        <v>398</v>
      </c>
      <c r="AB1891">
        <v>551</v>
      </c>
      <c r="AC1891">
        <v>1.58</v>
      </c>
      <c r="AD1891" t="s">
        <v>7276</v>
      </c>
      <c r="AE1891" t="s">
        <v>5587</v>
      </c>
      <c r="AF1891" t="s">
        <v>10769</v>
      </c>
      <c r="AG1891" t="s">
        <v>10770</v>
      </c>
      <c r="AH1891">
        <v>-2.05</v>
      </c>
      <c r="AI1891">
        <v>-3.19</v>
      </c>
      <c r="AJ1891">
        <v>5.41</v>
      </c>
      <c r="AK1891">
        <v>9.43</v>
      </c>
      <c r="AL1891">
        <v>1</v>
      </c>
      <c r="AM1891">
        <v>0.7</v>
      </c>
      <c r="AN1891">
        <v>4.26</v>
      </c>
      <c r="AO1891">
        <v>-0.79</v>
      </c>
      <c r="AP1891">
        <v>-7.04</v>
      </c>
    </row>
    <row r="1892" spans="1:42">
      <c r="A1892">
        <v>1891</v>
      </c>
      <c r="B1892" t="str">
        <f>"002421"</f>
        <v>002421</v>
      </c>
      <c r="C1892" t="s">
        <v>10771</v>
      </c>
      <c r="D1892">
        <v>3.35</v>
      </c>
      <c r="E1892">
        <v>2.13</v>
      </c>
      <c r="F1892">
        <v>0.07</v>
      </c>
      <c r="G1892" t="s">
        <v>3576</v>
      </c>
      <c r="H1892">
        <v>7386</v>
      </c>
      <c r="I1892">
        <v>3.35</v>
      </c>
      <c r="J1892">
        <v>3.36</v>
      </c>
      <c r="K1892" t="s">
        <v>3947</v>
      </c>
      <c r="L1892">
        <v>1.55</v>
      </c>
      <c r="M1892" t="s">
        <v>46</v>
      </c>
      <c r="N1892" t="s">
        <v>10772</v>
      </c>
      <c r="O1892">
        <v>3.37</v>
      </c>
      <c r="P1892">
        <v>3.25</v>
      </c>
      <c r="Q1892">
        <v>3.28</v>
      </c>
      <c r="R1892">
        <v>3.28</v>
      </c>
      <c r="S1892">
        <v>3.66</v>
      </c>
      <c r="T1892">
        <v>1.09</v>
      </c>
      <c r="U1892">
        <v>-49.62</v>
      </c>
      <c r="V1892" t="s">
        <v>323</v>
      </c>
      <c r="W1892">
        <v>3.32</v>
      </c>
      <c r="X1892" t="s">
        <v>829</v>
      </c>
      <c r="Y1892" t="s">
        <v>2012</v>
      </c>
      <c r="Z1892">
        <v>0.55</v>
      </c>
      <c r="AA1892">
        <v>1557</v>
      </c>
      <c r="AB1892" t="s">
        <v>2694</v>
      </c>
      <c r="AC1892">
        <v>2.09</v>
      </c>
      <c r="AD1892" t="s">
        <v>10773</v>
      </c>
      <c r="AE1892" t="s">
        <v>10774</v>
      </c>
      <c r="AF1892" t="s">
        <v>332</v>
      </c>
      <c r="AG1892" t="s">
        <v>10775</v>
      </c>
      <c r="AH1892">
        <v>0</v>
      </c>
      <c r="AI1892">
        <v>-1.47</v>
      </c>
      <c r="AJ1892">
        <v>4.12</v>
      </c>
      <c r="AK1892">
        <v>8.69</v>
      </c>
      <c r="AL1892">
        <v>1</v>
      </c>
      <c r="AM1892">
        <v>2.13</v>
      </c>
      <c r="AN1892">
        <v>-1.47</v>
      </c>
      <c r="AO1892">
        <v>4.69</v>
      </c>
      <c r="AP1892">
        <v>0</v>
      </c>
    </row>
    <row r="1893" spans="1:42">
      <c r="A1893">
        <v>1892</v>
      </c>
      <c r="B1893" t="str">
        <f>"688516"</f>
        <v>688516</v>
      </c>
      <c r="C1893" t="s">
        <v>10776</v>
      </c>
      <c r="D1893">
        <v>88.44</v>
      </c>
      <c r="E1893">
        <v>-2.87</v>
      </c>
      <c r="F1893">
        <v>-2.61</v>
      </c>
      <c r="G1893" t="s">
        <v>2284</v>
      </c>
      <c r="H1893">
        <v>74</v>
      </c>
      <c r="I1893">
        <v>88.44</v>
      </c>
      <c r="J1893">
        <v>88.55</v>
      </c>
      <c r="K1893" t="s">
        <v>3947</v>
      </c>
      <c r="L1893">
        <v>1.06</v>
      </c>
      <c r="M1893" t="s">
        <v>46</v>
      </c>
      <c r="N1893" t="s">
        <v>4144</v>
      </c>
      <c r="O1893">
        <v>92.79</v>
      </c>
      <c r="P1893">
        <v>88.02</v>
      </c>
      <c r="Q1893">
        <v>91</v>
      </c>
      <c r="R1893">
        <v>91.05</v>
      </c>
      <c r="S1893">
        <v>5.24</v>
      </c>
      <c r="T1893">
        <v>1.56</v>
      </c>
      <c r="U1893">
        <v>9.96</v>
      </c>
      <c r="V1893">
        <v>7</v>
      </c>
      <c r="W1893">
        <v>89.19</v>
      </c>
      <c r="X1893">
        <v>6816</v>
      </c>
      <c r="Y1893">
        <v>4725</v>
      </c>
      <c r="Z1893">
        <v>1.44</v>
      </c>
      <c r="AA1893">
        <v>3</v>
      </c>
      <c r="AB1893">
        <v>2</v>
      </c>
      <c r="AC1893">
        <v>6.39</v>
      </c>
      <c r="AD1893" t="s">
        <v>10777</v>
      </c>
      <c r="AE1893" t="s">
        <v>10778</v>
      </c>
      <c r="AF1893" t="s">
        <v>10779</v>
      </c>
      <c r="AG1893" t="s">
        <v>10780</v>
      </c>
      <c r="AH1893">
        <v>-4.59</v>
      </c>
      <c r="AI1893">
        <v>-6.17</v>
      </c>
      <c r="AJ1893">
        <v>2.31</v>
      </c>
      <c r="AK1893">
        <v>4.46</v>
      </c>
      <c r="AL1893">
        <v>-3</v>
      </c>
      <c r="AM1893">
        <v>-2.87</v>
      </c>
      <c r="AN1893">
        <v>-35.69</v>
      </c>
      <c r="AO1893">
        <v>-5.09</v>
      </c>
      <c r="AP1893">
        <v>-36.31</v>
      </c>
    </row>
    <row r="1894" spans="1:42">
      <c r="A1894">
        <v>1893</v>
      </c>
      <c r="B1894" t="str">
        <f>"300341"</f>
        <v>300341</v>
      </c>
      <c r="C1894" t="s">
        <v>10781</v>
      </c>
      <c r="D1894">
        <v>12.33</v>
      </c>
      <c r="E1894">
        <v>0.82</v>
      </c>
      <c r="F1894">
        <v>0.1</v>
      </c>
      <c r="G1894" t="s">
        <v>2224</v>
      </c>
      <c r="H1894">
        <v>1733</v>
      </c>
      <c r="I1894">
        <v>12.33</v>
      </c>
      <c r="J1894">
        <v>12.34</v>
      </c>
      <c r="K1894" t="s">
        <v>3947</v>
      </c>
      <c r="L1894">
        <v>1.63</v>
      </c>
      <c r="M1894" t="s">
        <v>46</v>
      </c>
      <c r="N1894" t="s">
        <v>185</v>
      </c>
      <c r="O1894">
        <v>12.36</v>
      </c>
      <c r="P1894">
        <v>12.05</v>
      </c>
      <c r="Q1894">
        <v>12.29</v>
      </c>
      <c r="R1894">
        <v>12.23</v>
      </c>
      <c r="S1894">
        <v>2.53</v>
      </c>
      <c r="T1894">
        <v>1.07</v>
      </c>
      <c r="U1894">
        <v>44.24</v>
      </c>
      <c r="V1894">
        <v>1252</v>
      </c>
      <c r="W1894">
        <v>12.2</v>
      </c>
      <c r="X1894" t="s">
        <v>459</v>
      </c>
      <c r="Y1894" t="s">
        <v>2752</v>
      </c>
      <c r="Z1894">
        <v>1.06</v>
      </c>
      <c r="AA1894">
        <v>24</v>
      </c>
      <c r="AB1894">
        <v>75</v>
      </c>
      <c r="AC1894">
        <v>3.83</v>
      </c>
      <c r="AD1894" t="s">
        <v>10782</v>
      </c>
      <c r="AE1894" t="s">
        <v>10783</v>
      </c>
      <c r="AF1894" t="s">
        <v>10784</v>
      </c>
      <c r="AG1894" t="s">
        <v>10785</v>
      </c>
      <c r="AH1894">
        <v>-2.76</v>
      </c>
      <c r="AI1894">
        <v>-4.05</v>
      </c>
      <c r="AJ1894">
        <v>4.73</v>
      </c>
      <c r="AK1894">
        <v>9.26</v>
      </c>
      <c r="AL1894">
        <v>1</v>
      </c>
      <c r="AM1894">
        <v>0.82</v>
      </c>
      <c r="AN1894">
        <v>41.72</v>
      </c>
      <c r="AO1894">
        <v>-9.6</v>
      </c>
      <c r="AP1894">
        <v>27.64</v>
      </c>
    </row>
    <row r="1895" spans="1:42">
      <c r="A1895">
        <v>1894</v>
      </c>
      <c r="B1895" t="str">
        <f>"600521"</f>
        <v>600521</v>
      </c>
      <c r="C1895" t="s">
        <v>10786</v>
      </c>
      <c r="D1895">
        <v>15.63</v>
      </c>
      <c r="E1895">
        <v>-0.13</v>
      </c>
      <c r="F1895">
        <v>-0.02</v>
      </c>
      <c r="G1895" t="s">
        <v>4585</v>
      </c>
      <c r="H1895">
        <v>444</v>
      </c>
      <c r="I1895">
        <v>15.63</v>
      </c>
      <c r="J1895">
        <v>15.64</v>
      </c>
      <c r="K1895" t="s">
        <v>3947</v>
      </c>
      <c r="L1895">
        <v>0.45</v>
      </c>
      <c r="M1895" t="s">
        <v>46</v>
      </c>
      <c r="N1895" t="s">
        <v>7153</v>
      </c>
      <c r="O1895">
        <v>15.78</v>
      </c>
      <c r="P1895">
        <v>15.51</v>
      </c>
      <c r="Q1895">
        <v>15.61</v>
      </c>
      <c r="R1895">
        <v>15.65</v>
      </c>
      <c r="S1895">
        <v>1.73</v>
      </c>
      <c r="T1895">
        <v>0.67</v>
      </c>
      <c r="U1895">
        <v>36.96</v>
      </c>
      <c r="V1895">
        <v>944</v>
      </c>
      <c r="W1895">
        <v>15.63</v>
      </c>
      <c r="X1895" t="s">
        <v>1718</v>
      </c>
      <c r="Y1895" t="s">
        <v>8681</v>
      </c>
      <c r="Z1895">
        <v>1.32</v>
      </c>
      <c r="AA1895">
        <v>835</v>
      </c>
      <c r="AB1895">
        <v>11</v>
      </c>
      <c r="AC1895">
        <v>2.96</v>
      </c>
      <c r="AD1895" t="s">
        <v>4982</v>
      </c>
      <c r="AE1895" t="s">
        <v>10787</v>
      </c>
      <c r="AF1895" t="s">
        <v>10788</v>
      </c>
      <c r="AG1895" t="s">
        <v>10789</v>
      </c>
      <c r="AH1895">
        <v>-0.89</v>
      </c>
      <c r="AI1895">
        <v>-1.14</v>
      </c>
      <c r="AJ1895">
        <v>1.23</v>
      </c>
      <c r="AK1895">
        <v>3.8</v>
      </c>
      <c r="AL1895">
        <v>-1</v>
      </c>
      <c r="AM1895">
        <v>-0.13</v>
      </c>
      <c r="AN1895">
        <v>-27.71</v>
      </c>
      <c r="AO1895">
        <v>-0.82</v>
      </c>
      <c r="AP1895">
        <v>-26.06</v>
      </c>
    </row>
    <row r="1896" spans="1:42">
      <c r="A1896">
        <v>1895</v>
      </c>
      <c r="B1896" t="str">
        <f>"300747"</f>
        <v>300747</v>
      </c>
      <c r="C1896" t="s">
        <v>10790</v>
      </c>
      <c r="D1896">
        <v>24.95</v>
      </c>
      <c r="E1896">
        <v>-0.72</v>
      </c>
      <c r="F1896">
        <v>-0.18</v>
      </c>
      <c r="G1896" t="s">
        <v>10547</v>
      </c>
      <c r="H1896">
        <v>663</v>
      </c>
      <c r="I1896">
        <v>24.94</v>
      </c>
      <c r="J1896">
        <v>24.95</v>
      </c>
      <c r="K1896" t="s">
        <v>3947</v>
      </c>
      <c r="L1896">
        <v>0.81</v>
      </c>
      <c r="M1896" t="s">
        <v>46</v>
      </c>
      <c r="N1896" t="s">
        <v>4111</v>
      </c>
      <c r="O1896">
        <v>25.21</v>
      </c>
      <c r="P1896">
        <v>24.6</v>
      </c>
      <c r="Q1896">
        <v>25.12</v>
      </c>
      <c r="R1896">
        <v>25.13</v>
      </c>
      <c r="S1896">
        <v>2.43</v>
      </c>
      <c r="T1896">
        <v>1</v>
      </c>
      <c r="U1896">
        <v>-29.94</v>
      </c>
      <c r="V1896">
        <v>-253</v>
      </c>
      <c r="W1896">
        <v>24.88</v>
      </c>
      <c r="X1896" t="s">
        <v>2924</v>
      </c>
      <c r="Y1896" t="s">
        <v>1520</v>
      </c>
      <c r="Z1896">
        <v>0.91</v>
      </c>
      <c r="AA1896">
        <v>32</v>
      </c>
      <c r="AB1896">
        <v>146</v>
      </c>
      <c r="AC1896">
        <v>4.43</v>
      </c>
      <c r="AD1896" t="s">
        <v>10791</v>
      </c>
      <c r="AE1896" t="s">
        <v>10792</v>
      </c>
      <c r="AF1896" t="s">
        <v>10793</v>
      </c>
      <c r="AG1896" t="s">
        <v>10295</v>
      </c>
      <c r="AH1896">
        <v>-2.92</v>
      </c>
      <c r="AI1896">
        <v>-4.11</v>
      </c>
      <c r="AJ1896">
        <v>2.31</v>
      </c>
      <c r="AK1896">
        <v>4.88</v>
      </c>
      <c r="AL1896">
        <v>-3</v>
      </c>
      <c r="AM1896">
        <v>-0.72</v>
      </c>
      <c r="AN1896">
        <v>5.94</v>
      </c>
      <c r="AO1896">
        <v>2.17</v>
      </c>
      <c r="AP1896">
        <v>-13.01</v>
      </c>
    </row>
    <row r="1897" spans="1:42">
      <c r="A1897">
        <v>1896</v>
      </c>
      <c r="B1897" t="str">
        <f>"002299"</f>
        <v>002299</v>
      </c>
      <c r="C1897" t="s">
        <v>10794</v>
      </c>
      <c r="D1897">
        <v>17.89</v>
      </c>
      <c r="E1897">
        <v>-1.43</v>
      </c>
      <c r="F1897">
        <v>-0.26</v>
      </c>
      <c r="G1897" t="s">
        <v>5878</v>
      </c>
      <c r="H1897">
        <v>429</v>
      </c>
      <c r="I1897">
        <v>17.88</v>
      </c>
      <c r="J1897">
        <v>17.89</v>
      </c>
      <c r="K1897" t="s">
        <v>3947</v>
      </c>
      <c r="L1897">
        <v>0.46</v>
      </c>
      <c r="M1897" t="s">
        <v>46</v>
      </c>
      <c r="N1897" t="s">
        <v>7145</v>
      </c>
      <c r="O1897">
        <v>18.18</v>
      </c>
      <c r="P1897">
        <v>17.8</v>
      </c>
      <c r="Q1897">
        <v>18.1</v>
      </c>
      <c r="R1897">
        <v>18.15</v>
      </c>
      <c r="S1897">
        <v>2.09</v>
      </c>
      <c r="T1897">
        <v>0.8</v>
      </c>
      <c r="U1897">
        <v>34.36</v>
      </c>
      <c r="V1897">
        <v>733</v>
      </c>
      <c r="W1897">
        <v>17.94</v>
      </c>
      <c r="X1897" t="s">
        <v>5975</v>
      </c>
      <c r="Y1897" t="s">
        <v>2329</v>
      </c>
      <c r="Z1897">
        <v>1.99</v>
      </c>
      <c r="AA1897">
        <v>343</v>
      </c>
      <c r="AB1897">
        <v>161</v>
      </c>
      <c r="AC1897">
        <v>2.14</v>
      </c>
      <c r="AD1897" t="s">
        <v>2169</v>
      </c>
      <c r="AE1897" t="s">
        <v>10795</v>
      </c>
      <c r="AF1897" t="s">
        <v>2987</v>
      </c>
      <c r="AG1897" t="s">
        <v>10796</v>
      </c>
      <c r="AH1897">
        <v>-1.43</v>
      </c>
      <c r="AI1897">
        <v>-2.35</v>
      </c>
      <c r="AJ1897">
        <v>1.33</v>
      </c>
      <c r="AK1897">
        <v>3.38</v>
      </c>
      <c r="AL1897">
        <v>-1</v>
      </c>
      <c r="AM1897">
        <v>-1.43</v>
      </c>
      <c r="AN1897">
        <v>-23.84</v>
      </c>
      <c r="AO1897">
        <v>-2.82</v>
      </c>
      <c r="AP1897">
        <v>-30.74</v>
      </c>
    </row>
    <row r="1898" spans="1:42">
      <c r="A1898">
        <v>1897</v>
      </c>
      <c r="B1898" t="str">
        <f>"603899"</f>
        <v>603899</v>
      </c>
      <c r="C1898" t="s">
        <v>10797</v>
      </c>
      <c r="D1898">
        <v>39.74</v>
      </c>
      <c r="E1898">
        <v>0.03</v>
      </c>
      <c r="F1898">
        <v>0.01</v>
      </c>
      <c r="G1898" t="s">
        <v>117</v>
      </c>
      <c r="H1898">
        <v>136</v>
      </c>
      <c r="I1898">
        <v>39.74</v>
      </c>
      <c r="J1898">
        <v>39.75</v>
      </c>
      <c r="K1898" t="s">
        <v>9735</v>
      </c>
      <c r="L1898">
        <v>0.28</v>
      </c>
      <c r="M1898" t="s">
        <v>46</v>
      </c>
      <c r="N1898" t="s">
        <v>2216</v>
      </c>
      <c r="O1898">
        <v>39.84</v>
      </c>
      <c r="P1898">
        <v>39.04</v>
      </c>
      <c r="Q1898">
        <v>39.58</v>
      </c>
      <c r="R1898">
        <v>39.73</v>
      </c>
      <c r="S1898">
        <v>2.01</v>
      </c>
      <c r="T1898">
        <v>1.42</v>
      </c>
      <c r="U1898">
        <v>-9.2</v>
      </c>
      <c r="V1898">
        <v>-15</v>
      </c>
      <c r="W1898">
        <v>39.44</v>
      </c>
      <c r="X1898" t="s">
        <v>734</v>
      </c>
      <c r="Y1898" t="s">
        <v>7656</v>
      </c>
      <c r="Z1898">
        <v>0.75</v>
      </c>
      <c r="AA1898">
        <v>50</v>
      </c>
      <c r="AB1898">
        <v>5</v>
      </c>
      <c r="AC1898">
        <v>4.94</v>
      </c>
      <c r="AD1898" t="s">
        <v>10798</v>
      </c>
      <c r="AE1898" t="s">
        <v>10799</v>
      </c>
      <c r="AF1898" t="s">
        <v>10800</v>
      </c>
      <c r="AG1898" t="s">
        <v>10801</v>
      </c>
      <c r="AH1898">
        <v>1.46</v>
      </c>
      <c r="AI1898">
        <v>-1.61</v>
      </c>
      <c r="AJ1898">
        <v>0.62</v>
      </c>
      <c r="AK1898">
        <v>1.27</v>
      </c>
      <c r="AL1898">
        <v>3</v>
      </c>
      <c r="AM1898">
        <v>0.03</v>
      </c>
      <c r="AN1898">
        <v>-27.06</v>
      </c>
      <c r="AO1898">
        <v>-1.37</v>
      </c>
      <c r="AP1898">
        <v>-13.57</v>
      </c>
    </row>
    <row r="1899" spans="1:42">
      <c r="A1899">
        <v>1898</v>
      </c>
      <c r="B1899" t="str">
        <f>"600909"</f>
        <v>600909</v>
      </c>
      <c r="C1899" t="s">
        <v>10802</v>
      </c>
      <c r="D1899">
        <v>4.91</v>
      </c>
      <c r="E1899">
        <v>0.82</v>
      </c>
      <c r="F1899">
        <v>0.04</v>
      </c>
      <c r="G1899" t="s">
        <v>3217</v>
      </c>
      <c r="H1899">
        <v>3374</v>
      </c>
      <c r="I1899">
        <v>4.9</v>
      </c>
      <c r="J1899">
        <v>4.91</v>
      </c>
      <c r="K1899" t="s">
        <v>9735</v>
      </c>
      <c r="L1899">
        <v>0.45</v>
      </c>
      <c r="M1899" t="s">
        <v>46</v>
      </c>
      <c r="N1899" t="s">
        <v>3703</v>
      </c>
      <c r="O1899">
        <v>4.92</v>
      </c>
      <c r="P1899">
        <v>4.86</v>
      </c>
      <c r="Q1899">
        <v>4.88</v>
      </c>
      <c r="R1899">
        <v>4.87</v>
      </c>
      <c r="S1899">
        <v>1.23</v>
      </c>
      <c r="T1899">
        <v>0.88</v>
      </c>
      <c r="U1899">
        <v>-0.68</v>
      </c>
      <c r="V1899">
        <v>-295</v>
      </c>
      <c r="W1899">
        <v>4.89</v>
      </c>
      <c r="X1899" t="s">
        <v>6697</v>
      </c>
      <c r="Y1899" t="s">
        <v>4369</v>
      </c>
      <c r="Z1899">
        <v>0.84</v>
      </c>
      <c r="AA1899">
        <v>4777</v>
      </c>
      <c r="AB1899">
        <v>1414</v>
      </c>
      <c r="AC1899">
        <v>1.13</v>
      </c>
      <c r="AD1899" t="s">
        <v>10803</v>
      </c>
      <c r="AE1899" t="s">
        <v>3020</v>
      </c>
      <c r="AF1899" t="s">
        <v>10803</v>
      </c>
      <c r="AG1899" t="s">
        <v>3020</v>
      </c>
      <c r="AH1899">
        <v>0.41</v>
      </c>
      <c r="AI1899">
        <v>-1.01</v>
      </c>
      <c r="AJ1899">
        <v>1.32</v>
      </c>
      <c r="AK1899">
        <v>2.98</v>
      </c>
      <c r="AL1899">
        <v>2</v>
      </c>
      <c r="AM1899">
        <v>0.82</v>
      </c>
      <c r="AN1899">
        <v>9.35</v>
      </c>
      <c r="AO1899">
        <v>2.72</v>
      </c>
      <c r="AP1899">
        <v>2.08</v>
      </c>
    </row>
    <row r="1900" spans="1:42">
      <c r="A1900">
        <v>1899</v>
      </c>
      <c r="B1900" t="str">
        <f>"601500"</f>
        <v>601500</v>
      </c>
      <c r="C1900" t="s">
        <v>10804</v>
      </c>
      <c r="D1900">
        <v>4.1</v>
      </c>
      <c r="E1900">
        <v>-1.91</v>
      </c>
      <c r="F1900">
        <v>-0.08</v>
      </c>
      <c r="G1900" t="s">
        <v>2096</v>
      </c>
      <c r="H1900">
        <v>885</v>
      </c>
      <c r="I1900">
        <v>4.1</v>
      </c>
      <c r="J1900">
        <v>4.11</v>
      </c>
      <c r="K1900" t="s">
        <v>9735</v>
      </c>
      <c r="L1900">
        <v>1.58</v>
      </c>
      <c r="M1900" t="s">
        <v>46</v>
      </c>
      <c r="N1900" t="s">
        <v>78</v>
      </c>
      <c r="O1900">
        <v>4.17</v>
      </c>
      <c r="P1900">
        <v>4.08</v>
      </c>
      <c r="Q1900">
        <v>4.17</v>
      </c>
      <c r="R1900">
        <v>4.18</v>
      </c>
      <c r="S1900">
        <v>2.15</v>
      </c>
      <c r="T1900">
        <v>1.11</v>
      </c>
      <c r="U1900">
        <v>-28.05</v>
      </c>
      <c r="V1900">
        <v>-9364</v>
      </c>
      <c r="W1900">
        <v>4.12</v>
      </c>
      <c r="X1900" t="s">
        <v>1376</v>
      </c>
      <c r="Y1900" t="s">
        <v>656</v>
      </c>
      <c r="Z1900">
        <v>1.21</v>
      </c>
      <c r="AA1900">
        <v>1453</v>
      </c>
      <c r="AB1900">
        <v>7583</v>
      </c>
      <c r="AC1900">
        <v>1.19</v>
      </c>
      <c r="AD1900" t="s">
        <v>10805</v>
      </c>
      <c r="AE1900" t="s">
        <v>10806</v>
      </c>
      <c r="AF1900" t="s">
        <v>2084</v>
      </c>
      <c r="AG1900" t="s">
        <v>10807</v>
      </c>
      <c r="AH1900">
        <v>-2.61</v>
      </c>
      <c r="AI1900">
        <v>0.24</v>
      </c>
      <c r="AJ1900">
        <v>4.6</v>
      </c>
      <c r="AK1900">
        <v>8.71</v>
      </c>
      <c r="AL1900">
        <v>-3</v>
      </c>
      <c r="AM1900">
        <v>-1.91</v>
      </c>
      <c r="AN1900">
        <v>11.72</v>
      </c>
      <c r="AO1900">
        <v>5.67</v>
      </c>
      <c r="AP1900">
        <v>5.94</v>
      </c>
    </row>
    <row r="1901" spans="1:42">
      <c r="A1901">
        <v>1900</v>
      </c>
      <c r="B1901" t="str">
        <f>"600456"</f>
        <v>600456</v>
      </c>
      <c r="C1901" t="s">
        <v>10808</v>
      </c>
      <c r="D1901">
        <v>32.82</v>
      </c>
      <c r="E1901">
        <v>-0.42</v>
      </c>
      <c r="F1901">
        <v>-0.14</v>
      </c>
      <c r="G1901" t="s">
        <v>3260</v>
      </c>
      <c r="H1901">
        <v>152</v>
      </c>
      <c r="I1901">
        <v>32.82</v>
      </c>
      <c r="J1901">
        <v>32.83</v>
      </c>
      <c r="K1901" t="s">
        <v>9735</v>
      </c>
      <c r="L1901">
        <v>0.65</v>
      </c>
      <c r="M1901" t="s">
        <v>46</v>
      </c>
      <c r="N1901" t="s">
        <v>5682</v>
      </c>
      <c r="O1901">
        <v>33.07</v>
      </c>
      <c r="P1901">
        <v>32.5</v>
      </c>
      <c r="Q1901">
        <v>32.96</v>
      </c>
      <c r="R1901">
        <v>32.96</v>
      </c>
      <c r="S1901">
        <v>1.73</v>
      </c>
      <c r="T1901">
        <v>0.97</v>
      </c>
      <c r="U1901">
        <v>20.82</v>
      </c>
      <c r="V1901">
        <v>46</v>
      </c>
      <c r="W1901">
        <v>32.73</v>
      </c>
      <c r="X1901" t="s">
        <v>882</v>
      </c>
      <c r="Y1901" t="s">
        <v>8636</v>
      </c>
      <c r="Z1901">
        <v>1.59</v>
      </c>
      <c r="AA1901">
        <v>5</v>
      </c>
      <c r="AB1901">
        <v>13</v>
      </c>
      <c r="AC1901">
        <v>2.4</v>
      </c>
      <c r="AD1901" t="s">
        <v>4199</v>
      </c>
      <c r="AE1901" t="s">
        <v>6669</v>
      </c>
      <c r="AF1901" t="s">
        <v>4199</v>
      </c>
      <c r="AG1901" t="s">
        <v>6669</v>
      </c>
      <c r="AH1901">
        <v>-2.7</v>
      </c>
      <c r="AI1901">
        <v>-5.39</v>
      </c>
      <c r="AJ1901">
        <v>2.14</v>
      </c>
      <c r="AK1901">
        <v>4.02</v>
      </c>
      <c r="AL1901">
        <v>-6</v>
      </c>
      <c r="AM1901">
        <v>-0.42</v>
      </c>
      <c r="AN1901">
        <v>-18.78</v>
      </c>
      <c r="AO1901">
        <v>-1</v>
      </c>
      <c r="AP1901">
        <v>-21.6</v>
      </c>
    </row>
    <row r="1902" spans="1:42">
      <c r="A1902">
        <v>1901</v>
      </c>
      <c r="B1902" t="str">
        <f>"300396"</f>
        <v>300396</v>
      </c>
      <c r="C1902" t="s">
        <v>10809</v>
      </c>
      <c r="D1902">
        <v>32.8</v>
      </c>
      <c r="E1902">
        <v>0.09</v>
      </c>
      <c r="F1902">
        <v>0.03</v>
      </c>
      <c r="G1902" t="s">
        <v>10810</v>
      </c>
      <c r="H1902">
        <v>203</v>
      </c>
      <c r="I1902">
        <v>32.79</v>
      </c>
      <c r="J1902">
        <v>32.8</v>
      </c>
      <c r="K1902" t="s">
        <v>9735</v>
      </c>
      <c r="L1902">
        <v>1.25</v>
      </c>
      <c r="M1902" t="s">
        <v>46</v>
      </c>
      <c r="N1902" t="s">
        <v>289</v>
      </c>
      <c r="O1902">
        <v>33</v>
      </c>
      <c r="P1902">
        <v>31.18</v>
      </c>
      <c r="Q1902">
        <v>32.28</v>
      </c>
      <c r="R1902">
        <v>32.77</v>
      </c>
      <c r="S1902">
        <v>5.55</v>
      </c>
      <c r="T1902">
        <v>1.28</v>
      </c>
      <c r="U1902">
        <v>-28.48</v>
      </c>
      <c r="V1902">
        <v>-90</v>
      </c>
      <c r="W1902">
        <v>31.98</v>
      </c>
      <c r="X1902" t="s">
        <v>128</v>
      </c>
      <c r="Y1902" t="s">
        <v>1777</v>
      </c>
      <c r="Z1902">
        <v>1.37</v>
      </c>
      <c r="AA1902">
        <v>29</v>
      </c>
      <c r="AB1902">
        <v>132</v>
      </c>
      <c r="AC1902">
        <v>4.42</v>
      </c>
      <c r="AD1902" t="s">
        <v>10811</v>
      </c>
      <c r="AE1902" t="s">
        <v>10812</v>
      </c>
      <c r="AF1902" t="s">
        <v>10813</v>
      </c>
      <c r="AG1902" t="s">
        <v>10814</v>
      </c>
      <c r="AH1902">
        <v>5.57</v>
      </c>
      <c r="AI1902">
        <v>5.81</v>
      </c>
      <c r="AJ1902">
        <v>2.96</v>
      </c>
      <c r="AK1902">
        <v>6.13</v>
      </c>
      <c r="AL1902">
        <v>3</v>
      </c>
      <c r="AM1902">
        <v>0.09</v>
      </c>
      <c r="AN1902">
        <v>35.93</v>
      </c>
      <c r="AO1902">
        <v>25.53</v>
      </c>
      <c r="AP1902">
        <v>31.73</v>
      </c>
    </row>
    <row r="1903" spans="1:42">
      <c r="A1903">
        <v>1902</v>
      </c>
      <c r="B1903" t="str">
        <f>"600721"</f>
        <v>600721</v>
      </c>
      <c r="C1903" t="s">
        <v>10815</v>
      </c>
      <c r="D1903">
        <v>8.75</v>
      </c>
      <c r="E1903">
        <v>1.39</v>
      </c>
      <c r="F1903">
        <v>0.12</v>
      </c>
      <c r="G1903" t="s">
        <v>1807</v>
      </c>
      <c r="H1903">
        <v>1014</v>
      </c>
      <c r="I1903">
        <v>8.75</v>
      </c>
      <c r="J1903">
        <v>8.76</v>
      </c>
      <c r="K1903" t="s">
        <v>9735</v>
      </c>
      <c r="L1903">
        <v>3.07</v>
      </c>
      <c r="M1903" t="s">
        <v>46</v>
      </c>
      <c r="N1903" t="s">
        <v>5445</v>
      </c>
      <c r="O1903">
        <v>8.83</v>
      </c>
      <c r="P1903">
        <v>8.61</v>
      </c>
      <c r="Q1903">
        <v>8.63</v>
      </c>
      <c r="R1903">
        <v>8.63</v>
      </c>
      <c r="S1903">
        <v>2.55</v>
      </c>
      <c r="T1903">
        <v>0.72</v>
      </c>
      <c r="U1903">
        <v>-9.57</v>
      </c>
      <c r="V1903">
        <v>-759</v>
      </c>
      <c r="W1903">
        <v>8.71</v>
      </c>
      <c r="X1903" t="s">
        <v>1577</v>
      </c>
      <c r="Y1903" t="s">
        <v>4900</v>
      </c>
      <c r="Z1903">
        <v>0.99</v>
      </c>
      <c r="AA1903">
        <v>933</v>
      </c>
      <c r="AB1903">
        <v>523</v>
      </c>
      <c r="AC1903">
        <v>4.61</v>
      </c>
      <c r="AD1903" t="s">
        <v>10816</v>
      </c>
      <c r="AE1903" t="s">
        <v>10817</v>
      </c>
      <c r="AF1903" t="s">
        <v>10816</v>
      </c>
      <c r="AG1903" t="s">
        <v>10817</v>
      </c>
      <c r="AH1903">
        <v>-0.68</v>
      </c>
      <c r="AI1903">
        <v>-4.06</v>
      </c>
      <c r="AJ1903">
        <v>8.24</v>
      </c>
      <c r="AK1903">
        <v>24.51</v>
      </c>
      <c r="AL1903">
        <v>1</v>
      </c>
      <c r="AM1903">
        <v>1.39</v>
      </c>
      <c r="AN1903">
        <v>42.51</v>
      </c>
      <c r="AO1903">
        <v>3.8</v>
      </c>
      <c r="AP1903">
        <v>15.44</v>
      </c>
    </row>
    <row r="1904" spans="1:42">
      <c r="A1904">
        <v>1903</v>
      </c>
      <c r="B1904" t="str">
        <f>"002079"</f>
        <v>002079</v>
      </c>
      <c r="C1904" t="s">
        <v>10818</v>
      </c>
      <c r="D1904">
        <v>11.72</v>
      </c>
      <c r="E1904">
        <v>0.26</v>
      </c>
      <c r="F1904">
        <v>0.03</v>
      </c>
      <c r="G1904" t="s">
        <v>4893</v>
      </c>
      <c r="H1904">
        <v>882</v>
      </c>
      <c r="I1904">
        <v>11.71</v>
      </c>
      <c r="J1904">
        <v>11.72</v>
      </c>
      <c r="K1904" t="s">
        <v>9735</v>
      </c>
      <c r="L1904">
        <v>1.09</v>
      </c>
      <c r="M1904" t="s">
        <v>46</v>
      </c>
      <c r="N1904" t="s">
        <v>8097</v>
      </c>
      <c r="O1904">
        <v>11.79</v>
      </c>
      <c r="P1904">
        <v>11.57</v>
      </c>
      <c r="Q1904">
        <v>11.7</v>
      </c>
      <c r="R1904">
        <v>11.69</v>
      </c>
      <c r="S1904">
        <v>1.88</v>
      </c>
      <c r="T1904">
        <v>0.81</v>
      </c>
      <c r="U1904">
        <v>12.25</v>
      </c>
      <c r="V1904">
        <v>417</v>
      </c>
      <c r="W1904">
        <v>11.68</v>
      </c>
      <c r="X1904" t="s">
        <v>5644</v>
      </c>
      <c r="Y1904" t="s">
        <v>5355</v>
      </c>
      <c r="Z1904">
        <v>1.14</v>
      </c>
      <c r="AA1904">
        <v>402</v>
      </c>
      <c r="AB1904">
        <v>12</v>
      </c>
      <c r="AC1904">
        <v>3.36</v>
      </c>
      <c r="AD1904" t="s">
        <v>10819</v>
      </c>
      <c r="AE1904" t="s">
        <v>10820</v>
      </c>
      <c r="AF1904" t="s">
        <v>10821</v>
      </c>
      <c r="AG1904" t="s">
        <v>3554</v>
      </c>
      <c r="AH1904">
        <v>-1.6</v>
      </c>
      <c r="AI1904">
        <v>-2.9</v>
      </c>
      <c r="AJ1904">
        <v>4.01</v>
      </c>
      <c r="AK1904">
        <v>7.84</v>
      </c>
      <c r="AL1904">
        <v>1</v>
      </c>
      <c r="AM1904">
        <v>0.26</v>
      </c>
      <c r="AN1904">
        <v>-12.28</v>
      </c>
      <c r="AO1904">
        <v>-2.58</v>
      </c>
      <c r="AP1904">
        <v>-23.1</v>
      </c>
    </row>
    <row r="1905" spans="1:42">
      <c r="A1905">
        <v>1904</v>
      </c>
      <c r="B1905" t="str">
        <f>"600238"</f>
        <v>600238</v>
      </c>
      <c r="C1905" t="s">
        <v>10822</v>
      </c>
      <c r="D1905">
        <v>10.91</v>
      </c>
      <c r="E1905">
        <v>0.28</v>
      </c>
      <c r="F1905">
        <v>0.03</v>
      </c>
      <c r="G1905" t="s">
        <v>8145</v>
      </c>
      <c r="H1905">
        <v>1998</v>
      </c>
      <c r="I1905">
        <v>10.9</v>
      </c>
      <c r="J1905">
        <v>10.91</v>
      </c>
      <c r="K1905" t="s">
        <v>9735</v>
      </c>
      <c r="L1905">
        <v>2.11</v>
      </c>
      <c r="M1905" t="s">
        <v>46</v>
      </c>
      <c r="N1905" t="s">
        <v>6883</v>
      </c>
      <c r="O1905">
        <v>10.95</v>
      </c>
      <c r="P1905">
        <v>10.72</v>
      </c>
      <c r="Q1905">
        <v>10.81</v>
      </c>
      <c r="R1905">
        <v>10.88</v>
      </c>
      <c r="S1905">
        <v>2.11</v>
      </c>
      <c r="T1905">
        <v>0.72</v>
      </c>
      <c r="U1905">
        <v>-21.15</v>
      </c>
      <c r="V1905">
        <v>-1239</v>
      </c>
      <c r="W1905">
        <v>10.83</v>
      </c>
      <c r="X1905" t="s">
        <v>4766</v>
      </c>
      <c r="Y1905" t="s">
        <v>6045</v>
      </c>
      <c r="Z1905">
        <v>0.91</v>
      </c>
      <c r="AA1905">
        <v>161</v>
      </c>
      <c r="AB1905">
        <v>173</v>
      </c>
      <c r="AC1905">
        <v>15.84</v>
      </c>
      <c r="AD1905" t="s">
        <v>2740</v>
      </c>
      <c r="AE1905" t="s">
        <v>10823</v>
      </c>
      <c r="AF1905" t="s">
        <v>10824</v>
      </c>
      <c r="AG1905" t="s">
        <v>10825</v>
      </c>
      <c r="AH1905">
        <v>1.49</v>
      </c>
      <c r="AI1905">
        <v>4.2</v>
      </c>
      <c r="AJ1905">
        <v>8.02</v>
      </c>
      <c r="AK1905">
        <v>16.83</v>
      </c>
      <c r="AL1905">
        <v>1</v>
      </c>
      <c r="AM1905">
        <v>0.28</v>
      </c>
      <c r="AN1905">
        <v>-31.81</v>
      </c>
      <c r="AO1905">
        <v>8.56</v>
      </c>
      <c r="AP1905">
        <v>7.28</v>
      </c>
    </row>
    <row r="1906" spans="1:42">
      <c r="A1906">
        <v>1905</v>
      </c>
      <c r="B1906" t="str">
        <f>"002597"</f>
        <v>002597</v>
      </c>
      <c r="C1906" t="s">
        <v>10826</v>
      </c>
      <c r="D1906">
        <v>20.46</v>
      </c>
      <c r="E1906">
        <v>0.84</v>
      </c>
      <c r="F1906">
        <v>0.17</v>
      </c>
      <c r="G1906" t="s">
        <v>3736</v>
      </c>
      <c r="H1906">
        <v>262</v>
      </c>
      <c r="I1906">
        <v>20.43</v>
      </c>
      <c r="J1906">
        <v>20.46</v>
      </c>
      <c r="K1906" t="s">
        <v>9735</v>
      </c>
      <c r="L1906">
        <v>0.89</v>
      </c>
      <c r="M1906" t="s">
        <v>46</v>
      </c>
      <c r="N1906" t="s">
        <v>1720</v>
      </c>
      <c r="O1906">
        <v>20.56</v>
      </c>
      <c r="P1906">
        <v>19.94</v>
      </c>
      <c r="Q1906">
        <v>20.32</v>
      </c>
      <c r="R1906">
        <v>20.29</v>
      </c>
      <c r="S1906">
        <v>3.06</v>
      </c>
      <c r="T1906">
        <v>1.79</v>
      </c>
      <c r="U1906">
        <v>-2.55</v>
      </c>
      <c r="V1906">
        <v>-24</v>
      </c>
      <c r="W1906">
        <v>20.21</v>
      </c>
      <c r="X1906" t="s">
        <v>7993</v>
      </c>
      <c r="Y1906" t="s">
        <v>8267</v>
      </c>
      <c r="Z1906">
        <v>1.26</v>
      </c>
      <c r="AA1906">
        <v>67</v>
      </c>
      <c r="AB1906">
        <v>33</v>
      </c>
      <c r="AC1906">
        <v>1.72</v>
      </c>
      <c r="AD1906" t="s">
        <v>10827</v>
      </c>
      <c r="AE1906" t="s">
        <v>8864</v>
      </c>
      <c r="AF1906" t="s">
        <v>5052</v>
      </c>
      <c r="AG1906" t="s">
        <v>972</v>
      </c>
      <c r="AH1906">
        <v>-1.63</v>
      </c>
      <c r="AI1906">
        <v>-4.88</v>
      </c>
      <c r="AJ1906">
        <v>1.77</v>
      </c>
      <c r="AK1906">
        <v>3.37</v>
      </c>
      <c r="AL1906">
        <v>1</v>
      </c>
      <c r="AM1906">
        <v>0.84</v>
      </c>
      <c r="AN1906">
        <v>-35.46</v>
      </c>
      <c r="AO1906">
        <v>-5.67</v>
      </c>
      <c r="AP1906">
        <v>-39.31</v>
      </c>
    </row>
    <row r="1907" spans="1:42">
      <c r="A1907">
        <v>1906</v>
      </c>
      <c r="B1907" t="str">
        <f>"300863"</f>
        <v>300863</v>
      </c>
      <c r="C1907" t="s">
        <v>10828</v>
      </c>
      <c r="D1907">
        <v>50.54</v>
      </c>
      <c r="E1907">
        <v>-1.86</v>
      </c>
      <c r="F1907">
        <v>-0.96</v>
      </c>
      <c r="G1907" t="s">
        <v>4976</v>
      </c>
      <c r="H1907">
        <v>232</v>
      </c>
      <c r="I1907">
        <v>50.54</v>
      </c>
      <c r="J1907">
        <v>50.55</v>
      </c>
      <c r="K1907" t="s">
        <v>9735</v>
      </c>
      <c r="L1907">
        <v>6.06</v>
      </c>
      <c r="M1907" t="s">
        <v>46</v>
      </c>
      <c r="N1907" t="s">
        <v>10829</v>
      </c>
      <c r="O1907">
        <v>51.7</v>
      </c>
      <c r="P1907">
        <v>49.9</v>
      </c>
      <c r="Q1907">
        <v>51.51</v>
      </c>
      <c r="R1907">
        <v>51.5</v>
      </c>
      <c r="S1907">
        <v>3.5</v>
      </c>
      <c r="T1907">
        <v>0.76</v>
      </c>
      <c r="U1907">
        <v>-8.42</v>
      </c>
      <c r="V1907">
        <v>-16</v>
      </c>
      <c r="W1907">
        <v>50.48</v>
      </c>
      <c r="X1907" t="s">
        <v>4792</v>
      </c>
      <c r="Y1907">
        <v>7867</v>
      </c>
      <c r="Z1907">
        <v>1.56</v>
      </c>
      <c r="AA1907">
        <v>10</v>
      </c>
      <c r="AB1907">
        <v>12</v>
      </c>
      <c r="AC1907">
        <v>3.88</v>
      </c>
      <c r="AD1907" t="s">
        <v>10830</v>
      </c>
      <c r="AE1907" t="s">
        <v>8289</v>
      </c>
      <c r="AF1907" t="s">
        <v>10831</v>
      </c>
      <c r="AG1907" t="s">
        <v>8380</v>
      </c>
      <c r="AH1907">
        <v>-5.74</v>
      </c>
      <c r="AI1907">
        <v>-3.33</v>
      </c>
      <c r="AJ1907">
        <v>24.25</v>
      </c>
      <c r="AK1907">
        <v>45.85</v>
      </c>
      <c r="AL1907">
        <v>-3</v>
      </c>
      <c r="AM1907">
        <v>-1.86</v>
      </c>
      <c r="AN1907">
        <v>-8.69</v>
      </c>
      <c r="AO1907">
        <v>0.98</v>
      </c>
      <c r="AP1907">
        <v>-4.41</v>
      </c>
    </row>
    <row r="1908" spans="1:42">
      <c r="A1908">
        <v>1907</v>
      </c>
      <c r="B1908" t="str">
        <f>"300355"</f>
        <v>300355</v>
      </c>
      <c r="C1908" t="s">
        <v>10832</v>
      </c>
      <c r="D1908">
        <v>3.98</v>
      </c>
      <c r="E1908">
        <v>1.02</v>
      </c>
      <c r="F1908">
        <v>0.04</v>
      </c>
      <c r="G1908" t="s">
        <v>1983</v>
      </c>
      <c r="H1908">
        <v>3334</v>
      </c>
      <c r="I1908">
        <v>3.97</v>
      </c>
      <c r="J1908">
        <v>3.98</v>
      </c>
      <c r="K1908" t="s">
        <v>5249</v>
      </c>
      <c r="L1908">
        <v>1.87</v>
      </c>
      <c r="M1908" t="s">
        <v>46</v>
      </c>
      <c r="N1908" t="s">
        <v>517</v>
      </c>
      <c r="O1908">
        <v>3.99</v>
      </c>
      <c r="P1908">
        <v>3.92</v>
      </c>
      <c r="Q1908">
        <v>3.94</v>
      </c>
      <c r="R1908">
        <v>3.94</v>
      </c>
      <c r="S1908">
        <v>1.78</v>
      </c>
      <c r="T1908">
        <v>1.1</v>
      </c>
      <c r="U1908">
        <v>-5.54</v>
      </c>
      <c r="V1908">
        <v>-2535</v>
      </c>
      <c r="W1908">
        <v>3.95</v>
      </c>
      <c r="X1908" t="s">
        <v>3385</v>
      </c>
      <c r="Y1908" t="s">
        <v>4356</v>
      </c>
      <c r="Z1908">
        <v>1.24</v>
      </c>
      <c r="AA1908">
        <v>1426</v>
      </c>
      <c r="AB1908">
        <v>6500</v>
      </c>
      <c r="AC1908">
        <v>1.43</v>
      </c>
      <c r="AD1908" t="s">
        <v>569</v>
      </c>
      <c r="AE1908" t="s">
        <v>10104</v>
      </c>
      <c r="AF1908" t="s">
        <v>10833</v>
      </c>
      <c r="AG1908" t="s">
        <v>10834</v>
      </c>
      <c r="AH1908">
        <v>-0.75</v>
      </c>
      <c r="AI1908">
        <v>-2.21</v>
      </c>
      <c r="AJ1908">
        <v>5.1</v>
      </c>
      <c r="AK1908">
        <v>10.4</v>
      </c>
      <c r="AL1908">
        <v>1</v>
      </c>
      <c r="AM1908">
        <v>1.02</v>
      </c>
      <c r="AN1908">
        <v>30.92</v>
      </c>
      <c r="AO1908">
        <v>-4.33</v>
      </c>
      <c r="AP1908">
        <v>19.88</v>
      </c>
    </row>
    <row r="1909" spans="1:42">
      <c r="A1909">
        <v>1908</v>
      </c>
      <c r="B1909" t="str">
        <f>"300267"</f>
        <v>300267</v>
      </c>
      <c r="C1909" t="s">
        <v>10835</v>
      </c>
      <c r="D1909">
        <v>3.58</v>
      </c>
      <c r="E1909">
        <v>0.85</v>
      </c>
      <c r="F1909">
        <v>0.03</v>
      </c>
      <c r="G1909" t="s">
        <v>1394</v>
      </c>
      <c r="H1909">
        <v>3232</v>
      </c>
      <c r="I1909">
        <v>3.57</v>
      </c>
      <c r="J1909">
        <v>3.58</v>
      </c>
      <c r="K1909" t="s">
        <v>5249</v>
      </c>
      <c r="L1909">
        <v>1.99</v>
      </c>
      <c r="M1909" t="s">
        <v>46</v>
      </c>
      <c r="N1909" t="s">
        <v>4326</v>
      </c>
      <c r="O1909">
        <v>3.62</v>
      </c>
      <c r="P1909">
        <v>3.53</v>
      </c>
      <c r="Q1909">
        <v>3.55</v>
      </c>
      <c r="R1909">
        <v>3.55</v>
      </c>
      <c r="S1909">
        <v>2.54</v>
      </c>
      <c r="T1909">
        <v>0.54</v>
      </c>
      <c r="U1909">
        <v>-2.52</v>
      </c>
      <c r="V1909">
        <v>-991</v>
      </c>
      <c r="W1909">
        <v>3.58</v>
      </c>
      <c r="X1909" t="s">
        <v>44</v>
      </c>
      <c r="Y1909" t="s">
        <v>960</v>
      </c>
      <c r="Z1909">
        <v>1.03</v>
      </c>
      <c r="AA1909">
        <v>1760</v>
      </c>
      <c r="AB1909">
        <v>2259</v>
      </c>
      <c r="AC1909">
        <v>1.45</v>
      </c>
      <c r="AD1909" t="s">
        <v>10836</v>
      </c>
      <c r="AE1909" t="s">
        <v>10837</v>
      </c>
      <c r="AF1909" t="s">
        <v>4566</v>
      </c>
      <c r="AG1909" t="s">
        <v>10838</v>
      </c>
      <c r="AH1909">
        <v>-1.65</v>
      </c>
      <c r="AI1909">
        <v>-0.56</v>
      </c>
      <c r="AJ1909">
        <v>6.17</v>
      </c>
      <c r="AK1909">
        <v>20.57</v>
      </c>
      <c r="AL1909">
        <v>2</v>
      </c>
      <c r="AM1909">
        <v>0.85</v>
      </c>
      <c r="AN1909">
        <v>1.7</v>
      </c>
      <c r="AO1909">
        <v>4.07</v>
      </c>
      <c r="AP1909">
        <v>4.07</v>
      </c>
    </row>
    <row r="1910" spans="1:42">
      <c r="A1910">
        <v>1909</v>
      </c>
      <c r="B1910" t="str">
        <f>"002822"</f>
        <v>002822</v>
      </c>
      <c r="C1910" t="s">
        <v>10839</v>
      </c>
      <c r="D1910">
        <v>4.76</v>
      </c>
      <c r="E1910">
        <v>0.63</v>
      </c>
      <c r="F1910">
        <v>0.03</v>
      </c>
      <c r="G1910" t="s">
        <v>553</v>
      </c>
      <c r="H1910">
        <v>4957</v>
      </c>
      <c r="I1910">
        <v>4.76</v>
      </c>
      <c r="J1910">
        <v>4.77</v>
      </c>
      <c r="K1910" t="s">
        <v>5249</v>
      </c>
      <c r="L1910">
        <v>3.24</v>
      </c>
      <c r="M1910" t="s">
        <v>46</v>
      </c>
      <c r="N1910" t="s">
        <v>10840</v>
      </c>
      <c r="O1910">
        <v>4.82</v>
      </c>
      <c r="P1910">
        <v>4.69</v>
      </c>
      <c r="Q1910">
        <v>4.76</v>
      </c>
      <c r="R1910">
        <v>4.73</v>
      </c>
      <c r="S1910">
        <v>2.75</v>
      </c>
      <c r="T1910">
        <v>0.46</v>
      </c>
      <c r="U1910">
        <v>-34.05</v>
      </c>
      <c r="V1910">
        <v>-4838</v>
      </c>
      <c r="W1910">
        <v>4.76</v>
      </c>
      <c r="X1910" t="s">
        <v>110</v>
      </c>
      <c r="Y1910" t="s">
        <v>656</v>
      </c>
      <c r="Z1910">
        <v>0.91</v>
      </c>
      <c r="AA1910">
        <v>1843</v>
      </c>
      <c r="AB1910">
        <v>176</v>
      </c>
      <c r="AC1910">
        <v>1.03</v>
      </c>
      <c r="AD1910" t="s">
        <v>10841</v>
      </c>
      <c r="AE1910" t="s">
        <v>10842</v>
      </c>
      <c r="AF1910" t="s">
        <v>10843</v>
      </c>
      <c r="AG1910" t="s">
        <v>10844</v>
      </c>
      <c r="AH1910">
        <v>-3.25</v>
      </c>
      <c r="AI1910">
        <v>-0.63</v>
      </c>
      <c r="AJ1910">
        <v>13.62</v>
      </c>
      <c r="AK1910">
        <v>38.55</v>
      </c>
      <c r="AL1910">
        <v>1</v>
      </c>
      <c r="AM1910">
        <v>0.63</v>
      </c>
      <c r="AN1910">
        <v>11.48</v>
      </c>
      <c r="AO1910">
        <v>14.15</v>
      </c>
      <c r="AP1910">
        <v>0.85</v>
      </c>
    </row>
    <row r="1911" spans="1:42">
      <c r="A1911">
        <v>1910</v>
      </c>
      <c r="B1911" t="str">
        <f>"301095"</f>
        <v>301095</v>
      </c>
      <c r="C1911" t="s">
        <v>10845</v>
      </c>
      <c r="D1911">
        <v>81.39</v>
      </c>
      <c r="E1911">
        <v>0.17</v>
      </c>
      <c r="F1911">
        <v>0.14</v>
      </c>
      <c r="G1911" t="s">
        <v>2547</v>
      </c>
      <c r="H1911">
        <v>128</v>
      </c>
      <c r="I1911">
        <v>81.39</v>
      </c>
      <c r="J1911">
        <v>81.4</v>
      </c>
      <c r="K1911" t="s">
        <v>5249</v>
      </c>
      <c r="L1911">
        <v>1.12</v>
      </c>
      <c r="M1911" t="s">
        <v>46</v>
      </c>
      <c r="N1911" t="s">
        <v>5667</v>
      </c>
      <c r="O1911">
        <v>81.97</v>
      </c>
      <c r="P1911">
        <v>80</v>
      </c>
      <c r="Q1911">
        <v>81.92</v>
      </c>
      <c r="R1911">
        <v>81.25</v>
      </c>
      <c r="S1911">
        <v>2.42</v>
      </c>
      <c r="T1911">
        <v>0.57</v>
      </c>
      <c r="U1911">
        <v>36.84</v>
      </c>
      <c r="V1911">
        <v>56</v>
      </c>
      <c r="W1911">
        <v>81.15</v>
      </c>
      <c r="X1911">
        <v>7006</v>
      </c>
      <c r="Y1911">
        <v>5478</v>
      </c>
      <c r="Z1911">
        <v>1.28</v>
      </c>
      <c r="AA1911">
        <v>28</v>
      </c>
      <c r="AB1911">
        <v>26</v>
      </c>
      <c r="AC1911">
        <v>5.14</v>
      </c>
      <c r="AD1911" t="s">
        <v>5838</v>
      </c>
      <c r="AE1911" t="s">
        <v>5653</v>
      </c>
      <c r="AF1911" t="s">
        <v>5678</v>
      </c>
      <c r="AG1911" t="s">
        <v>10846</v>
      </c>
      <c r="AH1911">
        <v>-5.69</v>
      </c>
      <c r="AI1911">
        <v>-4.86</v>
      </c>
      <c r="AJ1911">
        <v>4.74</v>
      </c>
      <c r="AK1911">
        <v>10.88</v>
      </c>
      <c r="AL1911">
        <v>1</v>
      </c>
      <c r="AM1911">
        <v>0.17</v>
      </c>
      <c r="AN1911">
        <v>-8.17</v>
      </c>
      <c r="AO1911">
        <v>-10.31</v>
      </c>
      <c r="AP1911">
        <v>-21.89</v>
      </c>
    </row>
    <row r="1912" spans="1:42">
      <c r="A1912">
        <v>1911</v>
      </c>
      <c r="B1912" t="str">
        <f>"300443"</f>
        <v>300443</v>
      </c>
      <c r="C1912" t="s">
        <v>10847</v>
      </c>
      <c r="D1912">
        <v>29.05</v>
      </c>
      <c r="E1912">
        <v>0.31</v>
      </c>
      <c r="F1912">
        <v>0.09</v>
      </c>
      <c r="G1912" t="s">
        <v>7531</v>
      </c>
      <c r="H1912">
        <v>142</v>
      </c>
      <c r="I1912">
        <v>29.04</v>
      </c>
      <c r="J1912">
        <v>29.05</v>
      </c>
      <c r="K1912" t="s">
        <v>5249</v>
      </c>
      <c r="L1912">
        <v>1.92</v>
      </c>
      <c r="M1912" t="s">
        <v>46</v>
      </c>
      <c r="N1912" t="s">
        <v>2480</v>
      </c>
      <c r="O1912">
        <v>29.11</v>
      </c>
      <c r="P1912">
        <v>28.3</v>
      </c>
      <c r="Q1912">
        <v>28.96</v>
      </c>
      <c r="R1912">
        <v>28.96</v>
      </c>
      <c r="S1912">
        <v>2.8</v>
      </c>
      <c r="T1912">
        <v>1.42</v>
      </c>
      <c r="U1912">
        <v>-37.8</v>
      </c>
      <c r="V1912">
        <v>-299</v>
      </c>
      <c r="W1912">
        <v>28.67</v>
      </c>
      <c r="X1912" t="s">
        <v>876</v>
      </c>
      <c r="Y1912" t="s">
        <v>432</v>
      </c>
      <c r="Z1912">
        <v>0.97</v>
      </c>
      <c r="AA1912">
        <v>149</v>
      </c>
      <c r="AB1912">
        <v>115</v>
      </c>
      <c r="AC1912">
        <v>1.57</v>
      </c>
      <c r="AD1912" t="s">
        <v>10848</v>
      </c>
      <c r="AE1912" t="s">
        <v>10849</v>
      </c>
      <c r="AF1912" t="s">
        <v>10850</v>
      </c>
      <c r="AG1912" t="s">
        <v>10851</v>
      </c>
      <c r="AH1912">
        <v>-2.09</v>
      </c>
      <c r="AI1912">
        <v>-2.55</v>
      </c>
      <c r="AJ1912">
        <v>4.04</v>
      </c>
      <c r="AK1912">
        <v>8.67</v>
      </c>
      <c r="AL1912">
        <v>1</v>
      </c>
      <c r="AM1912">
        <v>0.31</v>
      </c>
      <c r="AN1912">
        <v>-27.61</v>
      </c>
      <c r="AO1912">
        <v>-4.5</v>
      </c>
      <c r="AP1912">
        <v>-27.16</v>
      </c>
    </row>
    <row r="1913" spans="1:42">
      <c r="A1913">
        <v>1912</v>
      </c>
      <c r="B1913" t="str">
        <f>"603949"</f>
        <v>603949</v>
      </c>
      <c r="C1913" t="s">
        <v>10852</v>
      </c>
      <c r="D1913">
        <v>27.82</v>
      </c>
      <c r="E1913">
        <v>-0.64</v>
      </c>
      <c r="F1913">
        <v>-0.18</v>
      </c>
      <c r="G1913" t="s">
        <v>8663</v>
      </c>
      <c r="H1913">
        <v>638</v>
      </c>
      <c r="I1913">
        <v>27.74</v>
      </c>
      <c r="J1913">
        <v>27.82</v>
      </c>
      <c r="K1913" t="s">
        <v>5249</v>
      </c>
      <c r="L1913">
        <v>1.75</v>
      </c>
      <c r="M1913" t="s">
        <v>46</v>
      </c>
      <c r="N1913" t="s">
        <v>5161</v>
      </c>
      <c r="O1913">
        <v>28.09</v>
      </c>
      <c r="P1913">
        <v>27.1</v>
      </c>
      <c r="Q1913">
        <v>27.92</v>
      </c>
      <c r="R1913">
        <v>28</v>
      </c>
      <c r="S1913">
        <v>3.54</v>
      </c>
      <c r="T1913">
        <v>0.95</v>
      </c>
      <c r="U1913">
        <v>-3.05</v>
      </c>
      <c r="V1913">
        <v>-49</v>
      </c>
      <c r="W1913">
        <v>27.57</v>
      </c>
      <c r="X1913" t="s">
        <v>1110</v>
      </c>
      <c r="Y1913" t="s">
        <v>2877</v>
      </c>
      <c r="Z1913">
        <v>0.85</v>
      </c>
      <c r="AA1913">
        <v>300</v>
      </c>
      <c r="AB1913">
        <v>778</v>
      </c>
      <c r="AC1913">
        <v>5.85</v>
      </c>
      <c r="AD1913" t="s">
        <v>10853</v>
      </c>
      <c r="AE1913" t="s">
        <v>10854</v>
      </c>
      <c r="AF1913" t="s">
        <v>470</v>
      </c>
      <c r="AG1913" t="s">
        <v>10855</v>
      </c>
      <c r="AH1913">
        <v>-1.14</v>
      </c>
      <c r="AI1913">
        <v>-1.21</v>
      </c>
      <c r="AJ1913">
        <v>5.62</v>
      </c>
      <c r="AK1913">
        <v>10.93</v>
      </c>
      <c r="AL1913">
        <v>-1</v>
      </c>
      <c r="AM1913">
        <v>-0.64</v>
      </c>
      <c r="AN1913">
        <v>56.82</v>
      </c>
      <c r="AO1913">
        <v>10.05</v>
      </c>
      <c r="AP1913">
        <v>72.58</v>
      </c>
    </row>
    <row r="1914" spans="1:42">
      <c r="A1914">
        <v>1913</v>
      </c>
      <c r="B1914" t="str">
        <f>"002953"</f>
        <v>002953</v>
      </c>
      <c r="C1914" t="s">
        <v>10856</v>
      </c>
      <c r="D1914">
        <v>13.4</v>
      </c>
      <c r="E1914">
        <v>-1.33</v>
      </c>
      <c r="F1914">
        <v>-0.18</v>
      </c>
      <c r="G1914" t="s">
        <v>10412</v>
      </c>
      <c r="H1914">
        <v>1680</v>
      </c>
      <c r="I1914">
        <v>13.39</v>
      </c>
      <c r="J1914">
        <v>13.4</v>
      </c>
      <c r="K1914" t="s">
        <v>5249</v>
      </c>
      <c r="L1914">
        <v>3.75</v>
      </c>
      <c r="M1914" t="s">
        <v>46</v>
      </c>
      <c r="N1914" t="s">
        <v>7406</v>
      </c>
      <c r="O1914">
        <v>13.84</v>
      </c>
      <c r="P1914">
        <v>13.35</v>
      </c>
      <c r="Q1914">
        <v>13.61</v>
      </c>
      <c r="R1914">
        <v>13.58</v>
      </c>
      <c r="S1914">
        <v>3.61</v>
      </c>
      <c r="T1914">
        <v>0.68</v>
      </c>
      <c r="U1914">
        <v>58.05</v>
      </c>
      <c r="V1914">
        <v>1382</v>
      </c>
      <c r="W1914">
        <v>13.46</v>
      </c>
      <c r="X1914" t="s">
        <v>5830</v>
      </c>
      <c r="Y1914" t="s">
        <v>6395</v>
      </c>
      <c r="Z1914">
        <v>1.58</v>
      </c>
      <c r="AA1914">
        <v>642</v>
      </c>
      <c r="AB1914">
        <v>60</v>
      </c>
      <c r="AC1914">
        <v>2.74</v>
      </c>
      <c r="AD1914" t="s">
        <v>10857</v>
      </c>
      <c r="AE1914" t="s">
        <v>10858</v>
      </c>
      <c r="AF1914" t="s">
        <v>10859</v>
      </c>
      <c r="AG1914" t="s">
        <v>10860</v>
      </c>
      <c r="AH1914">
        <v>-1.54</v>
      </c>
      <c r="AI1914">
        <v>-0.96</v>
      </c>
      <c r="AJ1914">
        <v>23.69</v>
      </c>
      <c r="AK1914">
        <v>31.33</v>
      </c>
      <c r="AL1914">
        <v>-2</v>
      </c>
      <c r="AM1914">
        <v>-1.33</v>
      </c>
      <c r="AN1914">
        <v>-5.7</v>
      </c>
      <c r="AO1914">
        <v>1.28</v>
      </c>
      <c r="AP1914">
        <v>4.12</v>
      </c>
    </row>
    <row r="1915" spans="1:42">
      <c r="A1915">
        <v>1914</v>
      </c>
      <c r="B1915" t="str">
        <f>"000153"</f>
        <v>000153</v>
      </c>
      <c r="C1915" t="s">
        <v>10861</v>
      </c>
      <c r="D1915">
        <v>10.3</v>
      </c>
      <c r="E1915">
        <v>0.19</v>
      </c>
      <c r="F1915">
        <v>0.02</v>
      </c>
      <c r="G1915" t="s">
        <v>6089</v>
      </c>
      <c r="H1915">
        <v>822</v>
      </c>
      <c r="I1915">
        <v>10.29</v>
      </c>
      <c r="J1915">
        <v>10.3</v>
      </c>
      <c r="K1915" t="s">
        <v>5249</v>
      </c>
      <c r="L1915">
        <v>3.06</v>
      </c>
      <c r="M1915" t="s">
        <v>46</v>
      </c>
      <c r="N1915" t="s">
        <v>10862</v>
      </c>
      <c r="O1915">
        <v>10.5</v>
      </c>
      <c r="P1915">
        <v>10.23</v>
      </c>
      <c r="Q1915">
        <v>10.26</v>
      </c>
      <c r="R1915">
        <v>10.28</v>
      </c>
      <c r="S1915">
        <v>2.63</v>
      </c>
      <c r="T1915">
        <v>0.67</v>
      </c>
      <c r="U1915">
        <v>-13.45</v>
      </c>
      <c r="V1915">
        <v>-544</v>
      </c>
      <c r="W1915">
        <v>10.35</v>
      </c>
      <c r="X1915" t="s">
        <v>9059</v>
      </c>
      <c r="Y1915" t="s">
        <v>944</v>
      </c>
      <c r="Z1915">
        <v>1.11</v>
      </c>
      <c r="AA1915">
        <v>697</v>
      </c>
      <c r="AB1915">
        <v>131</v>
      </c>
      <c r="AC1915">
        <v>1.83</v>
      </c>
      <c r="AD1915" t="s">
        <v>10863</v>
      </c>
      <c r="AE1915" t="s">
        <v>10864</v>
      </c>
      <c r="AF1915" t="s">
        <v>10865</v>
      </c>
      <c r="AG1915" t="s">
        <v>10866</v>
      </c>
      <c r="AH1915">
        <v>-1.44</v>
      </c>
      <c r="AI1915">
        <v>-1.15</v>
      </c>
      <c r="AJ1915">
        <v>8.65</v>
      </c>
      <c r="AK1915">
        <v>25.78</v>
      </c>
      <c r="AL1915">
        <v>2</v>
      </c>
      <c r="AM1915">
        <v>0.19</v>
      </c>
      <c r="AN1915">
        <v>-23.48</v>
      </c>
      <c r="AO1915">
        <v>2.9</v>
      </c>
      <c r="AP1915">
        <v>-19.91</v>
      </c>
    </row>
    <row r="1916" spans="1:42">
      <c r="A1916">
        <v>1915</v>
      </c>
      <c r="B1916" t="str">
        <f>"301172"</f>
        <v>301172</v>
      </c>
      <c r="C1916" t="s">
        <v>10867</v>
      </c>
      <c r="D1916">
        <v>42.3</v>
      </c>
      <c r="E1916">
        <v>1.78</v>
      </c>
      <c r="F1916">
        <v>0.74</v>
      </c>
      <c r="G1916" t="s">
        <v>299</v>
      </c>
      <c r="H1916">
        <v>553</v>
      </c>
      <c r="I1916">
        <v>42.3</v>
      </c>
      <c r="J1916">
        <v>42.31</v>
      </c>
      <c r="K1916" t="s">
        <v>5249</v>
      </c>
      <c r="L1916">
        <v>8.67</v>
      </c>
      <c r="M1916" t="s">
        <v>46</v>
      </c>
      <c r="N1916" t="s">
        <v>5707</v>
      </c>
      <c r="O1916">
        <v>42.55</v>
      </c>
      <c r="P1916">
        <v>41.48</v>
      </c>
      <c r="Q1916">
        <v>41.53</v>
      </c>
      <c r="R1916">
        <v>41.56</v>
      </c>
      <c r="S1916">
        <v>2.57</v>
      </c>
      <c r="T1916">
        <v>0.92</v>
      </c>
      <c r="U1916">
        <v>34.93</v>
      </c>
      <c r="V1916">
        <v>131</v>
      </c>
      <c r="W1916">
        <v>42.1</v>
      </c>
      <c r="X1916" t="s">
        <v>1083</v>
      </c>
      <c r="Y1916" t="s">
        <v>1052</v>
      </c>
      <c r="Z1916">
        <v>0.98</v>
      </c>
      <c r="AA1916">
        <v>210</v>
      </c>
      <c r="AB1916">
        <v>36</v>
      </c>
      <c r="AC1916">
        <v>3.65</v>
      </c>
      <c r="AD1916" t="s">
        <v>10868</v>
      </c>
      <c r="AE1916" t="s">
        <v>10869</v>
      </c>
      <c r="AF1916" t="s">
        <v>10870</v>
      </c>
      <c r="AG1916" t="s">
        <v>10871</v>
      </c>
      <c r="AH1916">
        <v>-2.4</v>
      </c>
      <c r="AI1916">
        <v>-7.44</v>
      </c>
      <c r="AJ1916">
        <v>25.12</v>
      </c>
      <c r="AK1916">
        <v>56</v>
      </c>
      <c r="AL1916">
        <v>1</v>
      </c>
      <c r="AM1916">
        <v>1.78</v>
      </c>
      <c r="AN1916">
        <v>35.66</v>
      </c>
      <c r="AO1916">
        <v>-5.83</v>
      </c>
      <c r="AP1916">
        <v>35.66</v>
      </c>
    </row>
    <row r="1917" spans="1:42">
      <c r="A1917">
        <v>1916</v>
      </c>
      <c r="B1917" t="str">
        <f>"839493"</f>
        <v>839493</v>
      </c>
      <c r="C1917" t="s">
        <v>10872</v>
      </c>
      <c r="D1917">
        <v>55.37</v>
      </c>
      <c r="E1917">
        <v>-3.01</v>
      </c>
      <c r="F1917">
        <v>-1.72</v>
      </c>
      <c r="G1917" t="s">
        <v>2878</v>
      </c>
      <c r="H1917">
        <v>423</v>
      </c>
      <c r="I1917">
        <v>55.37</v>
      </c>
      <c r="J1917">
        <v>55.4</v>
      </c>
      <c r="K1917" t="s">
        <v>5249</v>
      </c>
      <c r="L1917">
        <v>7.28</v>
      </c>
      <c r="M1917" t="s">
        <v>46</v>
      </c>
      <c r="N1917" t="s">
        <v>4307</v>
      </c>
      <c r="O1917">
        <v>57.3</v>
      </c>
      <c r="P1917">
        <v>54.2</v>
      </c>
      <c r="Q1917">
        <v>56</v>
      </c>
      <c r="R1917">
        <v>57.09</v>
      </c>
      <c r="S1917">
        <v>5.43</v>
      </c>
      <c r="T1917">
        <v>0.52</v>
      </c>
      <c r="U1917">
        <v>47.58</v>
      </c>
      <c r="V1917">
        <v>109</v>
      </c>
      <c r="W1917">
        <v>55.48</v>
      </c>
      <c r="X1917">
        <v>9736</v>
      </c>
      <c r="Y1917">
        <v>8460</v>
      </c>
      <c r="Z1917">
        <v>1.15</v>
      </c>
      <c r="AA1917">
        <v>139</v>
      </c>
      <c r="AB1917">
        <v>2</v>
      </c>
      <c r="AC1917">
        <v>9.97</v>
      </c>
      <c r="AD1917" t="s">
        <v>10873</v>
      </c>
      <c r="AE1917" t="s">
        <v>10874</v>
      </c>
      <c r="AF1917" t="s">
        <v>10875</v>
      </c>
      <c r="AG1917" t="s">
        <v>10876</v>
      </c>
      <c r="AH1917">
        <v>-15.65</v>
      </c>
      <c r="AI1917">
        <v>-9.53</v>
      </c>
      <c r="AJ1917">
        <v>29.65</v>
      </c>
      <c r="AK1917">
        <v>77.27</v>
      </c>
      <c r="AL1917">
        <v>-4</v>
      </c>
      <c r="AM1917">
        <v>-3.01</v>
      </c>
      <c r="AN1917">
        <v>36.72</v>
      </c>
      <c r="AO1917">
        <v>11.41</v>
      </c>
      <c r="AP1917">
        <v>36.72</v>
      </c>
    </row>
    <row r="1918" spans="1:42">
      <c r="A1918">
        <v>1917</v>
      </c>
      <c r="B1918" t="str">
        <f>"300725"</f>
        <v>300725</v>
      </c>
      <c r="C1918" t="s">
        <v>10877</v>
      </c>
      <c r="D1918">
        <v>43.85</v>
      </c>
      <c r="E1918">
        <v>0.34</v>
      </c>
      <c r="F1918">
        <v>0.15</v>
      </c>
      <c r="G1918" t="s">
        <v>5620</v>
      </c>
      <c r="H1918">
        <v>338</v>
      </c>
      <c r="I1918">
        <v>43.84</v>
      </c>
      <c r="J1918">
        <v>43.85</v>
      </c>
      <c r="K1918" t="s">
        <v>5249</v>
      </c>
      <c r="L1918">
        <v>1.38</v>
      </c>
      <c r="M1918" t="s">
        <v>46</v>
      </c>
      <c r="N1918" t="s">
        <v>2636</v>
      </c>
      <c r="O1918">
        <v>44.04</v>
      </c>
      <c r="P1918">
        <v>43.11</v>
      </c>
      <c r="Q1918">
        <v>43.7</v>
      </c>
      <c r="R1918">
        <v>43.7</v>
      </c>
      <c r="S1918">
        <v>2.13</v>
      </c>
      <c r="T1918">
        <v>0.84</v>
      </c>
      <c r="U1918">
        <v>75.15</v>
      </c>
      <c r="V1918">
        <v>248</v>
      </c>
      <c r="W1918">
        <v>43.45</v>
      </c>
      <c r="X1918" t="s">
        <v>718</v>
      </c>
      <c r="Y1918" t="s">
        <v>4959</v>
      </c>
      <c r="Z1918">
        <v>1.06</v>
      </c>
      <c r="AA1918">
        <v>68</v>
      </c>
      <c r="AB1918">
        <v>1</v>
      </c>
      <c r="AC1918">
        <v>3.26</v>
      </c>
      <c r="AD1918" t="s">
        <v>10878</v>
      </c>
      <c r="AE1918" t="s">
        <v>10879</v>
      </c>
      <c r="AF1918" t="s">
        <v>10880</v>
      </c>
      <c r="AG1918" t="s">
        <v>10837</v>
      </c>
      <c r="AH1918">
        <v>-3.41</v>
      </c>
      <c r="AI1918">
        <v>-3.73</v>
      </c>
      <c r="AJ1918">
        <v>4.57</v>
      </c>
      <c r="AK1918">
        <v>9.61</v>
      </c>
      <c r="AL1918">
        <v>1</v>
      </c>
      <c r="AM1918">
        <v>0.34</v>
      </c>
      <c r="AN1918">
        <v>-45.46</v>
      </c>
      <c r="AO1918">
        <v>-1.19</v>
      </c>
      <c r="AP1918">
        <v>-48.52</v>
      </c>
    </row>
    <row r="1919" spans="1:42">
      <c r="A1919">
        <v>1918</v>
      </c>
      <c r="B1919" t="str">
        <f>"603567"</f>
        <v>603567</v>
      </c>
      <c r="C1919" t="s">
        <v>10881</v>
      </c>
      <c r="D1919">
        <v>13.44</v>
      </c>
      <c r="E1919">
        <v>1.59</v>
      </c>
      <c r="F1919">
        <v>0.21</v>
      </c>
      <c r="G1919" t="s">
        <v>8286</v>
      </c>
      <c r="H1919">
        <v>359</v>
      </c>
      <c r="I1919">
        <v>13.44</v>
      </c>
      <c r="J1919">
        <v>13.45</v>
      </c>
      <c r="K1919" t="s">
        <v>5249</v>
      </c>
      <c r="L1919">
        <v>0.8</v>
      </c>
      <c r="M1919" t="s">
        <v>46</v>
      </c>
      <c r="N1919" t="s">
        <v>1654</v>
      </c>
      <c r="O1919">
        <v>13.53</v>
      </c>
      <c r="P1919">
        <v>13.14</v>
      </c>
      <c r="Q1919">
        <v>13.18</v>
      </c>
      <c r="R1919">
        <v>13.23</v>
      </c>
      <c r="S1919">
        <v>2.95</v>
      </c>
      <c r="T1919">
        <v>1.09</v>
      </c>
      <c r="U1919">
        <v>-54.44</v>
      </c>
      <c r="V1919">
        <v>-834</v>
      </c>
      <c r="W1919">
        <v>13.4</v>
      </c>
      <c r="X1919" t="s">
        <v>8329</v>
      </c>
      <c r="Y1919" t="s">
        <v>2684</v>
      </c>
      <c r="Z1919">
        <v>0.75</v>
      </c>
      <c r="AA1919">
        <v>90</v>
      </c>
      <c r="AB1919">
        <v>66</v>
      </c>
      <c r="AC1919">
        <v>1.68</v>
      </c>
      <c r="AD1919" t="s">
        <v>10882</v>
      </c>
      <c r="AE1919" t="s">
        <v>9388</v>
      </c>
      <c r="AF1919" t="s">
        <v>9614</v>
      </c>
      <c r="AG1919" t="s">
        <v>7593</v>
      </c>
      <c r="AH1919">
        <v>0.22</v>
      </c>
      <c r="AI1919">
        <v>-1.18</v>
      </c>
      <c r="AJ1919">
        <v>1.64</v>
      </c>
      <c r="AK1919">
        <v>4.46</v>
      </c>
      <c r="AL1919">
        <v>1</v>
      </c>
      <c r="AM1919">
        <v>1.59</v>
      </c>
      <c r="AN1919">
        <v>5.66</v>
      </c>
      <c r="AO1919">
        <v>-5.88</v>
      </c>
      <c r="AP1919">
        <v>1.28</v>
      </c>
    </row>
    <row r="1920" spans="1:42">
      <c r="A1920">
        <v>1919</v>
      </c>
      <c r="B1920" t="str">
        <f>"002402"</f>
        <v>002402</v>
      </c>
      <c r="C1920" t="s">
        <v>10883</v>
      </c>
      <c r="D1920">
        <v>13.73</v>
      </c>
      <c r="E1920">
        <v>0.66</v>
      </c>
      <c r="F1920">
        <v>0.09</v>
      </c>
      <c r="G1920" t="s">
        <v>4855</v>
      </c>
      <c r="H1920">
        <v>680</v>
      </c>
      <c r="I1920">
        <v>13.72</v>
      </c>
      <c r="J1920">
        <v>13.73</v>
      </c>
      <c r="K1920" t="s">
        <v>5249</v>
      </c>
      <c r="L1920">
        <v>0.92</v>
      </c>
      <c r="M1920" t="s">
        <v>46</v>
      </c>
      <c r="N1920" t="s">
        <v>10884</v>
      </c>
      <c r="O1920">
        <v>13.82</v>
      </c>
      <c r="P1920">
        <v>13.5</v>
      </c>
      <c r="Q1920">
        <v>13.63</v>
      </c>
      <c r="R1920">
        <v>13.64</v>
      </c>
      <c r="S1920">
        <v>2.35</v>
      </c>
      <c r="T1920">
        <v>0.78</v>
      </c>
      <c r="U1920">
        <v>18.76</v>
      </c>
      <c r="V1920">
        <v>345</v>
      </c>
      <c r="W1920">
        <v>13.65</v>
      </c>
      <c r="X1920" t="s">
        <v>1718</v>
      </c>
      <c r="Y1920" t="s">
        <v>6912</v>
      </c>
      <c r="Z1920">
        <v>1.02</v>
      </c>
      <c r="AA1920">
        <v>154</v>
      </c>
      <c r="AB1920">
        <v>9</v>
      </c>
      <c r="AC1920">
        <v>2.89</v>
      </c>
      <c r="AD1920" t="s">
        <v>10885</v>
      </c>
      <c r="AE1920" t="s">
        <v>10886</v>
      </c>
      <c r="AF1920" t="s">
        <v>10887</v>
      </c>
      <c r="AG1920" t="s">
        <v>10888</v>
      </c>
      <c r="AH1920">
        <v>-1.72</v>
      </c>
      <c r="AI1920">
        <v>-3.38</v>
      </c>
      <c r="AJ1920">
        <v>2.94</v>
      </c>
      <c r="AK1920">
        <v>6.8</v>
      </c>
      <c r="AL1920">
        <v>1</v>
      </c>
      <c r="AM1920">
        <v>0.66</v>
      </c>
      <c r="AN1920">
        <v>-5.18</v>
      </c>
      <c r="AO1920">
        <v>-2.83</v>
      </c>
      <c r="AP1920">
        <v>-10.38</v>
      </c>
    </row>
    <row r="1921" spans="1:42">
      <c r="A1921">
        <v>1920</v>
      </c>
      <c r="B1921" t="str">
        <f>"002943"</f>
        <v>002943</v>
      </c>
      <c r="C1921" t="s">
        <v>10889</v>
      </c>
      <c r="D1921">
        <v>28.93</v>
      </c>
      <c r="E1921">
        <v>-0.75</v>
      </c>
      <c r="F1921">
        <v>-0.22</v>
      </c>
      <c r="G1921" t="s">
        <v>762</v>
      </c>
      <c r="H1921">
        <v>447</v>
      </c>
      <c r="I1921">
        <v>28.92</v>
      </c>
      <c r="J1921">
        <v>28.93</v>
      </c>
      <c r="K1921" t="s">
        <v>5249</v>
      </c>
      <c r="L1921">
        <v>3.77</v>
      </c>
      <c r="M1921" t="s">
        <v>46</v>
      </c>
      <c r="N1921" t="s">
        <v>10890</v>
      </c>
      <c r="O1921">
        <v>29.34</v>
      </c>
      <c r="P1921">
        <v>28.6</v>
      </c>
      <c r="Q1921">
        <v>29.34</v>
      </c>
      <c r="R1921">
        <v>29.15</v>
      </c>
      <c r="S1921">
        <v>2.54</v>
      </c>
      <c r="T1921">
        <v>0.67</v>
      </c>
      <c r="U1921">
        <v>29.01</v>
      </c>
      <c r="V1921">
        <v>169</v>
      </c>
      <c r="W1921">
        <v>28.86</v>
      </c>
      <c r="X1921" t="s">
        <v>8073</v>
      </c>
      <c r="Y1921" t="s">
        <v>5900</v>
      </c>
      <c r="Z1921">
        <v>1.43</v>
      </c>
      <c r="AA1921">
        <v>169</v>
      </c>
      <c r="AB1921">
        <v>35</v>
      </c>
      <c r="AC1921">
        <v>3.51</v>
      </c>
      <c r="AD1921" t="s">
        <v>10891</v>
      </c>
      <c r="AE1921" t="s">
        <v>10892</v>
      </c>
      <c r="AF1921" t="s">
        <v>10893</v>
      </c>
      <c r="AG1921" t="s">
        <v>10894</v>
      </c>
      <c r="AH1921">
        <v>1.9</v>
      </c>
      <c r="AI1921">
        <v>4.89</v>
      </c>
      <c r="AJ1921">
        <v>23.3</v>
      </c>
      <c r="AK1921">
        <v>32.09</v>
      </c>
      <c r="AL1921">
        <v>-2</v>
      </c>
      <c r="AM1921">
        <v>-0.75</v>
      </c>
      <c r="AN1921">
        <v>-32.88</v>
      </c>
      <c r="AO1921">
        <v>12.88</v>
      </c>
      <c r="AP1921">
        <v>-37.27</v>
      </c>
    </row>
    <row r="1922" spans="1:42">
      <c r="A1922">
        <v>1921</v>
      </c>
      <c r="B1922" t="str">
        <f>"600037"</f>
        <v>600037</v>
      </c>
      <c r="C1922" t="s">
        <v>10895</v>
      </c>
      <c r="D1922">
        <v>8.42</v>
      </c>
      <c r="E1922">
        <v>2.68</v>
      </c>
      <c r="F1922">
        <v>0.22</v>
      </c>
      <c r="G1922" t="s">
        <v>1790</v>
      </c>
      <c r="H1922">
        <v>1024</v>
      </c>
      <c r="I1922">
        <v>8.42</v>
      </c>
      <c r="J1922">
        <v>8.43</v>
      </c>
      <c r="K1922" t="s">
        <v>5249</v>
      </c>
      <c r="L1922">
        <v>0.87</v>
      </c>
      <c r="M1922" t="s">
        <v>46</v>
      </c>
      <c r="N1922" t="s">
        <v>6370</v>
      </c>
      <c r="O1922">
        <v>8.44</v>
      </c>
      <c r="P1922">
        <v>8.22</v>
      </c>
      <c r="Q1922">
        <v>8.22</v>
      </c>
      <c r="R1922">
        <v>8.2</v>
      </c>
      <c r="S1922">
        <v>2.68</v>
      </c>
      <c r="T1922">
        <v>1.36</v>
      </c>
      <c r="U1922">
        <v>-23.37</v>
      </c>
      <c r="V1922">
        <v>-1719</v>
      </c>
      <c r="W1922">
        <v>8.34</v>
      </c>
      <c r="X1922" t="s">
        <v>4968</v>
      </c>
      <c r="Y1922" t="s">
        <v>2167</v>
      </c>
      <c r="Z1922">
        <v>0.84</v>
      </c>
      <c r="AA1922">
        <v>158</v>
      </c>
      <c r="AB1922">
        <v>1622</v>
      </c>
      <c r="AC1922">
        <v>0.91</v>
      </c>
      <c r="AD1922" t="s">
        <v>8375</v>
      </c>
      <c r="AE1922" t="s">
        <v>10896</v>
      </c>
      <c r="AF1922" t="s">
        <v>8375</v>
      </c>
      <c r="AG1922" t="s">
        <v>10896</v>
      </c>
      <c r="AH1922">
        <v>1.2</v>
      </c>
      <c r="AI1922">
        <v>-0.82</v>
      </c>
      <c r="AJ1922">
        <v>1.95</v>
      </c>
      <c r="AK1922">
        <v>4.06</v>
      </c>
      <c r="AL1922">
        <v>1</v>
      </c>
      <c r="AM1922">
        <v>2.68</v>
      </c>
      <c r="AN1922">
        <v>4.34</v>
      </c>
      <c r="AO1922">
        <v>6.99</v>
      </c>
      <c r="AP1922">
        <v>1.45</v>
      </c>
    </row>
    <row r="1923" spans="1:42">
      <c r="A1923">
        <v>1922</v>
      </c>
      <c r="B1923" t="str">
        <f>"603679"</f>
        <v>603679</v>
      </c>
      <c r="C1923" t="s">
        <v>10897</v>
      </c>
      <c r="D1923">
        <v>16.2</v>
      </c>
      <c r="E1923">
        <v>-0.25</v>
      </c>
      <c r="F1923">
        <v>-0.04</v>
      </c>
      <c r="G1923" t="s">
        <v>6953</v>
      </c>
      <c r="H1923">
        <v>902</v>
      </c>
      <c r="I1923">
        <v>16.2</v>
      </c>
      <c r="J1923">
        <v>16.21</v>
      </c>
      <c r="K1923" t="s">
        <v>5249</v>
      </c>
      <c r="L1923">
        <v>3.84</v>
      </c>
      <c r="M1923" t="s">
        <v>46</v>
      </c>
      <c r="N1923" t="s">
        <v>2789</v>
      </c>
      <c r="O1923">
        <v>16.34</v>
      </c>
      <c r="P1923">
        <v>15.71</v>
      </c>
      <c r="Q1923">
        <v>16.09</v>
      </c>
      <c r="R1923">
        <v>16.24</v>
      </c>
      <c r="S1923">
        <v>3.88</v>
      </c>
      <c r="T1923">
        <v>0.63</v>
      </c>
      <c r="U1923">
        <v>-33.49</v>
      </c>
      <c r="V1923">
        <v>-292</v>
      </c>
      <c r="W1923">
        <v>16.07</v>
      </c>
      <c r="X1923" t="s">
        <v>6431</v>
      </c>
      <c r="Y1923" t="s">
        <v>5302</v>
      </c>
      <c r="Z1923">
        <v>1.05</v>
      </c>
      <c r="AA1923">
        <v>193</v>
      </c>
      <c r="AB1923">
        <v>21</v>
      </c>
      <c r="AC1923">
        <v>3.01</v>
      </c>
      <c r="AD1923" t="s">
        <v>9181</v>
      </c>
      <c r="AE1923" t="s">
        <v>10642</v>
      </c>
      <c r="AF1923" t="s">
        <v>9181</v>
      </c>
      <c r="AG1923" t="s">
        <v>10642</v>
      </c>
      <c r="AH1923">
        <v>-1.82</v>
      </c>
      <c r="AI1923">
        <v>-2.47</v>
      </c>
      <c r="AJ1923">
        <v>19.56</v>
      </c>
      <c r="AK1923">
        <v>34.24</v>
      </c>
      <c r="AL1923">
        <v>-2</v>
      </c>
      <c r="AM1923">
        <v>-0.25</v>
      </c>
      <c r="AN1923">
        <v>35.79</v>
      </c>
      <c r="AO1923">
        <v>-1.28</v>
      </c>
      <c r="AP1923">
        <v>26.66</v>
      </c>
    </row>
    <row r="1924" spans="1:42">
      <c r="A1924">
        <v>1923</v>
      </c>
      <c r="B1924" t="str">
        <f>"300859"</f>
        <v>300859</v>
      </c>
      <c r="C1924" t="s">
        <v>10898</v>
      </c>
      <c r="D1924">
        <v>26.42</v>
      </c>
      <c r="E1924">
        <v>1.42</v>
      </c>
      <c r="F1924">
        <v>0.37</v>
      </c>
      <c r="G1924" t="s">
        <v>6302</v>
      </c>
      <c r="H1924">
        <v>371</v>
      </c>
      <c r="I1924">
        <v>26.41</v>
      </c>
      <c r="J1924">
        <v>26.42</v>
      </c>
      <c r="K1924" t="s">
        <v>5249</v>
      </c>
      <c r="L1924">
        <v>2.47</v>
      </c>
      <c r="M1924" t="s">
        <v>46</v>
      </c>
      <c r="N1924" t="s">
        <v>5382</v>
      </c>
      <c r="O1924">
        <v>26.56</v>
      </c>
      <c r="P1924">
        <v>25.92</v>
      </c>
      <c r="Q1924">
        <v>26.05</v>
      </c>
      <c r="R1924">
        <v>26.05</v>
      </c>
      <c r="S1924">
        <v>2.46</v>
      </c>
      <c r="T1924">
        <v>1.83</v>
      </c>
      <c r="U1924">
        <v>22.55</v>
      </c>
      <c r="V1924">
        <v>112</v>
      </c>
      <c r="W1924">
        <v>26.26</v>
      </c>
      <c r="X1924" t="s">
        <v>2371</v>
      </c>
      <c r="Y1924" t="s">
        <v>5620</v>
      </c>
      <c r="Z1924">
        <v>0.65</v>
      </c>
      <c r="AA1924">
        <v>127</v>
      </c>
      <c r="AB1924">
        <v>60</v>
      </c>
      <c r="AC1924">
        <v>5.56</v>
      </c>
      <c r="AD1924" t="s">
        <v>10899</v>
      </c>
      <c r="AE1924" t="s">
        <v>10900</v>
      </c>
      <c r="AF1924" t="s">
        <v>10899</v>
      </c>
      <c r="AG1924" t="s">
        <v>10900</v>
      </c>
      <c r="AH1924">
        <v>2.01</v>
      </c>
      <c r="AI1924">
        <v>2.17</v>
      </c>
      <c r="AJ1924">
        <v>6.05</v>
      </c>
      <c r="AK1924">
        <v>9.21</v>
      </c>
      <c r="AL1924">
        <v>2</v>
      </c>
      <c r="AM1924">
        <v>1.42</v>
      </c>
      <c r="AN1924">
        <v>-21.06</v>
      </c>
      <c r="AO1924">
        <v>3.12</v>
      </c>
      <c r="AP1924">
        <v>-7.36</v>
      </c>
    </row>
    <row r="1925" spans="1:42">
      <c r="A1925">
        <v>1924</v>
      </c>
      <c r="B1925" t="str">
        <f>"688208"</f>
        <v>688208</v>
      </c>
      <c r="C1925" t="s">
        <v>10901</v>
      </c>
      <c r="D1925">
        <v>26.66</v>
      </c>
      <c r="E1925">
        <v>-0.11</v>
      </c>
      <c r="F1925">
        <v>-0.03</v>
      </c>
      <c r="G1925" t="s">
        <v>8156</v>
      </c>
      <c r="H1925">
        <v>230</v>
      </c>
      <c r="I1925">
        <v>26.66</v>
      </c>
      <c r="J1925">
        <v>26.67</v>
      </c>
      <c r="K1925" t="s">
        <v>10902</v>
      </c>
      <c r="L1925">
        <v>0.83</v>
      </c>
      <c r="M1925" t="s">
        <v>46</v>
      </c>
      <c r="N1925" t="s">
        <v>3039</v>
      </c>
      <c r="O1925">
        <v>26.84</v>
      </c>
      <c r="P1925">
        <v>26.36</v>
      </c>
      <c r="Q1925">
        <v>26.68</v>
      </c>
      <c r="R1925">
        <v>26.69</v>
      </c>
      <c r="S1925">
        <v>1.8</v>
      </c>
      <c r="T1925">
        <v>0.97</v>
      </c>
      <c r="U1925">
        <v>-4.18</v>
      </c>
      <c r="V1925">
        <v>-23</v>
      </c>
      <c r="W1925">
        <v>26.61</v>
      </c>
      <c r="X1925" t="s">
        <v>4963</v>
      </c>
      <c r="Y1925" t="s">
        <v>919</v>
      </c>
      <c r="Z1925">
        <v>1.36</v>
      </c>
      <c r="AA1925">
        <v>61</v>
      </c>
      <c r="AB1925">
        <v>123</v>
      </c>
      <c r="AC1925">
        <v>3.86</v>
      </c>
      <c r="AD1925" t="s">
        <v>10903</v>
      </c>
      <c r="AE1925" t="s">
        <v>10904</v>
      </c>
      <c r="AF1925" t="s">
        <v>10903</v>
      </c>
      <c r="AG1925" t="s">
        <v>10904</v>
      </c>
      <c r="AH1925">
        <v>-2.74</v>
      </c>
      <c r="AI1925">
        <v>-2.95</v>
      </c>
      <c r="AJ1925">
        <v>2.41</v>
      </c>
      <c r="AK1925">
        <v>5.13</v>
      </c>
      <c r="AL1925">
        <v>-3</v>
      </c>
      <c r="AM1925">
        <v>-0.11</v>
      </c>
      <c r="AN1925">
        <v>-15.5</v>
      </c>
      <c r="AO1925">
        <v>-4.2</v>
      </c>
      <c r="AP1925">
        <v>-30.19</v>
      </c>
    </row>
    <row r="1926" spans="1:42">
      <c r="A1926">
        <v>1925</v>
      </c>
      <c r="B1926" t="str">
        <f>"600201"</f>
        <v>600201</v>
      </c>
      <c r="C1926" t="s">
        <v>10905</v>
      </c>
      <c r="D1926">
        <v>10.33</v>
      </c>
      <c r="E1926">
        <v>0.88</v>
      </c>
      <c r="F1926">
        <v>0.09</v>
      </c>
      <c r="G1926" t="s">
        <v>10906</v>
      </c>
      <c r="H1926">
        <v>446</v>
      </c>
      <c r="I1926">
        <v>10.33</v>
      </c>
      <c r="J1926">
        <v>10.34</v>
      </c>
      <c r="K1926" t="s">
        <v>10902</v>
      </c>
      <c r="L1926">
        <v>0.87</v>
      </c>
      <c r="M1926" t="s">
        <v>46</v>
      </c>
      <c r="N1926" t="s">
        <v>1190</v>
      </c>
      <c r="O1926">
        <v>10.39</v>
      </c>
      <c r="P1926">
        <v>10.2</v>
      </c>
      <c r="Q1926">
        <v>10.25</v>
      </c>
      <c r="R1926">
        <v>10.24</v>
      </c>
      <c r="S1926">
        <v>1.86</v>
      </c>
      <c r="T1926">
        <v>0.84</v>
      </c>
      <c r="U1926">
        <v>-7.23</v>
      </c>
      <c r="V1926">
        <v>-546</v>
      </c>
      <c r="W1926">
        <v>10.31</v>
      </c>
      <c r="X1926" t="s">
        <v>1236</v>
      </c>
      <c r="Y1926" t="s">
        <v>5660</v>
      </c>
      <c r="Z1926">
        <v>0.94</v>
      </c>
      <c r="AA1926">
        <v>378</v>
      </c>
      <c r="AB1926">
        <v>321</v>
      </c>
      <c r="AC1926">
        <v>2.17</v>
      </c>
      <c r="AD1926" t="s">
        <v>10907</v>
      </c>
      <c r="AE1926" t="s">
        <v>10908</v>
      </c>
      <c r="AF1926" t="s">
        <v>10907</v>
      </c>
      <c r="AG1926" t="s">
        <v>10908</v>
      </c>
      <c r="AH1926">
        <v>0.58</v>
      </c>
      <c r="AI1926">
        <v>2.28</v>
      </c>
      <c r="AJ1926">
        <v>2.55</v>
      </c>
      <c r="AK1926">
        <v>6.03</v>
      </c>
      <c r="AL1926">
        <v>2</v>
      </c>
      <c r="AM1926">
        <v>0.88</v>
      </c>
      <c r="AN1926">
        <v>15.42</v>
      </c>
      <c r="AO1926">
        <v>9.66</v>
      </c>
      <c r="AP1926">
        <v>16.07</v>
      </c>
    </row>
    <row r="1927" spans="1:42">
      <c r="A1927">
        <v>1926</v>
      </c>
      <c r="B1927" t="str">
        <f>"603773"</f>
        <v>603773</v>
      </c>
      <c r="C1927" t="s">
        <v>10909</v>
      </c>
      <c r="D1927">
        <v>37.9</v>
      </c>
      <c r="E1927">
        <v>1.17</v>
      </c>
      <c r="F1927">
        <v>0.44</v>
      </c>
      <c r="G1927" t="s">
        <v>10910</v>
      </c>
      <c r="H1927">
        <v>836</v>
      </c>
      <c r="I1927">
        <v>37.9</v>
      </c>
      <c r="J1927">
        <v>37.91</v>
      </c>
      <c r="K1927" t="s">
        <v>10902</v>
      </c>
      <c r="L1927">
        <v>1.72</v>
      </c>
      <c r="M1927" t="s">
        <v>46</v>
      </c>
      <c r="N1927" t="s">
        <v>958</v>
      </c>
      <c r="O1927">
        <v>37.93</v>
      </c>
      <c r="P1927">
        <v>36.77</v>
      </c>
      <c r="Q1927">
        <v>37.5</v>
      </c>
      <c r="R1927">
        <v>37.46</v>
      </c>
      <c r="S1927">
        <v>3.1</v>
      </c>
      <c r="T1927">
        <v>0.5</v>
      </c>
      <c r="U1927">
        <v>-42.72</v>
      </c>
      <c r="V1927">
        <v>-270</v>
      </c>
      <c r="W1927">
        <v>37.34</v>
      </c>
      <c r="X1927" t="s">
        <v>1777</v>
      </c>
      <c r="Y1927" t="s">
        <v>1777</v>
      </c>
      <c r="Z1927">
        <v>1</v>
      </c>
      <c r="AA1927">
        <v>108</v>
      </c>
      <c r="AB1927">
        <v>184</v>
      </c>
      <c r="AC1927">
        <v>4.78</v>
      </c>
      <c r="AD1927" t="s">
        <v>10911</v>
      </c>
      <c r="AE1927" t="s">
        <v>10912</v>
      </c>
      <c r="AF1927" t="s">
        <v>10913</v>
      </c>
      <c r="AG1927" t="s">
        <v>10914</v>
      </c>
      <c r="AH1927">
        <v>3.64</v>
      </c>
      <c r="AI1927">
        <v>3.98</v>
      </c>
      <c r="AJ1927">
        <v>9.63</v>
      </c>
      <c r="AK1927">
        <v>18.85</v>
      </c>
      <c r="AL1927">
        <v>1</v>
      </c>
      <c r="AM1927">
        <v>1.17</v>
      </c>
      <c r="AN1927">
        <v>94.06</v>
      </c>
      <c r="AO1927">
        <v>12.13</v>
      </c>
      <c r="AP1927">
        <v>130.54</v>
      </c>
    </row>
    <row r="1928" spans="1:42">
      <c r="A1928">
        <v>1927</v>
      </c>
      <c r="B1928" t="str">
        <f>"300225"</f>
        <v>300225</v>
      </c>
      <c r="C1928" t="s">
        <v>10915</v>
      </c>
      <c r="D1928">
        <v>11.67</v>
      </c>
      <c r="E1928">
        <v>-1.68</v>
      </c>
      <c r="F1928">
        <v>-0.2</v>
      </c>
      <c r="G1928" t="s">
        <v>2967</v>
      </c>
      <c r="H1928">
        <v>1412</v>
      </c>
      <c r="I1928">
        <v>11.66</v>
      </c>
      <c r="J1928">
        <v>11.67</v>
      </c>
      <c r="K1928" t="s">
        <v>10916</v>
      </c>
      <c r="L1928">
        <v>1.79</v>
      </c>
      <c r="M1928" t="s">
        <v>46</v>
      </c>
      <c r="N1928" t="s">
        <v>10917</v>
      </c>
      <c r="O1928">
        <v>11.95</v>
      </c>
      <c r="P1928">
        <v>11.66</v>
      </c>
      <c r="Q1928">
        <v>11.85</v>
      </c>
      <c r="R1928">
        <v>11.87</v>
      </c>
      <c r="S1928">
        <v>2.44</v>
      </c>
      <c r="T1928">
        <v>0.71</v>
      </c>
      <c r="U1928">
        <v>48.26</v>
      </c>
      <c r="V1928">
        <v>1487</v>
      </c>
      <c r="W1928">
        <v>11.77</v>
      </c>
      <c r="X1928" t="s">
        <v>6615</v>
      </c>
      <c r="Y1928" t="s">
        <v>3211</v>
      </c>
      <c r="Z1928">
        <v>1.51</v>
      </c>
      <c r="AA1928">
        <v>988</v>
      </c>
      <c r="AB1928">
        <v>117</v>
      </c>
      <c r="AC1928">
        <v>7.34</v>
      </c>
      <c r="AD1928" t="s">
        <v>10918</v>
      </c>
      <c r="AE1928" t="s">
        <v>10919</v>
      </c>
      <c r="AF1928" t="s">
        <v>10920</v>
      </c>
      <c r="AG1928" t="s">
        <v>4238</v>
      </c>
      <c r="AH1928">
        <v>-1.6</v>
      </c>
      <c r="AI1928">
        <v>-2.91</v>
      </c>
      <c r="AJ1928">
        <v>5.16</v>
      </c>
      <c r="AK1928">
        <v>14.3</v>
      </c>
      <c r="AL1928">
        <v>-2</v>
      </c>
      <c r="AM1928">
        <v>-1.68</v>
      </c>
      <c r="AN1928">
        <v>124.42</v>
      </c>
      <c r="AO1928">
        <v>11.46</v>
      </c>
      <c r="AP1928">
        <v>84.94</v>
      </c>
    </row>
    <row r="1929" spans="1:42">
      <c r="A1929">
        <v>1928</v>
      </c>
      <c r="B1929" t="str">
        <f>"688366"</f>
        <v>688366</v>
      </c>
      <c r="C1929" t="s">
        <v>10921</v>
      </c>
      <c r="D1929">
        <v>110.04</v>
      </c>
      <c r="E1929">
        <v>2.08</v>
      </c>
      <c r="F1929">
        <v>2.24</v>
      </c>
      <c r="G1929">
        <v>9144</v>
      </c>
      <c r="H1929">
        <v>87</v>
      </c>
      <c r="I1929">
        <v>110.04</v>
      </c>
      <c r="J1929">
        <v>110.26</v>
      </c>
      <c r="K1929" t="s">
        <v>10922</v>
      </c>
      <c r="L1929">
        <v>0.66</v>
      </c>
      <c r="M1929" t="s">
        <v>46</v>
      </c>
      <c r="N1929" t="s">
        <v>3547</v>
      </c>
      <c r="O1929">
        <v>110.9</v>
      </c>
      <c r="P1929">
        <v>106.62</v>
      </c>
      <c r="Q1929">
        <v>107.05</v>
      </c>
      <c r="R1929">
        <v>107.8</v>
      </c>
      <c r="S1929">
        <v>3.97</v>
      </c>
      <c r="T1929">
        <v>1.27</v>
      </c>
      <c r="U1929">
        <v>17.97</v>
      </c>
      <c r="V1929">
        <v>18</v>
      </c>
      <c r="W1929">
        <v>109.15</v>
      </c>
      <c r="X1929">
        <v>3623</v>
      </c>
      <c r="Y1929">
        <v>5521</v>
      </c>
      <c r="Z1929">
        <v>0.66</v>
      </c>
      <c r="AA1929">
        <v>14</v>
      </c>
      <c r="AB1929">
        <v>4</v>
      </c>
      <c r="AC1929">
        <v>3.3</v>
      </c>
      <c r="AD1929" t="s">
        <v>7864</v>
      </c>
      <c r="AE1929" t="s">
        <v>10923</v>
      </c>
      <c r="AF1929" t="s">
        <v>10474</v>
      </c>
      <c r="AG1929" t="s">
        <v>10924</v>
      </c>
      <c r="AH1929">
        <v>2.84</v>
      </c>
      <c r="AI1929">
        <v>6.86</v>
      </c>
      <c r="AJ1929">
        <v>1.51</v>
      </c>
      <c r="AK1929">
        <v>3.26</v>
      </c>
      <c r="AL1929">
        <v>2</v>
      </c>
      <c r="AM1929">
        <v>2.08</v>
      </c>
      <c r="AN1929">
        <v>13.28</v>
      </c>
      <c r="AO1929">
        <v>9.61</v>
      </c>
      <c r="AP1929">
        <v>40.11</v>
      </c>
    </row>
    <row r="1930" spans="1:42">
      <c r="A1930">
        <v>1929</v>
      </c>
      <c r="B1930" t="str">
        <f>"002017"</f>
        <v>002017</v>
      </c>
      <c r="C1930" t="s">
        <v>10925</v>
      </c>
      <c r="D1930">
        <v>11.15</v>
      </c>
      <c r="E1930">
        <v>2.95</v>
      </c>
      <c r="F1930">
        <v>0.32</v>
      </c>
      <c r="G1930" t="s">
        <v>2366</v>
      </c>
      <c r="H1930">
        <v>1053</v>
      </c>
      <c r="I1930">
        <v>11.14</v>
      </c>
      <c r="J1930">
        <v>11.15</v>
      </c>
      <c r="K1930" t="s">
        <v>10926</v>
      </c>
      <c r="L1930">
        <v>1.57</v>
      </c>
      <c r="M1930" t="s">
        <v>46</v>
      </c>
      <c r="N1930" t="s">
        <v>1419</v>
      </c>
      <c r="O1930">
        <v>11.17</v>
      </c>
      <c r="P1930">
        <v>10.75</v>
      </c>
      <c r="Q1930">
        <v>10.82</v>
      </c>
      <c r="R1930">
        <v>10.83</v>
      </c>
      <c r="S1930">
        <v>3.88</v>
      </c>
      <c r="T1930">
        <v>0.53</v>
      </c>
      <c r="U1930">
        <v>-35.24</v>
      </c>
      <c r="V1930">
        <v>-2720</v>
      </c>
      <c r="W1930">
        <v>10.99</v>
      </c>
      <c r="X1930" t="s">
        <v>1312</v>
      </c>
      <c r="Y1930" t="s">
        <v>6237</v>
      </c>
      <c r="Z1930">
        <v>0.69</v>
      </c>
      <c r="AA1930">
        <v>779</v>
      </c>
      <c r="AB1930">
        <v>117</v>
      </c>
      <c r="AC1930">
        <v>4.13</v>
      </c>
      <c r="AD1930" t="s">
        <v>10927</v>
      </c>
      <c r="AE1930" t="s">
        <v>10928</v>
      </c>
      <c r="AF1930" t="s">
        <v>10929</v>
      </c>
      <c r="AG1930" t="s">
        <v>10930</v>
      </c>
      <c r="AH1930">
        <v>0.72</v>
      </c>
      <c r="AI1930">
        <v>-0.27</v>
      </c>
      <c r="AJ1930">
        <v>4.45</v>
      </c>
      <c r="AK1930">
        <v>16.25</v>
      </c>
      <c r="AL1930">
        <v>1</v>
      </c>
      <c r="AM1930">
        <v>2.95</v>
      </c>
      <c r="AN1930">
        <v>11.06</v>
      </c>
      <c r="AO1930">
        <v>4.4</v>
      </c>
      <c r="AP1930">
        <v>-4.94</v>
      </c>
    </row>
    <row r="1931" spans="1:42">
      <c r="A1931">
        <v>1930</v>
      </c>
      <c r="B1931" t="str">
        <f>"301008"</f>
        <v>301008</v>
      </c>
      <c r="C1931" t="s">
        <v>10931</v>
      </c>
      <c r="D1931">
        <v>29.65</v>
      </c>
      <c r="E1931">
        <v>-3.14</v>
      </c>
      <c r="F1931">
        <v>-0.96</v>
      </c>
      <c r="G1931" t="s">
        <v>1704</v>
      </c>
      <c r="H1931">
        <v>262</v>
      </c>
      <c r="I1931">
        <v>29.65</v>
      </c>
      <c r="J1931">
        <v>29.66</v>
      </c>
      <c r="K1931" t="s">
        <v>10932</v>
      </c>
      <c r="L1931">
        <v>13.39</v>
      </c>
      <c r="M1931" t="s">
        <v>46</v>
      </c>
      <c r="N1931" t="s">
        <v>10933</v>
      </c>
      <c r="O1931">
        <v>31.68</v>
      </c>
      <c r="P1931">
        <v>29.11</v>
      </c>
      <c r="Q1931">
        <v>30.67</v>
      </c>
      <c r="R1931">
        <v>30.61</v>
      </c>
      <c r="S1931">
        <v>8.4</v>
      </c>
      <c r="T1931">
        <v>2.64</v>
      </c>
      <c r="U1931">
        <v>77.58</v>
      </c>
      <c r="V1931">
        <v>408</v>
      </c>
      <c r="W1931">
        <v>30.21</v>
      </c>
      <c r="X1931" t="s">
        <v>10934</v>
      </c>
      <c r="Y1931" t="s">
        <v>3284</v>
      </c>
      <c r="Z1931">
        <v>1.41</v>
      </c>
      <c r="AA1931">
        <v>17</v>
      </c>
      <c r="AB1931">
        <v>5</v>
      </c>
      <c r="AC1931">
        <v>2.25</v>
      </c>
      <c r="AD1931" t="s">
        <v>3612</v>
      </c>
      <c r="AE1931" t="s">
        <v>8246</v>
      </c>
      <c r="AF1931" t="s">
        <v>10935</v>
      </c>
      <c r="AG1931" t="s">
        <v>10936</v>
      </c>
      <c r="AH1931">
        <v>-4.85</v>
      </c>
      <c r="AI1931">
        <v>-3.2</v>
      </c>
      <c r="AJ1931">
        <v>25.04</v>
      </c>
      <c r="AK1931">
        <v>38.8</v>
      </c>
      <c r="AL1931">
        <v>-3</v>
      </c>
      <c r="AM1931">
        <v>-3.14</v>
      </c>
      <c r="AN1931">
        <v>29.87</v>
      </c>
      <c r="AO1931">
        <v>-0.9</v>
      </c>
      <c r="AP1931">
        <v>16.5</v>
      </c>
    </row>
    <row r="1932" spans="1:42">
      <c r="A1932">
        <v>1931</v>
      </c>
      <c r="B1932" t="str">
        <f>"300357"</f>
        <v>300357</v>
      </c>
      <c r="C1932" t="s">
        <v>10937</v>
      </c>
      <c r="D1932">
        <v>29.58</v>
      </c>
      <c r="E1932">
        <v>-1.63</v>
      </c>
      <c r="F1932">
        <v>-0.49</v>
      </c>
      <c r="G1932" t="s">
        <v>5454</v>
      </c>
      <c r="H1932">
        <v>445</v>
      </c>
      <c r="I1932">
        <v>29.58</v>
      </c>
      <c r="J1932">
        <v>29.59</v>
      </c>
      <c r="K1932" t="s">
        <v>10938</v>
      </c>
      <c r="L1932">
        <v>0.7</v>
      </c>
      <c r="M1932" t="s">
        <v>46</v>
      </c>
      <c r="N1932" t="s">
        <v>10939</v>
      </c>
      <c r="O1932">
        <v>30.07</v>
      </c>
      <c r="P1932">
        <v>29.31</v>
      </c>
      <c r="Q1932">
        <v>30.06</v>
      </c>
      <c r="R1932">
        <v>30.07</v>
      </c>
      <c r="S1932">
        <v>2.53</v>
      </c>
      <c r="T1932">
        <v>0.81</v>
      </c>
      <c r="U1932">
        <v>55.56</v>
      </c>
      <c r="V1932">
        <v>295</v>
      </c>
      <c r="W1932">
        <v>29.65</v>
      </c>
      <c r="X1932" t="s">
        <v>2723</v>
      </c>
      <c r="Y1932" t="s">
        <v>3793</v>
      </c>
      <c r="Z1932">
        <v>1.24</v>
      </c>
      <c r="AA1932">
        <v>19</v>
      </c>
      <c r="AB1932">
        <v>24</v>
      </c>
      <c r="AC1932">
        <v>7.22</v>
      </c>
      <c r="AD1932" t="s">
        <v>10940</v>
      </c>
      <c r="AE1932" t="s">
        <v>8193</v>
      </c>
      <c r="AF1932" t="s">
        <v>10941</v>
      </c>
      <c r="AG1932" t="s">
        <v>10942</v>
      </c>
      <c r="AH1932">
        <v>-1.2</v>
      </c>
      <c r="AI1932">
        <v>-3.14</v>
      </c>
      <c r="AJ1932">
        <v>1.99</v>
      </c>
      <c r="AK1932">
        <v>5.06</v>
      </c>
      <c r="AL1932">
        <v>-1</v>
      </c>
      <c r="AM1932">
        <v>-1.63</v>
      </c>
      <c r="AN1932">
        <v>-46.12</v>
      </c>
      <c r="AO1932">
        <v>3.25</v>
      </c>
      <c r="AP1932">
        <v>-41.81</v>
      </c>
    </row>
    <row r="1933" spans="1:42">
      <c r="A1933">
        <v>1932</v>
      </c>
      <c r="B1933" t="str">
        <f>"300667"</f>
        <v>300667</v>
      </c>
      <c r="C1933" t="s">
        <v>10943</v>
      </c>
      <c r="D1933">
        <v>17.7</v>
      </c>
      <c r="E1933">
        <v>1.09</v>
      </c>
      <c r="F1933">
        <v>0.19</v>
      </c>
      <c r="G1933" t="s">
        <v>2685</v>
      </c>
      <c r="H1933">
        <v>1364</v>
      </c>
      <c r="I1933">
        <v>17.69</v>
      </c>
      <c r="J1933">
        <v>17.7</v>
      </c>
      <c r="K1933" t="s">
        <v>10944</v>
      </c>
      <c r="L1933">
        <v>3.5</v>
      </c>
      <c r="M1933" t="s">
        <v>46</v>
      </c>
      <c r="N1933" t="s">
        <v>10945</v>
      </c>
      <c r="O1933">
        <v>17.85</v>
      </c>
      <c r="P1933">
        <v>17.14</v>
      </c>
      <c r="Q1933">
        <v>17.4</v>
      </c>
      <c r="R1933">
        <v>17.51</v>
      </c>
      <c r="S1933">
        <v>4.05</v>
      </c>
      <c r="T1933">
        <v>1.21</v>
      </c>
      <c r="U1933">
        <v>-20.4</v>
      </c>
      <c r="V1933">
        <v>-225</v>
      </c>
      <c r="W1933">
        <v>17.46</v>
      </c>
      <c r="X1933" t="s">
        <v>541</v>
      </c>
      <c r="Y1933" t="s">
        <v>7993</v>
      </c>
      <c r="Z1933">
        <v>1.03</v>
      </c>
      <c r="AA1933">
        <v>142</v>
      </c>
      <c r="AB1933">
        <v>133</v>
      </c>
      <c r="AC1933">
        <v>2.86</v>
      </c>
      <c r="AD1933" t="s">
        <v>10946</v>
      </c>
      <c r="AE1933" t="s">
        <v>10947</v>
      </c>
      <c r="AF1933" t="s">
        <v>10948</v>
      </c>
      <c r="AG1933" t="s">
        <v>10949</v>
      </c>
      <c r="AH1933">
        <v>-0.28</v>
      </c>
      <c r="AI1933">
        <v>0.57</v>
      </c>
      <c r="AJ1933">
        <v>9.91</v>
      </c>
      <c r="AK1933">
        <v>18.02</v>
      </c>
      <c r="AL1933">
        <v>1</v>
      </c>
      <c r="AM1933">
        <v>1.09</v>
      </c>
      <c r="AN1933">
        <v>16.68</v>
      </c>
      <c r="AO1933">
        <v>4.92</v>
      </c>
      <c r="AP1933">
        <v>-6.74</v>
      </c>
    </row>
    <row r="1934" spans="1:42">
      <c r="A1934">
        <v>1933</v>
      </c>
      <c r="B1934" t="str">
        <f>"300666"</f>
        <v>300666</v>
      </c>
      <c r="C1934" t="s">
        <v>10950</v>
      </c>
      <c r="D1934">
        <v>61.08</v>
      </c>
      <c r="E1934">
        <v>1.48</v>
      </c>
      <c r="F1934">
        <v>0.89</v>
      </c>
      <c r="G1934" t="s">
        <v>1692</v>
      </c>
      <c r="H1934">
        <v>194</v>
      </c>
      <c r="I1934">
        <v>61.07</v>
      </c>
      <c r="J1934">
        <v>61.08</v>
      </c>
      <c r="K1934" t="s">
        <v>10951</v>
      </c>
      <c r="L1934">
        <v>0.79</v>
      </c>
      <c r="M1934" t="s">
        <v>46</v>
      </c>
      <c r="N1934" t="s">
        <v>5506</v>
      </c>
      <c r="O1934">
        <v>61.28</v>
      </c>
      <c r="P1934">
        <v>59.94</v>
      </c>
      <c r="Q1934">
        <v>60.19</v>
      </c>
      <c r="R1934">
        <v>60.19</v>
      </c>
      <c r="S1934">
        <v>2.23</v>
      </c>
      <c r="T1934">
        <v>0.84</v>
      </c>
      <c r="U1934">
        <v>-62.25</v>
      </c>
      <c r="V1934">
        <v>-155</v>
      </c>
      <c r="W1934">
        <v>60.64</v>
      </c>
      <c r="X1934">
        <v>6769</v>
      </c>
      <c r="Y1934">
        <v>9634</v>
      </c>
      <c r="Z1934">
        <v>0.7</v>
      </c>
      <c r="AA1934">
        <v>3</v>
      </c>
      <c r="AB1934">
        <v>97</v>
      </c>
      <c r="AC1934">
        <v>3.86</v>
      </c>
      <c r="AD1934" t="s">
        <v>10952</v>
      </c>
      <c r="AE1934" t="s">
        <v>7234</v>
      </c>
      <c r="AF1934" t="s">
        <v>10953</v>
      </c>
      <c r="AG1934" t="s">
        <v>10954</v>
      </c>
      <c r="AH1934">
        <v>-1.4</v>
      </c>
      <c r="AI1934">
        <v>-2.24</v>
      </c>
      <c r="AJ1934">
        <v>2.37</v>
      </c>
      <c r="AK1934">
        <v>5.49</v>
      </c>
      <c r="AL1934">
        <v>1</v>
      </c>
      <c r="AM1934">
        <v>1.48</v>
      </c>
      <c r="AN1934">
        <v>-11.47</v>
      </c>
      <c r="AO1934">
        <v>-2.43</v>
      </c>
      <c r="AP1934">
        <v>-25.34</v>
      </c>
    </row>
    <row r="1935" spans="1:42">
      <c r="A1935">
        <v>1934</v>
      </c>
      <c r="B1935" t="str">
        <f>"300296"</f>
        <v>300296</v>
      </c>
      <c r="C1935" t="s">
        <v>10955</v>
      </c>
      <c r="D1935">
        <v>6.11</v>
      </c>
      <c r="E1935">
        <v>0.99</v>
      </c>
      <c r="F1935">
        <v>0.06</v>
      </c>
      <c r="G1935" t="s">
        <v>3155</v>
      </c>
      <c r="H1935">
        <v>1143</v>
      </c>
      <c r="I1935">
        <v>6.11</v>
      </c>
      <c r="J1935">
        <v>6.12</v>
      </c>
      <c r="K1935" t="s">
        <v>10956</v>
      </c>
      <c r="L1935">
        <v>0.78</v>
      </c>
      <c r="M1935" t="s">
        <v>46</v>
      </c>
      <c r="N1935" t="s">
        <v>10957</v>
      </c>
      <c r="O1935">
        <v>6.12</v>
      </c>
      <c r="P1935">
        <v>6.01</v>
      </c>
      <c r="Q1935">
        <v>6.04</v>
      </c>
      <c r="R1935">
        <v>6.05</v>
      </c>
      <c r="S1935">
        <v>1.82</v>
      </c>
      <c r="T1935">
        <v>0.96</v>
      </c>
      <c r="U1935">
        <v>-2.46</v>
      </c>
      <c r="V1935">
        <v>-343</v>
      </c>
      <c r="W1935">
        <v>6.07</v>
      </c>
      <c r="X1935" t="s">
        <v>176</v>
      </c>
      <c r="Y1935" t="s">
        <v>8755</v>
      </c>
      <c r="Z1935">
        <v>1.02</v>
      </c>
      <c r="AA1935">
        <v>522</v>
      </c>
      <c r="AB1935">
        <v>1583</v>
      </c>
      <c r="AC1935">
        <v>1.83</v>
      </c>
      <c r="AD1935" t="s">
        <v>10958</v>
      </c>
      <c r="AE1935" t="s">
        <v>10959</v>
      </c>
      <c r="AF1935" t="s">
        <v>10960</v>
      </c>
      <c r="AG1935" t="s">
        <v>10961</v>
      </c>
      <c r="AH1935">
        <v>-0.97</v>
      </c>
      <c r="AI1935">
        <v>-1.93</v>
      </c>
      <c r="AJ1935">
        <v>2.42</v>
      </c>
      <c r="AK1935">
        <v>4.87</v>
      </c>
      <c r="AL1935">
        <v>1</v>
      </c>
      <c r="AM1935">
        <v>0.99</v>
      </c>
      <c r="AN1935">
        <v>8.72</v>
      </c>
      <c r="AO1935">
        <v>-0.97</v>
      </c>
      <c r="AP1935">
        <v>2.69</v>
      </c>
    </row>
    <row r="1936" spans="1:42">
      <c r="A1936">
        <v>1935</v>
      </c>
      <c r="B1936" t="str">
        <f>"600337"</f>
        <v>600337</v>
      </c>
      <c r="C1936" t="s">
        <v>10962</v>
      </c>
      <c r="D1936">
        <v>2.76</v>
      </c>
      <c r="E1936">
        <v>2.99</v>
      </c>
      <c r="F1936">
        <v>0.08</v>
      </c>
      <c r="G1936" t="s">
        <v>4962</v>
      </c>
      <c r="H1936">
        <v>9705</v>
      </c>
      <c r="I1936">
        <v>2.76</v>
      </c>
      <c r="J1936">
        <v>2.77</v>
      </c>
      <c r="K1936" t="s">
        <v>10963</v>
      </c>
      <c r="L1936">
        <v>2.44</v>
      </c>
      <c r="M1936" t="s">
        <v>46</v>
      </c>
      <c r="N1936" t="s">
        <v>10964</v>
      </c>
      <c r="O1936">
        <v>2.85</v>
      </c>
      <c r="P1936">
        <v>2.66</v>
      </c>
      <c r="Q1936">
        <v>2.68</v>
      </c>
      <c r="R1936">
        <v>2.68</v>
      </c>
      <c r="S1936">
        <v>7.09</v>
      </c>
      <c r="T1936">
        <v>2.05</v>
      </c>
      <c r="U1936">
        <v>12.74</v>
      </c>
      <c r="V1936">
        <v>4832</v>
      </c>
      <c r="W1936">
        <v>2.76</v>
      </c>
      <c r="X1936" t="s">
        <v>1439</v>
      </c>
      <c r="Y1936" t="s">
        <v>869</v>
      </c>
      <c r="Z1936">
        <v>0.87</v>
      </c>
      <c r="AA1936">
        <v>990</v>
      </c>
      <c r="AB1936">
        <v>3513</v>
      </c>
      <c r="AC1936">
        <v>1.04</v>
      </c>
      <c r="AD1936" t="s">
        <v>10965</v>
      </c>
      <c r="AE1936" t="s">
        <v>8039</v>
      </c>
      <c r="AF1936" t="s">
        <v>10965</v>
      </c>
      <c r="AG1936" t="s">
        <v>8039</v>
      </c>
      <c r="AH1936">
        <v>5.34</v>
      </c>
      <c r="AI1936">
        <v>6.98</v>
      </c>
      <c r="AJ1936">
        <v>5.25</v>
      </c>
      <c r="AK1936">
        <v>8.39</v>
      </c>
      <c r="AL1936">
        <v>5</v>
      </c>
      <c r="AM1936">
        <v>2.99</v>
      </c>
      <c r="AN1936">
        <v>-2.13</v>
      </c>
      <c r="AO1936">
        <v>9.09</v>
      </c>
      <c r="AP1936">
        <v>-6.44</v>
      </c>
    </row>
    <row r="1937" spans="1:42">
      <c r="A1937">
        <v>1936</v>
      </c>
      <c r="B1937" t="str">
        <f>"603093"</f>
        <v>603093</v>
      </c>
      <c r="C1937" t="s">
        <v>10966</v>
      </c>
      <c r="D1937">
        <v>12.82</v>
      </c>
      <c r="E1937">
        <v>-2.21</v>
      </c>
      <c r="F1937">
        <v>-0.29</v>
      </c>
      <c r="G1937" t="s">
        <v>8604</v>
      </c>
      <c r="H1937">
        <v>372</v>
      </c>
      <c r="I1937">
        <v>12.82</v>
      </c>
      <c r="J1937">
        <v>12.83</v>
      </c>
      <c r="K1937" t="s">
        <v>10967</v>
      </c>
      <c r="L1937">
        <v>1.27</v>
      </c>
      <c r="M1937" t="s">
        <v>46</v>
      </c>
      <c r="N1937" t="s">
        <v>10968</v>
      </c>
      <c r="O1937">
        <v>13.05</v>
      </c>
      <c r="P1937">
        <v>12.73</v>
      </c>
      <c r="Q1937">
        <v>13.05</v>
      </c>
      <c r="R1937">
        <v>13.11</v>
      </c>
      <c r="S1937">
        <v>2.44</v>
      </c>
      <c r="T1937">
        <v>0.98</v>
      </c>
      <c r="U1937">
        <v>15.12</v>
      </c>
      <c r="V1937">
        <v>155</v>
      </c>
      <c r="W1937">
        <v>12.84</v>
      </c>
      <c r="X1937" t="s">
        <v>3716</v>
      </c>
      <c r="Y1937" t="s">
        <v>4811</v>
      </c>
      <c r="Z1937">
        <v>1</v>
      </c>
      <c r="AA1937">
        <v>22</v>
      </c>
      <c r="AB1937">
        <v>121</v>
      </c>
      <c r="AC1937">
        <v>2.16</v>
      </c>
      <c r="AD1937" t="s">
        <v>10969</v>
      </c>
      <c r="AE1937" t="s">
        <v>10970</v>
      </c>
      <c r="AF1937" t="s">
        <v>10969</v>
      </c>
      <c r="AG1937" t="s">
        <v>10970</v>
      </c>
      <c r="AH1937">
        <v>-2.36</v>
      </c>
      <c r="AI1937">
        <v>1.5</v>
      </c>
      <c r="AJ1937">
        <v>3.91</v>
      </c>
      <c r="AK1937">
        <v>7.74</v>
      </c>
      <c r="AL1937">
        <v>-1</v>
      </c>
      <c r="AM1937">
        <v>-2.21</v>
      </c>
      <c r="AN1937">
        <v>41.66</v>
      </c>
      <c r="AO1937">
        <v>4.4</v>
      </c>
      <c r="AP1937">
        <v>35.37</v>
      </c>
    </row>
    <row r="1938" spans="1:42">
      <c r="A1938">
        <v>1937</v>
      </c>
      <c r="B1938" t="str">
        <f>"300723"</f>
        <v>300723</v>
      </c>
      <c r="C1938" t="s">
        <v>10971</v>
      </c>
      <c r="D1938">
        <v>28.35</v>
      </c>
      <c r="E1938">
        <v>0.78</v>
      </c>
      <c r="F1938">
        <v>0.22</v>
      </c>
      <c r="G1938" t="s">
        <v>5831</v>
      </c>
      <c r="H1938">
        <v>245</v>
      </c>
      <c r="I1938">
        <v>28.35</v>
      </c>
      <c r="J1938">
        <v>28.36</v>
      </c>
      <c r="K1938" t="s">
        <v>10972</v>
      </c>
      <c r="L1938">
        <v>1.57</v>
      </c>
      <c r="M1938" t="s">
        <v>46</v>
      </c>
      <c r="N1938" t="s">
        <v>5506</v>
      </c>
      <c r="O1938">
        <v>28.59</v>
      </c>
      <c r="P1938">
        <v>28.01</v>
      </c>
      <c r="Q1938">
        <v>28.15</v>
      </c>
      <c r="R1938">
        <v>28.13</v>
      </c>
      <c r="S1938">
        <v>2.06</v>
      </c>
      <c r="T1938">
        <v>0.75</v>
      </c>
      <c r="U1938">
        <v>38.09</v>
      </c>
      <c r="V1938">
        <v>282</v>
      </c>
      <c r="W1938">
        <v>28.31</v>
      </c>
      <c r="X1938" t="s">
        <v>2111</v>
      </c>
      <c r="Y1938" t="s">
        <v>3069</v>
      </c>
      <c r="Z1938">
        <v>0.94</v>
      </c>
      <c r="AA1938">
        <v>49</v>
      </c>
      <c r="AB1938">
        <v>59</v>
      </c>
      <c r="AC1938">
        <v>4.94</v>
      </c>
      <c r="AD1938" t="s">
        <v>10973</v>
      </c>
      <c r="AE1938" t="s">
        <v>10974</v>
      </c>
      <c r="AF1938" t="s">
        <v>1138</v>
      </c>
      <c r="AG1938" t="s">
        <v>10975</v>
      </c>
      <c r="AH1938">
        <v>-0.07</v>
      </c>
      <c r="AI1938">
        <v>-0.28</v>
      </c>
      <c r="AJ1938">
        <v>4.26</v>
      </c>
      <c r="AK1938">
        <v>12.03</v>
      </c>
      <c r="AL1938">
        <v>2</v>
      </c>
      <c r="AM1938">
        <v>0.78</v>
      </c>
      <c r="AN1938">
        <v>23.69</v>
      </c>
      <c r="AO1938">
        <v>-4.71</v>
      </c>
      <c r="AP1938">
        <v>22.2</v>
      </c>
    </row>
    <row r="1939" spans="1:42">
      <c r="A1939">
        <v>1938</v>
      </c>
      <c r="B1939" t="str">
        <f>"301030"</f>
        <v>301030</v>
      </c>
      <c r="C1939" t="s">
        <v>10976</v>
      </c>
      <c r="D1939">
        <v>38.1</v>
      </c>
      <c r="E1939">
        <v>2.17</v>
      </c>
      <c r="F1939">
        <v>0.81</v>
      </c>
      <c r="G1939" t="s">
        <v>688</v>
      </c>
      <c r="H1939">
        <v>296</v>
      </c>
      <c r="I1939">
        <v>38.06</v>
      </c>
      <c r="J1939">
        <v>38.1</v>
      </c>
      <c r="K1939" t="s">
        <v>10977</v>
      </c>
      <c r="L1939">
        <v>2.3</v>
      </c>
      <c r="M1939" t="s">
        <v>46</v>
      </c>
      <c r="N1939" t="s">
        <v>3039</v>
      </c>
      <c r="O1939">
        <v>38.26</v>
      </c>
      <c r="P1939">
        <v>37.01</v>
      </c>
      <c r="Q1939">
        <v>37.29</v>
      </c>
      <c r="R1939">
        <v>37.29</v>
      </c>
      <c r="S1939">
        <v>3.35</v>
      </c>
      <c r="T1939">
        <v>1.2</v>
      </c>
      <c r="U1939">
        <v>34.2</v>
      </c>
      <c r="V1939">
        <v>79</v>
      </c>
      <c r="W1939">
        <v>37.72</v>
      </c>
      <c r="X1939" t="s">
        <v>4792</v>
      </c>
      <c r="Y1939" t="s">
        <v>5446</v>
      </c>
      <c r="Z1939">
        <v>0.87</v>
      </c>
      <c r="AA1939">
        <v>3</v>
      </c>
      <c r="AB1939">
        <v>10</v>
      </c>
      <c r="AC1939">
        <v>3.05</v>
      </c>
      <c r="AD1939" t="s">
        <v>10978</v>
      </c>
      <c r="AE1939" t="s">
        <v>10979</v>
      </c>
      <c r="AF1939" t="s">
        <v>10980</v>
      </c>
      <c r="AG1939" t="s">
        <v>10981</v>
      </c>
      <c r="AH1939">
        <v>-0.31</v>
      </c>
      <c r="AI1939">
        <v>-2.33</v>
      </c>
      <c r="AJ1939">
        <v>5.95</v>
      </c>
      <c r="AK1939">
        <v>11.84</v>
      </c>
      <c r="AL1939">
        <v>1</v>
      </c>
      <c r="AM1939">
        <v>2.17</v>
      </c>
      <c r="AN1939">
        <v>-8.65</v>
      </c>
      <c r="AO1939">
        <v>6.57</v>
      </c>
      <c r="AP1939">
        <v>-10.56</v>
      </c>
    </row>
    <row r="1940" spans="1:42">
      <c r="A1940">
        <v>1939</v>
      </c>
      <c r="B1940" t="str">
        <f>"600390"</f>
        <v>600390</v>
      </c>
      <c r="C1940" t="s">
        <v>10982</v>
      </c>
      <c r="D1940">
        <v>4.87</v>
      </c>
      <c r="E1940">
        <v>0.62</v>
      </c>
      <c r="F1940">
        <v>0.03</v>
      </c>
      <c r="G1940" t="s">
        <v>2160</v>
      </c>
      <c r="H1940">
        <v>1189</v>
      </c>
      <c r="I1940">
        <v>4.87</v>
      </c>
      <c r="J1940">
        <v>4.88</v>
      </c>
      <c r="K1940" t="s">
        <v>10983</v>
      </c>
      <c r="L1940">
        <v>0.45</v>
      </c>
      <c r="M1940" t="s">
        <v>46</v>
      </c>
      <c r="N1940" t="s">
        <v>10984</v>
      </c>
      <c r="O1940">
        <v>4.88</v>
      </c>
      <c r="P1940">
        <v>4.82</v>
      </c>
      <c r="Q1940">
        <v>4.83</v>
      </c>
      <c r="R1940">
        <v>4.84</v>
      </c>
      <c r="S1940">
        <v>1.24</v>
      </c>
      <c r="T1940">
        <v>0.94</v>
      </c>
      <c r="U1940">
        <v>-11.75</v>
      </c>
      <c r="V1940">
        <v>-3751</v>
      </c>
      <c r="W1940">
        <v>4.86</v>
      </c>
      <c r="X1940" t="s">
        <v>7232</v>
      </c>
      <c r="Y1940" t="s">
        <v>4356</v>
      </c>
      <c r="Z1940">
        <v>0.78</v>
      </c>
      <c r="AA1940">
        <v>1618</v>
      </c>
      <c r="AB1940">
        <v>3127</v>
      </c>
      <c r="AC1940">
        <v>0.52</v>
      </c>
      <c r="AD1940" t="s">
        <v>8719</v>
      </c>
      <c r="AE1940" t="s">
        <v>10985</v>
      </c>
      <c r="AF1940" t="s">
        <v>8719</v>
      </c>
      <c r="AG1940" t="s">
        <v>10985</v>
      </c>
      <c r="AH1940">
        <v>-1.02</v>
      </c>
      <c r="AI1940">
        <v>-3.56</v>
      </c>
      <c r="AJ1940">
        <v>1.48</v>
      </c>
      <c r="AK1940">
        <v>2.88</v>
      </c>
      <c r="AL1940">
        <v>1</v>
      </c>
      <c r="AM1940">
        <v>0.62</v>
      </c>
      <c r="AN1940">
        <v>-2.21</v>
      </c>
      <c r="AO1940">
        <v>-2.99</v>
      </c>
      <c r="AP1940">
        <v>4.28</v>
      </c>
    </row>
    <row r="1941" spans="1:42">
      <c r="A1941">
        <v>1940</v>
      </c>
      <c r="B1941" t="str">
        <f>"688138"</f>
        <v>688138</v>
      </c>
      <c r="C1941" t="s">
        <v>10986</v>
      </c>
      <c r="D1941">
        <v>23.85</v>
      </c>
      <c r="E1941">
        <v>-0.91</v>
      </c>
      <c r="F1941">
        <v>-0.22</v>
      </c>
      <c r="G1941" t="s">
        <v>7062</v>
      </c>
      <c r="H1941">
        <v>646</v>
      </c>
      <c r="I1941">
        <v>23.83</v>
      </c>
      <c r="J1941">
        <v>23.85</v>
      </c>
      <c r="K1941" t="s">
        <v>10987</v>
      </c>
      <c r="L1941">
        <v>1.56</v>
      </c>
      <c r="M1941" t="s">
        <v>46</v>
      </c>
      <c r="N1941" t="s">
        <v>7570</v>
      </c>
      <c r="O1941">
        <v>24.44</v>
      </c>
      <c r="P1941">
        <v>23.41</v>
      </c>
      <c r="Q1941">
        <v>24.18</v>
      </c>
      <c r="R1941">
        <v>24.07</v>
      </c>
      <c r="S1941">
        <v>4.28</v>
      </c>
      <c r="T1941">
        <v>0.79</v>
      </c>
      <c r="U1941">
        <v>-27.27</v>
      </c>
      <c r="V1941">
        <v>-173</v>
      </c>
      <c r="W1941">
        <v>23.8</v>
      </c>
      <c r="X1941" t="s">
        <v>1212</v>
      </c>
      <c r="Y1941" t="s">
        <v>2329</v>
      </c>
      <c r="Z1941">
        <v>1.18</v>
      </c>
      <c r="AA1941">
        <v>20</v>
      </c>
      <c r="AB1941">
        <v>30</v>
      </c>
      <c r="AC1941">
        <v>4.73</v>
      </c>
      <c r="AD1941" t="s">
        <v>10988</v>
      </c>
      <c r="AE1941" t="s">
        <v>10989</v>
      </c>
      <c r="AF1941" t="s">
        <v>10988</v>
      </c>
      <c r="AG1941" t="s">
        <v>10989</v>
      </c>
      <c r="AH1941">
        <v>-2.65</v>
      </c>
      <c r="AI1941">
        <v>3.16</v>
      </c>
      <c r="AJ1941">
        <v>5.74</v>
      </c>
      <c r="AK1941">
        <v>11.44</v>
      </c>
      <c r="AL1941">
        <v>-2</v>
      </c>
      <c r="AM1941">
        <v>-0.91</v>
      </c>
      <c r="AN1941">
        <v>31.91</v>
      </c>
      <c r="AO1941">
        <v>5.16</v>
      </c>
      <c r="AP1941">
        <v>11.76</v>
      </c>
    </row>
    <row r="1942" spans="1:42">
      <c r="A1942">
        <v>1941</v>
      </c>
      <c r="B1942" t="str">
        <f>"301261"</f>
        <v>301261</v>
      </c>
      <c r="C1942" t="s">
        <v>10990</v>
      </c>
      <c r="D1942">
        <v>48.47</v>
      </c>
      <c r="E1942">
        <v>-2.87</v>
      </c>
      <c r="F1942">
        <v>-1.43</v>
      </c>
      <c r="G1942" t="s">
        <v>5237</v>
      </c>
      <c r="H1942">
        <v>193</v>
      </c>
      <c r="I1942">
        <v>48.46</v>
      </c>
      <c r="J1942">
        <v>48.47</v>
      </c>
      <c r="K1942" t="s">
        <v>10991</v>
      </c>
      <c r="L1942">
        <v>10.31</v>
      </c>
      <c r="M1942" t="s">
        <v>46</v>
      </c>
      <c r="N1942" t="s">
        <v>10992</v>
      </c>
      <c r="O1942">
        <v>49.8</v>
      </c>
      <c r="P1942">
        <v>48.06</v>
      </c>
      <c r="Q1942">
        <v>49.52</v>
      </c>
      <c r="R1942">
        <v>49.9</v>
      </c>
      <c r="S1942">
        <v>3.49</v>
      </c>
      <c r="T1942">
        <v>0.9</v>
      </c>
      <c r="U1942">
        <v>-69.84</v>
      </c>
      <c r="V1942">
        <v>-644</v>
      </c>
      <c r="W1942">
        <v>48.53</v>
      </c>
      <c r="X1942" t="s">
        <v>718</v>
      </c>
      <c r="Y1942">
        <v>8465</v>
      </c>
      <c r="Z1942">
        <v>1.41</v>
      </c>
      <c r="AA1942">
        <v>42</v>
      </c>
      <c r="AB1942">
        <v>748</v>
      </c>
      <c r="AC1942">
        <v>2.96</v>
      </c>
      <c r="AD1942" t="s">
        <v>10993</v>
      </c>
      <c r="AE1942" t="s">
        <v>10994</v>
      </c>
      <c r="AF1942" t="s">
        <v>10995</v>
      </c>
      <c r="AG1942" t="s">
        <v>10996</v>
      </c>
      <c r="AH1942">
        <v>-5.35</v>
      </c>
      <c r="AI1942">
        <v>-3.41</v>
      </c>
      <c r="AJ1942">
        <v>28.01</v>
      </c>
      <c r="AK1942">
        <v>67.65</v>
      </c>
      <c r="AL1942">
        <v>-3</v>
      </c>
      <c r="AM1942">
        <v>-2.87</v>
      </c>
      <c r="AN1942">
        <v>32.43</v>
      </c>
      <c r="AO1942">
        <v>5.44</v>
      </c>
      <c r="AP1942">
        <v>32.43</v>
      </c>
    </row>
    <row r="1943" spans="1:42">
      <c r="A1943">
        <v>1942</v>
      </c>
      <c r="B1943" t="str">
        <f>"300298"</f>
        <v>300298</v>
      </c>
      <c r="C1943" t="s">
        <v>10997</v>
      </c>
      <c r="D1943">
        <v>29.82</v>
      </c>
      <c r="E1943">
        <v>-2.07</v>
      </c>
      <c r="F1943">
        <v>-0.63</v>
      </c>
      <c r="G1943" t="s">
        <v>1704</v>
      </c>
      <c r="H1943">
        <v>557</v>
      </c>
      <c r="I1943">
        <v>29.82</v>
      </c>
      <c r="J1943">
        <v>29.91</v>
      </c>
      <c r="K1943" t="s">
        <v>10998</v>
      </c>
      <c r="L1943">
        <v>0.72</v>
      </c>
      <c r="M1943" t="s">
        <v>46</v>
      </c>
      <c r="N1943" t="s">
        <v>7648</v>
      </c>
      <c r="O1943">
        <v>30.44</v>
      </c>
      <c r="P1943">
        <v>29.66</v>
      </c>
      <c r="Q1943">
        <v>30.44</v>
      </c>
      <c r="R1943">
        <v>30.45</v>
      </c>
      <c r="S1943">
        <v>2.56</v>
      </c>
      <c r="T1943">
        <v>0.7</v>
      </c>
      <c r="U1943">
        <v>26.02</v>
      </c>
      <c r="V1943">
        <v>83</v>
      </c>
      <c r="W1943">
        <v>30</v>
      </c>
      <c r="X1943" t="s">
        <v>876</v>
      </c>
      <c r="Y1943" t="s">
        <v>8212</v>
      </c>
      <c r="Z1943">
        <v>1.12</v>
      </c>
      <c r="AA1943">
        <v>63</v>
      </c>
      <c r="AB1943">
        <v>58</v>
      </c>
      <c r="AC1943">
        <v>5.61</v>
      </c>
      <c r="AD1943" t="s">
        <v>10999</v>
      </c>
      <c r="AE1943" t="s">
        <v>11000</v>
      </c>
      <c r="AF1943" t="s">
        <v>11001</v>
      </c>
      <c r="AG1943" t="s">
        <v>511</v>
      </c>
      <c r="AH1943">
        <v>-2.83</v>
      </c>
      <c r="AI1943">
        <v>4.48</v>
      </c>
      <c r="AJ1943">
        <v>2.07</v>
      </c>
      <c r="AK1943">
        <v>5.93</v>
      </c>
      <c r="AL1943">
        <v>-1</v>
      </c>
      <c r="AM1943">
        <v>-2.07</v>
      </c>
      <c r="AN1943">
        <v>-11.06</v>
      </c>
      <c r="AO1943">
        <v>4.27</v>
      </c>
      <c r="AP1943">
        <v>-13.24</v>
      </c>
    </row>
    <row r="1944" spans="1:42">
      <c r="A1944">
        <v>1943</v>
      </c>
      <c r="B1944" t="str">
        <f>"300910"</f>
        <v>300910</v>
      </c>
      <c r="C1944" t="s">
        <v>11002</v>
      </c>
      <c r="D1944">
        <v>50.06</v>
      </c>
      <c r="E1944">
        <v>-1.28</v>
      </c>
      <c r="F1944">
        <v>-0.65</v>
      </c>
      <c r="G1944" t="s">
        <v>5585</v>
      </c>
      <c r="H1944">
        <v>51</v>
      </c>
      <c r="I1944">
        <v>50.06</v>
      </c>
      <c r="J1944">
        <v>50.07</v>
      </c>
      <c r="K1944" t="s">
        <v>11003</v>
      </c>
      <c r="L1944">
        <v>0.97</v>
      </c>
      <c r="M1944" t="s">
        <v>46</v>
      </c>
      <c r="N1944" t="s">
        <v>9149</v>
      </c>
      <c r="O1944">
        <v>53.5</v>
      </c>
      <c r="P1944">
        <v>49.8</v>
      </c>
      <c r="Q1944">
        <v>50.77</v>
      </c>
      <c r="R1944">
        <v>50.71</v>
      </c>
      <c r="S1944">
        <v>7.3</v>
      </c>
      <c r="T1944">
        <v>1.18</v>
      </c>
      <c r="U1944">
        <v>83.37</v>
      </c>
      <c r="V1944">
        <v>341</v>
      </c>
      <c r="W1944">
        <v>50.64</v>
      </c>
      <c r="X1944" t="s">
        <v>734</v>
      </c>
      <c r="Y1944">
        <v>8358</v>
      </c>
      <c r="Z1944">
        <v>1.34</v>
      </c>
      <c r="AA1944">
        <v>1</v>
      </c>
      <c r="AB1944">
        <v>12</v>
      </c>
      <c r="AC1944">
        <v>4.86</v>
      </c>
      <c r="AD1944" t="s">
        <v>11004</v>
      </c>
      <c r="AE1944" t="s">
        <v>9007</v>
      </c>
      <c r="AF1944" t="s">
        <v>11005</v>
      </c>
      <c r="AG1944" t="s">
        <v>2415</v>
      </c>
      <c r="AH1944">
        <v>3.86</v>
      </c>
      <c r="AI1944">
        <v>4.51</v>
      </c>
      <c r="AJ1944">
        <v>3.02</v>
      </c>
      <c r="AK1944">
        <v>5.07</v>
      </c>
      <c r="AL1944">
        <v>-1</v>
      </c>
      <c r="AM1944">
        <v>-1.28</v>
      </c>
      <c r="AN1944">
        <v>-21.4</v>
      </c>
      <c r="AO1944">
        <v>7.66</v>
      </c>
      <c r="AP1944">
        <v>-31.39</v>
      </c>
    </row>
    <row r="1945" spans="1:42">
      <c r="A1945">
        <v>1944</v>
      </c>
      <c r="B1945" t="str">
        <f>"688083"</f>
        <v>688083</v>
      </c>
      <c r="C1945" t="s">
        <v>11006</v>
      </c>
      <c r="D1945">
        <v>108.3</v>
      </c>
      <c r="E1945">
        <v>1.63</v>
      </c>
      <c r="F1945">
        <v>1.74</v>
      </c>
      <c r="G1945">
        <v>9180</v>
      </c>
      <c r="H1945">
        <v>63</v>
      </c>
      <c r="I1945">
        <v>108.07</v>
      </c>
      <c r="J1945">
        <v>108.3</v>
      </c>
      <c r="K1945" t="s">
        <v>11007</v>
      </c>
      <c r="L1945">
        <v>1.34</v>
      </c>
      <c r="M1945" t="s">
        <v>46</v>
      </c>
      <c r="N1945" t="s">
        <v>3076</v>
      </c>
      <c r="O1945">
        <v>109.48</v>
      </c>
      <c r="P1945">
        <v>105.74</v>
      </c>
      <c r="Q1945">
        <v>107</v>
      </c>
      <c r="R1945">
        <v>106.56</v>
      </c>
      <c r="S1945">
        <v>3.51</v>
      </c>
      <c r="T1945">
        <v>1.42</v>
      </c>
      <c r="U1945">
        <v>-13.28</v>
      </c>
      <c r="V1945">
        <v>-6</v>
      </c>
      <c r="W1945">
        <v>107.77</v>
      </c>
      <c r="X1945">
        <v>4494</v>
      </c>
      <c r="Y1945">
        <v>4686</v>
      </c>
      <c r="Z1945">
        <v>0.96</v>
      </c>
      <c r="AA1945">
        <v>2</v>
      </c>
      <c r="AB1945">
        <v>1</v>
      </c>
      <c r="AC1945">
        <v>4.97</v>
      </c>
      <c r="AD1945" t="s">
        <v>6278</v>
      </c>
      <c r="AE1945" t="s">
        <v>5333</v>
      </c>
      <c r="AF1945" t="s">
        <v>11008</v>
      </c>
      <c r="AG1945" t="s">
        <v>11009</v>
      </c>
      <c r="AH1945">
        <v>-1.15</v>
      </c>
      <c r="AI1945">
        <v>-3.16</v>
      </c>
      <c r="AJ1945">
        <v>3.21</v>
      </c>
      <c r="AK1945">
        <v>6.05</v>
      </c>
      <c r="AL1945">
        <v>1</v>
      </c>
      <c r="AM1945">
        <v>1.63</v>
      </c>
      <c r="AN1945">
        <v>-21.88</v>
      </c>
      <c r="AO1945">
        <v>1.59</v>
      </c>
      <c r="AP1945">
        <v>-22.68</v>
      </c>
    </row>
    <row r="1946" spans="1:42">
      <c r="A1946">
        <v>1945</v>
      </c>
      <c r="B1946" t="str">
        <f>"301239"</f>
        <v>301239</v>
      </c>
      <c r="C1946" t="s">
        <v>11010</v>
      </c>
      <c r="D1946">
        <v>99.78</v>
      </c>
      <c r="E1946">
        <v>-1.68</v>
      </c>
      <c r="F1946">
        <v>-1.7</v>
      </c>
      <c r="G1946">
        <v>9824</v>
      </c>
      <c r="H1946">
        <v>69</v>
      </c>
      <c r="I1946">
        <v>99.77</v>
      </c>
      <c r="J1946">
        <v>99.78</v>
      </c>
      <c r="K1946" t="s">
        <v>11011</v>
      </c>
      <c r="L1946">
        <v>1.39</v>
      </c>
      <c r="M1946" t="s">
        <v>46</v>
      </c>
      <c r="N1946" t="s">
        <v>2104</v>
      </c>
      <c r="O1946">
        <v>102.26</v>
      </c>
      <c r="P1946">
        <v>99.66</v>
      </c>
      <c r="Q1946">
        <v>101.47</v>
      </c>
      <c r="R1946">
        <v>101.48</v>
      </c>
      <c r="S1946">
        <v>2.56</v>
      </c>
      <c r="T1946">
        <v>0.65</v>
      </c>
      <c r="U1946">
        <v>14.52</v>
      </c>
      <c r="V1946">
        <v>18</v>
      </c>
      <c r="W1946">
        <v>100.54</v>
      </c>
      <c r="X1946">
        <v>5257</v>
      </c>
      <c r="Y1946">
        <v>4567</v>
      </c>
      <c r="Z1946">
        <v>1.15</v>
      </c>
      <c r="AA1946">
        <v>55</v>
      </c>
      <c r="AB1946">
        <v>7</v>
      </c>
      <c r="AC1946">
        <v>6.3</v>
      </c>
      <c r="AD1946" t="s">
        <v>3813</v>
      </c>
      <c r="AE1946" t="s">
        <v>11012</v>
      </c>
      <c r="AF1946" t="s">
        <v>11013</v>
      </c>
      <c r="AG1946" t="s">
        <v>11014</v>
      </c>
      <c r="AH1946">
        <v>2.11</v>
      </c>
      <c r="AI1946">
        <v>6.43</v>
      </c>
      <c r="AJ1946">
        <v>5.83</v>
      </c>
      <c r="AK1946">
        <v>12.11</v>
      </c>
      <c r="AL1946">
        <v>-1</v>
      </c>
      <c r="AM1946">
        <v>-1.68</v>
      </c>
      <c r="AN1946">
        <v>41.53</v>
      </c>
      <c r="AO1946">
        <v>-1.89</v>
      </c>
      <c r="AP1946">
        <v>95.19</v>
      </c>
    </row>
    <row r="1947" spans="1:42">
      <c r="A1947">
        <v>1946</v>
      </c>
      <c r="B1947" t="str">
        <f>"688076"</f>
        <v>688076</v>
      </c>
      <c r="C1947" t="s">
        <v>11015</v>
      </c>
      <c r="D1947">
        <v>43.15</v>
      </c>
      <c r="E1947">
        <v>1.77</v>
      </c>
      <c r="F1947">
        <v>0.75</v>
      </c>
      <c r="G1947" t="s">
        <v>1710</v>
      </c>
      <c r="H1947">
        <v>427</v>
      </c>
      <c r="I1947">
        <v>43.13</v>
      </c>
      <c r="J1947">
        <v>43.15</v>
      </c>
      <c r="K1947" t="s">
        <v>11016</v>
      </c>
      <c r="L1947">
        <v>1.57</v>
      </c>
      <c r="M1947" t="s">
        <v>46</v>
      </c>
      <c r="N1947" t="s">
        <v>1926</v>
      </c>
      <c r="O1947">
        <v>43.3</v>
      </c>
      <c r="P1947">
        <v>42.29</v>
      </c>
      <c r="Q1947">
        <v>42.29</v>
      </c>
      <c r="R1947">
        <v>42.4</v>
      </c>
      <c r="S1947">
        <v>2.38</v>
      </c>
      <c r="T1947">
        <v>0.63</v>
      </c>
      <c r="U1947">
        <v>-10.64</v>
      </c>
      <c r="V1947">
        <v>-109</v>
      </c>
      <c r="W1947">
        <v>42.86</v>
      </c>
      <c r="X1947" t="s">
        <v>1083</v>
      </c>
      <c r="Y1947" t="s">
        <v>734</v>
      </c>
      <c r="Z1947">
        <v>1.06</v>
      </c>
      <c r="AA1947">
        <v>119</v>
      </c>
      <c r="AB1947">
        <v>190</v>
      </c>
      <c r="AC1947">
        <v>4.67</v>
      </c>
      <c r="AD1947" t="s">
        <v>11017</v>
      </c>
      <c r="AE1947" t="s">
        <v>11018</v>
      </c>
      <c r="AF1947" t="s">
        <v>11019</v>
      </c>
      <c r="AG1947" t="s">
        <v>11020</v>
      </c>
      <c r="AH1947">
        <v>-0.58</v>
      </c>
      <c r="AI1947">
        <v>-3.58</v>
      </c>
      <c r="AJ1947">
        <v>4.97</v>
      </c>
      <c r="AK1947">
        <v>14.03</v>
      </c>
      <c r="AL1947">
        <v>1</v>
      </c>
      <c r="AM1947">
        <v>1.77</v>
      </c>
      <c r="AN1947">
        <v>89.75</v>
      </c>
      <c r="AO1947">
        <v>-8.58</v>
      </c>
      <c r="AP1947">
        <v>83.62</v>
      </c>
    </row>
    <row r="1948" spans="1:42">
      <c r="A1948">
        <v>1947</v>
      </c>
      <c r="B1948" t="str">
        <f>"601890"</f>
        <v>601890</v>
      </c>
      <c r="C1948" t="s">
        <v>11021</v>
      </c>
      <c r="D1948">
        <v>9.24</v>
      </c>
      <c r="E1948">
        <v>-0.11</v>
      </c>
      <c r="F1948">
        <v>-0.01</v>
      </c>
      <c r="G1948" t="s">
        <v>1909</v>
      </c>
      <c r="H1948">
        <v>851</v>
      </c>
      <c r="I1948">
        <v>9.24</v>
      </c>
      <c r="J1948">
        <v>9.25</v>
      </c>
      <c r="K1948" t="s">
        <v>11022</v>
      </c>
      <c r="L1948">
        <v>1.12</v>
      </c>
      <c r="M1948" t="s">
        <v>46</v>
      </c>
      <c r="N1948" t="s">
        <v>2959</v>
      </c>
      <c r="O1948">
        <v>9.3</v>
      </c>
      <c r="P1948">
        <v>9.1</v>
      </c>
      <c r="Q1948">
        <v>9.25</v>
      </c>
      <c r="R1948">
        <v>9.25</v>
      </c>
      <c r="S1948">
        <v>2.16</v>
      </c>
      <c r="T1948">
        <v>1.18</v>
      </c>
      <c r="U1948">
        <v>-36.97</v>
      </c>
      <c r="V1948">
        <v>-2145</v>
      </c>
      <c r="W1948">
        <v>9.18</v>
      </c>
      <c r="X1948" t="s">
        <v>6226</v>
      </c>
      <c r="Y1948" t="s">
        <v>5612</v>
      </c>
      <c r="Z1948">
        <v>1.21</v>
      </c>
      <c r="AA1948">
        <v>162</v>
      </c>
      <c r="AB1948">
        <v>685</v>
      </c>
      <c r="AC1948">
        <v>2.62</v>
      </c>
      <c r="AD1948" t="s">
        <v>11023</v>
      </c>
      <c r="AE1948" t="s">
        <v>11024</v>
      </c>
      <c r="AF1948" t="s">
        <v>11023</v>
      </c>
      <c r="AG1948" t="s">
        <v>11024</v>
      </c>
      <c r="AH1948">
        <v>-1.18</v>
      </c>
      <c r="AI1948">
        <v>-2.01</v>
      </c>
      <c r="AJ1948">
        <v>3.7</v>
      </c>
      <c r="AK1948">
        <v>5.85</v>
      </c>
      <c r="AL1948">
        <v>-1</v>
      </c>
      <c r="AM1948">
        <v>-0.11</v>
      </c>
      <c r="AN1948">
        <v>5.24</v>
      </c>
      <c r="AO1948">
        <v>-0.65</v>
      </c>
      <c r="AP1948">
        <v>-1.81</v>
      </c>
    </row>
    <row r="1949" spans="1:42">
      <c r="A1949">
        <v>1948</v>
      </c>
      <c r="B1949" t="str">
        <f>"301448"</f>
        <v>301448</v>
      </c>
      <c r="C1949" t="s">
        <v>11025</v>
      </c>
      <c r="D1949">
        <v>38.77</v>
      </c>
      <c r="E1949">
        <v>0.96</v>
      </c>
      <c r="F1949">
        <v>0.37</v>
      </c>
      <c r="G1949" t="s">
        <v>4422</v>
      </c>
      <c r="H1949">
        <v>686</v>
      </c>
      <c r="I1949">
        <v>38.76</v>
      </c>
      <c r="J1949">
        <v>38.77</v>
      </c>
      <c r="K1949" t="s">
        <v>11022</v>
      </c>
      <c r="L1949">
        <v>12.79</v>
      </c>
      <c r="M1949" t="s">
        <v>46</v>
      </c>
      <c r="N1949" t="s">
        <v>6277</v>
      </c>
      <c r="O1949">
        <v>38.94</v>
      </c>
      <c r="P1949">
        <v>37.6</v>
      </c>
      <c r="Q1949">
        <v>38.64</v>
      </c>
      <c r="R1949">
        <v>38.4</v>
      </c>
      <c r="S1949">
        <v>3.49</v>
      </c>
      <c r="T1949">
        <v>0.75</v>
      </c>
      <c r="U1949">
        <v>-76.31</v>
      </c>
      <c r="V1949">
        <v>-219</v>
      </c>
      <c r="W1949">
        <v>38.52</v>
      </c>
      <c r="X1949" t="s">
        <v>1083</v>
      </c>
      <c r="Y1949" t="s">
        <v>4525</v>
      </c>
      <c r="Z1949">
        <v>0.86</v>
      </c>
      <c r="AA1949">
        <v>15</v>
      </c>
      <c r="AB1949">
        <v>16</v>
      </c>
      <c r="AC1949">
        <v>4.75</v>
      </c>
      <c r="AD1949" t="s">
        <v>3612</v>
      </c>
      <c r="AE1949" t="s">
        <v>11026</v>
      </c>
      <c r="AF1949" t="s">
        <v>3614</v>
      </c>
      <c r="AG1949" t="s">
        <v>11027</v>
      </c>
      <c r="AH1949">
        <v>-2.54</v>
      </c>
      <c r="AI1949">
        <v>-1.6</v>
      </c>
      <c r="AJ1949">
        <v>44.47</v>
      </c>
      <c r="AK1949">
        <v>97.85</v>
      </c>
      <c r="AL1949">
        <v>1</v>
      </c>
      <c r="AM1949">
        <v>0.96</v>
      </c>
      <c r="AN1949">
        <v>115.51</v>
      </c>
      <c r="AO1949">
        <v>25.75</v>
      </c>
      <c r="AP1949">
        <v>115.51</v>
      </c>
    </row>
    <row r="1950" spans="1:42">
      <c r="A1950">
        <v>1949</v>
      </c>
      <c r="B1950" t="str">
        <f>"300510"</f>
        <v>300510</v>
      </c>
      <c r="C1950" t="s">
        <v>11028</v>
      </c>
      <c r="D1950">
        <v>6.12</v>
      </c>
      <c r="E1950">
        <v>-0.97</v>
      </c>
      <c r="F1950">
        <v>-0.06</v>
      </c>
      <c r="G1950" t="s">
        <v>561</v>
      </c>
      <c r="H1950">
        <v>3234</v>
      </c>
      <c r="I1950">
        <v>6.12</v>
      </c>
      <c r="J1950">
        <v>6.13</v>
      </c>
      <c r="K1950" t="s">
        <v>11029</v>
      </c>
      <c r="L1950">
        <v>1.96</v>
      </c>
      <c r="M1950" t="s">
        <v>46</v>
      </c>
      <c r="N1950" t="s">
        <v>7664</v>
      </c>
      <c r="O1950">
        <v>6.2</v>
      </c>
      <c r="P1950">
        <v>6.08</v>
      </c>
      <c r="Q1950">
        <v>6.16</v>
      </c>
      <c r="R1950">
        <v>6.18</v>
      </c>
      <c r="S1950">
        <v>1.94</v>
      </c>
      <c r="T1950">
        <v>0.75</v>
      </c>
      <c r="U1950">
        <v>26.37</v>
      </c>
      <c r="V1950">
        <v>4864</v>
      </c>
      <c r="W1950">
        <v>6.12</v>
      </c>
      <c r="X1950" t="s">
        <v>1848</v>
      </c>
      <c r="Y1950" t="s">
        <v>1892</v>
      </c>
      <c r="Z1950">
        <v>1.35</v>
      </c>
      <c r="AA1950">
        <v>576</v>
      </c>
      <c r="AB1950">
        <v>1723</v>
      </c>
      <c r="AC1950">
        <v>1.89</v>
      </c>
      <c r="AD1950" t="s">
        <v>11030</v>
      </c>
      <c r="AE1950" t="s">
        <v>11031</v>
      </c>
      <c r="AF1950" t="s">
        <v>8382</v>
      </c>
      <c r="AG1950" t="s">
        <v>10580</v>
      </c>
      <c r="AH1950">
        <v>-0.33</v>
      </c>
      <c r="AI1950">
        <v>-1.61</v>
      </c>
      <c r="AJ1950">
        <v>7.32</v>
      </c>
      <c r="AK1950">
        <v>15.01</v>
      </c>
      <c r="AL1950">
        <v>-1</v>
      </c>
      <c r="AM1950">
        <v>-0.97</v>
      </c>
      <c r="AN1950">
        <v>14.39</v>
      </c>
      <c r="AO1950">
        <v>-4.23</v>
      </c>
      <c r="AP1950">
        <v>16.79</v>
      </c>
    </row>
    <row r="1951" spans="1:42">
      <c r="A1951">
        <v>1950</v>
      </c>
      <c r="B1951" t="str">
        <f>"603788"</f>
        <v>603788</v>
      </c>
      <c r="C1951" t="s">
        <v>11032</v>
      </c>
      <c r="D1951">
        <v>16.11</v>
      </c>
      <c r="E1951">
        <v>0.06</v>
      </c>
      <c r="F1951">
        <v>0.01</v>
      </c>
      <c r="G1951" t="s">
        <v>6608</v>
      </c>
      <c r="H1951">
        <v>908</v>
      </c>
      <c r="I1951">
        <v>16.11</v>
      </c>
      <c r="J1951">
        <v>16.12</v>
      </c>
      <c r="K1951" t="s">
        <v>2896</v>
      </c>
      <c r="L1951">
        <v>2.75</v>
      </c>
      <c r="M1951" t="s">
        <v>46</v>
      </c>
      <c r="N1951" t="s">
        <v>11033</v>
      </c>
      <c r="O1951">
        <v>16.23</v>
      </c>
      <c r="P1951">
        <v>15.81</v>
      </c>
      <c r="Q1951">
        <v>16</v>
      </c>
      <c r="R1951">
        <v>16.1</v>
      </c>
      <c r="S1951">
        <v>2.61</v>
      </c>
      <c r="T1951">
        <v>0.79</v>
      </c>
      <c r="U1951">
        <v>-14.32</v>
      </c>
      <c r="V1951">
        <v>-209</v>
      </c>
      <c r="W1951">
        <v>16.05</v>
      </c>
      <c r="X1951" t="s">
        <v>2628</v>
      </c>
      <c r="Y1951" t="s">
        <v>1251</v>
      </c>
      <c r="Z1951">
        <v>1.04</v>
      </c>
      <c r="AA1951">
        <v>126</v>
      </c>
      <c r="AB1951">
        <v>66</v>
      </c>
      <c r="AC1951">
        <v>1.83</v>
      </c>
      <c r="AD1951" t="s">
        <v>11034</v>
      </c>
      <c r="AE1951" t="s">
        <v>11035</v>
      </c>
      <c r="AF1951" t="s">
        <v>11034</v>
      </c>
      <c r="AG1951" t="s">
        <v>11035</v>
      </c>
      <c r="AH1951">
        <v>-2.19</v>
      </c>
      <c r="AI1951">
        <v>-2.07</v>
      </c>
      <c r="AJ1951">
        <v>9.83</v>
      </c>
      <c r="AK1951">
        <v>20.08</v>
      </c>
      <c r="AL1951">
        <v>1</v>
      </c>
      <c r="AM1951">
        <v>0.06</v>
      </c>
      <c r="AN1951">
        <v>58.56</v>
      </c>
      <c r="AO1951">
        <v>-0.62</v>
      </c>
      <c r="AP1951">
        <v>49.03</v>
      </c>
    </row>
    <row r="1952" spans="1:42">
      <c r="A1952">
        <v>1951</v>
      </c>
      <c r="B1952" t="str">
        <f>"300895"</f>
        <v>300895</v>
      </c>
      <c r="C1952" t="s">
        <v>11036</v>
      </c>
      <c r="D1952">
        <v>33.6</v>
      </c>
      <c r="E1952">
        <v>3.54</v>
      </c>
      <c r="F1952">
        <v>1.15</v>
      </c>
      <c r="G1952" t="s">
        <v>2125</v>
      </c>
      <c r="H1952">
        <v>359</v>
      </c>
      <c r="I1952">
        <v>33.6</v>
      </c>
      <c r="J1952">
        <v>33.61</v>
      </c>
      <c r="K1952" t="s">
        <v>11037</v>
      </c>
      <c r="L1952">
        <v>3.51</v>
      </c>
      <c r="M1952" t="s">
        <v>46</v>
      </c>
      <c r="N1952" t="s">
        <v>6531</v>
      </c>
      <c r="O1952">
        <v>33.76</v>
      </c>
      <c r="P1952">
        <v>32.32</v>
      </c>
      <c r="Q1952">
        <v>32.4</v>
      </c>
      <c r="R1952">
        <v>32.45</v>
      </c>
      <c r="S1952">
        <v>4.44</v>
      </c>
      <c r="T1952">
        <v>0.72</v>
      </c>
      <c r="U1952">
        <v>-22.89</v>
      </c>
      <c r="V1952">
        <v>-225</v>
      </c>
      <c r="W1952">
        <v>33.15</v>
      </c>
      <c r="X1952" t="s">
        <v>9445</v>
      </c>
      <c r="Y1952" t="s">
        <v>390</v>
      </c>
      <c r="Z1952">
        <v>0.78</v>
      </c>
      <c r="AA1952">
        <v>244</v>
      </c>
      <c r="AB1952">
        <v>81</v>
      </c>
      <c r="AC1952">
        <v>4.37</v>
      </c>
      <c r="AD1952" t="s">
        <v>11038</v>
      </c>
      <c r="AE1952" t="s">
        <v>8334</v>
      </c>
      <c r="AF1952" t="s">
        <v>11039</v>
      </c>
      <c r="AG1952" t="s">
        <v>1904</v>
      </c>
      <c r="AH1952">
        <v>-0.36</v>
      </c>
      <c r="AI1952">
        <v>-3.03</v>
      </c>
      <c r="AJ1952">
        <v>9.23</v>
      </c>
      <c r="AK1952">
        <v>28</v>
      </c>
      <c r="AL1952">
        <v>1</v>
      </c>
      <c r="AM1952">
        <v>3.54</v>
      </c>
      <c r="AN1952">
        <v>33.28</v>
      </c>
      <c r="AO1952">
        <v>3.74</v>
      </c>
      <c r="AP1952">
        <v>32.34</v>
      </c>
    </row>
    <row r="1953" spans="1:42">
      <c r="A1953">
        <v>1952</v>
      </c>
      <c r="B1953" t="str">
        <f>"601727"</f>
        <v>601727</v>
      </c>
      <c r="C1953" t="s">
        <v>11040</v>
      </c>
      <c r="D1953">
        <v>4.44</v>
      </c>
      <c r="E1953">
        <v>0.68</v>
      </c>
      <c r="F1953">
        <v>0.03</v>
      </c>
      <c r="G1953" t="s">
        <v>508</v>
      </c>
      <c r="H1953">
        <v>2426</v>
      </c>
      <c r="I1953">
        <v>4.43</v>
      </c>
      <c r="J1953">
        <v>4.44</v>
      </c>
      <c r="K1953" t="s">
        <v>11041</v>
      </c>
      <c r="L1953">
        <v>0.18</v>
      </c>
      <c r="M1953" t="s">
        <v>46</v>
      </c>
      <c r="N1953" t="s">
        <v>11042</v>
      </c>
      <c r="O1953">
        <v>4.44</v>
      </c>
      <c r="P1953">
        <v>4.4</v>
      </c>
      <c r="Q1953">
        <v>4.42</v>
      </c>
      <c r="R1953">
        <v>4.41</v>
      </c>
      <c r="S1953">
        <v>0.91</v>
      </c>
      <c r="T1953">
        <v>0.67</v>
      </c>
      <c r="U1953">
        <v>13.35</v>
      </c>
      <c r="V1953" t="s">
        <v>4443</v>
      </c>
      <c r="W1953">
        <v>4.42</v>
      </c>
      <c r="X1953" t="s">
        <v>1261</v>
      </c>
      <c r="Y1953" t="s">
        <v>9011</v>
      </c>
      <c r="Z1953">
        <v>1.27</v>
      </c>
      <c r="AA1953">
        <v>7992</v>
      </c>
      <c r="AB1953">
        <v>2191</v>
      </c>
      <c r="AC1953">
        <v>1.3</v>
      </c>
      <c r="AD1953" t="s">
        <v>11043</v>
      </c>
      <c r="AE1953" t="s">
        <v>11044</v>
      </c>
      <c r="AF1953" t="s">
        <v>9388</v>
      </c>
      <c r="AG1953" t="s">
        <v>11045</v>
      </c>
      <c r="AH1953">
        <v>-0.67</v>
      </c>
      <c r="AI1953">
        <v>-0.45</v>
      </c>
      <c r="AJ1953">
        <v>0.62</v>
      </c>
      <c r="AK1953">
        <v>1.48</v>
      </c>
      <c r="AL1953">
        <v>1</v>
      </c>
      <c r="AM1953">
        <v>0.68</v>
      </c>
      <c r="AN1953">
        <v>12.69</v>
      </c>
      <c r="AO1953">
        <v>0.91</v>
      </c>
      <c r="AP1953">
        <v>7.51</v>
      </c>
    </row>
    <row r="1954" spans="1:42">
      <c r="A1954">
        <v>1953</v>
      </c>
      <c r="B1954" t="str">
        <f>"301315"</f>
        <v>301315</v>
      </c>
      <c r="C1954" t="s">
        <v>11046</v>
      </c>
      <c r="D1954">
        <v>56.83</v>
      </c>
      <c r="E1954">
        <v>0.94</v>
      </c>
      <c r="F1954">
        <v>0.53</v>
      </c>
      <c r="G1954" t="s">
        <v>876</v>
      </c>
      <c r="H1954">
        <v>221</v>
      </c>
      <c r="I1954">
        <v>56.82</v>
      </c>
      <c r="J1954">
        <v>56.84</v>
      </c>
      <c r="K1954" t="s">
        <v>11047</v>
      </c>
      <c r="L1954">
        <v>8.36</v>
      </c>
      <c r="M1954" t="s">
        <v>46</v>
      </c>
      <c r="N1954" t="s">
        <v>3640</v>
      </c>
      <c r="O1954">
        <v>56.89</v>
      </c>
      <c r="P1954">
        <v>55.24</v>
      </c>
      <c r="Q1954">
        <v>56.37</v>
      </c>
      <c r="R1954">
        <v>56.3</v>
      </c>
      <c r="S1954">
        <v>2.93</v>
      </c>
      <c r="T1954">
        <v>0.89</v>
      </c>
      <c r="U1954">
        <v>-24.53</v>
      </c>
      <c r="V1954">
        <v>-104</v>
      </c>
      <c r="W1954">
        <v>56.19</v>
      </c>
      <c r="X1954">
        <v>8889</v>
      </c>
      <c r="Y1954">
        <v>8550</v>
      </c>
      <c r="Z1954">
        <v>1.04</v>
      </c>
      <c r="AA1954">
        <v>90</v>
      </c>
      <c r="AB1954">
        <v>54</v>
      </c>
      <c r="AC1954">
        <v>5.11</v>
      </c>
      <c r="AD1954" t="s">
        <v>10616</v>
      </c>
      <c r="AE1954" t="s">
        <v>8692</v>
      </c>
      <c r="AF1954" t="s">
        <v>11048</v>
      </c>
      <c r="AG1954" t="s">
        <v>849</v>
      </c>
      <c r="AH1954">
        <v>0.25</v>
      </c>
      <c r="AI1954">
        <v>-4.76</v>
      </c>
      <c r="AJ1954">
        <v>27.18</v>
      </c>
      <c r="AK1954">
        <v>55.2</v>
      </c>
      <c r="AL1954">
        <v>1</v>
      </c>
      <c r="AM1954">
        <v>0.94</v>
      </c>
      <c r="AN1954">
        <v>76</v>
      </c>
      <c r="AO1954">
        <v>-0.8</v>
      </c>
      <c r="AP1954">
        <v>76</v>
      </c>
    </row>
    <row r="1955" spans="1:42">
      <c r="A1955">
        <v>1954</v>
      </c>
      <c r="B1955" t="str">
        <f>"001298"</f>
        <v>001298</v>
      </c>
      <c r="C1955" t="s">
        <v>11049</v>
      </c>
      <c r="D1955">
        <v>30.02</v>
      </c>
      <c r="E1955">
        <v>1.83</v>
      </c>
      <c r="F1955">
        <v>0.54</v>
      </c>
      <c r="G1955" t="s">
        <v>9871</v>
      </c>
      <c r="H1955">
        <v>570</v>
      </c>
      <c r="I1955">
        <v>30.02</v>
      </c>
      <c r="J1955">
        <v>30.03</v>
      </c>
      <c r="K1955" t="s">
        <v>11050</v>
      </c>
      <c r="L1955">
        <v>5.32</v>
      </c>
      <c r="M1955" t="s">
        <v>46</v>
      </c>
      <c r="N1955" t="s">
        <v>11051</v>
      </c>
      <c r="O1955">
        <v>30.06</v>
      </c>
      <c r="P1955">
        <v>29.3</v>
      </c>
      <c r="Q1955">
        <v>29.59</v>
      </c>
      <c r="R1955">
        <v>29.48</v>
      </c>
      <c r="S1955">
        <v>2.58</v>
      </c>
      <c r="T1955">
        <v>0.7</v>
      </c>
      <c r="U1955">
        <v>8.3</v>
      </c>
      <c r="V1955">
        <v>40</v>
      </c>
      <c r="W1955">
        <v>29.76</v>
      </c>
      <c r="X1955" t="s">
        <v>2371</v>
      </c>
      <c r="Y1955" t="s">
        <v>60</v>
      </c>
      <c r="Z1955">
        <v>0.85</v>
      </c>
      <c r="AA1955">
        <v>11</v>
      </c>
      <c r="AB1955">
        <v>2</v>
      </c>
      <c r="AC1955">
        <v>2.71</v>
      </c>
      <c r="AD1955" t="s">
        <v>11052</v>
      </c>
      <c r="AE1955" t="s">
        <v>11053</v>
      </c>
      <c r="AF1955" t="s">
        <v>11054</v>
      </c>
      <c r="AG1955" t="s">
        <v>9478</v>
      </c>
      <c r="AH1955">
        <v>-0.6</v>
      </c>
      <c r="AI1955">
        <v>-5.36</v>
      </c>
      <c r="AJ1955">
        <v>22.87</v>
      </c>
      <c r="AK1955">
        <v>43.37</v>
      </c>
      <c r="AL1955">
        <v>1</v>
      </c>
      <c r="AM1955">
        <v>1.83</v>
      </c>
      <c r="AN1955">
        <v>23.03</v>
      </c>
      <c r="AO1955">
        <v>2.46</v>
      </c>
      <c r="AP1955">
        <v>-2.44</v>
      </c>
    </row>
    <row r="1956" spans="1:42">
      <c r="A1956">
        <v>1955</v>
      </c>
      <c r="B1956" t="str">
        <f>"300012"</f>
        <v>300012</v>
      </c>
      <c r="C1956" t="s">
        <v>11055</v>
      </c>
      <c r="D1956">
        <v>15.91</v>
      </c>
      <c r="E1956">
        <v>0.76</v>
      </c>
      <c r="F1956">
        <v>0.12</v>
      </c>
      <c r="G1956" t="s">
        <v>8310</v>
      </c>
      <c r="H1956">
        <v>858</v>
      </c>
      <c r="I1956">
        <v>15.9</v>
      </c>
      <c r="J1956">
        <v>15.91</v>
      </c>
      <c r="K1956" t="s">
        <v>11056</v>
      </c>
      <c r="L1956">
        <v>0.4</v>
      </c>
      <c r="M1956" t="s">
        <v>46</v>
      </c>
      <c r="N1956" t="s">
        <v>11057</v>
      </c>
      <c r="O1956">
        <v>16</v>
      </c>
      <c r="P1956">
        <v>15.7</v>
      </c>
      <c r="Q1956">
        <v>15.79</v>
      </c>
      <c r="R1956">
        <v>15.79</v>
      </c>
      <c r="S1956">
        <v>1.9</v>
      </c>
      <c r="T1956">
        <v>0.79</v>
      </c>
      <c r="U1956">
        <v>-13.19</v>
      </c>
      <c r="V1956">
        <v>-315</v>
      </c>
      <c r="W1956">
        <v>15.83</v>
      </c>
      <c r="X1956" t="s">
        <v>6803</v>
      </c>
      <c r="Y1956" t="s">
        <v>206</v>
      </c>
      <c r="Z1956">
        <v>0.97</v>
      </c>
      <c r="AA1956">
        <v>581</v>
      </c>
      <c r="AB1956">
        <v>92</v>
      </c>
      <c r="AC1956">
        <v>4.41</v>
      </c>
      <c r="AD1956" t="s">
        <v>11058</v>
      </c>
      <c r="AE1956" t="s">
        <v>11059</v>
      </c>
      <c r="AF1956" t="s">
        <v>11060</v>
      </c>
      <c r="AG1956" t="s">
        <v>11061</v>
      </c>
      <c r="AH1956">
        <v>-0.69</v>
      </c>
      <c r="AI1956">
        <v>-1.3</v>
      </c>
      <c r="AJ1956">
        <v>1.2</v>
      </c>
      <c r="AK1956">
        <v>2.96</v>
      </c>
      <c r="AL1956">
        <v>1</v>
      </c>
      <c r="AM1956">
        <v>0.76</v>
      </c>
      <c r="AN1956">
        <v>-28.46</v>
      </c>
      <c r="AO1956">
        <v>5.78</v>
      </c>
      <c r="AP1956">
        <v>-25.48</v>
      </c>
    </row>
    <row r="1957" spans="1:42">
      <c r="A1957">
        <v>1956</v>
      </c>
      <c r="B1957" t="str">
        <f>"603881"</f>
        <v>603881</v>
      </c>
      <c r="C1957" t="s">
        <v>11062</v>
      </c>
      <c r="D1957">
        <v>20.58</v>
      </c>
      <c r="E1957">
        <v>3.05</v>
      </c>
      <c r="F1957">
        <v>0.61</v>
      </c>
      <c r="G1957" t="s">
        <v>4928</v>
      </c>
      <c r="H1957">
        <v>428</v>
      </c>
      <c r="I1957">
        <v>20.58</v>
      </c>
      <c r="J1957">
        <v>20.59</v>
      </c>
      <c r="K1957" t="s">
        <v>11063</v>
      </c>
      <c r="L1957">
        <v>1.04</v>
      </c>
      <c r="M1957" t="s">
        <v>46</v>
      </c>
      <c r="N1957" t="s">
        <v>1645</v>
      </c>
      <c r="O1957">
        <v>20.69</v>
      </c>
      <c r="P1957">
        <v>19.9</v>
      </c>
      <c r="Q1957">
        <v>19.95</v>
      </c>
      <c r="R1957">
        <v>19.97</v>
      </c>
      <c r="S1957">
        <v>3.96</v>
      </c>
      <c r="T1957">
        <v>1.17</v>
      </c>
      <c r="U1957">
        <v>19.22</v>
      </c>
      <c r="V1957">
        <v>275</v>
      </c>
      <c r="W1957">
        <v>20.33</v>
      </c>
      <c r="X1957" t="s">
        <v>1255</v>
      </c>
      <c r="Y1957" t="s">
        <v>617</v>
      </c>
      <c r="Z1957">
        <v>0.59</v>
      </c>
      <c r="AA1957">
        <v>13</v>
      </c>
      <c r="AB1957">
        <v>74</v>
      </c>
      <c r="AC1957">
        <v>3.05</v>
      </c>
      <c r="AD1957" t="s">
        <v>11064</v>
      </c>
      <c r="AE1957" t="s">
        <v>9455</v>
      </c>
      <c r="AF1957" t="s">
        <v>11064</v>
      </c>
      <c r="AG1957" t="s">
        <v>9455</v>
      </c>
      <c r="AH1957">
        <v>0.73</v>
      </c>
      <c r="AI1957">
        <v>-1.58</v>
      </c>
      <c r="AJ1957">
        <v>2.54</v>
      </c>
      <c r="AK1957">
        <v>5.51</v>
      </c>
      <c r="AL1957">
        <v>1</v>
      </c>
      <c r="AM1957">
        <v>3.05</v>
      </c>
      <c r="AN1957">
        <v>22.65</v>
      </c>
      <c r="AO1957">
        <v>4.2</v>
      </c>
      <c r="AP1957">
        <v>12.71</v>
      </c>
    </row>
    <row r="1958" spans="1:42">
      <c r="A1958">
        <v>1957</v>
      </c>
      <c r="B1958" t="str">
        <f>"300419"</f>
        <v>300419</v>
      </c>
      <c r="C1958" t="s">
        <v>11065</v>
      </c>
      <c r="D1958">
        <v>7.62</v>
      </c>
      <c r="E1958">
        <v>3.53</v>
      </c>
      <c r="F1958">
        <v>0.26</v>
      </c>
      <c r="G1958" t="s">
        <v>830</v>
      </c>
      <c r="H1958">
        <v>3664</v>
      </c>
      <c r="I1958">
        <v>7.61</v>
      </c>
      <c r="J1958">
        <v>7.62</v>
      </c>
      <c r="K1958" t="s">
        <v>11066</v>
      </c>
      <c r="L1958">
        <v>3.53</v>
      </c>
      <c r="M1958" t="s">
        <v>46</v>
      </c>
      <c r="N1958" t="s">
        <v>11067</v>
      </c>
      <c r="O1958">
        <v>7.62</v>
      </c>
      <c r="P1958">
        <v>7.32</v>
      </c>
      <c r="Q1958">
        <v>7.34</v>
      </c>
      <c r="R1958">
        <v>7.36</v>
      </c>
      <c r="S1958">
        <v>4.08</v>
      </c>
      <c r="T1958">
        <v>1.12</v>
      </c>
      <c r="U1958">
        <v>-13.14</v>
      </c>
      <c r="V1958">
        <v>-581</v>
      </c>
      <c r="W1958">
        <v>7.51</v>
      </c>
      <c r="X1958" t="s">
        <v>372</v>
      </c>
      <c r="Y1958" t="s">
        <v>4183</v>
      </c>
      <c r="Z1958">
        <v>0.7</v>
      </c>
      <c r="AA1958">
        <v>25</v>
      </c>
      <c r="AB1958">
        <v>241</v>
      </c>
      <c r="AC1958">
        <v>4.48</v>
      </c>
      <c r="AD1958" t="s">
        <v>11068</v>
      </c>
      <c r="AE1958" t="s">
        <v>11069</v>
      </c>
      <c r="AF1958" t="s">
        <v>11068</v>
      </c>
      <c r="AG1958" t="s">
        <v>11069</v>
      </c>
      <c r="AH1958">
        <v>2.14</v>
      </c>
      <c r="AI1958">
        <v>-0.26</v>
      </c>
      <c r="AJ1958">
        <v>10</v>
      </c>
      <c r="AK1958">
        <v>19.37</v>
      </c>
      <c r="AL1958">
        <v>1</v>
      </c>
      <c r="AM1958">
        <v>3.53</v>
      </c>
      <c r="AN1958">
        <v>49.12</v>
      </c>
      <c r="AO1958">
        <v>5.83</v>
      </c>
      <c r="AP1958">
        <v>30.7</v>
      </c>
    </row>
    <row r="1959" spans="1:42">
      <c r="A1959">
        <v>1958</v>
      </c>
      <c r="B1959" t="str">
        <f>"002364"</f>
        <v>002364</v>
      </c>
      <c r="C1959" t="s">
        <v>11070</v>
      </c>
      <c r="D1959">
        <v>8.07</v>
      </c>
      <c r="E1959">
        <v>-0.25</v>
      </c>
      <c r="F1959">
        <v>-0.02</v>
      </c>
      <c r="G1959" t="s">
        <v>1790</v>
      </c>
      <c r="H1959">
        <v>3898</v>
      </c>
      <c r="I1959">
        <v>8.06</v>
      </c>
      <c r="J1959">
        <v>8.07</v>
      </c>
      <c r="K1959" t="s">
        <v>11071</v>
      </c>
      <c r="L1959">
        <v>2.17</v>
      </c>
      <c r="M1959" t="s">
        <v>46</v>
      </c>
      <c r="N1959" t="s">
        <v>11072</v>
      </c>
      <c r="O1959">
        <v>8.15</v>
      </c>
      <c r="P1959">
        <v>7.98</v>
      </c>
      <c r="Q1959">
        <v>8.06</v>
      </c>
      <c r="R1959">
        <v>8.09</v>
      </c>
      <c r="S1959">
        <v>2.1</v>
      </c>
      <c r="T1959">
        <v>0.94</v>
      </c>
      <c r="U1959">
        <v>3.55</v>
      </c>
      <c r="V1959">
        <v>206</v>
      </c>
      <c r="W1959">
        <v>8.05</v>
      </c>
      <c r="X1959" t="s">
        <v>4654</v>
      </c>
      <c r="Y1959" t="s">
        <v>7340</v>
      </c>
      <c r="Z1959">
        <v>1.32</v>
      </c>
      <c r="AA1959">
        <v>562</v>
      </c>
      <c r="AB1959">
        <v>177</v>
      </c>
      <c r="AC1959">
        <v>2.01</v>
      </c>
      <c r="AD1959" t="s">
        <v>11073</v>
      </c>
      <c r="AE1959" t="s">
        <v>11074</v>
      </c>
      <c r="AF1959" t="s">
        <v>11075</v>
      </c>
      <c r="AG1959" t="s">
        <v>11076</v>
      </c>
      <c r="AH1959">
        <v>0.5</v>
      </c>
      <c r="AI1959">
        <v>1.77</v>
      </c>
      <c r="AJ1959">
        <v>7.39</v>
      </c>
      <c r="AK1959">
        <v>13.75</v>
      </c>
      <c r="AL1959">
        <v>-2</v>
      </c>
      <c r="AM1959">
        <v>-0.25</v>
      </c>
      <c r="AN1959">
        <v>16.12</v>
      </c>
      <c r="AO1959">
        <v>-0.25</v>
      </c>
      <c r="AP1959">
        <v>6.89</v>
      </c>
    </row>
    <row r="1960" spans="1:42">
      <c r="A1960">
        <v>1959</v>
      </c>
      <c r="B1960" t="str">
        <f>"300941"</f>
        <v>300941</v>
      </c>
      <c r="C1960" t="s">
        <v>11077</v>
      </c>
      <c r="D1960">
        <v>23.4</v>
      </c>
      <c r="E1960">
        <v>2.86</v>
      </c>
      <c r="F1960">
        <v>0.65</v>
      </c>
      <c r="G1960" t="s">
        <v>5877</v>
      </c>
      <c r="H1960">
        <v>1718</v>
      </c>
      <c r="I1960">
        <v>23.4</v>
      </c>
      <c r="J1960">
        <v>23.41</v>
      </c>
      <c r="K1960" t="s">
        <v>11071</v>
      </c>
      <c r="L1960">
        <v>4.94</v>
      </c>
      <c r="M1960" t="s">
        <v>46</v>
      </c>
      <c r="N1960" t="s">
        <v>8967</v>
      </c>
      <c r="O1960">
        <v>23.46</v>
      </c>
      <c r="P1960">
        <v>22.55</v>
      </c>
      <c r="Q1960">
        <v>22.8</v>
      </c>
      <c r="R1960">
        <v>22.75</v>
      </c>
      <c r="S1960">
        <v>4</v>
      </c>
      <c r="T1960">
        <v>0.77</v>
      </c>
      <c r="U1960">
        <v>60</v>
      </c>
      <c r="V1960">
        <v>1173</v>
      </c>
      <c r="W1960">
        <v>23.14</v>
      </c>
      <c r="X1960" t="s">
        <v>4976</v>
      </c>
      <c r="Y1960" t="s">
        <v>377</v>
      </c>
      <c r="Z1960">
        <v>0.91</v>
      </c>
      <c r="AA1960">
        <v>1241</v>
      </c>
      <c r="AB1960">
        <v>35</v>
      </c>
      <c r="AC1960">
        <v>3.85</v>
      </c>
      <c r="AD1960" t="s">
        <v>1131</v>
      </c>
      <c r="AE1960" t="s">
        <v>11078</v>
      </c>
      <c r="AF1960" t="s">
        <v>11079</v>
      </c>
      <c r="AG1960" t="s">
        <v>6527</v>
      </c>
      <c r="AH1960">
        <v>-2.17</v>
      </c>
      <c r="AI1960">
        <v>-4.41</v>
      </c>
      <c r="AJ1960">
        <v>18.33</v>
      </c>
      <c r="AK1960">
        <v>37.23</v>
      </c>
      <c r="AL1960">
        <v>1</v>
      </c>
      <c r="AM1960">
        <v>2.86</v>
      </c>
      <c r="AN1960">
        <v>23.88</v>
      </c>
      <c r="AO1960">
        <v>4.84</v>
      </c>
      <c r="AP1960">
        <v>5.31</v>
      </c>
    </row>
    <row r="1961" spans="1:42">
      <c r="A1961">
        <v>1960</v>
      </c>
      <c r="B1961" t="str">
        <f>"600152"</f>
        <v>600152</v>
      </c>
      <c r="C1961" t="s">
        <v>11080</v>
      </c>
      <c r="D1961">
        <v>7.77</v>
      </c>
      <c r="E1961">
        <v>0.52</v>
      </c>
      <c r="F1961">
        <v>0.04</v>
      </c>
      <c r="G1961" t="s">
        <v>3971</v>
      </c>
      <c r="H1961">
        <v>2047</v>
      </c>
      <c r="I1961">
        <v>7.76</v>
      </c>
      <c r="J1961">
        <v>7.77</v>
      </c>
      <c r="K1961" t="s">
        <v>11081</v>
      </c>
      <c r="L1961">
        <v>2.41</v>
      </c>
      <c r="M1961" t="s">
        <v>46</v>
      </c>
      <c r="N1961" t="s">
        <v>966</v>
      </c>
      <c r="O1961">
        <v>7.79</v>
      </c>
      <c r="P1961">
        <v>7.61</v>
      </c>
      <c r="Q1961">
        <v>7.72</v>
      </c>
      <c r="R1961">
        <v>7.73</v>
      </c>
      <c r="S1961">
        <v>2.33</v>
      </c>
      <c r="T1961">
        <v>0.47</v>
      </c>
      <c r="U1961">
        <v>-17.39</v>
      </c>
      <c r="V1961">
        <v>-1883</v>
      </c>
      <c r="W1961">
        <v>7.7</v>
      </c>
      <c r="X1961" t="s">
        <v>5010</v>
      </c>
      <c r="Y1961" t="s">
        <v>4746</v>
      </c>
      <c r="Z1961">
        <v>1.03</v>
      </c>
      <c r="AA1961">
        <v>620</v>
      </c>
      <c r="AB1961">
        <v>938</v>
      </c>
      <c r="AC1961">
        <v>2.24</v>
      </c>
      <c r="AD1961" t="s">
        <v>7738</v>
      </c>
      <c r="AE1961" t="s">
        <v>11082</v>
      </c>
      <c r="AF1961" t="s">
        <v>7738</v>
      </c>
      <c r="AG1961" t="s">
        <v>11082</v>
      </c>
      <c r="AH1961">
        <v>-3.48</v>
      </c>
      <c r="AI1961">
        <v>-3.84</v>
      </c>
      <c r="AJ1961">
        <v>8.89</v>
      </c>
      <c r="AK1961">
        <v>28.21</v>
      </c>
      <c r="AL1961">
        <v>1</v>
      </c>
      <c r="AM1961">
        <v>0.52</v>
      </c>
      <c r="AN1961">
        <v>-47.39</v>
      </c>
      <c r="AO1961">
        <v>10.37</v>
      </c>
      <c r="AP1961">
        <v>-44.18</v>
      </c>
    </row>
    <row r="1962" spans="1:42">
      <c r="A1962">
        <v>1961</v>
      </c>
      <c r="B1962" t="str">
        <f>"301078"</f>
        <v>301078</v>
      </c>
      <c r="C1962" t="s">
        <v>11083</v>
      </c>
      <c r="D1962">
        <v>8.89</v>
      </c>
      <c r="E1962">
        <v>1.25</v>
      </c>
      <c r="F1962">
        <v>0.11</v>
      </c>
      <c r="G1962" t="s">
        <v>1438</v>
      </c>
      <c r="H1962">
        <v>1479</v>
      </c>
      <c r="I1962">
        <v>8.89</v>
      </c>
      <c r="J1962">
        <v>8.9</v>
      </c>
      <c r="K1962" t="s">
        <v>11081</v>
      </c>
      <c r="L1962">
        <v>1.73</v>
      </c>
      <c r="M1962" t="s">
        <v>46</v>
      </c>
      <c r="N1962" t="s">
        <v>11084</v>
      </c>
      <c r="O1962">
        <v>8.93</v>
      </c>
      <c r="P1962">
        <v>8.76</v>
      </c>
      <c r="Q1962">
        <v>8.78</v>
      </c>
      <c r="R1962">
        <v>8.78</v>
      </c>
      <c r="S1962">
        <v>1.94</v>
      </c>
      <c r="T1962">
        <v>1.38</v>
      </c>
      <c r="U1962">
        <v>-2.93</v>
      </c>
      <c r="V1962">
        <v>-248</v>
      </c>
      <c r="W1962">
        <v>8.86</v>
      </c>
      <c r="X1962" t="s">
        <v>4264</v>
      </c>
      <c r="Y1962" t="s">
        <v>11085</v>
      </c>
      <c r="Z1962">
        <v>0.82</v>
      </c>
      <c r="AA1962">
        <v>16</v>
      </c>
      <c r="AB1962">
        <v>1204</v>
      </c>
      <c r="AC1962">
        <v>3.17</v>
      </c>
      <c r="AD1962" t="s">
        <v>11086</v>
      </c>
      <c r="AE1962" t="s">
        <v>11087</v>
      </c>
      <c r="AF1962" t="s">
        <v>6744</v>
      </c>
      <c r="AG1962" t="s">
        <v>11088</v>
      </c>
      <c r="AH1962">
        <v>0</v>
      </c>
      <c r="AI1962">
        <v>-1.22</v>
      </c>
      <c r="AJ1962">
        <v>4.12</v>
      </c>
      <c r="AK1962">
        <v>7.99</v>
      </c>
      <c r="AL1962">
        <v>1</v>
      </c>
      <c r="AM1962">
        <v>1.25</v>
      </c>
      <c r="AN1962">
        <v>-31.35</v>
      </c>
      <c r="AO1962">
        <v>2.89</v>
      </c>
      <c r="AP1962">
        <v>-18.37</v>
      </c>
    </row>
    <row r="1963" spans="1:42">
      <c r="A1963">
        <v>1962</v>
      </c>
      <c r="B1963" t="str">
        <f>"600818"</f>
        <v>600818</v>
      </c>
      <c r="C1963" t="s">
        <v>11089</v>
      </c>
      <c r="D1963">
        <v>13.66</v>
      </c>
      <c r="E1963">
        <v>4.35</v>
      </c>
      <c r="F1963">
        <v>0.57</v>
      </c>
      <c r="G1963" t="s">
        <v>7114</v>
      </c>
      <c r="H1963">
        <v>1490</v>
      </c>
      <c r="I1963">
        <v>13.66</v>
      </c>
      <c r="J1963">
        <v>13.67</v>
      </c>
      <c r="K1963" t="s">
        <v>11090</v>
      </c>
      <c r="L1963">
        <v>3.03</v>
      </c>
      <c r="M1963" t="s">
        <v>46</v>
      </c>
      <c r="N1963" t="s">
        <v>11091</v>
      </c>
      <c r="O1963">
        <v>13.89</v>
      </c>
      <c r="P1963">
        <v>13.11</v>
      </c>
      <c r="Q1963">
        <v>13.11</v>
      </c>
      <c r="R1963">
        <v>13.09</v>
      </c>
      <c r="S1963">
        <v>5.96</v>
      </c>
      <c r="T1963">
        <v>1.55</v>
      </c>
      <c r="U1963">
        <v>8.63</v>
      </c>
      <c r="V1963">
        <v>239</v>
      </c>
      <c r="W1963">
        <v>13.49</v>
      </c>
      <c r="X1963" t="s">
        <v>5553</v>
      </c>
      <c r="Y1963" t="s">
        <v>1165</v>
      </c>
      <c r="Z1963">
        <v>0.63</v>
      </c>
      <c r="AA1963">
        <v>110</v>
      </c>
      <c r="AB1963">
        <v>339</v>
      </c>
      <c r="AC1963">
        <v>7.74</v>
      </c>
      <c r="AD1963" t="s">
        <v>4260</v>
      </c>
      <c r="AE1963" t="s">
        <v>11092</v>
      </c>
      <c r="AF1963" t="s">
        <v>11093</v>
      </c>
      <c r="AG1963" t="s">
        <v>11094</v>
      </c>
      <c r="AH1963">
        <v>1.34</v>
      </c>
      <c r="AI1963">
        <v>-0.07</v>
      </c>
      <c r="AJ1963">
        <v>6.72</v>
      </c>
      <c r="AK1963">
        <v>12.8</v>
      </c>
      <c r="AL1963">
        <v>1</v>
      </c>
      <c r="AM1963">
        <v>4.35</v>
      </c>
      <c r="AN1963">
        <v>-49.82</v>
      </c>
      <c r="AO1963">
        <v>2.63</v>
      </c>
      <c r="AP1963">
        <v>-59.49</v>
      </c>
    </row>
    <row r="1964" spans="1:42">
      <c r="A1964">
        <v>1963</v>
      </c>
      <c r="B1964" t="str">
        <f>"688400"</f>
        <v>688400</v>
      </c>
      <c r="C1964" t="s">
        <v>11095</v>
      </c>
      <c r="D1964">
        <v>25.21</v>
      </c>
      <c r="E1964">
        <v>2.4</v>
      </c>
      <c r="F1964">
        <v>0.59</v>
      </c>
      <c r="G1964" t="s">
        <v>6645</v>
      </c>
      <c r="H1964">
        <v>599</v>
      </c>
      <c r="I1964">
        <v>25.2</v>
      </c>
      <c r="J1964">
        <v>25.21</v>
      </c>
      <c r="K1964" t="s">
        <v>11096</v>
      </c>
      <c r="L1964">
        <v>1.64</v>
      </c>
      <c r="M1964" t="s">
        <v>46</v>
      </c>
      <c r="N1964" t="s">
        <v>4428</v>
      </c>
      <c r="O1964">
        <v>25.21</v>
      </c>
      <c r="P1964">
        <v>24.4</v>
      </c>
      <c r="Q1964">
        <v>24.78</v>
      </c>
      <c r="R1964">
        <v>24.62</v>
      </c>
      <c r="S1964">
        <v>3.29</v>
      </c>
      <c r="T1964">
        <v>1.19</v>
      </c>
      <c r="U1964">
        <v>28.67</v>
      </c>
      <c r="V1964">
        <v>329</v>
      </c>
      <c r="W1964">
        <v>24.84</v>
      </c>
      <c r="X1964" t="s">
        <v>60</v>
      </c>
      <c r="Y1964" t="s">
        <v>2716</v>
      </c>
      <c r="Z1964">
        <v>0.83</v>
      </c>
      <c r="AA1964">
        <v>476</v>
      </c>
      <c r="AB1964">
        <v>219</v>
      </c>
      <c r="AC1964">
        <v>2.92</v>
      </c>
      <c r="AD1964" t="s">
        <v>11097</v>
      </c>
      <c r="AE1964" t="s">
        <v>3656</v>
      </c>
      <c r="AF1964" t="s">
        <v>11098</v>
      </c>
      <c r="AG1964" t="s">
        <v>11099</v>
      </c>
      <c r="AH1964">
        <v>0.24</v>
      </c>
      <c r="AI1964">
        <v>-0.47</v>
      </c>
      <c r="AJ1964">
        <v>3.58</v>
      </c>
      <c r="AK1964">
        <v>8.52</v>
      </c>
      <c r="AL1964">
        <v>1</v>
      </c>
      <c r="AM1964">
        <v>2.4</v>
      </c>
      <c r="AN1964">
        <v>-0.79</v>
      </c>
      <c r="AO1964">
        <v>4.3</v>
      </c>
      <c r="AP1964">
        <v>-8.96</v>
      </c>
    </row>
    <row r="1965" spans="1:42">
      <c r="A1965">
        <v>1964</v>
      </c>
      <c r="B1965" t="str">
        <f>"002356"</f>
        <v>002356</v>
      </c>
      <c r="C1965" t="s">
        <v>11100</v>
      </c>
      <c r="D1965">
        <v>5.83</v>
      </c>
      <c r="E1965">
        <v>-0.51</v>
      </c>
      <c r="F1965">
        <v>-0.03</v>
      </c>
      <c r="G1965" t="s">
        <v>2778</v>
      </c>
      <c r="H1965">
        <v>1282</v>
      </c>
      <c r="I1965">
        <v>5.83</v>
      </c>
      <c r="J1965">
        <v>5.84</v>
      </c>
      <c r="K1965" t="s">
        <v>11101</v>
      </c>
      <c r="L1965">
        <v>1.27</v>
      </c>
      <c r="M1965" t="s">
        <v>46</v>
      </c>
      <c r="N1965" t="s">
        <v>9567</v>
      </c>
      <c r="O1965">
        <v>5.97</v>
      </c>
      <c r="P1965">
        <v>5.77</v>
      </c>
      <c r="Q1965">
        <v>5.91</v>
      </c>
      <c r="R1965">
        <v>5.86</v>
      </c>
      <c r="S1965">
        <v>3.41</v>
      </c>
      <c r="T1965">
        <v>0.77</v>
      </c>
      <c r="U1965">
        <v>22.24</v>
      </c>
      <c r="V1965">
        <v>1929</v>
      </c>
      <c r="W1965">
        <v>5.85</v>
      </c>
      <c r="X1965" t="s">
        <v>6975</v>
      </c>
      <c r="Y1965" t="s">
        <v>3207</v>
      </c>
      <c r="Z1965">
        <v>1.33</v>
      </c>
      <c r="AA1965">
        <v>412</v>
      </c>
      <c r="AB1965">
        <v>1075</v>
      </c>
      <c r="AC1965">
        <v>12.73</v>
      </c>
      <c r="AD1965" t="s">
        <v>3966</v>
      </c>
      <c r="AE1965" t="s">
        <v>4395</v>
      </c>
      <c r="AF1965" t="s">
        <v>708</v>
      </c>
      <c r="AG1965" t="s">
        <v>11102</v>
      </c>
      <c r="AH1965">
        <v>0.87</v>
      </c>
      <c r="AI1965">
        <v>-0.68</v>
      </c>
      <c r="AJ1965">
        <v>3.74</v>
      </c>
      <c r="AK1965">
        <v>9.56</v>
      </c>
      <c r="AL1965">
        <v>-1</v>
      </c>
      <c r="AM1965">
        <v>-0.51</v>
      </c>
      <c r="AN1965">
        <v>-0.17</v>
      </c>
      <c r="AO1965">
        <v>13.65</v>
      </c>
      <c r="AP1965">
        <v>6.97</v>
      </c>
    </row>
    <row r="1966" spans="1:42">
      <c r="A1966">
        <v>1965</v>
      </c>
      <c r="B1966" t="str">
        <f>"300840"</f>
        <v>300840</v>
      </c>
      <c r="C1966" t="s">
        <v>11103</v>
      </c>
      <c r="D1966">
        <v>21.13</v>
      </c>
      <c r="E1966">
        <v>0.62</v>
      </c>
      <c r="F1966">
        <v>0.13</v>
      </c>
      <c r="G1966" t="s">
        <v>5644</v>
      </c>
      <c r="H1966">
        <v>858</v>
      </c>
      <c r="I1966">
        <v>21.11</v>
      </c>
      <c r="J1966">
        <v>21.13</v>
      </c>
      <c r="K1966" t="s">
        <v>11104</v>
      </c>
      <c r="L1966">
        <v>2.62</v>
      </c>
      <c r="M1966" t="s">
        <v>46</v>
      </c>
      <c r="N1966" t="s">
        <v>2538</v>
      </c>
      <c r="O1966">
        <v>21.2</v>
      </c>
      <c r="P1966">
        <v>20.58</v>
      </c>
      <c r="Q1966">
        <v>21.01</v>
      </c>
      <c r="R1966">
        <v>21</v>
      </c>
      <c r="S1966">
        <v>2.95</v>
      </c>
      <c r="T1966">
        <v>0.6</v>
      </c>
      <c r="U1966">
        <v>-69.83</v>
      </c>
      <c r="V1966">
        <v>-921</v>
      </c>
      <c r="W1966">
        <v>20.93</v>
      </c>
      <c r="X1966" t="s">
        <v>153</v>
      </c>
      <c r="Y1966" t="s">
        <v>7946</v>
      </c>
      <c r="Z1966">
        <v>0.83</v>
      </c>
      <c r="AA1966">
        <v>3</v>
      </c>
      <c r="AB1966">
        <v>787</v>
      </c>
      <c r="AC1966">
        <v>4.35</v>
      </c>
      <c r="AD1966" t="s">
        <v>4237</v>
      </c>
      <c r="AE1966" t="s">
        <v>11031</v>
      </c>
      <c r="AF1966" t="s">
        <v>11105</v>
      </c>
      <c r="AG1966" t="s">
        <v>5051</v>
      </c>
      <c r="AH1966">
        <v>3.58</v>
      </c>
      <c r="AI1966">
        <v>10.05</v>
      </c>
      <c r="AJ1966">
        <v>7.76</v>
      </c>
      <c r="AK1966">
        <v>24.33</v>
      </c>
      <c r="AL1966">
        <v>5</v>
      </c>
      <c r="AM1966">
        <v>0.62</v>
      </c>
      <c r="AN1966">
        <v>137.68</v>
      </c>
      <c r="AO1966">
        <v>15.65</v>
      </c>
      <c r="AP1966">
        <v>128.43</v>
      </c>
    </row>
    <row r="1967" spans="1:42">
      <c r="A1967">
        <v>1966</v>
      </c>
      <c r="B1967" t="str">
        <f>"300083"</f>
        <v>300083</v>
      </c>
      <c r="C1967" t="s">
        <v>11106</v>
      </c>
      <c r="D1967">
        <v>6.81</v>
      </c>
      <c r="E1967">
        <v>0.15</v>
      </c>
      <c r="F1967">
        <v>0.01</v>
      </c>
      <c r="G1967" t="s">
        <v>44</v>
      </c>
      <c r="H1967">
        <v>1521</v>
      </c>
      <c r="I1967">
        <v>6.81</v>
      </c>
      <c r="J1967">
        <v>6.82</v>
      </c>
      <c r="K1967" t="s">
        <v>11107</v>
      </c>
      <c r="L1967">
        <v>1.06</v>
      </c>
      <c r="M1967" t="s">
        <v>46</v>
      </c>
      <c r="N1967" t="s">
        <v>8621</v>
      </c>
      <c r="O1967">
        <v>6.82</v>
      </c>
      <c r="P1967">
        <v>6.68</v>
      </c>
      <c r="Q1967">
        <v>6.78</v>
      </c>
      <c r="R1967">
        <v>6.8</v>
      </c>
      <c r="S1967">
        <v>2.06</v>
      </c>
      <c r="T1967">
        <v>0.67</v>
      </c>
      <c r="U1967">
        <v>19.72</v>
      </c>
      <c r="V1967">
        <v>2595</v>
      </c>
      <c r="W1967">
        <v>6.74</v>
      </c>
      <c r="X1967" t="s">
        <v>5009</v>
      </c>
      <c r="Y1967" t="s">
        <v>6873</v>
      </c>
      <c r="Z1967">
        <v>1.36</v>
      </c>
      <c r="AA1967">
        <v>1078</v>
      </c>
      <c r="AB1967">
        <v>2421</v>
      </c>
      <c r="AC1967">
        <v>2.36</v>
      </c>
      <c r="AD1967" t="s">
        <v>11108</v>
      </c>
      <c r="AE1967" t="s">
        <v>11109</v>
      </c>
      <c r="AF1967" t="s">
        <v>9826</v>
      </c>
      <c r="AG1967" t="s">
        <v>11110</v>
      </c>
      <c r="AH1967">
        <v>-3.13</v>
      </c>
      <c r="AI1967">
        <v>-3.13</v>
      </c>
      <c r="AJ1967">
        <v>3.48</v>
      </c>
      <c r="AK1967">
        <v>9.04</v>
      </c>
      <c r="AL1967">
        <v>1</v>
      </c>
      <c r="AM1967">
        <v>0.15</v>
      </c>
      <c r="AN1967">
        <v>-19.6</v>
      </c>
      <c r="AO1967">
        <v>-6.58</v>
      </c>
      <c r="AP1967">
        <v>-35.45</v>
      </c>
    </row>
    <row r="1968" spans="1:42">
      <c r="A1968">
        <v>1967</v>
      </c>
      <c r="B1968" t="str">
        <f>"301185"</f>
        <v>301185</v>
      </c>
      <c r="C1968" t="s">
        <v>11111</v>
      </c>
      <c r="D1968">
        <v>23.18</v>
      </c>
      <c r="E1968">
        <v>5.12</v>
      </c>
      <c r="F1968">
        <v>1.13</v>
      </c>
      <c r="G1968" t="s">
        <v>1321</v>
      </c>
      <c r="H1968">
        <v>457</v>
      </c>
      <c r="I1968">
        <v>23.18</v>
      </c>
      <c r="J1968">
        <v>23.19</v>
      </c>
      <c r="K1968" t="s">
        <v>11112</v>
      </c>
      <c r="L1968">
        <v>4.94</v>
      </c>
      <c r="M1968" t="s">
        <v>46</v>
      </c>
      <c r="N1968" t="s">
        <v>7524</v>
      </c>
      <c r="O1968">
        <v>23.55</v>
      </c>
      <c r="P1968">
        <v>22</v>
      </c>
      <c r="Q1968">
        <v>22.17</v>
      </c>
      <c r="R1968">
        <v>22.05</v>
      </c>
      <c r="S1968">
        <v>7.03</v>
      </c>
      <c r="T1968">
        <v>1.55</v>
      </c>
      <c r="U1968">
        <v>-31.35</v>
      </c>
      <c r="V1968">
        <v>-169</v>
      </c>
      <c r="W1968">
        <v>22.83</v>
      </c>
      <c r="X1968" t="s">
        <v>1177</v>
      </c>
      <c r="Y1968" t="s">
        <v>8396</v>
      </c>
      <c r="Z1968">
        <v>0.71</v>
      </c>
      <c r="AA1968">
        <v>95</v>
      </c>
      <c r="AB1968">
        <v>176</v>
      </c>
      <c r="AC1968">
        <v>3.54</v>
      </c>
      <c r="AD1968" t="s">
        <v>11113</v>
      </c>
      <c r="AE1968" t="s">
        <v>11114</v>
      </c>
      <c r="AF1968" t="s">
        <v>11115</v>
      </c>
      <c r="AG1968" t="s">
        <v>3515</v>
      </c>
      <c r="AH1968">
        <v>3.57</v>
      </c>
      <c r="AI1968">
        <v>1</v>
      </c>
      <c r="AJ1968">
        <v>8.98</v>
      </c>
      <c r="AK1968">
        <v>20.84</v>
      </c>
      <c r="AL1968">
        <v>1</v>
      </c>
      <c r="AM1968">
        <v>5.12</v>
      </c>
      <c r="AN1968">
        <v>53.31</v>
      </c>
      <c r="AO1968">
        <v>9.86</v>
      </c>
      <c r="AP1968">
        <v>34.14</v>
      </c>
    </row>
    <row r="1969" spans="1:42">
      <c r="A1969">
        <v>1968</v>
      </c>
      <c r="B1969" t="str">
        <f>"603726"</f>
        <v>603726</v>
      </c>
      <c r="C1969" t="s">
        <v>11116</v>
      </c>
      <c r="D1969">
        <v>15.89</v>
      </c>
      <c r="E1969">
        <v>0.32</v>
      </c>
      <c r="F1969">
        <v>0.05</v>
      </c>
      <c r="G1969" t="s">
        <v>6608</v>
      </c>
      <c r="H1969">
        <v>1710</v>
      </c>
      <c r="I1969">
        <v>15.89</v>
      </c>
      <c r="J1969">
        <v>15.9</v>
      </c>
      <c r="K1969" t="s">
        <v>11117</v>
      </c>
      <c r="L1969">
        <v>3.3</v>
      </c>
      <c r="M1969" t="s">
        <v>46</v>
      </c>
      <c r="N1969" t="s">
        <v>5022</v>
      </c>
      <c r="O1969">
        <v>15.99</v>
      </c>
      <c r="P1969">
        <v>15.7</v>
      </c>
      <c r="Q1969">
        <v>15.95</v>
      </c>
      <c r="R1969">
        <v>15.84</v>
      </c>
      <c r="S1969">
        <v>1.83</v>
      </c>
      <c r="T1969">
        <v>0.39</v>
      </c>
      <c r="U1969">
        <v>23.54</v>
      </c>
      <c r="V1969">
        <v>330</v>
      </c>
      <c r="W1969">
        <v>15.85</v>
      </c>
      <c r="X1969" t="s">
        <v>4974</v>
      </c>
      <c r="Y1969" t="s">
        <v>9251</v>
      </c>
      <c r="Z1969">
        <v>1.43</v>
      </c>
      <c r="AA1969">
        <v>123</v>
      </c>
      <c r="AB1969">
        <v>140</v>
      </c>
      <c r="AC1969">
        <v>2.49</v>
      </c>
      <c r="AD1969" t="s">
        <v>8880</v>
      </c>
      <c r="AE1969" t="s">
        <v>11118</v>
      </c>
      <c r="AF1969" t="s">
        <v>8880</v>
      </c>
      <c r="AG1969" t="s">
        <v>11118</v>
      </c>
      <c r="AH1969">
        <v>-7.18</v>
      </c>
      <c r="AI1969">
        <v>-4.1</v>
      </c>
      <c r="AJ1969">
        <v>13.33</v>
      </c>
      <c r="AK1969">
        <v>46.15</v>
      </c>
      <c r="AL1969">
        <v>1</v>
      </c>
      <c r="AM1969">
        <v>0.32</v>
      </c>
      <c r="AN1969">
        <v>36.86</v>
      </c>
      <c r="AO1969">
        <v>11.43</v>
      </c>
      <c r="AP1969">
        <v>21.48</v>
      </c>
    </row>
    <row r="1970" spans="1:42">
      <c r="A1970">
        <v>1969</v>
      </c>
      <c r="B1970" t="str">
        <f>"688416"</f>
        <v>688416</v>
      </c>
      <c r="C1970" t="s">
        <v>11119</v>
      </c>
      <c r="D1970">
        <v>62.6</v>
      </c>
      <c r="E1970">
        <v>2.96</v>
      </c>
      <c r="F1970">
        <v>1.8</v>
      </c>
      <c r="G1970" t="s">
        <v>144</v>
      </c>
      <c r="H1970">
        <v>166</v>
      </c>
      <c r="I1970">
        <v>62.6</v>
      </c>
      <c r="J1970">
        <v>62.63</v>
      </c>
      <c r="K1970" t="s">
        <v>11120</v>
      </c>
      <c r="L1970">
        <v>3.99</v>
      </c>
      <c r="M1970" t="s">
        <v>46</v>
      </c>
      <c r="N1970" t="s">
        <v>6414</v>
      </c>
      <c r="O1970">
        <v>62.9</v>
      </c>
      <c r="P1970">
        <v>60.53</v>
      </c>
      <c r="Q1970">
        <v>61.5</v>
      </c>
      <c r="R1970">
        <v>60.8</v>
      </c>
      <c r="S1970">
        <v>3.9</v>
      </c>
      <c r="T1970">
        <v>1.38</v>
      </c>
      <c r="U1970">
        <v>-36.39</v>
      </c>
      <c r="V1970">
        <v>-80</v>
      </c>
      <c r="W1970">
        <v>61.95</v>
      </c>
      <c r="X1970">
        <v>7684</v>
      </c>
      <c r="Y1970">
        <v>7981</v>
      </c>
      <c r="Z1970">
        <v>0.96</v>
      </c>
      <c r="AA1970">
        <v>38</v>
      </c>
      <c r="AB1970">
        <v>7</v>
      </c>
      <c r="AC1970">
        <v>3.2</v>
      </c>
      <c r="AD1970" t="s">
        <v>11121</v>
      </c>
      <c r="AE1970" t="s">
        <v>11122</v>
      </c>
      <c r="AF1970" t="s">
        <v>11123</v>
      </c>
      <c r="AG1970" t="s">
        <v>8228</v>
      </c>
      <c r="AH1970">
        <v>3.13</v>
      </c>
      <c r="AI1970">
        <v>0.66</v>
      </c>
      <c r="AJ1970">
        <v>9.78</v>
      </c>
      <c r="AK1970">
        <v>18.47</v>
      </c>
      <c r="AL1970">
        <v>1</v>
      </c>
      <c r="AM1970">
        <v>2.96</v>
      </c>
      <c r="AN1970">
        <v>64.69</v>
      </c>
      <c r="AO1970">
        <v>3.13</v>
      </c>
      <c r="AP1970">
        <v>44.27</v>
      </c>
    </row>
    <row r="1971" spans="1:42">
      <c r="A1971">
        <v>1970</v>
      </c>
      <c r="B1971" t="str">
        <f>"600499"</f>
        <v>600499</v>
      </c>
      <c r="C1971" t="s">
        <v>11124</v>
      </c>
      <c r="D1971">
        <v>10.06</v>
      </c>
      <c r="E1971">
        <v>0.7</v>
      </c>
      <c r="F1971">
        <v>0.07</v>
      </c>
      <c r="G1971" t="s">
        <v>10906</v>
      </c>
      <c r="H1971">
        <v>1381</v>
      </c>
      <c r="I1971">
        <v>10.06</v>
      </c>
      <c r="J1971">
        <v>10.07</v>
      </c>
      <c r="K1971" t="s">
        <v>11125</v>
      </c>
      <c r="L1971">
        <v>0.5</v>
      </c>
      <c r="M1971" t="s">
        <v>46</v>
      </c>
      <c r="N1971" t="s">
        <v>98</v>
      </c>
      <c r="O1971">
        <v>10.08</v>
      </c>
      <c r="P1971">
        <v>9.86</v>
      </c>
      <c r="Q1971">
        <v>9.98</v>
      </c>
      <c r="R1971">
        <v>9.99</v>
      </c>
      <c r="S1971">
        <v>2.2</v>
      </c>
      <c r="T1971">
        <v>0.78</v>
      </c>
      <c r="U1971">
        <v>-8.97</v>
      </c>
      <c r="V1971">
        <v>-600</v>
      </c>
      <c r="W1971">
        <v>9.98</v>
      </c>
      <c r="X1971" t="s">
        <v>372</v>
      </c>
      <c r="Y1971" t="s">
        <v>3103</v>
      </c>
      <c r="Z1971">
        <v>1.21</v>
      </c>
      <c r="AA1971">
        <v>133</v>
      </c>
      <c r="AB1971">
        <v>316</v>
      </c>
      <c r="AC1971">
        <v>1.7</v>
      </c>
      <c r="AD1971" t="s">
        <v>11126</v>
      </c>
      <c r="AE1971" t="s">
        <v>11127</v>
      </c>
      <c r="AF1971" t="s">
        <v>11126</v>
      </c>
      <c r="AG1971" t="s">
        <v>11127</v>
      </c>
      <c r="AH1971">
        <v>0.2</v>
      </c>
      <c r="AI1971">
        <v>-3.36</v>
      </c>
      <c r="AJ1971">
        <v>1.61</v>
      </c>
      <c r="AK1971">
        <v>3.7</v>
      </c>
      <c r="AL1971">
        <v>2</v>
      </c>
      <c r="AM1971">
        <v>0.7</v>
      </c>
      <c r="AN1971">
        <v>-25.65</v>
      </c>
      <c r="AO1971">
        <v>-6.24</v>
      </c>
      <c r="AP1971">
        <v>-34.76</v>
      </c>
    </row>
    <row r="1972" spans="1:42">
      <c r="A1972">
        <v>1971</v>
      </c>
      <c r="B1972" t="str">
        <f>"000657"</f>
        <v>000657</v>
      </c>
      <c r="C1972" t="s">
        <v>11128</v>
      </c>
      <c r="D1972">
        <v>9.15</v>
      </c>
      <c r="E1972">
        <v>1.1</v>
      </c>
      <c r="F1972">
        <v>0.1</v>
      </c>
      <c r="G1972" t="s">
        <v>1909</v>
      </c>
      <c r="H1972">
        <v>2333</v>
      </c>
      <c r="I1972">
        <v>9.14</v>
      </c>
      <c r="J1972">
        <v>9.15</v>
      </c>
      <c r="K1972" t="s">
        <v>11129</v>
      </c>
      <c r="L1972">
        <v>0.86</v>
      </c>
      <c r="M1972" t="s">
        <v>46</v>
      </c>
      <c r="N1972" t="s">
        <v>11130</v>
      </c>
      <c r="O1972">
        <v>9.19</v>
      </c>
      <c r="P1972">
        <v>8.9</v>
      </c>
      <c r="Q1972">
        <v>9.06</v>
      </c>
      <c r="R1972">
        <v>9.05</v>
      </c>
      <c r="S1972">
        <v>3.2</v>
      </c>
      <c r="T1972">
        <v>1.27</v>
      </c>
      <c r="U1972">
        <v>-40.8</v>
      </c>
      <c r="V1972">
        <v>-2629</v>
      </c>
      <c r="W1972">
        <v>9.06</v>
      </c>
      <c r="X1972" t="s">
        <v>4953</v>
      </c>
      <c r="Y1972" t="s">
        <v>6545</v>
      </c>
      <c r="Z1972">
        <v>0.89</v>
      </c>
      <c r="AA1972">
        <v>893</v>
      </c>
      <c r="AB1972">
        <v>1140</v>
      </c>
      <c r="AC1972">
        <v>2.23</v>
      </c>
      <c r="AD1972" t="s">
        <v>11131</v>
      </c>
      <c r="AE1972" t="s">
        <v>10886</v>
      </c>
      <c r="AF1972" t="s">
        <v>11132</v>
      </c>
      <c r="AG1972" t="s">
        <v>11133</v>
      </c>
      <c r="AH1972">
        <v>1.1</v>
      </c>
      <c r="AI1972">
        <v>0</v>
      </c>
      <c r="AJ1972">
        <v>2.44</v>
      </c>
      <c r="AK1972">
        <v>4.26</v>
      </c>
      <c r="AL1972">
        <v>1</v>
      </c>
      <c r="AM1972">
        <v>1.1</v>
      </c>
      <c r="AN1972">
        <v>-24.13</v>
      </c>
      <c r="AO1972">
        <v>-2.87</v>
      </c>
      <c r="AP1972">
        <v>-26.15</v>
      </c>
    </row>
    <row r="1973" spans="1:42">
      <c r="A1973">
        <v>1972</v>
      </c>
      <c r="B1973" t="str">
        <f>"603068"</f>
        <v>603068</v>
      </c>
      <c r="C1973" t="s">
        <v>11134</v>
      </c>
      <c r="D1973">
        <v>31.2</v>
      </c>
      <c r="E1973">
        <v>-1.05</v>
      </c>
      <c r="F1973">
        <v>-0.33</v>
      </c>
      <c r="G1973" t="s">
        <v>5266</v>
      </c>
      <c r="H1973">
        <v>332</v>
      </c>
      <c r="I1973">
        <v>31.2</v>
      </c>
      <c r="J1973">
        <v>31.21</v>
      </c>
      <c r="K1973" t="s">
        <v>11135</v>
      </c>
      <c r="L1973">
        <v>2.07</v>
      </c>
      <c r="M1973" t="s">
        <v>46</v>
      </c>
      <c r="N1973" t="s">
        <v>2647</v>
      </c>
      <c r="O1973">
        <v>31.39</v>
      </c>
      <c r="P1973">
        <v>30.86</v>
      </c>
      <c r="Q1973">
        <v>31.19</v>
      </c>
      <c r="R1973">
        <v>31.53</v>
      </c>
      <c r="S1973">
        <v>1.68</v>
      </c>
      <c r="T1973">
        <v>0.88</v>
      </c>
      <c r="U1973">
        <v>27.66</v>
      </c>
      <c r="V1973">
        <v>106</v>
      </c>
      <c r="W1973">
        <v>31.13</v>
      </c>
      <c r="X1973" t="s">
        <v>5997</v>
      </c>
      <c r="Y1973" t="s">
        <v>5900</v>
      </c>
      <c r="Z1973">
        <v>1.18</v>
      </c>
      <c r="AA1973">
        <v>3</v>
      </c>
      <c r="AB1973">
        <v>21</v>
      </c>
      <c r="AC1973">
        <v>2.74</v>
      </c>
      <c r="AD1973" t="s">
        <v>7764</v>
      </c>
      <c r="AE1973" t="s">
        <v>11136</v>
      </c>
      <c r="AF1973" t="s">
        <v>7764</v>
      </c>
      <c r="AG1973" t="s">
        <v>11136</v>
      </c>
      <c r="AH1973">
        <v>-1.52</v>
      </c>
      <c r="AI1973">
        <v>-0.61</v>
      </c>
      <c r="AJ1973">
        <v>7.15</v>
      </c>
      <c r="AK1973">
        <v>13.78</v>
      </c>
      <c r="AL1973">
        <v>-1</v>
      </c>
      <c r="AM1973">
        <v>-1.05</v>
      </c>
      <c r="AN1973">
        <v>9.63</v>
      </c>
      <c r="AO1973">
        <v>6.34</v>
      </c>
      <c r="AP1973">
        <v>7.55</v>
      </c>
    </row>
    <row r="1974" spans="1:42">
      <c r="A1974">
        <v>1973</v>
      </c>
      <c r="B1974" t="str">
        <f>"301128"</f>
        <v>301128</v>
      </c>
      <c r="C1974" t="s">
        <v>11137</v>
      </c>
      <c r="D1974">
        <v>46.96</v>
      </c>
      <c r="E1974">
        <v>-0.04</v>
      </c>
      <c r="F1974">
        <v>-0.02</v>
      </c>
      <c r="G1974" t="s">
        <v>6580</v>
      </c>
      <c r="H1974">
        <v>336</v>
      </c>
      <c r="I1974">
        <v>46.94</v>
      </c>
      <c r="J1974">
        <v>46.96</v>
      </c>
      <c r="K1974" t="s">
        <v>11138</v>
      </c>
      <c r="L1974">
        <v>7.62</v>
      </c>
      <c r="M1974" t="s">
        <v>46</v>
      </c>
      <c r="N1974" t="s">
        <v>3534</v>
      </c>
      <c r="O1974">
        <v>47.29</v>
      </c>
      <c r="P1974">
        <v>45.96</v>
      </c>
      <c r="Q1974">
        <v>46.27</v>
      </c>
      <c r="R1974">
        <v>46.98</v>
      </c>
      <c r="S1974">
        <v>2.83</v>
      </c>
      <c r="T1974">
        <v>0.62</v>
      </c>
      <c r="U1974">
        <v>-59.57</v>
      </c>
      <c r="V1974">
        <v>-280</v>
      </c>
      <c r="W1974">
        <v>46.58</v>
      </c>
      <c r="X1974" t="s">
        <v>218</v>
      </c>
      <c r="Y1974" t="s">
        <v>2074</v>
      </c>
      <c r="Z1974">
        <v>1.05</v>
      </c>
      <c r="AA1974">
        <v>2</v>
      </c>
      <c r="AB1974">
        <v>162</v>
      </c>
      <c r="AC1974">
        <v>4.23</v>
      </c>
      <c r="AD1974" t="s">
        <v>11139</v>
      </c>
      <c r="AE1974" t="s">
        <v>11140</v>
      </c>
      <c r="AF1974" t="s">
        <v>11141</v>
      </c>
      <c r="AG1974" t="s">
        <v>768</v>
      </c>
      <c r="AH1974">
        <v>-0.8</v>
      </c>
      <c r="AI1974">
        <v>-4.46</v>
      </c>
      <c r="AJ1974">
        <v>39.38</v>
      </c>
      <c r="AK1974">
        <v>68.7</v>
      </c>
      <c r="AL1974">
        <v>-2</v>
      </c>
      <c r="AM1974">
        <v>-0.04</v>
      </c>
      <c r="AN1974">
        <v>90.97</v>
      </c>
      <c r="AO1974">
        <v>-14.02</v>
      </c>
      <c r="AP1974">
        <v>69.53</v>
      </c>
    </row>
    <row r="1975" spans="1:42">
      <c r="A1975">
        <v>1974</v>
      </c>
      <c r="B1975" t="str">
        <f>"300826"</f>
        <v>300826</v>
      </c>
      <c r="C1975" t="s">
        <v>11142</v>
      </c>
      <c r="D1975">
        <v>19.12</v>
      </c>
      <c r="E1975">
        <v>1.49</v>
      </c>
      <c r="F1975">
        <v>0.28</v>
      </c>
      <c r="G1975" t="s">
        <v>5917</v>
      </c>
      <c r="H1975">
        <v>1188</v>
      </c>
      <c r="I1975">
        <v>19.12</v>
      </c>
      <c r="J1975">
        <v>19.13</v>
      </c>
      <c r="K1975" t="s">
        <v>11143</v>
      </c>
      <c r="L1975">
        <v>3.67</v>
      </c>
      <c r="M1975" t="s">
        <v>46</v>
      </c>
      <c r="N1975" t="s">
        <v>11144</v>
      </c>
      <c r="O1975">
        <v>19.21</v>
      </c>
      <c r="P1975">
        <v>18.66</v>
      </c>
      <c r="Q1975">
        <v>18.66</v>
      </c>
      <c r="R1975">
        <v>18.84</v>
      </c>
      <c r="S1975">
        <v>2.92</v>
      </c>
      <c r="T1975">
        <v>0.44</v>
      </c>
      <c r="U1975">
        <v>0.86</v>
      </c>
      <c r="V1975">
        <v>13</v>
      </c>
      <c r="W1975">
        <v>18.97</v>
      </c>
      <c r="X1975" t="s">
        <v>3456</v>
      </c>
      <c r="Y1975" t="s">
        <v>4017</v>
      </c>
      <c r="Z1975">
        <v>1.13</v>
      </c>
      <c r="AA1975">
        <v>124</v>
      </c>
      <c r="AB1975">
        <v>216</v>
      </c>
      <c r="AC1975">
        <v>2.66</v>
      </c>
      <c r="AD1975" t="s">
        <v>9158</v>
      </c>
      <c r="AE1975" t="s">
        <v>11145</v>
      </c>
      <c r="AF1975" t="s">
        <v>11146</v>
      </c>
      <c r="AG1975" t="s">
        <v>8961</v>
      </c>
      <c r="AH1975">
        <v>-6.82</v>
      </c>
      <c r="AI1975">
        <v>-7.32</v>
      </c>
      <c r="AJ1975">
        <v>18.08</v>
      </c>
      <c r="AK1975">
        <v>45.38</v>
      </c>
      <c r="AL1975">
        <v>1</v>
      </c>
      <c r="AM1975">
        <v>1.49</v>
      </c>
      <c r="AN1975">
        <v>73.03</v>
      </c>
      <c r="AO1975">
        <v>8.88</v>
      </c>
      <c r="AP1975">
        <v>54.19</v>
      </c>
    </row>
    <row r="1976" spans="1:42">
      <c r="A1976">
        <v>1975</v>
      </c>
      <c r="B1976" t="str">
        <f>"002064"</f>
        <v>002064</v>
      </c>
      <c r="C1976" t="s">
        <v>11147</v>
      </c>
      <c r="D1976">
        <v>6.83</v>
      </c>
      <c r="E1976">
        <v>-0.44</v>
      </c>
      <c r="F1976">
        <v>-0.03</v>
      </c>
      <c r="G1976" t="s">
        <v>1296</v>
      </c>
      <c r="H1976">
        <v>1249</v>
      </c>
      <c r="I1976">
        <v>6.83</v>
      </c>
      <c r="J1976">
        <v>6.84</v>
      </c>
      <c r="K1976" t="s">
        <v>11148</v>
      </c>
      <c r="L1976">
        <v>0.29</v>
      </c>
      <c r="M1976" t="s">
        <v>46</v>
      </c>
      <c r="N1976" t="s">
        <v>7456</v>
      </c>
      <c r="O1976">
        <v>6.88</v>
      </c>
      <c r="P1976">
        <v>6.8</v>
      </c>
      <c r="Q1976">
        <v>6.85</v>
      </c>
      <c r="R1976">
        <v>6.86</v>
      </c>
      <c r="S1976">
        <v>1.17</v>
      </c>
      <c r="T1976">
        <v>1.18</v>
      </c>
      <c r="U1976">
        <v>60.17</v>
      </c>
      <c r="V1976" t="s">
        <v>2147</v>
      </c>
      <c r="W1976">
        <v>6.83</v>
      </c>
      <c r="X1976" t="s">
        <v>11149</v>
      </c>
      <c r="Y1976" t="s">
        <v>8859</v>
      </c>
      <c r="Z1976">
        <v>1.05</v>
      </c>
      <c r="AA1976">
        <v>1080</v>
      </c>
      <c r="AB1976">
        <v>123</v>
      </c>
      <c r="AC1976">
        <v>1.39</v>
      </c>
      <c r="AD1976" t="s">
        <v>10043</v>
      </c>
      <c r="AE1976" t="s">
        <v>11150</v>
      </c>
      <c r="AF1976" t="s">
        <v>11151</v>
      </c>
      <c r="AG1976" t="s">
        <v>11152</v>
      </c>
      <c r="AH1976">
        <v>-1.87</v>
      </c>
      <c r="AI1976">
        <v>-2.71</v>
      </c>
      <c r="AJ1976">
        <v>0.76</v>
      </c>
      <c r="AK1976">
        <v>1.5</v>
      </c>
      <c r="AL1976">
        <v>-3</v>
      </c>
      <c r="AM1976">
        <v>-0.44</v>
      </c>
      <c r="AN1976">
        <v>2.71</v>
      </c>
      <c r="AO1976">
        <v>-5.14</v>
      </c>
      <c r="AP1976">
        <v>-3.53</v>
      </c>
    </row>
    <row r="1977" spans="1:42">
      <c r="A1977">
        <v>1976</v>
      </c>
      <c r="B1977" t="str">
        <f>"001299"</f>
        <v>001299</v>
      </c>
      <c r="C1977" t="s">
        <v>11153</v>
      </c>
      <c r="D1977">
        <v>16.98</v>
      </c>
      <c r="E1977">
        <v>-1.74</v>
      </c>
      <c r="F1977">
        <v>-0.3</v>
      </c>
      <c r="G1977" t="s">
        <v>6545</v>
      </c>
      <c r="H1977">
        <v>449</v>
      </c>
      <c r="I1977">
        <v>16.98</v>
      </c>
      <c r="J1977">
        <v>17</v>
      </c>
      <c r="K1977" t="s">
        <v>11148</v>
      </c>
      <c r="L1977">
        <v>11.05</v>
      </c>
      <c r="M1977" t="s">
        <v>46</v>
      </c>
      <c r="N1977" t="s">
        <v>3939</v>
      </c>
      <c r="O1977">
        <v>17.3</v>
      </c>
      <c r="P1977">
        <v>16.85</v>
      </c>
      <c r="Q1977">
        <v>17.11</v>
      </c>
      <c r="R1977">
        <v>17.28</v>
      </c>
      <c r="S1977">
        <v>2.6</v>
      </c>
      <c r="T1977">
        <v>1.45</v>
      </c>
      <c r="U1977">
        <v>50.84</v>
      </c>
      <c r="V1977">
        <v>182</v>
      </c>
      <c r="W1977">
        <v>17.05</v>
      </c>
      <c r="X1977" t="s">
        <v>5454</v>
      </c>
      <c r="Y1977" t="s">
        <v>6266</v>
      </c>
      <c r="Z1977">
        <v>1.46</v>
      </c>
      <c r="AA1977">
        <v>14</v>
      </c>
      <c r="AB1977">
        <v>27</v>
      </c>
      <c r="AC1977">
        <v>2.49</v>
      </c>
      <c r="AD1977" t="s">
        <v>9536</v>
      </c>
      <c r="AE1977" t="s">
        <v>11154</v>
      </c>
      <c r="AF1977" t="s">
        <v>4338</v>
      </c>
      <c r="AG1977" t="s">
        <v>11155</v>
      </c>
      <c r="AH1977">
        <v>1.07</v>
      </c>
      <c r="AI1977">
        <v>-1.22</v>
      </c>
      <c r="AJ1977">
        <v>30.76</v>
      </c>
      <c r="AK1977">
        <v>49.2</v>
      </c>
      <c r="AL1977">
        <v>-1</v>
      </c>
      <c r="AM1977">
        <v>-1.74</v>
      </c>
      <c r="AN1977">
        <v>-15.94</v>
      </c>
      <c r="AO1977">
        <v>2.29</v>
      </c>
      <c r="AP1977">
        <v>-18.52</v>
      </c>
    </row>
    <row r="1978" spans="1:42">
      <c r="A1978">
        <v>1977</v>
      </c>
      <c r="B1978" t="str">
        <f>"600518"</f>
        <v>600518</v>
      </c>
      <c r="C1978" t="s">
        <v>11156</v>
      </c>
      <c r="D1978">
        <v>1.92</v>
      </c>
      <c r="E1978">
        <v>-0.52</v>
      </c>
      <c r="F1978">
        <v>-0.01</v>
      </c>
      <c r="G1978" t="s">
        <v>5528</v>
      </c>
      <c r="H1978" t="s">
        <v>1400</v>
      </c>
      <c r="I1978">
        <v>1.92</v>
      </c>
      <c r="J1978">
        <v>1.93</v>
      </c>
      <c r="K1978" t="s">
        <v>11157</v>
      </c>
      <c r="L1978">
        <v>0.37</v>
      </c>
      <c r="M1978" t="s">
        <v>46</v>
      </c>
      <c r="N1978" t="s">
        <v>9178</v>
      </c>
      <c r="O1978">
        <v>1.93</v>
      </c>
      <c r="P1978">
        <v>1.91</v>
      </c>
      <c r="Q1978">
        <v>1.93</v>
      </c>
      <c r="R1978">
        <v>1.93</v>
      </c>
      <c r="S1978">
        <v>1.04</v>
      </c>
      <c r="T1978">
        <v>0.5</v>
      </c>
      <c r="U1978">
        <v>13.98</v>
      </c>
      <c r="V1978" t="s">
        <v>5706</v>
      </c>
      <c r="W1978">
        <v>1.92</v>
      </c>
      <c r="X1978" t="s">
        <v>1584</v>
      </c>
      <c r="Y1978" t="s">
        <v>978</v>
      </c>
      <c r="Z1978">
        <v>2.28</v>
      </c>
      <c r="AA1978" t="s">
        <v>9024</v>
      </c>
      <c r="AB1978" t="s">
        <v>11158</v>
      </c>
      <c r="AC1978">
        <v>3.91</v>
      </c>
      <c r="AD1978" t="s">
        <v>8800</v>
      </c>
      <c r="AE1978" t="s">
        <v>11159</v>
      </c>
      <c r="AF1978" t="s">
        <v>11160</v>
      </c>
      <c r="AG1978" t="s">
        <v>11161</v>
      </c>
      <c r="AH1978">
        <v>-2.54</v>
      </c>
      <c r="AI1978">
        <v>0</v>
      </c>
      <c r="AJ1978">
        <v>1.4</v>
      </c>
      <c r="AK1978">
        <v>4.08</v>
      </c>
      <c r="AL1978">
        <v>-1</v>
      </c>
      <c r="AM1978">
        <v>-0.52</v>
      </c>
      <c r="AN1978">
        <v>-12.73</v>
      </c>
      <c r="AO1978">
        <v>2.67</v>
      </c>
      <c r="AP1978">
        <v>-11.52</v>
      </c>
    </row>
    <row r="1979" spans="1:42">
      <c r="A1979">
        <v>1978</v>
      </c>
      <c r="B1979" t="str">
        <f>"430418"</f>
        <v>430418</v>
      </c>
      <c r="C1979" t="s">
        <v>11162</v>
      </c>
      <c r="D1979">
        <v>21.8</v>
      </c>
      <c r="E1979">
        <v>-7.86</v>
      </c>
      <c r="F1979">
        <v>-1.86</v>
      </c>
      <c r="G1979" t="s">
        <v>777</v>
      </c>
      <c r="H1979">
        <v>446</v>
      </c>
      <c r="I1979">
        <v>21.7</v>
      </c>
      <c r="J1979">
        <v>21.8</v>
      </c>
      <c r="K1979" t="s">
        <v>11163</v>
      </c>
      <c r="L1979">
        <v>8.38</v>
      </c>
      <c r="M1979" t="s">
        <v>46</v>
      </c>
      <c r="N1979" t="s">
        <v>3067</v>
      </c>
      <c r="O1979">
        <v>23.9</v>
      </c>
      <c r="P1979">
        <v>21.45</v>
      </c>
      <c r="Q1979">
        <v>23.5</v>
      </c>
      <c r="R1979">
        <v>23.66</v>
      </c>
      <c r="S1979">
        <v>10.36</v>
      </c>
      <c r="T1979">
        <v>0.59</v>
      </c>
      <c r="U1979">
        <v>-63.71</v>
      </c>
      <c r="V1979">
        <v>-202</v>
      </c>
      <c r="W1979">
        <v>22.4</v>
      </c>
      <c r="X1979" t="s">
        <v>4257</v>
      </c>
      <c r="Y1979" t="s">
        <v>876</v>
      </c>
      <c r="Z1979">
        <v>1.46</v>
      </c>
      <c r="AA1979">
        <v>11</v>
      </c>
      <c r="AB1979">
        <v>200</v>
      </c>
      <c r="AC1979">
        <v>3.13</v>
      </c>
      <c r="AD1979" t="s">
        <v>11138</v>
      </c>
      <c r="AE1979" t="s">
        <v>669</v>
      </c>
      <c r="AF1979" t="s">
        <v>11164</v>
      </c>
      <c r="AG1979" t="s">
        <v>6511</v>
      </c>
      <c r="AH1979">
        <v>-15.24</v>
      </c>
      <c r="AI1979">
        <v>17.97</v>
      </c>
      <c r="AJ1979">
        <v>31.16</v>
      </c>
      <c r="AK1979">
        <v>79.99</v>
      </c>
      <c r="AL1979">
        <v>-3</v>
      </c>
      <c r="AM1979">
        <v>-7.86</v>
      </c>
      <c r="AN1979">
        <v>136.96</v>
      </c>
      <c r="AO1979">
        <v>42.86</v>
      </c>
      <c r="AP1979">
        <v>128.27</v>
      </c>
    </row>
    <row r="1980" spans="1:42">
      <c r="A1980">
        <v>1979</v>
      </c>
      <c r="B1980" t="str">
        <f>"002221"</f>
        <v>002221</v>
      </c>
      <c r="C1980" t="s">
        <v>11165</v>
      </c>
      <c r="D1980">
        <v>11</v>
      </c>
      <c r="E1980">
        <v>1.2</v>
      </c>
      <c r="F1980">
        <v>0.13</v>
      </c>
      <c r="G1980" t="s">
        <v>7941</v>
      </c>
      <c r="H1980">
        <v>251</v>
      </c>
      <c r="I1980">
        <v>11</v>
      </c>
      <c r="J1980">
        <v>11.01</v>
      </c>
      <c r="K1980" t="s">
        <v>11166</v>
      </c>
      <c r="L1980">
        <v>0.6</v>
      </c>
      <c r="M1980" t="s">
        <v>46</v>
      </c>
      <c r="N1980" t="s">
        <v>8826</v>
      </c>
      <c r="O1980">
        <v>11.1</v>
      </c>
      <c r="P1980">
        <v>10.79</v>
      </c>
      <c r="Q1980">
        <v>10.87</v>
      </c>
      <c r="R1980">
        <v>10.87</v>
      </c>
      <c r="S1980">
        <v>2.85</v>
      </c>
      <c r="T1980">
        <v>1.06</v>
      </c>
      <c r="U1980">
        <v>25.68</v>
      </c>
      <c r="V1980">
        <v>474</v>
      </c>
      <c r="W1980">
        <v>10.94</v>
      </c>
      <c r="X1980" t="s">
        <v>5774</v>
      </c>
      <c r="Y1980" t="s">
        <v>2560</v>
      </c>
      <c r="Z1980">
        <v>0.8</v>
      </c>
      <c r="AA1980">
        <v>1045</v>
      </c>
      <c r="AB1980">
        <v>46</v>
      </c>
      <c r="AC1980">
        <v>1.64</v>
      </c>
      <c r="AD1980" t="s">
        <v>11167</v>
      </c>
      <c r="AE1980" t="s">
        <v>11168</v>
      </c>
      <c r="AF1980" t="s">
        <v>8780</v>
      </c>
      <c r="AG1980" t="s">
        <v>2345</v>
      </c>
      <c r="AH1980">
        <v>2.33</v>
      </c>
      <c r="AI1980">
        <v>0.64</v>
      </c>
      <c r="AJ1980">
        <v>1.59</v>
      </c>
      <c r="AK1980">
        <v>3.43</v>
      </c>
      <c r="AL1980">
        <v>2</v>
      </c>
      <c r="AM1980">
        <v>1.2</v>
      </c>
      <c r="AN1980">
        <v>44.17</v>
      </c>
      <c r="AO1980">
        <v>5.67</v>
      </c>
      <c r="AP1980">
        <v>29.72</v>
      </c>
    </row>
    <row r="1981" spans="1:42">
      <c r="A1981">
        <v>1980</v>
      </c>
      <c r="B1981" t="str">
        <f>"300698"</f>
        <v>300698</v>
      </c>
      <c r="C1981" t="s">
        <v>11169</v>
      </c>
      <c r="D1981">
        <v>36.81</v>
      </c>
      <c r="E1981">
        <v>0.44</v>
      </c>
      <c r="F1981">
        <v>0.16</v>
      </c>
      <c r="G1981" t="s">
        <v>4012</v>
      </c>
      <c r="H1981">
        <v>101</v>
      </c>
      <c r="I1981">
        <v>36.81</v>
      </c>
      <c r="J1981">
        <v>36.82</v>
      </c>
      <c r="K1981" t="s">
        <v>11170</v>
      </c>
      <c r="L1981">
        <v>2.11</v>
      </c>
      <c r="M1981" t="s">
        <v>46</v>
      </c>
      <c r="N1981" t="s">
        <v>4078</v>
      </c>
      <c r="O1981">
        <v>37.3</v>
      </c>
      <c r="P1981">
        <v>36.32</v>
      </c>
      <c r="Q1981">
        <v>36.98</v>
      </c>
      <c r="R1981">
        <v>36.65</v>
      </c>
      <c r="S1981">
        <v>2.67</v>
      </c>
      <c r="T1981">
        <v>1.16</v>
      </c>
      <c r="U1981">
        <v>-4.48</v>
      </c>
      <c r="V1981">
        <v>-6</v>
      </c>
      <c r="W1981">
        <v>36.74</v>
      </c>
      <c r="X1981" t="s">
        <v>1170</v>
      </c>
      <c r="Y1981" t="s">
        <v>9445</v>
      </c>
      <c r="Z1981">
        <v>1.01</v>
      </c>
      <c r="AA1981">
        <v>16</v>
      </c>
      <c r="AB1981">
        <v>40</v>
      </c>
      <c r="AC1981">
        <v>11.01</v>
      </c>
      <c r="AD1981" t="s">
        <v>11171</v>
      </c>
      <c r="AE1981" t="s">
        <v>4430</v>
      </c>
      <c r="AF1981" t="s">
        <v>7508</v>
      </c>
      <c r="AG1981" t="s">
        <v>10454</v>
      </c>
      <c r="AH1981">
        <v>-4.04</v>
      </c>
      <c r="AI1981">
        <v>-4.32</v>
      </c>
      <c r="AJ1981">
        <v>7.2</v>
      </c>
      <c r="AK1981">
        <v>11.21</v>
      </c>
      <c r="AL1981">
        <v>1</v>
      </c>
      <c r="AM1981">
        <v>0.44</v>
      </c>
      <c r="AN1981">
        <v>55.45</v>
      </c>
      <c r="AO1981">
        <v>2.74</v>
      </c>
      <c r="AP1981">
        <v>38.7</v>
      </c>
    </row>
    <row r="1982" spans="1:42">
      <c r="A1982">
        <v>1981</v>
      </c>
      <c r="B1982" t="str">
        <f>"300283"</f>
        <v>300283</v>
      </c>
      <c r="C1982" t="s">
        <v>11172</v>
      </c>
      <c r="D1982">
        <v>6.36</v>
      </c>
      <c r="E1982">
        <v>-0.93</v>
      </c>
      <c r="F1982">
        <v>-0.06</v>
      </c>
      <c r="G1982" t="s">
        <v>1412</v>
      </c>
      <c r="H1982">
        <v>2542</v>
      </c>
      <c r="I1982">
        <v>6.35</v>
      </c>
      <c r="J1982">
        <v>6.36</v>
      </c>
      <c r="K1982" t="s">
        <v>11173</v>
      </c>
      <c r="L1982">
        <v>4.96</v>
      </c>
      <c r="M1982" t="s">
        <v>46</v>
      </c>
      <c r="N1982" t="s">
        <v>3326</v>
      </c>
      <c r="O1982">
        <v>6.4</v>
      </c>
      <c r="P1982">
        <v>6.24</v>
      </c>
      <c r="Q1982">
        <v>6.38</v>
      </c>
      <c r="R1982">
        <v>6.42</v>
      </c>
      <c r="S1982">
        <v>2.49</v>
      </c>
      <c r="T1982">
        <v>1.01</v>
      </c>
      <c r="U1982">
        <v>4.92</v>
      </c>
      <c r="V1982">
        <v>272</v>
      </c>
      <c r="W1982">
        <v>6.3</v>
      </c>
      <c r="X1982" t="s">
        <v>11174</v>
      </c>
      <c r="Y1982" t="s">
        <v>4741</v>
      </c>
      <c r="Z1982">
        <v>1.15</v>
      </c>
      <c r="AA1982">
        <v>517</v>
      </c>
      <c r="AB1982">
        <v>230</v>
      </c>
      <c r="AC1982">
        <v>3.2</v>
      </c>
      <c r="AD1982" t="s">
        <v>11175</v>
      </c>
      <c r="AE1982" t="s">
        <v>8957</v>
      </c>
      <c r="AF1982" t="s">
        <v>11176</v>
      </c>
      <c r="AG1982" t="s">
        <v>11177</v>
      </c>
      <c r="AH1982">
        <v>-0.47</v>
      </c>
      <c r="AI1982">
        <v>0.16</v>
      </c>
      <c r="AJ1982">
        <v>23.85</v>
      </c>
      <c r="AK1982">
        <v>29.44</v>
      </c>
      <c r="AL1982">
        <v>-2</v>
      </c>
      <c r="AM1982">
        <v>-0.93</v>
      </c>
      <c r="AN1982">
        <v>30.86</v>
      </c>
      <c r="AO1982">
        <v>4.95</v>
      </c>
      <c r="AP1982">
        <v>16.27</v>
      </c>
    </row>
    <row r="1983" spans="1:42">
      <c r="A1983">
        <v>1982</v>
      </c>
      <c r="B1983" t="str">
        <f>"002506"</f>
        <v>002506</v>
      </c>
      <c r="C1983" t="s">
        <v>11178</v>
      </c>
      <c r="D1983">
        <v>2.72</v>
      </c>
      <c r="E1983">
        <v>0.37</v>
      </c>
      <c r="F1983">
        <v>0.01</v>
      </c>
      <c r="G1983" t="s">
        <v>2944</v>
      </c>
      <c r="H1983">
        <v>5186</v>
      </c>
      <c r="I1983">
        <v>2.72</v>
      </c>
      <c r="J1983">
        <v>2.73</v>
      </c>
      <c r="K1983" t="s">
        <v>11179</v>
      </c>
      <c r="L1983">
        <v>0.61</v>
      </c>
      <c r="M1983" t="s">
        <v>46</v>
      </c>
      <c r="N1983" t="s">
        <v>9885</v>
      </c>
      <c r="O1983">
        <v>2.73</v>
      </c>
      <c r="P1983">
        <v>2.67</v>
      </c>
      <c r="Q1983">
        <v>2.7</v>
      </c>
      <c r="R1983">
        <v>2.71</v>
      </c>
      <c r="S1983">
        <v>2.21</v>
      </c>
      <c r="T1983">
        <v>1.22</v>
      </c>
      <c r="U1983">
        <v>46.69</v>
      </c>
      <c r="V1983" t="s">
        <v>5794</v>
      </c>
      <c r="W1983">
        <v>2.7</v>
      </c>
      <c r="X1983" t="s">
        <v>2222</v>
      </c>
      <c r="Y1983" t="s">
        <v>509</v>
      </c>
      <c r="Z1983">
        <v>0.73</v>
      </c>
      <c r="AA1983">
        <v>746</v>
      </c>
      <c r="AB1983" t="s">
        <v>1110</v>
      </c>
      <c r="AC1983">
        <v>6.64</v>
      </c>
      <c r="AD1983" t="s">
        <v>6494</v>
      </c>
      <c r="AE1983" t="s">
        <v>6498</v>
      </c>
      <c r="AF1983" t="s">
        <v>6494</v>
      </c>
      <c r="AG1983" t="s">
        <v>6498</v>
      </c>
      <c r="AH1983">
        <v>-1.09</v>
      </c>
      <c r="AI1983">
        <v>-2.51</v>
      </c>
      <c r="AJ1983">
        <v>1.76</v>
      </c>
      <c r="AK1983">
        <v>3.1</v>
      </c>
      <c r="AL1983">
        <v>1</v>
      </c>
      <c r="AM1983">
        <v>0.37</v>
      </c>
      <c r="AN1983">
        <v>-6.53</v>
      </c>
      <c r="AO1983">
        <v>-0.73</v>
      </c>
      <c r="AP1983">
        <v>-16.05</v>
      </c>
    </row>
    <row r="1984" spans="1:42">
      <c r="A1984">
        <v>1983</v>
      </c>
      <c r="B1984" t="str">
        <f>"000517"</f>
        <v>000517</v>
      </c>
      <c r="C1984" t="s">
        <v>11180</v>
      </c>
      <c r="D1984">
        <v>2.6</v>
      </c>
      <c r="E1984">
        <v>2.36</v>
      </c>
      <c r="F1984">
        <v>0.06</v>
      </c>
      <c r="G1984" t="s">
        <v>334</v>
      </c>
      <c r="H1984">
        <v>2371</v>
      </c>
      <c r="I1984">
        <v>2.59</v>
      </c>
      <c r="J1984">
        <v>2.6</v>
      </c>
      <c r="K1984" t="s">
        <v>11181</v>
      </c>
      <c r="L1984">
        <v>1.49</v>
      </c>
      <c r="M1984" t="s">
        <v>46</v>
      </c>
      <c r="N1984" t="s">
        <v>2983</v>
      </c>
      <c r="O1984">
        <v>2.61</v>
      </c>
      <c r="P1984">
        <v>2.52</v>
      </c>
      <c r="Q1984">
        <v>2.55</v>
      </c>
      <c r="R1984">
        <v>2.54</v>
      </c>
      <c r="S1984">
        <v>3.54</v>
      </c>
      <c r="T1984">
        <v>1.04</v>
      </c>
      <c r="U1984">
        <v>-5.15</v>
      </c>
      <c r="V1984">
        <v>-1876</v>
      </c>
      <c r="W1984">
        <v>2.58</v>
      </c>
      <c r="X1984" t="s">
        <v>1376</v>
      </c>
      <c r="Y1984" t="s">
        <v>1366</v>
      </c>
      <c r="Z1984">
        <v>0.57</v>
      </c>
      <c r="AA1984">
        <v>3325</v>
      </c>
      <c r="AB1984">
        <v>461</v>
      </c>
      <c r="AC1984">
        <v>0.9</v>
      </c>
      <c r="AD1984" t="s">
        <v>11182</v>
      </c>
      <c r="AE1984" t="s">
        <v>11183</v>
      </c>
      <c r="AF1984" t="s">
        <v>11184</v>
      </c>
      <c r="AG1984" t="s">
        <v>11185</v>
      </c>
      <c r="AH1984">
        <v>-1.52</v>
      </c>
      <c r="AI1984">
        <v>-7.8</v>
      </c>
      <c r="AJ1984">
        <v>3.87</v>
      </c>
      <c r="AK1984">
        <v>8.65</v>
      </c>
      <c r="AL1984">
        <v>1</v>
      </c>
      <c r="AM1984">
        <v>2.36</v>
      </c>
      <c r="AN1984">
        <v>-1.14</v>
      </c>
      <c r="AO1984">
        <v>-2.62</v>
      </c>
      <c r="AP1984">
        <v>-5.45</v>
      </c>
    </row>
    <row r="1985" spans="1:42">
      <c r="A1985">
        <v>1984</v>
      </c>
      <c r="B1985" t="str">
        <f>"603267"</f>
        <v>603267</v>
      </c>
      <c r="C1985" t="s">
        <v>11186</v>
      </c>
      <c r="D1985">
        <v>56.14</v>
      </c>
      <c r="E1985">
        <v>0.61</v>
      </c>
      <c r="F1985">
        <v>0.34</v>
      </c>
      <c r="G1985" t="s">
        <v>1456</v>
      </c>
      <c r="H1985">
        <v>120</v>
      </c>
      <c r="I1985">
        <v>56.14</v>
      </c>
      <c r="J1985">
        <v>56.15</v>
      </c>
      <c r="K1985" t="s">
        <v>11187</v>
      </c>
      <c r="L1985">
        <v>0.74</v>
      </c>
      <c r="M1985" t="s">
        <v>46</v>
      </c>
      <c r="N1985" t="s">
        <v>6443</v>
      </c>
      <c r="O1985">
        <v>56.3</v>
      </c>
      <c r="P1985">
        <v>55.22</v>
      </c>
      <c r="Q1985">
        <v>55.8</v>
      </c>
      <c r="R1985">
        <v>55.8</v>
      </c>
      <c r="S1985">
        <v>1.94</v>
      </c>
      <c r="T1985">
        <v>0.62</v>
      </c>
      <c r="U1985">
        <v>43.75</v>
      </c>
      <c r="V1985">
        <v>112</v>
      </c>
      <c r="W1985">
        <v>55.77</v>
      </c>
      <c r="X1985">
        <v>8610</v>
      </c>
      <c r="Y1985">
        <v>8572</v>
      </c>
      <c r="Z1985">
        <v>1</v>
      </c>
      <c r="AA1985">
        <v>119</v>
      </c>
      <c r="AB1985">
        <v>18</v>
      </c>
      <c r="AC1985">
        <v>3.14</v>
      </c>
      <c r="AD1985" t="s">
        <v>11188</v>
      </c>
      <c r="AE1985" t="s">
        <v>11189</v>
      </c>
      <c r="AF1985" t="s">
        <v>3388</v>
      </c>
      <c r="AG1985" t="s">
        <v>11190</v>
      </c>
      <c r="AH1985">
        <v>-1.75</v>
      </c>
      <c r="AI1985">
        <v>-3.75</v>
      </c>
      <c r="AJ1985">
        <v>3.11</v>
      </c>
      <c r="AK1985">
        <v>6.68</v>
      </c>
      <c r="AL1985">
        <v>1</v>
      </c>
      <c r="AM1985">
        <v>0.61</v>
      </c>
      <c r="AN1985">
        <v>-44.3</v>
      </c>
      <c r="AO1985">
        <v>-0.09</v>
      </c>
      <c r="AP1985">
        <v>-48</v>
      </c>
    </row>
    <row r="1986" spans="1:42">
      <c r="A1986">
        <v>1985</v>
      </c>
      <c r="B1986" t="str">
        <f>"000926"</f>
        <v>000926</v>
      </c>
      <c r="C1986" t="s">
        <v>11191</v>
      </c>
      <c r="D1986">
        <v>4.43</v>
      </c>
      <c r="E1986">
        <v>0.68</v>
      </c>
      <c r="F1986">
        <v>0.03</v>
      </c>
      <c r="G1986" t="s">
        <v>2893</v>
      </c>
      <c r="H1986">
        <v>1048</v>
      </c>
      <c r="I1986">
        <v>4.43</v>
      </c>
      <c r="J1986">
        <v>4.44</v>
      </c>
      <c r="K1986" t="s">
        <v>11187</v>
      </c>
      <c r="L1986">
        <v>2.39</v>
      </c>
      <c r="M1986" t="s">
        <v>46</v>
      </c>
      <c r="N1986" t="s">
        <v>11192</v>
      </c>
      <c r="O1986">
        <v>4.51</v>
      </c>
      <c r="P1986">
        <v>4.38</v>
      </c>
      <c r="Q1986">
        <v>4.41</v>
      </c>
      <c r="R1986">
        <v>4.4</v>
      </c>
      <c r="S1986">
        <v>2.95</v>
      </c>
      <c r="T1986">
        <v>0.96</v>
      </c>
      <c r="U1986">
        <v>-32.84</v>
      </c>
      <c r="V1986">
        <v>-9650</v>
      </c>
      <c r="W1986">
        <v>4.45</v>
      </c>
      <c r="X1986" t="s">
        <v>1128</v>
      </c>
      <c r="Y1986" t="s">
        <v>1949</v>
      </c>
      <c r="Z1986">
        <v>0.97</v>
      </c>
      <c r="AA1986">
        <v>1211</v>
      </c>
      <c r="AB1986">
        <v>3589</v>
      </c>
      <c r="AC1986">
        <v>0.36</v>
      </c>
      <c r="AD1986" t="s">
        <v>10082</v>
      </c>
      <c r="AE1986" t="s">
        <v>11193</v>
      </c>
      <c r="AF1986" t="s">
        <v>11194</v>
      </c>
      <c r="AG1986" t="s">
        <v>11195</v>
      </c>
      <c r="AH1986">
        <v>-1.56</v>
      </c>
      <c r="AI1986">
        <v>-7.32</v>
      </c>
      <c r="AJ1986">
        <v>5.27</v>
      </c>
      <c r="AK1986">
        <v>14.82</v>
      </c>
      <c r="AL1986">
        <v>1</v>
      </c>
      <c r="AM1986">
        <v>0.68</v>
      </c>
      <c r="AN1986">
        <v>4.98</v>
      </c>
      <c r="AO1986">
        <v>2.55</v>
      </c>
      <c r="AP1986">
        <v>5.23</v>
      </c>
    </row>
    <row r="1987" spans="1:42">
      <c r="A1987">
        <v>1986</v>
      </c>
      <c r="B1987" t="str">
        <f>"300071"</f>
        <v>300071</v>
      </c>
      <c r="C1987" t="s">
        <v>11196</v>
      </c>
      <c r="D1987">
        <v>3.91</v>
      </c>
      <c r="E1987">
        <v>4.27</v>
      </c>
      <c r="F1987">
        <v>0.16</v>
      </c>
      <c r="G1987" t="s">
        <v>3527</v>
      </c>
      <c r="H1987">
        <v>2371</v>
      </c>
      <c r="I1987">
        <v>3.91</v>
      </c>
      <c r="J1987">
        <v>3.92</v>
      </c>
      <c r="K1987" t="s">
        <v>11197</v>
      </c>
      <c r="L1987">
        <v>2.73</v>
      </c>
      <c r="M1987" t="s">
        <v>46</v>
      </c>
      <c r="N1987" t="s">
        <v>1197</v>
      </c>
      <c r="O1987">
        <v>3.92</v>
      </c>
      <c r="P1987">
        <v>3.74</v>
      </c>
      <c r="Q1987">
        <v>3.75</v>
      </c>
      <c r="R1987">
        <v>3.75</v>
      </c>
      <c r="S1987">
        <v>4.8</v>
      </c>
      <c r="T1987">
        <v>1.51</v>
      </c>
      <c r="U1987">
        <v>-18.11</v>
      </c>
      <c r="V1987">
        <v>-3813</v>
      </c>
      <c r="W1987">
        <v>3.87</v>
      </c>
      <c r="X1987" t="s">
        <v>4295</v>
      </c>
      <c r="Y1987" t="s">
        <v>5021</v>
      </c>
      <c r="Z1987">
        <v>0.56</v>
      </c>
      <c r="AA1987">
        <v>2327</v>
      </c>
      <c r="AB1987">
        <v>3929</v>
      </c>
      <c r="AC1987">
        <v>14.01</v>
      </c>
      <c r="AD1987" t="s">
        <v>11198</v>
      </c>
      <c r="AE1987" t="s">
        <v>11199</v>
      </c>
      <c r="AF1987" t="s">
        <v>11200</v>
      </c>
      <c r="AG1987" t="s">
        <v>11201</v>
      </c>
      <c r="AH1987">
        <v>2.62</v>
      </c>
      <c r="AI1987">
        <v>-0.26</v>
      </c>
      <c r="AJ1987">
        <v>5.46</v>
      </c>
      <c r="AK1987">
        <v>11.78</v>
      </c>
      <c r="AL1987">
        <v>1</v>
      </c>
      <c r="AM1987">
        <v>4.27</v>
      </c>
      <c r="AN1987">
        <v>-9.7</v>
      </c>
      <c r="AO1987">
        <v>7.42</v>
      </c>
      <c r="AP1987">
        <v>-12.92</v>
      </c>
    </row>
    <row r="1988" spans="1:42">
      <c r="A1988">
        <v>1987</v>
      </c>
      <c r="B1988" t="str">
        <f>"002139"</f>
        <v>002139</v>
      </c>
      <c r="C1988" t="s">
        <v>11202</v>
      </c>
      <c r="D1988">
        <v>9.88</v>
      </c>
      <c r="E1988">
        <v>-0.1</v>
      </c>
      <c r="F1988">
        <v>-0.01</v>
      </c>
      <c r="G1988" t="s">
        <v>10906</v>
      </c>
      <c r="H1988">
        <v>613</v>
      </c>
      <c r="I1988">
        <v>9.88</v>
      </c>
      <c r="J1988">
        <v>9.89</v>
      </c>
      <c r="K1988" t="s">
        <v>11203</v>
      </c>
      <c r="L1988">
        <v>0.93</v>
      </c>
      <c r="M1988" t="s">
        <v>46</v>
      </c>
      <c r="N1988" t="s">
        <v>11204</v>
      </c>
      <c r="O1988">
        <v>9.94</v>
      </c>
      <c r="P1988">
        <v>9.78</v>
      </c>
      <c r="Q1988">
        <v>9.85</v>
      </c>
      <c r="R1988">
        <v>9.89</v>
      </c>
      <c r="S1988">
        <v>1.62</v>
      </c>
      <c r="T1988">
        <v>0.65</v>
      </c>
      <c r="U1988">
        <v>-35.37</v>
      </c>
      <c r="V1988">
        <v>-2462</v>
      </c>
      <c r="W1988">
        <v>9.85</v>
      </c>
      <c r="X1988" t="s">
        <v>6085</v>
      </c>
      <c r="Y1988" t="s">
        <v>4087</v>
      </c>
      <c r="Z1988">
        <v>1.3</v>
      </c>
      <c r="AA1988">
        <v>1227</v>
      </c>
      <c r="AB1988">
        <v>770</v>
      </c>
      <c r="AC1988">
        <v>2.03</v>
      </c>
      <c r="AD1988" t="s">
        <v>794</v>
      </c>
      <c r="AE1988" t="s">
        <v>602</v>
      </c>
      <c r="AF1988" t="s">
        <v>11205</v>
      </c>
      <c r="AG1988" t="s">
        <v>11206</v>
      </c>
      <c r="AH1988">
        <v>-1.98</v>
      </c>
      <c r="AI1988">
        <v>-3.98</v>
      </c>
      <c r="AJ1988">
        <v>3.54</v>
      </c>
      <c r="AK1988">
        <v>8.09</v>
      </c>
      <c r="AL1988">
        <v>-3</v>
      </c>
      <c r="AM1988">
        <v>-0.1</v>
      </c>
      <c r="AN1988">
        <v>-4.17</v>
      </c>
      <c r="AO1988">
        <v>1.86</v>
      </c>
      <c r="AP1988">
        <v>-7.75</v>
      </c>
    </row>
    <row r="1989" spans="1:42">
      <c r="A1989">
        <v>1988</v>
      </c>
      <c r="B1989" t="str">
        <f>"605296"</f>
        <v>605296</v>
      </c>
      <c r="C1989" t="s">
        <v>11207</v>
      </c>
      <c r="D1989">
        <v>26.16</v>
      </c>
      <c r="E1989">
        <v>-1.25</v>
      </c>
      <c r="F1989">
        <v>-0.33</v>
      </c>
      <c r="G1989" t="s">
        <v>2464</v>
      </c>
      <c r="H1989">
        <v>409</v>
      </c>
      <c r="I1989">
        <v>26.12</v>
      </c>
      <c r="J1989">
        <v>26.16</v>
      </c>
      <c r="K1989" t="s">
        <v>11208</v>
      </c>
      <c r="L1989">
        <v>5.38</v>
      </c>
      <c r="M1989" t="s">
        <v>46</v>
      </c>
      <c r="N1989" t="s">
        <v>10293</v>
      </c>
      <c r="O1989">
        <v>26.87</v>
      </c>
      <c r="P1989">
        <v>25.99</v>
      </c>
      <c r="Q1989">
        <v>26.46</v>
      </c>
      <c r="R1989">
        <v>26.49</v>
      </c>
      <c r="S1989">
        <v>3.32</v>
      </c>
      <c r="T1989">
        <v>0.69</v>
      </c>
      <c r="U1989">
        <v>70.07</v>
      </c>
      <c r="V1989">
        <v>209</v>
      </c>
      <c r="W1989">
        <v>26.33</v>
      </c>
      <c r="X1989" t="s">
        <v>3069</v>
      </c>
      <c r="Y1989" t="s">
        <v>325</v>
      </c>
      <c r="Z1989">
        <v>0.99</v>
      </c>
      <c r="AA1989">
        <v>2</v>
      </c>
      <c r="AB1989">
        <v>4</v>
      </c>
      <c r="AC1989">
        <v>3.14</v>
      </c>
      <c r="AD1989" t="s">
        <v>11209</v>
      </c>
      <c r="AE1989" t="s">
        <v>4459</v>
      </c>
      <c r="AF1989" t="s">
        <v>11210</v>
      </c>
      <c r="AG1989" t="s">
        <v>11211</v>
      </c>
      <c r="AH1989">
        <v>-0.68</v>
      </c>
      <c r="AI1989">
        <v>1.87</v>
      </c>
      <c r="AJ1989">
        <v>17.18</v>
      </c>
      <c r="AK1989">
        <v>44.17</v>
      </c>
      <c r="AL1989">
        <v>-1</v>
      </c>
      <c r="AM1989">
        <v>-1.25</v>
      </c>
      <c r="AN1989">
        <v>5.57</v>
      </c>
      <c r="AO1989">
        <v>22.13</v>
      </c>
      <c r="AP1989">
        <v>-0.72</v>
      </c>
    </row>
    <row r="1990" spans="1:42">
      <c r="A1990">
        <v>1989</v>
      </c>
      <c r="B1990" t="str">
        <f>"000528"</f>
        <v>000528</v>
      </c>
      <c r="C1990" t="s">
        <v>11212</v>
      </c>
      <c r="D1990">
        <v>6.32</v>
      </c>
      <c r="E1990">
        <v>1.12</v>
      </c>
      <c r="F1990">
        <v>0.07</v>
      </c>
      <c r="G1990" t="s">
        <v>1412</v>
      </c>
      <c r="H1990">
        <v>652</v>
      </c>
      <c r="I1990">
        <v>6.31</v>
      </c>
      <c r="J1990">
        <v>6.32</v>
      </c>
      <c r="K1990" t="s">
        <v>11213</v>
      </c>
      <c r="L1990">
        <v>1.08</v>
      </c>
      <c r="M1990" t="s">
        <v>46</v>
      </c>
      <c r="N1990" t="s">
        <v>11214</v>
      </c>
      <c r="O1990">
        <v>6.35</v>
      </c>
      <c r="P1990">
        <v>6.22</v>
      </c>
      <c r="Q1990">
        <v>6.27</v>
      </c>
      <c r="R1990">
        <v>6.25</v>
      </c>
      <c r="S1990">
        <v>2.08</v>
      </c>
      <c r="T1990">
        <v>1.17</v>
      </c>
      <c r="U1990">
        <v>-16.95</v>
      </c>
      <c r="V1990">
        <v>-1408</v>
      </c>
      <c r="W1990">
        <v>6.3</v>
      </c>
      <c r="X1990" t="s">
        <v>6257</v>
      </c>
      <c r="Y1990" t="s">
        <v>881</v>
      </c>
      <c r="Z1990">
        <v>0.45</v>
      </c>
      <c r="AA1990">
        <v>422</v>
      </c>
      <c r="AB1990">
        <v>65</v>
      </c>
      <c r="AC1990">
        <v>0.76</v>
      </c>
      <c r="AD1990" t="s">
        <v>11215</v>
      </c>
      <c r="AE1990" t="s">
        <v>11216</v>
      </c>
      <c r="AF1990" t="s">
        <v>672</v>
      </c>
      <c r="AG1990" t="s">
        <v>11217</v>
      </c>
      <c r="AH1990">
        <v>-1.25</v>
      </c>
      <c r="AI1990">
        <v>-1.25</v>
      </c>
      <c r="AJ1990">
        <v>3.04</v>
      </c>
      <c r="AK1990">
        <v>5.66</v>
      </c>
      <c r="AL1990">
        <v>1</v>
      </c>
      <c r="AM1990">
        <v>1.12</v>
      </c>
      <c r="AN1990">
        <v>9.34</v>
      </c>
      <c r="AO1990">
        <v>-0.32</v>
      </c>
      <c r="AP1990">
        <v>3.44</v>
      </c>
    </row>
    <row r="1991" spans="1:42">
      <c r="A1991">
        <v>1990</v>
      </c>
      <c r="B1991" t="str">
        <f>"600528"</f>
        <v>600528</v>
      </c>
      <c r="C1991" t="s">
        <v>11218</v>
      </c>
      <c r="D1991">
        <v>7.65</v>
      </c>
      <c r="E1991">
        <v>0.92</v>
      </c>
      <c r="F1991">
        <v>0.07</v>
      </c>
      <c r="G1991" t="s">
        <v>1986</v>
      </c>
      <c r="H1991">
        <v>794</v>
      </c>
      <c r="I1991">
        <v>7.64</v>
      </c>
      <c r="J1991">
        <v>7.65</v>
      </c>
      <c r="K1991" t="s">
        <v>11219</v>
      </c>
      <c r="L1991">
        <v>0.56</v>
      </c>
      <c r="M1991" t="s">
        <v>46</v>
      </c>
      <c r="N1991" t="s">
        <v>1864</v>
      </c>
      <c r="O1991">
        <v>7.68</v>
      </c>
      <c r="P1991">
        <v>7.54</v>
      </c>
      <c r="Q1991">
        <v>7.57</v>
      </c>
      <c r="R1991">
        <v>7.58</v>
      </c>
      <c r="S1991">
        <v>1.85</v>
      </c>
      <c r="T1991">
        <v>1.17</v>
      </c>
      <c r="U1991">
        <v>-23.45</v>
      </c>
      <c r="V1991">
        <v>-2431</v>
      </c>
      <c r="W1991">
        <v>7.63</v>
      </c>
      <c r="X1991" t="s">
        <v>525</v>
      </c>
      <c r="Y1991" t="s">
        <v>1721</v>
      </c>
      <c r="Z1991">
        <v>0.87</v>
      </c>
      <c r="AA1991">
        <v>1989</v>
      </c>
      <c r="AB1991">
        <v>64</v>
      </c>
      <c r="AC1991">
        <v>0.76</v>
      </c>
      <c r="AD1991" t="s">
        <v>9140</v>
      </c>
      <c r="AE1991" t="s">
        <v>4478</v>
      </c>
      <c r="AF1991" t="s">
        <v>9140</v>
      </c>
      <c r="AG1991" t="s">
        <v>4478</v>
      </c>
      <c r="AH1991">
        <v>0.13</v>
      </c>
      <c r="AI1991">
        <v>-1.16</v>
      </c>
      <c r="AJ1991">
        <v>1.38</v>
      </c>
      <c r="AK1991">
        <v>2.97</v>
      </c>
      <c r="AL1991">
        <v>2</v>
      </c>
      <c r="AM1991">
        <v>0.92</v>
      </c>
      <c r="AN1991">
        <v>2.27</v>
      </c>
      <c r="AO1991">
        <v>-2.67</v>
      </c>
      <c r="AP1991">
        <v>-1.92</v>
      </c>
    </row>
    <row r="1992" spans="1:42">
      <c r="A1992">
        <v>1991</v>
      </c>
      <c r="B1992" t="str">
        <f>"301398"</f>
        <v>301398</v>
      </c>
      <c r="C1992" t="s">
        <v>11220</v>
      </c>
      <c r="D1992">
        <v>53.88</v>
      </c>
      <c r="E1992">
        <v>-1.93</v>
      </c>
      <c r="F1992">
        <v>-1.06</v>
      </c>
      <c r="G1992" t="s">
        <v>60</v>
      </c>
      <c r="H1992">
        <v>211</v>
      </c>
      <c r="I1992">
        <v>53.87</v>
      </c>
      <c r="J1992">
        <v>53.88</v>
      </c>
      <c r="K1992" t="s">
        <v>11221</v>
      </c>
      <c r="L1992">
        <v>9.21</v>
      </c>
      <c r="M1992" t="s">
        <v>46</v>
      </c>
      <c r="N1992" t="s">
        <v>5707</v>
      </c>
      <c r="O1992">
        <v>54.81</v>
      </c>
      <c r="P1992">
        <v>53.17</v>
      </c>
      <c r="Q1992">
        <v>54.81</v>
      </c>
      <c r="R1992">
        <v>54.94</v>
      </c>
      <c r="S1992">
        <v>2.99</v>
      </c>
      <c r="T1992">
        <v>0.95</v>
      </c>
      <c r="U1992">
        <v>68.26</v>
      </c>
      <c r="V1992">
        <v>641</v>
      </c>
      <c r="W1992">
        <v>53.59</v>
      </c>
      <c r="X1992">
        <v>8622</v>
      </c>
      <c r="Y1992">
        <v>9202</v>
      </c>
      <c r="Z1992">
        <v>0.94</v>
      </c>
      <c r="AA1992">
        <v>337</v>
      </c>
      <c r="AB1992">
        <v>43</v>
      </c>
      <c r="AC1992">
        <v>4.18</v>
      </c>
      <c r="AD1992" t="s">
        <v>3612</v>
      </c>
      <c r="AE1992" t="s">
        <v>7007</v>
      </c>
      <c r="AF1992" t="s">
        <v>11222</v>
      </c>
      <c r="AG1992" t="s">
        <v>9008</v>
      </c>
      <c r="AH1992">
        <v>-7.53</v>
      </c>
      <c r="AI1992">
        <v>-8.09</v>
      </c>
      <c r="AJ1992">
        <v>31.34</v>
      </c>
      <c r="AK1992">
        <v>57.57</v>
      </c>
      <c r="AL1992">
        <v>-3</v>
      </c>
      <c r="AM1992">
        <v>-1.93</v>
      </c>
      <c r="AN1992">
        <v>74.76</v>
      </c>
      <c r="AO1992">
        <v>3.08</v>
      </c>
      <c r="AP1992">
        <v>58.05</v>
      </c>
    </row>
    <row r="1993" spans="1:42">
      <c r="A1993">
        <v>1992</v>
      </c>
      <c r="B1993" t="str">
        <f>"002249"</f>
        <v>002249</v>
      </c>
      <c r="C1993" t="s">
        <v>11223</v>
      </c>
      <c r="D1993">
        <v>5.07</v>
      </c>
      <c r="E1993">
        <v>-0.39</v>
      </c>
      <c r="F1993">
        <v>-0.02</v>
      </c>
      <c r="G1993" t="s">
        <v>3785</v>
      </c>
      <c r="H1993">
        <v>1173</v>
      </c>
      <c r="I1993">
        <v>5.07</v>
      </c>
      <c r="J1993">
        <v>5.08</v>
      </c>
      <c r="K1993" t="s">
        <v>11224</v>
      </c>
      <c r="L1993">
        <v>1.05</v>
      </c>
      <c r="M1993" t="s">
        <v>46</v>
      </c>
      <c r="N1993" t="s">
        <v>10678</v>
      </c>
      <c r="O1993">
        <v>5.12</v>
      </c>
      <c r="P1993">
        <v>5.04</v>
      </c>
      <c r="Q1993">
        <v>5.08</v>
      </c>
      <c r="R1993">
        <v>5.09</v>
      </c>
      <c r="S1993">
        <v>1.57</v>
      </c>
      <c r="T1993">
        <v>0.92</v>
      </c>
      <c r="U1993">
        <v>10.27</v>
      </c>
      <c r="V1993">
        <v>2530</v>
      </c>
      <c r="W1993">
        <v>5.07</v>
      </c>
      <c r="X1993" t="s">
        <v>3402</v>
      </c>
      <c r="Y1993" t="s">
        <v>2781</v>
      </c>
      <c r="Z1993">
        <v>1.21</v>
      </c>
      <c r="AA1993">
        <v>339</v>
      </c>
      <c r="AB1993">
        <v>4127</v>
      </c>
      <c r="AC1993">
        <v>1.39</v>
      </c>
      <c r="AD1993" t="s">
        <v>11225</v>
      </c>
      <c r="AE1993" t="s">
        <v>11226</v>
      </c>
      <c r="AF1993" t="s">
        <v>5318</v>
      </c>
      <c r="AG1993" t="s">
        <v>11227</v>
      </c>
      <c r="AH1993">
        <v>-2.31</v>
      </c>
      <c r="AI1993">
        <v>-2.87</v>
      </c>
      <c r="AJ1993">
        <v>2.94</v>
      </c>
      <c r="AK1993">
        <v>6.83</v>
      </c>
      <c r="AL1993">
        <v>-3</v>
      </c>
      <c r="AM1993">
        <v>-0.39</v>
      </c>
      <c r="AN1993">
        <v>2.22</v>
      </c>
      <c r="AO1993">
        <v>-2.12</v>
      </c>
      <c r="AP1993">
        <v>-4.7</v>
      </c>
    </row>
    <row r="1994" spans="1:42">
      <c r="A1994">
        <v>1993</v>
      </c>
      <c r="B1994" t="str">
        <f>"002941"</f>
        <v>002941</v>
      </c>
      <c r="C1994" t="s">
        <v>11228</v>
      </c>
      <c r="D1994">
        <v>14.16</v>
      </c>
      <c r="E1994">
        <v>0.93</v>
      </c>
      <c r="F1994">
        <v>0.13</v>
      </c>
      <c r="G1994" t="s">
        <v>4833</v>
      </c>
      <c r="H1994">
        <v>1008</v>
      </c>
      <c r="I1994">
        <v>14.15</v>
      </c>
      <c r="J1994">
        <v>14.16</v>
      </c>
      <c r="K1994" t="s">
        <v>11229</v>
      </c>
      <c r="L1994">
        <v>1.06</v>
      </c>
      <c r="M1994" t="s">
        <v>46</v>
      </c>
      <c r="N1994" t="s">
        <v>11230</v>
      </c>
      <c r="O1994">
        <v>14.18</v>
      </c>
      <c r="P1994">
        <v>13.93</v>
      </c>
      <c r="Q1994">
        <v>14.06</v>
      </c>
      <c r="R1994">
        <v>14.03</v>
      </c>
      <c r="S1994">
        <v>1.78</v>
      </c>
      <c r="T1994">
        <v>0.92</v>
      </c>
      <c r="U1994">
        <v>-43.24</v>
      </c>
      <c r="V1994">
        <v>-2266</v>
      </c>
      <c r="W1994">
        <v>14.07</v>
      </c>
      <c r="X1994" t="s">
        <v>6431</v>
      </c>
      <c r="Y1994" t="s">
        <v>4148</v>
      </c>
      <c r="Z1994">
        <v>0.9</v>
      </c>
      <c r="AA1994">
        <v>443</v>
      </c>
      <c r="AB1994">
        <v>298</v>
      </c>
      <c r="AC1994">
        <v>2.97</v>
      </c>
      <c r="AD1994" t="s">
        <v>11231</v>
      </c>
      <c r="AE1994" t="s">
        <v>11232</v>
      </c>
      <c r="AF1994" t="s">
        <v>6628</v>
      </c>
      <c r="AG1994" t="s">
        <v>11233</v>
      </c>
      <c r="AH1994">
        <v>-0.07</v>
      </c>
      <c r="AI1994">
        <v>-3.21</v>
      </c>
      <c r="AJ1994">
        <v>3.4</v>
      </c>
      <c r="AK1994">
        <v>6.81</v>
      </c>
      <c r="AL1994">
        <v>2</v>
      </c>
      <c r="AM1994">
        <v>0.93</v>
      </c>
      <c r="AN1994">
        <v>16.26</v>
      </c>
      <c r="AO1994">
        <v>-6.04</v>
      </c>
      <c r="AP1994">
        <v>5.36</v>
      </c>
    </row>
    <row r="1995" spans="1:42">
      <c r="A1995">
        <v>1994</v>
      </c>
      <c r="B1995" t="str">
        <f>"002768"</f>
        <v>002768</v>
      </c>
      <c r="C1995" t="s">
        <v>11234</v>
      </c>
      <c r="D1995">
        <v>21.16</v>
      </c>
      <c r="E1995">
        <v>-1.31</v>
      </c>
      <c r="F1995">
        <v>-0.28</v>
      </c>
      <c r="G1995" t="s">
        <v>11158</v>
      </c>
      <c r="H1995">
        <v>201</v>
      </c>
      <c r="I1995">
        <v>21.16</v>
      </c>
      <c r="J1995">
        <v>21.17</v>
      </c>
      <c r="K1995" t="s">
        <v>11235</v>
      </c>
      <c r="L1995">
        <v>2.56</v>
      </c>
      <c r="M1995" t="s">
        <v>46</v>
      </c>
      <c r="N1995" t="s">
        <v>7805</v>
      </c>
      <c r="O1995">
        <v>21.36</v>
      </c>
      <c r="P1995">
        <v>20.54</v>
      </c>
      <c r="Q1995">
        <v>21.2</v>
      </c>
      <c r="R1995">
        <v>21.44</v>
      </c>
      <c r="S1995">
        <v>3.82</v>
      </c>
      <c r="T1995">
        <v>2.47</v>
      </c>
      <c r="U1995">
        <v>55.4</v>
      </c>
      <c r="V1995">
        <v>323</v>
      </c>
      <c r="W1995">
        <v>21.05</v>
      </c>
      <c r="X1995" t="s">
        <v>314</v>
      </c>
      <c r="Y1995" t="s">
        <v>6827</v>
      </c>
      <c r="Z1995">
        <v>1.07</v>
      </c>
      <c r="AA1995">
        <v>34</v>
      </c>
      <c r="AB1995">
        <v>76</v>
      </c>
      <c r="AC1995">
        <v>1.31</v>
      </c>
      <c r="AD1995" t="s">
        <v>11236</v>
      </c>
      <c r="AE1995" t="s">
        <v>11237</v>
      </c>
      <c r="AF1995" t="s">
        <v>11238</v>
      </c>
      <c r="AG1995" t="s">
        <v>9339</v>
      </c>
      <c r="AH1995">
        <v>-2.13</v>
      </c>
      <c r="AI1995">
        <v>-2.04</v>
      </c>
      <c r="AJ1995">
        <v>5.42</v>
      </c>
      <c r="AK1995">
        <v>7.73</v>
      </c>
      <c r="AL1995">
        <v>-1</v>
      </c>
      <c r="AM1995">
        <v>-1.31</v>
      </c>
      <c r="AN1995">
        <v>-26.45</v>
      </c>
      <c r="AO1995">
        <v>-0.14</v>
      </c>
      <c r="AP1995">
        <v>-24.1</v>
      </c>
    </row>
    <row r="1996" spans="1:42">
      <c r="A1996">
        <v>1995</v>
      </c>
      <c r="B1996" t="str">
        <f>"301489"</f>
        <v>301489</v>
      </c>
      <c r="C1996" t="s">
        <v>11239</v>
      </c>
      <c r="D1996">
        <v>73.01</v>
      </c>
      <c r="E1996">
        <v>0.29</v>
      </c>
      <c r="F1996">
        <v>0.21</v>
      </c>
      <c r="G1996" t="s">
        <v>1170</v>
      </c>
      <c r="H1996">
        <v>229</v>
      </c>
      <c r="I1996">
        <v>73</v>
      </c>
      <c r="J1996">
        <v>73.02</v>
      </c>
      <c r="K1996" t="s">
        <v>11240</v>
      </c>
      <c r="L1996">
        <v>9.58</v>
      </c>
      <c r="M1996" t="s">
        <v>46</v>
      </c>
      <c r="N1996" t="s">
        <v>4450</v>
      </c>
      <c r="O1996">
        <v>73.79</v>
      </c>
      <c r="P1996">
        <v>71.15</v>
      </c>
      <c r="Q1996">
        <v>72.81</v>
      </c>
      <c r="R1996">
        <v>72.8</v>
      </c>
      <c r="S1996">
        <v>3.63</v>
      </c>
      <c r="T1996">
        <v>0.67</v>
      </c>
      <c r="U1996">
        <v>-63.89</v>
      </c>
      <c r="V1996">
        <v>-129</v>
      </c>
      <c r="W1996">
        <v>72.61</v>
      </c>
      <c r="X1996">
        <v>6608</v>
      </c>
      <c r="Y1996">
        <v>6486</v>
      </c>
      <c r="Z1996">
        <v>1.02</v>
      </c>
      <c r="AA1996">
        <v>5</v>
      </c>
      <c r="AB1996">
        <v>13</v>
      </c>
      <c r="AC1996">
        <v>4.3</v>
      </c>
      <c r="AD1996" t="s">
        <v>11241</v>
      </c>
      <c r="AE1996" t="s">
        <v>11242</v>
      </c>
      <c r="AF1996" t="s">
        <v>11243</v>
      </c>
      <c r="AG1996" t="s">
        <v>11244</v>
      </c>
      <c r="AH1996">
        <v>-7.66</v>
      </c>
      <c r="AI1996">
        <v>-5.72</v>
      </c>
      <c r="AJ1996">
        <v>37.89</v>
      </c>
      <c r="AK1996">
        <v>80.96</v>
      </c>
      <c r="AL1996">
        <v>1</v>
      </c>
      <c r="AM1996">
        <v>0.29</v>
      </c>
      <c r="AN1996">
        <v>75.25</v>
      </c>
      <c r="AO1996">
        <v>9.56</v>
      </c>
      <c r="AP1996">
        <v>75.25</v>
      </c>
    </row>
    <row r="1997" spans="1:42">
      <c r="A1997">
        <v>1996</v>
      </c>
      <c r="B1997" t="str">
        <f>"688719"</f>
        <v>688719</v>
      </c>
      <c r="C1997" t="s">
        <v>11245</v>
      </c>
      <c r="D1997">
        <v>69.73</v>
      </c>
      <c r="E1997">
        <v>0.77</v>
      </c>
      <c r="F1997">
        <v>0.53</v>
      </c>
      <c r="G1997" t="s">
        <v>4525</v>
      </c>
      <c r="H1997">
        <v>131</v>
      </c>
      <c r="I1997">
        <v>69.73</v>
      </c>
      <c r="J1997">
        <v>69.78</v>
      </c>
      <c r="K1997" t="s">
        <v>11240</v>
      </c>
      <c r="L1997">
        <v>7.61</v>
      </c>
      <c r="M1997" t="s">
        <v>46</v>
      </c>
      <c r="N1997" t="s">
        <v>2665</v>
      </c>
      <c r="O1997">
        <v>70.28</v>
      </c>
      <c r="P1997">
        <v>67.5</v>
      </c>
      <c r="Q1997">
        <v>69.3</v>
      </c>
      <c r="R1997">
        <v>69.2</v>
      </c>
      <c r="S1997">
        <v>4.02</v>
      </c>
      <c r="T1997">
        <v>0.7</v>
      </c>
      <c r="U1997">
        <v>50.85</v>
      </c>
      <c r="V1997">
        <v>147</v>
      </c>
      <c r="W1997">
        <v>68.88</v>
      </c>
      <c r="X1997">
        <v>7434</v>
      </c>
      <c r="Y1997">
        <v>6369</v>
      </c>
      <c r="Z1997">
        <v>1.17</v>
      </c>
      <c r="AA1997">
        <v>5</v>
      </c>
      <c r="AB1997">
        <v>5</v>
      </c>
      <c r="AC1997">
        <v>3.23</v>
      </c>
      <c r="AD1997" t="s">
        <v>11246</v>
      </c>
      <c r="AE1997" t="s">
        <v>11247</v>
      </c>
      <c r="AF1997" t="s">
        <v>11248</v>
      </c>
      <c r="AG1997" t="s">
        <v>6268</v>
      </c>
      <c r="AH1997">
        <v>-4.68</v>
      </c>
      <c r="AI1997">
        <v>5.81</v>
      </c>
      <c r="AJ1997">
        <v>30.68</v>
      </c>
      <c r="AK1997">
        <v>61.82</v>
      </c>
      <c r="AL1997">
        <v>1</v>
      </c>
      <c r="AM1997">
        <v>0.77</v>
      </c>
      <c r="AN1997">
        <v>-0.36</v>
      </c>
      <c r="AO1997">
        <v>3.04</v>
      </c>
      <c r="AP1997">
        <v>-0.36</v>
      </c>
    </row>
    <row r="1998" spans="1:42">
      <c r="A1998">
        <v>1997</v>
      </c>
      <c r="B1998" t="str">
        <f>"688062"</f>
        <v>688062</v>
      </c>
      <c r="C1998" t="s">
        <v>11249</v>
      </c>
      <c r="D1998">
        <v>29.82</v>
      </c>
      <c r="E1998">
        <v>1.19</v>
      </c>
      <c r="F1998">
        <v>0.35</v>
      </c>
      <c r="G1998" t="s">
        <v>7966</v>
      </c>
      <c r="H1998">
        <v>159</v>
      </c>
      <c r="I1998">
        <v>29.82</v>
      </c>
      <c r="J1998">
        <v>29.85</v>
      </c>
      <c r="K1998" t="s">
        <v>11250</v>
      </c>
      <c r="L1998">
        <v>1.57</v>
      </c>
      <c r="M1998" t="s">
        <v>46</v>
      </c>
      <c r="N1998" t="s">
        <v>11251</v>
      </c>
      <c r="O1998">
        <v>30.4</v>
      </c>
      <c r="P1998">
        <v>29.37</v>
      </c>
      <c r="Q1998">
        <v>29.7</v>
      </c>
      <c r="R1998">
        <v>29.47</v>
      </c>
      <c r="S1998">
        <v>3.5</v>
      </c>
      <c r="T1998">
        <v>0.85</v>
      </c>
      <c r="U1998">
        <v>26.28</v>
      </c>
      <c r="V1998">
        <v>20</v>
      </c>
      <c r="W1998">
        <v>29.88</v>
      </c>
      <c r="X1998" t="s">
        <v>61</v>
      </c>
      <c r="Y1998" t="s">
        <v>390</v>
      </c>
      <c r="Z1998">
        <v>0.91</v>
      </c>
      <c r="AA1998">
        <v>8</v>
      </c>
      <c r="AB1998">
        <v>10</v>
      </c>
      <c r="AC1998">
        <v>4.08</v>
      </c>
      <c r="AD1998" t="s">
        <v>528</v>
      </c>
      <c r="AE1998" t="s">
        <v>11252</v>
      </c>
      <c r="AF1998" t="s">
        <v>11253</v>
      </c>
      <c r="AG1998" t="s">
        <v>5298</v>
      </c>
      <c r="AH1998">
        <v>1.71</v>
      </c>
      <c r="AI1998">
        <v>8.16</v>
      </c>
      <c r="AJ1998">
        <v>3.96</v>
      </c>
      <c r="AK1998">
        <v>10.79</v>
      </c>
      <c r="AL1998">
        <v>1</v>
      </c>
      <c r="AM1998">
        <v>1.19</v>
      </c>
      <c r="AN1998">
        <v>106.37</v>
      </c>
      <c r="AO1998">
        <v>13.9</v>
      </c>
      <c r="AP1998">
        <v>88.14</v>
      </c>
    </row>
    <row r="1999" spans="1:42">
      <c r="A1999">
        <v>1998</v>
      </c>
      <c r="B1999" t="str">
        <f>"300682"</f>
        <v>300682</v>
      </c>
      <c r="C1999" t="s">
        <v>11254</v>
      </c>
      <c r="D1999">
        <v>17.29</v>
      </c>
      <c r="E1999">
        <v>1.53</v>
      </c>
      <c r="F1999">
        <v>0.26</v>
      </c>
      <c r="G1999" t="s">
        <v>1038</v>
      </c>
      <c r="H1999">
        <v>295</v>
      </c>
      <c r="I1999">
        <v>17.29</v>
      </c>
      <c r="J1999">
        <v>17.3</v>
      </c>
      <c r="K1999" t="s">
        <v>11255</v>
      </c>
      <c r="L1999">
        <v>0.52</v>
      </c>
      <c r="M1999" t="s">
        <v>46</v>
      </c>
      <c r="N1999" t="s">
        <v>4524</v>
      </c>
      <c r="O1999">
        <v>17.42</v>
      </c>
      <c r="P1999">
        <v>16.84</v>
      </c>
      <c r="Q1999">
        <v>16.99</v>
      </c>
      <c r="R1999">
        <v>17.03</v>
      </c>
      <c r="S1999">
        <v>3.41</v>
      </c>
      <c r="T1999">
        <v>1.01</v>
      </c>
      <c r="U1999">
        <v>-0.96</v>
      </c>
      <c r="V1999">
        <v>-10</v>
      </c>
      <c r="W1999">
        <v>17.12</v>
      </c>
      <c r="X1999" t="s">
        <v>914</v>
      </c>
      <c r="Y1999" t="s">
        <v>541</v>
      </c>
      <c r="Z1999">
        <v>0.92</v>
      </c>
      <c r="AA1999">
        <v>222</v>
      </c>
      <c r="AB1999">
        <v>11</v>
      </c>
      <c r="AC1999">
        <v>2.55</v>
      </c>
      <c r="AD1999" t="s">
        <v>996</v>
      </c>
      <c r="AE1999" t="s">
        <v>5522</v>
      </c>
      <c r="AF1999" t="s">
        <v>9393</v>
      </c>
      <c r="AG1999" t="s">
        <v>11256</v>
      </c>
      <c r="AH1999">
        <v>-1.09</v>
      </c>
      <c r="AI1999">
        <v>-4.74</v>
      </c>
      <c r="AJ1999">
        <v>1.51</v>
      </c>
      <c r="AK1999">
        <v>3.12</v>
      </c>
      <c r="AL1999">
        <v>1</v>
      </c>
      <c r="AM1999">
        <v>1.53</v>
      </c>
      <c r="AN1999">
        <v>-21.05</v>
      </c>
      <c r="AO1999">
        <v>-8.28</v>
      </c>
      <c r="AP1999">
        <v>-32.2</v>
      </c>
    </row>
    <row r="2000" spans="1:42">
      <c r="A2000">
        <v>1999</v>
      </c>
      <c r="B2000" t="str">
        <f>"603338"</f>
        <v>603338</v>
      </c>
      <c r="C2000" t="s">
        <v>11257</v>
      </c>
      <c r="D2000">
        <v>47.88</v>
      </c>
      <c r="E2000">
        <v>-1.48</v>
      </c>
      <c r="F2000">
        <v>-0.72</v>
      </c>
      <c r="G2000" t="s">
        <v>2924</v>
      </c>
      <c r="H2000">
        <v>340</v>
      </c>
      <c r="I2000">
        <v>47.87</v>
      </c>
      <c r="J2000">
        <v>47.88</v>
      </c>
      <c r="K2000" t="s">
        <v>11255</v>
      </c>
      <c r="L2000">
        <v>0.39</v>
      </c>
      <c r="M2000" t="s">
        <v>46</v>
      </c>
      <c r="N2000" t="s">
        <v>11258</v>
      </c>
      <c r="O2000">
        <v>48.65</v>
      </c>
      <c r="P2000">
        <v>47.8</v>
      </c>
      <c r="Q2000">
        <v>48.3</v>
      </c>
      <c r="R2000">
        <v>48.6</v>
      </c>
      <c r="S2000">
        <v>1.75</v>
      </c>
      <c r="T2000">
        <v>1.02</v>
      </c>
      <c r="U2000">
        <v>-83.71</v>
      </c>
      <c r="V2000">
        <v>-1079</v>
      </c>
      <c r="W2000">
        <v>48.09</v>
      </c>
      <c r="X2000" t="s">
        <v>2147</v>
      </c>
      <c r="Y2000">
        <v>8993</v>
      </c>
      <c r="Z2000">
        <v>1.19</v>
      </c>
      <c r="AA2000">
        <v>4</v>
      </c>
      <c r="AB2000">
        <v>1142</v>
      </c>
      <c r="AC2000">
        <v>2.99</v>
      </c>
      <c r="AD2000" t="s">
        <v>11259</v>
      </c>
      <c r="AE2000" t="s">
        <v>11260</v>
      </c>
      <c r="AF2000" t="s">
        <v>11259</v>
      </c>
      <c r="AG2000" t="s">
        <v>11260</v>
      </c>
      <c r="AH2000">
        <v>-2.11</v>
      </c>
      <c r="AI2000">
        <v>-2.31</v>
      </c>
      <c r="AJ2000">
        <v>1.19</v>
      </c>
      <c r="AK2000">
        <v>2.31</v>
      </c>
      <c r="AL2000">
        <v>-1</v>
      </c>
      <c r="AM2000">
        <v>-1.48</v>
      </c>
      <c r="AN2000">
        <v>1.12</v>
      </c>
      <c r="AO2000">
        <v>-12.71</v>
      </c>
      <c r="AP2000">
        <v>-5.71</v>
      </c>
    </row>
    <row r="2001" spans="1:42">
      <c r="A2001">
        <v>2000</v>
      </c>
      <c r="B2001" t="str">
        <f>"688418"</f>
        <v>688418</v>
      </c>
      <c r="C2001" t="s">
        <v>11261</v>
      </c>
      <c r="D2001">
        <v>21.44</v>
      </c>
      <c r="E2001">
        <v>1.61</v>
      </c>
      <c r="F2001">
        <v>0.34</v>
      </c>
      <c r="G2001" t="s">
        <v>3290</v>
      </c>
      <c r="H2001">
        <v>739</v>
      </c>
      <c r="I2001">
        <v>21.44</v>
      </c>
      <c r="J2001">
        <v>21.45</v>
      </c>
      <c r="K2001" t="s">
        <v>11262</v>
      </c>
      <c r="L2001">
        <v>3.36</v>
      </c>
      <c r="M2001" t="s">
        <v>46</v>
      </c>
      <c r="N2001" t="s">
        <v>4496</v>
      </c>
      <c r="O2001">
        <v>21.69</v>
      </c>
      <c r="P2001">
        <v>20.99</v>
      </c>
      <c r="Q2001">
        <v>21.02</v>
      </c>
      <c r="R2001">
        <v>21.1</v>
      </c>
      <c r="S2001">
        <v>3.32</v>
      </c>
      <c r="T2001">
        <v>0.82</v>
      </c>
      <c r="U2001">
        <v>4.14</v>
      </c>
      <c r="V2001">
        <v>22</v>
      </c>
      <c r="W2001">
        <v>21.3</v>
      </c>
      <c r="X2001" t="s">
        <v>7210</v>
      </c>
      <c r="Y2001" t="s">
        <v>314</v>
      </c>
      <c r="Z2001">
        <v>0.91</v>
      </c>
      <c r="AA2001">
        <v>86</v>
      </c>
      <c r="AB2001">
        <v>78</v>
      </c>
      <c r="AC2001">
        <v>4.72</v>
      </c>
      <c r="AD2001" t="s">
        <v>11263</v>
      </c>
      <c r="AE2001" t="s">
        <v>11264</v>
      </c>
      <c r="AF2001" t="s">
        <v>11265</v>
      </c>
      <c r="AG2001" t="s">
        <v>10022</v>
      </c>
      <c r="AH2001">
        <v>-0.28</v>
      </c>
      <c r="AI2001">
        <v>-2.55</v>
      </c>
      <c r="AJ2001">
        <v>10.65</v>
      </c>
      <c r="AK2001">
        <v>23.86</v>
      </c>
      <c r="AL2001">
        <v>1</v>
      </c>
      <c r="AM2001">
        <v>1.61</v>
      </c>
      <c r="AN2001">
        <v>84.35</v>
      </c>
      <c r="AO2001">
        <v>2.1</v>
      </c>
      <c r="AP2001">
        <v>86.27</v>
      </c>
    </row>
    <row r="2002" spans="1:42">
      <c r="A2002">
        <v>2001</v>
      </c>
      <c r="B2002" t="str">
        <f>"300009"</f>
        <v>300009</v>
      </c>
      <c r="C2002" t="s">
        <v>11266</v>
      </c>
      <c r="D2002">
        <v>10.67</v>
      </c>
      <c r="E2002">
        <v>-0.09</v>
      </c>
      <c r="F2002">
        <v>-0.01</v>
      </c>
      <c r="G2002" t="s">
        <v>4295</v>
      </c>
      <c r="H2002">
        <v>394</v>
      </c>
      <c r="I2002">
        <v>10.66</v>
      </c>
      <c r="J2002">
        <v>10.67</v>
      </c>
      <c r="K2002" t="s">
        <v>11267</v>
      </c>
      <c r="L2002">
        <v>0.73</v>
      </c>
      <c r="M2002" t="s">
        <v>46</v>
      </c>
      <c r="N2002" t="s">
        <v>2596</v>
      </c>
      <c r="O2002">
        <v>10.79</v>
      </c>
      <c r="P2002">
        <v>10.62</v>
      </c>
      <c r="Q2002">
        <v>10.69</v>
      </c>
      <c r="R2002">
        <v>10.68</v>
      </c>
      <c r="S2002">
        <v>1.59</v>
      </c>
      <c r="T2002">
        <v>0.94</v>
      </c>
      <c r="U2002">
        <v>-3.65</v>
      </c>
      <c r="V2002">
        <v>-253</v>
      </c>
      <c r="W2002">
        <v>10.69</v>
      </c>
      <c r="X2002" t="s">
        <v>4053</v>
      </c>
      <c r="Y2002" t="s">
        <v>2752</v>
      </c>
      <c r="Z2002">
        <v>1.17</v>
      </c>
      <c r="AA2002">
        <v>27</v>
      </c>
      <c r="AB2002">
        <v>1236</v>
      </c>
      <c r="AC2002">
        <v>5.05</v>
      </c>
      <c r="AD2002" t="s">
        <v>11268</v>
      </c>
      <c r="AE2002" t="s">
        <v>11269</v>
      </c>
      <c r="AF2002" t="s">
        <v>1322</v>
      </c>
      <c r="AG2002" t="s">
        <v>10081</v>
      </c>
      <c r="AH2002">
        <v>-0.09</v>
      </c>
      <c r="AI2002">
        <v>0</v>
      </c>
      <c r="AJ2002">
        <v>2.11</v>
      </c>
      <c r="AK2002">
        <v>4.6</v>
      </c>
      <c r="AL2002">
        <v>-1</v>
      </c>
      <c r="AM2002">
        <v>-0.09</v>
      </c>
      <c r="AN2002">
        <v>17.12</v>
      </c>
      <c r="AO2002">
        <v>2.11</v>
      </c>
      <c r="AP2002">
        <v>5.85</v>
      </c>
    </row>
    <row r="2003" spans="1:42">
      <c r="A2003">
        <v>2002</v>
      </c>
      <c r="B2003" t="str">
        <f>"600151"</f>
        <v>600151</v>
      </c>
      <c r="C2003" t="s">
        <v>11270</v>
      </c>
      <c r="D2003">
        <v>6.94</v>
      </c>
      <c r="E2003">
        <v>0.29</v>
      </c>
      <c r="F2003">
        <v>0.02</v>
      </c>
      <c r="G2003" t="s">
        <v>784</v>
      </c>
      <c r="H2003">
        <v>3427</v>
      </c>
      <c r="I2003">
        <v>6.93</v>
      </c>
      <c r="J2003">
        <v>6.94</v>
      </c>
      <c r="K2003" t="s">
        <v>11271</v>
      </c>
      <c r="L2003">
        <v>0.96</v>
      </c>
      <c r="M2003" t="s">
        <v>46</v>
      </c>
      <c r="N2003" t="s">
        <v>11272</v>
      </c>
      <c r="O2003">
        <v>6.94</v>
      </c>
      <c r="P2003">
        <v>6.79</v>
      </c>
      <c r="Q2003">
        <v>6.89</v>
      </c>
      <c r="R2003">
        <v>6.92</v>
      </c>
      <c r="S2003">
        <v>2.17</v>
      </c>
      <c r="T2003">
        <v>0.51</v>
      </c>
      <c r="U2003">
        <v>18.06</v>
      </c>
      <c r="V2003">
        <v>1310</v>
      </c>
      <c r="W2003">
        <v>6.87</v>
      </c>
      <c r="X2003" t="s">
        <v>7434</v>
      </c>
      <c r="Y2003" t="s">
        <v>3040</v>
      </c>
      <c r="Z2003">
        <v>1.46</v>
      </c>
      <c r="AA2003">
        <v>749</v>
      </c>
      <c r="AB2003">
        <v>722</v>
      </c>
      <c r="AC2003">
        <v>1.85</v>
      </c>
      <c r="AD2003" t="s">
        <v>11273</v>
      </c>
      <c r="AE2003" t="s">
        <v>11274</v>
      </c>
      <c r="AF2003" t="s">
        <v>11273</v>
      </c>
      <c r="AG2003" t="s">
        <v>11274</v>
      </c>
      <c r="AH2003">
        <v>-5.58</v>
      </c>
      <c r="AI2003">
        <v>1.02</v>
      </c>
      <c r="AJ2003">
        <v>5.2</v>
      </c>
      <c r="AK2003">
        <v>10.32</v>
      </c>
      <c r="AL2003">
        <v>1</v>
      </c>
      <c r="AM2003">
        <v>0.29</v>
      </c>
      <c r="AN2003">
        <v>-14.85</v>
      </c>
      <c r="AO2003">
        <v>1.61</v>
      </c>
      <c r="AP2003">
        <v>-26.25</v>
      </c>
    </row>
    <row r="2004" spans="1:42">
      <c r="A2004">
        <v>2003</v>
      </c>
      <c r="B2004" t="str">
        <f>"688220"</f>
        <v>688220</v>
      </c>
      <c r="C2004" t="s">
        <v>11275</v>
      </c>
      <c r="D2004">
        <v>66.2</v>
      </c>
      <c r="E2004">
        <v>-1.15</v>
      </c>
      <c r="F2004">
        <v>-0.77</v>
      </c>
      <c r="G2004" t="s">
        <v>5900</v>
      </c>
      <c r="H2004">
        <v>173</v>
      </c>
      <c r="I2004">
        <v>66.2</v>
      </c>
      <c r="J2004">
        <v>66.24</v>
      </c>
      <c r="K2004" t="s">
        <v>11276</v>
      </c>
      <c r="L2004">
        <v>0.64</v>
      </c>
      <c r="M2004" t="s">
        <v>46</v>
      </c>
      <c r="N2004" t="s">
        <v>4278</v>
      </c>
      <c r="O2004">
        <v>66.97</v>
      </c>
      <c r="P2004">
        <v>65.5</v>
      </c>
      <c r="Q2004">
        <v>66.97</v>
      </c>
      <c r="R2004">
        <v>66.97</v>
      </c>
      <c r="S2004">
        <v>2.2</v>
      </c>
      <c r="T2004">
        <v>0.81</v>
      </c>
      <c r="U2004">
        <v>60.2</v>
      </c>
      <c r="V2004">
        <v>57</v>
      </c>
      <c r="W2004">
        <v>66.11</v>
      </c>
      <c r="X2004">
        <v>8022</v>
      </c>
      <c r="Y2004">
        <v>6303</v>
      </c>
      <c r="Z2004">
        <v>1.27</v>
      </c>
      <c r="AA2004">
        <v>30</v>
      </c>
      <c r="AB2004">
        <v>3</v>
      </c>
      <c r="AC2004">
        <v>4.27</v>
      </c>
      <c r="AD2004" t="s">
        <v>11277</v>
      </c>
      <c r="AE2004" t="s">
        <v>11278</v>
      </c>
      <c r="AF2004" t="s">
        <v>11279</v>
      </c>
      <c r="AG2004" t="s">
        <v>11280</v>
      </c>
      <c r="AH2004">
        <v>-3.77</v>
      </c>
      <c r="AI2004">
        <v>-0.85</v>
      </c>
      <c r="AJ2004">
        <v>1.85</v>
      </c>
      <c r="AK2004">
        <v>4.6</v>
      </c>
      <c r="AL2004">
        <v>-3</v>
      </c>
      <c r="AM2004">
        <v>-1.15</v>
      </c>
      <c r="AN2004">
        <v>9.08</v>
      </c>
      <c r="AO2004">
        <v>-5.02</v>
      </c>
      <c r="AP2004">
        <v>-3.9</v>
      </c>
    </row>
    <row r="2005" spans="1:42">
      <c r="A2005">
        <v>2004</v>
      </c>
      <c r="B2005" t="str">
        <f>"000513"</f>
        <v>000513</v>
      </c>
      <c r="C2005" t="s">
        <v>11281</v>
      </c>
      <c r="D2005">
        <v>34.8</v>
      </c>
      <c r="E2005">
        <v>-0.63</v>
      </c>
      <c r="F2005">
        <v>-0.22</v>
      </c>
      <c r="G2005" t="s">
        <v>6675</v>
      </c>
      <c r="H2005">
        <v>307</v>
      </c>
      <c r="I2005">
        <v>34.8</v>
      </c>
      <c r="J2005">
        <v>34.83</v>
      </c>
      <c r="K2005" t="s">
        <v>11282</v>
      </c>
      <c r="L2005">
        <v>0.45</v>
      </c>
      <c r="M2005" t="s">
        <v>46</v>
      </c>
      <c r="N2005" t="s">
        <v>4406</v>
      </c>
      <c r="O2005">
        <v>35.03</v>
      </c>
      <c r="P2005">
        <v>34.53</v>
      </c>
      <c r="Q2005">
        <v>35.03</v>
      </c>
      <c r="R2005">
        <v>35.02</v>
      </c>
      <c r="S2005">
        <v>1.43</v>
      </c>
      <c r="T2005">
        <v>0.78</v>
      </c>
      <c r="U2005">
        <v>-30.05</v>
      </c>
      <c r="V2005">
        <v>-73</v>
      </c>
      <c r="W2005">
        <v>34.76</v>
      </c>
      <c r="X2005" t="s">
        <v>2371</v>
      </c>
      <c r="Y2005" t="s">
        <v>1052</v>
      </c>
      <c r="Z2005">
        <v>1.24</v>
      </c>
      <c r="AA2005">
        <v>10</v>
      </c>
      <c r="AB2005">
        <v>3</v>
      </c>
      <c r="AC2005">
        <v>2.39</v>
      </c>
      <c r="AD2005" t="s">
        <v>11283</v>
      </c>
      <c r="AE2005" t="s">
        <v>11284</v>
      </c>
      <c r="AF2005" t="s">
        <v>11285</v>
      </c>
      <c r="AG2005" t="s">
        <v>11286</v>
      </c>
      <c r="AH2005">
        <v>-0.34</v>
      </c>
      <c r="AI2005">
        <v>0.64</v>
      </c>
      <c r="AJ2005">
        <v>1.53</v>
      </c>
      <c r="AK2005">
        <v>3.32</v>
      </c>
      <c r="AL2005">
        <v>-1</v>
      </c>
      <c r="AM2005">
        <v>-0.63</v>
      </c>
      <c r="AN2005">
        <v>12.69</v>
      </c>
      <c r="AO2005">
        <v>0.35</v>
      </c>
      <c r="AP2005">
        <v>-4.13</v>
      </c>
    </row>
    <row r="2006" spans="1:42">
      <c r="A2006">
        <v>2005</v>
      </c>
      <c r="B2006" t="str">
        <f>"601958"</f>
        <v>601958</v>
      </c>
      <c r="C2006" t="s">
        <v>11287</v>
      </c>
      <c r="D2006">
        <v>9.43</v>
      </c>
      <c r="E2006">
        <v>-0.63</v>
      </c>
      <c r="F2006">
        <v>-0.06</v>
      </c>
      <c r="G2006" t="s">
        <v>1232</v>
      </c>
      <c r="H2006">
        <v>591</v>
      </c>
      <c r="I2006">
        <v>9.43</v>
      </c>
      <c r="J2006">
        <v>9.44</v>
      </c>
      <c r="K2006" t="s">
        <v>11288</v>
      </c>
      <c r="L2006">
        <v>0.31</v>
      </c>
      <c r="M2006" t="s">
        <v>46</v>
      </c>
      <c r="N2006" t="s">
        <v>11289</v>
      </c>
      <c r="O2006">
        <v>9.48</v>
      </c>
      <c r="P2006">
        <v>9.37</v>
      </c>
      <c r="Q2006">
        <v>9.47</v>
      </c>
      <c r="R2006">
        <v>9.49</v>
      </c>
      <c r="S2006">
        <v>1.16</v>
      </c>
      <c r="T2006">
        <v>0.85</v>
      </c>
      <c r="U2006">
        <v>4.28</v>
      </c>
      <c r="V2006">
        <v>450</v>
      </c>
      <c r="W2006">
        <v>9.42</v>
      </c>
      <c r="X2006" t="s">
        <v>523</v>
      </c>
      <c r="Y2006" t="s">
        <v>1320</v>
      </c>
      <c r="Z2006">
        <v>1.46</v>
      </c>
      <c r="AA2006">
        <v>121</v>
      </c>
      <c r="AB2006">
        <v>565</v>
      </c>
      <c r="AC2006">
        <v>2.09</v>
      </c>
      <c r="AD2006" t="s">
        <v>11290</v>
      </c>
      <c r="AE2006" t="s">
        <v>11291</v>
      </c>
      <c r="AF2006" t="s">
        <v>11290</v>
      </c>
      <c r="AG2006" t="s">
        <v>11291</v>
      </c>
      <c r="AH2006">
        <v>-1.87</v>
      </c>
      <c r="AI2006">
        <v>-3.38</v>
      </c>
      <c r="AJ2006">
        <v>0.98</v>
      </c>
      <c r="AK2006">
        <v>2.15</v>
      </c>
      <c r="AL2006">
        <v>-3</v>
      </c>
      <c r="AM2006">
        <v>-0.63</v>
      </c>
      <c r="AN2006">
        <v>-16.18</v>
      </c>
      <c r="AO2006">
        <v>-5.51</v>
      </c>
      <c r="AP2006">
        <v>0.32</v>
      </c>
    </row>
    <row r="2007" spans="1:42">
      <c r="A2007">
        <v>2006</v>
      </c>
      <c r="B2007" t="str">
        <f>"430017"</f>
        <v>430017</v>
      </c>
      <c r="C2007" t="s">
        <v>11292</v>
      </c>
      <c r="D2007">
        <v>14.68</v>
      </c>
      <c r="E2007">
        <v>-5.59</v>
      </c>
      <c r="F2007">
        <v>-0.87</v>
      </c>
      <c r="G2007" t="s">
        <v>5779</v>
      </c>
      <c r="H2007">
        <v>710</v>
      </c>
      <c r="I2007">
        <v>14.68</v>
      </c>
      <c r="J2007">
        <v>14.69</v>
      </c>
      <c r="K2007" t="s">
        <v>11293</v>
      </c>
      <c r="L2007">
        <v>9.92</v>
      </c>
      <c r="M2007" t="s">
        <v>46</v>
      </c>
      <c r="N2007" t="s">
        <v>2647</v>
      </c>
      <c r="O2007">
        <v>15.96</v>
      </c>
      <c r="P2007">
        <v>14.54</v>
      </c>
      <c r="Q2007">
        <v>15.2</v>
      </c>
      <c r="R2007">
        <v>15.55</v>
      </c>
      <c r="S2007">
        <v>9.13</v>
      </c>
      <c r="T2007">
        <v>0.43</v>
      </c>
      <c r="U2007">
        <v>-45.3</v>
      </c>
      <c r="V2007">
        <v>-719</v>
      </c>
      <c r="W2007">
        <v>15.11</v>
      </c>
      <c r="X2007" t="s">
        <v>3210</v>
      </c>
      <c r="Y2007" t="s">
        <v>8396</v>
      </c>
      <c r="Z2007">
        <v>1.5</v>
      </c>
      <c r="AA2007">
        <v>95</v>
      </c>
      <c r="AB2007">
        <v>109</v>
      </c>
      <c r="AC2007">
        <v>1.21</v>
      </c>
      <c r="AD2007" t="s">
        <v>11294</v>
      </c>
      <c r="AE2007" t="s">
        <v>11295</v>
      </c>
      <c r="AF2007" t="s">
        <v>11296</v>
      </c>
      <c r="AG2007" t="s">
        <v>11297</v>
      </c>
      <c r="AH2007">
        <v>-10.49</v>
      </c>
      <c r="AI2007">
        <v>16.05</v>
      </c>
      <c r="AJ2007">
        <v>40.35</v>
      </c>
      <c r="AK2007">
        <v>124.64</v>
      </c>
      <c r="AL2007">
        <v>-1</v>
      </c>
      <c r="AM2007">
        <v>-5.59</v>
      </c>
      <c r="AN2007">
        <v>2.3</v>
      </c>
      <c r="AO2007">
        <v>41.15</v>
      </c>
      <c r="AP2007">
        <v>2.3</v>
      </c>
    </row>
    <row r="2008" spans="1:42">
      <c r="A2008">
        <v>2007</v>
      </c>
      <c r="B2008" t="str">
        <f>"002032"</f>
        <v>002032</v>
      </c>
      <c r="C2008" t="s">
        <v>11298</v>
      </c>
      <c r="D2008">
        <v>53.21</v>
      </c>
      <c r="E2008">
        <v>1.82</v>
      </c>
      <c r="F2008">
        <v>0.95</v>
      </c>
      <c r="G2008" t="s">
        <v>1255</v>
      </c>
      <c r="H2008">
        <v>540</v>
      </c>
      <c r="I2008">
        <v>53.1</v>
      </c>
      <c r="J2008">
        <v>53.21</v>
      </c>
      <c r="K2008" t="s">
        <v>11299</v>
      </c>
      <c r="L2008">
        <v>0.22</v>
      </c>
      <c r="M2008" t="s">
        <v>46</v>
      </c>
      <c r="N2008" t="s">
        <v>8179</v>
      </c>
      <c r="O2008">
        <v>53.21</v>
      </c>
      <c r="P2008">
        <v>52.16</v>
      </c>
      <c r="Q2008">
        <v>52.31</v>
      </c>
      <c r="R2008">
        <v>52.26</v>
      </c>
      <c r="S2008">
        <v>2.01</v>
      </c>
      <c r="T2008">
        <v>1.36</v>
      </c>
      <c r="U2008">
        <v>-4.62</v>
      </c>
      <c r="V2008">
        <v>-3</v>
      </c>
      <c r="W2008">
        <v>52.82</v>
      </c>
      <c r="X2008">
        <v>9399</v>
      </c>
      <c r="Y2008">
        <v>8487</v>
      </c>
      <c r="Z2008">
        <v>1.11</v>
      </c>
      <c r="AA2008">
        <v>2</v>
      </c>
      <c r="AB2008">
        <v>1</v>
      </c>
      <c r="AC2008">
        <v>7.77</v>
      </c>
      <c r="AD2008" t="s">
        <v>11300</v>
      </c>
      <c r="AE2008" t="s">
        <v>11301</v>
      </c>
      <c r="AF2008" t="s">
        <v>11302</v>
      </c>
      <c r="AG2008" t="s">
        <v>11303</v>
      </c>
      <c r="AH2008">
        <v>3.62</v>
      </c>
      <c r="AI2008">
        <v>5.01</v>
      </c>
      <c r="AJ2008">
        <v>0.55</v>
      </c>
      <c r="AK2008">
        <v>1.04</v>
      </c>
      <c r="AL2008">
        <v>4</v>
      </c>
      <c r="AM2008">
        <v>1.82</v>
      </c>
      <c r="AN2008">
        <v>14.6</v>
      </c>
      <c r="AO2008">
        <v>7.36</v>
      </c>
      <c r="AP2008">
        <v>31.16</v>
      </c>
    </row>
    <row r="2009" spans="1:42">
      <c r="A2009">
        <v>2008</v>
      </c>
      <c r="B2009" t="str">
        <f>"301358"</f>
        <v>301358</v>
      </c>
      <c r="C2009" t="s">
        <v>11304</v>
      </c>
      <c r="D2009">
        <v>32.9</v>
      </c>
      <c r="E2009">
        <v>-1.14</v>
      </c>
      <c r="F2009">
        <v>-0.38</v>
      </c>
      <c r="G2009" t="s">
        <v>2727</v>
      </c>
      <c r="H2009">
        <v>495</v>
      </c>
      <c r="I2009">
        <v>32.9</v>
      </c>
      <c r="J2009">
        <v>32.91</v>
      </c>
      <c r="K2009" t="s">
        <v>11305</v>
      </c>
      <c r="L2009">
        <v>2.15</v>
      </c>
      <c r="M2009" t="s">
        <v>46</v>
      </c>
      <c r="N2009" t="s">
        <v>5967</v>
      </c>
      <c r="O2009">
        <v>33.29</v>
      </c>
      <c r="P2009">
        <v>32.52</v>
      </c>
      <c r="Q2009">
        <v>33.28</v>
      </c>
      <c r="R2009">
        <v>33.28</v>
      </c>
      <c r="S2009">
        <v>2.31</v>
      </c>
      <c r="T2009">
        <v>1.24</v>
      </c>
      <c r="U2009">
        <v>37.11</v>
      </c>
      <c r="V2009">
        <v>169</v>
      </c>
      <c r="W2009">
        <v>32.78</v>
      </c>
      <c r="X2009" t="s">
        <v>5951</v>
      </c>
      <c r="Y2009" t="s">
        <v>383</v>
      </c>
      <c r="Z2009">
        <v>1.16</v>
      </c>
      <c r="AA2009">
        <v>20</v>
      </c>
      <c r="AB2009">
        <v>24</v>
      </c>
      <c r="AC2009">
        <v>2.22</v>
      </c>
      <c r="AD2009" t="s">
        <v>2183</v>
      </c>
      <c r="AE2009" t="s">
        <v>5461</v>
      </c>
      <c r="AF2009" t="s">
        <v>11306</v>
      </c>
      <c r="AG2009" t="s">
        <v>10173</v>
      </c>
      <c r="AH2009">
        <v>-3.77</v>
      </c>
      <c r="AI2009">
        <v>-5</v>
      </c>
      <c r="AJ2009">
        <v>5.1</v>
      </c>
      <c r="AK2009">
        <v>10.84</v>
      </c>
      <c r="AL2009">
        <v>-3</v>
      </c>
      <c r="AM2009">
        <v>-1.14</v>
      </c>
      <c r="AN2009">
        <v>40.78</v>
      </c>
      <c r="AO2009">
        <v>-9.37</v>
      </c>
      <c r="AP2009">
        <v>40.78</v>
      </c>
    </row>
    <row r="2010" spans="1:42">
      <c r="A2010">
        <v>2009</v>
      </c>
      <c r="B2010" t="str">
        <f>"600761"</f>
        <v>600761</v>
      </c>
      <c r="C2010" t="s">
        <v>11307</v>
      </c>
      <c r="D2010">
        <v>16.27</v>
      </c>
      <c r="E2010">
        <v>-0.06</v>
      </c>
      <c r="F2010">
        <v>-0.01</v>
      </c>
      <c r="G2010" t="s">
        <v>4381</v>
      </c>
      <c r="H2010">
        <v>265</v>
      </c>
      <c r="I2010">
        <v>16.27</v>
      </c>
      <c r="J2010">
        <v>16.28</v>
      </c>
      <c r="K2010" t="s">
        <v>11308</v>
      </c>
      <c r="L2010">
        <v>0.79</v>
      </c>
      <c r="M2010" t="s">
        <v>46</v>
      </c>
      <c r="N2010" t="s">
        <v>11309</v>
      </c>
      <c r="O2010">
        <v>16.36</v>
      </c>
      <c r="P2010">
        <v>16.09</v>
      </c>
      <c r="Q2010">
        <v>16.28</v>
      </c>
      <c r="R2010">
        <v>16.28</v>
      </c>
      <c r="S2010">
        <v>1.66</v>
      </c>
      <c r="T2010">
        <v>1.13</v>
      </c>
      <c r="U2010">
        <v>-69.2</v>
      </c>
      <c r="V2010">
        <v>-1438</v>
      </c>
      <c r="W2010">
        <v>16.24</v>
      </c>
      <c r="X2010" t="s">
        <v>3456</v>
      </c>
      <c r="Y2010" t="s">
        <v>5266</v>
      </c>
      <c r="Z2010">
        <v>0.87</v>
      </c>
      <c r="AA2010">
        <v>48</v>
      </c>
      <c r="AB2010">
        <v>98</v>
      </c>
      <c r="AC2010">
        <v>1.68</v>
      </c>
      <c r="AD2010" t="s">
        <v>11310</v>
      </c>
      <c r="AE2010" t="s">
        <v>7826</v>
      </c>
      <c r="AF2010" t="s">
        <v>11310</v>
      </c>
      <c r="AG2010" t="s">
        <v>7826</v>
      </c>
      <c r="AH2010">
        <v>-2.57</v>
      </c>
      <c r="AI2010">
        <v>-2.87</v>
      </c>
      <c r="AJ2010">
        <v>2.23</v>
      </c>
      <c r="AK2010">
        <v>4.27</v>
      </c>
      <c r="AL2010">
        <v>-3</v>
      </c>
      <c r="AM2010">
        <v>-0.06</v>
      </c>
      <c r="AN2010">
        <v>27.61</v>
      </c>
      <c r="AO2010">
        <v>-6.12</v>
      </c>
      <c r="AP2010">
        <v>14.58</v>
      </c>
    </row>
    <row r="2011" spans="1:42">
      <c r="A2011">
        <v>2010</v>
      </c>
      <c r="B2011" t="str">
        <f>"688347"</f>
        <v>688347</v>
      </c>
      <c r="C2011" t="s">
        <v>11311</v>
      </c>
      <c r="D2011">
        <v>42.97</v>
      </c>
      <c r="E2011">
        <v>0.96</v>
      </c>
      <c r="F2011">
        <v>0.41</v>
      </c>
      <c r="G2011" t="s">
        <v>731</v>
      </c>
      <c r="H2011">
        <v>263</v>
      </c>
      <c r="I2011">
        <v>42.96</v>
      </c>
      <c r="J2011">
        <v>42.97</v>
      </c>
      <c r="K2011" t="s">
        <v>11312</v>
      </c>
      <c r="L2011">
        <v>2.13</v>
      </c>
      <c r="M2011" t="s">
        <v>46</v>
      </c>
      <c r="N2011" t="s">
        <v>5996</v>
      </c>
      <c r="O2011">
        <v>42.98</v>
      </c>
      <c r="P2011">
        <v>42.42</v>
      </c>
      <c r="Q2011">
        <v>42.51</v>
      </c>
      <c r="R2011">
        <v>42.56</v>
      </c>
      <c r="S2011">
        <v>1.32</v>
      </c>
      <c r="T2011">
        <v>0.85</v>
      </c>
      <c r="U2011">
        <v>2.08</v>
      </c>
      <c r="V2011">
        <v>18</v>
      </c>
      <c r="W2011">
        <v>42.7</v>
      </c>
      <c r="X2011" t="s">
        <v>2284</v>
      </c>
      <c r="Y2011" t="s">
        <v>218</v>
      </c>
      <c r="Z2011">
        <v>1.09</v>
      </c>
      <c r="AA2011">
        <v>87</v>
      </c>
      <c r="AB2011">
        <v>78</v>
      </c>
      <c r="AC2011">
        <v>1.74</v>
      </c>
      <c r="AD2011" t="s">
        <v>9322</v>
      </c>
      <c r="AE2011" t="s">
        <v>11313</v>
      </c>
      <c r="AF2011" t="s">
        <v>4056</v>
      </c>
      <c r="AG2011" t="s">
        <v>4448</v>
      </c>
      <c r="AH2011">
        <v>-0.42</v>
      </c>
      <c r="AI2011">
        <v>-1.17</v>
      </c>
      <c r="AJ2011">
        <v>7.05</v>
      </c>
      <c r="AK2011">
        <v>14.71</v>
      </c>
      <c r="AL2011">
        <v>1</v>
      </c>
      <c r="AM2011">
        <v>0.96</v>
      </c>
      <c r="AN2011">
        <v>-17.37</v>
      </c>
      <c r="AO2011">
        <v>-7.65</v>
      </c>
      <c r="AP2011">
        <v>-17.37</v>
      </c>
    </row>
    <row r="2012" spans="1:42">
      <c r="A2012">
        <v>2011</v>
      </c>
      <c r="B2012" t="str">
        <f>"002495"</f>
        <v>002495</v>
      </c>
      <c r="C2012" t="s">
        <v>11314</v>
      </c>
      <c r="D2012">
        <v>3.02</v>
      </c>
      <c r="E2012">
        <v>1.68</v>
      </c>
      <c r="F2012">
        <v>0.05</v>
      </c>
      <c r="G2012" t="s">
        <v>5361</v>
      </c>
      <c r="H2012">
        <v>2745</v>
      </c>
      <c r="I2012">
        <v>3.01</v>
      </c>
      <c r="J2012">
        <v>3.02</v>
      </c>
      <c r="K2012" t="s">
        <v>11315</v>
      </c>
      <c r="L2012">
        <v>4.37</v>
      </c>
      <c r="M2012" t="s">
        <v>46</v>
      </c>
      <c r="N2012" t="s">
        <v>4150</v>
      </c>
      <c r="O2012">
        <v>3.07</v>
      </c>
      <c r="P2012">
        <v>2.95</v>
      </c>
      <c r="Q2012">
        <v>2.98</v>
      </c>
      <c r="R2012">
        <v>2.97</v>
      </c>
      <c r="S2012">
        <v>4.04</v>
      </c>
      <c r="T2012">
        <v>1.33</v>
      </c>
      <c r="U2012">
        <v>-7.83</v>
      </c>
      <c r="V2012">
        <v>-1737</v>
      </c>
      <c r="W2012">
        <v>3.02</v>
      </c>
      <c r="X2012" t="s">
        <v>959</v>
      </c>
      <c r="Y2012" t="s">
        <v>3155</v>
      </c>
      <c r="Z2012">
        <v>0.91</v>
      </c>
      <c r="AA2012">
        <v>2966</v>
      </c>
      <c r="AB2012">
        <v>957</v>
      </c>
      <c r="AC2012">
        <v>2.49</v>
      </c>
      <c r="AD2012" t="s">
        <v>11283</v>
      </c>
      <c r="AE2012" t="s">
        <v>8480</v>
      </c>
      <c r="AF2012" t="s">
        <v>11316</v>
      </c>
      <c r="AG2012" t="s">
        <v>6141</v>
      </c>
      <c r="AH2012">
        <v>4.86</v>
      </c>
      <c r="AI2012">
        <v>8.24</v>
      </c>
      <c r="AJ2012">
        <v>11.93</v>
      </c>
      <c r="AK2012">
        <v>20.83</v>
      </c>
      <c r="AL2012">
        <v>4</v>
      </c>
      <c r="AM2012">
        <v>1.68</v>
      </c>
      <c r="AN2012">
        <v>-0.33</v>
      </c>
      <c r="AO2012">
        <v>13.96</v>
      </c>
      <c r="AP2012">
        <v>16.15</v>
      </c>
    </row>
    <row r="2013" spans="1:42">
      <c r="A2013">
        <v>2012</v>
      </c>
      <c r="B2013" t="str">
        <f>"873167"</f>
        <v>873167</v>
      </c>
      <c r="C2013" t="s">
        <v>11317</v>
      </c>
      <c r="D2013">
        <v>14.32</v>
      </c>
      <c r="E2013">
        <v>-12.84</v>
      </c>
      <c r="F2013">
        <v>-2.11</v>
      </c>
      <c r="G2013" t="s">
        <v>9192</v>
      </c>
      <c r="H2013">
        <v>863</v>
      </c>
      <c r="I2013">
        <v>14.32</v>
      </c>
      <c r="J2013">
        <v>14.4</v>
      </c>
      <c r="K2013" t="s">
        <v>11315</v>
      </c>
      <c r="L2013">
        <v>32.03</v>
      </c>
      <c r="M2013" t="s">
        <v>46</v>
      </c>
      <c r="N2013" t="s">
        <v>6883</v>
      </c>
      <c r="O2013">
        <v>16.31</v>
      </c>
      <c r="P2013">
        <v>14.08</v>
      </c>
      <c r="Q2013">
        <v>15.11</v>
      </c>
      <c r="R2013">
        <v>16.43</v>
      </c>
      <c r="S2013">
        <v>13.57</v>
      </c>
      <c r="T2013">
        <v>0.63</v>
      </c>
      <c r="U2013">
        <v>38.55</v>
      </c>
      <c r="V2013">
        <v>484</v>
      </c>
      <c r="W2013">
        <v>14.98</v>
      </c>
      <c r="X2013" t="s">
        <v>5700</v>
      </c>
      <c r="Y2013" t="s">
        <v>9272</v>
      </c>
      <c r="Z2013">
        <v>1.58</v>
      </c>
      <c r="AA2013">
        <v>165</v>
      </c>
      <c r="AB2013">
        <v>244</v>
      </c>
      <c r="AC2013">
        <v>2.19</v>
      </c>
      <c r="AD2013" t="s">
        <v>8159</v>
      </c>
      <c r="AE2013" t="s">
        <v>11318</v>
      </c>
      <c r="AF2013" t="s">
        <v>11319</v>
      </c>
      <c r="AG2013" t="s">
        <v>11320</v>
      </c>
      <c r="AH2013">
        <v>-13.21</v>
      </c>
      <c r="AI2013">
        <v>27.74</v>
      </c>
      <c r="AJ2013">
        <v>117.56</v>
      </c>
      <c r="AK2013">
        <v>285.31</v>
      </c>
      <c r="AL2013">
        <v>-1</v>
      </c>
      <c r="AM2013">
        <v>-12.84</v>
      </c>
      <c r="AN2013">
        <v>45.38</v>
      </c>
      <c r="AO2013">
        <v>72.74</v>
      </c>
      <c r="AP2013">
        <v>45.38</v>
      </c>
    </row>
    <row r="2014" spans="1:42">
      <c r="A2014">
        <v>2013</v>
      </c>
      <c r="B2014" t="str">
        <f>"600642"</f>
        <v>600642</v>
      </c>
      <c r="C2014" t="s">
        <v>11321</v>
      </c>
      <c r="D2014">
        <v>5.98</v>
      </c>
      <c r="E2014">
        <v>-0.17</v>
      </c>
      <c r="F2014">
        <v>-0.01</v>
      </c>
      <c r="G2014" t="s">
        <v>3687</v>
      </c>
      <c r="H2014">
        <v>1200</v>
      </c>
      <c r="I2014">
        <v>5.98</v>
      </c>
      <c r="J2014">
        <v>5.99</v>
      </c>
      <c r="K2014" t="s">
        <v>11322</v>
      </c>
      <c r="L2014">
        <v>0.32</v>
      </c>
      <c r="M2014" t="s">
        <v>46</v>
      </c>
      <c r="N2014" t="s">
        <v>615</v>
      </c>
      <c r="O2014">
        <v>6.02</v>
      </c>
      <c r="P2014">
        <v>5.95</v>
      </c>
      <c r="Q2014">
        <v>6</v>
      </c>
      <c r="R2014">
        <v>5.99</v>
      </c>
      <c r="S2014">
        <v>1.17</v>
      </c>
      <c r="T2014">
        <v>0.99</v>
      </c>
      <c r="U2014">
        <v>-28.57</v>
      </c>
      <c r="V2014">
        <v>-4138</v>
      </c>
      <c r="W2014">
        <v>5.99</v>
      </c>
      <c r="X2014" t="s">
        <v>3539</v>
      </c>
      <c r="Y2014" t="s">
        <v>9404</v>
      </c>
      <c r="Z2014">
        <v>0.91</v>
      </c>
      <c r="AA2014">
        <v>95</v>
      </c>
      <c r="AB2014">
        <v>1259</v>
      </c>
      <c r="AC2014">
        <v>0.9</v>
      </c>
      <c r="AD2014" t="s">
        <v>11323</v>
      </c>
      <c r="AE2014" t="s">
        <v>2032</v>
      </c>
      <c r="AF2014" t="s">
        <v>11324</v>
      </c>
      <c r="AG2014" t="s">
        <v>11325</v>
      </c>
      <c r="AH2014">
        <v>1.53</v>
      </c>
      <c r="AI2014">
        <v>1.53</v>
      </c>
      <c r="AJ2014">
        <v>1.09</v>
      </c>
      <c r="AK2014">
        <v>1.97</v>
      </c>
      <c r="AL2014">
        <v>-1</v>
      </c>
      <c r="AM2014">
        <v>-0.17</v>
      </c>
      <c r="AN2014">
        <v>12.2</v>
      </c>
      <c r="AO2014">
        <v>1.87</v>
      </c>
      <c r="AP2014">
        <v>6.41</v>
      </c>
    </row>
    <row r="2015" spans="1:42">
      <c r="A2015">
        <v>2014</v>
      </c>
      <c r="B2015" t="str">
        <f>"603838"</f>
        <v>603838</v>
      </c>
      <c r="C2015" t="s">
        <v>11326</v>
      </c>
      <c r="D2015">
        <v>7.41</v>
      </c>
      <c r="E2015">
        <v>1.65</v>
      </c>
      <c r="F2015">
        <v>0.12</v>
      </c>
      <c r="G2015" t="s">
        <v>446</v>
      </c>
      <c r="H2015">
        <v>3344</v>
      </c>
      <c r="I2015">
        <v>7.4</v>
      </c>
      <c r="J2015">
        <v>7.41</v>
      </c>
      <c r="K2015" t="s">
        <v>11322</v>
      </c>
      <c r="L2015">
        <v>4</v>
      </c>
      <c r="M2015" t="s">
        <v>46</v>
      </c>
      <c r="N2015" t="s">
        <v>8967</v>
      </c>
      <c r="O2015">
        <v>7.43</v>
      </c>
      <c r="P2015">
        <v>7.28</v>
      </c>
      <c r="Q2015">
        <v>7.28</v>
      </c>
      <c r="R2015">
        <v>7.29</v>
      </c>
      <c r="S2015">
        <v>2.06</v>
      </c>
      <c r="T2015">
        <v>0.63</v>
      </c>
      <c r="U2015">
        <v>22.69</v>
      </c>
      <c r="V2015">
        <v>1644</v>
      </c>
      <c r="W2015">
        <v>7.37</v>
      </c>
      <c r="X2015" t="s">
        <v>3055</v>
      </c>
      <c r="Y2015" t="s">
        <v>4169</v>
      </c>
      <c r="Z2015">
        <v>0.82</v>
      </c>
      <c r="AA2015">
        <v>437</v>
      </c>
      <c r="AB2015">
        <v>469</v>
      </c>
      <c r="AC2015">
        <v>2.35</v>
      </c>
      <c r="AD2015" t="s">
        <v>10577</v>
      </c>
      <c r="AE2015" t="s">
        <v>11327</v>
      </c>
      <c r="AF2015" t="s">
        <v>10577</v>
      </c>
      <c r="AG2015" t="s">
        <v>11327</v>
      </c>
      <c r="AH2015">
        <v>-0.13</v>
      </c>
      <c r="AI2015">
        <v>-15.8</v>
      </c>
      <c r="AJ2015">
        <v>11.03</v>
      </c>
      <c r="AK2015">
        <v>35.66</v>
      </c>
      <c r="AL2015">
        <v>2</v>
      </c>
      <c r="AM2015">
        <v>1.65</v>
      </c>
      <c r="AN2015">
        <v>28.42</v>
      </c>
      <c r="AO2015">
        <v>13.48</v>
      </c>
      <c r="AP2015">
        <v>25.81</v>
      </c>
    </row>
    <row r="2016" spans="1:42">
      <c r="A2016">
        <v>2015</v>
      </c>
      <c r="B2016" t="str">
        <f>"600689"</f>
        <v>600689</v>
      </c>
      <c r="C2016" t="s">
        <v>11328</v>
      </c>
      <c r="D2016">
        <v>11.52</v>
      </c>
      <c r="E2016">
        <v>2.22</v>
      </c>
      <c r="F2016">
        <v>0.25</v>
      </c>
      <c r="G2016" t="s">
        <v>3519</v>
      </c>
      <c r="H2016">
        <v>1783</v>
      </c>
      <c r="I2016">
        <v>11.51</v>
      </c>
      <c r="J2016">
        <v>11.52</v>
      </c>
      <c r="K2016" t="s">
        <v>11329</v>
      </c>
      <c r="L2016">
        <v>5.39</v>
      </c>
      <c r="M2016" t="s">
        <v>46</v>
      </c>
      <c r="N2016" t="s">
        <v>1693</v>
      </c>
      <c r="O2016">
        <v>11.59</v>
      </c>
      <c r="P2016">
        <v>11.18</v>
      </c>
      <c r="Q2016">
        <v>11.2</v>
      </c>
      <c r="R2016">
        <v>11.27</v>
      </c>
      <c r="S2016">
        <v>3.64</v>
      </c>
      <c r="T2016">
        <v>0.53</v>
      </c>
      <c r="U2016">
        <v>-30.49</v>
      </c>
      <c r="V2016">
        <v>-673</v>
      </c>
      <c r="W2016">
        <v>11.48</v>
      </c>
      <c r="X2016" t="s">
        <v>7177</v>
      </c>
      <c r="Y2016" t="s">
        <v>1236</v>
      </c>
      <c r="Z2016">
        <v>0.74</v>
      </c>
      <c r="AA2016">
        <v>226</v>
      </c>
      <c r="AB2016">
        <v>242</v>
      </c>
      <c r="AC2016">
        <v>5.19</v>
      </c>
      <c r="AD2016" t="s">
        <v>9683</v>
      </c>
      <c r="AE2016" t="s">
        <v>11330</v>
      </c>
      <c r="AF2016" t="s">
        <v>5129</v>
      </c>
      <c r="AG2016" t="s">
        <v>11331</v>
      </c>
      <c r="AH2016">
        <v>0.17</v>
      </c>
      <c r="AI2016">
        <v>-9.86</v>
      </c>
      <c r="AJ2016">
        <v>16.39</v>
      </c>
      <c r="AK2016">
        <v>55.91</v>
      </c>
      <c r="AL2016">
        <v>2</v>
      </c>
      <c r="AM2016">
        <v>2.22</v>
      </c>
      <c r="AN2016">
        <v>26.87</v>
      </c>
      <c r="AO2016">
        <v>9.82</v>
      </c>
      <c r="AP2016">
        <v>33.8</v>
      </c>
    </row>
    <row r="2017" spans="1:42">
      <c r="A2017">
        <v>2016</v>
      </c>
      <c r="B2017" t="str">
        <f>"600380"</f>
        <v>600380</v>
      </c>
      <c r="C2017" t="s">
        <v>11332</v>
      </c>
      <c r="D2017">
        <v>12.63</v>
      </c>
      <c r="E2017">
        <v>-0.16</v>
      </c>
      <c r="F2017">
        <v>-0.02</v>
      </c>
      <c r="G2017" t="s">
        <v>9036</v>
      </c>
      <c r="H2017">
        <v>492</v>
      </c>
      <c r="I2017">
        <v>12.62</v>
      </c>
      <c r="J2017">
        <v>12.63</v>
      </c>
      <c r="K2017" t="s">
        <v>11333</v>
      </c>
      <c r="L2017">
        <v>0.4</v>
      </c>
      <c r="M2017" t="s">
        <v>46</v>
      </c>
      <c r="N2017" t="s">
        <v>7805</v>
      </c>
      <c r="O2017">
        <v>12.68</v>
      </c>
      <c r="P2017">
        <v>12.52</v>
      </c>
      <c r="Q2017">
        <v>12.65</v>
      </c>
      <c r="R2017">
        <v>12.65</v>
      </c>
      <c r="S2017">
        <v>1.26</v>
      </c>
      <c r="T2017">
        <v>0.53</v>
      </c>
      <c r="U2017">
        <v>-12.14</v>
      </c>
      <c r="V2017">
        <v>-361</v>
      </c>
      <c r="W2017">
        <v>12.59</v>
      </c>
      <c r="X2017" t="s">
        <v>6912</v>
      </c>
      <c r="Y2017" t="s">
        <v>8166</v>
      </c>
      <c r="Z2017">
        <v>0.95</v>
      </c>
      <c r="AA2017">
        <v>1</v>
      </c>
      <c r="AB2017">
        <v>261</v>
      </c>
      <c r="AC2017">
        <v>1.76</v>
      </c>
      <c r="AD2017" t="s">
        <v>11334</v>
      </c>
      <c r="AE2017" t="s">
        <v>11335</v>
      </c>
      <c r="AF2017" t="s">
        <v>11334</v>
      </c>
      <c r="AG2017" t="s">
        <v>11335</v>
      </c>
      <c r="AH2017">
        <v>-0.24</v>
      </c>
      <c r="AI2017">
        <v>0.88</v>
      </c>
      <c r="AJ2017">
        <v>1.4</v>
      </c>
      <c r="AK2017">
        <v>4.15</v>
      </c>
      <c r="AL2017">
        <v>-1</v>
      </c>
      <c r="AM2017">
        <v>-0.16</v>
      </c>
      <c r="AN2017">
        <v>13.68</v>
      </c>
      <c r="AO2017">
        <v>6.13</v>
      </c>
      <c r="AP2017">
        <v>2.77</v>
      </c>
    </row>
    <row r="2018" spans="1:42">
      <c r="A2018">
        <v>2017</v>
      </c>
      <c r="B2018" t="str">
        <f>"600589"</f>
        <v>600589</v>
      </c>
      <c r="C2018" t="s">
        <v>11336</v>
      </c>
      <c r="D2018">
        <v>4.68</v>
      </c>
      <c r="E2018">
        <v>-4.68</v>
      </c>
      <c r="F2018">
        <v>-0.23</v>
      </c>
      <c r="G2018" t="s">
        <v>1960</v>
      </c>
      <c r="H2018">
        <v>6455</v>
      </c>
      <c r="I2018">
        <v>4.67</v>
      </c>
      <c r="J2018">
        <v>4.68</v>
      </c>
      <c r="K2018" t="s">
        <v>11337</v>
      </c>
      <c r="L2018">
        <v>2.72</v>
      </c>
      <c r="M2018" t="s">
        <v>46</v>
      </c>
      <c r="N2018" t="s">
        <v>4345</v>
      </c>
      <c r="O2018">
        <v>5.08</v>
      </c>
      <c r="P2018">
        <v>4.66</v>
      </c>
      <c r="Q2018">
        <v>4.88</v>
      </c>
      <c r="R2018">
        <v>4.91</v>
      </c>
      <c r="S2018">
        <v>8.55</v>
      </c>
      <c r="T2018">
        <v>0.87</v>
      </c>
      <c r="U2018">
        <v>-5.19</v>
      </c>
      <c r="V2018">
        <v>-965</v>
      </c>
      <c r="W2018">
        <v>4.9</v>
      </c>
      <c r="X2018" t="s">
        <v>740</v>
      </c>
      <c r="Y2018" t="s">
        <v>4893</v>
      </c>
      <c r="Z2018">
        <v>1.2</v>
      </c>
      <c r="AA2018">
        <v>959</v>
      </c>
      <c r="AB2018">
        <v>5479</v>
      </c>
      <c r="AC2018">
        <v>-4.15</v>
      </c>
      <c r="AD2018" t="s">
        <v>11338</v>
      </c>
      <c r="AE2018" t="s">
        <v>10866</v>
      </c>
      <c r="AF2018" t="s">
        <v>11338</v>
      </c>
      <c r="AG2018" t="s">
        <v>10866</v>
      </c>
      <c r="AH2018">
        <v>3.77</v>
      </c>
      <c r="AI2018">
        <v>13.04</v>
      </c>
      <c r="AJ2018">
        <v>8.26</v>
      </c>
      <c r="AK2018">
        <v>18.33</v>
      </c>
      <c r="AL2018">
        <v>-1</v>
      </c>
      <c r="AM2018">
        <v>-4.68</v>
      </c>
      <c r="AN2018">
        <v>128.29</v>
      </c>
      <c r="AO2018">
        <v>11.69</v>
      </c>
      <c r="AP2018">
        <v>104.37</v>
      </c>
    </row>
    <row r="2019" spans="1:42">
      <c r="A2019">
        <v>2018</v>
      </c>
      <c r="B2019" t="str">
        <f>"002457"</f>
        <v>002457</v>
      </c>
      <c r="C2019" t="s">
        <v>11339</v>
      </c>
      <c r="D2019">
        <v>9.28</v>
      </c>
      <c r="E2019">
        <v>1.53</v>
      </c>
      <c r="F2019">
        <v>0.14</v>
      </c>
      <c r="G2019" t="s">
        <v>110</v>
      </c>
      <c r="H2019">
        <v>3615</v>
      </c>
      <c r="I2019">
        <v>9.27</v>
      </c>
      <c r="J2019">
        <v>9.28</v>
      </c>
      <c r="K2019" t="s">
        <v>11340</v>
      </c>
      <c r="L2019">
        <v>3.03</v>
      </c>
      <c r="M2019" t="s">
        <v>46</v>
      </c>
      <c r="N2019" t="s">
        <v>3125</v>
      </c>
      <c r="O2019">
        <v>9.28</v>
      </c>
      <c r="P2019">
        <v>9.11</v>
      </c>
      <c r="Q2019">
        <v>9.15</v>
      </c>
      <c r="R2019">
        <v>9.14</v>
      </c>
      <c r="S2019">
        <v>1.86</v>
      </c>
      <c r="T2019">
        <v>0.65</v>
      </c>
      <c r="U2019">
        <v>2.57</v>
      </c>
      <c r="V2019">
        <v>185</v>
      </c>
      <c r="W2019">
        <v>9.24</v>
      </c>
      <c r="X2019" t="s">
        <v>778</v>
      </c>
      <c r="Y2019" t="s">
        <v>7519</v>
      </c>
      <c r="Z2019">
        <v>0.87</v>
      </c>
      <c r="AA2019">
        <v>177</v>
      </c>
      <c r="AB2019">
        <v>863</v>
      </c>
      <c r="AC2019">
        <v>1.38</v>
      </c>
      <c r="AD2019" t="s">
        <v>11341</v>
      </c>
      <c r="AE2019" t="s">
        <v>11342</v>
      </c>
      <c r="AF2019" t="s">
        <v>10122</v>
      </c>
      <c r="AG2019" t="s">
        <v>11343</v>
      </c>
      <c r="AH2019">
        <v>-0.75</v>
      </c>
      <c r="AI2019">
        <v>-4.43</v>
      </c>
      <c r="AJ2019">
        <v>10.89</v>
      </c>
      <c r="AK2019">
        <v>26.39</v>
      </c>
      <c r="AL2019">
        <v>1</v>
      </c>
      <c r="AM2019">
        <v>1.53</v>
      </c>
      <c r="AN2019">
        <v>18.07</v>
      </c>
      <c r="AO2019">
        <v>-9.11</v>
      </c>
      <c r="AP2019">
        <v>16.88</v>
      </c>
    </row>
    <row r="2020" spans="1:42">
      <c r="A2020">
        <v>2019</v>
      </c>
      <c r="B2020" t="str">
        <f>"002698"</f>
        <v>002698</v>
      </c>
      <c r="C2020" t="s">
        <v>11344</v>
      </c>
      <c r="D2020">
        <v>14</v>
      </c>
      <c r="E2020">
        <v>-1.96</v>
      </c>
      <c r="F2020">
        <v>-0.28</v>
      </c>
      <c r="G2020" t="s">
        <v>2359</v>
      </c>
      <c r="H2020">
        <v>601</v>
      </c>
      <c r="I2020">
        <v>14</v>
      </c>
      <c r="J2020">
        <v>14.01</v>
      </c>
      <c r="K2020" t="s">
        <v>9533</v>
      </c>
      <c r="L2020">
        <v>0.8</v>
      </c>
      <c r="M2020" t="s">
        <v>46</v>
      </c>
      <c r="N2020" t="s">
        <v>3547</v>
      </c>
      <c r="O2020">
        <v>14.26</v>
      </c>
      <c r="P2020">
        <v>13.79</v>
      </c>
      <c r="Q2020">
        <v>14.26</v>
      </c>
      <c r="R2020">
        <v>14.28</v>
      </c>
      <c r="S2020">
        <v>3.29</v>
      </c>
      <c r="T2020">
        <v>1.24</v>
      </c>
      <c r="U2020">
        <v>-16.87</v>
      </c>
      <c r="V2020">
        <v>-170</v>
      </c>
      <c r="W2020">
        <v>13.93</v>
      </c>
      <c r="X2020" t="s">
        <v>5692</v>
      </c>
      <c r="Y2020" t="s">
        <v>5420</v>
      </c>
      <c r="Z2020">
        <v>1.46</v>
      </c>
      <c r="AA2020">
        <v>30</v>
      </c>
      <c r="AB2020">
        <v>173</v>
      </c>
      <c r="AC2020">
        <v>4.3</v>
      </c>
      <c r="AD2020" t="s">
        <v>1070</v>
      </c>
      <c r="AE2020" t="s">
        <v>11345</v>
      </c>
      <c r="AF2020" t="s">
        <v>11346</v>
      </c>
      <c r="AG2020" t="s">
        <v>7671</v>
      </c>
      <c r="AH2020">
        <v>-0.78</v>
      </c>
      <c r="AI2020">
        <v>-2.44</v>
      </c>
      <c r="AJ2020">
        <v>2.33</v>
      </c>
      <c r="AK2020">
        <v>4.02</v>
      </c>
      <c r="AL2020">
        <v>-1</v>
      </c>
      <c r="AM2020">
        <v>-1.96</v>
      </c>
      <c r="AN2020">
        <v>1.74</v>
      </c>
      <c r="AO2020">
        <v>1.89</v>
      </c>
      <c r="AP2020">
        <v>-11.17</v>
      </c>
    </row>
    <row r="2021" spans="1:42">
      <c r="A2021">
        <v>2020</v>
      </c>
      <c r="B2021" t="str">
        <f>"603233"</f>
        <v>603233</v>
      </c>
      <c r="C2021" t="s">
        <v>11347</v>
      </c>
      <c r="D2021">
        <v>26</v>
      </c>
      <c r="E2021">
        <v>0</v>
      </c>
      <c r="F2021">
        <v>0</v>
      </c>
      <c r="G2021" t="s">
        <v>5323</v>
      </c>
      <c r="H2021">
        <v>292</v>
      </c>
      <c r="I2021">
        <v>25.99</v>
      </c>
      <c r="J2021">
        <v>26</v>
      </c>
      <c r="K2021" t="s">
        <v>11348</v>
      </c>
      <c r="L2021">
        <v>0.32</v>
      </c>
      <c r="M2021" t="s">
        <v>46</v>
      </c>
      <c r="N2021" t="s">
        <v>11349</v>
      </c>
      <c r="O2021">
        <v>26.09</v>
      </c>
      <c r="P2021">
        <v>25.62</v>
      </c>
      <c r="Q2021">
        <v>26.01</v>
      </c>
      <c r="R2021">
        <v>26</v>
      </c>
      <c r="S2021">
        <v>1.81</v>
      </c>
      <c r="T2021">
        <v>0.73</v>
      </c>
      <c r="U2021">
        <v>-36.32</v>
      </c>
      <c r="V2021">
        <v>-191</v>
      </c>
      <c r="W2021">
        <v>25.89</v>
      </c>
      <c r="X2021" t="s">
        <v>7178</v>
      </c>
      <c r="Y2021" t="s">
        <v>9024</v>
      </c>
      <c r="Z2021">
        <v>0.74</v>
      </c>
      <c r="AA2021">
        <v>12</v>
      </c>
      <c r="AB2021">
        <v>146</v>
      </c>
      <c r="AC2021">
        <v>4.46</v>
      </c>
      <c r="AD2021" t="s">
        <v>11350</v>
      </c>
      <c r="AE2021" t="s">
        <v>11351</v>
      </c>
      <c r="AF2021" t="s">
        <v>11352</v>
      </c>
      <c r="AG2021" t="s">
        <v>11353</v>
      </c>
      <c r="AH2021">
        <v>0.39</v>
      </c>
      <c r="AI2021">
        <v>1.92</v>
      </c>
      <c r="AJ2021">
        <v>1.29</v>
      </c>
      <c r="AK2021">
        <v>2.5</v>
      </c>
      <c r="AL2021">
        <v>0</v>
      </c>
      <c r="AM2021">
        <v>0</v>
      </c>
      <c r="AN2021">
        <v>-20</v>
      </c>
      <c r="AO2021">
        <v>4.17</v>
      </c>
      <c r="AP2021">
        <v>-25.67</v>
      </c>
    </row>
    <row r="2022" spans="1:42">
      <c r="A2022">
        <v>2021</v>
      </c>
      <c r="B2022" t="str">
        <f>"002067"</f>
        <v>002067</v>
      </c>
      <c r="C2022" t="s">
        <v>11354</v>
      </c>
      <c r="D2022">
        <v>3.57</v>
      </c>
      <c r="E2022">
        <v>0.56</v>
      </c>
      <c r="F2022">
        <v>0.02</v>
      </c>
      <c r="G2022" t="s">
        <v>1032</v>
      </c>
      <c r="H2022">
        <v>2588</v>
      </c>
      <c r="I2022">
        <v>3.56</v>
      </c>
      <c r="J2022">
        <v>3.57</v>
      </c>
      <c r="K2022" t="s">
        <v>11348</v>
      </c>
      <c r="L2022">
        <v>2.48</v>
      </c>
      <c r="M2022" t="s">
        <v>46</v>
      </c>
      <c r="N2022" t="s">
        <v>11057</v>
      </c>
      <c r="O2022">
        <v>3.6</v>
      </c>
      <c r="P2022">
        <v>3.53</v>
      </c>
      <c r="Q2022">
        <v>3.54</v>
      </c>
      <c r="R2022">
        <v>3.55</v>
      </c>
      <c r="S2022">
        <v>1.97</v>
      </c>
      <c r="T2022">
        <v>0.81</v>
      </c>
      <c r="U2022">
        <v>-15.78</v>
      </c>
      <c r="V2022">
        <v>-4718</v>
      </c>
      <c r="W2022">
        <v>3.56</v>
      </c>
      <c r="X2022" t="s">
        <v>1261</v>
      </c>
      <c r="Y2022" t="s">
        <v>1207</v>
      </c>
      <c r="Z2022">
        <v>0.89</v>
      </c>
      <c r="AA2022">
        <v>3617</v>
      </c>
      <c r="AB2022">
        <v>534</v>
      </c>
      <c r="AC2022">
        <v>0.79</v>
      </c>
      <c r="AD2022" t="s">
        <v>5037</v>
      </c>
      <c r="AE2022" t="s">
        <v>10290</v>
      </c>
      <c r="AF2022" t="s">
        <v>7450</v>
      </c>
      <c r="AG2022" t="s">
        <v>1291</v>
      </c>
      <c r="AH2022">
        <v>-0.83</v>
      </c>
      <c r="AI2022">
        <v>-1.11</v>
      </c>
      <c r="AJ2022">
        <v>7.52</v>
      </c>
      <c r="AK2022">
        <v>17.93</v>
      </c>
      <c r="AL2022">
        <v>1</v>
      </c>
      <c r="AM2022">
        <v>0.56</v>
      </c>
      <c r="AN2022">
        <v>5.31</v>
      </c>
      <c r="AO2022">
        <v>5</v>
      </c>
      <c r="AP2022">
        <v>2</v>
      </c>
    </row>
    <row r="2023" spans="1:42">
      <c r="A2023">
        <v>2022</v>
      </c>
      <c r="B2023" t="str">
        <f>"601086"</f>
        <v>601086</v>
      </c>
      <c r="C2023" t="s">
        <v>11355</v>
      </c>
      <c r="D2023">
        <v>5.71</v>
      </c>
      <c r="E2023">
        <v>0.88</v>
      </c>
      <c r="F2023">
        <v>0.05</v>
      </c>
      <c r="G2023" t="s">
        <v>3143</v>
      </c>
      <c r="H2023">
        <v>2349</v>
      </c>
      <c r="I2023">
        <v>5.7</v>
      </c>
      <c r="J2023">
        <v>5.71</v>
      </c>
      <c r="K2023" t="s">
        <v>11356</v>
      </c>
      <c r="L2023">
        <v>2.45</v>
      </c>
      <c r="M2023" t="s">
        <v>46</v>
      </c>
      <c r="N2023" t="s">
        <v>11357</v>
      </c>
      <c r="O2023">
        <v>5.8</v>
      </c>
      <c r="P2023">
        <v>5.65</v>
      </c>
      <c r="Q2023">
        <v>5.67</v>
      </c>
      <c r="R2023">
        <v>5.66</v>
      </c>
      <c r="S2023">
        <v>2.65</v>
      </c>
      <c r="T2023">
        <v>1.04</v>
      </c>
      <c r="U2023">
        <v>-22.02</v>
      </c>
      <c r="V2023">
        <v>-1461</v>
      </c>
      <c r="W2023">
        <v>5.73</v>
      </c>
      <c r="X2023" t="s">
        <v>11174</v>
      </c>
      <c r="Y2023" t="s">
        <v>11358</v>
      </c>
      <c r="Z2023">
        <v>1</v>
      </c>
      <c r="AA2023">
        <v>99</v>
      </c>
      <c r="AB2023">
        <v>1400</v>
      </c>
      <c r="AC2023">
        <v>2.37</v>
      </c>
      <c r="AD2023" t="s">
        <v>1681</v>
      </c>
      <c r="AE2023" t="s">
        <v>11359</v>
      </c>
      <c r="AF2023" t="s">
        <v>1681</v>
      </c>
      <c r="AG2023" t="s">
        <v>11359</v>
      </c>
      <c r="AH2023">
        <v>0.18</v>
      </c>
      <c r="AI2023">
        <v>0.35</v>
      </c>
      <c r="AJ2023">
        <v>6.26</v>
      </c>
      <c r="AK2023">
        <v>14.16</v>
      </c>
      <c r="AL2023">
        <v>2</v>
      </c>
      <c r="AM2023">
        <v>0.88</v>
      </c>
      <c r="AN2023">
        <v>29.77</v>
      </c>
      <c r="AO2023">
        <v>7.94</v>
      </c>
      <c r="AP2023">
        <v>53.08</v>
      </c>
    </row>
    <row r="2024" spans="1:42">
      <c r="A2024">
        <v>2023</v>
      </c>
      <c r="B2024" t="str">
        <f>"002328"</f>
        <v>002328</v>
      </c>
      <c r="C2024" t="s">
        <v>11360</v>
      </c>
      <c r="D2024">
        <v>6.33</v>
      </c>
      <c r="E2024">
        <v>0.96</v>
      </c>
      <c r="F2024">
        <v>0.06</v>
      </c>
      <c r="G2024" t="s">
        <v>598</v>
      </c>
      <c r="H2024">
        <v>1136</v>
      </c>
      <c r="I2024">
        <v>6.32</v>
      </c>
      <c r="J2024">
        <v>6.33</v>
      </c>
      <c r="K2024" t="s">
        <v>11361</v>
      </c>
      <c r="L2024">
        <v>2.61</v>
      </c>
      <c r="M2024" t="s">
        <v>46</v>
      </c>
      <c r="N2024" t="s">
        <v>152</v>
      </c>
      <c r="O2024">
        <v>6.37</v>
      </c>
      <c r="P2024">
        <v>6.22</v>
      </c>
      <c r="Q2024">
        <v>6.28</v>
      </c>
      <c r="R2024">
        <v>6.27</v>
      </c>
      <c r="S2024">
        <v>2.39</v>
      </c>
      <c r="T2024">
        <v>0.68</v>
      </c>
      <c r="U2024">
        <v>-16.47</v>
      </c>
      <c r="V2024">
        <v>-1461</v>
      </c>
      <c r="W2024">
        <v>6.3</v>
      </c>
      <c r="X2024" t="s">
        <v>2534</v>
      </c>
      <c r="Y2024" t="s">
        <v>5844</v>
      </c>
      <c r="Z2024">
        <v>1.08</v>
      </c>
      <c r="AA2024">
        <v>290</v>
      </c>
      <c r="AB2024">
        <v>1008</v>
      </c>
      <c r="AC2024">
        <v>1.51</v>
      </c>
      <c r="AD2024" t="s">
        <v>11362</v>
      </c>
      <c r="AE2024" t="s">
        <v>11363</v>
      </c>
      <c r="AF2024" t="s">
        <v>5050</v>
      </c>
      <c r="AG2024" t="s">
        <v>10947</v>
      </c>
      <c r="AH2024">
        <v>-2.47</v>
      </c>
      <c r="AI2024">
        <v>-0.47</v>
      </c>
      <c r="AJ2024">
        <v>10.63</v>
      </c>
      <c r="AK2024">
        <v>21.88</v>
      </c>
      <c r="AL2024">
        <v>1</v>
      </c>
      <c r="AM2024">
        <v>0.96</v>
      </c>
      <c r="AN2024">
        <v>29.98</v>
      </c>
      <c r="AO2024">
        <v>5.85</v>
      </c>
      <c r="AP2024">
        <v>16.79</v>
      </c>
    </row>
    <row r="2025" spans="1:42">
      <c r="A2025">
        <v>2024</v>
      </c>
      <c r="B2025" t="str">
        <f>"002253"</f>
        <v>002253</v>
      </c>
      <c r="C2025" t="s">
        <v>11364</v>
      </c>
      <c r="D2025">
        <v>15.35</v>
      </c>
      <c r="E2025">
        <v>3.23</v>
      </c>
      <c r="F2025">
        <v>0.48</v>
      </c>
      <c r="G2025" t="s">
        <v>7214</v>
      </c>
      <c r="H2025">
        <v>1063</v>
      </c>
      <c r="I2025">
        <v>15.35</v>
      </c>
      <c r="J2025">
        <v>15.36</v>
      </c>
      <c r="K2025" t="s">
        <v>11365</v>
      </c>
      <c r="L2025">
        <v>2.95</v>
      </c>
      <c r="M2025" t="s">
        <v>46</v>
      </c>
      <c r="N2025" t="s">
        <v>1694</v>
      </c>
      <c r="O2025">
        <v>15.36</v>
      </c>
      <c r="P2025">
        <v>14.87</v>
      </c>
      <c r="Q2025">
        <v>14.9</v>
      </c>
      <c r="R2025">
        <v>14.87</v>
      </c>
      <c r="S2025">
        <v>3.3</v>
      </c>
      <c r="T2025">
        <v>1.25</v>
      </c>
      <c r="U2025">
        <v>-35.28</v>
      </c>
      <c r="V2025">
        <v>-736</v>
      </c>
      <c r="W2025">
        <v>15.18</v>
      </c>
      <c r="X2025" t="s">
        <v>3116</v>
      </c>
      <c r="Y2025" t="s">
        <v>6748</v>
      </c>
      <c r="Z2025">
        <v>0.53</v>
      </c>
      <c r="AA2025">
        <v>44</v>
      </c>
      <c r="AB2025">
        <v>414</v>
      </c>
      <c r="AC2025">
        <v>2.57</v>
      </c>
      <c r="AD2025" t="s">
        <v>11366</v>
      </c>
      <c r="AE2025" t="s">
        <v>4731</v>
      </c>
      <c r="AF2025" t="s">
        <v>10953</v>
      </c>
      <c r="AG2025" t="s">
        <v>11367</v>
      </c>
      <c r="AH2025">
        <v>0.59</v>
      </c>
      <c r="AI2025">
        <v>-1.54</v>
      </c>
      <c r="AJ2025">
        <v>7.35</v>
      </c>
      <c r="AK2025">
        <v>14.79</v>
      </c>
      <c r="AL2025">
        <v>1</v>
      </c>
      <c r="AM2025">
        <v>3.23</v>
      </c>
      <c r="AN2025">
        <v>30.75</v>
      </c>
      <c r="AO2025">
        <v>4.78</v>
      </c>
      <c r="AP2025">
        <v>21.44</v>
      </c>
    </row>
    <row r="2026" spans="1:42">
      <c r="A2026">
        <v>2025</v>
      </c>
      <c r="B2026" t="str">
        <f>"301082"</f>
        <v>301082</v>
      </c>
      <c r="C2026" t="s">
        <v>11368</v>
      </c>
      <c r="D2026">
        <v>18.18</v>
      </c>
      <c r="E2026">
        <v>0.78</v>
      </c>
      <c r="F2026">
        <v>0.14</v>
      </c>
      <c r="G2026" t="s">
        <v>3659</v>
      </c>
      <c r="H2026">
        <v>759</v>
      </c>
      <c r="I2026">
        <v>18.17</v>
      </c>
      <c r="J2026">
        <v>18.18</v>
      </c>
      <c r="K2026" t="s">
        <v>11369</v>
      </c>
      <c r="L2026">
        <v>7.61</v>
      </c>
      <c r="M2026" t="s">
        <v>46</v>
      </c>
      <c r="N2026" t="s">
        <v>2591</v>
      </c>
      <c r="O2026">
        <v>18.28</v>
      </c>
      <c r="P2026">
        <v>17.61</v>
      </c>
      <c r="Q2026">
        <v>17.89</v>
      </c>
      <c r="R2026">
        <v>18.04</v>
      </c>
      <c r="S2026">
        <v>3.71</v>
      </c>
      <c r="T2026">
        <v>0.73</v>
      </c>
      <c r="U2026">
        <v>36.28</v>
      </c>
      <c r="V2026">
        <v>410</v>
      </c>
      <c r="W2026">
        <v>18.04</v>
      </c>
      <c r="X2026" t="s">
        <v>688</v>
      </c>
      <c r="Y2026" t="s">
        <v>7946</v>
      </c>
      <c r="Z2026">
        <v>1.04</v>
      </c>
      <c r="AA2026">
        <v>34</v>
      </c>
      <c r="AB2026">
        <v>30</v>
      </c>
      <c r="AC2026">
        <v>2.69</v>
      </c>
      <c r="AD2026" t="s">
        <v>11370</v>
      </c>
      <c r="AE2026" t="s">
        <v>11371</v>
      </c>
      <c r="AF2026" t="s">
        <v>11372</v>
      </c>
      <c r="AG2026" t="s">
        <v>11373</v>
      </c>
      <c r="AH2026">
        <v>-2.57</v>
      </c>
      <c r="AI2026">
        <v>2.83</v>
      </c>
      <c r="AJ2026">
        <v>24.49</v>
      </c>
      <c r="AK2026">
        <v>59.46</v>
      </c>
      <c r="AL2026">
        <v>1</v>
      </c>
      <c r="AM2026">
        <v>0.78</v>
      </c>
      <c r="AN2026">
        <v>19.29</v>
      </c>
      <c r="AO2026">
        <v>5.21</v>
      </c>
      <c r="AP2026">
        <v>8.73</v>
      </c>
    </row>
    <row r="2027" spans="1:42">
      <c r="A2027">
        <v>2026</v>
      </c>
      <c r="B2027" t="str">
        <f>"600039"</f>
        <v>600039</v>
      </c>
      <c r="C2027" t="s">
        <v>11374</v>
      </c>
      <c r="D2027">
        <v>7.71</v>
      </c>
      <c r="E2027">
        <v>-0.13</v>
      </c>
      <c r="F2027">
        <v>-0.01</v>
      </c>
      <c r="G2027" t="s">
        <v>1790</v>
      </c>
      <c r="H2027">
        <v>943</v>
      </c>
      <c r="I2027">
        <v>7.71</v>
      </c>
      <c r="J2027">
        <v>7.72</v>
      </c>
      <c r="K2027" t="s">
        <v>11375</v>
      </c>
      <c r="L2027">
        <v>0.18</v>
      </c>
      <c r="M2027" t="s">
        <v>46</v>
      </c>
      <c r="N2027" t="s">
        <v>11376</v>
      </c>
      <c r="O2027">
        <v>7.76</v>
      </c>
      <c r="P2027">
        <v>7.67</v>
      </c>
      <c r="Q2027">
        <v>7.71</v>
      </c>
      <c r="R2027">
        <v>7.72</v>
      </c>
      <c r="S2027">
        <v>1.17</v>
      </c>
      <c r="T2027">
        <v>0.63</v>
      </c>
      <c r="U2027">
        <v>34.56</v>
      </c>
      <c r="V2027">
        <v>8847</v>
      </c>
      <c r="W2027">
        <v>7.72</v>
      </c>
      <c r="X2027" t="s">
        <v>9077</v>
      </c>
      <c r="Y2027" t="s">
        <v>7430</v>
      </c>
      <c r="Z2027">
        <v>1.36</v>
      </c>
      <c r="AA2027">
        <v>2200</v>
      </c>
      <c r="AB2027">
        <v>745</v>
      </c>
      <c r="AC2027">
        <v>1.51</v>
      </c>
      <c r="AD2027" t="s">
        <v>11377</v>
      </c>
      <c r="AE2027" t="s">
        <v>11378</v>
      </c>
      <c r="AF2027" t="s">
        <v>11379</v>
      </c>
      <c r="AG2027" t="s">
        <v>11380</v>
      </c>
      <c r="AH2027">
        <v>-0.39</v>
      </c>
      <c r="AI2027">
        <v>-1.78</v>
      </c>
      <c r="AJ2027">
        <v>0.69</v>
      </c>
      <c r="AK2027">
        <v>1.63</v>
      </c>
      <c r="AL2027">
        <v>-1</v>
      </c>
      <c r="AM2027">
        <v>-0.13</v>
      </c>
      <c r="AN2027">
        <v>5.76</v>
      </c>
      <c r="AO2027">
        <v>-0.26</v>
      </c>
      <c r="AP2027">
        <v>0.92</v>
      </c>
    </row>
    <row r="2028" spans="1:42">
      <c r="A2028">
        <v>2027</v>
      </c>
      <c r="B2028" t="str">
        <f>"603069"</f>
        <v>603069</v>
      </c>
      <c r="C2028" t="s">
        <v>11381</v>
      </c>
      <c r="D2028">
        <v>20.74</v>
      </c>
      <c r="E2028">
        <v>1.07</v>
      </c>
      <c r="F2028">
        <v>0.22</v>
      </c>
      <c r="G2028" t="s">
        <v>1502</v>
      </c>
      <c r="H2028">
        <v>576</v>
      </c>
      <c r="I2028">
        <v>20.73</v>
      </c>
      <c r="J2028">
        <v>20.74</v>
      </c>
      <c r="K2028" t="s">
        <v>11382</v>
      </c>
      <c r="L2028">
        <v>1.43</v>
      </c>
      <c r="M2028" t="s">
        <v>46</v>
      </c>
      <c r="N2028" t="s">
        <v>2265</v>
      </c>
      <c r="O2028">
        <v>20.93</v>
      </c>
      <c r="P2028">
        <v>20.44</v>
      </c>
      <c r="Q2028">
        <v>20.46</v>
      </c>
      <c r="R2028">
        <v>20.52</v>
      </c>
      <c r="S2028">
        <v>2.39</v>
      </c>
      <c r="T2028">
        <v>0.39</v>
      </c>
      <c r="U2028">
        <v>-64.99</v>
      </c>
      <c r="V2028">
        <v>-1032</v>
      </c>
      <c r="W2028">
        <v>20.68</v>
      </c>
      <c r="X2028" t="s">
        <v>299</v>
      </c>
      <c r="Y2028" t="s">
        <v>153</v>
      </c>
      <c r="Z2028">
        <v>1.14</v>
      </c>
      <c r="AA2028">
        <v>87</v>
      </c>
      <c r="AB2028">
        <v>17</v>
      </c>
      <c r="AC2028">
        <v>7.01</v>
      </c>
      <c r="AD2028" t="s">
        <v>7447</v>
      </c>
      <c r="AE2028" t="s">
        <v>11383</v>
      </c>
      <c r="AF2028" t="s">
        <v>7447</v>
      </c>
      <c r="AG2028" t="s">
        <v>11383</v>
      </c>
      <c r="AH2028">
        <v>-0.05</v>
      </c>
      <c r="AI2028">
        <v>10.03</v>
      </c>
      <c r="AJ2028">
        <v>6</v>
      </c>
      <c r="AK2028">
        <v>19.78</v>
      </c>
      <c r="AL2028">
        <v>1</v>
      </c>
      <c r="AM2028">
        <v>1.07</v>
      </c>
      <c r="AN2028">
        <v>-21.32</v>
      </c>
      <c r="AO2028">
        <v>8.93</v>
      </c>
      <c r="AP2028">
        <v>-14.33</v>
      </c>
    </row>
    <row r="2029" spans="1:42">
      <c r="A2029">
        <v>2028</v>
      </c>
      <c r="B2029" t="str">
        <f>"600713"</f>
        <v>600713</v>
      </c>
      <c r="C2029" t="s">
        <v>11384</v>
      </c>
      <c r="D2029">
        <v>5.23</v>
      </c>
      <c r="E2029">
        <v>1.16</v>
      </c>
      <c r="F2029">
        <v>0.06</v>
      </c>
      <c r="G2029" t="s">
        <v>1196</v>
      </c>
      <c r="H2029">
        <v>2889</v>
      </c>
      <c r="I2029">
        <v>5.23</v>
      </c>
      <c r="J2029">
        <v>5.24</v>
      </c>
      <c r="K2029" t="s">
        <v>3068</v>
      </c>
      <c r="L2029">
        <v>1.72</v>
      </c>
      <c r="M2029" t="s">
        <v>46</v>
      </c>
      <c r="N2029" t="s">
        <v>11385</v>
      </c>
      <c r="O2029">
        <v>5.26</v>
      </c>
      <c r="P2029">
        <v>5.14</v>
      </c>
      <c r="Q2029">
        <v>5.17</v>
      </c>
      <c r="R2029">
        <v>5.17</v>
      </c>
      <c r="S2029">
        <v>2.32</v>
      </c>
      <c r="T2029">
        <v>1.95</v>
      </c>
      <c r="U2029">
        <v>-47</v>
      </c>
      <c r="V2029">
        <v>-9996</v>
      </c>
      <c r="W2029">
        <v>5.2</v>
      </c>
      <c r="X2029" t="s">
        <v>4243</v>
      </c>
      <c r="Y2029" t="s">
        <v>6550</v>
      </c>
      <c r="Z2029">
        <v>0.81</v>
      </c>
      <c r="AA2029">
        <v>444</v>
      </c>
      <c r="AB2029">
        <v>2753</v>
      </c>
      <c r="AC2029">
        <v>1.09</v>
      </c>
      <c r="AD2029" t="s">
        <v>708</v>
      </c>
      <c r="AE2029" t="s">
        <v>11386</v>
      </c>
      <c r="AF2029" t="s">
        <v>11387</v>
      </c>
      <c r="AG2029" t="s">
        <v>10834</v>
      </c>
      <c r="AH2029">
        <v>1.75</v>
      </c>
      <c r="AI2029">
        <v>1.55</v>
      </c>
      <c r="AJ2029">
        <v>3.41</v>
      </c>
      <c r="AK2029">
        <v>6.12</v>
      </c>
      <c r="AL2029">
        <v>2</v>
      </c>
      <c r="AM2029">
        <v>1.16</v>
      </c>
      <c r="AN2029">
        <v>5.02</v>
      </c>
      <c r="AO2029">
        <v>3.77</v>
      </c>
      <c r="AP2029">
        <v>-2.61</v>
      </c>
    </row>
    <row r="2030" spans="1:42">
      <c r="A2030">
        <v>2029</v>
      </c>
      <c r="B2030" t="str">
        <f>"300921"</f>
        <v>300921</v>
      </c>
      <c r="C2030" t="s">
        <v>11388</v>
      </c>
      <c r="D2030">
        <v>27.87</v>
      </c>
      <c r="E2030">
        <v>2.65</v>
      </c>
      <c r="F2030">
        <v>0.72</v>
      </c>
      <c r="G2030" t="s">
        <v>4915</v>
      </c>
      <c r="H2030">
        <v>771</v>
      </c>
      <c r="I2030">
        <v>27.87</v>
      </c>
      <c r="J2030">
        <v>27.88</v>
      </c>
      <c r="K2030" t="s">
        <v>11389</v>
      </c>
      <c r="L2030">
        <v>5.47</v>
      </c>
      <c r="M2030" t="s">
        <v>46</v>
      </c>
      <c r="N2030" t="s">
        <v>9395</v>
      </c>
      <c r="O2030">
        <v>27.94</v>
      </c>
      <c r="P2030">
        <v>27.06</v>
      </c>
      <c r="Q2030">
        <v>27.15</v>
      </c>
      <c r="R2030">
        <v>27.15</v>
      </c>
      <c r="S2030">
        <v>3.24</v>
      </c>
      <c r="T2030">
        <v>1.11</v>
      </c>
      <c r="U2030">
        <v>29.67</v>
      </c>
      <c r="V2030">
        <v>182</v>
      </c>
      <c r="W2030">
        <v>27.6</v>
      </c>
      <c r="X2030" t="s">
        <v>1967</v>
      </c>
      <c r="Y2030" t="s">
        <v>5237</v>
      </c>
      <c r="Z2030">
        <v>0.65</v>
      </c>
      <c r="AA2030">
        <v>79</v>
      </c>
      <c r="AB2030">
        <v>73</v>
      </c>
      <c r="AC2030">
        <v>4.52</v>
      </c>
      <c r="AD2030" t="s">
        <v>11390</v>
      </c>
      <c r="AE2030" t="s">
        <v>11391</v>
      </c>
      <c r="AF2030" t="s">
        <v>11392</v>
      </c>
      <c r="AG2030" t="s">
        <v>11393</v>
      </c>
      <c r="AH2030">
        <v>1.01</v>
      </c>
      <c r="AI2030">
        <v>-2.45</v>
      </c>
      <c r="AJ2030">
        <v>14.01</v>
      </c>
      <c r="AK2030">
        <v>30.02</v>
      </c>
      <c r="AL2030">
        <v>1</v>
      </c>
      <c r="AM2030">
        <v>2.65</v>
      </c>
      <c r="AN2030">
        <v>60.82</v>
      </c>
      <c r="AO2030">
        <v>5.37</v>
      </c>
      <c r="AP2030">
        <v>33.48</v>
      </c>
    </row>
    <row r="2031" spans="1:42">
      <c r="A2031">
        <v>2030</v>
      </c>
      <c r="B2031" t="str">
        <f>"688591"</f>
        <v>688591</v>
      </c>
      <c r="C2031" t="s">
        <v>11394</v>
      </c>
      <c r="D2031">
        <v>30.25</v>
      </c>
      <c r="E2031">
        <v>1.48</v>
      </c>
      <c r="F2031">
        <v>0.44</v>
      </c>
      <c r="G2031" t="s">
        <v>4914</v>
      </c>
      <c r="H2031">
        <v>298</v>
      </c>
      <c r="I2031">
        <v>30.24</v>
      </c>
      <c r="J2031">
        <v>30.25</v>
      </c>
      <c r="K2031" t="s">
        <v>11395</v>
      </c>
      <c r="L2031">
        <v>5.96</v>
      </c>
      <c r="M2031" t="s">
        <v>46</v>
      </c>
      <c r="N2031" t="s">
        <v>11396</v>
      </c>
      <c r="O2031">
        <v>30.34</v>
      </c>
      <c r="P2031">
        <v>29.51</v>
      </c>
      <c r="Q2031">
        <v>29.93</v>
      </c>
      <c r="R2031">
        <v>29.81</v>
      </c>
      <c r="S2031">
        <v>2.78</v>
      </c>
      <c r="T2031">
        <v>0.89</v>
      </c>
      <c r="U2031">
        <v>67</v>
      </c>
      <c r="V2031">
        <v>696</v>
      </c>
      <c r="W2031">
        <v>29.91</v>
      </c>
      <c r="X2031" t="s">
        <v>1177</v>
      </c>
      <c r="Y2031" t="s">
        <v>1777</v>
      </c>
      <c r="Z2031">
        <v>1.31</v>
      </c>
      <c r="AA2031">
        <v>100</v>
      </c>
      <c r="AB2031">
        <v>14</v>
      </c>
      <c r="AC2031">
        <v>3.12</v>
      </c>
      <c r="AD2031" t="s">
        <v>4237</v>
      </c>
      <c r="AE2031" t="s">
        <v>11397</v>
      </c>
      <c r="AF2031" t="s">
        <v>11398</v>
      </c>
      <c r="AG2031" t="s">
        <v>579</v>
      </c>
      <c r="AH2031">
        <v>-2.92</v>
      </c>
      <c r="AI2031">
        <v>-5.94</v>
      </c>
      <c r="AJ2031">
        <v>19.18</v>
      </c>
      <c r="AK2031">
        <v>39.53</v>
      </c>
      <c r="AL2031">
        <v>1</v>
      </c>
      <c r="AM2031">
        <v>1.48</v>
      </c>
      <c r="AN2031">
        <v>21.1</v>
      </c>
      <c r="AO2031">
        <v>-1.72</v>
      </c>
      <c r="AP2031">
        <v>21.1</v>
      </c>
    </row>
    <row r="2032" spans="1:42">
      <c r="A2032">
        <v>2031</v>
      </c>
      <c r="B2032" t="str">
        <f>"605118"</f>
        <v>605118</v>
      </c>
      <c r="C2032" t="s">
        <v>11399</v>
      </c>
      <c r="D2032">
        <v>17.5</v>
      </c>
      <c r="E2032">
        <v>-0.79</v>
      </c>
      <c r="F2032">
        <v>-0.14</v>
      </c>
      <c r="G2032" t="s">
        <v>308</v>
      </c>
      <c r="H2032">
        <v>426</v>
      </c>
      <c r="I2032">
        <v>17.5</v>
      </c>
      <c r="J2032">
        <v>17.51</v>
      </c>
      <c r="K2032" t="s">
        <v>11400</v>
      </c>
      <c r="L2032">
        <v>1.31</v>
      </c>
      <c r="M2032" t="s">
        <v>46</v>
      </c>
      <c r="N2032" t="s">
        <v>3083</v>
      </c>
      <c r="O2032">
        <v>17.71</v>
      </c>
      <c r="P2032">
        <v>17.02</v>
      </c>
      <c r="Q2032">
        <v>17.5</v>
      </c>
      <c r="R2032">
        <v>17.64</v>
      </c>
      <c r="S2032">
        <v>3.91</v>
      </c>
      <c r="T2032">
        <v>0.88</v>
      </c>
      <c r="U2032">
        <v>14.21</v>
      </c>
      <c r="V2032">
        <v>154</v>
      </c>
      <c r="W2032">
        <v>17.36</v>
      </c>
      <c r="X2032" t="s">
        <v>10910</v>
      </c>
      <c r="Y2032" t="s">
        <v>914</v>
      </c>
      <c r="Z2032">
        <v>1.01</v>
      </c>
      <c r="AA2032">
        <v>425</v>
      </c>
      <c r="AB2032">
        <v>52</v>
      </c>
      <c r="AC2032">
        <v>5</v>
      </c>
      <c r="AD2032" t="s">
        <v>11401</v>
      </c>
      <c r="AE2032" t="s">
        <v>11402</v>
      </c>
      <c r="AF2032" t="s">
        <v>9486</v>
      </c>
      <c r="AG2032" t="s">
        <v>11403</v>
      </c>
      <c r="AH2032">
        <v>1.45</v>
      </c>
      <c r="AI2032">
        <v>4.67</v>
      </c>
      <c r="AJ2032">
        <v>5.09</v>
      </c>
      <c r="AK2032">
        <v>8.76</v>
      </c>
      <c r="AL2032">
        <v>-1</v>
      </c>
      <c r="AM2032">
        <v>-0.79</v>
      </c>
      <c r="AN2032">
        <v>41.36</v>
      </c>
      <c r="AO2032">
        <v>12.9</v>
      </c>
      <c r="AP2032">
        <v>29.15</v>
      </c>
    </row>
    <row r="2033" spans="1:42">
      <c r="A2033">
        <v>2032</v>
      </c>
      <c r="B2033" t="str">
        <f>"600981"</f>
        <v>600981</v>
      </c>
      <c r="C2033" t="s">
        <v>11404</v>
      </c>
      <c r="D2033">
        <v>2.98</v>
      </c>
      <c r="E2033">
        <v>2.76</v>
      </c>
      <c r="F2033">
        <v>0.08</v>
      </c>
      <c r="G2033" t="s">
        <v>5361</v>
      </c>
      <c r="H2033">
        <v>2732</v>
      </c>
      <c r="I2033">
        <v>2.97</v>
      </c>
      <c r="J2033">
        <v>2.98</v>
      </c>
      <c r="K2033" t="s">
        <v>11400</v>
      </c>
      <c r="L2033">
        <v>1.39</v>
      </c>
      <c r="M2033" t="s">
        <v>46</v>
      </c>
      <c r="N2033" t="s">
        <v>11405</v>
      </c>
      <c r="O2033">
        <v>3.03</v>
      </c>
      <c r="P2033">
        <v>2.91</v>
      </c>
      <c r="Q2033">
        <v>2.92</v>
      </c>
      <c r="R2033">
        <v>2.9</v>
      </c>
      <c r="S2033">
        <v>4.14</v>
      </c>
      <c r="T2033">
        <v>1.96</v>
      </c>
      <c r="U2033">
        <v>-30.86</v>
      </c>
      <c r="V2033">
        <v>-9042</v>
      </c>
      <c r="W2033">
        <v>2.97</v>
      </c>
      <c r="X2033" t="s">
        <v>1493</v>
      </c>
      <c r="Y2033" t="s">
        <v>2778</v>
      </c>
      <c r="Z2033">
        <v>0.88</v>
      </c>
      <c r="AA2033">
        <v>2785</v>
      </c>
      <c r="AB2033">
        <v>2664</v>
      </c>
      <c r="AC2033">
        <v>1.35</v>
      </c>
      <c r="AD2033" t="s">
        <v>7457</v>
      </c>
      <c r="AE2033" t="s">
        <v>11406</v>
      </c>
      <c r="AF2033" t="s">
        <v>7457</v>
      </c>
      <c r="AG2033" t="s">
        <v>11406</v>
      </c>
      <c r="AH2033">
        <v>3.47</v>
      </c>
      <c r="AI2033">
        <v>3.11</v>
      </c>
      <c r="AJ2033">
        <v>2.62</v>
      </c>
      <c r="AK2033">
        <v>4.94</v>
      </c>
      <c r="AL2033">
        <v>2</v>
      </c>
      <c r="AM2033">
        <v>2.76</v>
      </c>
      <c r="AN2033">
        <v>3.47</v>
      </c>
      <c r="AO2033">
        <v>9.96</v>
      </c>
      <c r="AP2033">
        <v>8.36</v>
      </c>
    </row>
    <row r="2034" spans="1:42">
      <c r="A2034">
        <v>2033</v>
      </c>
      <c r="B2034" t="str">
        <f>"600478"</f>
        <v>600478</v>
      </c>
      <c r="C2034" t="s">
        <v>11407</v>
      </c>
      <c r="D2034">
        <v>4.95</v>
      </c>
      <c r="E2034">
        <v>-1.59</v>
      </c>
      <c r="F2034">
        <v>-0.08</v>
      </c>
      <c r="G2034" t="s">
        <v>3785</v>
      </c>
      <c r="H2034">
        <v>1018</v>
      </c>
      <c r="I2034">
        <v>4.95</v>
      </c>
      <c r="J2034">
        <v>4.96</v>
      </c>
      <c r="K2034" t="s">
        <v>11408</v>
      </c>
      <c r="L2034">
        <v>1.13</v>
      </c>
      <c r="M2034" t="s">
        <v>46</v>
      </c>
      <c r="N2034" t="s">
        <v>7018</v>
      </c>
      <c r="O2034">
        <v>5.03</v>
      </c>
      <c r="P2034">
        <v>4.88</v>
      </c>
      <c r="Q2034">
        <v>5.03</v>
      </c>
      <c r="R2034">
        <v>5.03</v>
      </c>
      <c r="S2034">
        <v>2.98</v>
      </c>
      <c r="T2034">
        <v>1.43</v>
      </c>
      <c r="U2034">
        <v>8.49</v>
      </c>
      <c r="V2034">
        <v>1262</v>
      </c>
      <c r="W2034">
        <v>4.93</v>
      </c>
      <c r="X2034" t="s">
        <v>1438</v>
      </c>
      <c r="Y2034" t="s">
        <v>9723</v>
      </c>
      <c r="Z2034">
        <v>1.42</v>
      </c>
      <c r="AA2034">
        <v>3660</v>
      </c>
      <c r="AB2034">
        <v>1034</v>
      </c>
      <c r="AC2034">
        <v>2.92</v>
      </c>
      <c r="AD2034" t="s">
        <v>11409</v>
      </c>
      <c r="AE2034" t="s">
        <v>7947</v>
      </c>
      <c r="AF2034" t="s">
        <v>11409</v>
      </c>
      <c r="AG2034" t="s">
        <v>7947</v>
      </c>
      <c r="AH2034">
        <v>-5.17</v>
      </c>
      <c r="AI2034">
        <v>-8.5</v>
      </c>
      <c r="AJ2034">
        <v>2.61</v>
      </c>
      <c r="AK2034">
        <v>5.08</v>
      </c>
      <c r="AL2034">
        <v>-3</v>
      </c>
      <c r="AM2034">
        <v>-1.59</v>
      </c>
      <c r="AN2034">
        <v>-47.23</v>
      </c>
      <c r="AO2034">
        <v>-7.13</v>
      </c>
      <c r="AP2034">
        <v>-52.31</v>
      </c>
    </row>
    <row r="2035" spans="1:42">
      <c r="A2035">
        <v>2034</v>
      </c>
      <c r="B2035" t="str">
        <f>"600711"</f>
        <v>600711</v>
      </c>
      <c r="C2035" t="s">
        <v>11410</v>
      </c>
      <c r="D2035">
        <v>4.43</v>
      </c>
      <c r="E2035">
        <v>0.45</v>
      </c>
      <c r="F2035">
        <v>0.02</v>
      </c>
      <c r="G2035" t="s">
        <v>3217</v>
      </c>
      <c r="H2035">
        <v>890</v>
      </c>
      <c r="I2035">
        <v>4.43</v>
      </c>
      <c r="J2035">
        <v>4.44</v>
      </c>
      <c r="K2035" t="s">
        <v>11411</v>
      </c>
      <c r="L2035">
        <v>0.67</v>
      </c>
      <c r="M2035" t="s">
        <v>46</v>
      </c>
      <c r="N2035" t="s">
        <v>11412</v>
      </c>
      <c r="O2035">
        <v>4.46</v>
      </c>
      <c r="P2035">
        <v>4.37</v>
      </c>
      <c r="Q2035">
        <v>4.4</v>
      </c>
      <c r="R2035">
        <v>4.41</v>
      </c>
      <c r="S2035">
        <v>2.04</v>
      </c>
      <c r="T2035">
        <v>1.3</v>
      </c>
      <c r="U2035">
        <v>-20.76</v>
      </c>
      <c r="V2035">
        <v>-7072</v>
      </c>
      <c r="W2035">
        <v>4.4</v>
      </c>
      <c r="X2035" t="s">
        <v>656</v>
      </c>
      <c r="Y2035" t="s">
        <v>2205</v>
      </c>
      <c r="Z2035">
        <v>1.13</v>
      </c>
      <c r="AA2035">
        <v>1758</v>
      </c>
      <c r="AB2035">
        <v>5530</v>
      </c>
      <c r="AC2035">
        <v>0.99</v>
      </c>
      <c r="AD2035" t="s">
        <v>11413</v>
      </c>
      <c r="AE2035" t="s">
        <v>11414</v>
      </c>
      <c r="AF2035" t="s">
        <v>11415</v>
      </c>
      <c r="AG2035" t="s">
        <v>11416</v>
      </c>
      <c r="AH2035">
        <v>-1.12</v>
      </c>
      <c r="AI2035">
        <v>-1.34</v>
      </c>
      <c r="AJ2035">
        <v>1.68</v>
      </c>
      <c r="AK2035">
        <v>3.28</v>
      </c>
      <c r="AL2035">
        <v>1</v>
      </c>
      <c r="AM2035">
        <v>0.45</v>
      </c>
      <c r="AN2035">
        <v>-24.79</v>
      </c>
      <c r="AO2035">
        <v>-2.21</v>
      </c>
      <c r="AP2035">
        <v>-25.8</v>
      </c>
    </row>
    <row r="2036" spans="1:42">
      <c r="A2036">
        <v>2035</v>
      </c>
      <c r="B2036" t="str">
        <f>"300623"</f>
        <v>300623</v>
      </c>
      <c r="C2036" t="s">
        <v>11417</v>
      </c>
      <c r="D2036">
        <v>17.17</v>
      </c>
      <c r="E2036">
        <v>0.53</v>
      </c>
      <c r="F2036">
        <v>0.09</v>
      </c>
      <c r="G2036" t="s">
        <v>5316</v>
      </c>
      <c r="H2036">
        <v>629</v>
      </c>
      <c r="I2036">
        <v>17.16</v>
      </c>
      <c r="J2036">
        <v>17.17</v>
      </c>
      <c r="K2036" t="s">
        <v>11418</v>
      </c>
      <c r="L2036">
        <v>0.86</v>
      </c>
      <c r="M2036" t="s">
        <v>46</v>
      </c>
      <c r="N2036" t="s">
        <v>11419</v>
      </c>
      <c r="O2036">
        <v>17.21</v>
      </c>
      <c r="P2036">
        <v>16.85</v>
      </c>
      <c r="Q2036">
        <v>17.08</v>
      </c>
      <c r="R2036">
        <v>17.08</v>
      </c>
      <c r="S2036">
        <v>2.11</v>
      </c>
      <c r="T2036">
        <v>0.88</v>
      </c>
      <c r="U2036">
        <v>-27.23</v>
      </c>
      <c r="V2036">
        <v>-456</v>
      </c>
      <c r="W2036">
        <v>17.03</v>
      </c>
      <c r="X2036" t="s">
        <v>3121</v>
      </c>
      <c r="Y2036" t="s">
        <v>3456</v>
      </c>
      <c r="Z2036">
        <v>1.02</v>
      </c>
      <c r="AA2036">
        <v>106</v>
      </c>
      <c r="AB2036">
        <v>259</v>
      </c>
      <c r="AC2036">
        <v>3.75</v>
      </c>
      <c r="AD2036" t="s">
        <v>11420</v>
      </c>
      <c r="AE2036" t="s">
        <v>5503</v>
      </c>
      <c r="AF2036" t="s">
        <v>11421</v>
      </c>
      <c r="AG2036" t="s">
        <v>11422</v>
      </c>
      <c r="AH2036">
        <v>-2.11</v>
      </c>
      <c r="AI2036">
        <v>-1.89</v>
      </c>
      <c r="AJ2036">
        <v>4.04</v>
      </c>
      <c r="AK2036">
        <v>5.77</v>
      </c>
      <c r="AL2036">
        <v>1</v>
      </c>
      <c r="AM2036">
        <v>0.53</v>
      </c>
      <c r="AN2036">
        <v>-16.37</v>
      </c>
      <c r="AO2036">
        <v>-3.97</v>
      </c>
      <c r="AP2036">
        <v>-18.28</v>
      </c>
    </row>
    <row r="2037" spans="1:42">
      <c r="A2037">
        <v>2036</v>
      </c>
      <c r="B2037" t="str">
        <f>"301325"</f>
        <v>301325</v>
      </c>
      <c r="C2037" t="s">
        <v>11423</v>
      </c>
      <c r="D2037">
        <v>76.4</v>
      </c>
      <c r="E2037">
        <v>-2</v>
      </c>
      <c r="F2037">
        <v>-1.56</v>
      </c>
      <c r="G2037" t="s">
        <v>1052</v>
      </c>
      <c r="H2037">
        <v>106</v>
      </c>
      <c r="I2037">
        <v>76.39</v>
      </c>
      <c r="J2037">
        <v>76.4</v>
      </c>
      <c r="K2037" t="s">
        <v>11424</v>
      </c>
      <c r="L2037">
        <v>4.61</v>
      </c>
      <c r="M2037" t="s">
        <v>46</v>
      </c>
      <c r="N2037" t="s">
        <v>2844</v>
      </c>
      <c r="O2037">
        <v>77.97</v>
      </c>
      <c r="P2037">
        <v>75.93</v>
      </c>
      <c r="Q2037">
        <v>77.7</v>
      </c>
      <c r="R2037">
        <v>77.96</v>
      </c>
      <c r="S2037">
        <v>2.62</v>
      </c>
      <c r="T2037">
        <v>0.54</v>
      </c>
      <c r="U2037">
        <v>-31.29</v>
      </c>
      <c r="V2037">
        <v>-46</v>
      </c>
      <c r="W2037">
        <v>76.6</v>
      </c>
      <c r="X2037">
        <v>7529</v>
      </c>
      <c r="Y2037">
        <v>4561</v>
      </c>
      <c r="Z2037">
        <v>1.65</v>
      </c>
      <c r="AA2037">
        <v>10</v>
      </c>
      <c r="AB2037">
        <v>24</v>
      </c>
      <c r="AC2037">
        <v>3.16</v>
      </c>
      <c r="AD2037" t="s">
        <v>5210</v>
      </c>
      <c r="AE2037" t="s">
        <v>11425</v>
      </c>
      <c r="AF2037" t="s">
        <v>11426</v>
      </c>
      <c r="AG2037" t="s">
        <v>5873</v>
      </c>
      <c r="AH2037">
        <v>-4.99</v>
      </c>
      <c r="AI2037">
        <v>-0.2</v>
      </c>
      <c r="AJ2037">
        <v>14.64</v>
      </c>
      <c r="AK2037">
        <v>47.5</v>
      </c>
      <c r="AL2037">
        <v>-3</v>
      </c>
      <c r="AM2037">
        <v>-2</v>
      </c>
      <c r="AN2037">
        <v>-0.52</v>
      </c>
      <c r="AO2037">
        <v>3.73</v>
      </c>
      <c r="AP2037">
        <v>-0.52</v>
      </c>
    </row>
    <row r="2038" spans="1:42">
      <c r="A2038">
        <v>2037</v>
      </c>
      <c r="B2038" t="str">
        <f>"301266"</f>
        <v>301266</v>
      </c>
      <c r="C2038" t="s">
        <v>11427</v>
      </c>
      <c r="D2038">
        <v>43.16</v>
      </c>
      <c r="E2038">
        <v>-2.53</v>
      </c>
      <c r="F2038">
        <v>-1.12</v>
      </c>
      <c r="G2038" t="s">
        <v>2716</v>
      </c>
      <c r="H2038">
        <v>306</v>
      </c>
      <c r="I2038">
        <v>43.15</v>
      </c>
      <c r="J2038">
        <v>43.16</v>
      </c>
      <c r="K2038" t="s">
        <v>11428</v>
      </c>
      <c r="L2038">
        <v>5.71</v>
      </c>
      <c r="M2038" t="s">
        <v>46</v>
      </c>
      <c r="N2038" t="s">
        <v>5809</v>
      </c>
      <c r="O2038">
        <v>44.38</v>
      </c>
      <c r="P2038">
        <v>42.45</v>
      </c>
      <c r="Q2038">
        <v>44.38</v>
      </c>
      <c r="R2038">
        <v>44.28</v>
      </c>
      <c r="S2038">
        <v>4.36</v>
      </c>
      <c r="T2038">
        <v>1.91</v>
      </c>
      <c r="U2038">
        <v>-40.12</v>
      </c>
      <c r="V2038">
        <v>-209</v>
      </c>
      <c r="W2038">
        <v>43.21</v>
      </c>
      <c r="X2038" t="s">
        <v>6212</v>
      </c>
      <c r="Y2038">
        <v>8717</v>
      </c>
      <c r="Z2038">
        <v>1.46</v>
      </c>
      <c r="AA2038">
        <v>57</v>
      </c>
      <c r="AB2038">
        <v>316</v>
      </c>
      <c r="AC2038">
        <v>3.03</v>
      </c>
      <c r="AD2038" t="s">
        <v>4056</v>
      </c>
      <c r="AE2038" t="s">
        <v>11429</v>
      </c>
      <c r="AF2038" t="s">
        <v>11430</v>
      </c>
      <c r="AG2038" t="s">
        <v>2118</v>
      </c>
      <c r="AH2038">
        <v>-6.42</v>
      </c>
      <c r="AI2038">
        <v>-8.85</v>
      </c>
      <c r="AJ2038">
        <v>12.71</v>
      </c>
      <c r="AK2038">
        <v>20.69</v>
      </c>
      <c r="AL2038">
        <v>-3</v>
      </c>
      <c r="AM2038">
        <v>-2.53</v>
      </c>
      <c r="AN2038">
        <v>-42.77</v>
      </c>
      <c r="AO2038">
        <v>-4.11</v>
      </c>
      <c r="AP2038">
        <v>-39.81</v>
      </c>
    </row>
    <row r="2039" spans="1:42">
      <c r="A2039">
        <v>2038</v>
      </c>
      <c r="B2039" t="str">
        <f>"300936"</f>
        <v>300936</v>
      </c>
      <c r="C2039" t="s">
        <v>11431</v>
      </c>
      <c r="D2039">
        <v>43.55</v>
      </c>
      <c r="E2039">
        <v>0.35</v>
      </c>
      <c r="F2039">
        <v>0.15</v>
      </c>
      <c r="G2039" t="s">
        <v>2716</v>
      </c>
      <c r="H2039">
        <v>238</v>
      </c>
      <c r="I2039">
        <v>43.55</v>
      </c>
      <c r="J2039">
        <v>43.56</v>
      </c>
      <c r="K2039" t="s">
        <v>11428</v>
      </c>
      <c r="L2039">
        <v>8.07</v>
      </c>
      <c r="M2039" t="s">
        <v>46</v>
      </c>
      <c r="N2039" t="s">
        <v>1752</v>
      </c>
      <c r="O2039">
        <v>43.8</v>
      </c>
      <c r="P2039">
        <v>42.46</v>
      </c>
      <c r="Q2039">
        <v>43.72</v>
      </c>
      <c r="R2039">
        <v>43.4</v>
      </c>
      <c r="S2039">
        <v>3.09</v>
      </c>
      <c r="T2039">
        <v>0.63</v>
      </c>
      <c r="U2039">
        <v>72.25</v>
      </c>
      <c r="V2039">
        <v>276</v>
      </c>
      <c r="W2039">
        <v>43.17</v>
      </c>
      <c r="X2039" t="s">
        <v>2667</v>
      </c>
      <c r="Y2039" t="s">
        <v>2615</v>
      </c>
      <c r="Z2039">
        <v>1.14</v>
      </c>
      <c r="AA2039">
        <v>142</v>
      </c>
      <c r="AB2039">
        <v>6</v>
      </c>
      <c r="AC2039">
        <v>3.19</v>
      </c>
      <c r="AD2039" t="s">
        <v>11432</v>
      </c>
      <c r="AE2039" t="s">
        <v>8503</v>
      </c>
      <c r="AF2039" t="s">
        <v>11433</v>
      </c>
      <c r="AG2039" t="s">
        <v>6386</v>
      </c>
      <c r="AH2039">
        <v>-4.85</v>
      </c>
      <c r="AI2039">
        <v>-2.05</v>
      </c>
      <c r="AJ2039">
        <v>33.2</v>
      </c>
      <c r="AK2039">
        <v>71.74</v>
      </c>
      <c r="AL2039">
        <v>1</v>
      </c>
      <c r="AM2039">
        <v>0.35</v>
      </c>
      <c r="AN2039">
        <v>74.76</v>
      </c>
      <c r="AO2039">
        <v>0.9</v>
      </c>
      <c r="AP2039">
        <v>66.28</v>
      </c>
    </row>
    <row r="2040" spans="1:42">
      <c r="A2040">
        <v>2039</v>
      </c>
      <c r="B2040" t="str">
        <f>"688375"</f>
        <v>688375</v>
      </c>
      <c r="C2040" t="s">
        <v>11434</v>
      </c>
      <c r="D2040">
        <v>83.86</v>
      </c>
      <c r="E2040">
        <v>0.59</v>
      </c>
      <c r="F2040">
        <v>0.49</v>
      </c>
      <c r="G2040" t="s">
        <v>2807</v>
      </c>
      <c r="H2040">
        <v>40</v>
      </c>
      <c r="I2040">
        <v>83.65</v>
      </c>
      <c r="J2040">
        <v>83.86</v>
      </c>
      <c r="K2040" t="s">
        <v>11435</v>
      </c>
      <c r="L2040">
        <v>0.66</v>
      </c>
      <c r="M2040" t="s">
        <v>46</v>
      </c>
      <c r="N2040" t="s">
        <v>3138</v>
      </c>
      <c r="O2040">
        <v>84.47</v>
      </c>
      <c r="P2040">
        <v>82</v>
      </c>
      <c r="Q2040">
        <v>83.39</v>
      </c>
      <c r="R2040">
        <v>83.37</v>
      </c>
      <c r="S2040">
        <v>2.96</v>
      </c>
      <c r="T2040">
        <v>1.16</v>
      </c>
      <c r="U2040">
        <v>57.63</v>
      </c>
      <c r="V2040">
        <v>68</v>
      </c>
      <c r="W2040">
        <v>83.36</v>
      </c>
      <c r="X2040">
        <v>4921</v>
      </c>
      <c r="Y2040">
        <v>6178</v>
      </c>
      <c r="Z2040">
        <v>0.8</v>
      </c>
      <c r="AA2040">
        <v>45</v>
      </c>
      <c r="AB2040">
        <v>8</v>
      </c>
      <c r="AC2040">
        <v>5.74</v>
      </c>
      <c r="AD2040" t="s">
        <v>7381</v>
      </c>
      <c r="AE2040" t="s">
        <v>11436</v>
      </c>
      <c r="AF2040" t="s">
        <v>11437</v>
      </c>
      <c r="AG2040" t="s">
        <v>4876</v>
      </c>
      <c r="AH2040">
        <v>-3.03</v>
      </c>
      <c r="AI2040">
        <v>-3.55</v>
      </c>
      <c r="AJ2040">
        <v>2.14</v>
      </c>
      <c r="AK2040">
        <v>3.51</v>
      </c>
      <c r="AL2040">
        <v>1</v>
      </c>
      <c r="AM2040">
        <v>0.59</v>
      </c>
      <c r="AN2040">
        <v>-11.88</v>
      </c>
      <c r="AO2040">
        <v>1.28</v>
      </c>
      <c r="AP2040">
        <v>-19.12</v>
      </c>
    </row>
    <row r="2041" spans="1:42">
      <c r="A2041">
        <v>2040</v>
      </c>
      <c r="B2041" t="str">
        <f>"603920"</f>
        <v>603920</v>
      </c>
      <c r="C2041" t="s">
        <v>11438</v>
      </c>
      <c r="D2041">
        <v>17.84</v>
      </c>
      <c r="E2041">
        <v>0.17</v>
      </c>
      <c r="F2041">
        <v>0.03</v>
      </c>
      <c r="G2041" t="s">
        <v>4616</v>
      </c>
      <c r="H2041">
        <v>152</v>
      </c>
      <c r="I2041">
        <v>17.83</v>
      </c>
      <c r="J2041">
        <v>17.84</v>
      </c>
      <c r="K2041" t="s">
        <v>11439</v>
      </c>
      <c r="L2041">
        <v>0.98</v>
      </c>
      <c r="M2041" t="s">
        <v>46</v>
      </c>
      <c r="N2041" t="s">
        <v>11440</v>
      </c>
      <c r="O2041">
        <v>17.92</v>
      </c>
      <c r="P2041">
        <v>17.51</v>
      </c>
      <c r="Q2041">
        <v>17.81</v>
      </c>
      <c r="R2041">
        <v>17.81</v>
      </c>
      <c r="S2041">
        <v>2.3</v>
      </c>
      <c r="T2041">
        <v>0.78</v>
      </c>
      <c r="U2041">
        <v>-21.64</v>
      </c>
      <c r="V2041">
        <v>-148</v>
      </c>
      <c r="W2041">
        <v>17.7</v>
      </c>
      <c r="X2041" t="s">
        <v>6395</v>
      </c>
      <c r="Y2041" t="s">
        <v>6266</v>
      </c>
      <c r="Z2041">
        <v>1.26</v>
      </c>
      <c r="AA2041">
        <v>5</v>
      </c>
      <c r="AB2041">
        <v>181</v>
      </c>
      <c r="AC2041">
        <v>3.21</v>
      </c>
      <c r="AD2041" t="s">
        <v>11441</v>
      </c>
      <c r="AE2041" t="s">
        <v>11442</v>
      </c>
      <c r="AF2041" t="s">
        <v>11441</v>
      </c>
      <c r="AG2041" t="s">
        <v>11442</v>
      </c>
      <c r="AH2041">
        <v>-1.11</v>
      </c>
      <c r="AI2041">
        <v>-1.22</v>
      </c>
      <c r="AJ2041">
        <v>3.35</v>
      </c>
      <c r="AK2041">
        <v>7.32</v>
      </c>
      <c r="AL2041">
        <v>1</v>
      </c>
      <c r="AM2041">
        <v>0.17</v>
      </c>
      <c r="AN2041">
        <v>29.46</v>
      </c>
      <c r="AO2041">
        <v>-0.34</v>
      </c>
      <c r="AP2041">
        <v>15.17</v>
      </c>
    </row>
    <row r="2042" spans="1:42">
      <c r="A2042">
        <v>2041</v>
      </c>
      <c r="B2042" t="str">
        <f>"002847"</f>
        <v>002847</v>
      </c>
      <c r="C2042" t="s">
        <v>11443</v>
      </c>
      <c r="D2042">
        <v>79.77</v>
      </c>
      <c r="E2042">
        <v>-1.62</v>
      </c>
      <c r="F2042">
        <v>-1.31</v>
      </c>
      <c r="G2042" t="s">
        <v>2284</v>
      </c>
      <c r="H2042">
        <v>95</v>
      </c>
      <c r="I2042">
        <v>79.77</v>
      </c>
      <c r="J2042">
        <v>79.78</v>
      </c>
      <c r="K2042" t="s">
        <v>11439</v>
      </c>
      <c r="L2042">
        <v>0.66</v>
      </c>
      <c r="M2042" t="s">
        <v>46</v>
      </c>
      <c r="N2042" t="s">
        <v>8359</v>
      </c>
      <c r="O2042">
        <v>81.48</v>
      </c>
      <c r="P2042">
        <v>79.63</v>
      </c>
      <c r="Q2042">
        <v>81.36</v>
      </c>
      <c r="R2042">
        <v>81.08</v>
      </c>
      <c r="S2042">
        <v>2.28</v>
      </c>
      <c r="T2042">
        <v>1.89</v>
      </c>
      <c r="U2042">
        <v>74.57</v>
      </c>
      <c r="V2042">
        <v>153</v>
      </c>
      <c r="W2042">
        <v>80.3</v>
      </c>
      <c r="X2042">
        <v>6534</v>
      </c>
      <c r="Y2042">
        <v>4978</v>
      </c>
      <c r="Z2042">
        <v>1.31</v>
      </c>
      <c r="AA2042">
        <v>3</v>
      </c>
      <c r="AB2042">
        <v>1</v>
      </c>
      <c r="AC2042">
        <v>11.48</v>
      </c>
      <c r="AD2042" t="s">
        <v>8413</v>
      </c>
      <c r="AE2042" t="s">
        <v>10568</v>
      </c>
      <c r="AF2042" t="s">
        <v>11444</v>
      </c>
      <c r="AG2042" t="s">
        <v>7515</v>
      </c>
      <c r="AH2042">
        <v>-1.14</v>
      </c>
      <c r="AI2042">
        <v>-1.52</v>
      </c>
      <c r="AJ2042">
        <v>1.52</v>
      </c>
      <c r="AK2042">
        <v>2.42</v>
      </c>
      <c r="AL2042">
        <v>-2</v>
      </c>
      <c r="AM2042">
        <v>-1.62</v>
      </c>
      <c r="AN2042">
        <v>12.05</v>
      </c>
      <c r="AO2042">
        <v>1.79</v>
      </c>
      <c r="AP2042">
        <v>17.05</v>
      </c>
    </row>
    <row r="2043" spans="1:42">
      <c r="A2043">
        <v>2042</v>
      </c>
      <c r="B2043" t="str">
        <f>"002882"</f>
        <v>002882</v>
      </c>
      <c r="C2043" t="s">
        <v>11445</v>
      </c>
      <c r="D2043">
        <v>15.24</v>
      </c>
      <c r="E2043">
        <v>1.6</v>
      </c>
      <c r="F2043">
        <v>0.24</v>
      </c>
      <c r="G2043" t="s">
        <v>7214</v>
      </c>
      <c r="H2043">
        <v>1486</v>
      </c>
      <c r="I2043">
        <v>15.24</v>
      </c>
      <c r="J2043">
        <v>15.25</v>
      </c>
      <c r="K2043" t="s">
        <v>11439</v>
      </c>
      <c r="L2043">
        <v>2.49</v>
      </c>
      <c r="M2043" t="s">
        <v>46</v>
      </c>
      <c r="N2043" t="s">
        <v>2909</v>
      </c>
      <c r="O2043">
        <v>15.24</v>
      </c>
      <c r="P2043">
        <v>14.8</v>
      </c>
      <c r="Q2043">
        <v>15.02</v>
      </c>
      <c r="R2043">
        <v>15</v>
      </c>
      <c r="S2043">
        <v>2.93</v>
      </c>
      <c r="T2043">
        <v>0.81</v>
      </c>
      <c r="U2043">
        <v>27.73</v>
      </c>
      <c r="V2043">
        <v>561</v>
      </c>
      <c r="W2043">
        <v>15.07</v>
      </c>
      <c r="X2043" t="s">
        <v>5675</v>
      </c>
      <c r="Y2043" t="s">
        <v>8622</v>
      </c>
      <c r="Z2043">
        <v>1.09</v>
      </c>
      <c r="AA2043">
        <v>428</v>
      </c>
      <c r="AB2043">
        <v>455</v>
      </c>
      <c r="AC2043">
        <v>3.14</v>
      </c>
      <c r="AD2043" t="s">
        <v>11446</v>
      </c>
      <c r="AE2043" t="s">
        <v>11447</v>
      </c>
      <c r="AF2043" t="s">
        <v>11448</v>
      </c>
      <c r="AG2043" t="s">
        <v>11449</v>
      </c>
      <c r="AH2043">
        <v>-1.42</v>
      </c>
      <c r="AI2043">
        <v>-5.05</v>
      </c>
      <c r="AJ2043">
        <v>7.21</v>
      </c>
      <c r="AK2043">
        <v>17.83</v>
      </c>
      <c r="AL2043">
        <v>1</v>
      </c>
      <c r="AM2043">
        <v>1.6</v>
      </c>
      <c r="AN2043">
        <v>40.85</v>
      </c>
      <c r="AO2043">
        <v>-2.18</v>
      </c>
      <c r="AP2043">
        <v>24</v>
      </c>
    </row>
    <row r="2044" spans="1:42">
      <c r="A2044">
        <v>2043</v>
      </c>
      <c r="B2044" t="str">
        <f>"688202"</f>
        <v>688202</v>
      </c>
      <c r="C2044" t="s">
        <v>11450</v>
      </c>
      <c r="D2044">
        <v>72.75</v>
      </c>
      <c r="E2044">
        <v>0.83</v>
      </c>
      <c r="F2044">
        <v>0.6</v>
      </c>
      <c r="G2044" t="s">
        <v>209</v>
      </c>
      <c r="H2044">
        <v>123</v>
      </c>
      <c r="I2044">
        <v>72.75</v>
      </c>
      <c r="J2044">
        <v>72.8</v>
      </c>
      <c r="K2044" t="s">
        <v>11451</v>
      </c>
      <c r="L2044">
        <v>1.17</v>
      </c>
      <c r="M2044" t="s">
        <v>46</v>
      </c>
      <c r="N2044" t="s">
        <v>966</v>
      </c>
      <c r="O2044">
        <v>72.95</v>
      </c>
      <c r="P2044">
        <v>71.1</v>
      </c>
      <c r="Q2044">
        <v>72.15</v>
      </c>
      <c r="R2044">
        <v>72.15</v>
      </c>
      <c r="S2044">
        <v>2.56</v>
      </c>
      <c r="T2044">
        <v>0.88</v>
      </c>
      <c r="U2044">
        <v>40.12</v>
      </c>
      <c r="V2044">
        <v>29</v>
      </c>
      <c r="W2044">
        <v>71.97</v>
      </c>
      <c r="X2044">
        <v>6794</v>
      </c>
      <c r="Y2044">
        <v>6050</v>
      </c>
      <c r="Z2044">
        <v>1.12</v>
      </c>
      <c r="AA2044">
        <v>23</v>
      </c>
      <c r="AB2044">
        <v>5</v>
      </c>
      <c r="AC2044">
        <v>3.66</v>
      </c>
      <c r="AD2044" t="s">
        <v>11452</v>
      </c>
      <c r="AE2044" t="s">
        <v>11453</v>
      </c>
      <c r="AF2044" t="s">
        <v>4956</v>
      </c>
      <c r="AG2044" t="s">
        <v>8065</v>
      </c>
      <c r="AH2044">
        <v>-1.73</v>
      </c>
      <c r="AI2044">
        <v>-4.19</v>
      </c>
      <c r="AJ2044">
        <v>3.54</v>
      </c>
      <c r="AK2044">
        <v>7.82</v>
      </c>
      <c r="AL2044">
        <v>1</v>
      </c>
      <c r="AM2044">
        <v>0.83</v>
      </c>
      <c r="AN2044">
        <v>-52.3</v>
      </c>
      <c r="AO2044">
        <v>2.44</v>
      </c>
      <c r="AP2044">
        <v>-59.16</v>
      </c>
    </row>
    <row r="2045" spans="1:42">
      <c r="A2045">
        <v>2044</v>
      </c>
      <c r="B2045" t="str">
        <f>"300968"</f>
        <v>300968</v>
      </c>
      <c r="C2045" t="s">
        <v>11454</v>
      </c>
      <c r="D2045">
        <v>10.72</v>
      </c>
      <c r="E2045">
        <v>0.37</v>
      </c>
      <c r="F2045">
        <v>0.04</v>
      </c>
      <c r="G2045" t="s">
        <v>4893</v>
      </c>
      <c r="H2045">
        <v>1750</v>
      </c>
      <c r="I2045">
        <v>10.71</v>
      </c>
      <c r="J2045">
        <v>10.72</v>
      </c>
      <c r="K2045" t="s">
        <v>11451</v>
      </c>
      <c r="L2045">
        <v>5.03</v>
      </c>
      <c r="M2045" t="s">
        <v>46</v>
      </c>
      <c r="N2045" t="s">
        <v>1575</v>
      </c>
      <c r="O2045">
        <v>10.73</v>
      </c>
      <c r="P2045">
        <v>10.48</v>
      </c>
      <c r="Q2045">
        <v>10.7</v>
      </c>
      <c r="R2045">
        <v>10.68</v>
      </c>
      <c r="S2045">
        <v>2.34</v>
      </c>
      <c r="T2045">
        <v>0.59</v>
      </c>
      <c r="U2045">
        <v>22.53</v>
      </c>
      <c r="V2045">
        <v>712</v>
      </c>
      <c r="W2045">
        <v>10.61</v>
      </c>
      <c r="X2045" t="s">
        <v>944</v>
      </c>
      <c r="Y2045" t="s">
        <v>1320</v>
      </c>
      <c r="Z2045">
        <v>1.14</v>
      </c>
      <c r="AA2045">
        <v>245</v>
      </c>
      <c r="AB2045">
        <v>403</v>
      </c>
      <c r="AC2045">
        <v>2.35</v>
      </c>
      <c r="AD2045" t="s">
        <v>11455</v>
      </c>
      <c r="AE2045" t="s">
        <v>11456</v>
      </c>
      <c r="AF2045" t="s">
        <v>11457</v>
      </c>
      <c r="AG2045" t="s">
        <v>11458</v>
      </c>
      <c r="AH2045">
        <v>-3.42</v>
      </c>
      <c r="AI2045">
        <v>-10.67</v>
      </c>
      <c r="AJ2045">
        <v>20.39</v>
      </c>
      <c r="AK2045">
        <v>47.59</v>
      </c>
      <c r="AL2045">
        <v>1</v>
      </c>
      <c r="AM2045">
        <v>0.37</v>
      </c>
      <c r="AN2045">
        <v>37.08</v>
      </c>
      <c r="AO2045">
        <v>-1.38</v>
      </c>
      <c r="AP2045">
        <v>22.37</v>
      </c>
    </row>
    <row r="2046" spans="1:42">
      <c r="A2046">
        <v>2045</v>
      </c>
      <c r="B2046" t="str">
        <f>"300776"</f>
        <v>300776</v>
      </c>
      <c r="C2046" t="s">
        <v>11459</v>
      </c>
      <c r="D2046">
        <v>57.87</v>
      </c>
      <c r="E2046">
        <v>-0.46</v>
      </c>
      <c r="F2046">
        <v>-0.27</v>
      </c>
      <c r="G2046" t="s">
        <v>919</v>
      </c>
      <c r="H2046">
        <v>268</v>
      </c>
      <c r="I2046">
        <v>57.84</v>
      </c>
      <c r="J2046">
        <v>57.87</v>
      </c>
      <c r="K2046" t="s">
        <v>11460</v>
      </c>
      <c r="L2046">
        <v>0.96</v>
      </c>
      <c r="M2046" t="s">
        <v>46</v>
      </c>
      <c r="N2046" t="s">
        <v>5453</v>
      </c>
      <c r="O2046">
        <v>58.31</v>
      </c>
      <c r="P2046">
        <v>57.21</v>
      </c>
      <c r="Q2046">
        <v>58.11</v>
      </c>
      <c r="R2046">
        <v>58.14</v>
      </c>
      <c r="S2046">
        <v>1.89</v>
      </c>
      <c r="T2046">
        <v>0.77</v>
      </c>
      <c r="U2046">
        <v>41.06</v>
      </c>
      <c r="V2046">
        <v>81</v>
      </c>
      <c r="W2046">
        <v>57.65</v>
      </c>
      <c r="X2046">
        <v>7600</v>
      </c>
      <c r="Y2046">
        <v>8415</v>
      </c>
      <c r="Z2046">
        <v>0.9</v>
      </c>
      <c r="AA2046">
        <v>3</v>
      </c>
      <c r="AB2046">
        <v>9</v>
      </c>
      <c r="AC2046">
        <v>5.64</v>
      </c>
      <c r="AD2046" t="s">
        <v>9115</v>
      </c>
      <c r="AE2046" t="s">
        <v>327</v>
      </c>
      <c r="AF2046" t="s">
        <v>2161</v>
      </c>
      <c r="AG2046" t="s">
        <v>11461</v>
      </c>
      <c r="AH2046">
        <v>-2.36</v>
      </c>
      <c r="AI2046">
        <v>-3.73</v>
      </c>
      <c r="AJ2046">
        <v>3.05</v>
      </c>
      <c r="AK2046">
        <v>7.18</v>
      </c>
      <c r="AL2046">
        <v>-3</v>
      </c>
      <c r="AM2046">
        <v>-0.46</v>
      </c>
      <c r="AN2046">
        <v>-26.24</v>
      </c>
      <c r="AO2046">
        <v>-7.92</v>
      </c>
      <c r="AP2046">
        <v>-30.34</v>
      </c>
    </row>
    <row r="2047" spans="1:42">
      <c r="A2047">
        <v>2046</v>
      </c>
      <c r="B2047" t="str">
        <f>"600358"</f>
        <v>600358</v>
      </c>
      <c r="C2047" t="s">
        <v>11462</v>
      </c>
      <c r="D2047">
        <v>5.11</v>
      </c>
      <c r="E2047">
        <v>2.4</v>
      </c>
      <c r="F2047">
        <v>0.12</v>
      </c>
      <c r="G2047" t="s">
        <v>1196</v>
      </c>
      <c r="H2047">
        <v>1505</v>
      </c>
      <c r="I2047">
        <v>5.1</v>
      </c>
      <c r="J2047">
        <v>5.11</v>
      </c>
      <c r="K2047" t="s">
        <v>11463</v>
      </c>
      <c r="L2047">
        <v>3.54</v>
      </c>
      <c r="M2047" t="s">
        <v>46</v>
      </c>
      <c r="N2047" t="s">
        <v>3720</v>
      </c>
      <c r="O2047">
        <v>5.37</v>
      </c>
      <c r="P2047">
        <v>4.98</v>
      </c>
      <c r="Q2047">
        <v>5</v>
      </c>
      <c r="R2047">
        <v>4.99</v>
      </c>
      <c r="S2047">
        <v>7.82</v>
      </c>
      <c r="T2047">
        <v>2.7</v>
      </c>
      <c r="U2047">
        <v>8.8</v>
      </c>
      <c r="V2047">
        <v>519</v>
      </c>
      <c r="W2047">
        <v>5.16</v>
      </c>
      <c r="X2047" t="s">
        <v>109</v>
      </c>
      <c r="Y2047" t="s">
        <v>2502</v>
      </c>
      <c r="Z2047">
        <v>1.09</v>
      </c>
      <c r="AA2047">
        <v>310</v>
      </c>
      <c r="AB2047">
        <v>196</v>
      </c>
      <c r="AC2047">
        <v>14.04</v>
      </c>
      <c r="AD2047" t="s">
        <v>11464</v>
      </c>
      <c r="AE2047" t="s">
        <v>11465</v>
      </c>
      <c r="AF2047" t="s">
        <v>11464</v>
      </c>
      <c r="AG2047" t="s">
        <v>11465</v>
      </c>
      <c r="AH2047">
        <v>5.8</v>
      </c>
      <c r="AI2047">
        <v>3.65</v>
      </c>
      <c r="AJ2047">
        <v>6.83</v>
      </c>
      <c r="AK2047">
        <v>10.09</v>
      </c>
      <c r="AL2047">
        <v>3</v>
      </c>
      <c r="AM2047">
        <v>2.4</v>
      </c>
      <c r="AN2047">
        <v>-25.73</v>
      </c>
      <c r="AO2047">
        <v>8.49</v>
      </c>
      <c r="AP2047">
        <v>-15.82</v>
      </c>
    </row>
    <row r="2048" spans="1:42">
      <c r="A2048">
        <v>2047</v>
      </c>
      <c r="B2048" t="str">
        <f>"603716"</f>
        <v>603716</v>
      </c>
      <c r="C2048" t="s">
        <v>11466</v>
      </c>
      <c r="D2048">
        <v>12</v>
      </c>
      <c r="E2048">
        <v>1.44</v>
      </c>
      <c r="F2048">
        <v>0.17</v>
      </c>
      <c r="G2048" t="s">
        <v>4740</v>
      </c>
      <c r="H2048">
        <v>1140</v>
      </c>
      <c r="I2048">
        <v>12</v>
      </c>
      <c r="J2048">
        <v>12.01</v>
      </c>
      <c r="K2048" t="s">
        <v>11467</v>
      </c>
      <c r="L2048">
        <v>3.82</v>
      </c>
      <c r="M2048" t="s">
        <v>46</v>
      </c>
      <c r="N2048" t="s">
        <v>3203</v>
      </c>
      <c r="O2048">
        <v>12.13</v>
      </c>
      <c r="P2048">
        <v>11.76</v>
      </c>
      <c r="Q2048">
        <v>11.83</v>
      </c>
      <c r="R2048">
        <v>11.83</v>
      </c>
      <c r="S2048">
        <v>3.13</v>
      </c>
      <c r="T2048">
        <v>0.68</v>
      </c>
      <c r="U2048">
        <v>-52.67</v>
      </c>
      <c r="V2048">
        <v>-1730</v>
      </c>
      <c r="W2048">
        <v>11.99</v>
      </c>
      <c r="X2048" t="s">
        <v>2752</v>
      </c>
      <c r="Y2048" t="s">
        <v>2124</v>
      </c>
      <c r="Z2048">
        <v>1.14</v>
      </c>
      <c r="AA2048">
        <v>74</v>
      </c>
      <c r="AB2048">
        <v>1454</v>
      </c>
      <c r="AC2048">
        <v>1.88</v>
      </c>
      <c r="AD2048" t="s">
        <v>11253</v>
      </c>
      <c r="AE2048" t="s">
        <v>10211</v>
      </c>
      <c r="AF2048" t="s">
        <v>11468</v>
      </c>
      <c r="AG2048" t="s">
        <v>11469</v>
      </c>
      <c r="AH2048">
        <v>-0.99</v>
      </c>
      <c r="AI2048">
        <v>-4.23</v>
      </c>
      <c r="AJ2048">
        <v>11.64</v>
      </c>
      <c r="AK2048">
        <v>31.78</v>
      </c>
      <c r="AL2048">
        <v>1</v>
      </c>
      <c r="AM2048">
        <v>1.44</v>
      </c>
      <c r="AN2048">
        <v>8.7</v>
      </c>
      <c r="AO2048">
        <v>6.38</v>
      </c>
      <c r="AP2048">
        <v>-2.44</v>
      </c>
    </row>
    <row r="2049" spans="1:42">
      <c r="A2049">
        <v>2048</v>
      </c>
      <c r="B2049" t="str">
        <f>"300855"</f>
        <v>300855</v>
      </c>
      <c r="C2049" t="s">
        <v>11470</v>
      </c>
      <c r="D2049">
        <v>30.45</v>
      </c>
      <c r="E2049">
        <v>1.64</v>
      </c>
      <c r="F2049">
        <v>0.49</v>
      </c>
      <c r="G2049" t="s">
        <v>8915</v>
      </c>
      <c r="H2049">
        <v>152</v>
      </c>
      <c r="I2049">
        <v>30.4</v>
      </c>
      <c r="J2049">
        <v>30.45</v>
      </c>
      <c r="K2049" t="s">
        <v>11471</v>
      </c>
      <c r="L2049">
        <v>1.06</v>
      </c>
      <c r="M2049" t="s">
        <v>46</v>
      </c>
      <c r="N2049" t="s">
        <v>7120</v>
      </c>
      <c r="O2049">
        <v>30.83</v>
      </c>
      <c r="P2049">
        <v>29.7</v>
      </c>
      <c r="Q2049">
        <v>30.15</v>
      </c>
      <c r="R2049">
        <v>29.96</v>
      </c>
      <c r="S2049">
        <v>3.77</v>
      </c>
      <c r="T2049">
        <v>2.57</v>
      </c>
      <c r="U2049">
        <v>69.55</v>
      </c>
      <c r="V2049">
        <v>498</v>
      </c>
      <c r="W2049">
        <v>30.46</v>
      </c>
      <c r="X2049" t="s">
        <v>5900</v>
      </c>
      <c r="Y2049" t="s">
        <v>4977</v>
      </c>
      <c r="Z2049">
        <v>0.9</v>
      </c>
      <c r="AA2049">
        <v>17</v>
      </c>
      <c r="AB2049">
        <v>39</v>
      </c>
      <c r="AC2049">
        <v>6.85</v>
      </c>
      <c r="AD2049" t="s">
        <v>11472</v>
      </c>
      <c r="AE2049" t="s">
        <v>7826</v>
      </c>
      <c r="AF2049" t="s">
        <v>1756</v>
      </c>
      <c r="AG2049" t="s">
        <v>11473</v>
      </c>
      <c r="AH2049">
        <v>1.91</v>
      </c>
      <c r="AI2049">
        <v>-0.49</v>
      </c>
      <c r="AJ2049">
        <v>2.01</v>
      </c>
      <c r="AK2049">
        <v>3.14</v>
      </c>
      <c r="AL2049">
        <v>1</v>
      </c>
      <c r="AM2049">
        <v>1.64</v>
      </c>
      <c r="AN2049">
        <v>-15.23</v>
      </c>
      <c r="AO2049">
        <v>2.7</v>
      </c>
      <c r="AP2049">
        <v>-17.92</v>
      </c>
    </row>
    <row r="2050" spans="1:42">
      <c r="A2050">
        <v>2049</v>
      </c>
      <c r="B2050" t="str">
        <f>"300585"</f>
        <v>300585</v>
      </c>
      <c r="C2050" t="s">
        <v>11474</v>
      </c>
      <c r="D2050">
        <v>17.46</v>
      </c>
      <c r="E2050">
        <v>-1.47</v>
      </c>
      <c r="F2050">
        <v>-0.26</v>
      </c>
      <c r="G2050" t="s">
        <v>4314</v>
      </c>
      <c r="H2050">
        <v>409</v>
      </c>
      <c r="I2050">
        <v>17.45</v>
      </c>
      <c r="J2050">
        <v>17.46</v>
      </c>
      <c r="K2050" t="s">
        <v>11475</v>
      </c>
      <c r="L2050">
        <v>3.3</v>
      </c>
      <c r="M2050" t="s">
        <v>46</v>
      </c>
      <c r="N2050" t="s">
        <v>3882</v>
      </c>
      <c r="O2050">
        <v>17.73</v>
      </c>
      <c r="P2050">
        <v>17.29</v>
      </c>
      <c r="Q2050">
        <v>17.6</v>
      </c>
      <c r="R2050">
        <v>17.72</v>
      </c>
      <c r="S2050">
        <v>2.48</v>
      </c>
      <c r="T2050">
        <v>0.86</v>
      </c>
      <c r="U2050">
        <v>4.86</v>
      </c>
      <c r="V2050">
        <v>42</v>
      </c>
      <c r="W2050">
        <v>17.42</v>
      </c>
      <c r="X2050" t="s">
        <v>1639</v>
      </c>
      <c r="Y2050" t="s">
        <v>914</v>
      </c>
      <c r="Z2050">
        <v>0.98</v>
      </c>
      <c r="AA2050">
        <v>274</v>
      </c>
      <c r="AB2050">
        <v>34</v>
      </c>
      <c r="AC2050">
        <v>4.13</v>
      </c>
      <c r="AD2050" t="s">
        <v>11476</v>
      </c>
      <c r="AE2050" t="s">
        <v>11477</v>
      </c>
      <c r="AF2050" t="s">
        <v>2521</v>
      </c>
      <c r="AG2050" t="s">
        <v>11478</v>
      </c>
      <c r="AH2050">
        <v>-3.85</v>
      </c>
      <c r="AI2050">
        <v>-3</v>
      </c>
      <c r="AJ2050">
        <v>11.93</v>
      </c>
      <c r="AK2050">
        <v>22.55</v>
      </c>
      <c r="AL2050">
        <v>-2</v>
      </c>
      <c r="AM2050">
        <v>-1.47</v>
      </c>
      <c r="AN2050">
        <v>-9.91</v>
      </c>
      <c r="AO2050">
        <v>4.43</v>
      </c>
      <c r="AP2050">
        <v>26.71</v>
      </c>
    </row>
    <row r="2051" spans="1:42">
      <c r="A2051">
        <v>2050</v>
      </c>
      <c r="B2051" t="str">
        <f>"002521"</f>
        <v>002521</v>
      </c>
      <c r="C2051" t="s">
        <v>11479</v>
      </c>
      <c r="D2051">
        <v>8.17</v>
      </c>
      <c r="E2051">
        <v>-0.73</v>
      </c>
      <c r="F2051">
        <v>-0.06</v>
      </c>
      <c r="G2051" t="s">
        <v>656</v>
      </c>
      <c r="H2051">
        <v>2500</v>
      </c>
      <c r="I2051">
        <v>8.16</v>
      </c>
      <c r="J2051">
        <v>8.17</v>
      </c>
      <c r="K2051" t="s">
        <v>11480</v>
      </c>
      <c r="L2051">
        <v>2.79</v>
      </c>
      <c r="M2051" t="s">
        <v>46</v>
      </c>
      <c r="N2051" t="s">
        <v>5862</v>
      </c>
      <c r="O2051">
        <v>8.34</v>
      </c>
      <c r="P2051">
        <v>8.05</v>
      </c>
      <c r="Q2051">
        <v>8.24</v>
      </c>
      <c r="R2051">
        <v>8.23</v>
      </c>
      <c r="S2051">
        <v>3.52</v>
      </c>
      <c r="T2051">
        <v>1.72</v>
      </c>
      <c r="U2051">
        <v>9</v>
      </c>
      <c r="V2051">
        <v>159</v>
      </c>
      <c r="W2051">
        <v>8.18</v>
      </c>
      <c r="X2051" t="s">
        <v>8321</v>
      </c>
      <c r="Y2051" t="s">
        <v>3357</v>
      </c>
      <c r="Z2051">
        <v>1.32</v>
      </c>
      <c r="AA2051">
        <v>592</v>
      </c>
      <c r="AB2051">
        <v>107</v>
      </c>
      <c r="AC2051">
        <v>1.11</v>
      </c>
      <c r="AD2051" t="s">
        <v>11481</v>
      </c>
      <c r="AE2051" t="s">
        <v>11482</v>
      </c>
      <c r="AF2051" t="s">
        <v>11483</v>
      </c>
      <c r="AG2051" t="s">
        <v>11484</v>
      </c>
      <c r="AH2051">
        <v>-2.39</v>
      </c>
      <c r="AI2051">
        <v>-0.97</v>
      </c>
      <c r="AJ2051">
        <v>5.21</v>
      </c>
      <c r="AK2051">
        <v>10.89</v>
      </c>
      <c r="AL2051">
        <v>-3</v>
      </c>
      <c r="AM2051">
        <v>-0.73</v>
      </c>
      <c r="AN2051">
        <v>65.05</v>
      </c>
      <c r="AO2051">
        <v>3.81</v>
      </c>
      <c r="AP2051">
        <v>60.51</v>
      </c>
    </row>
    <row r="2052" spans="1:42">
      <c r="A2052">
        <v>2051</v>
      </c>
      <c r="B2052" t="str">
        <f>"600058"</f>
        <v>600058</v>
      </c>
      <c r="C2052" t="s">
        <v>11485</v>
      </c>
      <c r="D2052">
        <v>9.84</v>
      </c>
      <c r="E2052">
        <v>4.35</v>
      </c>
      <c r="F2052">
        <v>0.41</v>
      </c>
      <c r="G2052" t="s">
        <v>1789</v>
      </c>
      <c r="H2052">
        <v>1584</v>
      </c>
      <c r="I2052">
        <v>9.83</v>
      </c>
      <c r="J2052">
        <v>9.84</v>
      </c>
      <c r="K2052" t="s">
        <v>11486</v>
      </c>
      <c r="L2052">
        <v>0.89</v>
      </c>
      <c r="M2052" t="s">
        <v>46</v>
      </c>
      <c r="N2052" t="s">
        <v>2394</v>
      </c>
      <c r="O2052">
        <v>9.9</v>
      </c>
      <c r="P2052">
        <v>9.36</v>
      </c>
      <c r="Q2052">
        <v>9.36</v>
      </c>
      <c r="R2052">
        <v>9.43</v>
      </c>
      <c r="S2052">
        <v>5.73</v>
      </c>
      <c r="T2052">
        <v>2.35</v>
      </c>
      <c r="U2052">
        <v>-73.4</v>
      </c>
      <c r="V2052">
        <v>-4238</v>
      </c>
      <c r="W2052">
        <v>9.68</v>
      </c>
      <c r="X2052" t="s">
        <v>4087</v>
      </c>
      <c r="Y2052" t="s">
        <v>6573</v>
      </c>
      <c r="Z2052">
        <v>0.8</v>
      </c>
      <c r="AA2052">
        <v>411</v>
      </c>
      <c r="AB2052">
        <v>151</v>
      </c>
      <c r="AC2052">
        <v>2.15</v>
      </c>
      <c r="AD2052" t="s">
        <v>1022</v>
      </c>
      <c r="AE2052" t="s">
        <v>1159</v>
      </c>
      <c r="AF2052" t="s">
        <v>1022</v>
      </c>
      <c r="AG2052" t="s">
        <v>1159</v>
      </c>
      <c r="AH2052">
        <v>3.47</v>
      </c>
      <c r="AI2052">
        <v>6.26</v>
      </c>
      <c r="AJ2052">
        <v>1.67</v>
      </c>
      <c r="AK2052">
        <v>2.77</v>
      </c>
      <c r="AL2052">
        <v>1</v>
      </c>
      <c r="AM2052">
        <v>4.35</v>
      </c>
      <c r="AN2052">
        <v>14.29</v>
      </c>
      <c r="AO2052">
        <v>6.49</v>
      </c>
      <c r="AP2052">
        <v>4.9</v>
      </c>
    </row>
    <row r="2053" spans="1:42">
      <c r="A2053">
        <v>2052</v>
      </c>
      <c r="B2053" t="str">
        <f>"002100"</f>
        <v>002100</v>
      </c>
      <c r="C2053" t="s">
        <v>11487</v>
      </c>
      <c r="D2053">
        <v>7.69</v>
      </c>
      <c r="E2053">
        <v>-1.66</v>
      </c>
      <c r="F2053">
        <v>-0.13</v>
      </c>
      <c r="G2053" t="s">
        <v>1908</v>
      </c>
      <c r="H2053">
        <v>590</v>
      </c>
      <c r="I2053">
        <v>7.68</v>
      </c>
      <c r="J2053">
        <v>7.69</v>
      </c>
      <c r="K2053" t="s">
        <v>11488</v>
      </c>
      <c r="L2053">
        <v>0.88</v>
      </c>
      <c r="M2053" t="s">
        <v>46</v>
      </c>
      <c r="N2053" t="s">
        <v>11489</v>
      </c>
      <c r="O2053">
        <v>7.84</v>
      </c>
      <c r="P2053">
        <v>7.66</v>
      </c>
      <c r="Q2053">
        <v>7.78</v>
      </c>
      <c r="R2053">
        <v>7.82</v>
      </c>
      <c r="S2053">
        <v>2.3</v>
      </c>
      <c r="T2053">
        <v>0.58</v>
      </c>
      <c r="U2053">
        <v>-43.04</v>
      </c>
      <c r="V2053">
        <v>-3866</v>
      </c>
      <c r="W2053">
        <v>7.74</v>
      </c>
      <c r="X2053" t="s">
        <v>5918</v>
      </c>
      <c r="Y2053" t="s">
        <v>3915</v>
      </c>
      <c r="Z2053">
        <v>1.28</v>
      </c>
      <c r="AA2053">
        <v>1510</v>
      </c>
      <c r="AB2053">
        <v>4630</v>
      </c>
      <c r="AC2053">
        <v>1.46</v>
      </c>
      <c r="AD2053" t="s">
        <v>683</v>
      </c>
      <c r="AE2053" t="s">
        <v>11490</v>
      </c>
      <c r="AF2053" t="s">
        <v>683</v>
      </c>
      <c r="AG2053" t="s">
        <v>11490</v>
      </c>
      <c r="AH2053">
        <v>-0.52</v>
      </c>
      <c r="AI2053">
        <v>0.52</v>
      </c>
      <c r="AJ2053">
        <v>2.61</v>
      </c>
      <c r="AK2053">
        <v>8.47</v>
      </c>
      <c r="AL2053">
        <v>-1</v>
      </c>
      <c r="AM2053">
        <v>-1.66</v>
      </c>
      <c r="AN2053">
        <v>-4.94</v>
      </c>
      <c r="AO2053">
        <v>6.95</v>
      </c>
      <c r="AP2053">
        <v>-7.57</v>
      </c>
    </row>
    <row r="2054" spans="1:42">
      <c r="A2054">
        <v>2053</v>
      </c>
      <c r="B2054" t="str">
        <f>"300775"</f>
        <v>300775</v>
      </c>
      <c r="C2054" t="s">
        <v>11491</v>
      </c>
      <c r="D2054">
        <v>28.47</v>
      </c>
      <c r="E2054">
        <v>0.99</v>
      </c>
      <c r="F2054">
        <v>0.28</v>
      </c>
      <c r="G2054" t="s">
        <v>8255</v>
      </c>
      <c r="H2054">
        <v>411</v>
      </c>
      <c r="I2054">
        <v>28.46</v>
      </c>
      <c r="J2054">
        <v>28.47</v>
      </c>
      <c r="K2054" t="s">
        <v>11492</v>
      </c>
      <c r="L2054">
        <v>0.61</v>
      </c>
      <c r="M2054" t="s">
        <v>46</v>
      </c>
      <c r="N2054" t="s">
        <v>360</v>
      </c>
      <c r="O2054">
        <v>28.61</v>
      </c>
      <c r="P2054">
        <v>28.08</v>
      </c>
      <c r="Q2054">
        <v>28.12</v>
      </c>
      <c r="R2054">
        <v>28.19</v>
      </c>
      <c r="S2054">
        <v>1.88</v>
      </c>
      <c r="T2054">
        <v>0.76</v>
      </c>
      <c r="U2054">
        <v>-40.92</v>
      </c>
      <c r="V2054">
        <v>-313</v>
      </c>
      <c r="W2054">
        <v>28.34</v>
      </c>
      <c r="X2054" t="s">
        <v>1692</v>
      </c>
      <c r="Y2054" t="s">
        <v>4977</v>
      </c>
      <c r="Z2054">
        <v>1.03</v>
      </c>
      <c r="AA2054">
        <v>64</v>
      </c>
      <c r="AB2054">
        <v>2</v>
      </c>
      <c r="AC2054">
        <v>3.04</v>
      </c>
      <c r="AD2054" t="s">
        <v>11493</v>
      </c>
      <c r="AE2054" t="s">
        <v>11494</v>
      </c>
      <c r="AF2054" t="s">
        <v>11495</v>
      </c>
      <c r="AG2054" t="s">
        <v>8803</v>
      </c>
      <c r="AH2054">
        <v>-3.06</v>
      </c>
      <c r="AI2054">
        <v>-3.79</v>
      </c>
      <c r="AJ2054">
        <v>2.36</v>
      </c>
      <c r="AK2054">
        <v>4.63</v>
      </c>
      <c r="AL2054">
        <v>1</v>
      </c>
      <c r="AM2054">
        <v>0.99</v>
      </c>
      <c r="AN2054">
        <v>-24.88</v>
      </c>
      <c r="AO2054">
        <v>0.64</v>
      </c>
      <c r="AP2054">
        <v>-30.88</v>
      </c>
    </row>
    <row r="2055" spans="1:42">
      <c r="A2055">
        <v>2054</v>
      </c>
      <c r="B2055" t="str">
        <f>"603366"</f>
        <v>603366</v>
      </c>
      <c r="C2055" t="s">
        <v>11496</v>
      </c>
      <c r="D2055">
        <v>6.07</v>
      </c>
      <c r="E2055">
        <v>1</v>
      </c>
      <c r="F2055">
        <v>0.06</v>
      </c>
      <c r="G2055" t="s">
        <v>2222</v>
      </c>
      <c r="H2055">
        <v>2358</v>
      </c>
      <c r="I2055">
        <v>6.06</v>
      </c>
      <c r="J2055">
        <v>6.07</v>
      </c>
      <c r="K2055" t="s">
        <v>11497</v>
      </c>
      <c r="L2055">
        <v>1.86</v>
      </c>
      <c r="M2055" t="s">
        <v>46</v>
      </c>
      <c r="N2055" t="s">
        <v>11498</v>
      </c>
      <c r="O2055">
        <v>6.25</v>
      </c>
      <c r="P2055">
        <v>5.98</v>
      </c>
      <c r="Q2055">
        <v>6.04</v>
      </c>
      <c r="R2055">
        <v>6.01</v>
      </c>
      <c r="S2055">
        <v>4.49</v>
      </c>
      <c r="T2055">
        <v>2.03</v>
      </c>
      <c r="U2055">
        <v>20.91</v>
      </c>
      <c r="V2055">
        <v>2171</v>
      </c>
      <c r="W2055">
        <v>6.12</v>
      </c>
      <c r="X2055" t="s">
        <v>11499</v>
      </c>
      <c r="Y2055" t="s">
        <v>11500</v>
      </c>
      <c r="Z2055">
        <v>0.88</v>
      </c>
      <c r="AA2055">
        <v>2544</v>
      </c>
      <c r="AB2055">
        <v>110</v>
      </c>
      <c r="AC2055">
        <v>1.26</v>
      </c>
      <c r="AD2055" t="s">
        <v>11501</v>
      </c>
      <c r="AE2055" t="s">
        <v>9042</v>
      </c>
      <c r="AF2055" t="s">
        <v>11502</v>
      </c>
      <c r="AG2055" t="s">
        <v>11503</v>
      </c>
      <c r="AH2055">
        <v>0.17</v>
      </c>
      <c r="AI2055">
        <v>0.83</v>
      </c>
      <c r="AJ2055">
        <v>3.54</v>
      </c>
      <c r="AK2055">
        <v>6.44</v>
      </c>
      <c r="AL2055">
        <v>1</v>
      </c>
      <c r="AM2055">
        <v>1</v>
      </c>
      <c r="AN2055">
        <v>0.5</v>
      </c>
      <c r="AO2055">
        <v>6.49</v>
      </c>
      <c r="AP2055">
        <v>-7.04</v>
      </c>
    </row>
    <row r="2056" spans="1:42">
      <c r="A2056">
        <v>2055</v>
      </c>
      <c r="B2056" t="str">
        <f>"603969"</f>
        <v>603969</v>
      </c>
      <c r="C2056" t="s">
        <v>11504</v>
      </c>
      <c r="D2056">
        <v>6.12</v>
      </c>
      <c r="E2056">
        <v>-0.33</v>
      </c>
      <c r="F2056">
        <v>-0.02</v>
      </c>
      <c r="G2056" t="s">
        <v>2222</v>
      </c>
      <c r="H2056">
        <v>2389</v>
      </c>
      <c r="I2056">
        <v>6.12</v>
      </c>
      <c r="J2056">
        <v>6.13</v>
      </c>
      <c r="K2056" t="s">
        <v>11505</v>
      </c>
      <c r="L2056">
        <v>1.79</v>
      </c>
      <c r="M2056" t="s">
        <v>46</v>
      </c>
      <c r="N2056" t="s">
        <v>2596</v>
      </c>
      <c r="O2056">
        <v>6.2</v>
      </c>
      <c r="P2056">
        <v>6.07</v>
      </c>
      <c r="Q2056">
        <v>6.13</v>
      </c>
      <c r="R2056">
        <v>6.14</v>
      </c>
      <c r="S2056">
        <v>2.12</v>
      </c>
      <c r="T2056">
        <v>0.78</v>
      </c>
      <c r="U2056">
        <v>-6.08</v>
      </c>
      <c r="V2056">
        <v>-881</v>
      </c>
      <c r="W2056">
        <v>6.12</v>
      </c>
      <c r="X2056" t="s">
        <v>655</v>
      </c>
      <c r="Y2056" t="s">
        <v>3462</v>
      </c>
      <c r="Z2056">
        <v>1.14</v>
      </c>
      <c r="AA2056">
        <v>1453</v>
      </c>
      <c r="AB2056">
        <v>2092</v>
      </c>
      <c r="AC2056">
        <v>2.38</v>
      </c>
      <c r="AD2056" t="s">
        <v>11506</v>
      </c>
      <c r="AE2056" t="s">
        <v>11507</v>
      </c>
      <c r="AF2056" t="s">
        <v>11508</v>
      </c>
      <c r="AG2056" t="s">
        <v>6887</v>
      </c>
      <c r="AH2056">
        <v>3.55</v>
      </c>
      <c r="AI2056">
        <v>4.62</v>
      </c>
      <c r="AJ2056">
        <v>8.34</v>
      </c>
      <c r="AK2056">
        <v>13.23</v>
      </c>
      <c r="AL2056">
        <v>-1</v>
      </c>
      <c r="AM2056">
        <v>-0.33</v>
      </c>
      <c r="AN2056">
        <v>25.93</v>
      </c>
      <c r="AO2056">
        <v>10.67</v>
      </c>
      <c r="AP2056">
        <v>16.57</v>
      </c>
    </row>
    <row r="2057" spans="1:42">
      <c r="A2057">
        <v>2056</v>
      </c>
      <c r="B2057" t="str">
        <f>"300740"</f>
        <v>300740</v>
      </c>
      <c r="C2057" t="s">
        <v>11509</v>
      </c>
      <c r="D2057">
        <v>16.49</v>
      </c>
      <c r="E2057">
        <v>0.61</v>
      </c>
      <c r="F2057">
        <v>0.1</v>
      </c>
      <c r="G2057" t="s">
        <v>9550</v>
      </c>
      <c r="H2057">
        <v>567</v>
      </c>
      <c r="I2057">
        <v>16.47</v>
      </c>
      <c r="J2057">
        <v>16.49</v>
      </c>
      <c r="K2057" t="s">
        <v>11510</v>
      </c>
      <c r="L2057">
        <v>1.56</v>
      </c>
      <c r="M2057" t="s">
        <v>46</v>
      </c>
      <c r="N2057" t="s">
        <v>11511</v>
      </c>
      <c r="O2057">
        <v>16.58</v>
      </c>
      <c r="P2057">
        <v>16.27</v>
      </c>
      <c r="Q2057">
        <v>16.39</v>
      </c>
      <c r="R2057">
        <v>16.39</v>
      </c>
      <c r="S2057">
        <v>1.89</v>
      </c>
      <c r="T2057">
        <v>0.68</v>
      </c>
      <c r="U2057">
        <v>-74.86</v>
      </c>
      <c r="V2057">
        <v>-569</v>
      </c>
      <c r="W2057">
        <v>16.44</v>
      </c>
      <c r="X2057" t="s">
        <v>8966</v>
      </c>
      <c r="Y2057" t="s">
        <v>3121</v>
      </c>
      <c r="Z2057">
        <v>1.03</v>
      </c>
      <c r="AA2057">
        <v>11</v>
      </c>
      <c r="AB2057">
        <v>59</v>
      </c>
      <c r="AC2057">
        <v>3.42</v>
      </c>
      <c r="AD2057" t="s">
        <v>1219</v>
      </c>
      <c r="AE2057" t="s">
        <v>11512</v>
      </c>
      <c r="AF2057" t="s">
        <v>11513</v>
      </c>
      <c r="AG2057" t="s">
        <v>11514</v>
      </c>
      <c r="AH2057">
        <v>0.24</v>
      </c>
      <c r="AI2057">
        <v>-0.84</v>
      </c>
      <c r="AJ2057">
        <v>5.76</v>
      </c>
      <c r="AK2057">
        <v>13.05</v>
      </c>
      <c r="AL2057">
        <v>1</v>
      </c>
      <c r="AM2057">
        <v>0.61</v>
      </c>
      <c r="AN2057">
        <v>9.79</v>
      </c>
      <c r="AO2057">
        <v>12.33</v>
      </c>
      <c r="AP2057">
        <v>33.96</v>
      </c>
    </row>
    <row r="2058" spans="1:42">
      <c r="A2058">
        <v>2057</v>
      </c>
      <c r="B2058" t="str">
        <f>"301517"</f>
        <v>301517</v>
      </c>
      <c r="C2058" t="s">
        <v>11515</v>
      </c>
      <c r="D2058">
        <v>58.72</v>
      </c>
      <c r="E2058">
        <v>0.58</v>
      </c>
      <c r="F2058">
        <v>0.34</v>
      </c>
      <c r="G2058" t="s">
        <v>144</v>
      </c>
      <c r="H2058">
        <v>584</v>
      </c>
      <c r="I2058">
        <v>58.72</v>
      </c>
      <c r="J2058">
        <v>58.73</v>
      </c>
      <c r="K2058" t="s">
        <v>11510</v>
      </c>
      <c r="L2058">
        <v>7.42</v>
      </c>
      <c r="M2058" t="s">
        <v>46</v>
      </c>
      <c r="N2058" t="s">
        <v>3610</v>
      </c>
      <c r="O2058">
        <v>58.8</v>
      </c>
      <c r="P2058">
        <v>57.45</v>
      </c>
      <c r="Q2058">
        <v>58.19</v>
      </c>
      <c r="R2058">
        <v>58.38</v>
      </c>
      <c r="S2058">
        <v>2.31</v>
      </c>
      <c r="T2058">
        <v>0.63</v>
      </c>
      <c r="U2058">
        <v>51.23</v>
      </c>
      <c r="V2058">
        <v>250</v>
      </c>
      <c r="W2058">
        <v>58.23</v>
      </c>
      <c r="X2058">
        <v>8083</v>
      </c>
      <c r="Y2058">
        <v>7645</v>
      </c>
      <c r="Z2058">
        <v>1.06</v>
      </c>
      <c r="AA2058">
        <v>13</v>
      </c>
      <c r="AB2058">
        <v>5</v>
      </c>
      <c r="AC2058">
        <v>4.84</v>
      </c>
      <c r="AD2058" t="s">
        <v>8391</v>
      </c>
      <c r="AE2058" t="s">
        <v>11516</v>
      </c>
      <c r="AF2058" t="s">
        <v>11517</v>
      </c>
      <c r="AG2058" t="s">
        <v>803</v>
      </c>
      <c r="AH2058">
        <v>-2.99</v>
      </c>
      <c r="AI2058">
        <v>-6.11</v>
      </c>
      <c r="AJ2058">
        <v>26.18</v>
      </c>
      <c r="AK2058">
        <v>66.62</v>
      </c>
      <c r="AL2058">
        <v>1</v>
      </c>
      <c r="AM2058">
        <v>0.58</v>
      </c>
      <c r="AN2058">
        <v>118.53</v>
      </c>
      <c r="AO2058">
        <v>-7.92</v>
      </c>
      <c r="AP2058">
        <v>118.53</v>
      </c>
    </row>
    <row r="2059" spans="1:42">
      <c r="A2059">
        <v>2058</v>
      </c>
      <c r="B2059" t="str">
        <f>"688053"</f>
        <v>688053</v>
      </c>
      <c r="C2059" t="s">
        <v>11518</v>
      </c>
      <c r="D2059">
        <v>54.64</v>
      </c>
      <c r="E2059">
        <v>4.41</v>
      </c>
      <c r="F2059">
        <v>2.31</v>
      </c>
      <c r="G2059" t="s">
        <v>1110</v>
      </c>
      <c r="H2059">
        <v>42</v>
      </c>
      <c r="I2059">
        <v>54.64</v>
      </c>
      <c r="J2059">
        <v>54.68</v>
      </c>
      <c r="K2059" t="s">
        <v>11519</v>
      </c>
      <c r="L2059">
        <v>4</v>
      </c>
      <c r="M2059" t="s">
        <v>46</v>
      </c>
      <c r="N2059" t="s">
        <v>4410</v>
      </c>
      <c r="O2059">
        <v>56</v>
      </c>
      <c r="P2059">
        <v>51.89</v>
      </c>
      <c r="Q2059">
        <v>52.5</v>
      </c>
      <c r="R2059">
        <v>52.33</v>
      </c>
      <c r="S2059">
        <v>7.85</v>
      </c>
      <c r="T2059">
        <v>1.23</v>
      </c>
      <c r="U2059">
        <v>-13.98</v>
      </c>
      <c r="V2059">
        <v>-14</v>
      </c>
      <c r="W2059">
        <v>54.13</v>
      </c>
      <c r="X2059">
        <v>6302</v>
      </c>
      <c r="Y2059" t="s">
        <v>218</v>
      </c>
      <c r="Z2059">
        <v>0.59</v>
      </c>
      <c r="AA2059">
        <v>8</v>
      </c>
      <c r="AB2059">
        <v>15</v>
      </c>
      <c r="AC2059">
        <v>3.21</v>
      </c>
      <c r="AD2059" t="s">
        <v>5976</v>
      </c>
      <c r="AE2059" t="s">
        <v>11520</v>
      </c>
      <c r="AF2059" t="s">
        <v>11521</v>
      </c>
      <c r="AG2059" t="s">
        <v>11522</v>
      </c>
      <c r="AH2059">
        <v>2.15</v>
      </c>
      <c r="AI2059">
        <v>-5.61</v>
      </c>
      <c r="AJ2059">
        <v>7.95</v>
      </c>
      <c r="AK2059">
        <v>20.26</v>
      </c>
      <c r="AL2059">
        <v>1</v>
      </c>
      <c r="AM2059">
        <v>4.41</v>
      </c>
      <c r="AN2059">
        <v>-11.24</v>
      </c>
      <c r="AO2059">
        <v>6.1</v>
      </c>
      <c r="AP2059">
        <v>-28.2</v>
      </c>
    </row>
    <row r="2060" spans="1:42">
      <c r="A2060">
        <v>2059</v>
      </c>
      <c r="B2060" t="str">
        <f>"835305"</f>
        <v>835305</v>
      </c>
      <c r="C2060" t="s">
        <v>11523</v>
      </c>
      <c r="D2060">
        <v>17.93</v>
      </c>
      <c r="E2060">
        <v>7.56</v>
      </c>
      <c r="F2060">
        <v>1.26</v>
      </c>
      <c r="G2060" t="s">
        <v>3915</v>
      </c>
      <c r="H2060">
        <v>603</v>
      </c>
      <c r="I2060">
        <v>17.93</v>
      </c>
      <c r="J2060">
        <v>17.95</v>
      </c>
      <c r="K2060" t="s">
        <v>11524</v>
      </c>
      <c r="L2060">
        <v>6.43</v>
      </c>
      <c r="M2060" t="s">
        <v>46</v>
      </c>
      <c r="N2060" t="s">
        <v>7362</v>
      </c>
      <c r="O2060">
        <v>18.89</v>
      </c>
      <c r="P2060">
        <v>16.37</v>
      </c>
      <c r="Q2060">
        <v>16.81</v>
      </c>
      <c r="R2060">
        <v>16.67</v>
      </c>
      <c r="S2060">
        <v>15.12</v>
      </c>
      <c r="T2060">
        <v>0.78</v>
      </c>
      <c r="U2060">
        <v>8.02</v>
      </c>
      <c r="V2060">
        <v>28</v>
      </c>
      <c r="W2060">
        <v>17.52</v>
      </c>
      <c r="X2060" t="s">
        <v>4017</v>
      </c>
      <c r="Y2060" t="s">
        <v>6418</v>
      </c>
      <c r="Z2060">
        <v>0.85</v>
      </c>
      <c r="AA2060">
        <v>61</v>
      </c>
      <c r="AB2060">
        <v>1</v>
      </c>
      <c r="AC2060">
        <v>2.81</v>
      </c>
      <c r="AD2060" t="s">
        <v>8245</v>
      </c>
      <c r="AE2060" t="s">
        <v>11525</v>
      </c>
      <c r="AF2060" t="s">
        <v>3376</v>
      </c>
      <c r="AG2060" t="s">
        <v>11526</v>
      </c>
      <c r="AH2060">
        <v>-5.38</v>
      </c>
      <c r="AI2060">
        <v>4.55</v>
      </c>
      <c r="AJ2060">
        <v>17</v>
      </c>
      <c r="AK2060">
        <v>47.63</v>
      </c>
      <c r="AL2060">
        <v>1</v>
      </c>
      <c r="AM2060">
        <v>7.56</v>
      </c>
      <c r="AN2060">
        <v>74.93</v>
      </c>
      <c r="AO2060">
        <v>47.09</v>
      </c>
      <c r="AP2060">
        <v>53.77</v>
      </c>
    </row>
    <row r="2061" spans="1:42">
      <c r="A2061">
        <v>2060</v>
      </c>
      <c r="B2061" t="str">
        <f>"002867"</f>
        <v>002867</v>
      </c>
      <c r="C2061" t="s">
        <v>11527</v>
      </c>
      <c r="D2061">
        <v>15.52</v>
      </c>
      <c r="E2061">
        <v>1.7</v>
      </c>
      <c r="F2061">
        <v>0.26</v>
      </c>
      <c r="G2061" t="s">
        <v>5472</v>
      </c>
      <c r="H2061">
        <v>425</v>
      </c>
      <c r="I2061">
        <v>15.51</v>
      </c>
      <c r="J2061">
        <v>15.52</v>
      </c>
      <c r="K2061" t="s">
        <v>11528</v>
      </c>
      <c r="L2061">
        <v>0.55</v>
      </c>
      <c r="M2061" t="s">
        <v>46</v>
      </c>
      <c r="N2061" t="s">
        <v>8210</v>
      </c>
      <c r="O2061">
        <v>15.54</v>
      </c>
      <c r="P2061">
        <v>15.15</v>
      </c>
      <c r="Q2061">
        <v>15.25</v>
      </c>
      <c r="R2061">
        <v>15.26</v>
      </c>
      <c r="S2061">
        <v>2.56</v>
      </c>
      <c r="T2061">
        <v>1.2</v>
      </c>
      <c r="U2061">
        <v>-64</v>
      </c>
      <c r="V2061">
        <v>-1207</v>
      </c>
      <c r="W2061">
        <v>15.39</v>
      </c>
      <c r="X2061" t="s">
        <v>8211</v>
      </c>
      <c r="Y2061" t="s">
        <v>4527</v>
      </c>
      <c r="Z2061">
        <v>0.69</v>
      </c>
      <c r="AA2061">
        <v>50</v>
      </c>
      <c r="AB2061">
        <v>141</v>
      </c>
      <c r="AC2061">
        <v>2.76</v>
      </c>
      <c r="AD2061" t="s">
        <v>7407</v>
      </c>
      <c r="AE2061" t="s">
        <v>5523</v>
      </c>
      <c r="AF2061" t="s">
        <v>11529</v>
      </c>
      <c r="AG2061" t="s">
        <v>8381</v>
      </c>
      <c r="AH2061">
        <v>2.51</v>
      </c>
      <c r="AI2061">
        <v>3.05</v>
      </c>
      <c r="AJ2061">
        <v>1.46</v>
      </c>
      <c r="AK2061">
        <v>2.83</v>
      </c>
      <c r="AL2061">
        <v>1</v>
      </c>
      <c r="AM2061">
        <v>1.7</v>
      </c>
      <c r="AN2061">
        <v>18.2</v>
      </c>
      <c r="AO2061">
        <v>3.88</v>
      </c>
      <c r="AP2061">
        <v>32.65</v>
      </c>
    </row>
    <row r="2062" spans="1:42">
      <c r="A2062">
        <v>2061</v>
      </c>
      <c r="B2062" t="str">
        <f>"300365"</f>
        <v>300365</v>
      </c>
      <c r="C2062" t="s">
        <v>11530</v>
      </c>
      <c r="D2062">
        <v>7.41</v>
      </c>
      <c r="E2062">
        <v>2.49</v>
      </c>
      <c r="F2062">
        <v>0.18</v>
      </c>
      <c r="G2062" t="s">
        <v>1261</v>
      </c>
      <c r="H2062">
        <v>753</v>
      </c>
      <c r="I2062">
        <v>7.4</v>
      </c>
      <c r="J2062">
        <v>7.41</v>
      </c>
      <c r="K2062" t="s">
        <v>11531</v>
      </c>
      <c r="L2062">
        <v>2.72</v>
      </c>
      <c r="M2062" t="s">
        <v>46</v>
      </c>
      <c r="N2062" t="s">
        <v>11532</v>
      </c>
      <c r="O2062">
        <v>7.41</v>
      </c>
      <c r="P2062">
        <v>7.2</v>
      </c>
      <c r="Q2062">
        <v>7.23</v>
      </c>
      <c r="R2062">
        <v>7.23</v>
      </c>
      <c r="S2062">
        <v>2.9</v>
      </c>
      <c r="T2062">
        <v>1.09</v>
      </c>
      <c r="U2062">
        <v>-51.57</v>
      </c>
      <c r="V2062">
        <v>-4824</v>
      </c>
      <c r="W2062">
        <v>7.33</v>
      </c>
      <c r="X2062" t="s">
        <v>4928</v>
      </c>
      <c r="Y2062" t="s">
        <v>700</v>
      </c>
      <c r="Z2062">
        <v>0.63</v>
      </c>
      <c r="AA2062">
        <v>484</v>
      </c>
      <c r="AB2062">
        <v>1669</v>
      </c>
      <c r="AC2062">
        <v>2.24</v>
      </c>
      <c r="AD2062" t="s">
        <v>11533</v>
      </c>
      <c r="AE2062" t="s">
        <v>11534</v>
      </c>
      <c r="AF2062" t="s">
        <v>11535</v>
      </c>
      <c r="AG2062" t="s">
        <v>11536</v>
      </c>
      <c r="AH2062">
        <v>1.23</v>
      </c>
      <c r="AI2062">
        <v>-0.94</v>
      </c>
      <c r="AJ2062">
        <v>8.32</v>
      </c>
      <c r="AK2062">
        <v>15.18</v>
      </c>
      <c r="AL2062">
        <v>1</v>
      </c>
      <c r="AM2062">
        <v>2.49</v>
      </c>
      <c r="AN2062">
        <v>-2.63</v>
      </c>
      <c r="AO2062">
        <v>3.35</v>
      </c>
      <c r="AP2062">
        <v>-28.82</v>
      </c>
    </row>
    <row r="2063" spans="1:42">
      <c r="A2063">
        <v>2062</v>
      </c>
      <c r="B2063" t="str">
        <f>"300584"</f>
        <v>300584</v>
      </c>
      <c r="C2063" t="s">
        <v>11537</v>
      </c>
      <c r="D2063">
        <v>26.06</v>
      </c>
      <c r="E2063">
        <v>0.62</v>
      </c>
      <c r="F2063">
        <v>0.16</v>
      </c>
      <c r="G2063" t="s">
        <v>6025</v>
      </c>
      <c r="H2063">
        <v>472</v>
      </c>
      <c r="I2063">
        <v>26.05</v>
      </c>
      <c r="J2063">
        <v>26.06</v>
      </c>
      <c r="K2063" t="s">
        <v>11538</v>
      </c>
      <c r="L2063">
        <v>4.24</v>
      </c>
      <c r="M2063" t="s">
        <v>46</v>
      </c>
      <c r="N2063" t="s">
        <v>3881</v>
      </c>
      <c r="O2063">
        <v>26.65</v>
      </c>
      <c r="P2063">
        <v>25.71</v>
      </c>
      <c r="Q2063">
        <v>25.9</v>
      </c>
      <c r="R2063">
        <v>25.9</v>
      </c>
      <c r="S2063">
        <v>3.63</v>
      </c>
      <c r="T2063">
        <v>0.72</v>
      </c>
      <c r="U2063">
        <v>33.75</v>
      </c>
      <c r="V2063">
        <v>216</v>
      </c>
      <c r="W2063">
        <v>26.21</v>
      </c>
      <c r="X2063" t="s">
        <v>60</v>
      </c>
      <c r="Y2063" t="s">
        <v>2111</v>
      </c>
      <c r="Z2063">
        <v>1.05</v>
      </c>
      <c r="AA2063">
        <v>201</v>
      </c>
      <c r="AB2063">
        <v>100</v>
      </c>
      <c r="AC2063">
        <v>3.21</v>
      </c>
      <c r="AD2063" t="s">
        <v>5210</v>
      </c>
      <c r="AE2063" t="s">
        <v>10844</v>
      </c>
      <c r="AF2063" t="s">
        <v>11539</v>
      </c>
      <c r="AG2063" t="s">
        <v>11540</v>
      </c>
      <c r="AH2063">
        <v>-1.03</v>
      </c>
      <c r="AI2063">
        <v>-4.19</v>
      </c>
      <c r="AJ2063">
        <v>11.85</v>
      </c>
      <c r="AK2063">
        <v>33.81</v>
      </c>
      <c r="AL2063">
        <v>2</v>
      </c>
      <c r="AM2063">
        <v>0.62</v>
      </c>
      <c r="AN2063">
        <v>-19.07</v>
      </c>
      <c r="AO2063">
        <v>-4.47</v>
      </c>
      <c r="AP2063">
        <v>-12.34</v>
      </c>
    </row>
    <row r="2064" spans="1:42">
      <c r="A2064">
        <v>2063</v>
      </c>
      <c r="B2064" t="str">
        <f>"600308"</f>
        <v>600308</v>
      </c>
      <c r="C2064" t="s">
        <v>11541</v>
      </c>
      <c r="D2064">
        <v>3.58</v>
      </c>
      <c r="E2064">
        <v>1.99</v>
      </c>
      <c r="F2064">
        <v>0.07</v>
      </c>
      <c r="G2064" t="s">
        <v>443</v>
      </c>
      <c r="H2064">
        <v>1583</v>
      </c>
      <c r="I2064">
        <v>3.58</v>
      </c>
      <c r="J2064">
        <v>3.59</v>
      </c>
      <c r="K2064" t="s">
        <v>11542</v>
      </c>
      <c r="L2064">
        <v>1.65</v>
      </c>
      <c r="M2064" t="s">
        <v>46</v>
      </c>
      <c r="N2064" t="s">
        <v>2172</v>
      </c>
      <c r="O2064">
        <v>3.74</v>
      </c>
      <c r="P2064">
        <v>3.56</v>
      </c>
      <c r="Q2064">
        <v>3.66</v>
      </c>
      <c r="R2064">
        <v>3.51</v>
      </c>
      <c r="S2064">
        <v>5.13</v>
      </c>
      <c r="T2064">
        <v>2.67</v>
      </c>
      <c r="U2064">
        <v>6.19</v>
      </c>
      <c r="V2064">
        <v>964</v>
      </c>
      <c r="W2064">
        <v>3.64</v>
      </c>
      <c r="X2064" t="s">
        <v>1986</v>
      </c>
      <c r="Y2064" t="s">
        <v>1986</v>
      </c>
      <c r="Z2064">
        <v>1</v>
      </c>
      <c r="AA2064">
        <v>700</v>
      </c>
      <c r="AB2064">
        <v>1198</v>
      </c>
      <c r="AC2064">
        <v>0.59</v>
      </c>
      <c r="AD2064" t="s">
        <v>11543</v>
      </c>
      <c r="AE2064" t="s">
        <v>11544</v>
      </c>
      <c r="AF2064" t="s">
        <v>11543</v>
      </c>
      <c r="AG2064" t="s">
        <v>11544</v>
      </c>
      <c r="AH2064">
        <v>0.28</v>
      </c>
      <c r="AI2064">
        <v>-1.38</v>
      </c>
      <c r="AJ2064">
        <v>2.67</v>
      </c>
      <c r="AK2064">
        <v>4.74</v>
      </c>
      <c r="AL2064">
        <v>1</v>
      </c>
      <c r="AM2064">
        <v>1.99</v>
      </c>
      <c r="AN2064">
        <v>-1.1</v>
      </c>
      <c r="AO2064">
        <v>0.85</v>
      </c>
      <c r="AP2064">
        <v>-4.02</v>
      </c>
    </row>
    <row r="2065" spans="1:42">
      <c r="A2065">
        <v>2064</v>
      </c>
      <c r="B2065" t="str">
        <f>"603383"</f>
        <v>603383</v>
      </c>
      <c r="C2065" t="s">
        <v>11545</v>
      </c>
      <c r="D2065">
        <v>57.12</v>
      </c>
      <c r="E2065">
        <v>2.6</v>
      </c>
      <c r="F2065">
        <v>1.45</v>
      </c>
      <c r="G2065" t="s">
        <v>7487</v>
      </c>
      <c r="H2065">
        <v>68</v>
      </c>
      <c r="I2065">
        <v>57.11</v>
      </c>
      <c r="J2065">
        <v>57.12</v>
      </c>
      <c r="K2065" t="s">
        <v>11546</v>
      </c>
      <c r="L2065">
        <v>0.95</v>
      </c>
      <c r="M2065" t="s">
        <v>46</v>
      </c>
      <c r="N2065" t="s">
        <v>9363</v>
      </c>
      <c r="O2065">
        <v>57.45</v>
      </c>
      <c r="P2065">
        <v>55.21</v>
      </c>
      <c r="Q2065">
        <v>55.5</v>
      </c>
      <c r="R2065">
        <v>55.67</v>
      </c>
      <c r="S2065">
        <v>4.02</v>
      </c>
      <c r="T2065">
        <v>1.41</v>
      </c>
      <c r="U2065">
        <v>-79.45</v>
      </c>
      <c r="V2065">
        <v>-131</v>
      </c>
      <c r="W2065">
        <v>56.55</v>
      </c>
      <c r="X2065">
        <v>6337</v>
      </c>
      <c r="Y2065">
        <v>9777</v>
      </c>
      <c r="Z2065">
        <v>0.65</v>
      </c>
      <c r="AA2065">
        <v>1</v>
      </c>
      <c r="AB2065">
        <v>50</v>
      </c>
      <c r="AC2065">
        <v>7.16</v>
      </c>
      <c r="AD2065" t="s">
        <v>11547</v>
      </c>
      <c r="AE2065" t="s">
        <v>11548</v>
      </c>
      <c r="AF2065" t="s">
        <v>11549</v>
      </c>
      <c r="AG2065" t="s">
        <v>11550</v>
      </c>
      <c r="AH2065">
        <v>2.33</v>
      </c>
      <c r="AI2065">
        <v>1.64</v>
      </c>
      <c r="AJ2065">
        <v>2.52</v>
      </c>
      <c r="AK2065">
        <v>4.33</v>
      </c>
      <c r="AL2065">
        <v>1</v>
      </c>
      <c r="AM2065">
        <v>2.6</v>
      </c>
      <c r="AN2065">
        <v>33.33</v>
      </c>
      <c r="AO2065">
        <v>6.09</v>
      </c>
      <c r="AP2065">
        <v>17.29</v>
      </c>
    </row>
    <row r="2066" spans="1:42">
      <c r="A2066">
        <v>2065</v>
      </c>
      <c r="B2066" t="str">
        <f>"600710"</f>
        <v>600710</v>
      </c>
      <c r="C2066" t="s">
        <v>11551</v>
      </c>
      <c r="D2066">
        <v>7.49</v>
      </c>
      <c r="E2066">
        <v>2.18</v>
      </c>
      <c r="F2066">
        <v>0.16</v>
      </c>
      <c r="G2066" t="s">
        <v>447</v>
      </c>
      <c r="H2066">
        <v>676</v>
      </c>
      <c r="I2066">
        <v>7.48</v>
      </c>
      <c r="J2066">
        <v>7.49</v>
      </c>
      <c r="K2066" t="s">
        <v>11552</v>
      </c>
      <c r="L2066">
        <v>0.94</v>
      </c>
      <c r="M2066" t="s">
        <v>46</v>
      </c>
      <c r="N2066" t="s">
        <v>11553</v>
      </c>
      <c r="O2066">
        <v>7.51</v>
      </c>
      <c r="P2066">
        <v>7.38</v>
      </c>
      <c r="Q2066">
        <v>7.43</v>
      </c>
      <c r="R2066">
        <v>7.33</v>
      </c>
      <c r="S2066">
        <v>1.77</v>
      </c>
      <c r="T2066">
        <v>1.81</v>
      </c>
      <c r="U2066">
        <v>-76.03</v>
      </c>
      <c r="V2066">
        <v>-5785</v>
      </c>
      <c r="W2066">
        <v>7.44</v>
      </c>
      <c r="X2066" t="s">
        <v>9519</v>
      </c>
      <c r="Y2066" t="s">
        <v>2168</v>
      </c>
      <c r="Z2066">
        <v>0.82</v>
      </c>
      <c r="AA2066">
        <v>62</v>
      </c>
      <c r="AB2066">
        <v>1173</v>
      </c>
      <c r="AC2066">
        <v>1.46</v>
      </c>
      <c r="AD2066" t="s">
        <v>11554</v>
      </c>
      <c r="AE2066" t="s">
        <v>11555</v>
      </c>
      <c r="AF2066" t="s">
        <v>11554</v>
      </c>
      <c r="AG2066" t="s">
        <v>11555</v>
      </c>
      <c r="AH2066">
        <v>1.49</v>
      </c>
      <c r="AI2066">
        <v>1.49</v>
      </c>
      <c r="AJ2066">
        <v>1.9</v>
      </c>
      <c r="AK2066">
        <v>3.52</v>
      </c>
      <c r="AL2066">
        <v>1</v>
      </c>
      <c r="AM2066">
        <v>2.18</v>
      </c>
      <c r="AN2066">
        <v>34.23</v>
      </c>
      <c r="AO2066">
        <v>2.32</v>
      </c>
      <c r="AP2066">
        <v>28.03</v>
      </c>
    </row>
    <row r="2067" spans="1:42">
      <c r="A2067">
        <v>2066</v>
      </c>
      <c r="B2067" t="str">
        <f>"300434"</f>
        <v>300434</v>
      </c>
      <c r="C2067" t="s">
        <v>11556</v>
      </c>
      <c r="D2067">
        <v>12.13</v>
      </c>
      <c r="E2067">
        <v>0.25</v>
      </c>
      <c r="F2067">
        <v>0.03</v>
      </c>
      <c r="G2067" t="s">
        <v>9036</v>
      </c>
      <c r="H2067">
        <v>1179</v>
      </c>
      <c r="I2067">
        <v>12.12</v>
      </c>
      <c r="J2067">
        <v>12.13</v>
      </c>
      <c r="K2067" t="s">
        <v>11557</v>
      </c>
      <c r="L2067">
        <v>2.22</v>
      </c>
      <c r="M2067" t="s">
        <v>46</v>
      </c>
      <c r="N2067" t="s">
        <v>11558</v>
      </c>
      <c r="O2067">
        <v>12.37</v>
      </c>
      <c r="P2067">
        <v>12.02</v>
      </c>
      <c r="Q2067">
        <v>12.1</v>
      </c>
      <c r="R2067">
        <v>12.1</v>
      </c>
      <c r="S2067">
        <v>2.89</v>
      </c>
      <c r="T2067">
        <v>0.51</v>
      </c>
      <c r="U2067">
        <v>-5.57</v>
      </c>
      <c r="V2067">
        <v>-125</v>
      </c>
      <c r="W2067">
        <v>12.19</v>
      </c>
      <c r="X2067" t="s">
        <v>5700</v>
      </c>
      <c r="Y2067" t="s">
        <v>6314</v>
      </c>
      <c r="Z2067">
        <v>1.06</v>
      </c>
      <c r="AA2067">
        <v>85</v>
      </c>
      <c r="AB2067">
        <v>154</v>
      </c>
      <c r="AC2067">
        <v>2.02</v>
      </c>
      <c r="AD2067" t="s">
        <v>11559</v>
      </c>
      <c r="AE2067" t="s">
        <v>11560</v>
      </c>
      <c r="AF2067" t="s">
        <v>11561</v>
      </c>
      <c r="AG2067" t="s">
        <v>11562</v>
      </c>
      <c r="AH2067">
        <v>-3.04</v>
      </c>
      <c r="AI2067">
        <v>-7.26</v>
      </c>
      <c r="AJ2067">
        <v>6.73</v>
      </c>
      <c r="AK2067">
        <v>24.13</v>
      </c>
      <c r="AL2067">
        <v>1</v>
      </c>
      <c r="AM2067">
        <v>0.25</v>
      </c>
      <c r="AN2067">
        <v>-10.87</v>
      </c>
      <c r="AO2067">
        <v>2.71</v>
      </c>
      <c r="AP2067">
        <v>6.5</v>
      </c>
    </row>
    <row r="2068" spans="1:42">
      <c r="A2068">
        <v>2067</v>
      </c>
      <c r="B2068" t="str">
        <f>"838971"</f>
        <v>838971</v>
      </c>
      <c r="C2068" t="s">
        <v>11563</v>
      </c>
      <c r="D2068">
        <v>9.85</v>
      </c>
      <c r="E2068">
        <v>-9.63</v>
      </c>
      <c r="F2068">
        <v>-1.05</v>
      </c>
      <c r="G2068" t="s">
        <v>7232</v>
      </c>
      <c r="H2068">
        <v>927</v>
      </c>
      <c r="I2068">
        <v>9.84</v>
      </c>
      <c r="J2068">
        <v>9.85</v>
      </c>
      <c r="K2068" t="s">
        <v>11564</v>
      </c>
      <c r="L2068">
        <v>27.89</v>
      </c>
      <c r="M2068" t="s">
        <v>46</v>
      </c>
      <c r="N2068" t="s">
        <v>9102</v>
      </c>
      <c r="O2068">
        <v>11.3</v>
      </c>
      <c r="P2068">
        <v>9.7</v>
      </c>
      <c r="Q2068">
        <v>10.71</v>
      </c>
      <c r="R2068">
        <v>10.9</v>
      </c>
      <c r="S2068">
        <v>14.68</v>
      </c>
      <c r="T2068">
        <v>0.75</v>
      </c>
      <c r="U2068">
        <v>85.74</v>
      </c>
      <c r="V2068">
        <v>894</v>
      </c>
      <c r="W2068">
        <v>10.18</v>
      </c>
      <c r="X2068" t="s">
        <v>6349</v>
      </c>
      <c r="Y2068" t="s">
        <v>2124</v>
      </c>
      <c r="Z2068">
        <v>1.49</v>
      </c>
      <c r="AA2068">
        <v>500</v>
      </c>
      <c r="AB2068">
        <v>3</v>
      </c>
      <c r="AC2068">
        <v>2.34</v>
      </c>
      <c r="AD2068" t="s">
        <v>5384</v>
      </c>
      <c r="AE2068" t="s">
        <v>2997</v>
      </c>
      <c r="AF2068" t="s">
        <v>11565</v>
      </c>
      <c r="AG2068" t="s">
        <v>11566</v>
      </c>
      <c r="AH2068">
        <v>-9.55</v>
      </c>
      <c r="AI2068">
        <v>-3.24</v>
      </c>
      <c r="AJ2068">
        <v>130</v>
      </c>
      <c r="AK2068">
        <v>213.69</v>
      </c>
      <c r="AL2068">
        <v>-2</v>
      </c>
      <c r="AM2068">
        <v>-9.63</v>
      </c>
      <c r="AN2068">
        <v>11.17</v>
      </c>
      <c r="AO2068">
        <v>43.17</v>
      </c>
      <c r="AP2068">
        <v>-2.76</v>
      </c>
    </row>
    <row r="2069" spans="1:42">
      <c r="A2069">
        <v>2068</v>
      </c>
      <c r="B2069" t="str">
        <f>"002987"</f>
        <v>002987</v>
      </c>
      <c r="C2069" t="s">
        <v>11567</v>
      </c>
      <c r="D2069">
        <v>19.54</v>
      </c>
      <c r="E2069">
        <v>3</v>
      </c>
      <c r="F2069">
        <v>0.57</v>
      </c>
      <c r="G2069" t="s">
        <v>6257</v>
      </c>
      <c r="H2069">
        <v>316</v>
      </c>
      <c r="I2069">
        <v>19.53</v>
      </c>
      <c r="J2069">
        <v>19.54</v>
      </c>
      <c r="K2069" t="s">
        <v>11568</v>
      </c>
      <c r="L2069">
        <v>1.1</v>
      </c>
      <c r="M2069" t="s">
        <v>46</v>
      </c>
      <c r="N2069" t="s">
        <v>9706</v>
      </c>
      <c r="O2069">
        <v>19.58</v>
      </c>
      <c r="P2069">
        <v>18.92</v>
      </c>
      <c r="Q2069">
        <v>18.96</v>
      </c>
      <c r="R2069">
        <v>18.97</v>
      </c>
      <c r="S2069">
        <v>3.48</v>
      </c>
      <c r="T2069">
        <v>1.02</v>
      </c>
      <c r="U2069">
        <v>-42.39</v>
      </c>
      <c r="V2069">
        <v>-608</v>
      </c>
      <c r="W2069">
        <v>19.31</v>
      </c>
      <c r="X2069" t="s">
        <v>5578</v>
      </c>
      <c r="Y2069" t="s">
        <v>8681</v>
      </c>
      <c r="Z2069">
        <v>0.66</v>
      </c>
      <c r="AA2069">
        <v>124</v>
      </c>
      <c r="AB2069">
        <v>135</v>
      </c>
      <c r="AC2069">
        <v>3.52</v>
      </c>
      <c r="AD2069" t="s">
        <v>11569</v>
      </c>
      <c r="AE2069" t="s">
        <v>8402</v>
      </c>
      <c r="AF2069" t="s">
        <v>6515</v>
      </c>
      <c r="AG2069" t="s">
        <v>11570</v>
      </c>
      <c r="AH2069">
        <v>1.3</v>
      </c>
      <c r="AI2069">
        <v>-2.64</v>
      </c>
      <c r="AJ2069">
        <v>2.54</v>
      </c>
      <c r="AK2069">
        <v>6.51</v>
      </c>
      <c r="AL2069">
        <v>1</v>
      </c>
      <c r="AM2069">
        <v>3</v>
      </c>
      <c r="AN2069">
        <v>3.28</v>
      </c>
      <c r="AO2069">
        <v>7.66</v>
      </c>
      <c r="AP2069">
        <v>-6.24</v>
      </c>
    </row>
    <row r="2070" spans="1:42">
      <c r="A2070">
        <v>2069</v>
      </c>
      <c r="B2070" t="str">
        <f>"603893"</f>
        <v>603893</v>
      </c>
      <c r="C2070" t="s">
        <v>11571</v>
      </c>
      <c r="D2070">
        <v>66.26</v>
      </c>
      <c r="E2070">
        <v>0.67</v>
      </c>
      <c r="F2070">
        <v>0.44</v>
      </c>
      <c r="G2070" t="s">
        <v>10542</v>
      </c>
      <c r="H2070">
        <v>139</v>
      </c>
      <c r="I2070">
        <v>66.25</v>
      </c>
      <c r="J2070">
        <v>66.26</v>
      </c>
      <c r="K2070" t="s">
        <v>11572</v>
      </c>
      <c r="L2070">
        <v>0.33</v>
      </c>
      <c r="M2070" t="s">
        <v>46</v>
      </c>
      <c r="N2070" t="s">
        <v>4326</v>
      </c>
      <c r="O2070">
        <v>66.43</v>
      </c>
      <c r="P2070">
        <v>64.89</v>
      </c>
      <c r="Q2070">
        <v>65.45</v>
      </c>
      <c r="R2070">
        <v>65.82</v>
      </c>
      <c r="S2070">
        <v>2.34</v>
      </c>
      <c r="T2070">
        <v>0.93</v>
      </c>
      <c r="U2070">
        <v>46.59</v>
      </c>
      <c r="V2070">
        <v>82</v>
      </c>
      <c r="W2070">
        <v>65.54</v>
      </c>
      <c r="X2070">
        <v>6902</v>
      </c>
      <c r="Y2070">
        <v>6983</v>
      </c>
      <c r="Z2070">
        <v>0.99</v>
      </c>
      <c r="AA2070">
        <v>21</v>
      </c>
      <c r="AB2070">
        <v>26</v>
      </c>
      <c r="AC2070">
        <v>9.37</v>
      </c>
      <c r="AD2070" t="s">
        <v>11573</v>
      </c>
      <c r="AE2070" t="s">
        <v>11278</v>
      </c>
      <c r="AF2070" t="s">
        <v>8842</v>
      </c>
      <c r="AG2070" t="s">
        <v>11574</v>
      </c>
      <c r="AH2070">
        <v>-0.33</v>
      </c>
      <c r="AI2070">
        <v>-1.02</v>
      </c>
      <c r="AJ2070">
        <v>0.98</v>
      </c>
      <c r="AK2070">
        <v>2.12</v>
      </c>
      <c r="AL2070">
        <v>1</v>
      </c>
      <c r="AM2070">
        <v>0.67</v>
      </c>
      <c r="AN2070">
        <v>-3.35</v>
      </c>
      <c r="AO2070">
        <v>-1.09</v>
      </c>
      <c r="AP2070">
        <v>-18.39</v>
      </c>
    </row>
    <row r="2071" spans="1:42">
      <c r="A2071">
        <v>2070</v>
      </c>
      <c r="B2071" t="str">
        <f>"605088"</f>
        <v>605088</v>
      </c>
      <c r="C2071" t="s">
        <v>11575</v>
      </c>
      <c r="D2071">
        <v>22.42</v>
      </c>
      <c r="E2071">
        <v>-0.4</v>
      </c>
      <c r="F2071">
        <v>-0.09</v>
      </c>
      <c r="G2071" t="s">
        <v>2754</v>
      </c>
      <c r="H2071">
        <v>395</v>
      </c>
      <c r="I2071">
        <v>22.41</v>
      </c>
      <c r="J2071">
        <v>22.42</v>
      </c>
      <c r="K2071" t="s">
        <v>11572</v>
      </c>
      <c r="L2071">
        <v>2.49</v>
      </c>
      <c r="M2071" t="s">
        <v>46</v>
      </c>
      <c r="N2071" t="s">
        <v>624</v>
      </c>
      <c r="O2071">
        <v>22.6</v>
      </c>
      <c r="P2071">
        <v>22</v>
      </c>
      <c r="Q2071">
        <v>22.29</v>
      </c>
      <c r="R2071">
        <v>22.51</v>
      </c>
      <c r="S2071">
        <v>2.67</v>
      </c>
      <c r="T2071">
        <v>0.79</v>
      </c>
      <c r="U2071">
        <v>1.23</v>
      </c>
      <c r="V2071">
        <v>15</v>
      </c>
      <c r="W2071">
        <v>22.29</v>
      </c>
      <c r="X2071" t="s">
        <v>5585</v>
      </c>
      <c r="Y2071" t="s">
        <v>3116</v>
      </c>
      <c r="Z2071">
        <v>0.91</v>
      </c>
      <c r="AA2071">
        <v>63</v>
      </c>
      <c r="AB2071">
        <v>250</v>
      </c>
      <c r="AC2071">
        <v>2.01</v>
      </c>
      <c r="AD2071" t="s">
        <v>7779</v>
      </c>
      <c r="AE2071" t="s">
        <v>11576</v>
      </c>
      <c r="AF2071" t="s">
        <v>8999</v>
      </c>
      <c r="AG2071" t="s">
        <v>11577</v>
      </c>
      <c r="AH2071">
        <v>-0.8</v>
      </c>
      <c r="AI2071">
        <v>1.68</v>
      </c>
      <c r="AJ2071">
        <v>9.42</v>
      </c>
      <c r="AK2071">
        <v>18.25</v>
      </c>
      <c r="AL2071">
        <v>-1</v>
      </c>
      <c r="AM2071">
        <v>-0.4</v>
      </c>
      <c r="AN2071">
        <v>34.41</v>
      </c>
      <c r="AO2071">
        <v>9.74</v>
      </c>
      <c r="AP2071">
        <v>20.47</v>
      </c>
    </row>
    <row r="2072" spans="1:42">
      <c r="A2072">
        <v>2071</v>
      </c>
      <c r="B2072" t="str">
        <f>"300344"</f>
        <v>300344</v>
      </c>
      <c r="C2072" t="s">
        <v>11578</v>
      </c>
      <c r="D2072">
        <v>6.22</v>
      </c>
      <c r="E2072">
        <v>3.32</v>
      </c>
      <c r="F2072">
        <v>0.2</v>
      </c>
      <c r="G2072" t="s">
        <v>598</v>
      </c>
      <c r="H2072">
        <v>2059</v>
      </c>
      <c r="I2072">
        <v>6.22</v>
      </c>
      <c r="J2072">
        <v>6.23</v>
      </c>
      <c r="K2072" t="s">
        <v>11579</v>
      </c>
      <c r="L2072">
        <v>2.32</v>
      </c>
      <c r="M2072" t="s">
        <v>46</v>
      </c>
      <c r="N2072" t="s">
        <v>4894</v>
      </c>
      <c r="O2072">
        <v>6.24</v>
      </c>
      <c r="P2072">
        <v>6.01</v>
      </c>
      <c r="Q2072">
        <v>6.03</v>
      </c>
      <c r="R2072">
        <v>6.02</v>
      </c>
      <c r="S2072">
        <v>3.82</v>
      </c>
      <c r="T2072">
        <v>0.83</v>
      </c>
      <c r="U2072">
        <v>-14.3</v>
      </c>
      <c r="V2072">
        <v>-1961</v>
      </c>
      <c r="W2072">
        <v>6.14</v>
      </c>
      <c r="X2072" t="s">
        <v>1038</v>
      </c>
      <c r="Y2072" t="s">
        <v>3540</v>
      </c>
      <c r="Z2072">
        <v>0.6</v>
      </c>
      <c r="AA2072">
        <v>525</v>
      </c>
      <c r="AB2072">
        <v>1709</v>
      </c>
      <c r="AC2072">
        <v>8.94</v>
      </c>
      <c r="AD2072" t="s">
        <v>11580</v>
      </c>
      <c r="AE2072" t="s">
        <v>11581</v>
      </c>
      <c r="AF2072" t="s">
        <v>6628</v>
      </c>
      <c r="AG2072" t="s">
        <v>11582</v>
      </c>
      <c r="AH2072">
        <v>-0.32</v>
      </c>
      <c r="AI2072">
        <v>-3.42</v>
      </c>
      <c r="AJ2072">
        <v>6.55</v>
      </c>
      <c r="AK2072">
        <v>16.27</v>
      </c>
      <c r="AL2072">
        <v>1</v>
      </c>
      <c r="AM2072">
        <v>3.32</v>
      </c>
      <c r="AN2072">
        <v>44.99</v>
      </c>
      <c r="AO2072">
        <v>0.32</v>
      </c>
      <c r="AP2072">
        <v>32.34</v>
      </c>
    </row>
    <row r="2073" spans="1:42">
      <c r="A2073">
        <v>2072</v>
      </c>
      <c r="B2073" t="str">
        <f>"002785"</f>
        <v>002785</v>
      </c>
      <c r="C2073" t="s">
        <v>11583</v>
      </c>
      <c r="D2073">
        <v>28.46</v>
      </c>
      <c r="E2073">
        <v>1.64</v>
      </c>
      <c r="F2073">
        <v>0.46</v>
      </c>
      <c r="G2073" t="s">
        <v>10177</v>
      </c>
      <c r="H2073">
        <v>143</v>
      </c>
      <c r="I2073">
        <v>28.41</v>
      </c>
      <c r="J2073">
        <v>28.46</v>
      </c>
      <c r="K2073" t="s">
        <v>11584</v>
      </c>
      <c r="L2073">
        <v>1.92</v>
      </c>
      <c r="M2073" t="s">
        <v>46</v>
      </c>
      <c r="N2073" t="s">
        <v>9386</v>
      </c>
      <c r="O2073">
        <v>28.58</v>
      </c>
      <c r="P2073">
        <v>27.8</v>
      </c>
      <c r="Q2073">
        <v>28</v>
      </c>
      <c r="R2073">
        <v>28</v>
      </c>
      <c r="S2073">
        <v>2.79</v>
      </c>
      <c r="T2073">
        <v>0.93</v>
      </c>
      <c r="U2073">
        <v>-87.53</v>
      </c>
      <c r="V2073">
        <v>-983</v>
      </c>
      <c r="W2073">
        <v>28.21</v>
      </c>
      <c r="X2073" t="s">
        <v>383</v>
      </c>
      <c r="Y2073" t="s">
        <v>1525</v>
      </c>
      <c r="Z2073">
        <v>0.7</v>
      </c>
      <c r="AA2073">
        <v>2</v>
      </c>
      <c r="AB2073">
        <v>49</v>
      </c>
      <c r="AC2073">
        <v>6.38</v>
      </c>
      <c r="AD2073" t="s">
        <v>11585</v>
      </c>
      <c r="AE2073" t="s">
        <v>11586</v>
      </c>
      <c r="AF2073" t="s">
        <v>11587</v>
      </c>
      <c r="AG2073" t="s">
        <v>11588</v>
      </c>
      <c r="AH2073">
        <v>1.9</v>
      </c>
      <c r="AI2073">
        <v>2.74</v>
      </c>
      <c r="AJ2073">
        <v>6.14</v>
      </c>
      <c r="AK2073">
        <v>12.29</v>
      </c>
      <c r="AL2073">
        <v>1</v>
      </c>
      <c r="AM2073">
        <v>1.64</v>
      </c>
      <c r="AN2073">
        <v>-5.7</v>
      </c>
      <c r="AO2073">
        <v>10.22</v>
      </c>
      <c r="AP2073">
        <v>-7.15</v>
      </c>
    </row>
    <row r="2074" spans="1:42">
      <c r="A2074">
        <v>2073</v>
      </c>
      <c r="B2074" t="str">
        <f>"000591"</f>
        <v>000591</v>
      </c>
      <c r="C2074" t="s">
        <v>11589</v>
      </c>
      <c r="D2074">
        <v>5.59</v>
      </c>
      <c r="E2074">
        <v>0.36</v>
      </c>
      <c r="F2074">
        <v>0.02</v>
      </c>
      <c r="G2074" t="s">
        <v>3143</v>
      </c>
      <c r="H2074">
        <v>1493</v>
      </c>
      <c r="I2074">
        <v>5.59</v>
      </c>
      <c r="J2074">
        <v>5.6</v>
      </c>
      <c r="K2074" t="s">
        <v>11590</v>
      </c>
      <c r="L2074">
        <v>0.45</v>
      </c>
      <c r="M2074" t="s">
        <v>46</v>
      </c>
      <c r="N2074" t="s">
        <v>11591</v>
      </c>
      <c r="O2074">
        <v>5.6</v>
      </c>
      <c r="P2074">
        <v>5.55</v>
      </c>
      <c r="Q2074">
        <v>5.56</v>
      </c>
      <c r="R2074">
        <v>5.57</v>
      </c>
      <c r="S2074">
        <v>0.9</v>
      </c>
      <c r="T2074">
        <v>0.85</v>
      </c>
      <c r="U2074">
        <v>5.91</v>
      </c>
      <c r="V2074">
        <v>2067</v>
      </c>
      <c r="W2074">
        <v>5.58</v>
      </c>
      <c r="X2074" t="s">
        <v>7241</v>
      </c>
      <c r="Y2074" t="s">
        <v>752</v>
      </c>
      <c r="Z2074">
        <v>0.94</v>
      </c>
      <c r="AA2074">
        <v>63</v>
      </c>
      <c r="AB2074">
        <v>7207</v>
      </c>
      <c r="AC2074">
        <v>0.96</v>
      </c>
      <c r="AD2074" t="s">
        <v>3854</v>
      </c>
      <c r="AE2074" t="s">
        <v>8954</v>
      </c>
      <c r="AF2074" t="s">
        <v>11592</v>
      </c>
      <c r="AG2074" t="s">
        <v>11593</v>
      </c>
      <c r="AH2074">
        <v>-1.41</v>
      </c>
      <c r="AI2074">
        <v>-1.93</v>
      </c>
      <c r="AJ2074">
        <v>1.51</v>
      </c>
      <c r="AK2074">
        <v>3.11</v>
      </c>
      <c r="AL2074">
        <v>1</v>
      </c>
      <c r="AM2074">
        <v>0.36</v>
      </c>
      <c r="AN2074">
        <v>-22.36</v>
      </c>
      <c r="AO2074">
        <v>-2.78</v>
      </c>
      <c r="AP2074">
        <v>-21.38</v>
      </c>
    </row>
    <row r="2075" spans="1:42">
      <c r="A2075">
        <v>2074</v>
      </c>
      <c r="B2075" t="str">
        <f>"300633"</f>
        <v>300633</v>
      </c>
      <c r="C2075" t="s">
        <v>11594</v>
      </c>
      <c r="D2075">
        <v>51.59</v>
      </c>
      <c r="E2075">
        <v>-0.71</v>
      </c>
      <c r="F2075">
        <v>-0.37</v>
      </c>
      <c r="G2075" t="s">
        <v>2575</v>
      </c>
      <c r="H2075">
        <v>125</v>
      </c>
      <c r="I2075">
        <v>51.59</v>
      </c>
      <c r="J2075">
        <v>51.65</v>
      </c>
      <c r="K2075" t="s">
        <v>11595</v>
      </c>
      <c r="L2075">
        <v>0.41</v>
      </c>
      <c r="M2075" t="s">
        <v>46</v>
      </c>
      <c r="N2075" t="s">
        <v>5078</v>
      </c>
      <c r="O2075">
        <v>52</v>
      </c>
      <c r="P2075">
        <v>51.5</v>
      </c>
      <c r="Q2075">
        <v>51.8</v>
      </c>
      <c r="R2075">
        <v>51.96</v>
      </c>
      <c r="S2075">
        <v>0.96</v>
      </c>
      <c r="T2075">
        <v>0.69</v>
      </c>
      <c r="U2075">
        <v>-11.56</v>
      </c>
      <c r="V2075">
        <v>-23</v>
      </c>
      <c r="W2075">
        <v>51.73</v>
      </c>
      <c r="X2075">
        <v>8426</v>
      </c>
      <c r="Y2075">
        <v>9121</v>
      </c>
      <c r="Z2075">
        <v>0.92</v>
      </c>
      <c r="AA2075">
        <v>22</v>
      </c>
      <c r="AB2075">
        <v>4</v>
      </c>
      <c r="AC2075">
        <v>7.26</v>
      </c>
      <c r="AD2075" t="s">
        <v>11596</v>
      </c>
      <c r="AE2075" t="s">
        <v>4823</v>
      </c>
      <c r="AF2075" t="s">
        <v>11596</v>
      </c>
      <c r="AG2075" t="s">
        <v>4823</v>
      </c>
      <c r="AH2075">
        <v>2.02</v>
      </c>
      <c r="AI2075">
        <v>4.99</v>
      </c>
      <c r="AJ2075">
        <v>1.62</v>
      </c>
      <c r="AK2075">
        <v>3.36</v>
      </c>
      <c r="AL2075">
        <v>-1</v>
      </c>
      <c r="AM2075">
        <v>-0.71</v>
      </c>
      <c r="AN2075">
        <v>-5.6</v>
      </c>
      <c r="AO2075">
        <v>9.7</v>
      </c>
      <c r="AP2075">
        <v>1.7</v>
      </c>
    </row>
    <row r="2076" spans="1:42">
      <c r="A2076">
        <v>2075</v>
      </c>
      <c r="B2076" t="str">
        <f>"600491"</f>
        <v>600491</v>
      </c>
      <c r="C2076" t="s">
        <v>11597</v>
      </c>
      <c r="D2076">
        <v>4.52</v>
      </c>
      <c r="E2076">
        <v>2.73</v>
      </c>
      <c r="F2076">
        <v>0.12</v>
      </c>
      <c r="G2076" t="s">
        <v>486</v>
      </c>
      <c r="H2076">
        <v>2041</v>
      </c>
      <c r="I2076">
        <v>4.51</v>
      </c>
      <c r="J2076">
        <v>4.52</v>
      </c>
      <c r="K2076" t="s">
        <v>11598</v>
      </c>
      <c r="L2076">
        <v>1.32</v>
      </c>
      <c r="M2076" t="s">
        <v>46</v>
      </c>
      <c r="N2076" t="s">
        <v>552</v>
      </c>
      <c r="O2076">
        <v>4.59</v>
      </c>
      <c r="P2076">
        <v>4.38</v>
      </c>
      <c r="Q2076">
        <v>4.42</v>
      </c>
      <c r="R2076">
        <v>4.4</v>
      </c>
      <c r="S2076">
        <v>4.77</v>
      </c>
      <c r="T2076">
        <v>1.79</v>
      </c>
      <c r="U2076">
        <v>-39.49</v>
      </c>
      <c r="V2076" t="s">
        <v>4189</v>
      </c>
      <c r="W2076">
        <v>4.49</v>
      </c>
      <c r="X2076" t="s">
        <v>183</v>
      </c>
      <c r="Y2076" t="s">
        <v>1915</v>
      </c>
      <c r="Z2076">
        <v>0.57</v>
      </c>
      <c r="AA2076">
        <v>1756</v>
      </c>
      <c r="AB2076">
        <v>1043</v>
      </c>
      <c r="AC2076">
        <v>0.6</v>
      </c>
      <c r="AD2076" t="s">
        <v>11599</v>
      </c>
      <c r="AE2076" t="s">
        <v>11600</v>
      </c>
      <c r="AF2076" t="s">
        <v>11599</v>
      </c>
      <c r="AG2076" t="s">
        <v>11600</v>
      </c>
      <c r="AH2076">
        <v>0.67</v>
      </c>
      <c r="AI2076">
        <v>0</v>
      </c>
      <c r="AJ2076">
        <v>2.61</v>
      </c>
      <c r="AK2076">
        <v>5.01</v>
      </c>
      <c r="AL2076">
        <v>1</v>
      </c>
      <c r="AM2076">
        <v>2.73</v>
      </c>
      <c r="AN2076">
        <v>-28.14</v>
      </c>
      <c r="AO2076">
        <v>4.63</v>
      </c>
      <c r="AP2076">
        <v>-30.78</v>
      </c>
    </row>
    <row r="2077" spans="1:42">
      <c r="A2077">
        <v>2076</v>
      </c>
      <c r="B2077" t="str">
        <f>"001326"</f>
        <v>001326</v>
      </c>
      <c r="C2077" t="s">
        <v>11601</v>
      </c>
      <c r="D2077">
        <v>52.66</v>
      </c>
      <c r="E2077">
        <v>-0.64</v>
      </c>
      <c r="F2077">
        <v>-0.34</v>
      </c>
      <c r="G2077" t="s">
        <v>1456</v>
      </c>
      <c r="H2077">
        <v>274</v>
      </c>
      <c r="I2077">
        <v>52.66</v>
      </c>
      <c r="J2077">
        <v>52.67</v>
      </c>
      <c r="K2077" t="s">
        <v>11602</v>
      </c>
      <c r="L2077">
        <v>9.61</v>
      </c>
      <c r="M2077" t="s">
        <v>46</v>
      </c>
      <c r="N2077" t="s">
        <v>1419</v>
      </c>
      <c r="O2077">
        <v>53.28</v>
      </c>
      <c r="P2077">
        <v>52.28</v>
      </c>
      <c r="Q2077">
        <v>53.22</v>
      </c>
      <c r="R2077">
        <v>53</v>
      </c>
      <c r="S2077">
        <v>1.89</v>
      </c>
      <c r="T2077">
        <v>0.67</v>
      </c>
      <c r="U2077">
        <v>20.02</v>
      </c>
      <c r="V2077">
        <v>48</v>
      </c>
      <c r="W2077">
        <v>52.66</v>
      </c>
      <c r="X2077">
        <v>9508</v>
      </c>
      <c r="Y2077">
        <v>7720</v>
      </c>
      <c r="Z2077">
        <v>1.23</v>
      </c>
      <c r="AA2077">
        <v>39</v>
      </c>
      <c r="AB2077">
        <v>5</v>
      </c>
      <c r="AC2077">
        <v>3.21</v>
      </c>
      <c r="AD2077" t="s">
        <v>11603</v>
      </c>
      <c r="AE2077" t="s">
        <v>8935</v>
      </c>
      <c r="AF2077" t="s">
        <v>11604</v>
      </c>
      <c r="AG2077" t="s">
        <v>11605</v>
      </c>
      <c r="AH2077">
        <v>-6.86</v>
      </c>
      <c r="AI2077">
        <v>-9.84</v>
      </c>
      <c r="AJ2077">
        <v>38.39</v>
      </c>
      <c r="AK2077">
        <v>81.64</v>
      </c>
      <c r="AL2077">
        <v>-3</v>
      </c>
      <c r="AM2077">
        <v>-0.64</v>
      </c>
      <c r="AN2077">
        <v>27.88</v>
      </c>
      <c r="AO2077">
        <v>27.88</v>
      </c>
      <c r="AP2077">
        <v>27.88</v>
      </c>
    </row>
    <row r="2078" spans="1:42">
      <c r="A2078">
        <v>2077</v>
      </c>
      <c r="B2078" t="str">
        <f>"300249"</f>
        <v>300249</v>
      </c>
      <c r="C2078" t="s">
        <v>11606</v>
      </c>
      <c r="D2078">
        <v>9.55</v>
      </c>
      <c r="E2078">
        <v>2.8</v>
      </c>
      <c r="F2078">
        <v>0.26</v>
      </c>
      <c r="G2078" t="s">
        <v>1978</v>
      </c>
      <c r="H2078">
        <v>1428</v>
      </c>
      <c r="I2078">
        <v>9.55</v>
      </c>
      <c r="J2078">
        <v>9.56</v>
      </c>
      <c r="K2078" t="s">
        <v>11607</v>
      </c>
      <c r="L2078">
        <v>2.61</v>
      </c>
      <c r="M2078" t="s">
        <v>46</v>
      </c>
      <c r="N2078" t="s">
        <v>2557</v>
      </c>
      <c r="O2078">
        <v>9.56</v>
      </c>
      <c r="P2078">
        <v>9.27</v>
      </c>
      <c r="Q2078">
        <v>9.3</v>
      </c>
      <c r="R2078">
        <v>9.29</v>
      </c>
      <c r="S2078">
        <v>3.12</v>
      </c>
      <c r="T2078">
        <v>0.9</v>
      </c>
      <c r="U2078">
        <v>-30.59</v>
      </c>
      <c r="V2078">
        <v>-1799</v>
      </c>
      <c r="W2078">
        <v>9.43</v>
      </c>
      <c r="X2078" t="s">
        <v>2754</v>
      </c>
      <c r="Y2078" t="s">
        <v>2735</v>
      </c>
      <c r="Z2078">
        <v>0.74</v>
      </c>
      <c r="AA2078">
        <v>583</v>
      </c>
      <c r="AB2078">
        <v>1015</v>
      </c>
      <c r="AC2078">
        <v>7.39</v>
      </c>
      <c r="AD2078" t="s">
        <v>11608</v>
      </c>
      <c r="AE2078" t="s">
        <v>11609</v>
      </c>
      <c r="AF2078" t="s">
        <v>11610</v>
      </c>
      <c r="AG2078" t="s">
        <v>11611</v>
      </c>
      <c r="AH2078">
        <v>0.63</v>
      </c>
      <c r="AI2078">
        <v>-2.85</v>
      </c>
      <c r="AJ2078">
        <v>7.89</v>
      </c>
      <c r="AK2078">
        <v>17.17</v>
      </c>
      <c r="AL2078">
        <v>1</v>
      </c>
      <c r="AM2078">
        <v>2.8</v>
      </c>
      <c r="AN2078">
        <v>13.56</v>
      </c>
      <c r="AO2078">
        <v>-0.21</v>
      </c>
      <c r="AP2078">
        <v>3.47</v>
      </c>
    </row>
    <row r="2079" spans="1:42">
      <c r="A2079">
        <v>2078</v>
      </c>
      <c r="B2079" t="str">
        <f>"603171"</f>
        <v>603171</v>
      </c>
      <c r="C2079" t="s">
        <v>11612</v>
      </c>
      <c r="D2079">
        <v>34.61</v>
      </c>
      <c r="E2079">
        <v>3.78</v>
      </c>
      <c r="F2079">
        <v>1.26</v>
      </c>
      <c r="G2079" t="s">
        <v>5746</v>
      </c>
      <c r="H2079">
        <v>159</v>
      </c>
      <c r="I2079">
        <v>34.61</v>
      </c>
      <c r="J2079">
        <v>34.62</v>
      </c>
      <c r="K2079" t="s">
        <v>11613</v>
      </c>
      <c r="L2079">
        <v>2.93</v>
      </c>
      <c r="M2079" t="s">
        <v>46</v>
      </c>
      <c r="N2079" t="s">
        <v>1568</v>
      </c>
      <c r="O2079">
        <v>35.27</v>
      </c>
      <c r="P2079">
        <v>33.05</v>
      </c>
      <c r="Q2079">
        <v>33.39</v>
      </c>
      <c r="R2079">
        <v>33.35</v>
      </c>
      <c r="S2079">
        <v>6.66</v>
      </c>
      <c r="T2079">
        <v>1</v>
      </c>
      <c r="U2079">
        <v>31.91</v>
      </c>
      <c r="V2079">
        <v>120</v>
      </c>
      <c r="W2079">
        <v>34.19</v>
      </c>
      <c r="X2079" t="s">
        <v>1154</v>
      </c>
      <c r="Y2079" t="s">
        <v>1118</v>
      </c>
      <c r="Z2079">
        <v>0.64</v>
      </c>
      <c r="AA2079">
        <v>20</v>
      </c>
      <c r="AB2079">
        <v>6</v>
      </c>
      <c r="AC2079">
        <v>5.74</v>
      </c>
      <c r="AD2079" t="s">
        <v>11614</v>
      </c>
      <c r="AE2079" t="s">
        <v>7819</v>
      </c>
      <c r="AF2079" t="s">
        <v>11615</v>
      </c>
      <c r="AG2079" t="s">
        <v>11413</v>
      </c>
      <c r="AH2079">
        <v>3.31</v>
      </c>
      <c r="AI2079">
        <v>2.37</v>
      </c>
      <c r="AJ2079">
        <v>7.12</v>
      </c>
      <c r="AK2079">
        <v>17.58</v>
      </c>
      <c r="AL2079">
        <v>1</v>
      </c>
      <c r="AM2079">
        <v>3.78</v>
      </c>
      <c r="AN2079">
        <v>-4.26</v>
      </c>
      <c r="AO2079">
        <v>12.92</v>
      </c>
      <c r="AP2079">
        <v>-5.93</v>
      </c>
    </row>
    <row r="2080" spans="1:42">
      <c r="A2080">
        <v>2079</v>
      </c>
      <c r="B2080" t="str">
        <f>"300327"</f>
        <v>300327</v>
      </c>
      <c r="C2080" t="s">
        <v>11616</v>
      </c>
      <c r="D2080">
        <v>25.32</v>
      </c>
      <c r="E2080">
        <v>0.44</v>
      </c>
      <c r="F2080">
        <v>0.11</v>
      </c>
      <c r="G2080" t="s">
        <v>4974</v>
      </c>
      <c r="H2080">
        <v>322</v>
      </c>
      <c r="I2080">
        <v>25.31</v>
      </c>
      <c r="J2080">
        <v>25.32</v>
      </c>
      <c r="K2080" t="s">
        <v>11617</v>
      </c>
      <c r="L2080">
        <v>1.07</v>
      </c>
      <c r="M2080" t="s">
        <v>46</v>
      </c>
      <c r="N2080" t="s">
        <v>11618</v>
      </c>
      <c r="O2080">
        <v>25.42</v>
      </c>
      <c r="P2080">
        <v>24.83</v>
      </c>
      <c r="Q2080">
        <v>25.05</v>
      </c>
      <c r="R2080">
        <v>25.21</v>
      </c>
      <c r="S2080">
        <v>2.34</v>
      </c>
      <c r="T2080">
        <v>0.71</v>
      </c>
      <c r="U2080">
        <v>-27.03</v>
      </c>
      <c r="V2080">
        <v>-163</v>
      </c>
      <c r="W2080">
        <v>25.12</v>
      </c>
      <c r="X2080" t="s">
        <v>1177</v>
      </c>
      <c r="Y2080" t="s">
        <v>128</v>
      </c>
      <c r="Z2080">
        <v>0.95</v>
      </c>
      <c r="AA2080">
        <v>76</v>
      </c>
      <c r="AB2080">
        <v>39</v>
      </c>
      <c r="AC2080">
        <v>5.52</v>
      </c>
      <c r="AD2080" t="s">
        <v>11619</v>
      </c>
      <c r="AE2080" t="s">
        <v>7014</v>
      </c>
      <c r="AF2080" t="s">
        <v>11620</v>
      </c>
      <c r="AG2080" t="s">
        <v>11621</v>
      </c>
      <c r="AH2080">
        <v>-1.06</v>
      </c>
      <c r="AI2080">
        <v>-3.58</v>
      </c>
      <c r="AJ2080">
        <v>3.63</v>
      </c>
      <c r="AK2080">
        <v>8.62</v>
      </c>
      <c r="AL2080">
        <v>1</v>
      </c>
      <c r="AM2080">
        <v>0.44</v>
      </c>
      <c r="AN2080">
        <v>-27.6</v>
      </c>
      <c r="AO2080">
        <v>-0.94</v>
      </c>
      <c r="AP2080">
        <v>-34.01</v>
      </c>
    </row>
    <row r="2081" spans="1:42">
      <c r="A2081">
        <v>2080</v>
      </c>
      <c r="B2081" t="str">
        <f>"688159"</f>
        <v>688159</v>
      </c>
      <c r="C2081" t="s">
        <v>11622</v>
      </c>
      <c r="D2081">
        <v>45.82</v>
      </c>
      <c r="E2081">
        <v>3.76</v>
      </c>
      <c r="F2081">
        <v>1.66</v>
      </c>
      <c r="G2081" t="s">
        <v>1280</v>
      </c>
      <c r="H2081">
        <v>717</v>
      </c>
      <c r="I2081">
        <v>45.59</v>
      </c>
      <c r="J2081">
        <v>45.82</v>
      </c>
      <c r="K2081" t="s">
        <v>11623</v>
      </c>
      <c r="L2081">
        <v>2.19</v>
      </c>
      <c r="M2081" t="s">
        <v>46</v>
      </c>
      <c r="N2081" t="s">
        <v>1926</v>
      </c>
      <c r="O2081">
        <v>45.82</v>
      </c>
      <c r="P2081">
        <v>43.84</v>
      </c>
      <c r="Q2081">
        <v>43.84</v>
      </c>
      <c r="R2081">
        <v>44.16</v>
      </c>
      <c r="S2081">
        <v>4.48</v>
      </c>
      <c r="T2081">
        <v>1.3</v>
      </c>
      <c r="U2081">
        <v>-72.02</v>
      </c>
      <c r="V2081">
        <v>-375</v>
      </c>
      <c r="W2081">
        <v>45.13</v>
      </c>
      <c r="X2081">
        <v>6786</v>
      </c>
      <c r="Y2081" t="s">
        <v>383</v>
      </c>
      <c r="Z2081">
        <v>0.51</v>
      </c>
      <c r="AA2081">
        <v>10</v>
      </c>
      <c r="AB2081">
        <v>356</v>
      </c>
      <c r="AC2081">
        <v>5.72</v>
      </c>
      <c r="AD2081" t="s">
        <v>11624</v>
      </c>
      <c r="AE2081" t="s">
        <v>11625</v>
      </c>
      <c r="AF2081" t="s">
        <v>11626</v>
      </c>
      <c r="AG2081" t="s">
        <v>11627</v>
      </c>
      <c r="AH2081">
        <v>2.53</v>
      </c>
      <c r="AI2081">
        <v>2.39</v>
      </c>
      <c r="AJ2081">
        <v>4.4</v>
      </c>
      <c r="AK2081">
        <v>10.6</v>
      </c>
      <c r="AL2081">
        <v>1</v>
      </c>
      <c r="AM2081">
        <v>3.76</v>
      </c>
      <c r="AN2081">
        <v>214.91</v>
      </c>
      <c r="AO2081">
        <v>10.28</v>
      </c>
      <c r="AP2081">
        <v>157.13</v>
      </c>
    </row>
    <row r="2082" spans="1:42">
      <c r="A2082">
        <v>2081</v>
      </c>
      <c r="B2082" t="str">
        <f>"688336"</f>
        <v>688336</v>
      </c>
      <c r="C2082" t="s">
        <v>11628</v>
      </c>
      <c r="D2082">
        <v>24.95</v>
      </c>
      <c r="E2082">
        <v>2.46</v>
      </c>
      <c r="F2082">
        <v>0.6</v>
      </c>
      <c r="G2082" t="s">
        <v>2464</v>
      </c>
      <c r="H2082">
        <v>467</v>
      </c>
      <c r="I2082">
        <v>24.95</v>
      </c>
      <c r="J2082">
        <v>24.96</v>
      </c>
      <c r="K2082" t="s">
        <v>11623</v>
      </c>
      <c r="L2082">
        <v>3.92</v>
      </c>
      <c r="M2082" t="s">
        <v>46</v>
      </c>
      <c r="N2082" t="s">
        <v>7655</v>
      </c>
      <c r="O2082">
        <v>25.48</v>
      </c>
      <c r="P2082">
        <v>24.17</v>
      </c>
      <c r="Q2082">
        <v>24.17</v>
      </c>
      <c r="R2082">
        <v>24.35</v>
      </c>
      <c r="S2082">
        <v>5.38</v>
      </c>
      <c r="T2082">
        <v>1.66</v>
      </c>
      <c r="U2082">
        <v>-56.13</v>
      </c>
      <c r="V2082">
        <v>-207</v>
      </c>
      <c r="W2082">
        <v>24.89</v>
      </c>
      <c r="X2082" t="s">
        <v>876</v>
      </c>
      <c r="Y2082" t="s">
        <v>2694</v>
      </c>
      <c r="Z2082">
        <v>0.92</v>
      </c>
      <c r="AA2082">
        <v>2</v>
      </c>
      <c r="AB2082">
        <v>24</v>
      </c>
      <c r="AC2082">
        <v>3.22</v>
      </c>
      <c r="AD2082" t="s">
        <v>11629</v>
      </c>
      <c r="AE2082" t="s">
        <v>1880</v>
      </c>
      <c r="AF2082" t="s">
        <v>11408</v>
      </c>
      <c r="AG2082" t="s">
        <v>3626</v>
      </c>
      <c r="AH2082">
        <v>1.63</v>
      </c>
      <c r="AI2082">
        <v>3.27</v>
      </c>
      <c r="AJ2082">
        <v>8.59</v>
      </c>
      <c r="AK2082">
        <v>15.76</v>
      </c>
      <c r="AL2082">
        <v>2</v>
      </c>
      <c r="AM2082">
        <v>2.46</v>
      </c>
      <c r="AN2082">
        <v>96.46</v>
      </c>
      <c r="AO2082">
        <v>8.9</v>
      </c>
      <c r="AP2082">
        <v>67.9</v>
      </c>
    </row>
    <row r="2083" spans="1:42">
      <c r="A2083">
        <v>2082</v>
      </c>
      <c r="B2083" t="str">
        <f>"600862"</f>
        <v>600862</v>
      </c>
      <c r="C2083" t="s">
        <v>11630</v>
      </c>
      <c r="D2083">
        <v>21.96</v>
      </c>
      <c r="E2083">
        <v>0.6</v>
      </c>
      <c r="F2083">
        <v>0.13</v>
      </c>
      <c r="G2083" t="s">
        <v>10547</v>
      </c>
      <c r="H2083">
        <v>608</v>
      </c>
      <c r="I2083">
        <v>21.96</v>
      </c>
      <c r="J2083">
        <v>21.97</v>
      </c>
      <c r="K2083" t="s">
        <v>11631</v>
      </c>
      <c r="L2083">
        <v>0.3</v>
      </c>
      <c r="M2083" t="s">
        <v>46</v>
      </c>
      <c r="N2083" t="s">
        <v>11632</v>
      </c>
      <c r="O2083">
        <v>22.1</v>
      </c>
      <c r="P2083">
        <v>21.68</v>
      </c>
      <c r="Q2083">
        <v>21.79</v>
      </c>
      <c r="R2083">
        <v>21.83</v>
      </c>
      <c r="S2083">
        <v>1.92</v>
      </c>
      <c r="T2083">
        <v>0.49</v>
      </c>
      <c r="U2083">
        <v>-48.8</v>
      </c>
      <c r="V2083">
        <v>-467</v>
      </c>
      <c r="W2083">
        <v>21.91</v>
      </c>
      <c r="X2083" t="s">
        <v>2111</v>
      </c>
      <c r="Y2083" t="s">
        <v>4269</v>
      </c>
      <c r="Z2083">
        <v>0.7</v>
      </c>
      <c r="AA2083">
        <v>5</v>
      </c>
      <c r="AB2083">
        <v>133</v>
      </c>
      <c r="AC2083">
        <v>5.06</v>
      </c>
      <c r="AD2083" t="s">
        <v>7633</v>
      </c>
      <c r="AE2083" t="s">
        <v>1184</v>
      </c>
      <c r="AF2083" t="s">
        <v>7633</v>
      </c>
      <c r="AG2083" t="s">
        <v>1184</v>
      </c>
      <c r="AH2083">
        <v>0.27</v>
      </c>
      <c r="AI2083">
        <v>-3.68</v>
      </c>
      <c r="AJ2083">
        <v>1.09</v>
      </c>
      <c r="AK2083">
        <v>3.3</v>
      </c>
      <c r="AL2083">
        <v>1</v>
      </c>
      <c r="AM2083">
        <v>0.6</v>
      </c>
      <c r="AN2083">
        <v>-0.77</v>
      </c>
      <c r="AO2083">
        <v>-4.85</v>
      </c>
      <c r="AP2083">
        <v>-11.59</v>
      </c>
    </row>
    <row r="2084" spans="1:42">
      <c r="A2084">
        <v>2083</v>
      </c>
      <c r="B2084" t="str">
        <f>"600095"</f>
        <v>600095</v>
      </c>
      <c r="C2084" t="s">
        <v>11633</v>
      </c>
      <c r="D2084">
        <v>7.89</v>
      </c>
      <c r="E2084">
        <v>0.38</v>
      </c>
      <c r="F2084">
        <v>0.03</v>
      </c>
      <c r="G2084" t="s">
        <v>4356</v>
      </c>
      <c r="H2084">
        <v>2632</v>
      </c>
      <c r="I2084">
        <v>7.89</v>
      </c>
      <c r="J2084">
        <v>7.9</v>
      </c>
      <c r="K2084" t="s">
        <v>11634</v>
      </c>
      <c r="L2084">
        <v>0.4</v>
      </c>
      <c r="M2084" t="s">
        <v>46</v>
      </c>
      <c r="N2084" t="s">
        <v>2452</v>
      </c>
      <c r="O2084">
        <v>7.9</v>
      </c>
      <c r="P2084">
        <v>7.84</v>
      </c>
      <c r="Q2084">
        <v>7.87</v>
      </c>
      <c r="R2084">
        <v>7.86</v>
      </c>
      <c r="S2084">
        <v>0.76</v>
      </c>
      <c r="T2084">
        <v>0.87</v>
      </c>
      <c r="U2084">
        <v>20.18</v>
      </c>
      <c r="V2084">
        <v>3916</v>
      </c>
      <c r="W2084">
        <v>7.87</v>
      </c>
      <c r="X2084" t="s">
        <v>6226</v>
      </c>
      <c r="Y2084" t="s">
        <v>3040</v>
      </c>
      <c r="Z2084">
        <v>1.05</v>
      </c>
      <c r="AA2084">
        <v>1609</v>
      </c>
      <c r="AB2084">
        <v>2357</v>
      </c>
      <c r="AC2084">
        <v>1.89</v>
      </c>
      <c r="AD2084" t="s">
        <v>11635</v>
      </c>
      <c r="AE2084" t="s">
        <v>11636</v>
      </c>
      <c r="AF2084" t="s">
        <v>11635</v>
      </c>
      <c r="AG2084" t="s">
        <v>11636</v>
      </c>
      <c r="AH2084">
        <v>0.38</v>
      </c>
      <c r="AI2084">
        <v>-1.99</v>
      </c>
      <c r="AJ2084">
        <v>1.24</v>
      </c>
      <c r="AK2084">
        <v>2.71</v>
      </c>
      <c r="AL2084">
        <v>2</v>
      </c>
      <c r="AM2084">
        <v>0.38</v>
      </c>
      <c r="AN2084">
        <v>5.34</v>
      </c>
      <c r="AO2084">
        <v>-2.11</v>
      </c>
      <c r="AP2084">
        <v>-5.96</v>
      </c>
    </row>
    <row r="2085" spans="1:42">
      <c r="A2085">
        <v>2084</v>
      </c>
      <c r="B2085" t="str">
        <f>"001286"</f>
        <v>001286</v>
      </c>
      <c r="C2085" t="s">
        <v>11637</v>
      </c>
      <c r="D2085">
        <v>8.66</v>
      </c>
      <c r="E2085">
        <v>0.35</v>
      </c>
      <c r="F2085">
        <v>0.03</v>
      </c>
      <c r="G2085" t="s">
        <v>881</v>
      </c>
      <c r="H2085">
        <v>923</v>
      </c>
      <c r="I2085">
        <v>8.65</v>
      </c>
      <c r="J2085">
        <v>8.66</v>
      </c>
      <c r="K2085" t="s">
        <v>11638</v>
      </c>
      <c r="L2085">
        <v>1.39</v>
      </c>
      <c r="M2085" t="s">
        <v>46</v>
      </c>
      <c r="N2085" t="s">
        <v>632</v>
      </c>
      <c r="O2085">
        <v>8.68</v>
      </c>
      <c r="P2085">
        <v>8.57</v>
      </c>
      <c r="Q2085">
        <v>8.62</v>
      </c>
      <c r="R2085">
        <v>8.63</v>
      </c>
      <c r="S2085">
        <v>1.27</v>
      </c>
      <c r="T2085">
        <v>1.05</v>
      </c>
      <c r="U2085">
        <v>-35.43</v>
      </c>
      <c r="V2085">
        <v>-7449</v>
      </c>
      <c r="W2085">
        <v>8.63</v>
      </c>
      <c r="X2085" t="s">
        <v>2650</v>
      </c>
      <c r="Y2085" t="s">
        <v>296</v>
      </c>
      <c r="Z2085">
        <v>0.85</v>
      </c>
      <c r="AA2085">
        <v>1683</v>
      </c>
      <c r="AB2085">
        <v>1192</v>
      </c>
      <c r="AC2085">
        <v>1.41</v>
      </c>
      <c r="AD2085" t="s">
        <v>11639</v>
      </c>
      <c r="AE2085" t="s">
        <v>11640</v>
      </c>
      <c r="AF2085" t="s">
        <v>11641</v>
      </c>
      <c r="AG2085" t="s">
        <v>10912</v>
      </c>
      <c r="AH2085">
        <v>0.35</v>
      </c>
      <c r="AI2085">
        <v>0.46</v>
      </c>
      <c r="AJ2085">
        <v>3.88</v>
      </c>
      <c r="AK2085">
        <v>8.01</v>
      </c>
      <c r="AL2085">
        <v>2</v>
      </c>
      <c r="AM2085">
        <v>0.35</v>
      </c>
      <c r="AN2085">
        <v>-6.38</v>
      </c>
      <c r="AO2085">
        <v>2.49</v>
      </c>
      <c r="AP2085">
        <v>-6.38</v>
      </c>
    </row>
    <row r="2086" spans="1:42">
      <c r="A2086">
        <v>2085</v>
      </c>
      <c r="B2086" t="str">
        <f>"600322"</f>
        <v>600322</v>
      </c>
      <c r="C2086" t="s">
        <v>11642</v>
      </c>
      <c r="D2086">
        <v>2.39</v>
      </c>
      <c r="E2086">
        <v>2.14</v>
      </c>
      <c r="F2086">
        <v>0.05</v>
      </c>
      <c r="G2086" t="s">
        <v>969</v>
      </c>
      <c r="H2086">
        <v>3289</v>
      </c>
      <c r="I2086">
        <v>2.38</v>
      </c>
      <c r="J2086">
        <v>2.39</v>
      </c>
      <c r="K2086" t="s">
        <v>11643</v>
      </c>
      <c r="L2086">
        <v>3.44</v>
      </c>
      <c r="M2086" t="s">
        <v>46</v>
      </c>
      <c r="N2086" t="s">
        <v>7924</v>
      </c>
      <c r="O2086">
        <v>2.41</v>
      </c>
      <c r="P2086">
        <v>2.33</v>
      </c>
      <c r="Q2086">
        <v>2.33</v>
      </c>
      <c r="R2086">
        <v>2.34</v>
      </c>
      <c r="S2086">
        <v>3.42</v>
      </c>
      <c r="T2086">
        <v>0.74</v>
      </c>
      <c r="U2086">
        <v>-28.7</v>
      </c>
      <c r="V2086" t="s">
        <v>11644</v>
      </c>
      <c r="W2086">
        <v>2.38</v>
      </c>
      <c r="X2086" t="s">
        <v>571</v>
      </c>
      <c r="Y2086" t="s">
        <v>2609</v>
      </c>
      <c r="Z2086">
        <v>0.73</v>
      </c>
      <c r="AA2086">
        <v>6992</v>
      </c>
      <c r="AB2086" t="s">
        <v>876</v>
      </c>
      <c r="AC2086">
        <v>15.04</v>
      </c>
      <c r="AD2086" t="s">
        <v>85</v>
      </c>
      <c r="AE2086" t="s">
        <v>10642</v>
      </c>
      <c r="AF2086" t="s">
        <v>85</v>
      </c>
      <c r="AG2086" t="s">
        <v>10642</v>
      </c>
      <c r="AH2086">
        <v>-0.83</v>
      </c>
      <c r="AI2086">
        <v>-8.43</v>
      </c>
      <c r="AJ2086">
        <v>9.76</v>
      </c>
      <c r="AK2086">
        <v>26.61</v>
      </c>
      <c r="AL2086">
        <v>2</v>
      </c>
      <c r="AM2086">
        <v>2.14</v>
      </c>
      <c r="AN2086">
        <v>5.75</v>
      </c>
      <c r="AO2086">
        <v>-3.24</v>
      </c>
      <c r="AP2086">
        <v>2.14</v>
      </c>
    </row>
    <row r="2087" spans="1:42">
      <c r="A2087">
        <v>2086</v>
      </c>
      <c r="B2087" t="str">
        <f>"688702"</f>
        <v>688702</v>
      </c>
      <c r="C2087" t="s">
        <v>11645</v>
      </c>
      <c r="D2087">
        <v>46.43</v>
      </c>
      <c r="E2087">
        <v>2.65</v>
      </c>
      <c r="F2087">
        <v>1.2</v>
      </c>
      <c r="G2087" t="s">
        <v>1455</v>
      </c>
      <c r="H2087">
        <v>169</v>
      </c>
      <c r="I2087">
        <v>46.43</v>
      </c>
      <c r="J2087">
        <v>46.44</v>
      </c>
      <c r="K2087" t="s">
        <v>11646</v>
      </c>
      <c r="L2087">
        <v>5.28</v>
      </c>
      <c r="M2087" t="s">
        <v>46</v>
      </c>
      <c r="N2087" t="s">
        <v>11033</v>
      </c>
      <c r="O2087">
        <v>46.57</v>
      </c>
      <c r="P2087">
        <v>44.95</v>
      </c>
      <c r="Q2087">
        <v>45.01</v>
      </c>
      <c r="R2087">
        <v>45.23</v>
      </c>
      <c r="S2087">
        <v>3.58</v>
      </c>
      <c r="T2087">
        <v>1.01</v>
      </c>
      <c r="U2087">
        <v>48.22</v>
      </c>
      <c r="V2087">
        <v>163</v>
      </c>
      <c r="W2087">
        <v>45.93</v>
      </c>
      <c r="X2087">
        <v>9139</v>
      </c>
      <c r="Y2087" t="s">
        <v>1400</v>
      </c>
      <c r="Z2087">
        <v>0.87</v>
      </c>
      <c r="AA2087">
        <v>93</v>
      </c>
      <c r="AB2087">
        <v>17</v>
      </c>
      <c r="AC2087">
        <v>7.86</v>
      </c>
      <c r="AD2087" t="s">
        <v>3550</v>
      </c>
      <c r="AE2087" t="s">
        <v>11647</v>
      </c>
      <c r="AF2087" t="s">
        <v>11648</v>
      </c>
      <c r="AG2087" t="s">
        <v>11649</v>
      </c>
      <c r="AH2087">
        <v>-0.11</v>
      </c>
      <c r="AI2087">
        <v>-2.07</v>
      </c>
      <c r="AJ2087">
        <v>13.64</v>
      </c>
      <c r="AK2087">
        <v>31.47</v>
      </c>
      <c r="AL2087">
        <v>1</v>
      </c>
      <c r="AM2087">
        <v>2.65</v>
      </c>
      <c r="AN2087">
        <v>8.84</v>
      </c>
      <c r="AO2087">
        <v>-4.6</v>
      </c>
      <c r="AP2087">
        <v>8.84</v>
      </c>
    </row>
    <row r="2088" spans="1:42">
      <c r="A2088">
        <v>2087</v>
      </c>
      <c r="B2088" t="str">
        <f>"603656"</f>
        <v>603656</v>
      </c>
      <c r="C2088" t="s">
        <v>11650</v>
      </c>
      <c r="D2088">
        <v>13.89</v>
      </c>
      <c r="E2088">
        <v>-1.56</v>
      </c>
      <c r="F2088">
        <v>-0.22</v>
      </c>
      <c r="G2088" t="s">
        <v>10018</v>
      </c>
      <c r="H2088">
        <v>277</v>
      </c>
      <c r="I2088">
        <v>13.89</v>
      </c>
      <c r="J2088">
        <v>13.9</v>
      </c>
      <c r="K2088" t="s">
        <v>11651</v>
      </c>
      <c r="L2088">
        <v>3.55</v>
      </c>
      <c r="M2088" t="s">
        <v>46</v>
      </c>
      <c r="N2088" t="s">
        <v>8131</v>
      </c>
      <c r="O2088">
        <v>14.08</v>
      </c>
      <c r="P2088">
        <v>13.73</v>
      </c>
      <c r="Q2088">
        <v>14.02</v>
      </c>
      <c r="R2088">
        <v>14.11</v>
      </c>
      <c r="S2088">
        <v>2.48</v>
      </c>
      <c r="T2088">
        <v>1.47</v>
      </c>
      <c r="U2088">
        <v>36.85</v>
      </c>
      <c r="V2088">
        <v>440</v>
      </c>
      <c r="W2088">
        <v>13.86</v>
      </c>
      <c r="X2088" t="s">
        <v>7177</v>
      </c>
      <c r="Y2088" t="s">
        <v>617</v>
      </c>
      <c r="Z2088">
        <v>1.16</v>
      </c>
      <c r="AA2088">
        <v>115</v>
      </c>
      <c r="AB2088">
        <v>26</v>
      </c>
      <c r="AC2088">
        <v>1.92</v>
      </c>
      <c r="AD2088" t="s">
        <v>11652</v>
      </c>
      <c r="AE2088" t="s">
        <v>7410</v>
      </c>
      <c r="AF2088" t="s">
        <v>11652</v>
      </c>
      <c r="AG2088" t="s">
        <v>7410</v>
      </c>
      <c r="AH2088">
        <v>-0.71</v>
      </c>
      <c r="AI2088">
        <v>-0.79</v>
      </c>
      <c r="AJ2088">
        <v>8.86</v>
      </c>
      <c r="AK2088">
        <v>15.64</v>
      </c>
      <c r="AL2088">
        <v>-1</v>
      </c>
      <c r="AM2088">
        <v>-1.56</v>
      </c>
      <c r="AN2088">
        <v>23.69</v>
      </c>
      <c r="AO2088">
        <v>5.07</v>
      </c>
      <c r="AP2088">
        <v>14.89</v>
      </c>
    </row>
    <row r="2089" spans="1:42">
      <c r="A2089">
        <v>2088</v>
      </c>
      <c r="B2089" t="str">
        <f>"300779"</f>
        <v>300779</v>
      </c>
      <c r="C2089" t="s">
        <v>11653</v>
      </c>
      <c r="D2089">
        <v>50.68</v>
      </c>
      <c r="E2089">
        <v>3.01</v>
      </c>
      <c r="F2089">
        <v>1.48</v>
      </c>
      <c r="G2089" t="s">
        <v>432</v>
      </c>
      <c r="H2089">
        <v>263</v>
      </c>
      <c r="I2089">
        <v>50.66</v>
      </c>
      <c r="J2089">
        <v>50.68</v>
      </c>
      <c r="K2089" t="s">
        <v>11654</v>
      </c>
      <c r="L2089">
        <v>1.86</v>
      </c>
      <c r="M2089" t="s">
        <v>46</v>
      </c>
      <c r="N2089" t="s">
        <v>11655</v>
      </c>
      <c r="O2089">
        <v>51.36</v>
      </c>
      <c r="P2089">
        <v>49.11</v>
      </c>
      <c r="Q2089">
        <v>49.33</v>
      </c>
      <c r="R2089">
        <v>49.2</v>
      </c>
      <c r="S2089">
        <v>4.57</v>
      </c>
      <c r="T2089">
        <v>1.12</v>
      </c>
      <c r="U2089">
        <v>-76.77</v>
      </c>
      <c r="V2089">
        <v>-311</v>
      </c>
      <c r="W2089">
        <v>50.18</v>
      </c>
      <c r="X2089">
        <v>8602</v>
      </c>
      <c r="Y2089">
        <v>9375</v>
      </c>
      <c r="Z2089">
        <v>0.92</v>
      </c>
      <c r="AA2089">
        <v>27</v>
      </c>
      <c r="AB2089">
        <v>6</v>
      </c>
      <c r="AC2089">
        <v>5.44</v>
      </c>
      <c r="AD2089" t="s">
        <v>11656</v>
      </c>
      <c r="AE2089" t="s">
        <v>11657</v>
      </c>
      <c r="AF2089" t="s">
        <v>11148</v>
      </c>
      <c r="AG2089" t="s">
        <v>11658</v>
      </c>
      <c r="AH2089">
        <v>1.52</v>
      </c>
      <c r="AI2089">
        <v>2.38</v>
      </c>
      <c r="AJ2089">
        <v>4.4</v>
      </c>
      <c r="AK2089">
        <v>10.18</v>
      </c>
      <c r="AL2089">
        <v>1</v>
      </c>
      <c r="AM2089">
        <v>3.01</v>
      </c>
      <c r="AN2089">
        <v>48.62</v>
      </c>
      <c r="AO2089">
        <v>11.51</v>
      </c>
      <c r="AP2089">
        <v>117.04</v>
      </c>
    </row>
    <row r="2090" spans="1:42">
      <c r="A2090">
        <v>2089</v>
      </c>
      <c r="B2090" t="str">
        <f>"000030"</f>
        <v>000030</v>
      </c>
      <c r="C2090" t="s">
        <v>11659</v>
      </c>
      <c r="D2090">
        <v>5.88</v>
      </c>
      <c r="E2090">
        <v>-1.34</v>
      </c>
      <c r="F2090">
        <v>-0.08</v>
      </c>
      <c r="G2090" t="s">
        <v>978</v>
      </c>
      <c r="H2090">
        <v>6789</v>
      </c>
      <c r="I2090">
        <v>5.88</v>
      </c>
      <c r="J2090">
        <v>5.89</v>
      </c>
      <c r="K2090" t="s">
        <v>11660</v>
      </c>
      <c r="L2090">
        <v>0.9</v>
      </c>
      <c r="M2090" t="s">
        <v>46</v>
      </c>
      <c r="N2090" t="s">
        <v>1958</v>
      </c>
      <c r="O2090">
        <v>5.99</v>
      </c>
      <c r="P2090">
        <v>5.84</v>
      </c>
      <c r="Q2090">
        <v>5.94</v>
      </c>
      <c r="R2090">
        <v>5.96</v>
      </c>
      <c r="S2090">
        <v>2.52</v>
      </c>
      <c r="T2090">
        <v>0.53</v>
      </c>
      <c r="U2090">
        <v>-4.78</v>
      </c>
      <c r="V2090">
        <v>-420</v>
      </c>
      <c r="W2090">
        <v>5.89</v>
      </c>
      <c r="X2090" t="s">
        <v>2131</v>
      </c>
      <c r="Y2090" t="s">
        <v>8539</v>
      </c>
      <c r="Z2090">
        <v>1.42</v>
      </c>
      <c r="AA2090">
        <v>1224</v>
      </c>
      <c r="AB2090">
        <v>242</v>
      </c>
      <c r="AC2090">
        <v>1.38</v>
      </c>
      <c r="AD2090" t="s">
        <v>8043</v>
      </c>
      <c r="AE2090" t="s">
        <v>10318</v>
      </c>
      <c r="AF2090" t="s">
        <v>11661</v>
      </c>
      <c r="AG2090" t="s">
        <v>11662</v>
      </c>
      <c r="AH2090">
        <v>-4.7</v>
      </c>
      <c r="AI2090">
        <v>-0.34</v>
      </c>
      <c r="AJ2090">
        <v>4.69</v>
      </c>
      <c r="AK2090">
        <v>9.4</v>
      </c>
      <c r="AL2090">
        <v>-3</v>
      </c>
      <c r="AM2090">
        <v>-1.34</v>
      </c>
      <c r="AN2090">
        <v>41.69</v>
      </c>
      <c r="AO2090">
        <v>10.53</v>
      </c>
      <c r="AP2090">
        <v>32.73</v>
      </c>
    </row>
    <row r="2091" spans="1:42">
      <c r="A2091">
        <v>2090</v>
      </c>
      <c r="B2091" t="str">
        <f>"300809"</f>
        <v>300809</v>
      </c>
      <c r="C2091" t="s">
        <v>11663</v>
      </c>
      <c r="D2091">
        <v>25.94</v>
      </c>
      <c r="E2091">
        <v>-0.8</v>
      </c>
      <c r="F2091">
        <v>-0.21</v>
      </c>
      <c r="G2091" t="s">
        <v>762</v>
      </c>
      <c r="H2091">
        <v>484</v>
      </c>
      <c r="I2091">
        <v>25.94</v>
      </c>
      <c r="J2091">
        <v>25.95</v>
      </c>
      <c r="K2091" t="s">
        <v>11664</v>
      </c>
      <c r="L2091">
        <v>2.95</v>
      </c>
      <c r="M2091" t="s">
        <v>46</v>
      </c>
      <c r="N2091" t="s">
        <v>4149</v>
      </c>
      <c r="O2091">
        <v>26.18</v>
      </c>
      <c r="P2091">
        <v>25.58</v>
      </c>
      <c r="Q2091">
        <v>25.8</v>
      </c>
      <c r="R2091">
        <v>26.15</v>
      </c>
      <c r="S2091">
        <v>2.29</v>
      </c>
      <c r="T2091">
        <v>0.58</v>
      </c>
      <c r="U2091">
        <v>49.86</v>
      </c>
      <c r="V2091">
        <v>531</v>
      </c>
      <c r="W2091">
        <v>25.84</v>
      </c>
      <c r="X2091" t="s">
        <v>3069</v>
      </c>
      <c r="Y2091" t="s">
        <v>5997</v>
      </c>
      <c r="Z2091">
        <v>1.08</v>
      </c>
      <c r="AA2091">
        <v>62</v>
      </c>
      <c r="AB2091">
        <v>75</v>
      </c>
      <c r="AC2091">
        <v>4.25</v>
      </c>
      <c r="AD2091" t="s">
        <v>11665</v>
      </c>
      <c r="AE2091" t="s">
        <v>11666</v>
      </c>
      <c r="AF2091" t="s">
        <v>11667</v>
      </c>
      <c r="AG2091" t="s">
        <v>8397</v>
      </c>
      <c r="AH2091">
        <v>-1.37</v>
      </c>
      <c r="AI2091">
        <v>-1.44</v>
      </c>
      <c r="AJ2091">
        <v>15.79</v>
      </c>
      <c r="AK2091">
        <v>28.42</v>
      </c>
      <c r="AL2091">
        <v>-2</v>
      </c>
      <c r="AM2091">
        <v>-0.8</v>
      </c>
      <c r="AN2091">
        <v>39.99</v>
      </c>
      <c r="AO2091">
        <v>6.88</v>
      </c>
      <c r="AP2091">
        <v>15.65</v>
      </c>
    </row>
    <row r="2092" spans="1:42">
      <c r="A2092">
        <v>2091</v>
      </c>
      <c r="B2092" t="str">
        <f>"688046"</f>
        <v>688046</v>
      </c>
      <c r="C2092" t="s">
        <v>11668</v>
      </c>
      <c r="D2092">
        <v>20.07</v>
      </c>
      <c r="E2092">
        <v>1.01</v>
      </c>
      <c r="F2092">
        <v>0.2</v>
      </c>
      <c r="G2092" t="s">
        <v>7035</v>
      </c>
      <c r="H2092">
        <v>662</v>
      </c>
      <c r="I2092">
        <v>20.05</v>
      </c>
      <c r="J2092">
        <v>20.07</v>
      </c>
      <c r="K2092" t="s">
        <v>11664</v>
      </c>
      <c r="L2092">
        <v>2.26</v>
      </c>
      <c r="M2092" t="s">
        <v>46</v>
      </c>
      <c r="N2092" t="s">
        <v>3156</v>
      </c>
      <c r="O2092">
        <v>20.19</v>
      </c>
      <c r="P2092">
        <v>19.33</v>
      </c>
      <c r="Q2092">
        <v>19.93</v>
      </c>
      <c r="R2092">
        <v>19.87</v>
      </c>
      <c r="S2092">
        <v>4.33</v>
      </c>
      <c r="T2092">
        <v>1.29</v>
      </c>
      <c r="U2092">
        <v>-49.76</v>
      </c>
      <c r="V2092">
        <v>-84</v>
      </c>
      <c r="W2092">
        <v>19.77</v>
      </c>
      <c r="X2092" t="s">
        <v>432</v>
      </c>
      <c r="Y2092" t="s">
        <v>7485</v>
      </c>
      <c r="Z2092">
        <v>0.65</v>
      </c>
      <c r="AA2092">
        <v>5</v>
      </c>
      <c r="AB2092">
        <v>37</v>
      </c>
      <c r="AC2092">
        <v>3.95</v>
      </c>
      <c r="AD2092" t="s">
        <v>3550</v>
      </c>
      <c r="AE2092" t="s">
        <v>11669</v>
      </c>
      <c r="AF2092" t="s">
        <v>11005</v>
      </c>
      <c r="AG2092" t="s">
        <v>11193</v>
      </c>
      <c r="AH2092">
        <v>1.98</v>
      </c>
      <c r="AI2092">
        <v>2.4</v>
      </c>
      <c r="AJ2092">
        <v>6.34</v>
      </c>
      <c r="AK2092">
        <v>11.04</v>
      </c>
      <c r="AL2092">
        <v>4</v>
      </c>
      <c r="AM2092">
        <v>1.01</v>
      </c>
      <c r="AN2092">
        <v>-16.41</v>
      </c>
      <c r="AO2092">
        <v>18.06</v>
      </c>
      <c r="AP2092">
        <v>-35.49</v>
      </c>
    </row>
    <row r="2093" spans="1:42">
      <c r="A2093">
        <v>2092</v>
      </c>
      <c r="B2093" t="str">
        <f>"002671"</f>
        <v>002671</v>
      </c>
      <c r="C2093" t="s">
        <v>11670</v>
      </c>
      <c r="D2093">
        <v>5.43</v>
      </c>
      <c r="E2093">
        <v>2.84</v>
      </c>
      <c r="F2093">
        <v>0.15</v>
      </c>
      <c r="G2093" t="s">
        <v>1439</v>
      </c>
      <c r="H2093">
        <v>1835</v>
      </c>
      <c r="I2093">
        <v>5.43</v>
      </c>
      <c r="J2093">
        <v>5.44</v>
      </c>
      <c r="K2093" t="s">
        <v>11671</v>
      </c>
      <c r="L2093">
        <v>3.02</v>
      </c>
      <c r="M2093" t="s">
        <v>46</v>
      </c>
      <c r="N2093" t="s">
        <v>11672</v>
      </c>
      <c r="O2093">
        <v>5.46</v>
      </c>
      <c r="P2093">
        <v>5.23</v>
      </c>
      <c r="Q2093">
        <v>5.29</v>
      </c>
      <c r="R2093">
        <v>5.28</v>
      </c>
      <c r="S2093">
        <v>4.36</v>
      </c>
      <c r="T2093">
        <v>0.96</v>
      </c>
      <c r="U2093">
        <v>-18.67</v>
      </c>
      <c r="V2093">
        <v>-1644</v>
      </c>
      <c r="W2093">
        <v>5.38</v>
      </c>
      <c r="X2093" t="s">
        <v>9787</v>
      </c>
      <c r="Y2093" t="s">
        <v>881</v>
      </c>
      <c r="Z2093">
        <v>0.59</v>
      </c>
      <c r="AA2093">
        <v>75</v>
      </c>
      <c r="AB2093">
        <v>1133</v>
      </c>
      <c r="AC2093">
        <v>1.94</v>
      </c>
      <c r="AD2093" t="s">
        <v>11673</v>
      </c>
      <c r="AE2093" t="s">
        <v>9966</v>
      </c>
      <c r="AF2093" t="s">
        <v>11674</v>
      </c>
      <c r="AG2093" t="s">
        <v>11675</v>
      </c>
      <c r="AH2093">
        <v>-0.73</v>
      </c>
      <c r="AI2093">
        <v>-2.86</v>
      </c>
      <c r="AJ2093">
        <v>8.59</v>
      </c>
      <c r="AK2093">
        <v>18.74</v>
      </c>
      <c r="AL2093">
        <v>1</v>
      </c>
      <c r="AM2093">
        <v>2.84</v>
      </c>
      <c r="AN2093">
        <v>25.69</v>
      </c>
      <c r="AO2093">
        <v>-1.81</v>
      </c>
      <c r="AP2093">
        <v>22.57</v>
      </c>
    </row>
    <row r="2094" spans="1:42">
      <c r="A2094">
        <v>2093</v>
      </c>
      <c r="B2094" t="str">
        <f>"300232"</f>
        <v>300232</v>
      </c>
      <c r="C2094" t="s">
        <v>11676</v>
      </c>
      <c r="D2094">
        <v>6.74</v>
      </c>
      <c r="E2094">
        <v>1.2</v>
      </c>
      <c r="F2094">
        <v>0.08</v>
      </c>
      <c r="G2094" t="s">
        <v>4247</v>
      </c>
      <c r="H2094">
        <v>332</v>
      </c>
      <c r="I2094">
        <v>6.73</v>
      </c>
      <c r="J2094">
        <v>6.74</v>
      </c>
      <c r="K2094" t="s">
        <v>11677</v>
      </c>
      <c r="L2094">
        <v>1.52</v>
      </c>
      <c r="M2094" t="s">
        <v>46</v>
      </c>
      <c r="N2094" t="s">
        <v>11678</v>
      </c>
      <c r="O2094">
        <v>6.76</v>
      </c>
      <c r="P2094">
        <v>6.6</v>
      </c>
      <c r="Q2094">
        <v>6.68</v>
      </c>
      <c r="R2094">
        <v>6.66</v>
      </c>
      <c r="S2094">
        <v>2.4</v>
      </c>
      <c r="T2094">
        <v>0.76</v>
      </c>
      <c r="U2094">
        <v>-28.09</v>
      </c>
      <c r="V2094">
        <v>-2086</v>
      </c>
      <c r="W2094">
        <v>6.68</v>
      </c>
      <c r="X2094" t="s">
        <v>4250</v>
      </c>
      <c r="Y2094" t="s">
        <v>4249</v>
      </c>
      <c r="Z2094">
        <v>0.94</v>
      </c>
      <c r="AA2094">
        <v>426</v>
      </c>
      <c r="AB2094">
        <v>154</v>
      </c>
      <c r="AC2094">
        <v>1.54</v>
      </c>
      <c r="AD2094" t="s">
        <v>1005</v>
      </c>
      <c r="AE2094" t="s">
        <v>11679</v>
      </c>
      <c r="AF2094" t="s">
        <v>11680</v>
      </c>
      <c r="AG2094" t="s">
        <v>11681</v>
      </c>
      <c r="AH2094">
        <v>-1.75</v>
      </c>
      <c r="AI2094">
        <v>-2.74</v>
      </c>
      <c r="AJ2094">
        <v>5.08</v>
      </c>
      <c r="AK2094">
        <v>11.51</v>
      </c>
      <c r="AL2094">
        <v>1</v>
      </c>
      <c r="AM2094">
        <v>1.2</v>
      </c>
      <c r="AN2094">
        <v>23.22</v>
      </c>
      <c r="AO2094">
        <v>1.97</v>
      </c>
      <c r="AP2094">
        <v>10.49</v>
      </c>
    </row>
    <row r="2095" spans="1:42">
      <c r="A2095">
        <v>2094</v>
      </c>
      <c r="B2095" t="str">
        <f>"688297"</f>
        <v>688297</v>
      </c>
      <c r="C2095" t="s">
        <v>11682</v>
      </c>
      <c r="D2095">
        <v>42.65</v>
      </c>
      <c r="E2095">
        <v>-0.14</v>
      </c>
      <c r="F2095">
        <v>-0.06</v>
      </c>
      <c r="G2095" t="s">
        <v>7210</v>
      </c>
      <c r="H2095">
        <v>155</v>
      </c>
      <c r="I2095">
        <v>42.64</v>
      </c>
      <c r="J2095">
        <v>42.65</v>
      </c>
      <c r="K2095" t="s">
        <v>11683</v>
      </c>
      <c r="L2095">
        <v>1.15</v>
      </c>
      <c r="M2095" t="s">
        <v>46</v>
      </c>
      <c r="N2095" t="s">
        <v>3538</v>
      </c>
      <c r="O2095">
        <v>42.77</v>
      </c>
      <c r="P2095">
        <v>42.2</v>
      </c>
      <c r="Q2095">
        <v>42.76</v>
      </c>
      <c r="R2095">
        <v>42.71</v>
      </c>
      <c r="S2095">
        <v>1.33</v>
      </c>
      <c r="T2095">
        <v>0.88</v>
      </c>
      <c r="U2095">
        <v>47.56</v>
      </c>
      <c r="V2095">
        <v>143</v>
      </c>
      <c r="W2095">
        <v>42.48</v>
      </c>
      <c r="X2095" t="s">
        <v>2667</v>
      </c>
      <c r="Y2095">
        <v>9774</v>
      </c>
      <c r="Z2095">
        <v>1.17</v>
      </c>
      <c r="AA2095">
        <v>43</v>
      </c>
      <c r="AB2095">
        <v>32</v>
      </c>
      <c r="AC2095">
        <v>4.98</v>
      </c>
      <c r="AD2095" t="s">
        <v>11684</v>
      </c>
      <c r="AE2095" t="s">
        <v>11685</v>
      </c>
      <c r="AF2095" t="s">
        <v>11686</v>
      </c>
      <c r="AG2095" t="s">
        <v>11687</v>
      </c>
      <c r="AH2095">
        <v>-3.05</v>
      </c>
      <c r="AI2095">
        <v>-5.22</v>
      </c>
      <c r="AJ2095">
        <v>3.69</v>
      </c>
      <c r="AK2095">
        <v>7.67</v>
      </c>
      <c r="AL2095">
        <v>-9</v>
      </c>
      <c r="AM2095">
        <v>-0.14</v>
      </c>
      <c r="AN2095">
        <v>-4.33</v>
      </c>
      <c r="AO2095">
        <v>-6.02</v>
      </c>
      <c r="AP2095">
        <v>-18.75</v>
      </c>
    </row>
    <row r="2096" spans="1:42">
      <c r="A2096">
        <v>2095</v>
      </c>
      <c r="B2096" t="str">
        <f>"000090"</f>
        <v>000090</v>
      </c>
      <c r="C2096" t="s">
        <v>11688</v>
      </c>
      <c r="D2096">
        <v>5.13</v>
      </c>
      <c r="E2096">
        <v>1.18</v>
      </c>
      <c r="F2096">
        <v>0.06</v>
      </c>
      <c r="G2096" t="s">
        <v>842</v>
      </c>
      <c r="H2096">
        <v>1270</v>
      </c>
      <c r="I2096">
        <v>5.12</v>
      </c>
      <c r="J2096">
        <v>5.13</v>
      </c>
      <c r="K2096" t="s">
        <v>11689</v>
      </c>
      <c r="L2096">
        <v>0.94</v>
      </c>
      <c r="M2096" t="s">
        <v>46</v>
      </c>
      <c r="N2096" t="s">
        <v>11690</v>
      </c>
      <c r="O2096">
        <v>5.17</v>
      </c>
      <c r="P2096">
        <v>5.07</v>
      </c>
      <c r="Q2096">
        <v>5.11</v>
      </c>
      <c r="R2096">
        <v>5.07</v>
      </c>
      <c r="S2096">
        <v>1.97</v>
      </c>
      <c r="T2096">
        <v>0.55</v>
      </c>
      <c r="U2096">
        <v>-7.02</v>
      </c>
      <c r="V2096">
        <v>-1535</v>
      </c>
      <c r="W2096">
        <v>5.12</v>
      </c>
      <c r="X2096" t="s">
        <v>5828</v>
      </c>
      <c r="Y2096" t="s">
        <v>6635</v>
      </c>
      <c r="Z2096">
        <v>0.86</v>
      </c>
      <c r="AA2096">
        <v>242</v>
      </c>
      <c r="AB2096">
        <v>562</v>
      </c>
      <c r="AC2096">
        <v>0.87</v>
      </c>
      <c r="AD2096" t="s">
        <v>11691</v>
      </c>
      <c r="AE2096" t="s">
        <v>11692</v>
      </c>
      <c r="AF2096" t="s">
        <v>11693</v>
      </c>
      <c r="AG2096" t="s">
        <v>11694</v>
      </c>
      <c r="AH2096">
        <v>-2.1</v>
      </c>
      <c r="AI2096">
        <v>-6.73</v>
      </c>
      <c r="AJ2096">
        <v>4.61</v>
      </c>
      <c r="AK2096">
        <v>9.52</v>
      </c>
      <c r="AL2096">
        <v>1</v>
      </c>
      <c r="AM2096">
        <v>1.18</v>
      </c>
      <c r="AN2096">
        <v>-0.19</v>
      </c>
      <c r="AO2096">
        <v>1.58</v>
      </c>
      <c r="AP2096">
        <v>-1.91</v>
      </c>
    </row>
    <row r="2097" spans="1:42">
      <c r="A2097">
        <v>2096</v>
      </c>
      <c r="B2097" t="str">
        <f>"002419"</f>
        <v>002419</v>
      </c>
      <c r="C2097" t="s">
        <v>11695</v>
      </c>
      <c r="D2097">
        <v>5.57</v>
      </c>
      <c r="E2097">
        <v>0.72</v>
      </c>
      <c r="F2097">
        <v>0.04</v>
      </c>
      <c r="G2097" t="s">
        <v>561</v>
      </c>
      <c r="H2097">
        <v>843</v>
      </c>
      <c r="I2097">
        <v>5.56</v>
      </c>
      <c r="J2097">
        <v>5.57</v>
      </c>
      <c r="K2097" t="s">
        <v>11696</v>
      </c>
      <c r="L2097">
        <v>1.38</v>
      </c>
      <c r="M2097" t="s">
        <v>46</v>
      </c>
      <c r="N2097" t="s">
        <v>11697</v>
      </c>
      <c r="O2097">
        <v>5.63</v>
      </c>
      <c r="P2097">
        <v>5.51</v>
      </c>
      <c r="Q2097">
        <v>5.51</v>
      </c>
      <c r="R2097">
        <v>5.53</v>
      </c>
      <c r="S2097">
        <v>2.17</v>
      </c>
      <c r="T2097">
        <v>1.38</v>
      </c>
      <c r="U2097">
        <v>-13.21</v>
      </c>
      <c r="V2097">
        <v>-2146</v>
      </c>
      <c r="W2097">
        <v>5.57</v>
      </c>
      <c r="X2097" t="s">
        <v>6910</v>
      </c>
      <c r="Y2097" t="s">
        <v>7434</v>
      </c>
      <c r="Z2097">
        <v>0.97</v>
      </c>
      <c r="AA2097">
        <v>1699</v>
      </c>
      <c r="AB2097">
        <v>30</v>
      </c>
      <c r="AC2097">
        <v>1.55</v>
      </c>
      <c r="AD2097" t="s">
        <v>877</v>
      </c>
      <c r="AE2097" t="s">
        <v>11698</v>
      </c>
      <c r="AF2097" t="s">
        <v>877</v>
      </c>
      <c r="AG2097" t="s">
        <v>11698</v>
      </c>
      <c r="AH2097">
        <v>0.54</v>
      </c>
      <c r="AI2097">
        <v>0.18</v>
      </c>
      <c r="AJ2097">
        <v>3.12</v>
      </c>
      <c r="AK2097">
        <v>6.39</v>
      </c>
      <c r="AL2097">
        <v>2</v>
      </c>
      <c r="AM2097">
        <v>0.72</v>
      </c>
      <c r="AN2097">
        <v>-18.45</v>
      </c>
      <c r="AO2097">
        <v>3.34</v>
      </c>
      <c r="AP2097">
        <v>2.58</v>
      </c>
    </row>
    <row r="2098" spans="1:42">
      <c r="A2098">
        <v>2097</v>
      </c>
      <c r="B2098" t="str">
        <f>"002863"</f>
        <v>002863</v>
      </c>
      <c r="C2098" t="s">
        <v>11699</v>
      </c>
      <c r="D2098">
        <v>6.58</v>
      </c>
      <c r="E2098">
        <v>0</v>
      </c>
      <c r="F2098">
        <v>0</v>
      </c>
      <c r="G2098" t="s">
        <v>2753</v>
      </c>
      <c r="H2098">
        <v>1617</v>
      </c>
      <c r="I2098">
        <v>6.58</v>
      </c>
      <c r="J2098">
        <v>6.59</v>
      </c>
      <c r="K2098" t="s">
        <v>11700</v>
      </c>
      <c r="L2098">
        <v>2.75</v>
      </c>
      <c r="M2098" t="s">
        <v>46</v>
      </c>
      <c r="N2098" t="s">
        <v>6185</v>
      </c>
      <c r="O2098">
        <v>6.64</v>
      </c>
      <c r="P2098">
        <v>6.43</v>
      </c>
      <c r="Q2098">
        <v>6.58</v>
      </c>
      <c r="R2098">
        <v>6.58</v>
      </c>
      <c r="S2098">
        <v>3.19</v>
      </c>
      <c r="T2098">
        <v>0.82</v>
      </c>
      <c r="U2098">
        <v>-52.66</v>
      </c>
      <c r="V2098">
        <v>-3442</v>
      </c>
      <c r="W2098">
        <v>6.55</v>
      </c>
      <c r="X2098" t="s">
        <v>2836</v>
      </c>
      <c r="Y2098" t="s">
        <v>9098</v>
      </c>
      <c r="Z2098">
        <v>1.02</v>
      </c>
      <c r="AA2098">
        <v>202</v>
      </c>
      <c r="AB2098">
        <v>580</v>
      </c>
      <c r="AC2098">
        <v>1.55</v>
      </c>
      <c r="AD2098" t="s">
        <v>3878</v>
      </c>
      <c r="AE2098" t="s">
        <v>2201</v>
      </c>
      <c r="AF2098" t="s">
        <v>3878</v>
      </c>
      <c r="AG2098" t="s">
        <v>2201</v>
      </c>
      <c r="AH2098">
        <v>-2.08</v>
      </c>
      <c r="AI2098">
        <v>-0.9</v>
      </c>
      <c r="AJ2098">
        <v>8.72</v>
      </c>
      <c r="AK2098">
        <v>19.58</v>
      </c>
      <c r="AL2098">
        <v>0</v>
      </c>
      <c r="AM2098">
        <v>0</v>
      </c>
      <c r="AN2098">
        <v>22.53</v>
      </c>
      <c r="AO2098">
        <v>4.44</v>
      </c>
      <c r="AP2098">
        <v>22.08</v>
      </c>
    </row>
    <row r="2099" spans="1:42">
      <c r="A2099">
        <v>2098</v>
      </c>
      <c r="B2099" t="str">
        <f>"000516"</f>
        <v>000516</v>
      </c>
      <c r="C2099" t="s">
        <v>11701</v>
      </c>
      <c r="D2099">
        <v>9.24</v>
      </c>
      <c r="E2099">
        <v>0.43</v>
      </c>
      <c r="F2099">
        <v>0.04</v>
      </c>
      <c r="G2099" t="s">
        <v>5742</v>
      </c>
      <c r="H2099">
        <v>958</v>
      </c>
      <c r="I2099">
        <v>9.23</v>
      </c>
      <c r="J2099">
        <v>9.24</v>
      </c>
      <c r="K2099" t="s">
        <v>11702</v>
      </c>
      <c r="L2099">
        <v>0.51</v>
      </c>
      <c r="M2099" t="s">
        <v>46</v>
      </c>
      <c r="N2099" t="s">
        <v>11703</v>
      </c>
      <c r="O2099">
        <v>9.27</v>
      </c>
      <c r="P2099">
        <v>9.16</v>
      </c>
      <c r="Q2099">
        <v>9.18</v>
      </c>
      <c r="R2099">
        <v>9.2</v>
      </c>
      <c r="S2099">
        <v>1.2</v>
      </c>
      <c r="T2099">
        <v>0.56</v>
      </c>
      <c r="U2099">
        <v>-2.14</v>
      </c>
      <c r="V2099">
        <v>-443</v>
      </c>
      <c r="W2099">
        <v>9.22</v>
      </c>
      <c r="X2099" t="s">
        <v>5289</v>
      </c>
      <c r="Y2099" t="s">
        <v>2752</v>
      </c>
      <c r="Z2099">
        <v>1.38</v>
      </c>
      <c r="AA2099">
        <v>75</v>
      </c>
      <c r="AB2099">
        <v>1511</v>
      </c>
      <c r="AC2099">
        <v>5.16</v>
      </c>
      <c r="AD2099" t="s">
        <v>2702</v>
      </c>
      <c r="AE2099" t="s">
        <v>11704</v>
      </c>
      <c r="AF2099" t="s">
        <v>2503</v>
      </c>
      <c r="AG2099" t="s">
        <v>11705</v>
      </c>
      <c r="AH2099">
        <v>-0.86</v>
      </c>
      <c r="AI2099">
        <v>-0.96</v>
      </c>
      <c r="AJ2099">
        <v>1.91</v>
      </c>
      <c r="AK2099">
        <v>5.07</v>
      </c>
      <c r="AL2099">
        <v>1</v>
      </c>
      <c r="AM2099">
        <v>0.43</v>
      </c>
      <c r="AN2099">
        <v>-24.51</v>
      </c>
      <c r="AO2099">
        <v>-2.33</v>
      </c>
      <c r="AP2099">
        <v>-18.16</v>
      </c>
    </row>
    <row r="2100" spans="1:42">
      <c r="A2100">
        <v>2099</v>
      </c>
      <c r="B2100" t="str">
        <f>"300380"</f>
        <v>300380</v>
      </c>
      <c r="C2100" t="s">
        <v>11706</v>
      </c>
      <c r="D2100">
        <v>23.06</v>
      </c>
      <c r="E2100">
        <v>3.32</v>
      </c>
      <c r="F2100">
        <v>0.74</v>
      </c>
      <c r="G2100" t="s">
        <v>5871</v>
      </c>
      <c r="H2100">
        <v>395</v>
      </c>
      <c r="I2100">
        <v>23.06</v>
      </c>
      <c r="J2100">
        <v>23.07</v>
      </c>
      <c r="K2100" t="s">
        <v>11707</v>
      </c>
      <c r="L2100">
        <v>3.16</v>
      </c>
      <c r="M2100" t="s">
        <v>46</v>
      </c>
      <c r="N2100" t="s">
        <v>6625</v>
      </c>
      <c r="O2100">
        <v>23.27</v>
      </c>
      <c r="P2100">
        <v>22.3</v>
      </c>
      <c r="Q2100">
        <v>22.54</v>
      </c>
      <c r="R2100">
        <v>22.32</v>
      </c>
      <c r="S2100">
        <v>4.35</v>
      </c>
      <c r="T2100">
        <v>0.94</v>
      </c>
      <c r="U2100">
        <v>-53.01</v>
      </c>
      <c r="V2100">
        <v>-343</v>
      </c>
      <c r="W2100">
        <v>22.8</v>
      </c>
      <c r="X2100" t="s">
        <v>6656</v>
      </c>
      <c r="Y2100" t="s">
        <v>377</v>
      </c>
      <c r="Z2100">
        <v>0.79</v>
      </c>
      <c r="AA2100">
        <v>88</v>
      </c>
      <c r="AB2100">
        <v>20</v>
      </c>
      <c r="AC2100">
        <v>8.64</v>
      </c>
      <c r="AD2100" t="s">
        <v>11708</v>
      </c>
      <c r="AE2100" t="s">
        <v>11709</v>
      </c>
      <c r="AF2100" t="s">
        <v>1712</v>
      </c>
      <c r="AG2100" t="s">
        <v>11710</v>
      </c>
      <c r="AH2100">
        <v>0.17</v>
      </c>
      <c r="AI2100">
        <v>-3.11</v>
      </c>
      <c r="AJ2100">
        <v>9.05</v>
      </c>
      <c r="AK2100">
        <v>19.96</v>
      </c>
      <c r="AL2100">
        <v>1</v>
      </c>
      <c r="AM2100">
        <v>3.32</v>
      </c>
      <c r="AN2100">
        <v>30.28</v>
      </c>
      <c r="AO2100">
        <v>2.08</v>
      </c>
      <c r="AP2100">
        <v>38.08</v>
      </c>
    </row>
    <row r="2101" spans="1:42">
      <c r="A2101">
        <v>2100</v>
      </c>
      <c r="B2101" t="str">
        <f>"002918"</f>
        <v>002918</v>
      </c>
      <c r="C2101" t="s">
        <v>11711</v>
      </c>
      <c r="D2101">
        <v>14.12</v>
      </c>
      <c r="E2101">
        <v>-1.67</v>
      </c>
      <c r="F2101">
        <v>-0.24</v>
      </c>
      <c r="G2101" t="s">
        <v>11712</v>
      </c>
      <c r="H2101">
        <v>548</v>
      </c>
      <c r="I2101">
        <v>14.12</v>
      </c>
      <c r="J2101">
        <v>14.13</v>
      </c>
      <c r="K2101" t="s">
        <v>11713</v>
      </c>
      <c r="L2101">
        <v>2.9</v>
      </c>
      <c r="M2101" t="s">
        <v>46</v>
      </c>
      <c r="N2101" t="s">
        <v>11714</v>
      </c>
      <c r="O2101">
        <v>14.36</v>
      </c>
      <c r="P2101">
        <v>13.95</v>
      </c>
      <c r="Q2101">
        <v>14.31</v>
      </c>
      <c r="R2101">
        <v>14.36</v>
      </c>
      <c r="S2101">
        <v>2.86</v>
      </c>
      <c r="T2101">
        <v>1.1</v>
      </c>
      <c r="U2101">
        <v>15.77</v>
      </c>
      <c r="V2101">
        <v>294</v>
      </c>
      <c r="W2101">
        <v>14.09</v>
      </c>
      <c r="X2101" t="s">
        <v>1566</v>
      </c>
      <c r="Y2101" t="s">
        <v>4422</v>
      </c>
      <c r="Z2101">
        <v>1.48</v>
      </c>
      <c r="AA2101">
        <v>72</v>
      </c>
      <c r="AB2101">
        <v>217</v>
      </c>
      <c r="AC2101">
        <v>1.76</v>
      </c>
      <c r="AD2101" t="s">
        <v>11715</v>
      </c>
      <c r="AE2101" t="s">
        <v>11716</v>
      </c>
      <c r="AF2101" t="s">
        <v>11717</v>
      </c>
      <c r="AG2101" t="s">
        <v>11718</v>
      </c>
      <c r="AH2101">
        <v>-4.66</v>
      </c>
      <c r="AI2101">
        <v>-7.95</v>
      </c>
      <c r="AJ2101">
        <v>7.43</v>
      </c>
      <c r="AK2101">
        <v>16.04</v>
      </c>
      <c r="AL2101">
        <v>-3</v>
      </c>
      <c r="AM2101">
        <v>-1.67</v>
      </c>
      <c r="AN2101">
        <v>-20.81</v>
      </c>
      <c r="AO2101">
        <v>-5.36</v>
      </c>
      <c r="AP2101">
        <v>-13.11</v>
      </c>
    </row>
    <row r="2102" spans="1:42">
      <c r="A2102">
        <v>2101</v>
      </c>
      <c r="B2102" t="str">
        <f>"603032"</f>
        <v>603032</v>
      </c>
      <c r="C2102" t="s">
        <v>11719</v>
      </c>
      <c r="D2102">
        <v>18.72</v>
      </c>
      <c r="E2102">
        <v>0</v>
      </c>
      <c r="F2102">
        <v>0</v>
      </c>
      <c r="G2102" t="s">
        <v>7441</v>
      </c>
      <c r="H2102">
        <v>885</v>
      </c>
      <c r="I2102">
        <v>18.72</v>
      </c>
      <c r="J2102">
        <v>18.73</v>
      </c>
      <c r="K2102" t="s">
        <v>11720</v>
      </c>
      <c r="L2102">
        <v>2.12</v>
      </c>
      <c r="M2102" t="s">
        <v>46</v>
      </c>
      <c r="N2102" t="s">
        <v>6468</v>
      </c>
      <c r="O2102">
        <v>18.73</v>
      </c>
      <c r="P2102">
        <v>18.34</v>
      </c>
      <c r="Q2102">
        <v>18.69</v>
      </c>
      <c r="R2102">
        <v>18.72</v>
      </c>
      <c r="S2102">
        <v>2.08</v>
      </c>
      <c r="T2102">
        <v>0.81</v>
      </c>
      <c r="U2102">
        <v>-34.65</v>
      </c>
      <c r="V2102">
        <v>-927</v>
      </c>
      <c r="W2102">
        <v>18.54</v>
      </c>
      <c r="X2102" t="s">
        <v>9251</v>
      </c>
      <c r="Y2102" t="s">
        <v>1710</v>
      </c>
      <c r="Z2102">
        <v>1.1</v>
      </c>
      <c r="AA2102">
        <v>214</v>
      </c>
      <c r="AB2102">
        <v>1679</v>
      </c>
      <c r="AC2102">
        <v>3.48</v>
      </c>
      <c r="AD2102" t="s">
        <v>6289</v>
      </c>
      <c r="AE2102" t="s">
        <v>11721</v>
      </c>
      <c r="AF2102" t="s">
        <v>11722</v>
      </c>
      <c r="AG2102" t="s">
        <v>11723</v>
      </c>
      <c r="AH2102">
        <v>-3.31</v>
      </c>
      <c r="AI2102">
        <v>-10.34</v>
      </c>
      <c r="AJ2102">
        <v>6.39</v>
      </c>
      <c r="AK2102">
        <v>15.22</v>
      </c>
      <c r="AL2102">
        <v>0</v>
      </c>
      <c r="AM2102">
        <v>0</v>
      </c>
      <c r="AN2102">
        <v>-70.14</v>
      </c>
      <c r="AO2102">
        <v>-11.49</v>
      </c>
      <c r="AP2102">
        <v>-65.56</v>
      </c>
    </row>
    <row r="2103" spans="1:42">
      <c r="A2103">
        <v>2102</v>
      </c>
      <c r="B2103" t="str">
        <f>"688579"</f>
        <v>688579</v>
      </c>
      <c r="C2103" t="s">
        <v>11724</v>
      </c>
      <c r="D2103">
        <v>12.74</v>
      </c>
      <c r="E2103">
        <v>4</v>
      </c>
      <c r="F2103">
        <v>0.49</v>
      </c>
      <c r="G2103" t="s">
        <v>2675</v>
      </c>
      <c r="H2103">
        <v>1059</v>
      </c>
      <c r="I2103">
        <v>12.73</v>
      </c>
      <c r="J2103">
        <v>12.74</v>
      </c>
      <c r="K2103" t="s">
        <v>11725</v>
      </c>
      <c r="L2103">
        <v>1.78</v>
      </c>
      <c r="M2103" t="s">
        <v>46</v>
      </c>
      <c r="N2103" t="s">
        <v>4760</v>
      </c>
      <c r="O2103">
        <v>12.84</v>
      </c>
      <c r="P2103">
        <v>12.15</v>
      </c>
      <c r="Q2103">
        <v>12.24</v>
      </c>
      <c r="R2103">
        <v>12.25</v>
      </c>
      <c r="S2103">
        <v>5.63</v>
      </c>
      <c r="T2103">
        <v>1.2</v>
      </c>
      <c r="U2103">
        <v>-12.12</v>
      </c>
      <c r="V2103">
        <v>-373</v>
      </c>
      <c r="W2103">
        <v>12.57</v>
      </c>
      <c r="X2103" t="s">
        <v>10910</v>
      </c>
      <c r="Y2103" t="s">
        <v>1165</v>
      </c>
      <c r="Z2103">
        <v>0.6</v>
      </c>
      <c r="AA2103">
        <v>201</v>
      </c>
      <c r="AB2103">
        <v>105</v>
      </c>
      <c r="AC2103">
        <v>3.89</v>
      </c>
      <c r="AD2103" t="s">
        <v>7381</v>
      </c>
      <c r="AE2103" t="s">
        <v>11726</v>
      </c>
      <c r="AF2103" t="s">
        <v>7381</v>
      </c>
      <c r="AG2103" t="s">
        <v>11726</v>
      </c>
      <c r="AH2103">
        <v>0.87</v>
      </c>
      <c r="AI2103">
        <v>-1.62</v>
      </c>
      <c r="AJ2103">
        <v>3.82</v>
      </c>
      <c r="AK2103">
        <v>9.18</v>
      </c>
      <c r="AL2103">
        <v>1</v>
      </c>
      <c r="AM2103">
        <v>4</v>
      </c>
      <c r="AN2103">
        <v>30.8</v>
      </c>
      <c r="AO2103">
        <v>8.43</v>
      </c>
      <c r="AP2103">
        <v>40.15</v>
      </c>
    </row>
    <row r="2104" spans="1:42">
      <c r="A2104">
        <v>2103</v>
      </c>
      <c r="B2104" t="str">
        <f>"300151"</f>
        <v>300151</v>
      </c>
      <c r="C2104" t="s">
        <v>11727</v>
      </c>
      <c r="D2104">
        <v>19.65</v>
      </c>
      <c r="E2104">
        <v>3.04</v>
      </c>
      <c r="F2104">
        <v>0.58</v>
      </c>
      <c r="G2104" t="s">
        <v>944</v>
      </c>
      <c r="H2104">
        <v>1031</v>
      </c>
      <c r="I2104">
        <v>19.64</v>
      </c>
      <c r="J2104">
        <v>19.65</v>
      </c>
      <c r="K2104" t="s">
        <v>11725</v>
      </c>
      <c r="L2104">
        <v>1.44</v>
      </c>
      <c r="M2104" t="s">
        <v>46</v>
      </c>
      <c r="N2104" t="s">
        <v>11357</v>
      </c>
      <c r="O2104">
        <v>19.65</v>
      </c>
      <c r="P2104">
        <v>18.88</v>
      </c>
      <c r="Q2104">
        <v>19.07</v>
      </c>
      <c r="R2104">
        <v>19.07</v>
      </c>
      <c r="S2104">
        <v>4.04</v>
      </c>
      <c r="T2104">
        <v>0.96</v>
      </c>
      <c r="U2104">
        <v>-68.9</v>
      </c>
      <c r="V2104">
        <v>-452</v>
      </c>
      <c r="W2104">
        <v>19.33</v>
      </c>
      <c r="X2104" t="s">
        <v>3165</v>
      </c>
      <c r="Y2104" t="s">
        <v>6581</v>
      </c>
      <c r="Z2104">
        <v>0.62</v>
      </c>
      <c r="AA2104">
        <v>60</v>
      </c>
      <c r="AB2104">
        <v>179</v>
      </c>
      <c r="AC2104">
        <v>6.63</v>
      </c>
      <c r="AD2104" t="s">
        <v>11728</v>
      </c>
      <c r="AE2104" t="s">
        <v>4521</v>
      </c>
      <c r="AF2104" t="s">
        <v>8560</v>
      </c>
      <c r="AG2104" t="s">
        <v>11729</v>
      </c>
      <c r="AH2104">
        <v>0.98</v>
      </c>
      <c r="AI2104">
        <v>6.91</v>
      </c>
      <c r="AJ2104">
        <v>4</v>
      </c>
      <c r="AK2104">
        <v>8.95</v>
      </c>
      <c r="AL2104">
        <v>1</v>
      </c>
      <c r="AM2104">
        <v>3.04</v>
      </c>
      <c r="AN2104">
        <v>2.83</v>
      </c>
      <c r="AO2104">
        <v>6.91</v>
      </c>
      <c r="AP2104">
        <v>-13.05</v>
      </c>
    </row>
    <row r="2105" spans="1:42">
      <c r="A2105">
        <v>2104</v>
      </c>
      <c r="B2105" t="str">
        <f>"000968"</f>
        <v>000968</v>
      </c>
      <c r="C2105" t="s">
        <v>11730</v>
      </c>
      <c r="D2105">
        <v>7.89</v>
      </c>
      <c r="E2105">
        <v>-1.87</v>
      </c>
      <c r="F2105">
        <v>-0.15</v>
      </c>
      <c r="G2105" t="s">
        <v>262</v>
      </c>
      <c r="H2105">
        <v>1409</v>
      </c>
      <c r="I2105">
        <v>7.89</v>
      </c>
      <c r="J2105">
        <v>7.9</v>
      </c>
      <c r="K2105" t="s">
        <v>11731</v>
      </c>
      <c r="L2105">
        <v>1.16</v>
      </c>
      <c r="M2105" t="s">
        <v>46</v>
      </c>
      <c r="N2105" t="s">
        <v>8612</v>
      </c>
      <c r="O2105">
        <v>8.06</v>
      </c>
      <c r="P2105">
        <v>7.87</v>
      </c>
      <c r="Q2105">
        <v>8.01</v>
      </c>
      <c r="R2105">
        <v>8.04</v>
      </c>
      <c r="S2105">
        <v>2.36</v>
      </c>
      <c r="T2105">
        <v>1.28</v>
      </c>
      <c r="U2105">
        <v>43.79</v>
      </c>
      <c r="V2105">
        <v>3474</v>
      </c>
      <c r="W2105">
        <v>7.94</v>
      </c>
      <c r="X2105" t="s">
        <v>5099</v>
      </c>
      <c r="Y2105" t="s">
        <v>1502</v>
      </c>
      <c r="Z2105">
        <v>1.5</v>
      </c>
      <c r="AA2105">
        <v>1156</v>
      </c>
      <c r="AB2105">
        <v>318</v>
      </c>
      <c r="AC2105">
        <v>1.36</v>
      </c>
      <c r="AD2105" t="s">
        <v>11732</v>
      </c>
      <c r="AE2105" t="s">
        <v>5416</v>
      </c>
      <c r="AF2105" t="s">
        <v>11732</v>
      </c>
      <c r="AG2105" t="s">
        <v>5416</v>
      </c>
      <c r="AH2105">
        <v>-1.25</v>
      </c>
      <c r="AI2105">
        <v>-0.13</v>
      </c>
      <c r="AJ2105">
        <v>3.25</v>
      </c>
      <c r="AK2105">
        <v>5.73</v>
      </c>
      <c r="AL2105">
        <v>-1</v>
      </c>
      <c r="AM2105">
        <v>-1.87</v>
      </c>
      <c r="AN2105">
        <v>-8.57</v>
      </c>
      <c r="AO2105">
        <v>-3.55</v>
      </c>
      <c r="AP2105">
        <v>-16.42</v>
      </c>
    </row>
    <row r="2106" spans="1:42">
      <c r="A2106">
        <v>2105</v>
      </c>
      <c r="B2106" t="str">
        <f>"300618"</f>
        <v>300618</v>
      </c>
      <c r="C2106" t="s">
        <v>11733</v>
      </c>
      <c r="D2106">
        <v>28.73</v>
      </c>
      <c r="E2106">
        <v>-0.9</v>
      </c>
      <c r="F2106">
        <v>-0.26</v>
      </c>
      <c r="G2106" t="s">
        <v>3260</v>
      </c>
      <c r="H2106">
        <v>317</v>
      </c>
      <c r="I2106">
        <v>28.73</v>
      </c>
      <c r="J2106">
        <v>28.74</v>
      </c>
      <c r="K2106" t="s">
        <v>11734</v>
      </c>
      <c r="L2106">
        <v>1.14</v>
      </c>
      <c r="M2106" t="s">
        <v>46</v>
      </c>
      <c r="N2106" t="s">
        <v>7924</v>
      </c>
      <c r="O2106">
        <v>29.3</v>
      </c>
      <c r="P2106">
        <v>28.43</v>
      </c>
      <c r="Q2106">
        <v>29.3</v>
      </c>
      <c r="R2106">
        <v>28.99</v>
      </c>
      <c r="S2106">
        <v>3</v>
      </c>
      <c r="T2106">
        <v>1.58</v>
      </c>
      <c r="U2106">
        <v>33.03</v>
      </c>
      <c r="V2106">
        <v>103</v>
      </c>
      <c r="W2106">
        <v>28.7</v>
      </c>
      <c r="X2106" t="s">
        <v>1072</v>
      </c>
      <c r="Y2106" t="s">
        <v>2547</v>
      </c>
      <c r="Z2106">
        <v>1.5</v>
      </c>
      <c r="AA2106">
        <v>115</v>
      </c>
      <c r="AB2106">
        <v>12</v>
      </c>
      <c r="AC2106">
        <v>1.71</v>
      </c>
      <c r="AD2106" t="s">
        <v>11735</v>
      </c>
      <c r="AE2106" t="s">
        <v>11736</v>
      </c>
      <c r="AF2106" t="s">
        <v>8038</v>
      </c>
      <c r="AG2106" t="s">
        <v>11737</v>
      </c>
      <c r="AH2106">
        <v>-2.94</v>
      </c>
      <c r="AI2106">
        <v>-5.31</v>
      </c>
      <c r="AJ2106">
        <v>2.6</v>
      </c>
      <c r="AK2106">
        <v>4.76</v>
      </c>
      <c r="AL2106">
        <v>-3</v>
      </c>
      <c r="AM2106">
        <v>-0.9</v>
      </c>
      <c r="AN2106">
        <v>-27.99</v>
      </c>
      <c r="AO2106">
        <v>-4.58</v>
      </c>
      <c r="AP2106">
        <v>-35.22</v>
      </c>
    </row>
    <row r="2107" spans="1:42">
      <c r="A2107">
        <v>2106</v>
      </c>
      <c r="B2107" t="str">
        <f>"600107"</f>
        <v>600107</v>
      </c>
      <c r="C2107" t="s">
        <v>11738</v>
      </c>
      <c r="D2107">
        <v>6.45</v>
      </c>
      <c r="E2107">
        <v>-1.38</v>
      </c>
      <c r="F2107">
        <v>-0.09</v>
      </c>
      <c r="G2107" t="s">
        <v>2753</v>
      </c>
      <c r="H2107">
        <v>2604</v>
      </c>
      <c r="I2107">
        <v>6.45</v>
      </c>
      <c r="J2107">
        <v>6.46</v>
      </c>
      <c r="K2107" t="s">
        <v>11739</v>
      </c>
      <c r="L2107">
        <v>3.82</v>
      </c>
      <c r="M2107" t="s">
        <v>46</v>
      </c>
      <c r="N2107" t="s">
        <v>4450</v>
      </c>
      <c r="O2107">
        <v>6.65</v>
      </c>
      <c r="P2107">
        <v>6.44</v>
      </c>
      <c r="Q2107">
        <v>6.52</v>
      </c>
      <c r="R2107">
        <v>6.54</v>
      </c>
      <c r="S2107">
        <v>3.21</v>
      </c>
      <c r="T2107">
        <v>0.43</v>
      </c>
      <c r="U2107">
        <v>49.02</v>
      </c>
      <c r="V2107">
        <v>2292</v>
      </c>
      <c r="W2107">
        <v>6.51</v>
      </c>
      <c r="X2107" t="s">
        <v>11499</v>
      </c>
      <c r="Y2107" t="s">
        <v>2359</v>
      </c>
      <c r="Z2107">
        <v>1.04</v>
      </c>
      <c r="AA2107">
        <v>570</v>
      </c>
      <c r="AB2107">
        <v>51</v>
      </c>
      <c r="AC2107">
        <v>3.76</v>
      </c>
      <c r="AD2107" t="s">
        <v>11740</v>
      </c>
      <c r="AE2107" t="s">
        <v>11741</v>
      </c>
      <c r="AF2107" t="s">
        <v>11740</v>
      </c>
      <c r="AG2107" t="s">
        <v>11741</v>
      </c>
      <c r="AH2107">
        <v>-0.15</v>
      </c>
      <c r="AI2107">
        <v>1.1</v>
      </c>
      <c r="AJ2107">
        <v>17.05</v>
      </c>
      <c r="AK2107">
        <v>47.81</v>
      </c>
      <c r="AL2107">
        <v>-1</v>
      </c>
      <c r="AM2107">
        <v>-1.38</v>
      </c>
      <c r="AN2107">
        <v>4.54</v>
      </c>
      <c r="AO2107">
        <v>18.78</v>
      </c>
      <c r="AP2107">
        <v>-5.01</v>
      </c>
    </row>
    <row r="2108" spans="1:42">
      <c r="A2108">
        <v>2107</v>
      </c>
      <c r="B2108" t="str">
        <f>"601375"</f>
        <v>601375</v>
      </c>
      <c r="C2108" t="s">
        <v>11742</v>
      </c>
      <c r="D2108">
        <v>3.93</v>
      </c>
      <c r="E2108">
        <v>0.77</v>
      </c>
      <c r="F2108">
        <v>0.03</v>
      </c>
      <c r="G2108" t="s">
        <v>291</v>
      </c>
      <c r="H2108">
        <v>3280</v>
      </c>
      <c r="I2108">
        <v>3.93</v>
      </c>
      <c r="J2108">
        <v>3.94</v>
      </c>
      <c r="K2108" t="s">
        <v>11743</v>
      </c>
      <c r="L2108">
        <v>0.66</v>
      </c>
      <c r="M2108" t="s">
        <v>46</v>
      </c>
      <c r="N2108" t="s">
        <v>2591</v>
      </c>
      <c r="O2108">
        <v>3.94</v>
      </c>
      <c r="P2108">
        <v>3.89</v>
      </c>
      <c r="Q2108">
        <v>3.9</v>
      </c>
      <c r="R2108">
        <v>3.9</v>
      </c>
      <c r="S2108">
        <v>1.28</v>
      </c>
      <c r="T2108">
        <v>0.96</v>
      </c>
      <c r="U2108">
        <v>-12.25</v>
      </c>
      <c r="V2108">
        <v>-8537</v>
      </c>
      <c r="W2108">
        <v>3.91</v>
      </c>
      <c r="X2108" t="s">
        <v>4303</v>
      </c>
      <c r="Y2108" t="s">
        <v>368</v>
      </c>
      <c r="Z2108">
        <v>0.7</v>
      </c>
      <c r="AA2108">
        <v>2624</v>
      </c>
      <c r="AB2108" t="s">
        <v>4977</v>
      </c>
      <c r="AC2108">
        <v>1.31</v>
      </c>
      <c r="AD2108" t="s">
        <v>11744</v>
      </c>
      <c r="AE2108" t="s">
        <v>11745</v>
      </c>
      <c r="AF2108" t="s">
        <v>11746</v>
      </c>
      <c r="AG2108" t="s">
        <v>1003</v>
      </c>
      <c r="AH2108">
        <v>0</v>
      </c>
      <c r="AI2108">
        <v>-1.26</v>
      </c>
      <c r="AJ2108">
        <v>1.97</v>
      </c>
      <c r="AK2108">
        <v>4.1</v>
      </c>
      <c r="AL2108">
        <v>1</v>
      </c>
      <c r="AM2108">
        <v>0.77</v>
      </c>
      <c r="AN2108">
        <v>8.26</v>
      </c>
      <c r="AO2108">
        <v>1.55</v>
      </c>
      <c r="AP2108">
        <v>4.52</v>
      </c>
    </row>
    <row r="2109" spans="1:42">
      <c r="A2109">
        <v>2108</v>
      </c>
      <c r="B2109" t="str">
        <f>"300491"</f>
        <v>300491</v>
      </c>
      <c r="C2109" t="s">
        <v>11747</v>
      </c>
      <c r="D2109">
        <v>24.51</v>
      </c>
      <c r="E2109">
        <v>0.53</v>
      </c>
      <c r="F2109">
        <v>0.13</v>
      </c>
      <c r="G2109" t="s">
        <v>1313</v>
      </c>
      <c r="H2109">
        <v>743</v>
      </c>
      <c r="I2109">
        <v>24.51</v>
      </c>
      <c r="J2109">
        <v>24.52</v>
      </c>
      <c r="K2109" t="s">
        <v>11748</v>
      </c>
      <c r="L2109">
        <v>2.37</v>
      </c>
      <c r="M2109" t="s">
        <v>46</v>
      </c>
      <c r="N2109" t="s">
        <v>1461</v>
      </c>
      <c r="O2109">
        <v>24.91</v>
      </c>
      <c r="P2109">
        <v>24.07</v>
      </c>
      <c r="Q2109">
        <v>24.3</v>
      </c>
      <c r="R2109">
        <v>24.38</v>
      </c>
      <c r="S2109">
        <v>3.45</v>
      </c>
      <c r="T2109">
        <v>0.96</v>
      </c>
      <c r="U2109">
        <v>24.7</v>
      </c>
      <c r="V2109">
        <v>239</v>
      </c>
      <c r="W2109">
        <v>24.44</v>
      </c>
      <c r="X2109" t="s">
        <v>1280</v>
      </c>
      <c r="Y2109" t="s">
        <v>390</v>
      </c>
      <c r="Z2109">
        <v>1.21</v>
      </c>
      <c r="AA2109">
        <v>190</v>
      </c>
      <c r="AB2109">
        <v>197</v>
      </c>
      <c r="AC2109">
        <v>3.96</v>
      </c>
      <c r="AD2109" t="s">
        <v>11749</v>
      </c>
      <c r="AE2109" t="s">
        <v>10662</v>
      </c>
      <c r="AF2109" t="s">
        <v>11750</v>
      </c>
      <c r="AG2109" t="s">
        <v>11751</v>
      </c>
      <c r="AH2109">
        <v>-1.49</v>
      </c>
      <c r="AI2109">
        <v>-2.19</v>
      </c>
      <c r="AJ2109">
        <v>9.2</v>
      </c>
      <c r="AK2109">
        <v>14.7</v>
      </c>
      <c r="AL2109">
        <v>1</v>
      </c>
      <c r="AM2109">
        <v>0.53</v>
      </c>
      <c r="AN2109">
        <v>78</v>
      </c>
      <c r="AO2109">
        <v>6.66</v>
      </c>
      <c r="AP2109">
        <v>66.28</v>
      </c>
    </row>
    <row r="2110" spans="1:42">
      <c r="A2110">
        <v>2109</v>
      </c>
      <c r="B2110" t="str">
        <f>"002925"</f>
        <v>002925</v>
      </c>
      <c r="C2110" t="s">
        <v>11752</v>
      </c>
      <c r="D2110">
        <v>18.67</v>
      </c>
      <c r="E2110">
        <v>-0.74</v>
      </c>
      <c r="F2110">
        <v>-0.14</v>
      </c>
      <c r="G2110" t="s">
        <v>6833</v>
      </c>
      <c r="H2110">
        <v>1967</v>
      </c>
      <c r="I2110">
        <v>18.66</v>
      </c>
      <c r="J2110">
        <v>18.67</v>
      </c>
      <c r="K2110" t="s">
        <v>11753</v>
      </c>
      <c r="L2110">
        <v>0.65</v>
      </c>
      <c r="M2110" t="s">
        <v>46</v>
      </c>
      <c r="N2110" t="s">
        <v>6348</v>
      </c>
      <c r="O2110">
        <v>18.78</v>
      </c>
      <c r="P2110">
        <v>18.44</v>
      </c>
      <c r="Q2110">
        <v>18.78</v>
      </c>
      <c r="R2110">
        <v>18.81</v>
      </c>
      <c r="S2110">
        <v>1.81</v>
      </c>
      <c r="T2110">
        <v>0.84</v>
      </c>
      <c r="U2110">
        <v>-20.39</v>
      </c>
      <c r="V2110">
        <v>-147</v>
      </c>
      <c r="W2110">
        <v>18.59</v>
      </c>
      <c r="X2110" t="s">
        <v>7485</v>
      </c>
      <c r="Y2110" t="s">
        <v>2976</v>
      </c>
      <c r="Z2110">
        <v>1.37</v>
      </c>
      <c r="AA2110">
        <v>50</v>
      </c>
      <c r="AB2110">
        <v>78</v>
      </c>
      <c r="AC2110">
        <v>2.91</v>
      </c>
      <c r="AD2110" t="s">
        <v>11754</v>
      </c>
      <c r="AE2110" t="s">
        <v>9757</v>
      </c>
      <c r="AF2110" t="s">
        <v>10394</v>
      </c>
      <c r="AG2110" t="s">
        <v>11755</v>
      </c>
      <c r="AH2110">
        <v>-1.74</v>
      </c>
      <c r="AI2110">
        <v>-4.84</v>
      </c>
      <c r="AJ2110">
        <v>1.95</v>
      </c>
      <c r="AK2110">
        <v>4.53</v>
      </c>
      <c r="AL2110">
        <v>-3</v>
      </c>
      <c r="AM2110">
        <v>-0.74</v>
      </c>
      <c r="AN2110">
        <v>18.77</v>
      </c>
      <c r="AO2110">
        <v>3.26</v>
      </c>
      <c r="AP2110">
        <v>8.93</v>
      </c>
    </row>
    <row r="2111" spans="1:42">
      <c r="A2111">
        <v>2110</v>
      </c>
      <c r="B2111" t="str">
        <f>"000697"</f>
        <v>000697</v>
      </c>
      <c r="C2111" t="s">
        <v>11756</v>
      </c>
      <c r="D2111">
        <v>6.08</v>
      </c>
      <c r="E2111">
        <v>-1.62</v>
      </c>
      <c r="F2111">
        <v>-0.1</v>
      </c>
      <c r="G2111" t="s">
        <v>2217</v>
      </c>
      <c r="H2111">
        <v>1193</v>
      </c>
      <c r="I2111">
        <v>6.07</v>
      </c>
      <c r="J2111">
        <v>6.08</v>
      </c>
      <c r="K2111" t="s">
        <v>11757</v>
      </c>
      <c r="L2111">
        <v>2.53</v>
      </c>
      <c r="M2111" t="s">
        <v>46</v>
      </c>
      <c r="N2111" t="s">
        <v>1419</v>
      </c>
      <c r="O2111">
        <v>6.21</v>
      </c>
      <c r="P2111">
        <v>5.97</v>
      </c>
      <c r="Q2111">
        <v>6.11</v>
      </c>
      <c r="R2111">
        <v>6.18</v>
      </c>
      <c r="S2111">
        <v>3.88</v>
      </c>
      <c r="T2111">
        <v>1.29</v>
      </c>
      <c r="U2111">
        <v>-25.99</v>
      </c>
      <c r="V2111">
        <v>-1444</v>
      </c>
      <c r="W2111">
        <v>6.06</v>
      </c>
      <c r="X2111" t="s">
        <v>11758</v>
      </c>
      <c r="Y2111" t="s">
        <v>3302</v>
      </c>
      <c r="Z2111">
        <v>0.96</v>
      </c>
      <c r="AA2111">
        <v>298</v>
      </c>
      <c r="AB2111">
        <v>1925</v>
      </c>
      <c r="AC2111">
        <v>-6.11</v>
      </c>
      <c r="AD2111" t="s">
        <v>10168</v>
      </c>
      <c r="AE2111" t="s">
        <v>11759</v>
      </c>
      <c r="AF2111" t="s">
        <v>11760</v>
      </c>
      <c r="AG2111" t="s">
        <v>11761</v>
      </c>
      <c r="AH2111">
        <v>-7.03</v>
      </c>
      <c r="AI2111">
        <v>-2.09</v>
      </c>
      <c r="AJ2111">
        <v>7.16</v>
      </c>
      <c r="AK2111">
        <v>12.3</v>
      </c>
      <c r="AL2111">
        <v>-3</v>
      </c>
      <c r="AM2111">
        <v>-1.62</v>
      </c>
      <c r="AN2111">
        <v>-15.56</v>
      </c>
      <c r="AO2111">
        <v>18.52</v>
      </c>
      <c r="AP2111">
        <v>-23.33</v>
      </c>
    </row>
    <row r="2112" spans="1:42">
      <c r="A2112">
        <v>2111</v>
      </c>
      <c r="B2112" t="str">
        <f>"688433"</f>
        <v>688433</v>
      </c>
      <c r="C2112" t="s">
        <v>11762</v>
      </c>
      <c r="D2112">
        <v>31.99</v>
      </c>
      <c r="E2112">
        <v>-5.61</v>
      </c>
      <c r="F2112">
        <v>-1.9</v>
      </c>
      <c r="G2112" t="s">
        <v>3121</v>
      </c>
      <c r="H2112">
        <v>472</v>
      </c>
      <c r="I2112">
        <v>31.99</v>
      </c>
      <c r="J2112">
        <v>32</v>
      </c>
      <c r="K2112" t="s">
        <v>11763</v>
      </c>
      <c r="L2112">
        <v>7.3</v>
      </c>
      <c r="M2112" t="s">
        <v>46</v>
      </c>
      <c r="N2112" t="s">
        <v>3939</v>
      </c>
      <c r="O2112">
        <v>33.9</v>
      </c>
      <c r="P2112">
        <v>31.81</v>
      </c>
      <c r="Q2112">
        <v>33.9</v>
      </c>
      <c r="R2112">
        <v>33.89</v>
      </c>
      <c r="S2112">
        <v>6.17</v>
      </c>
      <c r="T2112">
        <v>2.1</v>
      </c>
      <c r="U2112">
        <v>67.27</v>
      </c>
      <c r="V2112">
        <v>212</v>
      </c>
      <c r="W2112">
        <v>32.45</v>
      </c>
      <c r="X2112" t="s">
        <v>7178</v>
      </c>
      <c r="Y2112" t="s">
        <v>8636</v>
      </c>
      <c r="Z2112">
        <v>1.28</v>
      </c>
      <c r="AA2112">
        <v>13</v>
      </c>
      <c r="AB2112">
        <v>32</v>
      </c>
      <c r="AC2112">
        <v>7.09</v>
      </c>
      <c r="AD2112" t="s">
        <v>11764</v>
      </c>
      <c r="AE2112" t="s">
        <v>4461</v>
      </c>
      <c r="AF2112" t="s">
        <v>11765</v>
      </c>
      <c r="AG2112" t="s">
        <v>3684</v>
      </c>
      <c r="AH2112">
        <v>-5.91</v>
      </c>
      <c r="AI2112">
        <v>-3.88</v>
      </c>
      <c r="AJ2112">
        <v>13.72</v>
      </c>
      <c r="AK2112">
        <v>24.66</v>
      </c>
      <c r="AL2112">
        <v>-2</v>
      </c>
      <c r="AM2112">
        <v>-5.61</v>
      </c>
      <c r="AN2112">
        <v>19.99</v>
      </c>
      <c r="AO2112">
        <v>-6.71</v>
      </c>
      <c r="AP2112">
        <v>19.99</v>
      </c>
    </row>
    <row r="2113" spans="1:42">
      <c r="A2113">
        <v>2112</v>
      </c>
      <c r="B2113" t="str">
        <f>"000899"</f>
        <v>000899</v>
      </c>
      <c r="C2113" t="s">
        <v>11766</v>
      </c>
      <c r="D2113">
        <v>8.44</v>
      </c>
      <c r="E2113">
        <v>-0.82</v>
      </c>
      <c r="F2113">
        <v>-0.07</v>
      </c>
      <c r="G2113" t="s">
        <v>1128</v>
      </c>
      <c r="H2113">
        <v>2379</v>
      </c>
      <c r="I2113">
        <v>8.44</v>
      </c>
      <c r="J2113">
        <v>8.45</v>
      </c>
      <c r="K2113" t="s">
        <v>11767</v>
      </c>
      <c r="L2113">
        <v>1.08</v>
      </c>
      <c r="M2113" t="s">
        <v>46</v>
      </c>
      <c r="N2113" t="s">
        <v>11768</v>
      </c>
      <c r="O2113">
        <v>8.51</v>
      </c>
      <c r="P2113">
        <v>8.38</v>
      </c>
      <c r="Q2113">
        <v>8.49</v>
      </c>
      <c r="R2113">
        <v>8.51</v>
      </c>
      <c r="S2113">
        <v>1.53</v>
      </c>
      <c r="T2113">
        <v>0.71</v>
      </c>
      <c r="U2113">
        <v>52.17</v>
      </c>
      <c r="V2113">
        <v>4286</v>
      </c>
      <c r="W2113">
        <v>8.43</v>
      </c>
      <c r="X2113" t="s">
        <v>3090</v>
      </c>
      <c r="Y2113" t="s">
        <v>2300</v>
      </c>
      <c r="Z2113">
        <v>1.29</v>
      </c>
      <c r="AA2113">
        <v>135</v>
      </c>
      <c r="AB2113">
        <v>122</v>
      </c>
      <c r="AC2113">
        <v>1.62</v>
      </c>
      <c r="AD2113" t="s">
        <v>11769</v>
      </c>
      <c r="AE2113" t="s">
        <v>10215</v>
      </c>
      <c r="AF2113" t="s">
        <v>11769</v>
      </c>
      <c r="AG2113" t="s">
        <v>10215</v>
      </c>
      <c r="AH2113">
        <v>-2.31</v>
      </c>
      <c r="AI2113">
        <v>-0.82</v>
      </c>
      <c r="AJ2113">
        <v>5.82</v>
      </c>
      <c r="AK2113">
        <v>8.67</v>
      </c>
      <c r="AL2113">
        <v>-1</v>
      </c>
      <c r="AM2113">
        <v>-0.82</v>
      </c>
      <c r="AN2113">
        <v>-13.61</v>
      </c>
      <c r="AO2113">
        <v>-3.32</v>
      </c>
      <c r="AP2113">
        <v>-4.42</v>
      </c>
    </row>
    <row r="2114" spans="1:42">
      <c r="A2114">
        <v>2113</v>
      </c>
      <c r="B2114" t="str">
        <f>"688059"</f>
        <v>688059</v>
      </c>
      <c r="C2114" t="s">
        <v>11770</v>
      </c>
      <c r="D2114">
        <v>90</v>
      </c>
      <c r="E2114">
        <v>3</v>
      </c>
      <c r="F2114">
        <v>2.62</v>
      </c>
      <c r="G2114" t="s">
        <v>2615</v>
      </c>
      <c r="H2114">
        <v>16</v>
      </c>
      <c r="I2114">
        <v>90</v>
      </c>
      <c r="J2114">
        <v>90.3</v>
      </c>
      <c r="K2114" t="s">
        <v>11771</v>
      </c>
      <c r="L2114">
        <v>2.81</v>
      </c>
      <c r="M2114" t="s">
        <v>46</v>
      </c>
      <c r="N2114" t="s">
        <v>10576</v>
      </c>
      <c r="O2114">
        <v>90.89</v>
      </c>
      <c r="P2114">
        <v>86.32</v>
      </c>
      <c r="Q2114">
        <v>87.02</v>
      </c>
      <c r="R2114">
        <v>87.38</v>
      </c>
      <c r="S2114">
        <v>5.23</v>
      </c>
      <c r="T2114">
        <v>1.74</v>
      </c>
      <c r="U2114">
        <v>-17.26</v>
      </c>
      <c r="V2114">
        <v>-12</v>
      </c>
      <c r="W2114">
        <v>88.93</v>
      </c>
      <c r="X2114">
        <v>5537</v>
      </c>
      <c r="Y2114">
        <v>4466</v>
      </c>
      <c r="Z2114">
        <v>1.24</v>
      </c>
      <c r="AA2114">
        <v>7</v>
      </c>
      <c r="AB2114">
        <v>17</v>
      </c>
      <c r="AC2114">
        <v>5.13</v>
      </c>
      <c r="AD2114" t="s">
        <v>11772</v>
      </c>
      <c r="AE2114" t="s">
        <v>6304</v>
      </c>
      <c r="AF2114" t="s">
        <v>11773</v>
      </c>
      <c r="AG2114" t="s">
        <v>5327</v>
      </c>
      <c r="AH2114">
        <v>0.01</v>
      </c>
      <c r="AI2114">
        <v>-0.57</v>
      </c>
      <c r="AJ2114">
        <v>5.72</v>
      </c>
      <c r="AK2114">
        <v>10.9</v>
      </c>
      <c r="AL2114">
        <v>1</v>
      </c>
      <c r="AM2114">
        <v>3</v>
      </c>
      <c r="AN2114">
        <v>-21.15</v>
      </c>
      <c r="AO2114">
        <v>-5.77</v>
      </c>
      <c r="AP2114">
        <v>-18.08</v>
      </c>
    </row>
    <row r="2115" spans="1:42">
      <c r="A2115">
        <v>2114</v>
      </c>
      <c r="B2115" t="str">
        <f>"300139"</f>
        <v>300139</v>
      </c>
      <c r="C2115" t="s">
        <v>11774</v>
      </c>
      <c r="D2115">
        <v>10.67</v>
      </c>
      <c r="E2115">
        <v>-0.28</v>
      </c>
      <c r="F2115">
        <v>-0.03</v>
      </c>
      <c r="G2115" t="s">
        <v>6586</v>
      </c>
      <c r="H2115">
        <v>3216</v>
      </c>
      <c r="I2115">
        <v>10.67</v>
      </c>
      <c r="J2115">
        <v>10.68</v>
      </c>
      <c r="K2115" t="s">
        <v>11775</v>
      </c>
      <c r="L2115">
        <v>3.57</v>
      </c>
      <c r="M2115" t="s">
        <v>46</v>
      </c>
      <c r="N2115" t="s">
        <v>7362</v>
      </c>
      <c r="O2115">
        <v>10.7</v>
      </c>
      <c r="P2115">
        <v>10.58</v>
      </c>
      <c r="Q2115">
        <v>10.67</v>
      </c>
      <c r="R2115">
        <v>10.7</v>
      </c>
      <c r="S2115">
        <v>1.12</v>
      </c>
      <c r="T2115">
        <v>0.51</v>
      </c>
      <c r="U2115">
        <v>-13.45</v>
      </c>
      <c r="V2115">
        <v>-724</v>
      </c>
      <c r="W2115">
        <v>10.65</v>
      </c>
      <c r="X2115" t="s">
        <v>6203</v>
      </c>
      <c r="Y2115" t="s">
        <v>1069</v>
      </c>
      <c r="Z2115">
        <v>1.36</v>
      </c>
      <c r="AA2115">
        <v>546</v>
      </c>
      <c r="AB2115">
        <v>158</v>
      </c>
      <c r="AC2115">
        <v>2.76</v>
      </c>
      <c r="AD2115" t="s">
        <v>11776</v>
      </c>
      <c r="AE2115" t="s">
        <v>1852</v>
      </c>
      <c r="AF2115" t="s">
        <v>899</v>
      </c>
      <c r="AG2115" t="s">
        <v>11777</v>
      </c>
      <c r="AH2115">
        <v>-0.09</v>
      </c>
      <c r="AI2115">
        <v>-2.38</v>
      </c>
      <c r="AJ2115">
        <v>28.14</v>
      </c>
      <c r="AK2115">
        <v>38.33</v>
      </c>
      <c r="AL2115">
        <v>-2</v>
      </c>
      <c r="AM2115">
        <v>-0.28</v>
      </c>
      <c r="AN2115">
        <v>39.3</v>
      </c>
      <c r="AO2115">
        <v>-1.02</v>
      </c>
      <c r="AP2115">
        <v>25.68</v>
      </c>
    </row>
    <row r="2116" spans="1:42">
      <c r="A2116">
        <v>2115</v>
      </c>
      <c r="B2116" t="str">
        <f>"000908"</f>
        <v>000908</v>
      </c>
      <c r="C2116" t="s">
        <v>11778</v>
      </c>
      <c r="D2116">
        <v>3.51</v>
      </c>
      <c r="E2116">
        <v>-0.85</v>
      </c>
      <c r="F2116">
        <v>-0.03</v>
      </c>
      <c r="G2116" t="s">
        <v>1347</v>
      </c>
      <c r="H2116">
        <v>3590</v>
      </c>
      <c r="I2116">
        <v>3.51</v>
      </c>
      <c r="J2116">
        <v>3.52</v>
      </c>
      <c r="K2116" t="s">
        <v>11779</v>
      </c>
      <c r="L2116">
        <v>3.19</v>
      </c>
      <c r="M2116" t="s">
        <v>46</v>
      </c>
      <c r="N2116" t="s">
        <v>11780</v>
      </c>
      <c r="O2116">
        <v>3.58</v>
      </c>
      <c r="P2116">
        <v>3.5</v>
      </c>
      <c r="Q2116">
        <v>3.56</v>
      </c>
      <c r="R2116">
        <v>3.54</v>
      </c>
      <c r="S2116">
        <v>2.26</v>
      </c>
      <c r="T2116">
        <v>0.61</v>
      </c>
      <c r="U2116">
        <v>7.06</v>
      </c>
      <c r="V2116">
        <v>2042</v>
      </c>
      <c r="W2116">
        <v>3.53</v>
      </c>
      <c r="X2116" t="s">
        <v>1376</v>
      </c>
      <c r="Y2116" t="s">
        <v>4356</v>
      </c>
      <c r="Z2116">
        <v>1.18</v>
      </c>
      <c r="AA2116">
        <v>1007</v>
      </c>
      <c r="AB2116">
        <v>2683</v>
      </c>
      <c r="AC2116">
        <v>23.87</v>
      </c>
      <c r="AD2116" t="s">
        <v>11781</v>
      </c>
      <c r="AE2116" t="s">
        <v>11782</v>
      </c>
      <c r="AF2116" t="s">
        <v>2637</v>
      </c>
      <c r="AG2116" t="s">
        <v>10195</v>
      </c>
      <c r="AH2116">
        <v>-1.4</v>
      </c>
      <c r="AI2116">
        <v>-2.77</v>
      </c>
      <c r="AJ2116">
        <v>9.78</v>
      </c>
      <c r="AK2116">
        <v>29.31</v>
      </c>
      <c r="AL2116">
        <v>-1</v>
      </c>
      <c r="AM2116">
        <v>-0.85</v>
      </c>
      <c r="AN2116">
        <v>10.38</v>
      </c>
      <c r="AO2116">
        <v>9.01</v>
      </c>
      <c r="AP2116">
        <v>-4.36</v>
      </c>
    </row>
    <row r="2117" spans="1:42">
      <c r="A2117">
        <v>2116</v>
      </c>
      <c r="B2117" t="str">
        <f>"600598"</f>
        <v>600598</v>
      </c>
      <c r="C2117" t="s">
        <v>11783</v>
      </c>
      <c r="D2117">
        <v>12.62</v>
      </c>
      <c r="E2117">
        <v>0</v>
      </c>
      <c r="F2117">
        <v>0</v>
      </c>
      <c r="G2117" t="s">
        <v>4228</v>
      </c>
      <c r="H2117">
        <v>930</v>
      </c>
      <c r="I2117">
        <v>12.61</v>
      </c>
      <c r="J2117">
        <v>12.62</v>
      </c>
      <c r="K2117" t="s">
        <v>11784</v>
      </c>
      <c r="L2117">
        <v>0.4</v>
      </c>
      <c r="M2117" t="s">
        <v>46</v>
      </c>
      <c r="N2117" t="s">
        <v>11785</v>
      </c>
      <c r="O2117">
        <v>12.63</v>
      </c>
      <c r="P2117">
        <v>12.55</v>
      </c>
      <c r="Q2117">
        <v>12.59</v>
      </c>
      <c r="R2117">
        <v>12.62</v>
      </c>
      <c r="S2117">
        <v>0.63</v>
      </c>
      <c r="T2117">
        <v>0.9</v>
      </c>
      <c r="U2117">
        <v>-46.01</v>
      </c>
      <c r="V2117">
        <v>-5703</v>
      </c>
      <c r="W2117">
        <v>12.6</v>
      </c>
      <c r="X2117" t="s">
        <v>4974</v>
      </c>
      <c r="Y2117" t="s">
        <v>4839</v>
      </c>
      <c r="Z2117">
        <v>1.04</v>
      </c>
      <c r="AA2117">
        <v>445</v>
      </c>
      <c r="AB2117">
        <v>2885</v>
      </c>
      <c r="AC2117">
        <v>2.9</v>
      </c>
      <c r="AD2117" t="s">
        <v>11786</v>
      </c>
      <c r="AE2117" t="s">
        <v>11787</v>
      </c>
      <c r="AF2117" t="s">
        <v>11786</v>
      </c>
      <c r="AG2117" t="s">
        <v>11787</v>
      </c>
      <c r="AH2117">
        <v>0.48</v>
      </c>
      <c r="AI2117">
        <v>0.64</v>
      </c>
      <c r="AJ2117">
        <v>1.33</v>
      </c>
      <c r="AK2117">
        <v>2.61</v>
      </c>
      <c r="AL2117">
        <v>0</v>
      </c>
      <c r="AM2117">
        <v>0</v>
      </c>
      <c r="AN2117">
        <v>-5.4</v>
      </c>
      <c r="AO2117">
        <v>0.16</v>
      </c>
      <c r="AP2117">
        <v>-9.01</v>
      </c>
    </row>
    <row r="2118" spans="1:42">
      <c r="A2118">
        <v>2117</v>
      </c>
      <c r="B2118" t="str">
        <f>"300278"</f>
        <v>300278</v>
      </c>
      <c r="C2118" t="s">
        <v>11788</v>
      </c>
      <c r="D2118">
        <v>4.02</v>
      </c>
      <c r="E2118">
        <v>-0.99</v>
      </c>
      <c r="F2118">
        <v>-0.04</v>
      </c>
      <c r="G2118" t="s">
        <v>3139</v>
      </c>
      <c r="H2118">
        <v>3385</v>
      </c>
      <c r="I2118">
        <v>4.01</v>
      </c>
      <c r="J2118">
        <v>4.02</v>
      </c>
      <c r="K2118" t="s">
        <v>11789</v>
      </c>
      <c r="L2118">
        <v>1.72</v>
      </c>
      <c r="M2118" t="s">
        <v>46</v>
      </c>
      <c r="N2118" t="s">
        <v>2474</v>
      </c>
      <c r="O2118">
        <v>4.05</v>
      </c>
      <c r="P2118">
        <v>3.91</v>
      </c>
      <c r="Q2118">
        <v>4.04</v>
      </c>
      <c r="R2118">
        <v>4.06</v>
      </c>
      <c r="S2118">
        <v>3.45</v>
      </c>
      <c r="T2118">
        <v>1.13</v>
      </c>
      <c r="U2118">
        <v>5.3</v>
      </c>
      <c r="V2118">
        <v>1316</v>
      </c>
      <c r="W2118">
        <v>3.98</v>
      </c>
      <c r="X2118" t="s">
        <v>1937</v>
      </c>
      <c r="Y2118" t="s">
        <v>3402</v>
      </c>
      <c r="Z2118">
        <v>1.16</v>
      </c>
      <c r="AA2118">
        <v>2053</v>
      </c>
      <c r="AB2118">
        <v>1959</v>
      </c>
      <c r="AC2118">
        <v>3.33</v>
      </c>
      <c r="AD2118" t="s">
        <v>4566</v>
      </c>
      <c r="AE2118" t="s">
        <v>10054</v>
      </c>
      <c r="AF2118" t="s">
        <v>11790</v>
      </c>
      <c r="AG2118" t="s">
        <v>5711</v>
      </c>
      <c r="AH2118">
        <v>0</v>
      </c>
      <c r="AI2118">
        <v>0</v>
      </c>
      <c r="AJ2118">
        <v>5.45</v>
      </c>
      <c r="AK2118">
        <v>9.34</v>
      </c>
      <c r="AL2118">
        <v>-1</v>
      </c>
      <c r="AM2118">
        <v>-0.99</v>
      </c>
      <c r="AN2118">
        <v>0.5</v>
      </c>
      <c r="AO2118">
        <v>2.81</v>
      </c>
      <c r="AP2118">
        <v>-7.37</v>
      </c>
    </row>
    <row r="2119" spans="1:42">
      <c r="A2119">
        <v>2118</v>
      </c>
      <c r="B2119" t="str">
        <f>"873132"</f>
        <v>873132</v>
      </c>
      <c r="C2119" t="s">
        <v>11791</v>
      </c>
      <c r="D2119">
        <v>16.4</v>
      </c>
      <c r="E2119">
        <v>-18</v>
      </c>
      <c r="F2119">
        <v>-3.6</v>
      </c>
      <c r="G2119" t="s">
        <v>5660</v>
      </c>
      <c r="H2119">
        <v>505</v>
      </c>
      <c r="I2119">
        <v>16.4</v>
      </c>
      <c r="J2119">
        <v>16.45</v>
      </c>
      <c r="K2119" t="s">
        <v>11792</v>
      </c>
      <c r="L2119">
        <v>44.04</v>
      </c>
      <c r="M2119" t="s">
        <v>11793</v>
      </c>
      <c r="N2119" t="s">
        <v>8616</v>
      </c>
      <c r="O2119">
        <v>20.04</v>
      </c>
      <c r="P2119">
        <v>16.02</v>
      </c>
      <c r="Q2119">
        <v>20</v>
      </c>
      <c r="R2119">
        <v>20</v>
      </c>
      <c r="S2119">
        <v>20.1</v>
      </c>
      <c r="T2119">
        <v>0.79</v>
      </c>
      <c r="U2119">
        <v>-11.41</v>
      </c>
      <c r="V2119">
        <v>-62</v>
      </c>
      <c r="W2119">
        <v>17.67</v>
      </c>
      <c r="X2119" t="s">
        <v>2628</v>
      </c>
      <c r="Y2119" t="s">
        <v>1525</v>
      </c>
      <c r="Z2119">
        <v>1.65</v>
      </c>
      <c r="AA2119">
        <v>160</v>
      </c>
      <c r="AB2119">
        <v>91</v>
      </c>
      <c r="AC2119">
        <v>4.43</v>
      </c>
      <c r="AD2119" t="s">
        <v>11794</v>
      </c>
      <c r="AE2119" t="s">
        <v>11795</v>
      </c>
      <c r="AF2119" t="s">
        <v>11796</v>
      </c>
      <c r="AG2119" t="s">
        <v>11797</v>
      </c>
      <c r="AH2119">
        <v>-21.57</v>
      </c>
      <c r="AI2119">
        <v>-2.73</v>
      </c>
      <c r="AJ2119">
        <v>145.43</v>
      </c>
      <c r="AK2119">
        <v>323.73</v>
      </c>
      <c r="AL2119">
        <v>-2</v>
      </c>
      <c r="AM2119">
        <v>-18</v>
      </c>
      <c r="AN2119">
        <v>138.72</v>
      </c>
      <c r="AO2119">
        <v>88.51</v>
      </c>
      <c r="AP2119">
        <v>138.72</v>
      </c>
    </row>
    <row r="2120" spans="1:42">
      <c r="A2120">
        <v>2119</v>
      </c>
      <c r="B2120" t="str">
        <f>"000686"</f>
        <v>000686</v>
      </c>
      <c r="C2120" t="s">
        <v>11798</v>
      </c>
      <c r="D2120">
        <v>7.33</v>
      </c>
      <c r="E2120">
        <v>0.55</v>
      </c>
      <c r="F2120">
        <v>0.04</v>
      </c>
      <c r="G2120" t="s">
        <v>447</v>
      </c>
      <c r="H2120">
        <v>967</v>
      </c>
      <c r="I2120">
        <v>7.33</v>
      </c>
      <c r="J2120">
        <v>7.34</v>
      </c>
      <c r="K2120" t="s">
        <v>11792</v>
      </c>
      <c r="L2120">
        <v>0.52</v>
      </c>
      <c r="M2120" t="s">
        <v>46</v>
      </c>
      <c r="N2120" t="s">
        <v>10968</v>
      </c>
      <c r="O2120">
        <v>7.34</v>
      </c>
      <c r="P2120">
        <v>7.26</v>
      </c>
      <c r="Q2120">
        <v>7.31</v>
      </c>
      <c r="R2120">
        <v>7.29</v>
      </c>
      <c r="S2120">
        <v>1.1</v>
      </c>
      <c r="T2120">
        <v>1.04</v>
      </c>
      <c r="U2120">
        <v>-2.15</v>
      </c>
      <c r="V2120">
        <v>-256</v>
      </c>
      <c r="W2120">
        <v>7.3</v>
      </c>
      <c r="X2120" t="s">
        <v>7461</v>
      </c>
      <c r="Y2120" t="s">
        <v>7126</v>
      </c>
      <c r="Z2120">
        <v>0.99</v>
      </c>
      <c r="AA2120">
        <v>404</v>
      </c>
      <c r="AB2120">
        <v>2698</v>
      </c>
      <c r="AC2120">
        <v>0.93</v>
      </c>
      <c r="AD2120" t="s">
        <v>11799</v>
      </c>
      <c r="AE2120" t="s">
        <v>549</v>
      </c>
      <c r="AF2120" t="s">
        <v>11799</v>
      </c>
      <c r="AG2120" t="s">
        <v>549</v>
      </c>
      <c r="AH2120">
        <v>0</v>
      </c>
      <c r="AI2120">
        <v>-1.87</v>
      </c>
      <c r="AJ2120">
        <v>1.53</v>
      </c>
      <c r="AK2120">
        <v>3.02</v>
      </c>
      <c r="AL2120">
        <v>2</v>
      </c>
      <c r="AM2120">
        <v>0.55</v>
      </c>
      <c r="AN2120">
        <v>14.53</v>
      </c>
      <c r="AO2120">
        <v>-2.01</v>
      </c>
      <c r="AP2120">
        <v>6.54</v>
      </c>
    </row>
    <row r="2121" spans="1:42">
      <c r="A2121">
        <v>2120</v>
      </c>
      <c r="B2121" t="str">
        <f>"300808"</f>
        <v>300808</v>
      </c>
      <c r="C2121" t="s">
        <v>11800</v>
      </c>
      <c r="D2121">
        <v>15.24</v>
      </c>
      <c r="E2121">
        <v>-1.87</v>
      </c>
      <c r="F2121">
        <v>-0.29</v>
      </c>
      <c r="G2121" t="s">
        <v>4901</v>
      </c>
      <c r="H2121">
        <v>474</v>
      </c>
      <c r="I2121">
        <v>15.24</v>
      </c>
      <c r="J2121">
        <v>15.25</v>
      </c>
      <c r="K2121" t="s">
        <v>11801</v>
      </c>
      <c r="L2121">
        <v>6.75</v>
      </c>
      <c r="M2121" t="s">
        <v>46</v>
      </c>
      <c r="N2121" t="s">
        <v>7829</v>
      </c>
      <c r="O2121">
        <v>15.76</v>
      </c>
      <c r="P2121">
        <v>13.65</v>
      </c>
      <c r="Q2121">
        <v>13.65</v>
      </c>
      <c r="R2121">
        <v>15.53</v>
      </c>
      <c r="S2121">
        <v>13.59</v>
      </c>
      <c r="T2121">
        <v>1.52</v>
      </c>
      <c r="U2121">
        <v>2.26</v>
      </c>
      <c r="V2121">
        <v>14</v>
      </c>
      <c r="W2121">
        <v>15.11</v>
      </c>
      <c r="X2121" t="s">
        <v>3260</v>
      </c>
      <c r="Y2121" t="s">
        <v>3121</v>
      </c>
      <c r="Z2121">
        <v>1.14</v>
      </c>
      <c r="AA2121">
        <v>10</v>
      </c>
      <c r="AB2121">
        <v>12</v>
      </c>
      <c r="AC2121">
        <v>2.31</v>
      </c>
      <c r="AD2121" t="s">
        <v>2521</v>
      </c>
      <c r="AE2121" t="s">
        <v>11802</v>
      </c>
      <c r="AF2121" t="s">
        <v>11803</v>
      </c>
      <c r="AG2121" t="s">
        <v>8806</v>
      </c>
      <c r="AH2121">
        <v>-4.57</v>
      </c>
      <c r="AI2121">
        <v>-3.48</v>
      </c>
      <c r="AJ2121">
        <v>14.05</v>
      </c>
      <c r="AK2121">
        <v>28.99</v>
      </c>
      <c r="AL2121">
        <v>-4</v>
      </c>
      <c r="AM2121">
        <v>-1.87</v>
      </c>
      <c r="AN2121">
        <v>20.67</v>
      </c>
      <c r="AO2121">
        <v>3.89</v>
      </c>
      <c r="AP2121">
        <v>6.72</v>
      </c>
    </row>
    <row r="2122" spans="1:42">
      <c r="A2122">
        <v>2121</v>
      </c>
      <c r="B2122" t="str">
        <f>"300034"</f>
        <v>300034</v>
      </c>
      <c r="C2122" t="s">
        <v>11804</v>
      </c>
      <c r="D2122">
        <v>19.8</v>
      </c>
      <c r="E2122">
        <v>-0.65</v>
      </c>
      <c r="F2122">
        <v>-0.13</v>
      </c>
      <c r="G2122" t="s">
        <v>4766</v>
      </c>
      <c r="H2122">
        <v>342</v>
      </c>
      <c r="I2122">
        <v>19.8</v>
      </c>
      <c r="J2122">
        <v>19.81</v>
      </c>
      <c r="K2122" t="s">
        <v>11805</v>
      </c>
      <c r="L2122">
        <v>0.61</v>
      </c>
      <c r="M2122" t="s">
        <v>46</v>
      </c>
      <c r="N2122" t="s">
        <v>2966</v>
      </c>
      <c r="O2122">
        <v>20.03</v>
      </c>
      <c r="P2122">
        <v>19.6</v>
      </c>
      <c r="Q2122">
        <v>19.91</v>
      </c>
      <c r="R2122">
        <v>19.93</v>
      </c>
      <c r="S2122">
        <v>2.16</v>
      </c>
      <c r="T2122">
        <v>0.99</v>
      </c>
      <c r="U2122">
        <v>46.38</v>
      </c>
      <c r="V2122">
        <v>623</v>
      </c>
      <c r="W2122">
        <v>19.8</v>
      </c>
      <c r="X2122" t="s">
        <v>4257</v>
      </c>
      <c r="Y2122" t="s">
        <v>882</v>
      </c>
      <c r="Z2122">
        <v>1.33</v>
      </c>
      <c r="AA2122">
        <v>279</v>
      </c>
      <c r="AB2122">
        <v>1</v>
      </c>
      <c r="AC2122">
        <v>4.67</v>
      </c>
      <c r="AD2122" t="s">
        <v>11027</v>
      </c>
      <c r="AE2122" t="s">
        <v>8263</v>
      </c>
      <c r="AF2122" t="s">
        <v>11806</v>
      </c>
      <c r="AG2122" t="s">
        <v>11807</v>
      </c>
      <c r="AH2122">
        <v>-3.13</v>
      </c>
      <c r="AI2122">
        <v>-4.07</v>
      </c>
      <c r="AJ2122">
        <v>1.68</v>
      </c>
      <c r="AK2122">
        <v>3.72</v>
      </c>
      <c r="AL2122">
        <v>-3</v>
      </c>
      <c r="AM2122">
        <v>-0.65</v>
      </c>
      <c r="AN2122">
        <v>-30.58</v>
      </c>
      <c r="AO2122">
        <v>-8.12</v>
      </c>
      <c r="AP2122">
        <v>-35.61</v>
      </c>
    </row>
    <row r="2123" spans="1:42">
      <c r="A2123">
        <v>2122</v>
      </c>
      <c r="B2123" t="str">
        <f>"300677"</f>
        <v>300677</v>
      </c>
      <c r="C2123" t="s">
        <v>11808</v>
      </c>
      <c r="D2123">
        <v>20.6</v>
      </c>
      <c r="E2123">
        <v>0.44</v>
      </c>
      <c r="F2123">
        <v>0.09</v>
      </c>
      <c r="G2123" t="s">
        <v>5235</v>
      </c>
      <c r="H2123">
        <v>540</v>
      </c>
      <c r="I2123">
        <v>20.59</v>
      </c>
      <c r="J2123">
        <v>20.6</v>
      </c>
      <c r="K2123" t="s">
        <v>11809</v>
      </c>
      <c r="L2123">
        <v>0.9</v>
      </c>
      <c r="M2123" t="s">
        <v>46</v>
      </c>
      <c r="N2123" t="s">
        <v>8603</v>
      </c>
      <c r="O2123">
        <v>20.67</v>
      </c>
      <c r="P2123">
        <v>20.36</v>
      </c>
      <c r="Q2123">
        <v>20.55</v>
      </c>
      <c r="R2123">
        <v>20.51</v>
      </c>
      <c r="S2123">
        <v>1.51</v>
      </c>
      <c r="T2123">
        <v>0.92</v>
      </c>
      <c r="U2123">
        <v>-22.3</v>
      </c>
      <c r="V2123">
        <v>-344</v>
      </c>
      <c r="W2123">
        <v>20.54</v>
      </c>
      <c r="X2123" t="s">
        <v>6827</v>
      </c>
      <c r="Y2123" t="s">
        <v>3116</v>
      </c>
      <c r="Z2123">
        <v>1.02</v>
      </c>
      <c r="AA2123">
        <v>88</v>
      </c>
      <c r="AB2123">
        <v>411</v>
      </c>
      <c r="AC2123">
        <v>0.84</v>
      </c>
      <c r="AD2123" t="s">
        <v>11810</v>
      </c>
      <c r="AE2123" t="s">
        <v>11811</v>
      </c>
      <c r="AF2123" t="s">
        <v>3962</v>
      </c>
      <c r="AG2123" t="s">
        <v>11812</v>
      </c>
      <c r="AH2123">
        <v>-1.95</v>
      </c>
      <c r="AI2123">
        <v>-2.51</v>
      </c>
      <c r="AJ2123">
        <v>2.37</v>
      </c>
      <c r="AK2123">
        <v>5.83</v>
      </c>
      <c r="AL2123">
        <v>1</v>
      </c>
      <c r="AM2123">
        <v>0.44</v>
      </c>
      <c r="AN2123">
        <v>-1.58</v>
      </c>
      <c r="AO2123">
        <v>-3.6</v>
      </c>
      <c r="AP2123">
        <v>-17.99</v>
      </c>
    </row>
    <row r="2124" spans="1:42">
      <c r="A2124">
        <v>2123</v>
      </c>
      <c r="B2124" t="str">
        <f>"835207"</f>
        <v>835207</v>
      </c>
      <c r="C2124" t="s">
        <v>11813</v>
      </c>
      <c r="D2124">
        <v>9.06</v>
      </c>
      <c r="E2124">
        <v>1.23</v>
      </c>
      <c r="F2124">
        <v>0.11</v>
      </c>
      <c r="G2124" t="s">
        <v>2587</v>
      </c>
      <c r="H2124">
        <v>1333</v>
      </c>
      <c r="I2124">
        <v>9.06</v>
      </c>
      <c r="J2124">
        <v>9.17</v>
      </c>
      <c r="K2124" t="s">
        <v>11814</v>
      </c>
      <c r="L2124">
        <v>26.62</v>
      </c>
      <c r="M2124" t="s">
        <v>46</v>
      </c>
      <c r="N2124" t="s">
        <v>5793</v>
      </c>
      <c r="O2124">
        <v>9.75</v>
      </c>
      <c r="P2124">
        <v>9.04</v>
      </c>
      <c r="Q2124">
        <v>9.15</v>
      </c>
      <c r="R2124">
        <v>8.95</v>
      </c>
      <c r="S2124">
        <v>7.93</v>
      </c>
      <c r="T2124">
        <v>0.8</v>
      </c>
      <c r="U2124">
        <v>58.55</v>
      </c>
      <c r="V2124">
        <v>877</v>
      </c>
      <c r="W2124">
        <v>9.44</v>
      </c>
      <c r="X2124" t="s">
        <v>3319</v>
      </c>
      <c r="Y2124" t="s">
        <v>320</v>
      </c>
      <c r="Z2124">
        <v>1.12</v>
      </c>
      <c r="AA2124">
        <v>890</v>
      </c>
      <c r="AB2124">
        <v>40</v>
      </c>
      <c r="AC2124">
        <v>2.53</v>
      </c>
      <c r="AD2124" t="s">
        <v>11815</v>
      </c>
      <c r="AE2124" t="s">
        <v>11816</v>
      </c>
      <c r="AF2124" t="s">
        <v>11817</v>
      </c>
      <c r="AG2124" t="s">
        <v>11818</v>
      </c>
      <c r="AH2124">
        <v>-26.34</v>
      </c>
      <c r="AI2124">
        <v>22.27</v>
      </c>
      <c r="AJ2124">
        <v>82.45</v>
      </c>
      <c r="AK2124">
        <v>193.29</v>
      </c>
      <c r="AL2124">
        <v>1</v>
      </c>
      <c r="AM2124">
        <v>1.23</v>
      </c>
      <c r="AN2124">
        <v>56.75</v>
      </c>
      <c r="AO2124">
        <v>82.29</v>
      </c>
      <c r="AP2124">
        <v>18.9</v>
      </c>
    </row>
    <row r="2125" spans="1:42">
      <c r="A2125">
        <v>2124</v>
      </c>
      <c r="B2125" t="str">
        <f>"300435"</f>
        <v>300435</v>
      </c>
      <c r="C2125" t="s">
        <v>11819</v>
      </c>
      <c r="D2125">
        <v>14.23</v>
      </c>
      <c r="E2125">
        <v>-1.93</v>
      </c>
      <c r="F2125">
        <v>-0.28</v>
      </c>
      <c r="G2125" t="s">
        <v>9787</v>
      </c>
      <c r="H2125">
        <v>635</v>
      </c>
      <c r="I2125">
        <v>14.23</v>
      </c>
      <c r="J2125">
        <v>14.24</v>
      </c>
      <c r="K2125" t="s">
        <v>11820</v>
      </c>
      <c r="L2125">
        <v>1.79</v>
      </c>
      <c r="M2125" t="s">
        <v>46</v>
      </c>
      <c r="N2125" t="s">
        <v>4826</v>
      </c>
      <c r="O2125">
        <v>14.49</v>
      </c>
      <c r="P2125">
        <v>14.14</v>
      </c>
      <c r="Q2125">
        <v>14.46</v>
      </c>
      <c r="R2125">
        <v>14.51</v>
      </c>
      <c r="S2125">
        <v>2.41</v>
      </c>
      <c r="T2125">
        <v>1.19</v>
      </c>
      <c r="U2125">
        <v>-0.76</v>
      </c>
      <c r="V2125">
        <v>-12</v>
      </c>
      <c r="W2125">
        <v>14.23</v>
      </c>
      <c r="X2125" t="s">
        <v>1321</v>
      </c>
      <c r="Y2125" t="s">
        <v>5585</v>
      </c>
      <c r="Z2125">
        <v>2.18</v>
      </c>
      <c r="AA2125">
        <v>101</v>
      </c>
      <c r="AB2125">
        <v>166</v>
      </c>
      <c r="AC2125">
        <v>1.77</v>
      </c>
      <c r="AD2125" t="s">
        <v>11821</v>
      </c>
      <c r="AE2125" t="s">
        <v>11822</v>
      </c>
      <c r="AF2125" t="s">
        <v>11823</v>
      </c>
      <c r="AG2125" t="s">
        <v>11824</v>
      </c>
      <c r="AH2125">
        <v>-2.06</v>
      </c>
      <c r="AI2125">
        <v>-2.2</v>
      </c>
      <c r="AJ2125">
        <v>4.3</v>
      </c>
      <c r="AK2125">
        <v>9.31</v>
      </c>
      <c r="AL2125">
        <v>-1</v>
      </c>
      <c r="AM2125">
        <v>-1.93</v>
      </c>
      <c r="AN2125">
        <v>7.48</v>
      </c>
      <c r="AO2125">
        <v>3.34</v>
      </c>
      <c r="AP2125">
        <v>-2.4</v>
      </c>
    </row>
    <row r="2126" spans="1:42">
      <c r="A2126">
        <v>2125</v>
      </c>
      <c r="B2126" t="str">
        <f>"002971"</f>
        <v>002971</v>
      </c>
      <c r="C2126" t="s">
        <v>11825</v>
      </c>
      <c r="D2126">
        <v>28.13</v>
      </c>
      <c r="E2126">
        <v>2.29</v>
      </c>
      <c r="F2126">
        <v>0.63</v>
      </c>
      <c r="G2126" t="s">
        <v>7966</v>
      </c>
      <c r="H2126">
        <v>792</v>
      </c>
      <c r="I2126">
        <v>28.13</v>
      </c>
      <c r="J2126">
        <v>28.14</v>
      </c>
      <c r="K2126" t="s">
        <v>11826</v>
      </c>
      <c r="L2126">
        <v>2.55</v>
      </c>
      <c r="M2126" t="s">
        <v>46</v>
      </c>
      <c r="N2126" t="s">
        <v>3553</v>
      </c>
      <c r="O2126">
        <v>28.24</v>
      </c>
      <c r="P2126">
        <v>27.15</v>
      </c>
      <c r="Q2126">
        <v>27.49</v>
      </c>
      <c r="R2126">
        <v>27.5</v>
      </c>
      <c r="S2126">
        <v>3.96</v>
      </c>
      <c r="T2126">
        <v>0.78</v>
      </c>
      <c r="U2126">
        <v>-0.35</v>
      </c>
      <c r="V2126">
        <v>-1</v>
      </c>
      <c r="W2126">
        <v>27.79</v>
      </c>
      <c r="X2126" t="s">
        <v>578</v>
      </c>
      <c r="Y2126" t="s">
        <v>8137</v>
      </c>
      <c r="Z2126">
        <v>0.93</v>
      </c>
      <c r="AA2126">
        <v>25</v>
      </c>
      <c r="AB2126">
        <v>20</v>
      </c>
      <c r="AC2126">
        <v>3.56</v>
      </c>
      <c r="AD2126" t="s">
        <v>2521</v>
      </c>
      <c r="AE2126" t="s">
        <v>9247</v>
      </c>
      <c r="AF2126" t="s">
        <v>1712</v>
      </c>
      <c r="AG2126" t="s">
        <v>11827</v>
      </c>
      <c r="AH2126">
        <v>-0.5</v>
      </c>
      <c r="AI2126">
        <v>1.85</v>
      </c>
      <c r="AJ2126">
        <v>7.39</v>
      </c>
      <c r="AK2126">
        <v>18.83</v>
      </c>
      <c r="AL2126">
        <v>1</v>
      </c>
      <c r="AM2126">
        <v>2.29</v>
      </c>
      <c r="AN2126">
        <v>55.5</v>
      </c>
      <c r="AO2126">
        <v>18.29</v>
      </c>
      <c r="AP2126">
        <v>41.64</v>
      </c>
    </row>
    <row r="2127" spans="1:42">
      <c r="A2127">
        <v>2126</v>
      </c>
      <c r="B2127" t="str">
        <f>"002254"</f>
        <v>002254</v>
      </c>
      <c r="C2127" t="s">
        <v>11828</v>
      </c>
      <c r="D2127">
        <v>15.48</v>
      </c>
      <c r="E2127">
        <v>-0.83</v>
      </c>
      <c r="F2127">
        <v>-0.13</v>
      </c>
      <c r="G2127" t="s">
        <v>2685</v>
      </c>
      <c r="H2127">
        <v>532</v>
      </c>
      <c r="I2127">
        <v>15.47</v>
      </c>
      <c r="J2127">
        <v>15.48</v>
      </c>
      <c r="K2127" t="s">
        <v>11829</v>
      </c>
      <c r="L2127">
        <v>0.7</v>
      </c>
      <c r="M2127" t="s">
        <v>46</v>
      </c>
      <c r="N2127" t="s">
        <v>4508</v>
      </c>
      <c r="O2127">
        <v>15.76</v>
      </c>
      <c r="P2127">
        <v>15.32</v>
      </c>
      <c r="Q2127">
        <v>15.73</v>
      </c>
      <c r="R2127">
        <v>15.61</v>
      </c>
      <c r="S2127">
        <v>2.82</v>
      </c>
      <c r="T2127">
        <v>0.85</v>
      </c>
      <c r="U2127">
        <v>-7.72</v>
      </c>
      <c r="V2127">
        <v>-113</v>
      </c>
      <c r="W2127">
        <v>15.48</v>
      </c>
      <c r="X2127" t="s">
        <v>7205</v>
      </c>
      <c r="Y2127" t="s">
        <v>7160</v>
      </c>
      <c r="Z2127">
        <v>1.16</v>
      </c>
      <c r="AA2127">
        <v>179</v>
      </c>
      <c r="AB2127">
        <v>288</v>
      </c>
      <c r="AC2127">
        <v>1.9</v>
      </c>
      <c r="AD2127" t="s">
        <v>11830</v>
      </c>
      <c r="AE2127" t="s">
        <v>11831</v>
      </c>
      <c r="AF2127" t="s">
        <v>8672</v>
      </c>
      <c r="AG2127" t="s">
        <v>9368</v>
      </c>
      <c r="AH2127">
        <v>-3.79</v>
      </c>
      <c r="AI2127">
        <v>-7.08</v>
      </c>
      <c r="AJ2127">
        <v>2.17</v>
      </c>
      <c r="AK2127">
        <v>4.84</v>
      </c>
      <c r="AL2127">
        <v>-3</v>
      </c>
      <c r="AM2127">
        <v>-0.83</v>
      </c>
      <c r="AN2127">
        <v>-25.97</v>
      </c>
      <c r="AO2127">
        <v>-1.46</v>
      </c>
      <c r="AP2127">
        <v>-24.82</v>
      </c>
    </row>
    <row r="2128" spans="1:42">
      <c r="A2128">
        <v>2127</v>
      </c>
      <c r="B2128" t="str">
        <f>"300937"</f>
        <v>300937</v>
      </c>
      <c r="C2128" t="s">
        <v>11832</v>
      </c>
      <c r="D2128">
        <v>34.82</v>
      </c>
      <c r="E2128">
        <v>1.25</v>
      </c>
      <c r="F2128">
        <v>0.43</v>
      </c>
      <c r="G2128" t="s">
        <v>7946</v>
      </c>
      <c r="H2128">
        <v>777</v>
      </c>
      <c r="I2128">
        <v>34.81</v>
      </c>
      <c r="J2128">
        <v>34.82</v>
      </c>
      <c r="K2128" t="s">
        <v>11833</v>
      </c>
      <c r="L2128">
        <v>6.17</v>
      </c>
      <c r="M2128" t="s">
        <v>46</v>
      </c>
      <c r="N2128" t="s">
        <v>9528</v>
      </c>
      <c r="O2128">
        <v>35.11</v>
      </c>
      <c r="P2128">
        <v>34.07</v>
      </c>
      <c r="Q2128">
        <v>34.41</v>
      </c>
      <c r="R2128">
        <v>34.39</v>
      </c>
      <c r="S2128">
        <v>3.02</v>
      </c>
      <c r="T2128">
        <v>0.58</v>
      </c>
      <c r="U2128">
        <v>-14.7</v>
      </c>
      <c r="V2128">
        <v>-41</v>
      </c>
      <c r="W2128">
        <v>34.7</v>
      </c>
      <c r="X2128" t="s">
        <v>209</v>
      </c>
      <c r="Y2128" t="s">
        <v>682</v>
      </c>
      <c r="Z2128">
        <v>1.02</v>
      </c>
      <c r="AA2128">
        <v>4</v>
      </c>
      <c r="AB2128">
        <v>54</v>
      </c>
      <c r="AC2128">
        <v>3.94</v>
      </c>
      <c r="AD2128" t="s">
        <v>11208</v>
      </c>
      <c r="AE2128" t="s">
        <v>11834</v>
      </c>
      <c r="AF2128" t="s">
        <v>11835</v>
      </c>
      <c r="AG2128" t="s">
        <v>6851</v>
      </c>
      <c r="AH2128">
        <v>-0.34</v>
      </c>
      <c r="AI2128">
        <v>-2.36</v>
      </c>
      <c r="AJ2128">
        <v>18.34</v>
      </c>
      <c r="AK2128">
        <v>59.75</v>
      </c>
      <c r="AL2128">
        <v>2</v>
      </c>
      <c r="AM2128">
        <v>1.25</v>
      </c>
      <c r="AN2128">
        <v>21.49</v>
      </c>
      <c r="AO2128">
        <v>5.96</v>
      </c>
      <c r="AP2128">
        <v>15.76</v>
      </c>
    </row>
    <row r="2129" spans="1:42">
      <c r="A2129">
        <v>2128</v>
      </c>
      <c r="B2129" t="str">
        <f>"002928"</f>
        <v>002928</v>
      </c>
      <c r="C2129" t="s">
        <v>11836</v>
      </c>
      <c r="D2129">
        <v>7.56</v>
      </c>
      <c r="E2129">
        <v>-1.82</v>
      </c>
      <c r="F2129">
        <v>-0.14</v>
      </c>
      <c r="G2129" t="s">
        <v>2960</v>
      </c>
      <c r="H2129">
        <v>2238</v>
      </c>
      <c r="I2129">
        <v>7.56</v>
      </c>
      <c r="J2129">
        <v>7.57</v>
      </c>
      <c r="K2129" t="s">
        <v>11837</v>
      </c>
      <c r="L2129">
        <v>0.95</v>
      </c>
      <c r="M2129" t="s">
        <v>46</v>
      </c>
      <c r="N2129" t="s">
        <v>455</v>
      </c>
      <c r="O2129">
        <v>7.71</v>
      </c>
      <c r="P2129">
        <v>7.53</v>
      </c>
      <c r="Q2129">
        <v>7.69</v>
      </c>
      <c r="R2129">
        <v>7.7</v>
      </c>
      <c r="S2129">
        <v>2.34</v>
      </c>
      <c r="T2129">
        <v>0.78</v>
      </c>
      <c r="U2129">
        <v>32.01</v>
      </c>
      <c r="V2129">
        <v>1879</v>
      </c>
      <c r="W2129">
        <v>7.59</v>
      </c>
      <c r="X2129" t="s">
        <v>11712</v>
      </c>
      <c r="Y2129" t="s">
        <v>1988</v>
      </c>
      <c r="Z2129">
        <v>1.21</v>
      </c>
      <c r="AA2129">
        <v>891</v>
      </c>
      <c r="AB2129">
        <v>372</v>
      </c>
      <c r="AC2129">
        <v>2.88</v>
      </c>
      <c r="AD2129" t="s">
        <v>11838</v>
      </c>
      <c r="AE2129" t="s">
        <v>11839</v>
      </c>
      <c r="AF2129" t="s">
        <v>5896</v>
      </c>
      <c r="AG2129" t="s">
        <v>11840</v>
      </c>
      <c r="AH2129">
        <v>-3.94</v>
      </c>
      <c r="AI2129">
        <v>-4.42</v>
      </c>
      <c r="AJ2129">
        <v>3.38</v>
      </c>
      <c r="AK2129">
        <v>7</v>
      </c>
      <c r="AL2129">
        <v>-1</v>
      </c>
      <c r="AM2129">
        <v>-1.82</v>
      </c>
      <c r="AN2129">
        <v>-45.34</v>
      </c>
      <c r="AO2129">
        <v>6.48</v>
      </c>
      <c r="AP2129">
        <v>-34.66</v>
      </c>
    </row>
    <row r="2130" spans="1:42">
      <c r="A2130">
        <v>2129</v>
      </c>
      <c r="B2130" t="str">
        <f>"603626"</f>
        <v>603626</v>
      </c>
      <c r="C2130" t="s">
        <v>11841</v>
      </c>
      <c r="D2130">
        <v>8.14</v>
      </c>
      <c r="E2130">
        <v>1.75</v>
      </c>
      <c r="F2130">
        <v>0.14</v>
      </c>
      <c r="G2130" t="s">
        <v>1949</v>
      </c>
      <c r="H2130">
        <v>2462</v>
      </c>
      <c r="I2130">
        <v>8.13</v>
      </c>
      <c r="J2130">
        <v>8.14</v>
      </c>
      <c r="K2130" t="s">
        <v>11842</v>
      </c>
      <c r="L2130">
        <v>1.97</v>
      </c>
      <c r="M2130" t="s">
        <v>46</v>
      </c>
      <c r="N2130" t="s">
        <v>2027</v>
      </c>
      <c r="O2130">
        <v>8.17</v>
      </c>
      <c r="P2130">
        <v>7.87</v>
      </c>
      <c r="Q2130">
        <v>8.02</v>
      </c>
      <c r="R2130">
        <v>8</v>
      </c>
      <c r="S2130">
        <v>3.75</v>
      </c>
      <c r="T2130">
        <v>0.44</v>
      </c>
      <c r="U2130">
        <v>-32.69</v>
      </c>
      <c r="V2130">
        <v>-1334</v>
      </c>
      <c r="W2130">
        <v>8.06</v>
      </c>
      <c r="X2130" t="s">
        <v>7340</v>
      </c>
      <c r="Y2130" t="s">
        <v>5192</v>
      </c>
      <c r="Z2130">
        <v>0.92</v>
      </c>
      <c r="AA2130">
        <v>409</v>
      </c>
      <c r="AB2130">
        <v>118</v>
      </c>
      <c r="AC2130">
        <v>1.53</v>
      </c>
      <c r="AD2130" t="s">
        <v>11843</v>
      </c>
      <c r="AE2130" t="s">
        <v>11844</v>
      </c>
      <c r="AF2130" t="s">
        <v>11843</v>
      </c>
      <c r="AG2130" t="s">
        <v>11844</v>
      </c>
      <c r="AH2130">
        <v>-2.51</v>
      </c>
      <c r="AI2130">
        <v>3.43</v>
      </c>
      <c r="AJ2130">
        <v>8.71</v>
      </c>
      <c r="AK2130">
        <v>24.26</v>
      </c>
      <c r="AL2130">
        <v>1</v>
      </c>
      <c r="AM2130">
        <v>1.75</v>
      </c>
      <c r="AN2130">
        <v>24.09</v>
      </c>
      <c r="AO2130">
        <v>7.53</v>
      </c>
      <c r="AP2130">
        <v>11.51</v>
      </c>
    </row>
    <row r="2131" spans="1:42">
      <c r="A2131">
        <v>2130</v>
      </c>
      <c r="B2131" t="str">
        <f>"600970"</f>
        <v>600970</v>
      </c>
      <c r="C2131" t="s">
        <v>11845</v>
      </c>
      <c r="D2131">
        <v>9.45</v>
      </c>
      <c r="E2131">
        <v>0.85</v>
      </c>
      <c r="F2131">
        <v>0.08</v>
      </c>
      <c r="G2131" t="s">
        <v>3003</v>
      </c>
      <c r="H2131">
        <v>1187</v>
      </c>
      <c r="I2131">
        <v>9.45</v>
      </c>
      <c r="J2131">
        <v>9.46</v>
      </c>
      <c r="K2131" t="s">
        <v>11846</v>
      </c>
      <c r="L2131">
        <v>0.54</v>
      </c>
      <c r="M2131" t="s">
        <v>46</v>
      </c>
      <c r="N2131" t="s">
        <v>11847</v>
      </c>
      <c r="O2131">
        <v>9.48</v>
      </c>
      <c r="P2131">
        <v>9.28</v>
      </c>
      <c r="Q2131">
        <v>9.28</v>
      </c>
      <c r="R2131">
        <v>9.37</v>
      </c>
      <c r="S2131">
        <v>2.13</v>
      </c>
      <c r="T2131">
        <v>1.08</v>
      </c>
      <c r="U2131">
        <v>-64.29</v>
      </c>
      <c r="V2131">
        <v>-7895</v>
      </c>
      <c r="W2131">
        <v>9.39</v>
      </c>
      <c r="X2131" t="s">
        <v>6748</v>
      </c>
      <c r="Y2131" t="s">
        <v>6349</v>
      </c>
      <c r="Z2131">
        <v>0.75</v>
      </c>
      <c r="AA2131">
        <v>167</v>
      </c>
      <c r="AB2131">
        <v>1204</v>
      </c>
      <c r="AC2131">
        <v>1.38</v>
      </c>
      <c r="AD2131" t="s">
        <v>11848</v>
      </c>
      <c r="AE2131" t="s">
        <v>11849</v>
      </c>
      <c r="AF2131" t="s">
        <v>920</v>
      </c>
      <c r="AG2131" t="s">
        <v>3963</v>
      </c>
      <c r="AH2131">
        <v>-0.11</v>
      </c>
      <c r="AI2131">
        <v>-2.28</v>
      </c>
      <c r="AJ2131">
        <v>1.4</v>
      </c>
      <c r="AK2131">
        <v>3.03</v>
      </c>
      <c r="AL2131">
        <v>2</v>
      </c>
      <c r="AM2131">
        <v>0.85</v>
      </c>
      <c r="AN2131">
        <v>14.96</v>
      </c>
      <c r="AO2131">
        <v>-4.45</v>
      </c>
      <c r="AP2131">
        <v>2.83</v>
      </c>
    </row>
    <row r="2132" spans="1:42">
      <c r="A2132">
        <v>2131</v>
      </c>
      <c r="B2132" t="str">
        <f>"688369"</f>
        <v>688369</v>
      </c>
      <c r="C2132" t="s">
        <v>11850</v>
      </c>
      <c r="D2132">
        <v>40.14</v>
      </c>
      <c r="E2132">
        <v>3.43</v>
      </c>
      <c r="F2132">
        <v>1.33</v>
      </c>
      <c r="G2132" t="s">
        <v>4509</v>
      </c>
      <c r="H2132">
        <v>193</v>
      </c>
      <c r="I2132">
        <v>40.14</v>
      </c>
      <c r="J2132">
        <v>40.16</v>
      </c>
      <c r="K2132" t="s">
        <v>11846</v>
      </c>
      <c r="L2132">
        <v>1.94</v>
      </c>
      <c r="M2132" t="s">
        <v>46</v>
      </c>
      <c r="N2132" t="s">
        <v>927</v>
      </c>
      <c r="O2132">
        <v>40.4</v>
      </c>
      <c r="P2132">
        <v>38.11</v>
      </c>
      <c r="Q2132">
        <v>38.9</v>
      </c>
      <c r="R2132">
        <v>38.81</v>
      </c>
      <c r="S2132">
        <v>5.9</v>
      </c>
      <c r="T2132">
        <v>1.23</v>
      </c>
      <c r="U2132">
        <v>83.82</v>
      </c>
      <c r="V2132">
        <v>1144</v>
      </c>
      <c r="W2132">
        <v>39.4</v>
      </c>
      <c r="X2132">
        <v>9902</v>
      </c>
      <c r="Y2132" t="s">
        <v>905</v>
      </c>
      <c r="Z2132">
        <v>0.8</v>
      </c>
      <c r="AA2132">
        <v>123</v>
      </c>
      <c r="AB2132">
        <v>5</v>
      </c>
      <c r="AC2132">
        <v>3.25</v>
      </c>
      <c r="AD2132" t="s">
        <v>11851</v>
      </c>
      <c r="AE2132" t="s">
        <v>11852</v>
      </c>
      <c r="AF2132" t="s">
        <v>11851</v>
      </c>
      <c r="AG2132" t="s">
        <v>11852</v>
      </c>
      <c r="AH2132">
        <v>1.9</v>
      </c>
      <c r="AI2132">
        <v>2.42</v>
      </c>
      <c r="AJ2132">
        <v>5.22</v>
      </c>
      <c r="AK2132">
        <v>9.84</v>
      </c>
      <c r="AL2132">
        <v>1</v>
      </c>
      <c r="AM2132">
        <v>3.43</v>
      </c>
      <c r="AN2132">
        <v>-12.76</v>
      </c>
      <c r="AO2132">
        <v>12.75</v>
      </c>
      <c r="AP2132">
        <v>-22.39</v>
      </c>
    </row>
    <row r="2133" spans="1:42">
      <c r="A2133">
        <v>2132</v>
      </c>
      <c r="B2133" t="str">
        <f>"688766"</f>
        <v>688766</v>
      </c>
      <c r="C2133" t="s">
        <v>11853</v>
      </c>
      <c r="D2133">
        <v>107.2</v>
      </c>
      <c r="E2133">
        <v>1.98</v>
      </c>
      <c r="F2133">
        <v>2.08</v>
      </c>
      <c r="G2133">
        <v>8336</v>
      </c>
      <c r="H2133">
        <v>116</v>
      </c>
      <c r="I2133">
        <v>107.15</v>
      </c>
      <c r="J2133">
        <v>107.2</v>
      </c>
      <c r="K2133" t="s">
        <v>11854</v>
      </c>
      <c r="L2133">
        <v>1.9</v>
      </c>
      <c r="M2133" t="s">
        <v>46</v>
      </c>
      <c r="N2133" t="s">
        <v>11855</v>
      </c>
      <c r="O2133">
        <v>107.5</v>
      </c>
      <c r="P2133">
        <v>103.5</v>
      </c>
      <c r="Q2133">
        <v>105.12</v>
      </c>
      <c r="R2133">
        <v>105.12</v>
      </c>
      <c r="S2133">
        <v>3.81</v>
      </c>
      <c r="T2133">
        <v>1.05</v>
      </c>
      <c r="U2133">
        <v>-60.04</v>
      </c>
      <c r="V2133">
        <v>-61</v>
      </c>
      <c r="W2133">
        <v>105.62</v>
      </c>
      <c r="X2133">
        <v>3784</v>
      </c>
      <c r="Y2133">
        <v>4552</v>
      </c>
      <c r="Z2133">
        <v>0.83</v>
      </c>
      <c r="AA2133">
        <v>2</v>
      </c>
      <c r="AB2133">
        <v>6</v>
      </c>
      <c r="AC2133">
        <v>4.31</v>
      </c>
      <c r="AD2133" t="s">
        <v>11856</v>
      </c>
      <c r="AE2133" t="s">
        <v>11857</v>
      </c>
      <c r="AF2133" t="s">
        <v>11858</v>
      </c>
      <c r="AG2133" t="s">
        <v>11859</v>
      </c>
      <c r="AH2133">
        <v>-1.02</v>
      </c>
      <c r="AI2133">
        <v>-1.58</v>
      </c>
      <c r="AJ2133">
        <v>5.93</v>
      </c>
      <c r="AK2133">
        <v>10.94</v>
      </c>
      <c r="AL2133">
        <v>1</v>
      </c>
      <c r="AM2133">
        <v>1.98</v>
      </c>
      <c r="AN2133">
        <v>5.12</v>
      </c>
      <c r="AO2133">
        <v>-1.06</v>
      </c>
      <c r="AP2133">
        <v>3.8</v>
      </c>
    </row>
    <row r="2134" spans="1:42">
      <c r="A2134">
        <v>2133</v>
      </c>
      <c r="B2134" t="str">
        <f>"430510"</f>
        <v>430510</v>
      </c>
      <c r="C2134" t="s">
        <v>11860</v>
      </c>
      <c r="D2134">
        <v>10.3</v>
      </c>
      <c r="E2134">
        <v>-11.44</v>
      </c>
      <c r="F2134">
        <v>-1.33</v>
      </c>
      <c r="G2134" t="s">
        <v>7164</v>
      </c>
      <c r="H2134">
        <v>611</v>
      </c>
      <c r="I2134">
        <v>10.22</v>
      </c>
      <c r="J2134">
        <v>10.3</v>
      </c>
      <c r="K2134" t="s">
        <v>11861</v>
      </c>
      <c r="L2134">
        <v>13.54</v>
      </c>
      <c r="M2134" t="s">
        <v>46</v>
      </c>
      <c r="N2134" t="s">
        <v>8409</v>
      </c>
      <c r="O2134">
        <v>11.11</v>
      </c>
      <c r="P2134">
        <v>9.4</v>
      </c>
      <c r="Q2134">
        <v>9.4</v>
      </c>
      <c r="R2134">
        <v>11.63</v>
      </c>
      <c r="S2134">
        <v>14.7</v>
      </c>
      <c r="T2134">
        <v>1.04</v>
      </c>
      <c r="U2134">
        <v>-70.43</v>
      </c>
      <c r="V2134">
        <v>-197</v>
      </c>
      <c r="W2134">
        <v>10.33</v>
      </c>
      <c r="X2134" t="s">
        <v>3356</v>
      </c>
      <c r="Y2134" t="s">
        <v>2327</v>
      </c>
      <c r="Z2134">
        <v>1.4</v>
      </c>
      <c r="AA2134">
        <v>13</v>
      </c>
      <c r="AB2134">
        <v>124</v>
      </c>
      <c r="AC2134">
        <v>3.31</v>
      </c>
      <c r="AD2134" t="s">
        <v>11862</v>
      </c>
      <c r="AE2134" t="s">
        <v>683</v>
      </c>
      <c r="AF2134" t="s">
        <v>11863</v>
      </c>
      <c r="AG2134" t="s">
        <v>11864</v>
      </c>
      <c r="AH2134">
        <v>2.59</v>
      </c>
      <c r="AI2134">
        <v>13.56</v>
      </c>
      <c r="AJ2134">
        <v>50.46</v>
      </c>
      <c r="AK2134">
        <v>78.57</v>
      </c>
      <c r="AL2134">
        <v>-1</v>
      </c>
      <c r="AM2134">
        <v>-11.44</v>
      </c>
      <c r="AN2134">
        <v>13.81</v>
      </c>
      <c r="AO2134">
        <v>43.85</v>
      </c>
      <c r="AP2134">
        <v>12.81</v>
      </c>
    </row>
    <row r="2135" spans="1:42">
      <c r="A2135">
        <v>2134</v>
      </c>
      <c r="B2135" t="str">
        <f>"000796"</f>
        <v>000796</v>
      </c>
      <c r="C2135" t="s">
        <v>11865</v>
      </c>
      <c r="D2135">
        <v>3.97</v>
      </c>
      <c r="E2135">
        <v>5.03</v>
      </c>
      <c r="F2135">
        <v>0.19</v>
      </c>
      <c r="G2135" t="s">
        <v>2351</v>
      </c>
      <c r="H2135">
        <v>167</v>
      </c>
      <c r="I2135">
        <v>3.97</v>
      </c>
      <c r="J2135" t="s">
        <v>76</v>
      </c>
      <c r="K2135" t="s">
        <v>10616</v>
      </c>
      <c r="L2135">
        <v>2.82</v>
      </c>
      <c r="M2135" t="s">
        <v>46</v>
      </c>
      <c r="N2135" t="s">
        <v>2922</v>
      </c>
      <c r="O2135">
        <v>3.97</v>
      </c>
      <c r="P2135">
        <v>3.72</v>
      </c>
      <c r="Q2135">
        <v>3.77</v>
      </c>
      <c r="R2135">
        <v>3.78</v>
      </c>
      <c r="S2135">
        <v>6.61</v>
      </c>
      <c r="T2135">
        <v>2.87</v>
      </c>
      <c r="U2135">
        <v>100</v>
      </c>
      <c r="V2135" t="s">
        <v>51</v>
      </c>
      <c r="W2135">
        <v>3.88</v>
      </c>
      <c r="X2135" t="s">
        <v>1499</v>
      </c>
      <c r="Y2135" t="s">
        <v>1986</v>
      </c>
      <c r="Z2135">
        <v>0.82</v>
      </c>
      <c r="AA2135">
        <v>5685</v>
      </c>
      <c r="AB2135">
        <v>0</v>
      </c>
      <c r="AC2135">
        <v>-2.84</v>
      </c>
      <c r="AD2135" t="s">
        <v>11866</v>
      </c>
      <c r="AE2135" t="s">
        <v>8458</v>
      </c>
      <c r="AF2135" t="s">
        <v>11866</v>
      </c>
      <c r="AG2135" t="s">
        <v>8458</v>
      </c>
      <c r="AH2135">
        <v>8.47</v>
      </c>
      <c r="AI2135">
        <v>8.17</v>
      </c>
      <c r="AJ2135">
        <v>5.03</v>
      </c>
      <c r="AK2135">
        <v>7.75</v>
      </c>
      <c r="AL2135">
        <v>3</v>
      </c>
      <c r="AM2135">
        <v>5.03</v>
      </c>
      <c r="AN2135">
        <v>-36.78</v>
      </c>
      <c r="AO2135">
        <v>1.28</v>
      </c>
      <c r="AP2135">
        <v>-18.48</v>
      </c>
    </row>
    <row r="2136" spans="1:42">
      <c r="A2136">
        <v>2135</v>
      </c>
      <c r="B2136" t="str">
        <f>"688383"</f>
        <v>688383</v>
      </c>
      <c r="C2136" t="s">
        <v>11867</v>
      </c>
      <c r="D2136">
        <v>104.2</v>
      </c>
      <c r="E2136">
        <v>3.47</v>
      </c>
      <c r="F2136">
        <v>3.49</v>
      </c>
      <c r="G2136">
        <v>8590</v>
      </c>
      <c r="H2136">
        <v>130</v>
      </c>
      <c r="I2136">
        <v>104.2</v>
      </c>
      <c r="J2136">
        <v>104.35</v>
      </c>
      <c r="K2136" t="s">
        <v>11868</v>
      </c>
      <c r="L2136">
        <v>2.73</v>
      </c>
      <c r="M2136" t="s">
        <v>46</v>
      </c>
      <c r="N2136" t="s">
        <v>5558</v>
      </c>
      <c r="O2136">
        <v>105</v>
      </c>
      <c r="P2136">
        <v>98.6</v>
      </c>
      <c r="Q2136">
        <v>100.74</v>
      </c>
      <c r="R2136">
        <v>100.71</v>
      </c>
      <c r="S2136">
        <v>6.35</v>
      </c>
      <c r="T2136">
        <v>0.93</v>
      </c>
      <c r="U2136">
        <v>37.49</v>
      </c>
      <c r="V2136">
        <v>65</v>
      </c>
      <c r="W2136">
        <v>102.34</v>
      </c>
      <c r="X2136">
        <v>4142</v>
      </c>
      <c r="Y2136">
        <v>4448</v>
      </c>
      <c r="Z2136">
        <v>0.93</v>
      </c>
      <c r="AA2136">
        <v>52</v>
      </c>
      <c r="AB2136">
        <v>5</v>
      </c>
      <c r="AC2136">
        <v>7.71</v>
      </c>
      <c r="AD2136" t="s">
        <v>11869</v>
      </c>
      <c r="AE2136" t="s">
        <v>8881</v>
      </c>
      <c r="AF2136" t="s">
        <v>11870</v>
      </c>
      <c r="AG2136" t="s">
        <v>11871</v>
      </c>
      <c r="AH2136">
        <v>2.16</v>
      </c>
      <c r="AI2136">
        <v>3.16</v>
      </c>
      <c r="AJ2136">
        <v>9.38</v>
      </c>
      <c r="AK2136">
        <v>17.44</v>
      </c>
      <c r="AL2136">
        <v>1</v>
      </c>
      <c r="AM2136">
        <v>3.47</v>
      </c>
      <c r="AN2136">
        <v>10.17</v>
      </c>
      <c r="AO2136">
        <v>6.33</v>
      </c>
      <c r="AP2136">
        <v>-18.4</v>
      </c>
    </row>
    <row r="2137" spans="1:42">
      <c r="A2137">
        <v>2136</v>
      </c>
      <c r="B2137" t="str">
        <f>"002945"</f>
        <v>002945</v>
      </c>
      <c r="C2137" t="s">
        <v>11872</v>
      </c>
      <c r="D2137">
        <v>13.78</v>
      </c>
      <c r="E2137">
        <v>0.22</v>
      </c>
      <c r="F2137">
        <v>0.03</v>
      </c>
      <c r="G2137" t="s">
        <v>8321</v>
      </c>
      <c r="H2137">
        <v>1022</v>
      </c>
      <c r="I2137">
        <v>13.77</v>
      </c>
      <c r="J2137">
        <v>13.78</v>
      </c>
      <c r="K2137" t="s">
        <v>11873</v>
      </c>
      <c r="L2137">
        <v>0.24</v>
      </c>
      <c r="M2137" t="s">
        <v>46</v>
      </c>
      <c r="N2137" t="s">
        <v>11874</v>
      </c>
      <c r="O2137">
        <v>13.79</v>
      </c>
      <c r="P2137">
        <v>13.66</v>
      </c>
      <c r="Q2137">
        <v>13.75</v>
      </c>
      <c r="R2137">
        <v>13.75</v>
      </c>
      <c r="S2137">
        <v>0.95</v>
      </c>
      <c r="T2137">
        <v>0.89</v>
      </c>
      <c r="U2137">
        <v>-29.38</v>
      </c>
      <c r="V2137">
        <v>-2375</v>
      </c>
      <c r="W2137">
        <v>13.73</v>
      </c>
      <c r="X2137" t="s">
        <v>4914</v>
      </c>
      <c r="Y2137" t="s">
        <v>1704</v>
      </c>
      <c r="Z2137">
        <v>0.94</v>
      </c>
      <c r="AA2137">
        <v>696</v>
      </c>
      <c r="AB2137">
        <v>1311</v>
      </c>
      <c r="AC2137">
        <v>5.73</v>
      </c>
      <c r="AD2137" t="s">
        <v>7595</v>
      </c>
      <c r="AE2137" t="s">
        <v>11875</v>
      </c>
      <c r="AF2137" t="s">
        <v>7595</v>
      </c>
      <c r="AG2137" t="s">
        <v>11875</v>
      </c>
      <c r="AH2137">
        <v>0.73</v>
      </c>
      <c r="AI2137">
        <v>-1.01</v>
      </c>
      <c r="AJ2137">
        <v>0.79</v>
      </c>
      <c r="AK2137">
        <v>1.56</v>
      </c>
      <c r="AL2137">
        <v>3</v>
      </c>
      <c r="AM2137">
        <v>0.22</v>
      </c>
      <c r="AN2137">
        <v>4.95</v>
      </c>
      <c r="AO2137">
        <v>0.66</v>
      </c>
      <c r="AP2137">
        <v>-3.77</v>
      </c>
    </row>
    <row r="2138" spans="1:42">
      <c r="A2138">
        <v>2137</v>
      </c>
      <c r="B2138" t="str">
        <f>"603619"</f>
        <v>603619</v>
      </c>
      <c r="C2138" t="s">
        <v>11876</v>
      </c>
      <c r="D2138">
        <v>19.43</v>
      </c>
      <c r="E2138">
        <v>-0.82</v>
      </c>
      <c r="F2138">
        <v>-0.16</v>
      </c>
      <c r="G2138" t="s">
        <v>3204</v>
      </c>
      <c r="H2138">
        <v>737</v>
      </c>
      <c r="I2138">
        <v>19.42</v>
      </c>
      <c r="J2138">
        <v>19.43</v>
      </c>
      <c r="K2138" t="s">
        <v>11877</v>
      </c>
      <c r="L2138">
        <v>1.14</v>
      </c>
      <c r="M2138" t="s">
        <v>46</v>
      </c>
      <c r="N2138" t="s">
        <v>8359</v>
      </c>
      <c r="O2138">
        <v>19.53</v>
      </c>
      <c r="P2138">
        <v>19.15</v>
      </c>
      <c r="Q2138">
        <v>19.38</v>
      </c>
      <c r="R2138">
        <v>19.59</v>
      </c>
      <c r="S2138">
        <v>1.94</v>
      </c>
      <c r="T2138">
        <v>1.38</v>
      </c>
      <c r="U2138">
        <v>52.16</v>
      </c>
      <c r="V2138">
        <v>386</v>
      </c>
      <c r="W2138">
        <v>19.34</v>
      </c>
      <c r="X2138" t="s">
        <v>9211</v>
      </c>
      <c r="Y2138" t="s">
        <v>2976</v>
      </c>
      <c r="Z2138">
        <v>1.24</v>
      </c>
      <c r="AA2138">
        <v>127</v>
      </c>
      <c r="AB2138">
        <v>5</v>
      </c>
      <c r="AC2138">
        <v>2.64</v>
      </c>
      <c r="AD2138" t="s">
        <v>7381</v>
      </c>
      <c r="AE2138" t="s">
        <v>11878</v>
      </c>
      <c r="AF2138" t="s">
        <v>11879</v>
      </c>
      <c r="AG2138" t="s">
        <v>3065</v>
      </c>
      <c r="AH2138">
        <v>-0.92</v>
      </c>
      <c r="AI2138">
        <v>-2.66</v>
      </c>
      <c r="AJ2138">
        <v>2.55</v>
      </c>
      <c r="AK2138">
        <v>5.26</v>
      </c>
      <c r="AL2138">
        <v>-3</v>
      </c>
      <c r="AM2138">
        <v>-0.82</v>
      </c>
      <c r="AN2138">
        <v>9.9</v>
      </c>
      <c r="AO2138">
        <v>-6.18</v>
      </c>
      <c r="AP2138">
        <v>1.94</v>
      </c>
    </row>
    <row r="2139" spans="1:42">
      <c r="A2139">
        <v>2138</v>
      </c>
      <c r="B2139" t="str">
        <f>"688246"</f>
        <v>688246</v>
      </c>
      <c r="C2139" t="s">
        <v>11880</v>
      </c>
      <c r="D2139">
        <v>34.51</v>
      </c>
      <c r="E2139">
        <v>4.99</v>
      </c>
      <c r="F2139">
        <v>1.64</v>
      </c>
      <c r="G2139" t="s">
        <v>117</v>
      </c>
      <c r="H2139">
        <v>200</v>
      </c>
      <c r="I2139">
        <v>34.51</v>
      </c>
      <c r="J2139">
        <v>34.52</v>
      </c>
      <c r="K2139" t="s">
        <v>10606</v>
      </c>
      <c r="L2139">
        <v>2.57</v>
      </c>
      <c r="M2139" t="s">
        <v>46</v>
      </c>
      <c r="N2139" t="s">
        <v>11881</v>
      </c>
      <c r="O2139">
        <v>34.9</v>
      </c>
      <c r="P2139">
        <v>32.58</v>
      </c>
      <c r="Q2139">
        <v>32.58</v>
      </c>
      <c r="R2139">
        <v>32.87</v>
      </c>
      <c r="S2139">
        <v>7.06</v>
      </c>
      <c r="T2139">
        <v>1.33</v>
      </c>
      <c r="U2139">
        <v>46.58</v>
      </c>
      <c r="V2139">
        <v>58</v>
      </c>
      <c r="W2139">
        <v>33.81</v>
      </c>
      <c r="X2139" t="s">
        <v>3284</v>
      </c>
      <c r="Y2139" t="s">
        <v>1254</v>
      </c>
      <c r="Z2139">
        <v>1.12</v>
      </c>
      <c r="AA2139">
        <v>6</v>
      </c>
      <c r="AB2139">
        <v>13</v>
      </c>
      <c r="AC2139">
        <v>2.61</v>
      </c>
      <c r="AD2139" t="s">
        <v>10474</v>
      </c>
      <c r="AE2139" t="s">
        <v>11588</v>
      </c>
      <c r="AF2139" t="s">
        <v>11882</v>
      </c>
      <c r="AG2139" t="s">
        <v>11883</v>
      </c>
      <c r="AH2139">
        <v>2.34</v>
      </c>
      <c r="AI2139">
        <v>-3.9</v>
      </c>
      <c r="AJ2139">
        <v>7.66</v>
      </c>
      <c r="AK2139">
        <v>12.22</v>
      </c>
      <c r="AL2139">
        <v>1</v>
      </c>
      <c r="AM2139">
        <v>4.99</v>
      </c>
      <c r="AN2139">
        <v>17.74</v>
      </c>
      <c r="AO2139">
        <v>6.45</v>
      </c>
      <c r="AP2139">
        <v>9.63</v>
      </c>
    </row>
    <row r="2140" spans="1:42">
      <c r="A2140">
        <v>2139</v>
      </c>
      <c r="B2140" t="str">
        <f>"000603"</f>
        <v>000603</v>
      </c>
      <c r="C2140" t="s">
        <v>11884</v>
      </c>
      <c r="D2140">
        <v>12.84</v>
      </c>
      <c r="E2140">
        <v>-1.15</v>
      </c>
      <c r="F2140">
        <v>-0.15</v>
      </c>
      <c r="G2140" t="s">
        <v>5452</v>
      </c>
      <c r="H2140">
        <v>447</v>
      </c>
      <c r="I2140">
        <v>12.84</v>
      </c>
      <c r="J2140">
        <v>12.85</v>
      </c>
      <c r="K2140" t="s">
        <v>10606</v>
      </c>
      <c r="L2140">
        <v>1.08</v>
      </c>
      <c r="M2140" t="s">
        <v>46</v>
      </c>
      <c r="N2140" t="s">
        <v>4689</v>
      </c>
      <c r="O2140">
        <v>13.13</v>
      </c>
      <c r="P2140">
        <v>12.83</v>
      </c>
      <c r="Q2140">
        <v>12.98</v>
      </c>
      <c r="R2140">
        <v>12.99</v>
      </c>
      <c r="S2140">
        <v>2.31</v>
      </c>
      <c r="T2140">
        <v>0.47</v>
      </c>
      <c r="U2140">
        <v>41.65</v>
      </c>
      <c r="V2140">
        <v>1683</v>
      </c>
      <c r="W2140">
        <v>12.9</v>
      </c>
      <c r="X2140" t="s">
        <v>5700</v>
      </c>
      <c r="Y2140" t="s">
        <v>7649</v>
      </c>
      <c r="Z2140">
        <v>1.3</v>
      </c>
      <c r="AA2140">
        <v>306</v>
      </c>
      <c r="AB2140">
        <v>813</v>
      </c>
      <c r="AC2140">
        <v>2.84</v>
      </c>
      <c r="AD2140" t="s">
        <v>11885</v>
      </c>
      <c r="AE2140" t="s">
        <v>11886</v>
      </c>
      <c r="AF2140" t="s">
        <v>11887</v>
      </c>
      <c r="AG2140" t="s">
        <v>11888</v>
      </c>
      <c r="AH2140">
        <v>1.9</v>
      </c>
      <c r="AI2140">
        <v>4.82</v>
      </c>
      <c r="AJ2140">
        <v>5.93</v>
      </c>
      <c r="AK2140">
        <v>12.57</v>
      </c>
      <c r="AL2140">
        <v>-1</v>
      </c>
      <c r="AM2140">
        <v>-1.15</v>
      </c>
      <c r="AN2140">
        <v>2.23</v>
      </c>
      <c r="AO2140">
        <v>2.31</v>
      </c>
      <c r="AP2140">
        <v>11.85</v>
      </c>
    </row>
    <row r="2141" spans="1:42">
      <c r="A2141">
        <v>2140</v>
      </c>
      <c r="B2141" t="str">
        <f>"003020"</f>
        <v>003020</v>
      </c>
      <c r="C2141" t="s">
        <v>11889</v>
      </c>
      <c r="D2141">
        <v>29.76</v>
      </c>
      <c r="E2141">
        <v>-0.6</v>
      </c>
      <c r="F2141">
        <v>-0.18</v>
      </c>
      <c r="G2141" t="s">
        <v>7649</v>
      </c>
      <c r="H2141">
        <v>331</v>
      </c>
      <c r="I2141">
        <v>29.75</v>
      </c>
      <c r="J2141">
        <v>29.76</v>
      </c>
      <c r="K2141" t="s">
        <v>11890</v>
      </c>
      <c r="L2141">
        <v>4.09</v>
      </c>
      <c r="M2141" t="s">
        <v>46</v>
      </c>
      <c r="N2141" t="s">
        <v>208</v>
      </c>
      <c r="O2141">
        <v>30.09</v>
      </c>
      <c r="P2141">
        <v>29.5</v>
      </c>
      <c r="Q2141">
        <v>29.75</v>
      </c>
      <c r="R2141">
        <v>29.94</v>
      </c>
      <c r="S2141">
        <v>1.97</v>
      </c>
      <c r="T2141">
        <v>0.81</v>
      </c>
      <c r="U2141">
        <v>33.22</v>
      </c>
      <c r="V2141">
        <v>383</v>
      </c>
      <c r="W2141">
        <v>29.72</v>
      </c>
      <c r="X2141" t="s">
        <v>144</v>
      </c>
      <c r="Y2141" t="s">
        <v>4525</v>
      </c>
      <c r="Z2141">
        <v>1.14</v>
      </c>
      <c r="AA2141">
        <v>612</v>
      </c>
      <c r="AB2141">
        <v>157</v>
      </c>
      <c r="AC2141">
        <v>2.96</v>
      </c>
      <c r="AD2141" t="s">
        <v>11891</v>
      </c>
      <c r="AE2141" t="s">
        <v>10366</v>
      </c>
      <c r="AF2141" t="s">
        <v>11892</v>
      </c>
      <c r="AG2141" t="s">
        <v>7921</v>
      </c>
      <c r="AH2141">
        <v>2.87</v>
      </c>
      <c r="AI2141">
        <v>3.01</v>
      </c>
      <c r="AJ2141">
        <v>15.42</v>
      </c>
      <c r="AK2141">
        <v>29.23</v>
      </c>
      <c r="AL2141">
        <v>-1</v>
      </c>
      <c r="AM2141">
        <v>-0.6</v>
      </c>
      <c r="AN2141">
        <v>21.67</v>
      </c>
      <c r="AO2141">
        <v>2.98</v>
      </c>
      <c r="AP2141">
        <v>1.78</v>
      </c>
    </row>
    <row r="2142" spans="1:42">
      <c r="A2142">
        <v>2141</v>
      </c>
      <c r="B2142" t="str">
        <f>"605398"</f>
        <v>605398</v>
      </c>
      <c r="C2142" t="s">
        <v>11893</v>
      </c>
      <c r="D2142">
        <v>32.63</v>
      </c>
      <c r="E2142">
        <v>2.1</v>
      </c>
      <c r="F2142">
        <v>0.67</v>
      </c>
      <c r="G2142" t="s">
        <v>6675</v>
      </c>
      <c r="H2142">
        <v>287</v>
      </c>
      <c r="I2142">
        <v>32.62</v>
      </c>
      <c r="J2142">
        <v>32.63</v>
      </c>
      <c r="K2142" t="s">
        <v>11894</v>
      </c>
      <c r="L2142">
        <v>7.19</v>
      </c>
      <c r="M2142" t="s">
        <v>46</v>
      </c>
      <c r="N2142" t="s">
        <v>11067</v>
      </c>
      <c r="O2142">
        <v>32.84</v>
      </c>
      <c r="P2142">
        <v>31.65</v>
      </c>
      <c r="Q2142">
        <v>32</v>
      </c>
      <c r="R2142">
        <v>31.96</v>
      </c>
      <c r="S2142">
        <v>3.72</v>
      </c>
      <c r="T2142">
        <v>1.48</v>
      </c>
      <c r="U2142">
        <v>19.28</v>
      </c>
      <c r="V2142">
        <v>140</v>
      </c>
      <c r="W2142">
        <v>32.3</v>
      </c>
      <c r="X2142" t="s">
        <v>682</v>
      </c>
      <c r="Y2142" t="s">
        <v>7836</v>
      </c>
      <c r="Z2142">
        <v>0.86</v>
      </c>
      <c r="AA2142">
        <v>53</v>
      </c>
      <c r="AB2142">
        <v>4</v>
      </c>
      <c r="AC2142">
        <v>3.66</v>
      </c>
      <c r="AD2142" t="s">
        <v>11895</v>
      </c>
      <c r="AE2142" t="s">
        <v>8053</v>
      </c>
      <c r="AF2142" t="s">
        <v>11896</v>
      </c>
      <c r="AG2142" t="s">
        <v>3535</v>
      </c>
      <c r="AH2142">
        <v>2.93</v>
      </c>
      <c r="AI2142">
        <v>-1.45</v>
      </c>
      <c r="AJ2142">
        <v>15.42</v>
      </c>
      <c r="AK2142">
        <v>31.43</v>
      </c>
      <c r="AL2142">
        <v>2</v>
      </c>
      <c r="AM2142">
        <v>2.1</v>
      </c>
      <c r="AN2142">
        <v>63.72</v>
      </c>
      <c r="AO2142">
        <v>-1.72</v>
      </c>
      <c r="AP2142">
        <v>55.9</v>
      </c>
    </row>
    <row r="2143" spans="1:42">
      <c r="A2143">
        <v>2142</v>
      </c>
      <c r="B2143" t="str">
        <f>"600038"</f>
        <v>600038</v>
      </c>
      <c r="C2143" t="s">
        <v>11897</v>
      </c>
      <c r="D2143">
        <v>37.48</v>
      </c>
      <c r="E2143">
        <v>0.16</v>
      </c>
      <c r="F2143">
        <v>0.06</v>
      </c>
      <c r="G2143" t="s">
        <v>3151</v>
      </c>
      <c r="H2143">
        <v>155</v>
      </c>
      <c r="I2143">
        <v>37.48</v>
      </c>
      <c r="J2143">
        <v>37.49</v>
      </c>
      <c r="K2143" t="s">
        <v>11898</v>
      </c>
      <c r="L2143">
        <v>0.4</v>
      </c>
      <c r="M2143" t="s">
        <v>46</v>
      </c>
      <c r="N2143" t="s">
        <v>4634</v>
      </c>
      <c r="O2143">
        <v>37.56</v>
      </c>
      <c r="P2143">
        <v>37.01</v>
      </c>
      <c r="Q2143">
        <v>37.44</v>
      </c>
      <c r="R2143">
        <v>37.42</v>
      </c>
      <c r="S2143">
        <v>1.47</v>
      </c>
      <c r="T2143">
        <v>0.76</v>
      </c>
      <c r="U2143">
        <v>11.44</v>
      </c>
      <c r="V2143">
        <v>47</v>
      </c>
      <c r="W2143">
        <v>37.27</v>
      </c>
      <c r="X2143" t="s">
        <v>1777</v>
      </c>
      <c r="Y2143" t="s">
        <v>1646</v>
      </c>
      <c r="Z2143">
        <v>1.32</v>
      </c>
      <c r="AA2143">
        <v>72</v>
      </c>
      <c r="AB2143">
        <v>36</v>
      </c>
      <c r="AC2143">
        <v>2.23</v>
      </c>
      <c r="AD2143" t="s">
        <v>11899</v>
      </c>
      <c r="AE2143" t="s">
        <v>11900</v>
      </c>
      <c r="AF2143" t="s">
        <v>11899</v>
      </c>
      <c r="AG2143" t="s">
        <v>11900</v>
      </c>
      <c r="AH2143">
        <v>-1.94</v>
      </c>
      <c r="AI2143">
        <v>-1.52</v>
      </c>
      <c r="AJ2143">
        <v>1.16</v>
      </c>
      <c r="AK2143">
        <v>3.04</v>
      </c>
      <c r="AL2143">
        <v>1</v>
      </c>
      <c r="AM2143">
        <v>0.16</v>
      </c>
      <c r="AN2143">
        <v>-18.89</v>
      </c>
      <c r="AO2143">
        <v>-0.61</v>
      </c>
      <c r="AP2143">
        <v>-14.21</v>
      </c>
    </row>
    <row r="2144" spans="1:42">
      <c r="A2144">
        <v>2143</v>
      </c>
      <c r="B2144" t="str">
        <f>"600197"</f>
        <v>600197</v>
      </c>
      <c r="C2144" t="s">
        <v>11901</v>
      </c>
      <c r="D2144">
        <v>21.88</v>
      </c>
      <c r="E2144">
        <v>-0.45</v>
      </c>
      <c r="F2144">
        <v>-0.1</v>
      </c>
      <c r="G2144" t="s">
        <v>5383</v>
      </c>
      <c r="H2144">
        <v>267</v>
      </c>
      <c r="I2144">
        <v>21.85</v>
      </c>
      <c r="J2144">
        <v>21.88</v>
      </c>
      <c r="K2144" t="s">
        <v>11902</v>
      </c>
      <c r="L2144">
        <v>0.85</v>
      </c>
      <c r="M2144" t="s">
        <v>46</v>
      </c>
      <c r="N2144" t="s">
        <v>2751</v>
      </c>
      <c r="O2144">
        <v>22.03</v>
      </c>
      <c r="P2144">
        <v>21.63</v>
      </c>
      <c r="Q2144">
        <v>21.91</v>
      </c>
      <c r="R2144">
        <v>21.98</v>
      </c>
      <c r="S2144">
        <v>1.82</v>
      </c>
      <c r="T2144">
        <v>1.08</v>
      </c>
      <c r="U2144">
        <v>-43.06</v>
      </c>
      <c r="V2144">
        <v>-481</v>
      </c>
      <c r="W2144">
        <v>21.82</v>
      </c>
      <c r="X2144" t="s">
        <v>3110</v>
      </c>
      <c r="Y2144" t="s">
        <v>2371</v>
      </c>
      <c r="Z2144">
        <v>1.67</v>
      </c>
      <c r="AA2144">
        <v>179</v>
      </c>
      <c r="AB2144">
        <v>128</v>
      </c>
      <c r="AC2144">
        <v>2.82</v>
      </c>
      <c r="AD2144" t="s">
        <v>4201</v>
      </c>
      <c r="AE2144" t="s">
        <v>2731</v>
      </c>
      <c r="AF2144" t="s">
        <v>4201</v>
      </c>
      <c r="AG2144" t="s">
        <v>2731</v>
      </c>
      <c r="AH2144">
        <v>-0.5</v>
      </c>
      <c r="AI2144">
        <v>-1.57</v>
      </c>
      <c r="AJ2144">
        <v>2.17</v>
      </c>
      <c r="AK2144">
        <v>4.8</v>
      </c>
      <c r="AL2144">
        <v>-1</v>
      </c>
      <c r="AM2144">
        <v>-0.45</v>
      </c>
      <c r="AN2144">
        <v>-9.32</v>
      </c>
      <c r="AO2144">
        <v>-1.35</v>
      </c>
      <c r="AP2144">
        <v>-0.23</v>
      </c>
    </row>
    <row r="2145" spans="1:42">
      <c r="A2145">
        <v>2144</v>
      </c>
      <c r="B2145" t="str">
        <f>"002824"</f>
        <v>002824</v>
      </c>
      <c r="C2145" t="s">
        <v>11903</v>
      </c>
      <c r="D2145">
        <v>20.43</v>
      </c>
      <c r="E2145">
        <v>0.1</v>
      </c>
      <c r="F2145">
        <v>0.02</v>
      </c>
      <c r="G2145" t="s">
        <v>5235</v>
      </c>
      <c r="H2145">
        <v>598</v>
      </c>
      <c r="I2145">
        <v>20.42</v>
      </c>
      <c r="J2145">
        <v>20.43</v>
      </c>
      <c r="K2145" t="s">
        <v>11902</v>
      </c>
      <c r="L2145">
        <v>2.28</v>
      </c>
      <c r="M2145" t="s">
        <v>46</v>
      </c>
      <c r="N2145" t="s">
        <v>507</v>
      </c>
      <c r="O2145">
        <v>20.53</v>
      </c>
      <c r="P2145">
        <v>20.16</v>
      </c>
      <c r="Q2145">
        <v>20.38</v>
      </c>
      <c r="R2145">
        <v>20.41</v>
      </c>
      <c r="S2145">
        <v>1.81</v>
      </c>
      <c r="T2145">
        <v>0.76</v>
      </c>
      <c r="U2145">
        <v>-4.24</v>
      </c>
      <c r="V2145">
        <v>-48</v>
      </c>
      <c r="W2145">
        <v>20.36</v>
      </c>
      <c r="X2145" t="s">
        <v>1520</v>
      </c>
      <c r="Y2145" t="s">
        <v>7053</v>
      </c>
      <c r="Z2145">
        <v>1.01</v>
      </c>
      <c r="AA2145">
        <v>12</v>
      </c>
      <c r="AB2145">
        <v>436</v>
      </c>
      <c r="AC2145">
        <v>3.48</v>
      </c>
      <c r="AD2145" t="s">
        <v>11904</v>
      </c>
      <c r="AE2145" t="s">
        <v>11905</v>
      </c>
      <c r="AF2145" t="s">
        <v>11906</v>
      </c>
      <c r="AG2145" t="s">
        <v>11907</v>
      </c>
      <c r="AH2145">
        <v>-1.54</v>
      </c>
      <c r="AI2145">
        <v>-0.39</v>
      </c>
      <c r="AJ2145">
        <v>9.35</v>
      </c>
      <c r="AK2145">
        <v>17.28</v>
      </c>
      <c r="AL2145">
        <v>1</v>
      </c>
      <c r="AM2145">
        <v>0.1</v>
      </c>
      <c r="AN2145">
        <v>-2.06</v>
      </c>
      <c r="AO2145">
        <v>15.88</v>
      </c>
      <c r="AP2145">
        <v>-5.64</v>
      </c>
    </row>
    <row r="2146" spans="1:42">
      <c r="A2146">
        <v>2145</v>
      </c>
      <c r="B2146" t="str">
        <f>"600884"</f>
        <v>600884</v>
      </c>
      <c r="C2146" t="s">
        <v>11908</v>
      </c>
      <c r="D2146">
        <v>13.41</v>
      </c>
      <c r="E2146">
        <v>0.37</v>
      </c>
      <c r="F2146">
        <v>0.05</v>
      </c>
      <c r="G2146" t="s">
        <v>8476</v>
      </c>
      <c r="H2146">
        <v>536</v>
      </c>
      <c r="I2146">
        <v>13.41</v>
      </c>
      <c r="J2146">
        <v>13.42</v>
      </c>
      <c r="K2146" t="s">
        <v>11909</v>
      </c>
      <c r="L2146">
        <v>0.37</v>
      </c>
      <c r="M2146" t="s">
        <v>46</v>
      </c>
      <c r="N2146" t="s">
        <v>11489</v>
      </c>
      <c r="O2146">
        <v>13.44</v>
      </c>
      <c r="P2146">
        <v>13.23</v>
      </c>
      <c r="Q2146">
        <v>13.38</v>
      </c>
      <c r="R2146">
        <v>13.36</v>
      </c>
      <c r="S2146">
        <v>1.57</v>
      </c>
      <c r="T2146">
        <v>0.95</v>
      </c>
      <c r="U2146">
        <v>-36.79</v>
      </c>
      <c r="V2146">
        <v>-2084</v>
      </c>
      <c r="W2146">
        <v>13.34</v>
      </c>
      <c r="X2146" t="s">
        <v>4527</v>
      </c>
      <c r="Y2146" t="s">
        <v>3033</v>
      </c>
      <c r="Z2146">
        <v>1.16</v>
      </c>
      <c r="AA2146">
        <v>788</v>
      </c>
      <c r="AB2146">
        <v>104</v>
      </c>
      <c r="AC2146">
        <v>1.3</v>
      </c>
      <c r="AD2146" t="s">
        <v>11910</v>
      </c>
      <c r="AE2146" t="s">
        <v>11911</v>
      </c>
      <c r="AF2146" t="s">
        <v>11912</v>
      </c>
      <c r="AG2146" t="s">
        <v>11913</v>
      </c>
      <c r="AH2146">
        <v>-0.67</v>
      </c>
      <c r="AI2146">
        <v>-2.54</v>
      </c>
      <c r="AJ2146">
        <v>1.11</v>
      </c>
      <c r="AK2146">
        <v>2.35</v>
      </c>
      <c r="AL2146">
        <v>1</v>
      </c>
      <c r="AM2146">
        <v>0.37</v>
      </c>
      <c r="AN2146">
        <v>-25.08</v>
      </c>
      <c r="AO2146">
        <v>-3.66</v>
      </c>
      <c r="AP2146">
        <v>-27.94</v>
      </c>
    </row>
    <row r="2147" spans="1:42">
      <c r="A2147">
        <v>2146</v>
      </c>
      <c r="B2147" t="str">
        <f>"002168"</f>
        <v>002168</v>
      </c>
      <c r="C2147" t="s">
        <v>11914</v>
      </c>
      <c r="D2147">
        <v>4.46</v>
      </c>
      <c r="E2147">
        <v>3</v>
      </c>
      <c r="F2147">
        <v>0.13</v>
      </c>
      <c r="G2147" t="s">
        <v>4628</v>
      </c>
      <c r="H2147">
        <v>2607</v>
      </c>
      <c r="I2147">
        <v>4.45</v>
      </c>
      <c r="J2147">
        <v>4.46</v>
      </c>
      <c r="K2147" t="s">
        <v>11915</v>
      </c>
      <c r="L2147">
        <v>2.54</v>
      </c>
      <c r="M2147" t="s">
        <v>46</v>
      </c>
      <c r="N2147" t="s">
        <v>8896</v>
      </c>
      <c r="O2147">
        <v>4.47</v>
      </c>
      <c r="P2147">
        <v>4.32</v>
      </c>
      <c r="Q2147">
        <v>4.33</v>
      </c>
      <c r="R2147">
        <v>4.33</v>
      </c>
      <c r="S2147">
        <v>3.46</v>
      </c>
      <c r="T2147">
        <v>1.32</v>
      </c>
      <c r="U2147">
        <v>-27.38</v>
      </c>
      <c r="V2147">
        <v>-6752</v>
      </c>
      <c r="W2147">
        <v>4.42</v>
      </c>
      <c r="X2147" t="s">
        <v>2168</v>
      </c>
      <c r="Y2147" t="s">
        <v>1987</v>
      </c>
      <c r="Z2147">
        <v>0.51</v>
      </c>
      <c r="AA2147">
        <v>532</v>
      </c>
      <c r="AB2147">
        <v>3323</v>
      </c>
      <c r="AC2147">
        <v>-131.95</v>
      </c>
      <c r="AD2147" t="s">
        <v>11916</v>
      </c>
      <c r="AE2147" t="s">
        <v>4080</v>
      </c>
      <c r="AF2147" t="s">
        <v>11917</v>
      </c>
      <c r="AG2147" t="s">
        <v>4097</v>
      </c>
      <c r="AH2147">
        <v>0.9</v>
      </c>
      <c r="AI2147">
        <v>-0.22</v>
      </c>
      <c r="AJ2147">
        <v>7.45</v>
      </c>
      <c r="AK2147">
        <v>12.13</v>
      </c>
      <c r="AL2147">
        <v>1</v>
      </c>
      <c r="AM2147">
        <v>3</v>
      </c>
      <c r="AN2147">
        <v>11.5</v>
      </c>
      <c r="AO2147">
        <v>5.44</v>
      </c>
      <c r="AP2147">
        <v>2.53</v>
      </c>
    </row>
    <row r="2148" spans="1:42">
      <c r="A2148">
        <v>2147</v>
      </c>
      <c r="B2148" t="str">
        <f>"600540"</f>
        <v>600540</v>
      </c>
      <c r="C2148" t="s">
        <v>11918</v>
      </c>
      <c r="D2148">
        <v>5.18</v>
      </c>
      <c r="E2148">
        <v>1.57</v>
      </c>
      <c r="F2148">
        <v>0.08</v>
      </c>
      <c r="G2148" t="s">
        <v>2859</v>
      </c>
      <c r="H2148">
        <v>1248</v>
      </c>
      <c r="I2148">
        <v>5.17</v>
      </c>
      <c r="J2148">
        <v>5.18</v>
      </c>
      <c r="K2148" t="s">
        <v>11919</v>
      </c>
      <c r="L2148">
        <v>2.9</v>
      </c>
      <c r="M2148" t="s">
        <v>46</v>
      </c>
      <c r="N2148" t="s">
        <v>2700</v>
      </c>
      <c r="O2148">
        <v>5.25</v>
      </c>
      <c r="P2148">
        <v>5.08</v>
      </c>
      <c r="Q2148">
        <v>5.08</v>
      </c>
      <c r="R2148">
        <v>5.1</v>
      </c>
      <c r="S2148">
        <v>3.33</v>
      </c>
      <c r="T2148">
        <v>1.76</v>
      </c>
      <c r="U2148">
        <v>-26.17</v>
      </c>
      <c r="V2148">
        <v>-2939</v>
      </c>
      <c r="W2148">
        <v>5.19</v>
      </c>
      <c r="X2148" t="s">
        <v>7940</v>
      </c>
      <c r="Y2148" t="s">
        <v>3402</v>
      </c>
      <c r="Z2148">
        <v>0.64</v>
      </c>
      <c r="AA2148">
        <v>351</v>
      </c>
      <c r="AB2148">
        <v>15</v>
      </c>
      <c r="AC2148">
        <v>3.76</v>
      </c>
      <c r="AD2148" t="s">
        <v>11920</v>
      </c>
      <c r="AE2148" t="s">
        <v>11921</v>
      </c>
      <c r="AF2148" t="s">
        <v>11920</v>
      </c>
      <c r="AG2148" t="s">
        <v>11921</v>
      </c>
      <c r="AH2148">
        <v>0.39</v>
      </c>
      <c r="AI2148">
        <v>1.37</v>
      </c>
      <c r="AJ2148">
        <v>5.53</v>
      </c>
      <c r="AK2148">
        <v>11.13</v>
      </c>
      <c r="AL2148">
        <v>1</v>
      </c>
      <c r="AM2148">
        <v>1.57</v>
      </c>
      <c r="AN2148">
        <v>13.6</v>
      </c>
      <c r="AO2148">
        <v>2.57</v>
      </c>
      <c r="AP2148">
        <v>14.86</v>
      </c>
    </row>
    <row r="2149" spans="1:42">
      <c r="A2149">
        <v>2148</v>
      </c>
      <c r="B2149" t="str">
        <f>"301099"</f>
        <v>301099</v>
      </c>
      <c r="C2149" t="s">
        <v>11922</v>
      </c>
      <c r="D2149">
        <v>52.41</v>
      </c>
      <c r="E2149">
        <v>-1.5</v>
      </c>
      <c r="F2149">
        <v>-0.8</v>
      </c>
      <c r="G2149" t="s">
        <v>5997</v>
      </c>
      <c r="H2149">
        <v>213</v>
      </c>
      <c r="I2149">
        <v>52.41</v>
      </c>
      <c r="J2149">
        <v>52.42</v>
      </c>
      <c r="K2149" t="s">
        <v>11923</v>
      </c>
      <c r="L2149">
        <v>5.79</v>
      </c>
      <c r="M2149" t="s">
        <v>46</v>
      </c>
      <c r="N2149" t="s">
        <v>7965</v>
      </c>
      <c r="O2149">
        <v>52.79</v>
      </c>
      <c r="P2149">
        <v>51.48</v>
      </c>
      <c r="Q2149">
        <v>52.05</v>
      </c>
      <c r="R2149">
        <v>53.21</v>
      </c>
      <c r="S2149">
        <v>2.46</v>
      </c>
      <c r="T2149">
        <v>0.68</v>
      </c>
      <c r="U2149">
        <v>-18.85</v>
      </c>
      <c r="V2149">
        <v>-46</v>
      </c>
      <c r="W2149">
        <v>52.14</v>
      </c>
      <c r="X2149">
        <v>9851</v>
      </c>
      <c r="Y2149">
        <v>6937</v>
      </c>
      <c r="Z2149">
        <v>1.42</v>
      </c>
      <c r="AA2149">
        <v>6</v>
      </c>
      <c r="AB2149">
        <v>34</v>
      </c>
      <c r="AC2149">
        <v>4.2</v>
      </c>
      <c r="AD2149" t="s">
        <v>3612</v>
      </c>
      <c r="AE2149" t="s">
        <v>11924</v>
      </c>
      <c r="AF2149" t="s">
        <v>11925</v>
      </c>
      <c r="AG2149" t="s">
        <v>11926</v>
      </c>
      <c r="AH2149">
        <v>-4.62</v>
      </c>
      <c r="AI2149">
        <v>-5.36</v>
      </c>
      <c r="AJ2149">
        <v>25.07</v>
      </c>
      <c r="AK2149">
        <v>48.58</v>
      </c>
      <c r="AL2149">
        <v>-2</v>
      </c>
      <c r="AM2149">
        <v>-1.5</v>
      </c>
      <c r="AN2149">
        <v>-23.41</v>
      </c>
      <c r="AO2149">
        <v>2.3</v>
      </c>
      <c r="AP2149">
        <v>-29.51</v>
      </c>
    </row>
    <row r="2150" spans="1:42">
      <c r="A2150">
        <v>2149</v>
      </c>
      <c r="B2150" t="str">
        <f>"000593"</f>
        <v>000593</v>
      </c>
      <c r="C2150" t="s">
        <v>11927</v>
      </c>
      <c r="D2150">
        <v>7.91</v>
      </c>
      <c r="E2150">
        <v>-0.88</v>
      </c>
      <c r="F2150">
        <v>-0.07</v>
      </c>
      <c r="G2150" t="s">
        <v>1438</v>
      </c>
      <c r="H2150">
        <v>2172</v>
      </c>
      <c r="I2150">
        <v>7.91</v>
      </c>
      <c r="J2150">
        <v>7.92</v>
      </c>
      <c r="K2150" t="s">
        <v>11928</v>
      </c>
      <c r="L2150">
        <v>3.07</v>
      </c>
      <c r="M2150" t="s">
        <v>46</v>
      </c>
      <c r="N2150" t="s">
        <v>4336</v>
      </c>
      <c r="O2150">
        <v>8.03</v>
      </c>
      <c r="P2150">
        <v>7.88</v>
      </c>
      <c r="Q2150">
        <v>7.98</v>
      </c>
      <c r="R2150">
        <v>7.98</v>
      </c>
      <c r="S2150">
        <v>1.88</v>
      </c>
      <c r="T2150">
        <v>0.87</v>
      </c>
      <c r="U2150">
        <v>14.55</v>
      </c>
      <c r="V2150">
        <v>1488</v>
      </c>
      <c r="W2150">
        <v>7.94</v>
      </c>
      <c r="X2150" t="s">
        <v>753</v>
      </c>
      <c r="Y2150" t="s">
        <v>6560</v>
      </c>
      <c r="Z2150">
        <v>1.4</v>
      </c>
      <c r="AA2150">
        <v>147</v>
      </c>
      <c r="AB2150">
        <v>3017</v>
      </c>
      <c r="AC2150">
        <v>2.48</v>
      </c>
      <c r="AD2150" t="s">
        <v>11929</v>
      </c>
      <c r="AE2150" t="s">
        <v>11930</v>
      </c>
      <c r="AF2150" t="s">
        <v>11931</v>
      </c>
      <c r="AG2150" t="s">
        <v>11932</v>
      </c>
      <c r="AH2150">
        <v>0.13</v>
      </c>
      <c r="AI2150">
        <v>-2.71</v>
      </c>
      <c r="AJ2150">
        <v>10.19</v>
      </c>
      <c r="AK2150">
        <v>20.72</v>
      </c>
      <c r="AL2150">
        <v>-1</v>
      </c>
      <c r="AM2150">
        <v>-0.88</v>
      </c>
      <c r="AN2150">
        <v>5.33</v>
      </c>
      <c r="AO2150">
        <v>-1.98</v>
      </c>
      <c r="AP2150">
        <v>-0.63</v>
      </c>
    </row>
    <row r="2151" spans="1:42">
      <c r="A2151">
        <v>2150</v>
      </c>
      <c r="B2151" t="str">
        <f>"600820"</f>
        <v>600820</v>
      </c>
      <c r="C2151" t="s">
        <v>11933</v>
      </c>
      <c r="D2151">
        <v>5.39</v>
      </c>
      <c r="E2151">
        <v>1.13</v>
      </c>
      <c r="F2151">
        <v>0.06</v>
      </c>
      <c r="G2151" t="s">
        <v>665</v>
      </c>
      <c r="H2151">
        <v>1065</v>
      </c>
      <c r="I2151">
        <v>5.39</v>
      </c>
      <c r="J2151">
        <v>5.4</v>
      </c>
      <c r="K2151" t="s">
        <v>11934</v>
      </c>
      <c r="L2151">
        <v>0.51</v>
      </c>
      <c r="M2151" t="s">
        <v>46</v>
      </c>
      <c r="N2151" t="s">
        <v>11935</v>
      </c>
      <c r="O2151">
        <v>5.43</v>
      </c>
      <c r="P2151">
        <v>5.34</v>
      </c>
      <c r="Q2151">
        <v>5.34</v>
      </c>
      <c r="R2151">
        <v>5.33</v>
      </c>
      <c r="S2151">
        <v>1.69</v>
      </c>
      <c r="T2151">
        <v>1.24</v>
      </c>
      <c r="U2151">
        <v>-32.14</v>
      </c>
      <c r="V2151">
        <v>-5655</v>
      </c>
      <c r="W2151">
        <v>5.4</v>
      </c>
      <c r="X2151" t="s">
        <v>9787</v>
      </c>
      <c r="Y2151" t="s">
        <v>3254</v>
      </c>
      <c r="Z2151">
        <v>0.62</v>
      </c>
      <c r="AA2151">
        <v>1950</v>
      </c>
      <c r="AB2151">
        <v>113</v>
      </c>
      <c r="AC2151">
        <v>0.62</v>
      </c>
      <c r="AD2151" t="s">
        <v>11936</v>
      </c>
      <c r="AE2151" t="s">
        <v>7814</v>
      </c>
      <c r="AF2151" t="s">
        <v>11936</v>
      </c>
      <c r="AG2151" t="s">
        <v>7814</v>
      </c>
      <c r="AH2151">
        <v>-0.19</v>
      </c>
      <c r="AI2151">
        <v>-0.74</v>
      </c>
      <c r="AJ2151">
        <v>1.43</v>
      </c>
      <c r="AK2151">
        <v>2.59</v>
      </c>
      <c r="AL2151">
        <v>1</v>
      </c>
      <c r="AM2151">
        <v>1.13</v>
      </c>
      <c r="AN2151">
        <v>10</v>
      </c>
      <c r="AO2151">
        <v>-0.92</v>
      </c>
      <c r="AP2151">
        <v>6.1</v>
      </c>
    </row>
    <row r="2152" spans="1:42">
      <c r="A2152">
        <v>2151</v>
      </c>
      <c r="B2152" t="str">
        <f>"300679"</f>
        <v>300679</v>
      </c>
      <c r="C2152" t="s">
        <v>11937</v>
      </c>
      <c r="D2152">
        <v>40.23</v>
      </c>
      <c r="E2152">
        <v>-0.62</v>
      </c>
      <c r="F2152">
        <v>-0.25</v>
      </c>
      <c r="G2152" t="s">
        <v>4963</v>
      </c>
      <c r="H2152">
        <v>256</v>
      </c>
      <c r="I2152">
        <v>40.21</v>
      </c>
      <c r="J2152">
        <v>40.23</v>
      </c>
      <c r="K2152" t="s">
        <v>11938</v>
      </c>
      <c r="L2152">
        <v>0.61</v>
      </c>
      <c r="M2152" t="s">
        <v>46</v>
      </c>
      <c r="N2152" t="s">
        <v>3326</v>
      </c>
      <c r="O2152">
        <v>40.75</v>
      </c>
      <c r="P2152">
        <v>39.72</v>
      </c>
      <c r="Q2152">
        <v>40.39</v>
      </c>
      <c r="R2152">
        <v>40.48</v>
      </c>
      <c r="S2152">
        <v>2.54</v>
      </c>
      <c r="T2152">
        <v>0.54</v>
      </c>
      <c r="U2152">
        <v>-54.33</v>
      </c>
      <c r="V2152">
        <v>-138</v>
      </c>
      <c r="W2152">
        <v>40.13</v>
      </c>
      <c r="X2152" t="s">
        <v>7974</v>
      </c>
      <c r="Y2152" t="s">
        <v>51</v>
      </c>
      <c r="Z2152">
        <v>0.99</v>
      </c>
      <c r="AA2152">
        <v>2</v>
      </c>
      <c r="AB2152">
        <v>4</v>
      </c>
      <c r="AC2152">
        <v>3.91</v>
      </c>
      <c r="AD2152" t="s">
        <v>4998</v>
      </c>
      <c r="AE2152" t="s">
        <v>4478</v>
      </c>
      <c r="AF2152" t="s">
        <v>11939</v>
      </c>
      <c r="AG2152" t="s">
        <v>11345</v>
      </c>
      <c r="AH2152">
        <v>0.8</v>
      </c>
      <c r="AI2152">
        <v>1.93</v>
      </c>
      <c r="AJ2152">
        <v>2.71</v>
      </c>
      <c r="AK2152">
        <v>6.23</v>
      </c>
      <c r="AL2152">
        <v>-1</v>
      </c>
      <c r="AM2152">
        <v>-0.62</v>
      </c>
      <c r="AN2152">
        <v>9.29</v>
      </c>
      <c r="AO2152">
        <v>-1.03</v>
      </c>
      <c r="AP2152">
        <v>12.97</v>
      </c>
    </row>
    <row r="2153" spans="1:42">
      <c r="A2153">
        <v>2152</v>
      </c>
      <c r="B2153" t="str">
        <f>"300650"</f>
        <v>300650</v>
      </c>
      <c r="C2153" t="s">
        <v>11940</v>
      </c>
      <c r="D2153">
        <v>13.72</v>
      </c>
      <c r="E2153">
        <v>1.4</v>
      </c>
      <c r="F2153">
        <v>0.19</v>
      </c>
      <c r="G2153" t="s">
        <v>753</v>
      </c>
      <c r="H2153">
        <v>1426</v>
      </c>
      <c r="I2153">
        <v>13.71</v>
      </c>
      <c r="J2153">
        <v>13.72</v>
      </c>
      <c r="K2153" t="s">
        <v>4239</v>
      </c>
      <c r="L2153">
        <v>4.22</v>
      </c>
      <c r="M2153" t="s">
        <v>46</v>
      </c>
      <c r="N2153" t="s">
        <v>6377</v>
      </c>
      <c r="O2153">
        <v>13.76</v>
      </c>
      <c r="P2153">
        <v>13.33</v>
      </c>
      <c r="Q2153">
        <v>13.54</v>
      </c>
      <c r="R2153">
        <v>13.53</v>
      </c>
      <c r="S2153">
        <v>3.18</v>
      </c>
      <c r="T2153">
        <v>0.73</v>
      </c>
      <c r="U2153">
        <v>-65.33</v>
      </c>
      <c r="V2153">
        <v>-1688</v>
      </c>
      <c r="W2153">
        <v>13.61</v>
      </c>
      <c r="X2153" t="s">
        <v>4761</v>
      </c>
      <c r="Y2153" t="s">
        <v>3226</v>
      </c>
      <c r="Z2153">
        <v>1.03</v>
      </c>
      <c r="AA2153">
        <v>123</v>
      </c>
      <c r="AB2153">
        <v>930</v>
      </c>
      <c r="AC2153">
        <v>2.53</v>
      </c>
      <c r="AD2153" t="s">
        <v>11941</v>
      </c>
      <c r="AE2153" t="s">
        <v>6109</v>
      </c>
      <c r="AF2153" t="s">
        <v>11942</v>
      </c>
      <c r="AG2153" t="s">
        <v>5061</v>
      </c>
      <c r="AH2153">
        <v>-1.15</v>
      </c>
      <c r="AI2153">
        <v>-2.14</v>
      </c>
      <c r="AJ2153">
        <v>13.81</v>
      </c>
      <c r="AK2153">
        <v>33.01</v>
      </c>
      <c r="AL2153">
        <v>1</v>
      </c>
      <c r="AM2153">
        <v>1.4</v>
      </c>
      <c r="AN2153">
        <v>48.48</v>
      </c>
      <c r="AO2153">
        <v>-13.6</v>
      </c>
      <c r="AP2153">
        <v>27.04</v>
      </c>
    </row>
    <row r="2154" spans="1:42">
      <c r="A2154">
        <v>2153</v>
      </c>
      <c r="B2154" t="str">
        <f>"603085"</f>
        <v>603085</v>
      </c>
      <c r="C2154" t="s">
        <v>11943</v>
      </c>
      <c r="D2154">
        <v>11.34</v>
      </c>
      <c r="E2154">
        <v>0</v>
      </c>
      <c r="F2154">
        <v>0</v>
      </c>
      <c r="G2154" t="s">
        <v>771</v>
      </c>
      <c r="H2154">
        <v>832</v>
      </c>
      <c r="I2154">
        <v>11.33</v>
      </c>
      <c r="J2154">
        <v>11.34</v>
      </c>
      <c r="K2154" t="s">
        <v>11944</v>
      </c>
      <c r="L2154">
        <v>2.09</v>
      </c>
      <c r="M2154" t="s">
        <v>46</v>
      </c>
      <c r="N2154" t="s">
        <v>1135</v>
      </c>
      <c r="O2154">
        <v>11.56</v>
      </c>
      <c r="P2154">
        <v>11</v>
      </c>
      <c r="Q2154">
        <v>11.31</v>
      </c>
      <c r="R2154">
        <v>11.34</v>
      </c>
      <c r="S2154">
        <v>4.94</v>
      </c>
      <c r="T2154">
        <v>0.89</v>
      </c>
      <c r="U2154">
        <v>-14.87</v>
      </c>
      <c r="V2154">
        <v>-248</v>
      </c>
      <c r="W2154">
        <v>11.26</v>
      </c>
      <c r="X2154" t="s">
        <v>6794</v>
      </c>
      <c r="Y2154" t="s">
        <v>3716</v>
      </c>
      <c r="Z2154">
        <v>1.01</v>
      </c>
      <c r="AA2154">
        <v>171</v>
      </c>
      <c r="AB2154">
        <v>342</v>
      </c>
      <c r="AC2154">
        <v>5</v>
      </c>
      <c r="AD2154" t="s">
        <v>11945</v>
      </c>
      <c r="AE2154" t="s">
        <v>808</v>
      </c>
      <c r="AF2154" t="s">
        <v>11946</v>
      </c>
      <c r="AG2154" t="s">
        <v>11947</v>
      </c>
      <c r="AH2154">
        <v>-2.58</v>
      </c>
      <c r="AI2154">
        <v>3</v>
      </c>
      <c r="AJ2154">
        <v>7.02</v>
      </c>
      <c r="AK2154">
        <v>13.8</v>
      </c>
      <c r="AL2154">
        <v>0</v>
      </c>
      <c r="AM2154">
        <v>0</v>
      </c>
      <c r="AN2154">
        <v>6.58</v>
      </c>
      <c r="AO2154">
        <v>3.85</v>
      </c>
      <c r="AP2154">
        <v>1.07</v>
      </c>
    </row>
    <row r="2155" spans="1:42">
      <c r="A2155">
        <v>2154</v>
      </c>
      <c r="B2155" t="str">
        <f>"300681"</f>
        <v>300681</v>
      </c>
      <c r="C2155" t="s">
        <v>11948</v>
      </c>
      <c r="D2155">
        <v>20.25</v>
      </c>
      <c r="E2155">
        <v>-0.69</v>
      </c>
      <c r="F2155">
        <v>-0.14</v>
      </c>
      <c r="G2155" t="s">
        <v>3235</v>
      </c>
      <c r="H2155">
        <v>668</v>
      </c>
      <c r="I2155">
        <v>20.24</v>
      </c>
      <c r="J2155">
        <v>20.25</v>
      </c>
      <c r="K2155" t="s">
        <v>11949</v>
      </c>
      <c r="L2155">
        <v>2.51</v>
      </c>
      <c r="M2155" t="s">
        <v>46</v>
      </c>
      <c r="N2155" t="s">
        <v>7742</v>
      </c>
      <c r="O2155">
        <v>20.47</v>
      </c>
      <c r="P2155">
        <v>19.82</v>
      </c>
      <c r="Q2155">
        <v>20.47</v>
      </c>
      <c r="R2155">
        <v>20.39</v>
      </c>
      <c r="S2155">
        <v>3.19</v>
      </c>
      <c r="T2155">
        <v>0.79</v>
      </c>
      <c r="U2155">
        <v>-24.1</v>
      </c>
      <c r="V2155">
        <v>-167</v>
      </c>
      <c r="W2155">
        <v>20.12</v>
      </c>
      <c r="X2155" t="s">
        <v>4963</v>
      </c>
      <c r="Y2155" t="s">
        <v>1520</v>
      </c>
      <c r="Z2155">
        <v>1.01</v>
      </c>
      <c r="AA2155">
        <v>57</v>
      </c>
      <c r="AB2155">
        <v>139</v>
      </c>
      <c r="AC2155">
        <v>2.86</v>
      </c>
      <c r="AD2155" t="s">
        <v>11950</v>
      </c>
      <c r="AE2155" t="s">
        <v>7046</v>
      </c>
      <c r="AF2155" t="s">
        <v>11951</v>
      </c>
      <c r="AG2155" t="s">
        <v>11952</v>
      </c>
      <c r="AH2155">
        <v>-3.02</v>
      </c>
      <c r="AI2155">
        <v>-3.02</v>
      </c>
      <c r="AJ2155">
        <v>9.87</v>
      </c>
      <c r="AK2155">
        <v>18.37</v>
      </c>
      <c r="AL2155">
        <v>-2</v>
      </c>
      <c r="AM2155">
        <v>-0.69</v>
      </c>
      <c r="AN2155">
        <v>-23.27</v>
      </c>
      <c r="AO2155">
        <v>1.86</v>
      </c>
      <c r="AP2155">
        <v>-26.76</v>
      </c>
    </row>
    <row r="2156" spans="1:42">
      <c r="A2156">
        <v>2155</v>
      </c>
      <c r="B2156" t="str">
        <f>"003040"</f>
        <v>003040</v>
      </c>
      <c r="C2156" t="s">
        <v>11953</v>
      </c>
      <c r="D2156">
        <v>18.41</v>
      </c>
      <c r="E2156">
        <v>1.1</v>
      </c>
      <c r="F2156">
        <v>0.2</v>
      </c>
      <c r="G2156" t="s">
        <v>4399</v>
      </c>
      <c r="H2156">
        <v>809</v>
      </c>
      <c r="I2156">
        <v>18.4</v>
      </c>
      <c r="J2156">
        <v>18.41</v>
      </c>
      <c r="K2156" t="s">
        <v>11949</v>
      </c>
      <c r="L2156">
        <v>2.2</v>
      </c>
      <c r="M2156" t="s">
        <v>46</v>
      </c>
      <c r="N2156" t="s">
        <v>11954</v>
      </c>
      <c r="O2156">
        <v>18.44</v>
      </c>
      <c r="P2156">
        <v>18.15</v>
      </c>
      <c r="Q2156">
        <v>18.18</v>
      </c>
      <c r="R2156">
        <v>18.21</v>
      </c>
      <c r="S2156">
        <v>1.59</v>
      </c>
      <c r="T2156">
        <v>0.69</v>
      </c>
      <c r="U2156">
        <v>-20.27</v>
      </c>
      <c r="V2156">
        <v>-457</v>
      </c>
      <c r="W2156">
        <v>18.31</v>
      </c>
      <c r="X2156" t="s">
        <v>4509</v>
      </c>
      <c r="Y2156" t="s">
        <v>9251</v>
      </c>
      <c r="Z2156">
        <v>0.88</v>
      </c>
      <c r="AA2156">
        <v>581</v>
      </c>
      <c r="AB2156">
        <v>31</v>
      </c>
      <c r="AC2156">
        <v>5.62</v>
      </c>
      <c r="AD2156" t="s">
        <v>11955</v>
      </c>
      <c r="AE2156" t="s">
        <v>11956</v>
      </c>
      <c r="AF2156" t="s">
        <v>11957</v>
      </c>
      <c r="AG2156" t="s">
        <v>11958</v>
      </c>
      <c r="AH2156">
        <v>-1.02</v>
      </c>
      <c r="AI2156">
        <v>-2.13</v>
      </c>
      <c r="AJ2156">
        <v>7.38</v>
      </c>
      <c r="AK2156">
        <v>18.23</v>
      </c>
      <c r="AL2156">
        <v>1</v>
      </c>
      <c r="AM2156">
        <v>1.1</v>
      </c>
      <c r="AN2156">
        <v>6.66</v>
      </c>
      <c r="AO2156">
        <v>-4.41</v>
      </c>
      <c r="AP2156">
        <v>-6.74</v>
      </c>
    </row>
    <row r="2157" spans="1:42">
      <c r="A2157">
        <v>2156</v>
      </c>
      <c r="B2157" t="str">
        <f>"601369"</f>
        <v>601369</v>
      </c>
      <c r="C2157" t="s">
        <v>11959</v>
      </c>
      <c r="D2157">
        <v>8.01</v>
      </c>
      <c r="E2157">
        <v>-1.72</v>
      </c>
      <c r="F2157">
        <v>-0.14</v>
      </c>
      <c r="G2157" t="s">
        <v>1949</v>
      </c>
      <c r="H2157">
        <v>631</v>
      </c>
      <c r="I2157">
        <v>8.01</v>
      </c>
      <c r="J2157">
        <v>8.02</v>
      </c>
      <c r="K2157" t="s">
        <v>11960</v>
      </c>
      <c r="L2157">
        <v>0.65</v>
      </c>
      <c r="M2157" t="s">
        <v>46</v>
      </c>
      <c r="N2157" t="s">
        <v>11961</v>
      </c>
      <c r="O2157">
        <v>8.16</v>
      </c>
      <c r="P2157">
        <v>7.89</v>
      </c>
      <c r="Q2157">
        <v>8.16</v>
      </c>
      <c r="R2157">
        <v>8.15</v>
      </c>
      <c r="S2157">
        <v>3.31</v>
      </c>
      <c r="T2157">
        <v>1.89</v>
      </c>
      <c r="U2157">
        <v>-31.19</v>
      </c>
      <c r="V2157">
        <v>-2009</v>
      </c>
      <c r="W2157">
        <v>7.99</v>
      </c>
      <c r="X2157" t="s">
        <v>6754</v>
      </c>
      <c r="Y2157" t="s">
        <v>5706</v>
      </c>
      <c r="Z2157">
        <v>1.76</v>
      </c>
      <c r="AA2157">
        <v>227</v>
      </c>
      <c r="AB2157">
        <v>966</v>
      </c>
      <c r="AC2157">
        <v>1.64</v>
      </c>
      <c r="AD2157" t="s">
        <v>11649</v>
      </c>
      <c r="AE2157" t="s">
        <v>11416</v>
      </c>
      <c r="AF2157" t="s">
        <v>11108</v>
      </c>
      <c r="AG2157" t="s">
        <v>2413</v>
      </c>
      <c r="AH2157">
        <v>-3.61</v>
      </c>
      <c r="AI2157">
        <v>-3.26</v>
      </c>
      <c r="AJ2157">
        <v>1.18</v>
      </c>
      <c r="AK2157">
        <v>2.38</v>
      </c>
      <c r="AL2157">
        <v>-3</v>
      </c>
      <c r="AM2157">
        <v>-1.72</v>
      </c>
      <c r="AN2157">
        <v>-27.9</v>
      </c>
      <c r="AO2157">
        <v>2.56</v>
      </c>
      <c r="AP2157">
        <v>-31.3</v>
      </c>
    </row>
    <row r="2158" spans="1:42">
      <c r="A2158">
        <v>2157</v>
      </c>
      <c r="B2158" t="str">
        <f>"600531"</f>
        <v>600531</v>
      </c>
      <c r="C2158" t="s">
        <v>11962</v>
      </c>
      <c r="D2158">
        <v>6.22</v>
      </c>
      <c r="E2158">
        <v>0.32</v>
      </c>
      <c r="F2158">
        <v>0.02</v>
      </c>
      <c r="G2158" t="s">
        <v>960</v>
      </c>
      <c r="H2158">
        <v>1764</v>
      </c>
      <c r="I2158">
        <v>6.21</v>
      </c>
      <c r="J2158">
        <v>6.22</v>
      </c>
      <c r="K2158" t="s">
        <v>11963</v>
      </c>
      <c r="L2158">
        <v>1.29</v>
      </c>
      <c r="M2158" t="s">
        <v>46</v>
      </c>
      <c r="N2158" t="s">
        <v>11964</v>
      </c>
      <c r="O2158">
        <v>6.23</v>
      </c>
      <c r="P2158">
        <v>6.16</v>
      </c>
      <c r="Q2158">
        <v>6.2</v>
      </c>
      <c r="R2158">
        <v>6.2</v>
      </c>
      <c r="S2158">
        <v>1.13</v>
      </c>
      <c r="T2158">
        <v>0.83</v>
      </c>
      <c r="U2158">
        <v>29.49</v>
      </c>
      <c r="V2158">
        <v>7703</v>
      </c>
      <c r="W2158">
        <v>6.2</v>
      </c>
      <c r="X2158" t="s">
        <v>4568</v>
      </c>
      <c r="Y2158" t="s">
        <v>4833</v>
      </c>
      <c r="Z2158">
        <v>1.07</v>
      </c>
      <c r="AA2158">
        <v>5289</v>
      </c>
      <c r="AB2158">
        <v>906</v>
      </c>
      <c r="AC2158">
        <v>1.43</v>
      </c>
      <c r="AD2158" t="s">
        <v>11965</v>
      </c>
      <c r="AE2158" t="s">
        <v>11966</v>
      </c>
      <c r="AF2158" t="s">
        <v>11965</v>
      </c>
      <c r="AG2158" t="s">
        <v>11966</v>
      </c>
      <c r="AH2158">
        <v>-0.96</v>
      </c>
      <c r="AI2158">
        <v>-0.8</v>
      </c>
      <c r="AJ2158">
        <v>4.87</v>
      </c>
      <c r="AK2158">
        <v>9.08</v>
      </c>
      <c r="AL2158">
        <v>1</v>
      </c>
      <c r="AM2158">
        <v>0.32</v>
      </c>
      <c r="AN2158">
        <v>22.2</v>
      </c>
      <c r="AO2158">
        <v>-0.16</v>
      </c>
      <c r="AP2158">
        <v>17.36</v>
      </c>
    </row>
    <row r="2159" spans="1:42">
      <c r="A2159">
        <v>2158</v>
      </c>
      <c r="B2159" t="str">
        <f>"603766"</f>
        <v>603766</v>
      </c>
      <c r="C2159" t="s">
        <v>11967</v>
      </c>
      <c r="D2159">
        <v>5.62</v>
      </c>
      <c r="E2159">
        <v>-1.4</v>
      </c>
      <c r="F2159">
        <v>-0.08</v>
      </c>
      <c r="G2159" t="s">
        <v>562</v>
      </c>
      <c r="H2159">
        <v>1800</v>
      </c>
      <c r="I2159">
        <v>5.62</v>
      </c>
      <c r="J2159">
        <v>5.63</v>
      </c>
      <c r="K2159" t="s">
        <v>11968</v>
      </c>
      <c r="L2159">
        <v>0.75</v>
      </c>
      <c r="M2159" t="s">
        <v>46</v>
      </c>
      <c r="N2159" t="s">
        <v>11969</v>
      </c>
      <c r="O2159">
        <v>5.69</v>
      </c>
      <c r="P2159">
        <v>5.6</v>
      </c>
      <c r="Q2159">
        <v>5.68</v>
      </c>
      <c r="R2159">
        <v>5.7</v>
      </c>
      <c r="S2159">
        <v>1.58</v>
      </c>
      <c r="T2159">
        <v>0.63</v>
      </c>
      <c r="U2159">
        <v>39.49</v>
      </c>
      <c r="V2159">
        <v>8797</v>
      </c>
      <c r="W2159">
        <v>5.63</v>
      </c>
      <c r="X2159" t="s">
        <v>3463</v>
      </c>
      <c r="Y2159" t="s">
        <v>3090</v>
      </c>
      <c r="Z2159">
        <v>1.6</v>
      </c>
      <c r="AA2159">
        <v>768</v>
      </c>
      <c r="AB2159">
        <v>834</v>
      </c>
      <c r="AC2159">
        <v>1.36</v>
      </c>
      <c r="AD2159" t="s">
        <v>2126</v>
      </c>
      <c r="AE2159" t="s">
        <v>11970</v>
      </c>
      <c r="AF2159" t="s">
        <v>2126</v>
      </c>
      <c r="AG2159" t="s">
        <v>11970</v>
      </c>
      <c r="AH2159">
        <v>-2.43</v>
      </c>
      <c r="AI2159">
        <v>-0.88</v>
      </c>
      <c r="AJ2159">
        <v>2.82</v>
      </c>
      <c r="AK2159">
        <v>6.7</v>
      </c>
      <c r="AL2159">
        <v>-2</v>
      </c>
      <c r="AM2159">
        <v>-1.4</v>
      </c>
      <c r="AN2159">
        <v>17.57</v>
      </c>
      <c r="AO2159">
        <v>1.26</v>
      </c>
      <c r="AP2159">
        <v>0.72</v>
      </c>
    </row>
    <row r="2160" spans="1:42">
      <c r="A2160">
        <v>2159</v>
      </c>
      <c r="B2160" t="str">
        <f>"300179"</f>
        <v>300179</v>
      </c>
      <c r="C2160" t="s">
        <v>11971</v>
      </c>
      <c r="D2160">
        <v>9.93</v>
      </c>
      <c r="E2160">
        <v>1.53</v>
      </c>
      <c r="F2160">
        <v>0.15</v>
      </c>
      <c r="G2160" t="s">
        <v>2335</v>
      </c>
      <c r="H2160">
        <v>1903</v>
      </c>
      <c r="I2160">
        <v>9.93</v>
      </c>
      <c r="J2160">
        <v>9.94</v>
      </c>
      <c r="K2160" t="s">
        <v>11972</v>
      </c>
      <c r="L2160">
        <v>2.34</v>
      </c>
      <c r="M2160" t="s">
        <v>46</v>
      </c>
      <c r="N2160" t="s">
        <v>3534</v>
      </c>
      <c r="O2160">
        <v>9.97</v>
      </c>
      <c r="P2160">
        <v>9.7</v>
      </c>
      <c r="Q2160">
        <v>9.81</v>
      </c>
      <c r="R2160">
        <v>9.78</v>
      </c>
      <c r="S2160">
        <v>2.76</v>
      </c>
      <c r="T2160">
        <v>0.6</v>
      </c>
      <c r="U2160">
        <v>-26.81</v>
      </c>
      <c r="V2160">
        <v>-1268</v>
      </c>
      <c r="W2160">
        <v>9.87</v>
      </c>
      <c r="X2160" t="s">
        <v>6748</v>
      </c>
      <c r="Y2160" t="s">
        <v>4928</v>
      </c>
      <c r="Z2160">
        <v>0.84</v>
      </c>
      <c r="AA2160">
        <v>384</v>
      </c>
      <c r="AB2160">
        <v>184</v>
      </c>
      <c r="AC2160">
        <v>4.11</v>
      </c>
      <c r="AD2160" t="s">
        <v>11973</v>
      </c>
      <c r="AE2160" t="s">
        <v>11974</v>
      </c>
      <c r="AF2160" t="s">
        <v>11975</v>
      </c>
      <c r="AG2160" t="s">
        <v>11976</v>
      </c>
      <c r="AH2160">
        <v>0.3</v>
      </c>
      <c r="AI2160">
        <v>-2.93</v>
      </c>
      <c r="AJ2160">
        <v>8.82</v>
      </c>
      <c r="AK2160">
        <v>21.98</v>
      </c>
      <c r="AL2160">
        <v>1</v>
      </c>
      <c r="AM2160">
        <v>1.53</v>
      </c>
      <c r="AN2160">
        <v>-19.66</v>
      </c>
      <c r="AO2160">
        <v>13.62</v>
      </c>
      <c r="AP2160">
        <v>-20.62</v>
      </c>
    </row>
    <row r="2161" spans="1:42">
      <c r="A2161">
        <v>2160</v>
      </c>
      <c r="B2161" t="str">
        <f>"002458"</f>
        <v>002458</v>
      </c>
      <c r="C2161" t="s">
        <v>11977</v>
      </c>
      <c r="D2161">
        <v>10.72</v>
      </c>
      <c r="E2161">
        <v>-0.92</v>
      </c>
      <c r="F2161">
        <v>-0.1</v>
      </c>
      <c r="G2161" t="s">
        <v>8755</v>
      </c>
      <c r="H2161">
        <v>816</v>
      </c>
      <c r="I2161">
        <v>10.71</v>
      </c>
      <c r="J2161">
        <v>10.72</v>
      </c>
      <c r="K2161" t="s">
        <v>11978</v>
      </c>
      <c r="L2161">
        <v>1.19</v>
      </c>
      <c r="M2161" t="s">
        <v>46</v>
      </c>
      <c r="N2161" t="s">
        <v>7209</v>
      </c>
      <c r="O2161">
        <v>10.9</v>
      </c>
      <c r="P2161">
        <v>10.64</v>
      </c>
      <c r="Q2161">
        <v>10.72</v>
      </c>
      <c r="R2161">
        <v>10.82</v>
      </c>
      <c r="S2161">
        <v>2.4</v>
      </c>
      <c r="T2161">
        <v>0.53</v>
      </c>
      <c r="U2161">
        <v>37.67</v>
      </c>
      <c r="V2161">
        <v>1775</v>
      </c>
      <c r="W2161">
        <v>10.73</v>
      </c>
      <c r="X2161" t="s">
        <v>4953</v>
      </c>
      <c r="Y2161" t="s">
        <v>7205</v>
      </c>
      <c r="Z2161">
        <v>1.64</v>
      </c>
      <c r="AA2161">
        <v>1171</v>
      </c>
      <c r="AB2161">
        <v>7</v>
      </c>
      <c r="AC2161">
        <v>3.11</v>
      </c>
      <c r="AD2161" t="s">
        <v>11979</v>
      </c>
      <c r="AE2161" t="s">
        <v>8881</v>
      </c>
      <c r="AF2161" t="s">
        <v>11980</v>
      </c>
      <c r="AG2161" t="s">
        <v>11981</v>
      </c>
      <c r="AH2161">
        <v>-2.01</v>
      </c>
      <c r="AI2161">
        <v>-4.11</v>
      </c>
      <c r="AJ2161">
        <v>5.06</v>
      </c>
      <c r="AK2161">
        <v>12.39</v>
      </c>
      <c r="AL2161">
        <v>-1</v>
      </c>
      <c r="AM2161">
        <v>-0.92</v>
      </c>
      <c r="AN2161">
        <v>-22.88</v>
      </c>
      <c r="AO2161">
        <v>-3.94</v>
      </c>
      <c r="AP2161">
        <v>-30.75</v>
      </c>
    </row>
    <row r="2162" spans="1:42">
      <c r="A2162">
        <v>2161</v>
      </c>
      <c r="B2162" t="str">
        <f>"600683"</f>
        <v>600683</v>
      </c>
      <c r="C2162" t="s">
        <v>11982</v>
      </c>
      <c r="D2162">
        <v>5.31</v>
      </c>
      <c r="E2162">
        <v>1.72</v>
      </c>
      <c r="F2162">
        <v>0.09</v>
      </c>
      <c r="G2162" t="s">
        <v>2047</v>
      </c>
      <c r="H2162">
        <v>2982</v>
      </c>
      <c r="I2162">
        <v>5.31</v>
      </c>
      <c r="J2162">
        <v>5.32</v>
      </c>
      <c r="K2162" t="s">
        <v>11983</v>
      </c>
      <c r="L2162">
        <v>2.22</v>
      </c>
      <c r="M2162" t="s">
        <v>46</v>
      </c>
      <c r="N2162" t="s">
        <v>8019</v>
      </c>
      <c r="O2162">
        <v>5.35</v>
      </c>
      <c r="P2162">
        <v>5.18</v>
      </c>
      <c r="Q2162">
        <v>5.23</v>
      </c>
      <c r="R2162">
        <v>5.22</v>
      </c>
      <c r="S2162">
        <v>3.26</v>
      </c>
      <c r="T2162">
        <v>0.5</v>
      </c>
      <c r="U2162">
        <v>-44.62</v>
      </c>
      <c r="V2162">
        <v>-7932</v>
      </c>
      <c r="W2162">
        <v>5.28</v>
      </c>
      <c r="X2162" t="s">
        <v>10028</v>
      </c>
      <c r="Y2162" t="s">
        <v>1848</v>
      </c>
      <c r="Z2162">
        <v>0.78</v>
      </c>
      <c r="AA2162">
        <v>97</v>
      </c>
      <c r="AB2162">
        <v>4032</v>
      </c>
      <c r="AC2162">
        <v>1.48</v>
      </c>
      <c r="AD2162" t="s">
        <v>11984</v>
      </c>
      <c r="AE2162" t="s">
        <v>7463</v>
      </c>
      <c r="AF2162" t="s">
        <v>11984</v>
      </c>
      <c r="AG2162" t="s">
        <v>7463</v>
      </c>
      <c r="AH2162">
        <v>-3.8</v>
      </c>
      <c r="AI2162">
        <v>-13.38</v>
      </c>
      <c r="AJ2162">
        <v>8.23</v>
      </c>
      <c r="AK2162">
        <v>24.51</v>
      </c>
      <c r="AL2162">
        <v>1</v>
      </c>
      <c r="AM2162">
        <v>1.72</v>
      </c>
      <c r="AN2162">
        <v>15.18</v>
      </c>
      <c r="AO2162">
        <v>-0.93</v>
      </c>
      <c r="AP2162">
        <v>9.26</v>
      </c>
    </row>
    <row r="2163" spans="1:42">
      <c r="A2163">
        <v>2162</v>
      </c>
      <c r="B2163" t="str">
        <f>"300611"</f>
        <v>300611</v>
      </c>
      <c r="C2163" t="s">
        <v>11985</v>
      </c>
      <c r="D2163">
        <v>11.94</v>
      </c>
      <c r="E2163">
        <v>-0.58</v>
      </c>
      <c r="F2163">
        <v>-0.07</v>
      </c>
      <c r="G2163" t="s">
        <v>183</v>
      </c>
      <c r="H2163">
        <v>310</v>
      </c>
      <c r="I2163">
        <v>11.93</v>
      </c>
      <c r="J2163">
        <v>11.94</v>
      </c>
      <c r="K2163" t="s">
        <v>11986</v>
      </c>
      <c r="L2163">
        <v>4.97</v>
      </c>
      <c r="M2163" t="s">
        <v>46</v>
      </c>
      <c r="N2163" t="s">
        <v>8287</v>
      </c>
      <c r="O2163">
        <v>12.08</v>
      </c>
      <c r="P2163">
        <v>11.69</v>
      </c>
      <c r="Q2163">
        <v>12.01</v>
      </c>
      <c r="R2163">
        <v>12.01</v>
      </c>
      <c r="S2163">
        <v>3.25</v>
      </c>
      <c r="T2163">
        <v>0.66</v>
      </c>
      <c r="U2163">
        <v>28.01</v>
      </c>
      <c r="V2163">
        <v>193</v>
      </c>
      <c r="W2163">
        <v>11.9</v>
      </c>
      <c r="X2163" t="s">
        <v>2337</v>
      </c>
      <c r="Y2163" t="s">
        <v>3260</v>
      </c>
      <c r="Z2163">
        <v>1.34</v>
      </c>
      <c r="AA2163">
        <v>15</v>
      </c>
      <c r="AB2163">
        <v>116</v>
      </c>
      <c r="AC2163">
        <v>2.51</v>
      </c>
      <c r="AD2163" t="s">
        <v>10853</v>
      </c>
      <c r="AE2163" t="s">
        <v>11987</v>
      </c>
      <c r="AF2163" t="s">
        <v>11988</v>
      </c>
      <c r="AG2163" t="s">
        <v>8421</v>
      </c>
      <c r="AH2163">
        <v>-4.56</v>
      </c>
      <c r="AI2163">
        <v>-1.97</v>
      </c>
      <c r="AJ2163">
        <v>19.31</v>
      </c>
      <c r="AK2163">
        <v>42.65</v>
      </c>
      <c r="AL2163">
        <v>-3</v>
      </c>
      <c r="AM2163">
        <v>-0.58</v>
      </c>
      <c r="AN2163">
        <v>51.91</v>
      </c>
      <c r="AO2163">
        <v>12.85</v>
      </c>
      <c r="AP2163">
        <v>34.31</v>
      </c>
    </row>
    <row r="2164" spans="1:42">
      <c r="A2164">
        <v>2163</v>
      </c>
      <c r="B2164" t="str">
        <f>"836247"</f>
        <v>836247</v>
      </c>
      <c r="C2164" t="s">
        <v>11989</v>
      </c>
      <c r="D2164">
        <v>13.05</v>
      </c>
      <c r="E2164">
        <v>-7.51</v>
      </c>
      <c r="F2164">
        <v>-1.06</v>
      </c>
      <c r="G2164" t="s">
        <v>11712</v>
      </c>
      <c r="H2164">
        <v>1183</v>
      </c>
      <c r="I2164">
        <v>13.05</v>
      </c>
      <c r="J2164">
        <v>13.08</v>
      </c>
      <c r="K2164" t="s">
        <v>11990</v>
      </c>
      <c r="L2164">
        <v>27.31</v>
      </c>
      <c r="M2164" t="s">
        <v>46</v>
      </c>
      <c r="N2164" t="s">
        <v>897</v>
      </c>
      <c r="O2164">
        <v>14.9</v>
      </c>
      <c r="P2164">
        <v>12.8</v>
      </c>
      <c r="Q2164">
        <v>14.6</v>
      </c>
      <c r="R2164">
        <v>14.11</v>
      </c>
      <c r="S2164">
        <v>14.88</v>
      </c>
      <c r="T2164">
        <v>0.73</v>
      </c>
      <c r="U2164">
        <v>32.22</v>
      </c>
      <c r="V2164">
        <v>96</v>
      </c>
      <c r="W2164">
        <v>13.64</v>
      </c>
      <c r="X2164" t="s">
        <v>8009</v>
      </c>
      <c r="Y2164" t="s">
        <v>117</v>
      </c>
      <c r="Z2164">
        <v>1.44</v>
      </c>
      <c r="AA2164">
        <v>93</v>
      </c>
      <c r="AB2164">
        <v>8</v>
      </c>
      <c r="AC2164">
        <v>2.88</v>
      </c>
      <c r="AD2164" t="s">
        <v>11382</v>
      </c>
      <c r="AE2164" t="s">
        <v>11991</v>
      </c>
      <c r="AF2164" t="s">
        <v>11992</v>
      </c>
      <c r="AG2164" t="s">
        <v>10087</v>
      </c>
      <c r="AH2164">
        <v>-30.92</v>
      </c>
      <c r="AI2164">
        <v>27.07</v>
      </c>
      <c r="AJ2164">
        <v>98.7</v>
      </c>
      <c r="AK2164">
        <v>215.14</v>
      </c>
      <c r="AL2164">
        <v>-3</v>
      </c>
      <c r="AM2164">
        <v>-7.51</v>
      </c>
      <c r="AN2164">
        <v>108.8</v>
      </c>
      <c r="AO2164">
        <v>105.84</v>
      </c>
      <c r="AP2164">
        <v>22.08</v>
      </c>
    </row>
    <row r="2165" spans="1:42">
      <c r="A2165">
        <v>2164</v>
      </c>
      <c r="B2165" t="str">
        <f>"600352"</f>
        <v>600352</v>
      </c>
      <c r="C2165" t="s">
        <v>11993</v>
      </c>
      <c r="D2165">
        <v>8.68</v>
      </c>
      <c r="E2165">
        <v>0.81</v>
      </c>
      <c r="F2165">
        <v>0.07</v>
      </c>
      <c r="G2165" t="s">
        <v>1232</v>
      </c>
      <c r="H2165">
        <v>715</v>
      </c>
      <c r="I2165">
        <v>8.68</v>
      </c>
      <c r="J2165">
        <v>8.69</v>
      </c>
      <c r="K2165" t="s">
        <v>5238</v>
      </c>
      <c r="L2165">
        <v>0.31</v>
      </c>
      <c r="M2165" t="s">
        <v>46</v>
      </c>
      <c r="N2165" t="s">
        <v>379</v>
      </c>
      <c r="O2165">
        <v>8.71</v>
      </c>
      <c r="P2165">
        <v>8.56</v>
      </c>
      <c r="Q2165">
        <v>8.61</v>
      </c>
      <c r="R2165">
        <v>8.61</v>
      </c>
      <c r="S2165">
        <v>1.74</v>
      </c>
      <c r="T2165">
        <v>1.22</v>
      </c>
      <c r="U2165">
        <v>-23.1</v>
      </c>
      <c r="V2165">
        <v>-2063</v>
      </c>
      <c r="W2165">
        <v>8.65</v>
      </c>
      <c r="X2165" t="s">
        <v>7877</v>
      </c>
      <c r="Y2165" t="s">
        <v>3030</v>
      </c>
      <c r="Z2165">
        <v>0.72</v>
      </c>
      <c r="AA2165">
        <v>225</v>
      </c>
      <c r="AB2165">
        <v>330</v>
      </c>
      <c r="AC2165">
        <v>0.87</v>
      </c>
      <c r="AD2165" t="s">
        <v>9691</v>
      </c>
      <c r="AE2165" t="s">
        <v>11994</v>
      </c>
      <c r="AF2165" t="s">
        <v>9691</v>
      </c>
      <c r="AG2165" t="s">
        <v>11994</v>
      </c>
      <c r="AH2165">
        <v>-1.59</v>
      </c>
      <c r="AI2165">
        <v>-1.48</v>
      </c>
      <c r="AJ2165">
        <v>0.94</v>
      </c>
      <c r="AK2165">
        <v>1.57</v>
      </c>
      <c r="AL2165">
        <v>1</v>
      </c>
      <c r="AM2165">
        <v>0.81</v>
      </c>
      <c r="AN2165">
        <v>-10.05</v>
      </c>
      <c r="AO2165">
        <v>-1.81</v>
      </c>
      <c r="AP2165">
        <v>-6.97</v>
      </c>
    </row>
    <row r="2166" spans="1:42">
      <c r="A2166">
        <v>2165</v>
      </c>
      <c r="B2166" t="str">
        <f>"300591"</f>
        <v>300591</v>
      </c>
      <c r="C2166" t="s">
        <v>11995</v>
      </c>
      <c r="D2166">
        <v>6.85</v>
      </c>
      <c r="E2166">
        <v>-1.58</v>
      </c>
      <c r="F2166">
        <v>-0.11</v>
      </c>
      <c r="G2166" t="s">
        <v>1986</v>
      </c>
      <c r="H2166">
        <v>970</v>
      </c>
      <c r="I2166">
        <v>6.85</v>
      </c>
      <c r="J2166">
        <v>6.86</v>
      </c>
      <c r="K2166" t="s">
        <v>5238</v>
      </c>
      <c r="L2166">
        <v>3.77</v>
      </c>
      <c r="M2166" t="s">
        <v>46</v>
      </c>
      <c r="N2166" t="s">
        <v>11996</v>
      </c>
      <c r="O2166">
        <v>7.02</v>
      </c>
      <c r="P2166">
        <v>6.82</v>
      </c>
      <c r="Q2166">
        <v>6.96</v>
      </c>
      <c r="R2166">
        <v>6.96</v>
      </c>
      <c r="S2166">
        <v>2.87</v>
      </c>
      <c r="T2166">
        <v>1.13</v>
      </c>
      <c r="U2166">
        <v>-20.05</v>
      </c>
      <c r="V2166">
        <v>-502</v>
      </c>
      <c r="W2166">
        <v>6.92</v>
      </c>
      <c r="X2166" t="s">
        <v>5980</v>
      </c>
      <c r="Y2166" t="s">
        <v>296</v>
      </c>
      <c r="Z2166">
        <v>1.22</v>
      </c>
      <c r="AA2166">
        <v>624</v>
      </c>
      <c r="AB2166">
        <v>62</v>
      </c>
      <c r="AC2166">
        <v>4.95</v>
      </c>
      <c r="AD2166" t="s">
        <v>11997</v>
      </c>
      <c r="AE2166" t="s">
        <v>7521</v>
      </c>
      <c r="AF2166" t="s">
        <v>11998</v>
      </c>
      <c r="AG2166" t="s">
        <v>11999</v>
      </c>
      <c r="AH2166">
        <v>-2.56</v>
      </c>
      <c r="AI2166">
        <v>-2.97</v>
      </c>
      <c r="AJ2166">
        <v>8.74</v>
      </c>
      <c r="AK2166">
        <v>20.44</v>
      </c>
      <c r="AL2166">
        <v>-4</v>
      </c>
      <c r="AM2166">
        <v>-1.58</v>
      </c>
      <c r="AN2166">
        <v>43.31</v>
      </c>
      <c r="AO2166">
        <v>-1.72</v>
      </c>
      <c r="AP2166">
        <v>39.23</v>
      </c>
    </row>
    <row r="2167" spans="1:42">
      <c r="A2167">
        <v>2166</v>
      </c>
      <c r="B2167" t="str">
        <f>"003038"</f>
        <v>003038</v>
      </c>
      <c r="C2167" t="s">
        <v>12000</v>
      </c>
      <c r="D2167">
        <v>34.2</v>
      </c>
      <c r="E2167">
        <v>-2.54</v>
      </c>
      <c r="F2167">
        <v>-0.89</v>
      </c>
      <c r="G2167" t="s">
        <v>9211</v>
      </c>
      <c r="H2167">
        <v>574</v>
      </c>
      <c r="I2167">
        <v>34.2</v>
      </c>
      <c r="J2167">
        <v>34.25</v>
      </c>
      <c r="K2167" t="s">
        <v>12001</v>
      </c>
      <c r="L2167">
        <v>3.7</v>
      </c>
      <c r="M2167" t="s">
        <v>46</v>
      </c>
      <c r="N2167" t="s">
        <v>12002</v>
      </c>
      <c r="O2167">
        <v>35.34</v>
      </c>
      <c r="P2167">
        <v>33.96</v>
      </c>
      <c r="Q2167">
        <v>35</v>
      </c>
      <c r="R2167">
        <v>35.09</v>
      </c>
      <c r="S2167">
        <v>3.93</v>
      </c>
      <c r="T2167">
        <v>1.2</v>
      </c>
      <c r="U2167">
        <v>69.44</v>
      </c>
      <c r="V2167">
        <v>100</v>
      </c>
      <c r="W2167">
        <v>34.37</v>
      </c>
      <c r="X2167" t="s">
        <v>4717</v>
      </c>
      <c r="Y2167" t="s">
        <v>734</v>
      </c>
      <c r="Z2167">
        <v>1.26</v>
      </c>
      <c r="AA2167">
        <v>13</v>
      </c>
      <c r="AB2167">
        <v>3</v>
      </c>
      <c r="AC2167">
        <v>2.41</v>
      </c>
      <c r="AD2167" t="s">
        <v>9396</v>
      </c>
      <c r="AE2167" t="s">
        <v>12003</v>
      </c>
      <c r="AF2167" t="s">
        <v>12004</v>
      </c>
      <c r="AG2167" t="s">
        <v>2162</v>
      </c>
      <c r="AH2167">
        <v>0.18</v>
      </c>
      <c r="AI2167">
        <v>2.52</v>
      </c>
      <c r="AJ2167">
        <v>12.62</v>
      </c>
      <c r="AK2167">
        <v>19.19</v>
      </c>
      <c r="AL2167">
        <v>-1</v>
      </c>
      <c r="AM2167">
        <v>-2.54</v>
      </c>
      <c r="AN2167">
        <v>-22.06</v>
      </c>
      <c r="AO2167">
        <v>2.33</v>
      </c>
      <c r="AP2167">
        <v>-33.15</v>
      </c>
    </row>
    <row r="2168" spans="1:42">
      <c r="A2168">
        <v>2167</v>
      </c>
      <c r="B2168" t="str">
        <f>"002922"</f>
        <v>002922</v>
      </c>
      <c r="C2168" t="s">
        <v>12005</v>
      </c>
      <c r="D2168">
        <v>14.72</v>
      </c>
      <c r="E2168">
        <v>-0.94</v>
      </c>
      <c r="F2168">
        <v>-0.14</v>
      </c>
      <c r="G2168" t="s">
        <v>4900</v>
      </c>
      <c r="H2168">
        <v>1499</v>
      </c>
      <c r="I2168">
        <v>14.72</v>
      </c>
      <c r="J2168">
        <v>14.73</v>
      </c>
      <c r="K2168" t="s">
        <v>12006</v>
      </c>
      <c r="L2168">
        <v>2.09</v>
      </c>
      <c r="M2168" t="s">
        <v>46</v>
      </c>
      <c r="N2168" t="s">
        <v>2035</v>
      </c>
      <c r="O2168">
        <v>14.95</v>
      </c>
      <c r="P2168">
        <v>14.63</v>
      </c>
      <c r="Q2168">
        <v>14.83</v>
      </c>
      <c r="R2168">
        <v>14.86</v>
      </c>
      <c r="S2168">
        <v>2.15</v>
      </c>
      <c r="T2168">
        <v>0.49</v>
      </c>
      <c r="U2168">
        <v>6.95</v>
      </c>
      <c r="V2168">
        <v>119</v>
      </c>
      <c r="W2168">
        <v>14.72</v>
      </c>
      <c r="X2168" t="s">
        <v>3457</v>
      </c>
      <c r="Y2168" t="s">
        <v>4257</v>
      </c>
      <c r="Z2168">
        <v>1.31</v>
      </c>
      <c r="AA2168">
        <v>123</v>
      </c>
      <c r="AB2168">
        <v>97</v>
      </c>
      <c r="AC2168">
        <v>1.89</v>
      </c>
      <c r="AD2168" t="s">
        <v>12007</v>
      </c>
      <c r="AE2168" t="s">
        <v>5500</v>
      </c>
      <c r="AF2168" t="s">
        <v>12008</v>
      </c>
      <c r="AG2168" t="s">
        <v>12009</v>
      </c>
      <c r="AH2168">
        <v>-2.26</v>
      </c>
      <c r="AI2168">
        <v>-1.8</v>
      </c>
      <c r="AJ2168">
        <v>11.88</v>
      </c>
      <c r="AK2168">
        <v>23.23</v>
      </c>
      <c r="AL2168">
        <v>-2</v>
      </c>
      <c r="AM2168">
        <v>-0.94</v>
      </c>
      <c r="AN2168">
        <v>-1.74</v>
      </c>
      <c r="AO2168">
        <v>2.72</v>
      </c>
      <c r="AP2168">
        <v>-10.57</v>
      </c>
    </row>
    <row r="2169" spans="1:42">
      <c r="A2169">
        <v>2168</v>
      </c>
      <c r="B2169" t="str">
        <f>"600228"</f>
        <v>600228</v>
      </c>
      <c r="C2169" t="s">
        <v>12010</v>
      </c>
      <c r="D2169">
        <v>8.81</v>
      </c>
      <c r="E2169">
        <v>9.99</v>
      </c>
      <c r="F2169">
        <v>0.8</v>
      </c>
      <c r="G2169" t="s">
        <v>1232</v>
      </c>
      <c r="H2169">
        <v>353</v>
      </c>
      <c r="I2169">
        <v>8.81</v>
      </c>
      <c r="J2169" t="s">
        <v>76</v>
      </c>
      <c r="K2169" t="s">
        <v>12006</v>
      </c>
      <c r="L2169">
        <v>3.59</v>
      </c>
      <c r="M2169" t="s">
        <v>46</v>
      </c>
      <c r="N2169" t="s">
        <v>7108</v>
      </c>
      <c r="O2169">
        <v>8.81</v>
      </c>
      <c r="P2169">
        <v>8.21</v>
      </c>
      <c r="Q2169">
        <v>8.27</v>
      </c>
      <c r="R2169">
        <v>8.01</v>
      </c>
      <c r="S2169">
        <v>7.49</v>
      </c>
      <c r="T2169">
        <v>0.81</v>
      </c>
      <c r="U2169">
        <v>100</v>
      </c>
      <c r="V2169" t="s">
        <v>2205</v>
      </c>
      <c r="W2169">
        <v>8.65</v>
      </c>
      <c r="X2169" t="s">
        <v>9741</v>
      </c>
      <c r="Y2169" t="s">
        <v>1687</v>
      </c>
      <c r="Z2169">
        <v>2</v>
      </c>
      <c r="AA2169" t="s">
        <v>10906</v>
      </c>
      <c r="AB2169">
        <v>0</v>
      </c>
      <c r="AC2169">
        <v>10.6</v>
      </c>
      <c r="AD2169" t="s">
        <v>12011</v>
      </c>
      <c r="AE2169" t="s">
        <v>9094</v>
      </c>
      <c r="AF2169" t="s">
        <v>9623</v>
      </c>
      <c r="AG2169" t="s">
        <v>12012</v>
      </c>
      <c r="AH2169">
        <v>9.44</v>
      </c>
      <c r="AI2169">
        <v>6.14</v>
      </c>
      <c r="AJ2169">
        <v>20.85</v>
      </c>
      <c r="AK2169">
        <v>25.89</v>
      </c>
      <c r="AL2169">
        <v>1</v>
      </c>
      <c r="AM2169">
        <v>9.99</v>
      </c>
      <c r="AN2169">
        <v>23.04</v>
      </c>
      <c r="AO2169">
        <v>11.94</v>
      </c>
      <c r="AP2169">
        <v>23.39</v>
      </c>
    </row>
    <row r="2170" spans="1:42">
      <c r="A2170">
        <v>2169</v>
      </c>
      <c r="B2170" t="str">
        <f>"688387"</f>
        <v>688387</v>
      </c>
      <c r="C2170" t="s">
        <v>12013</v>
      </c>
      <c r="D2170">
        <v>7.44</v>
      </c>
      <c r="E2170">
        <v>0.4</v>
      </c>
      <c r="F2170">
        <v>0.03</v>
      </c>
      <c r="G2170" t="s">
        <v>1540</v>
      </c>
      <c r="H2170">
        <v>1457</v>
      </c>
      <c r="I2170">
        <v>7.43</v>
      </c>
      <c r="J2170">
        <v>7.44</v>
      </c>
      <c r="K2170" t="s">
        <v>12014</v>
      </c>
      <c r="L2170">
        <v>1.76</v>
      </c>
      <c r="M2170" t="s">
        <v>46</v>
      </c>
      <c r="N2170" t="s">
        <v>12015</v>
      </c>
      <c r="O2170">
        <v>7.46</v>
      </c>
      <c r="P2170">
        <v>7.29</v>
      </c>
      <c r="Q2170">
        <v>7.46</v>
      </c>
      <c r="R2170">
        <v>7.41</v>
      </c>
      <c r="S2170">
        <v>2.29</v>
      </c>
      <c r="T2170">
        <v>0.74</v>
      </c>
      <c r="U2170">
        <v>-63.68</v>
      </c>
      <c r="V2170">
        <v>-4824</v>
      </c>
      <c r="W2170">
        <v>7.36</v>
      </c>
      <c r="X2170" t="s">
        <v>11085</v>
      </c>
      <c r="Y2170" t="s">
        <v>5192</v>
      </c>
      <c r="Z2170">
        <v>1.06</v>
      </c>
      <c r="AA2170">
        <v>312</v>
      </c>
      <c r="AB2170">
        <v>372</v>
      </c>
      <c r="AC2170">
        <v>3.79</v>
      </c>
      <c r="AD2170" t="s">
        <v>5003</v>
      </c>
      <c r="AE2170" t="s">
        <v>12016</v>
      </c>
      <c r="AF2170" t="s">
        <v>12017</v>
      </c>
      <c r="AG2170" t="s">
        <v>12018</v>
      </c>
      <c r="AH2170">
        <v>-0.53</v>
      </c>
      <c r="AI2170">
        <v>1.5</v>
      </c>
      <c r="AJ2170">
        <v>5.89</v>
      </c>
      <c r="AK2170">
        <v>13.68</v>
      </c>
      <c r="AL2170">
        <v>2</v>
      </c>
      <c r="AM2170">
        <v>0.4</v>
      </c>
      <c r="AN2170">
        <v>48.21</v>
      </c>
      <c r="AO2170">
        <v>4.35</v>
      </c>
      <c r="AP2170">
        <v>37.27</v>
      </c>
    </row>
    <row r="2171" spans="1:42">
      <c r="A2171">
        <v>2170</v>
      </c>
      <c r="B2171" t="str">
        <f>"688608"</f>
        <v>688608</v>
      </c>
      <c r="C2171" t="s">
        <v>12019</v>
      </c>
      <c r="D2171">
        <v>142.23</v>
      </c>
      <c r="E2171">
        <v>0.53</v>
      </c>
      <c r="F2171">
        <v>0.75</v>
      </c>
      <c r="G2171">
        <v>6098</v>
      </c>
      <c r="H2171">
        <v>49</v>
      </c>
      <c r="I2171">
        <v>142.23</v>
      </c>
      <c r="J2171">
        <v>142.25</v>
      </c>
      <c r="K2171" t="s">
        <v>12020</v>
      </c>
      <c r="L2171">
        <v>0.77</v>
      </c>
      <c r="M2171" t="s">
        <v>46</v>
      </c>
      <c r="N2171" t="s">
        <v>1386</v>
      </c>
      <c r="O2171">
        <v>143</v>
      </c>
      <c r="P2171">
        <v>140</v>
      </c>
      <c r="Q2171">
        <v>141.48</v>
      </c>
      <c r="R2171">
        <v>141.48</v>
      </c>
      <c r="S2171">
        <v>2.12</v>
      </c>
      <c r="T2171">
        <v>0.69</v>
      </c>
      <c r="U2171">
        <v>-34.29</v>
      </c>
      <c r="V2171">
        <v>-12</v>
      </c>
      <c r="W2171">
        <v>141.79</v>
      </c>
      <c r="X2171">
        <v>2617</v>
      </c>
      <c r="Y2171">
        <v>3481</v>
      </c>
      <c r="Z2171">
        <v>0.75</v>
      </c>
      <c r="AA2171">
        <v>1</v>
      </c>
      <c r="AB2171">
        <v>2</v>
      </c>
      <c r="AC2171">
        <v>2.8</v>
      </c>
      <c r="AD2171" t="s">
        <v>5210</v>
      </c>
      <c r="AE2171" t="s">
        <v>12021</v>
      </c>
      <c r="AF2171" t="s">
        <v>12022</v>
      </c>
      <c r="AG2171" t="s">
        <v>12023</v>
      </c>
      <c r="AH2171">
        <v>-0.19</v>
      </c>
      <c r="AI2171">
        <v>0.52</v>
      </c>
      <c r="AJ2171">
        <v>2.48</v>
      </c>
      <c r="AK2171">
        <v>6.33</v>
      </c>
      <c r="AL2171">
        <v>1</v>
      </c>
      <c r="AM2171">
        <v>0.53</v>
      </c>
      <c r="AN2171">
        <v>24.76</v>
      </c>
      <c r="AO2171">
        <v>13.52</v>
      </c>
      <c r="AP2171">
        <v>-0.82</v>
      </c>
    </row>
    <row r="2172" spans="1:42">
      <c r="A2172">
        <v>2171</v>
      </c>
      <c r="B2172" t="str">
        <f>"600831"</f>
        <v>600831</v>
      </c>
      <c r="C2172" t="s">
        <v>12024</v>
      </c>
      <c r="D2172">
        <v>6.24</v>
      </c>
      <c r="E2172">
        <v>2.46</v>
      </c>
      <c r="F2172">
        <v>0.15</v>
      </c>
      <c r="G2172" t="s">
        <v>1207</v>
      </c>
      <c r="H2172">
        <v>1725</v>
      </c>
      <c r="I2172">
        <v>6.24</v>
      </c>
      <c r="J2172">
        <v>6.25</v>
      </c>
      <c r="K2172" t="s">
        <v>12025</v>
      </c>
      <c r="L2172">
        <v>1.96</v>
      </c>
      <c r="M2172" t="s">
        <v>46</v>
      </c>
      <c r="N2172" t="s">
        <v>4602</v>
      </c>
      <c r="O2172">
        <v>6.27</v>
      </c>
      <c r="P2172">
        <v>6.07</v>
      </c>
      <c r="Q2172">
        <v>6.1</v>
      </c>
      <c r="R2172">
        <v>6.09</v>
      </c>
      <c r="S2172">
        <v>3.28</v>
      </c>
      <c r="T2172">
        <v>0.83</v>
      </c>
      <c r="U2172">
        <v>-48.52</v>
      </c>
      <c r="V2172">
        <v>-3723</v>
      </c>
      <c r="W2172">
        <v>6.2</v>
      </c>
      <c r="X2172" t="s">
        <v>8037</v>
      </c>
      <c r="Y2172" t="s">
        <v>3690</v>
      </c>
      <c r="Z2172">
        <v>0.73</v>
      </c>
      <c r="AA2172">
        <v>73</v>
      </c>
      <c r="AB2172">
        <v>240</v>
      </c>
      <c r="AC2172">
        <v>1.19</v>
      </c>
      <c r="AD2172" t="s">
        <v>12026</v>
      </c>
      <c r="AE2172" t="s">
        <v>2522</v>
      </c>
      <c r="AF2172" t="s">
        <v>12026</v>
      </c>
      <c r="AG2172" t="s">
        <v>2522</v>
      </c>
      <c r="AH2172">
        <v>0.97</v>
      </c>
      <c r="AI2172">
        <v>-1.27</v>
      </c>
      <c r="AJ2172">
        <v>5.11</v>
      </c>
      <c r="AK2172">
        <v>13.82</v>
      </c>
      <c r="AL2172">
        <v>1</v>
      </c>
      <c r="AM2172">
        <v>2.46</v>
      </c>
      <c r="AN2172">
        <v>6.48</v>
      </c>
      <c r="AO2172">
        <v>12.23</v>
      </c>
      <c r="AP2172">
        <v>12.43</v>
      </c>
    </row>
    <row r="2173" spans="1:42">
      <c r="A2173">
        <v>2172</v>
      </c>
      <c r="B2173" t="str">
        <f>"600502"</f>
        <v>600502</v>
      </c>
      <c r="C2173" t="s">
        <v>12027</v>
      </c>
      <c r="D2173">
        <v>4.72</v>
      </c>
      <c r="E2173">
        <v>1.72</v>
      </c>
      <c r="F2173">
        <v>0.08</v>
      </c>
      <c r="G2173" t="s">
        <v>868</v>
      </c>
      <c r="H2173">
        <v>2624</v>
      </c>
      <c r="I2173">
        <v>4.71</v>
      </c>
      <c r="J2173">
        <v>4.72</v>
      </c>
      <c r="K2173" t="s">
        <v>9041</v>
      </c>
      <c r="L2173">
        <v>1.07</v>
      </c>
      <c r="M2173" t="s">
        <v>46</v>
      </c>
      <c r="N2173" t="s">
        <v>12028</v>
      </c>
      <c r="O2173">
        <v>4.73</v>
      </c>
      <c r="P2173">
        <v>4.63</v>
      </c>
      <c r="Q2173">
        <v>4.64</v>
      </c>
      <c r="R2173">
        <v>4.64</v>
      </c>
      <c r="S2173">
        <v>2.16</v>
      </c>
      <c r="T2173">
        <v>1.21</v>
      </c>
      <c r="U2173">
        <v>-29.39</v>
      </c>
      <c r="V2173">
        <v>-8212</v>
      </c>
      <c r="W2173">
        <v>4.69</v>
      </c>
      <c r="X2173" t="s">
        <v>5064</v>
      </c>
      <c r="Y2173" t="s">
        <v>446</v>
      </c>
      <c r="Z2173">
        <v>0.44</v>
      </c>
      <c r="AA2173">
        <v>4634</v>
      </c>
      <c r="AB2173">
        <v>668</v>
      </c>
      <c r="AC2173">
        <v>0.86</v>
      </c>
      <c r="AD2173" t="s">
        <v>12029</v>
      </c>
      <c r="AE2173" t="s">
        <v>12030</v>
      </c>
      <c r="AF2173" t="s">
        <v>12029</v>
      </c>
      <c r="AG2173" t="s">
        <v>12030</v>
      </c>
      <c r="AH2173">
        <v>0.21</v>
      </c>
      <c r="AI2173">
        <v>-0.84</v>
      </c>
      <c r="AJ2173">
        <v>2.85</v>
      </c>
      <c r="AK2173">
        <v>5.51</v>
      </c>
      <c r="AL2173">
        <v>1</v>
      </c>
      <c r="AM2173">
        <v>1.72</v>
      </c>
      <c r="AN2173">
        <v>3.74</v>
      </c>
      <c r="AO2173">
        <v>-1.67</v>
      </c>
      <c r="AP2173">
        <v>-5.03</v>
      </c>
    </row>
    <row r="2174" spans="1:42">
      <c r="A2174">
        <v>2173</v>
      </c>
      <c r="B2174" t="str">
        <f>"002029"</f>
        <v>002029</v>
      </c>
      <c r="C2174" t="s">
        <v>12031</v>
      </c>
      <c r="D2174">
        <v>6.21</v>
      </c>
      <c r="E2174">
        <v>1.14</v>
      </c>
      <c r="F2174">
        <v>0.07</v>
      </c>
      <c r="G2174" t="s">
        <v>1207</v>
      </c>
      <c r="H2174">
        <v>484</v>
      </c>
      <c r="I2174">
        <v>6.2</v>
      </c>
      <c r="J2174">
        <v>6.21</v>
      </c>
      <c r="K2174" t="s">
        <v>12032</v>
      </c>
      <c r="L2174">
        <v>1.92</v>
      </c>
      <c r="M2174" t="s">
        <v>46</v>
      </c>
      <c r="N2174" t="s">
        <v>8540</v>
      </c>
      <c r="O2174">
        <v>6.27</v>
      </c>
      <c r="P2174">
        <v>6.12</v>
      </c>
      <c r="Q2174">
        <v>6.12</v>
      </c>
      <c r="R2174">
        <v>6.14</v>
      </c>
      <c r="S2174">
        <v>2.44</v>
      </c>
      <c r="T2174">
        <v>0.91</v>
      </c>
      <c r="U2174">
        <v>-22.98</v>
      </c>
      <c r="V2174">
        <v>-2172</v>
      </c>
      <c r="W2174">
        <v>6.21</v>
      </c>
      <c r="X2174" t="s">
        <v>1503</v>
      </c>
      <c r="Y2174" t="s">
        <v>7434</v>
      </c>
      <c r="Z2174">
        <v>0.69</v>
      </c>
      <c r="AA2174">
        <v>152</v>
      </c>
      <c r="AB2174">
        <v>479</v>
      </c>
      <c r="AC2174">
        <v>0.73</v>
      </c>
      <c r="AD2174" t="s">
        <v>12033</v>
      </c>
      <c r="AE2174" t="s">
        <v>11136</v>
      </c>
      <c r="AF2174" t="s">
        <v>12034</v>
      </c>
      <c r="AG2174" t="s">
        <v>12035</v>
      </c>
      <c r="AH2174">
        <v>-0.16</v>
      </c>
      <c r="AI2174">
        <v>-0.96</v>
      </c>
      <c r="AJ2174">
        <v>4.79</v>
      </c>
      <c r="AK2174">
        <v>12.42</v>
      </c>
      <c r="AL2174">
        <v>2</v>
      </c>
      <c r="AM2174">
        <v>1.14</v>
      </c>
      <c r="AN2174">
        <v>12.09</v>
      </c>
      <c r="AO2174">
        <v>1.31</v>
      </c>
      <c r="AP2174">
        <v>14.79</v>
      </c>
    </row>
    <row r="2175" spans="1:42">
      <c r="A2175">
        <v>2174</v>
      </c>
      <c r="B2175" t="str">
        <f>"002101"</f>
        <v>002101</v>
      </c>
      <c r="C2175" t="s">
        <v>12036</v>
      </c>
      <c r="D2175">
        <v>16.24</v>
      </c>
      <c r="E2175">
        <v>-1.04</v>
      </c>
      <c r="F2175">
        <v>-0.17</v>
      </c>
      <c r="G2175" t="s">
        <v>372</v>
      </c>
      <c r="H2175">
        <v>418</v>
      </c>
      <c r="I2175">
        <v>16.24</v>
      </c>
      <c r="J2175">
        <v>16.25</v>
      </c>
      <c r="K2175" t="s">
        <v>12037</v>
      </c>
      <c r="L2175">
        <v>1.01</v>
      </c>
      <c r="M2175" t="s">
        <v>46</v>
      </c>
      <c r="N2175" t="s">
        <v>12038</v>
      </c>
      <c r="O2175">
        <v>16.42</v>
      </c>
      <c r="P2175">
        <v>16.04</v>
      </c>
      <c r="Q2175">
        <v>16.38</v>
      </c>
      <c r="R2175">
        <v>16.41</v>
      </c>
      <c r="S2175">
        <v>2.32</v>
      </c>
      <c r="T2175">
        <v>0.94</v>
      </c>
      <c r="U2175">
        <v>33.38</v>
      </c>
      <c r="V2175">
        <v>967</v>
      </c>
      <c r="W2175">
        <v>16.18</v>
      </c>
      <c r="X2175" t="s">
        <v>4914</v>
      </c>
      <c r="Y2175" t="s">
        <v>4509</v>
      </c>
      <c r="Z2175">
        <v>1.39</v>
      </c>
      <c r="AA2175">
        <v>641</v>
      </c>
      <c r="AB2175">
        <v>137</v>
      </c>
      <c r="AC2175">
        <v>1.44</v>
      </c>
      <c r="AD2175" t="s">
        <v>3940</v>
      </c>
      <c r="AE2175" t="s">
        <v>4142</v>
      </c>
      <c r="AF2175" t="s">
        <v>12039</v>
      </c>
      <c r="AG2175" t="s">
        <v>12040</v>
      </c>
      <c r="AH2175">
        <v>-4.36</v>
      </c>
      <c r="AI2175">
        <v>-5.2</v>
      </c>
      <c r="AJ2175">
        <v>3</v>
      </c>
      <c r="AK2175">
        <v>6.38</v>
      </c>
      <c r="AL2175">
        <v>-3</v>
      </c>
      <c r="AM2175">
        <v>-1.04</v>
      </c>
      <c r="AN2175">
        <v>-25.06</v>
      </c>
      <c r="AO2175">
        <v>-1.34</v>
      </c>
      <c r="AP2175">
        <v>-29.39</v>
      </c>
    </row>
    <row r="2176" spans="1:42">
      <c r="A2176">
        <v>2175</v>
      </c>
      <c r="B2176" t="str">
        <f>"002615"</f>
        <v>002615</v>
      </c>
      <c r="C2176" t="s">
        <v>12041</v>
      </c>
      <c r="D2176">
        <v>7.48</v>
      </c>
      <c r="E2176">
        <v>2.75</v>
      </c>
      <c r="F2176">
        <v>0.2</v>
      </c>
      <c r="G2176" t="s">
        <v>2960</v>
      </c>
      <c r="H2176">
        <v>1573</v>
      </c>
      <c r="I2176">
        <v>7.47</v>
      </c>
      <c r="J2176">
        <v>7.48</v>
      </c>
      <c r="K2176" t="s">
        <v>12042</v>
      </c>
      <c r="L2176">
        <v>4.05</v>
      </c>
      <c r="M2176" t="s">
        <v>46</v>
      </c>
      <c r="N2176" t="s">
        <v>5282</v>
      </c>
      <c r="O2176">
        <v>7.52</v>
      </c>
      <c r="P2176">
        <v>7.28</v>
      </c>
      <c r="Q2176">
        <v>7.28</v>
      </c>
      <c r="R2176">
        <v>7.28</v>
      </c>
      <c r="S2176">
        <v>3.3</v>
      </c>
      <c r="T2176">
        <v>1.09</v>
      </c>
      <c r="U2176">
        <v>-45.47</v>
      </c>
      <c r="V2176">
        <v>-1316</v>
      </c>
      <c r="W2176">
        <v>7.42</v>
      </c>
      <c r="X2176" t="s">
        <v>5435</v>
      </c>
      <c r="Y2176" t="s">
        <v>2836</v>
      </c>
      <c r="Z2176">
        <v>0.68</v>
      </c>
      <c r="AA2176">
        <v>285</v>
      </c>
      <c r="AB2176">
        <v>164</v>
      </c>
      <c r="AC2176">
        <v>2.58</v>
      </c>
      <c r="AD2176" t="s">
        <v>10286</v>
      </c>
      <c r="AE2176" t="s">
        <v>4097</v>
      </c>
      <c r="AF2176" t="s">
        <v>12043</v>
      </c>
      <c r="AG2176" t="s">
        <v>12044</v>
      </c>
      <c r="AH2176">
        <v>1.49</v>
      </c>
      <c r="AI2176">
        <v>-1.58</v>
      </c>
      <c r="AJ2176">
        <v>9.78</v>
      </c>
      <c r="AK2176">
        <v>22.7</v>
      </c>
      <c r="AL2176">
        <v>1</v>
      </c>
      <c r="AM2176">
        <v>2.75</v>
      </c>
      <c r="AN2176">
        <v>28.52</v>
      </c>
      <c r="AO2176">
        <v>-11.9</v>
      </c>
      <c r="AP2176">
        <v>24.67</v>
      </c>
    </row>
    <row r="2177" spans="1:42">
      <c r="A2177">
        <v>2176</v>
      </c>
      <c r="B2177" t="str">
        <f>"002729"</f>
        <v>002729</v>
      </c>
      <c r="C2177" t="s">
        <v>12045</v>
      </c>
      <c r="D2177">
        <v>21.53</v>
      </c>
      <c r="E2177">
        <v>1.08</v>
      </c>
      <c r="F2177">
        <v>0.23</v>
      </c>
      <c r="G2177" t="s">
        <v>4724</v>
      </c>
      <c r="H2177">
        <v>769</v>
      </c>
      <c r="I2177">
        <v>21.53</v>
      </c>
      <c r="J2177">
        <v>21.54</v>
      </c>
      <c r="K2177" t="s">
        <v>12046</v>
      </c>
      <c r="L2177">
        <v>2.3</v>
      </c>
      <c r="M2177" t="s">
        <v>46</v>
      </c>
      <c r="N2177" t="s">
        <v>7108</v>
      </c>
      <c r="O2177">
        <v>21.57</v>
      </c>
      <c r="P2177">
        <v>21.02</v>
      </c>
      <c r="Q2177">
        <v>21.31</v>
      </c>
      <c r="R2177">
        <v>21.3</v>
      </c>
      <c r="S2177">
        <v>2.58</v>
      </c>
      <c r="T2177">
        <v>0.54</v>
      </c>
      <c r="U2177">
        <v>-32.82</v>
      </c>
      <c r="V2177">
        <v>-300</v>
      </c>
      <c r="W2177">
        <v>21.35</v>
      </c>
      <c r="X2177" t="s">
        <v>1590</v>
      </c>
      <c r="Y2177" t="s">
        <v>5237</v>
      </c>
      <c r="Z2177">
        <v>0.98</v>
      </c>
      <c r="AA2177">
        <v>12</v>
      </c>
      <c r="AB2177">
        <v>246</v>
      </c>
      <c r="AC2177">
        <v>8.07</v>
      </c>
      <c r="AD2177" t="s">
        <v>12047</v>
      </c>
      <c r="AE2177" t="s">
        <v>12048</v>
      </c>
      <c r="AF2177" t="s">
        <v>12049</v>
      </c>
      <c r="AG2177" t="s">
        <v>12050</v>
      </c>
      <c r="AH2177">
        <v>-3.41</v>
      </c>
      <c r="AI2177">
        <v>-5.24</v>
      </c>
      <c r="AJ2177">
        <v>9.07</v>
      </c>
      <c r="AK2177">
        <v>23.4</v>
      </c>
      <c r="AL2177">
        <v>1</v>
      </c>
      <c r="AM2177">
        <v>1.08</v>
      </c>
      <c r="AN2177">
        <v>-15</v>
      </c>
      <c r="AO2177">
        <v>1.65</v>
      </c>
      <c r="AP2177">
        <v>-39.11</v>
      </c>
    </row>
    <row r="2178" spans="1:42">
      <c r="A2178">
        <v>2177</v>
      </c>
      <c r="B2178" t="str">
        <f>"301162"</f>
        <v>301162</v>
      </c>
      <c r="C2178" t="s">
        <v>12051</v>
      </c>
      <c r="D2178">
        <v>51.24</v>
      </c>
      <c r="E2178">
        <v>-2.18</v>
      </c>
      <c r="F2178">
        <v>-1.14</v>
      </c>
      <c r="G2178" t="s">
        <v>5997</v>
      </c>
      <c r="H2178">
        <v>220</v>
      </c>
      <c r="I2178">
        <v>51.24</v>
      </c>
      <c r="J2178">
        <v>51.25</v>
      </c>
      <c r="K2178" t="s">
        <v>12052</v>
      </c>
      <c r="L2178">
        <v>2.78</v>
      </c>
      <c r="M2178" t="s">
        <v>46</v>
      </c>
      <c r="N2178" t="s">
        <v>3266</v>
      </c>
      <c r="O2178">
        <v>52.95</v>
      </c>
      <c r="P2178">
        <v>50.5</v>
      </c>
      <c r="Q2178">
        <v>52.58</v>
      </c>
      <c r="R2178">
        <v>52.38</v>
      </c>
      <c r="S2178">
        <v>4.68</v>
      </c>
      <c r="T2178">
        <v>1.31</v>
      </c>
      <c r="U2178">
        <v>-80.41</v>
      </c>
      <c r="V2178">
        <v>-427</v>
      </c>
      <c r="W2178">
        <v>51.16</v>
      </c>
      <c r="X2178">
        <v>8123</v>
      </c>
      <c r="Y2178">
        <v>8693</v>
      </c>
      <c r="Z2178">
        <v>0.93</v>
      </c>
      <c r="AA2178">
        <v>2</v>
      </c>
      <c r="AB2178">
        <v>4</v>
      </c>
      <c r="AC2178">
        <v>4.92</v>
      </c>
      <c r="AD2178" t="s">
        <v>12053</v>
      </c>
      <c r="AE2178" t="s">
        <v>12054</v>
      </c>
      <c r="AF2178" t="s">
        <v>12055</v>
      </c>
      <c r="AG2178" t="s">
        <v>12056</v>
      </c>
      <c r="AH2178">
        <v>-9.44</v>
      </c>
      <c r="AI2178">
        <v>-15.72</v>
      </c>
      <c r="AJ2178">
        <v>8.21</v>
      </c>
      <c r="AK2178">
        <v>13.36</v>
      </c>
      <c r="AL2178">
        <v>-4</v>
      </c>
      <c r="AM2178">
        <v>-2.18</v>
      </c>
      <c r="AN2178">
        <v>-17.81</v>
      </c>
      <c r="AO2178">
        <v>-18.21</v>
      </c>
      <c r="AP2178">
        <v>-14.07</v>
      </c>
    </row>
    <row r="2179" spans="1:42">
      <c r="A2179">
        <v>2178</v>
      </c>
      <c r="B2179" t="str">
        <f>"000960"</f>
        <v>000960</v>
      </c>
      <c r="C2179" t="s">
        <v>12057</v>
      </c>
      <c r="D2179">
        <v>13.85</v>
      </c>
      <c r="E2179">
        <v>0.36</v>
      </c>
      <c r="F2179">
        <v>0.05</v>
      </c>
      <c r="G2179" t="s">
        <v>3365</v>
      </c>
      <c r="H2179">
        <v>1181</v>
      </c>
      <c r="I2179">
        <v>13.85</v>
      </c>
      <c r="J2179">
        <v>13.86</v>
      </c>
      <c r="K2179" t="s">
        <v>12058</v>
      </c>
      <c r="L2179">
        <v>0.38</v>
      </c>
      <c r="M2179" t="s">
        <v>46</v>
      </c>
      <c r="N2179" t="s">
        <v>12059</v>
      </c>
      <c r="O2179">
        <v>13.9</v>
      </c>
      <c r="P2179">
        <v>13.7</v>
      </c>
      <c r="Q2179">
        <v>13.86</v>
      </c>
      <c r="R2179">
        <v>13.8</v>
      </c>
      <c r="S2179">
        <v>1.45</v>
      </c>
      <c r="T2179">
        <v>0.6</v>
      </c>
      <c r="U2179">
        <v>-61.51</v>
      </c>
      <c r="V2179">
        <v>-4717</v>
      </c>
      <c r="W2179">
        <v>13.79</v>
      </c>
      <c r="X2179" t="s">
        <v>1604</v>
      </c>
      <c r="Y2179" t="s">
        <v>3032</v>
      </c>
      <c r="Z2179">
        <v>1.23</v>
      </c>
      <c r="AA2179">
        <v>254</v>
      </c>
      <c r="AB2179">
        <v>1000</v>
      </c>
      <c r="AC2179">
        <v>1.3</v>
      </c>
      <c r="AD2179" t="s">
        <v>12060</v>
      </c>
      <c r="AE2179" t="s">
        <v>12061</v>
      </c>
      <c r="AF2179" t="s">
        <v>12060</v>
      </c>
      <c r="AG2179" t="s">
        <v>12061</v>
      </c>
      <c r="AH2179">
        <v>0.14</v>
      </c>
      <c r="AI2179">
        <v>-1.14</v>
      </c>
      <c r="AJ2179">
        <v>1.52</v>
      </c>
      <c r="AK2179">
        <v>3.52</v>
      </c>
      <c r="AL2179">
        <v>1</v>
      </c>
      <c r="AM2179">
        <v>0.36</v>
      </c>
      <c r="AN2179">
        <v>-0.93</v>
      </c>
      <c r="AO2179">
        <v>-1.91</v>
      </c>
      <c r="AP2179">
        <v>7.12</v>
      </c>
    </row>
    <row r="2180" spans="1:42">
      <c r="A2180">
        <v>2179</v>
      </c>
      <c r="B2180" t="str">
        <f>"002658"</f>
        <v>002658</v>
      </c>
      <c r="C2180" t="s">
        <v>12062</v>
      </c>
      <c r="D2180">
        <v>8.74</v>
      </c>
      <c r="E2180">
        <v>1.51</v>
      </c>
      <c r="F2180">
        <v>0.13</v>
      </c>
      <c r="G2180" t="s">
        <v>5288</v>
      </c>
      <c r="H2180">
        <v>2063</v>
      </c>
      <c r="I2180">
        <v>8.73</v>
      </c>
      <c r="J2180">
        <v>8.74</v>
      </c>
      <c r="K2180" t="s">
        <v>12063</v>
      </c>
      <c r="L2180">
        <v>2.8</v>
      </c>
      <c r="M2180" t="s">
        <v>46</v>
      </c>
      <c r="N2180" t="s">
        <v>12064</v>
      </c>
      <c r="O2180">
        <v>8.81</v>
      </c>
      <c r="P2180">
        <v>8.45</v>
      </c>
      <c r="Q2180">
        <v>8.56</v>
      </c>
      <c r="R2180">
        <v>8.61</v>
      </c>
      <c r="S2180">
        <v>4.18</v>
      </c>
      <c r="T2180">
        <v>0.69</v>
      </c>
      <c r="U2180">
        <v>-13.2</v>
      </c>
      <c r="V2180">
        <v>-777</v>
      </c>
      <c r="W2180">
        <v>8.69</v>
      </c>
      <c r="X2180" t="s">
        <v>777</v>
      </c>
      <c r="Y2180" t="s">
        <v>6604</v>
      </c>
      <c r="Z2180">
        <v>0.77</v>
      </c>
      <c r="AA2180">
        <v>514</v>
      </c>
      <c r="AB2180">
        <v>459</v>
      </c>
      <c r="AC2180">
        <v>2.23</v>
      </c>
      <c r="AD2180" t="s">
        <v>12065</v>
      </c>
      <c r="AE2180" t="s">
        <v>12066</v>
      </c>
      <c r="AF2180" t="s">
        <v>12067</v>
      </c>
      <c r="AG2180" t="s">
        <v>12068</v>
      </c>
      <c r="AH2180">
        <v>0.46</v>
      </c>
      <c r="AI2180">
        <v>-0.68</v>
      </c>
      <c r="AJ2180">
        <v>11.3</v>
      </c>
      <c r="AK2180">
        <v>23.06</v>
      </c>
      <c r="AL2180">
        <v>1</v>
      </c>
      <c r="AM2180">
        <v>1.51</v>
      </c>
      <c r="AN2180">
        <v>12.63</v>
      </c>
      <c r="AO2180">
        <v>6.72</v>
      </c>
      <c r="AP2180">
        <v>8.84</v>
      </c>
    </row>
    <row r="2181" spans="1:42">
      <c r="A2181">
        <v>2180</v>
      </c>
      <c r="B2181" t="str">
        <f>"603166"</f>
        <v>603166</v>
      </c>
      <c r="C2181" t="s">
        <v>12069</v>
      </c>
      <c r="D2181">
        <v>7.58</v>
      </c>
      <c r="E2181">
        <v>0.26</v>
      </c>
      <c r="F2181">
        <v>0.02</v>
      </c>
      <c r="G2181" t="s">
        <v>4369</v>
      </c>
      <c r="H2181">
        <v>1352</v>
      </c>
      <c r="I2181">
        <v>7.58</v>
      </c>
      <c r="J2181">
        <v>7.59</v>
      </c>
      <c r="K2181" t="s">
        <v>9365</v>
      </c>
      <c r="L2181">
        <v>1.77</v>
      </c>
      <c r="M2181" t="s">
        <v>46</v>
      </c>
      <c r="N2181" t="s">
        <v>12070</v>
      </c>
      <c r="O2181">
        <v>7.6</v>
      </c>
      <c r="P2181">
        <v>7.36</v>
      </c>
      <c r="Q2181">
        <v>7.56</v>
      </c>
      <c r="R2181">
        <v>7.56</v>
      </c>
      <c r="S2181">
        <v>3.17</v>
      </c>
      <c r="T2181">
        <v>0.72</v>
      </c>
      <c r="U2181">
        <v>-9.88</v>
      </c>
      <c r="V2181">
        <v>-404</v>
      </c>
      <c r="W2181">
        <v>7.51</v>
      </c>
      <c r="X2181" t="s">
        <v>4381</v>
      </c>
      <c r="Y2181" t="s">
        <v>12071</v>
      </c>
      <c r="Z2181">
        <v>1.03</v>
      </c>
      <c r="AA2181">
        <v>400</v>
      </c>
      <c r="AB2181">
        <v>729</v>
      </c>
      <c r="AC2181">
        <v>2.09</v>
      </c>
      <c r="AD2181" t="s">
        <v>12072</v>
      </c>
      <c r="AE2181" t="s">
        <v>12073</v>
      </c>
      <c r="AF2181" t="s">
        <v>12072</v>
      </c>
      <c r="AG2181" t="s">
        <v>12073</v>
      </c>
      <c r="AH2181">
        <v>-2.57</v>
      </c>
      <c r="AI2181">
        <v>-2.7</v>
      </c>
      <c r="AJ2181">
        <v>5.52</v>
      </c>
      <c r="AK2181">
        <v>14.06</v>
      </c>
      <c r="AL2181">
        <v>1</v>
      </c>
      <c r="AM2181">
        <v>0.26</v>
      </c>
      <c r="AN2181">
        <v>24.67</v>
      </c>
      <c r="AO2181">
        <v>6.61</v>
      </c>
      <c r="AP2181">
        <v>13.98</v>
      </c>
    </row>
    <row r="2182" spans="1:42">
      <c r="A2182">
        <v>2181</v>
      </c>
      <c r="B2182" t="str">
        <f>"688266"</f>
        <v>688266</v>
      </c>
      <c r="C2182" t="s">
        <v>12074</v>
      </c>
      <c r="D2182">
        <v>49.28</v>
      </c>
      <c r="E2182">
        <v>1.82</v>
      </c>
      <c r="F2182">
        <v>0.88</v>
      </c>
      <c r="G2182" t="s">
        <v>2575</v>
      </c>
      <c r="H2182">
        <v>98</v>
      </c>
      <c r="I2182">
        <v>49.26</v>
      </c>
      <c r="J2182">
        <v>49.28</v>
      </c>
      <c r="K2182" t="s">
        <v>12075</v>
      </c>
      <c r="L2182">
        <v>1.04</v>
      </c>
      <c r="M2182" t="s">
        <v>46</v>
      </c>
      <c r="N2182" t="s">
        <v>5134</v>
      </c>
      <c r="O2182">
        <v>49.66</v>
      </c>
      <c r="P2182">
        <v>48.1</v>
      </c>
      <c r="Q2182">
        <v>48.3</v>
      </c>
      <c r="R2182">
        <v>48.4</v>
      </c>
      <c r="S2182">
        <v>3.22</v>
      </c>
      <c r="T2182">
        <v>1.34</v>
      </c>
      <c r="U2182">
        <v>-76.32</v>
      </c>
      <c r="V2182">
        <v>-271</v>
      </c>
      <c r="W2182">
        <v>48.91</v>
      </c>
      <c r="X2182">
        <v>6815</v>
      </c>
      <c r="Y2182" t="s">
        <v>2147</v>
      </c>
      <c r="Z2182">
        <v>0.64</v>
      </c>
      <c r="AA2182">
        <v>10</v>
      </c>
      <c r="AB2182">
        <v>5</v>
      </c>
      <c r="AC2182">
        <v>7.53</v>
      </c>
      <c r="AD2182" t="s">
        <v>12076</v>
      </c>
      <c r="AE2182" t="s">
        <v>12077</v>
      </c>
      <c r="AF2182" t="s">
        <v>12078</v>
      </c>
      <c r="AG2182" t="s">
        <v>12079</v>
      </c>
      <c r="AH2182">
        <v>2.71</v>
      </c>
      <c r="AI2182">
        <v>3.68</v>
      </c>
      <c r="AJ2182">
        <v>2.29</v>
      </c>
      <c r="AK2182">
        <v>4.94</v>
      </c>
      <c r="AL2182">
        <v>5</v>
      </c>
      <c r="AM2182">
        <v>1.82</v>
      </c>
      <c r="AN2182">
        <v>18.18</v>
      </c>
      <c r="AO2182">
        <v>9.34</v>
      </c>
      <c r="AP2182">
        <v>21.5</v>
      </c>
    </row>
    <row r="2183" spans="1:42">
      <c r="A2183">
        <v>2182</v>
      </c>
      <c r="B2183" t="str">
        <f>"601005"</f>
        <v>601005</v>
      </c>
      <c r="C2183" t="s">
        <v>12080</v>
      </c>
      <c r="D2183">
        <v>1.47</v>
      </c>
      <c r="E2183">
        <v>0.68</v>
      </c>
      <c r="F2183">
        <v>0.01</v>
      </c>
      <c r="G2183" t="s">
        <v>1779</v>
      </c>
      <c r="H2183" t="s">
        <v>5585</v>
      </c>
      <c r="I2183">
        <v>1.47</v>
      </c>
      <c r="J2183">
        <v>1.48</v>
      </c>
      <c r="K2183" t="s">
        <v>12081</v>
      </c>
      <c r="L2183">
        <v>0.7</v>
      </c>
      <c r="M2183" t="s">
        <v>46</v>
      </c>
      <c r="N2183" t="s">
        <v>12082</v>
      </c>
      <c r="O2183">
        <v>1.48</v>
      </c>
      <c r="P2183">
        <v>1.45</v>
      </c>
      <c r="Q2183">
        <v>1.46</v>
      </c>
      <c r="R2183">
        <v>1.46</v>
      </c>
      <c r="S2183">
        <v>2.05</v>
      </c>
      <c r="T2183">
        <v>1.09</v>
      </c>
      <c r="U2183">
        <v>-17.26</v>
      </c>
      <c r="V2183" t="s">
        <v>12083</v>
      </c>
      <c r="W2183">
        <v>1.47</v>
      </c>
      <c r="X2183" t="s">
        <v>486</v>
      </c>
      <c r="Y2183" t="s">
        <v>1326</v>
      </c>
      <c r="Z2183">
        <v>0.53</v>
      </c>
      <c r="AA2183" t="s">
        <v>5578</v>
      </c>
      <c r="AB2183" t="s">
        <v>11500</v>
      </c>
      <c r="AC2183">
        <v>0.63</v>
      </c>
      <c r="AD2183" t="s">
        <v>12084</v>
      </c>
      <c r="AE2183" t="s">
        <v>1130</v>
      </c>
      <c r="AF2183" t="s">
        <v>10814</v>
      </c>
      <c r="AG2183" t="s">
        <v>3929</v>
      </c>
      <c r="AH2183">
        <v>0</v>
      </c>
      <c r="AI2183">
        <v>-2</v>
      </c>
      <c r="AJ2183">
        <v>1.68</v>
      </c>
      <c r="AK2183">
        <v>3.9</v>
      </c>
      <c r="AL2183">
        <v>1</v>
      </c>
      <c r="AM2183">
        <v>0.68</v>
      </c>
      <c r="AN2183">
        <v>-6.96</v>
      </c>
      <c r="AO2183">
        <v>0</v>
      </c>
      <c r="AP2183">
        <v>-9.26</v>
      </c>
    </row>
    <row r="2184" spans="1:42">
      <c r="A2184">
        <v>2183</v>
      </c>
      <c r="B2184" t="str">
        <f>"603666"</f>
        <v>603666</v>
      </c>
      <c r="C2184" t="s">
        <v>12085</v>
      </c>
      <c r="D2184">
        <v>32.4</v>
      </c>
      <c r="E2184">
        <v>0.09</v>
      </c>
      <c r="F2184">
        <v>0.03</v>
      </c>
      <c r="G2184" t="s">
        <v>10910</v>
      </c>
      <c r="H2184">
        <v>189</v>
      </c>
      <c r="I2184">
        <v>32.4</v>
      </c>
      <c r="J2184">
        <v>32.41</v>
      </c>
      <c r="K2184" t="s">
        <v>12086</v>
      </c>
      <c r="L2184">
        <v>1.3</v>
      </c>
      <c r="M2184" t="s">
        <v>46</v>
      </c>
      <c r="N2184" t="s">
        <v>3778</v>
      </c>
      <c r="O2184">
        <v>32.9</v>
      </c>
      <c r="P2184">
        <v>31.39</v>
      </c>
      <c r="Q2184">
        <v>32.3</v>
      </c>
      <c r="R2184">
        <v>32.37</v>
      </c>
      <c r="S2184">
        <v>4.66</v>
      </c>
      <c r="T2184">
        <v>1.27</v>
      </c>
      <c r="U2184">
        <v>-54.8</v>
      </c>
      <c r="V2184">
        <v>-97</v>
      </c>
      <c r="W2184">
        <v>31.87</v>
      </c>
      <c r="X2184" t="s">
        <v>6867</v>
      </c>
      <c r="Y2184" t="s">
        <v>905</v>
      </c>
      <c r="Z2184">
        <v>1.16</v>
      </c>
      <c r="AA2184">
        <v>24</v>
      </c>
      <c r="AB2184">
        <v>5</v>
      </c>
      <c r="AC2184">
        <v>2.91</v>
      </c>
      <c r="AD2184" t="s">
        <v>12087</v>
      </c>
      <c r="AE2184" t="s">
        <v>12088</v>
      </c>
      <c r="AF2184" t="s">
        <v>12087</v>
      </c>
      <c r="AG2184" t="s">
        <v>12088</v>
      </c>
      <c r="AH2184">
        <v>-0.49</v>
      </c>
      <c r="AI2184">
        <v>-3.77</v>
      </c>
      <c r="AJ2184">
        <v>3.75</v>
      </c>
      <c r="AK2184">
        <v>6.44</v>
      </c>
      <c r="AL2184">
        <v>1</v>
      </c>
      <c r="AM2184">
        <v>0.09</v>
      </c>
      <c r="AN2184">
        <v>1.92</v>
      </c>
      <c r="AO2184">
        <v>1</v>
      </c>
      <c r="AP2184">
        <v>-17.97</v>
      </c>
    </row>
    <row r="2185" spans="1:42">
      <c r="A2185">
        <v>2184</v>
      </c>
      <c r="B2185" t="str">
        <f>"002182"</f>
        <v>002182</v>
      </c>
      <c r="C2185" t="s">
        <v>12089</v>
      </c>
      <c r="D2185">
        <v>19.49</v>
      </c>
      <c r="E2185">
        <v>-0.46</v>
      </c>
      <c r="F2185">
        <v>-0.09</v>
      </c>
      <c r="G2185" t="s">
        <v>3103</v>
      </c>
      <c r="H2185">
        <v>364</v>
      </c>
      <c r="I2185">
        <v>19.49</v>
      </c>
      <c r="J2185">
        <v>19.5</v>
      </c>
      <c r="K2185" t="s">
        <v>12090</v>
      </c>
      <c r="L2185">
        <v>0.79</v>
      </c>
      <c r="M2185" t="s">
        <v>46</v>
      </c>
      <c r="N2185" t="s">
        <v>12091</v>
      </c>
      <c r="O2185">
        <v>19.83</v>
      </c>
      <c r="P2185">
        <v>19.33</v>
      </c>
      <c r="Q2185">
        <v>19.58</v>
      </c>
      <c r="R2185">
        <v>19.58</v>
      </c>
      <c r="S2185">
        <v>2.55</v>
      </c>
      <c r="T2185">
        <v>0.88</v>
      </c>
      <c r="U2185">
        <v>19.33</v>
      </c>
      <c r="V2185">
        <v>184</v>
      </c>
      <c r="W2185">
        <v>19.46</v>
      </c>
      <c r="X2185" t="s">
        <v>9272</v>
      </c>
      <c r="Y2185" t="s">
        <v>5585</v>
      </c>
      <c r="Z2185">
        <v>1.25</v>
      </c>
      <c r="AA2185">
        <v>99</v>
      </c>
      <c r="AB2185">
        <v>97</v>
      </c>
      <c r="AC2185">
        <v>2.67</v>
      </c>
      <c r="AD2185" t="s">
        <v>12092</v>
      </c>
      <c r="AE2185" t="s">
        <v>4848</v>
      </c>
      <c r="AF2185" t="s">
        <v>12093</v>
      </c>
      <c r="AG2185" t="s">
        <v>12094</v>
      </c>
      <c r="AH2185">
        <v>-2.89</v>
      </c>
      <c r="AI2185">
        <v>-5.3</v>
      </c>
      <c r="AJ2185">
        <v>2.39</v>
      </c>
      <c r="AK2185">
        <v>5.25</v>
      </c>
      <c r="AL2185">
        <v>-3</v>
      </c>
      <c r="AM2185">
        <v>-0.46</v>
      </c>
      <c r="AN2185">
        <v>-7.19</v>
      </c>
      <c r="AO2185">
        <v>-4.83</v>
      </c>
      <c r="AP2185">
        <v>-3.08</v>
      </c>
    </row>
    <row r="2186" spans="1:42">
      <c r="A2186">
        <v>2185</v>
      </c>
      <c r="B2186" t="str">
        <f>"688612"</f>
        <v>688612</v>
      </c>
      <c r="C2186" t="s">
        <v>12095</v>
      </c>
      <c r="D2186">
        <v>41.31</v>
      </c>
      <c r="E2186">
        <v>-0.67</v>
      </c>
      <c r="F2186">
        <v>-0.28</v>
      </c>
      <c r="G2186" t="s">
        <v>8073</v>
      </c>
      <c r="H2186">
        <v>286</v>
      </c>
      <c r="I2186">
        <v>41.31</v>
      </c>
      <c r="J2186">
        <v>41.32</v>
      </c>
      <c r="K2186" t="s">
        <v>12096</v>
      </c>
      <c r="L2186">
        <v>6.57</v>
      </c>
      <c r="M2186" t="s">
        <v>46</v>
      </c>
      <c r="N2186" t="s">
        <v>7333</v>
      </c>
      <c r="O2186">
        <v>42.7</v>
      </c>
      <c r="P2186">
        <v>40.6</v>
      </c>
      <c r="Q2186">
        <v>41.26</v>
      </c>
      <c r="R2186">
        <v>41.59</v>
      </c>
      <c r="S2186">
        <v>5.05</v>
      </c>
      <c r="T2186">
        <v>0.67</v>
      </c>
      <c r="U2186">
        <v>4.38</v>
      </c>
      <c r="V2186">
        <v>10</v>
      </c>
      <c r="W2186">
        <v>41.45</v>
      </c>
      <c r="X2186" t="s">
        <v>2147</v>
      </c>
      <c r="Y2186">
        <v>9836</v>
      </c>
      <c r="Z2186">
        <v>1.09</v>
      </c>
      <c r="AA2186">
        <v>51</v>
      </c>
      <c r="AB2186">
        <v>49</v>
      </c>
      <c r="AC2186">
        <v>5.78</v>
      </c>
      <c r="AD2186" t="s">
        <v>12097</v>
      </c>
      <c r="AE2186" t="s">
        <v>12098</v>
      </c>
      <c r="AF2186" t="s">
        <v>12099</v>
      </c>
      <c r="AG2186" t="s">
        <v>2897</v>
      </c>
      <c r="AH2186">
        <v>-0.15</v>
      </c>
      <c r="AI2186">
        <v>2</v>
      </c>
      <c r="AJ2186">
        <v>28.19</v>
      </c>
      <c r="AK2186">
        <v>55.29</v>
      </c>
      <c r="AL2186">
        <v>-2</v>
      </c>
      <c r="AM2186">
        <v>-0.67</v>
      </c>
      <c r="AN2186">
        <v>-12.65</v>
      </c>
      <c r="AO2186">
        <v>12.99</v>
      </c>
      <c r="AP2186">
        <v>-12.65</v>
      </c>
    </row>
    <row r="2187" spans="1:42">
      <c r="A2187">
        <v>2186</v>
      </c>
      <c r="B2187" t="str">
        <f>"601577"</f>
        <v>601577</v>
      </c>
      <c r="C2187" t="s">
        <v>12100</v>
      </c>
      <c r="D2187">
        <v>6.84</v>
      </c>
      <c r="E2187">
        <v>0.74</v>
      </c>
      <c r="F2187">
        <v>0.05</v>
      </c>
      <c r="G2187" t="s">
        <v>1986</v>
      </c>
      <c r="H2187">
        <v>1348</v>
      </c>
      <c r="I2187">
        <v>6.83</v>
      </c>
      <c r="J2187">
        <v>6.84</v>
      </c>
      <c r="K2187" t="s">
        <v>12101</v>
      </c>
      <c r="L2187">
        <v>0.31</v>
      </c>
      <c r="M2187" t="s">
        <v>46</v>
      </c>
      <c r="N2187" t="s">
        <v>7542</v>
      </c>
      <c r="O2187">
        <v>6.86</v>
      </c>
      <c r="P2187">
        <v>6.8</v>
      </c>
      <c r="Q2187">
        <v>6.81</v>
      </c>
      <c r="R2187">
        <v>6.79</v>
      </c>
      <c r="S2187">
        <v>0.88</v>
      </c>
      <c r="T2187">
        <v>0.8</v>
      </c>
      <c r="U2187">
        <v>-5.93</v>
      </c>
      <c r="V2187">
        <v>-593</v>
      </c>
      <c r="W2187">
        <v>6.84</v>
      </c>
      <c r="X2187" t="s">
        <v>5064</v>
      </c>
      <c r="Y2187" t="s">
        <v>2674</v>
      </c>
      <c r="Z2187">
        <v>0.82</v>
      </c>
      <c r="AA2187">
        <v>980</v>
      </c>
      <c r="AB2187">
        <v>201</v>
      </c>
      <c r="AC2187">
        <v>0.47</v>
      </c>
      <c r="AD2187" t="s">
        <v>12102</v>
      </c>
      <c r="AE2187" t="s">
        <v>316</v>
      </c>
      <c r="AF2187" t="s">
        <v>12103</v>
      </c>
      <c r="AG2187" t="s">
        <v>12104</v>
      </c>
      <c r="AH2187">
        <v>-0.87</v>
      </c>
      <c r="AI2187">
        <v>-2.56</v>
      </c>
      <c r="AJ2187">
        <v>1.05</v>
      </c>
      <c r="AK2187">
        <v>2.25</v>
      </c>
      <c r="AL2187">
        <v>1</v>
      </c>
      <c r="AM2187">
        <v>0.74</v>
      </c>
      <c r="AN2187">
        <v>6.71</v>
      </c>
      <c r="AO2187">
        <v>-6.81</v>
      </c>
      <c r="AP2187">
        <v>7.89</v>
      </c>
    </row>
    <row r="2188" spans="1:42">
      <c r="A2188">
        <v>2187</v>
      </c>
      <c r="B2188" t="str">
        <f>"003000"</f>
        <v>003000</v>
      </c>
      <c r="C2188" t="s">
        <v>12105</v>
      </c>
      <c r="D2188">
        <v>12.51</v>
      </c>
      <c r="E2188">
        <v>-0.24</v>
      </c>
      <c r="F2188">
        <v>-0.03</v>
      </c>
      <c r="G2188" t="s">
        <v>5099</v>
      </c>
      <c r="H2188">
        <v>143</v>
      </c>
      <c r="I2188">
        <v>12.5</v>
      </c>
      <c r="J2188">
        <v>12.51</v>
      </c>
      <c r="K2188" t="s">
        <v>12106</v>
      </c>
      <c r="L2188">
        <v>3.04</v>
      </c>
      <c r="M2188" t="s">
        <v>46</v>
      </c>
      <c r="N2188" t="s">
        <v>2959</v>
      </c>
      <c r="O2188">
        <v>12.77</v>
      </c>
      <c r="P2188">
        <v>12.43</v>
      </c>
      <c r="Q2188">
        <v>12.55</v>
      </c>
      <c r="R2188">
        <v>12.54</v>
      </c>
      <c r="S2188">
        <v>2.71</v>
      </c>
      <c r="T2188">
        <v>1.65</v>
      </c>
      <c r="U2188">
        <v>-53.44</v>
      </c>
      <c r="V2188">
        <v>-342</v>
      </c>
      <c r="W2188">
        <v>12.59</v>
      </c>
      <c r="X2188" t="s">
        <v>7531</v>
      </c>
      <c r="Y2188" t="s">
        <v>8329</v>
      </c>
      <c r="Z2188">
        <v>1.09</v>
      </c>
      <c r="AA2188">
        <v>34</v>
      </c>
      <c r="AB2188">
        <v>259</v>
      </c>
      <c r="AC2188">
        <v>4.54</v>
      </c>
      <c r="AD2188" t="s">
        <v>1895</v>
      </c>
      <c r="AE2188" t="s">
        <v>12107</v>
      </c>
      <c r="AF2188" t="s">
        <v>12108</v>
      </c>
      <c r="AG2188" t="s">
        <v>12109</v>
      </c>
      <c r="AH2188">
        <v>0.16</v>
      </c>
      <c r="AI2188">
        <v>-2.11</v>
      </c>
      <c r="AJ2188">
        <v>6.53</v>
      </c>
      <c r="AK2188">
        <v>12.3</v>
      </c>
      <c r="AL2188">
        <v>-2</v>
      </c>
      <c r="AM2188">
        <v>-0.24</v>
      </c>
      <c r="AN2188">
        <v>8.12</v>
      </c>
      <c r="AO2188">
        <v>6.11</v>
      </c>
      <c r="AP2188">
        <v>20.29</v>
      </c>
    </row>
    <row r="2189" spans="1:42">
      <c r="A2189">
        <v>2188</v>
      </c>
      <c r="B2189" t="str">
        <f>"002853"</f>
        <v>002853</v>
      </c>
      <c r="C2189" t="s">
        <v>12110</v>
      </c>
      <c r="D2189">
        <v>14.1</v>
      </c>
      <c r="E2189">
        <v>4.37</v>
      </c>
      <c r="F2189">
        <v>0.59</v>
      </c>
      <c r="G2189" t="s">
        <v>7214</v>
      </c>
      <c r="H2189">
        <v>499</v>
      </c>
      <c r="I2189">
        <v>14.1</v>
      </c>
      <c r="J2189">
        <v>14.11</v>
      </c>
      <c r="K2189" t="s">
        <v>12111</v>
      </c>
      <c r="L2189">
        <v>4.64</v>
      </c>
      <c r="M2189" t="s">
        <v>46</v>
      </c>
      <c r="N2189" t="s">
        <v>1252</v>
      </c>
      <c r="O2189">
        <v>14.25</v>
      </c>
      <c r="P2189">
        <v>13.33</v>
      </c>
      <c r="Q2189">
        <v>13.5</v>
      </c>
      <c r="R2189">
        <v>13.51</v>
      </c>
      <c r="S2189">
        <v>6.81</v>
      </c>
      <c r="T2189">
        <v>2.82</v>
      </c>
      <c r="U2189">
        <v>11.67</v>
      </c>
      <c r="V2189">
        <v>226</v>
      </c>
      <c r="W2189">
        <v>13.87</v>
      </c>
      <c r="X2189" t="s">
        <v>3121</v>
      </c>
      <c r="Y2189" t="s">
        <v>4970</v>
      </c>
      <c r="Z2189">
        <v>0.81</v>
      </c>
      <c r="AA2189">
        <v>593</v>
      </c>
      <c r="AB2189">
        <v>265</v>
      </c>
      <c r="AC2189">
        <v>1.98</v>
      </c>
      <c r="AD2189" t="s">
        <v>12112</v>
      </c>
      <c r="AE2189" t="s">
        <v>12113</v>
      </c>
      <c r="AF2189" t="s">
        <v>10244</v>
      </c>
      <c r="AG2189" t="s">
        <v>12114</v>
      </c>
      <c r="AH2189">
        <v>2.55</v>
      </c>
      <c r="AI2189">
        <v>0.36</v>
      </c>
      <c r="AJ2189">
        <v>7.83</v>
      </c>
      <c r="AK2189">
        <v>12.88</v>
      </c>
      <c r="AL2189">
        <v>2</v>
      </c>
      <c r="AM2189">
        <v>4.37</v>
      </c>
      <c r="AN2189">
        <v>-27.62</v>
      </c>
      <c r="AO2189">
        <v>-0.21</v>
      </c>
      <c r="AP2189">
        <v>-22.65</v>
      </c>
    </row>
    <row r="2190" spans="1:42">
      <c r="A2190">
        <v>2189</v>
      </c>
      <c r="B2190" t="str">
        <f>"688097"</f>
        <v>688097</v>
      </c>
      <c r="C2190" t="s">
        <v>12115</v>
      </c>
      <c r="D2190">
        <v>31.14</v>
      </c>
      <c r="E2190">
        <v>0.45</v>
      </c>
      <c r="F2190">
        <v>0.14</v>
      </c>
      <c r="G2190" t="s">
        <v>3121</v>
      </c>
      <c r="H2190">
        <v>368</v>
      </c>
      <c r="I2190">
        <v>31.1</v>
      </c>
      <c r="J2190">
        <v>31.14</v>
      </c>
      <c r="K2190" t="s">
        <v>12111</v>
      </c>
      <c r="L2190">
        <v>2.95</v>
      </c>
      <c r="M2190" t="s">
        <v>46</v>
      </c>
      <c r="N2190" t="s">
        <v>3390</v>
      </c>
      <c r="O2190">
        <v>31.52</v>
      </c>
      <c r="P2190">
        <v>30.5</v>
      </c>
      <c r="Q2190">
        <v>30.88</v>
      </c>
      <c r="R2190">
        <v>31</v>
      </c>
      <c r="S2190">
        <v>3.29</v>
      </c>
      <c r="T2190">
        <v>0.87</v>
      </c>
      <c r="U2190">
        <v>-48.29</v>
      </c>
      <c r="V2190">
        <v>-156</v>
      </c>
      <c r="W2190">
        <v>31.09</v>
      </c>
      <c r="X2190" t="s">
        <v>1384</v>
      </c>
      <c r="Y2190" t="s">
        <v>10542</v>
      </c>
      <c r="Z2190">
        <v>0.97</v>
      </c>
      <c r="AA2190">
        <v>10</v>
      </c>
      <c r="AB2190">
        <v>13</v>
      </c>
      <c r="AC2190">
        <v>3.51</v>
      </c>
      <c r="AD2190" t="s">
        <v>12116</v>
      </c>
      <c r="AE2190" t="s">
        <v>6623</v>
      </c>
      <c r="AF2190" t="s">
        <v>12117</v>
      </c>
      <c r="AG2190" t="s">
        <v>10756</v>
      </c>
      <c r="AH2190">
        <v>-0.35</v>
      </c>
      <c r="AI2190">
        <v>3.49</v>
      </c>
      <c r="AJ2190">
        <v>10.89</v>
      </c>
      <c r="AK2190">
        <v>19.83</v>
      </c>
      <c r="AL2190">
        <v>1</v>
      </c>
      <c r="AM2190">
        <v>0.45</v>
      </c>
      <c r="AN2190">
        <v>8.88</v>
      </c>
      <c r="AO2190">
        <v>22.6</v>
      </c>
      <c r="AP2190">
        <v>1.1</v>
      </c>
    </row>
    <row r="2191" spans="1:42">
      <c r="A2191">
        <v>2190</v>
      </c>
      <c r="B2191" t="str">
        <f>"600751"</f>
        <v>600751</v>
      </c>
      <c r="C2191" t="s">
        <v>12118</v>
      </c>
      <c r="D2191">
        <v>2.83</v>
      </c>
      <c r="E2191">
        <v>1.43</v>
      </c>
      <c r="F2191">
        <v>0.04</v>
      </c>
      <c r="G2191" t="s">
        <v>1348</v>
      </c>
      <c r="H2191">
        <v>2386</v>
      </c>
      <c r="I2191">
        <v>2.82</v>
      </c>
      <c r="J2191">
        <v>2.83</v>
      </c>
      <c r="K2191" t="s">
        <v>12119</v>
      </c>
      <c r="L2191">
        <v>1.17</v>
      </c>
      <c r="M2191" t="s">
        <v>46</v>
      </c>
      <c r="N2191" t="s">
        <v>4608</v>
      </c>
      <c r="O2191">
        <v>2.86</v>
      </c>
      <c r="P2191">
        <v>2.76</v>
      </c>
      <c r="Q2191">
        <v>2.79</v>
      </c>
      <c r="R2191">
        <v>2.79</v>
      </c>
      <c r="S2191">
        <v>3.58</v>
      </c>
      <c r="T2191">
        <v>1</v>
      </c>
      <c r="U2191">
        <v>-13.44</v>
      </c>
      <c r="V2191" t="s">
        <v>2232</v>
      </c>
      <c r="W2191">
        <v>2.82</v>
      </c>
      <c r="X2191" t="s">
        <v>2025</v>
      </c>
      <c r="Y2191" t="s">
        <v>1403</v>
      </c>
      <c r="Z2191">
        <v>0.71</v>
      </c>
      <c r="AA2191">
        <v>7320</v>
      </c>
      <c r="AB2191">
        <v>58</v>
      </c>
      <c r="AC2191">
        <v>1.1</v>
      </c>
      <c r="AD2191" t="s">
        <v>8874</v>
      </c>
      <c r="AE2191" t="s">
        <v>12120</v>
      </c>
      <c r="AF2191" t="s">
        <v>12121</v>
      </c>
      <c r="AG2191" t="s">
        <v>10231</v>
      </c>
      <c r="AH2191">
        <v>0.35</v>
      </c>
      <c r="AI2191">
        <v>-3.08</v>
      </c>
      <c r="AJ2191">
        <v>3.55</v>
      </c>
      <c r="AK2191">
        <v>7.03</v>
      </c>
      <c r="AL2191">
        <v>2</v>
      </c>
      <c r="AM2191">
        <v>1.43</v>
      </c>
      <c r="AN2191">
        <v>21.46</v>
      </c>
      <c r="AO2191">
        <v>-0.7</v>
      </c>
      <c r="AP2191">
        <v>15.51</v>
      </c>
    </row>
    <row r="2192" spans="1:42">
      <c r="A2192">
        <v>2191</v>
      </c>
      <c r="B2192" t="str">
        <f>"300077"</f>
        <v>300077</v>
      </c>
      <c r="C2192" t="s">
        <v>12122</v>
      </c>
      <c r="D2192">
        <v>12.07</v>
      </c>
      <c r="E2192">
        <v>2.81</v>
      </c>
      <c r="F2192">
        <v>0.33</v>
      </c>
      <c r="G2192" t="s">
        <v>9217</v>
      </c>
      <c r="H2192">
        <v>1591</v>
      </c>
      <c r="I2192">
        <v>12.07</v>
      </c>
      <c r="J2192">
        <v>12.08</v>
      </c>
      <c r="K2192" t="s">
        <v>12119</v>
      </c>
      <c r="L2192">
        <v>1.26</v>
      </c>
      <c r="M2192" t="s">
        <v>46</v>
      </c>
      <c r="N2192" t="s">
        <v>12123</v>
      </c>
      <c r="O2192">
        <v>12.09</v>
      </c>
      <c r="P2192">
        <v>11.64</v>
      </c>
      <c r="Q2192">
        <v>11.76</v>
      </c>
      <c r="R2192">
        <v>11.74</v>
      </c>
      <c r="S2192">
        <v>3.83</v>
      </c>
      <c r="T2192">
        <v>1.13</v>
      </c>
      <c r="U2192">
        <v>-18.2</v>
      </c>
      <c r="V2192">
        <v>-791</v>
      </c>
      <c r="W2192">
        <v>11.9</v>
      </c>
      <c r="X2192" t="s">
        <v>837</v>
      </c>
      <c r="Y2192" t="s">
        <v>1559</v>
      </c>
      <c r="Z2192">
        <v>0.93</v>
      </c>
      <c r="AA2192">
        <v>531</v>
      </c>
      <c r="AB2192">
        <v>1075</v>
      </c>
      <c r="AC2192">
        <v>4.94</v>
      </c>
      <c r="AD2192" t="s">
        <v>4646</v>
      </c>
      <c r="AE2192" t="s">
        <v>12124</v>
      </c>
      <c r="AF2192" t="s">
        <v>12125</v>
      </c>
      <c r="AG2192" t="s">
        <v>12126</v>
      </c>
      <c r="AH2192">
        <v>0.33</v>
      </c>
      <c r="AI2192">
        <v>-1.79</v>
      </c>
      <c r="AJ2192">
        <v>3.61</v>
      </c>
      <c r="AK2192">
        <v>6.84</v>
      </c>
      <c r="AL2192">
        <v>1</v>
      </c>
      <c r="AM2192">
        <v>2.81</v>
      </c>
      <c r="AN2192">
        <v>-13.48</v>
      </c>
      <c r="AO2192">
        <v>-1.95</v>
      </c>
      <c r="AP2192">
        <v>-27.55</v>
      </c>
    </row>
    <row r="2193" spans="1:42">
      <c r="A2193">
        <v>2192</v>
      </c>
      <c r="B2193" t="str">
        <f>"600269"</f>
        <v>600269</v>
      </c>
      <c r="C2193" t="s">
        <v>12127</v>
      </c>
      <c r="D2193">
        <v>4.21</v>
      </c>
      <c r="E2193">
        <v>1.94</v>
      </c>
      <c r="F2193">
        <v>0.08</v>
      </c>
      <c r="G2193" t="s">
        <v>1925</v>
      </c>
      <c r="H2193">
        <v>2087</v>
      </c>
      <c r="I2193">
        <v>4.2</v>
      </c>
      <c r="J2193">
        <v>4.21</v>
      </c>
      <c r="K2193" t="s">
        <v>12128</v>
      </c>
      <c r="L2193">
        <v>0.87</v>
      </c>
      <c r="M2193" t="s">
        <v>46</v>
      </c>
      <c r="N2193" t="s">
        <v>4167</v>
      </c>
      <c r="O2193">
        <v>4.22</v>
      </c>
      <c r="P2193">
        <v>4.12</v>
      </c>
      <c r="Q2193">
        <v>4.13</v>
      </c>
      <c r="R2193">
        <v>4.13</v>
      </c>
      <c r="S2193">
        <v>2.42</v>
      </c>
      <c r="T2193">
        <v>1.7</v>
      </c>
      <c r="U2193">
        <v>-50.75</v>
      </c>
      <c r="V2193" t="s">
        <v>12129</v>
      </c>
      <c r="W2193">
        <v>4.19</v>
      </c>
      <c r="X2193" t="s">
        <v>3002</v>
      </c>
      <c r="Y2193" t="s">
        <v>368</v>
      </c>
      <c r="Z2193">
        <v>0.51</v>
      </c>
      <c r="AA2193">
        <v>300</v>
      </c>
      <c r="AB2193">
        <v>7465</v>
      </c>
      <c r="AC2193">
        <v>0.56</v>
      </c>
      <c r="AD2193" t="s">
        <v>12130</v>
      </c>
      <c r="AE2193" t="s">
        <v>12131</v>
      </c>
      <c r="AF2193" t="s">
        <v>12130</v>
      </c>
      <c r="AG2193" t="s">
        <v>12131</v>
      </c>
      <c r="AH2193">
        <v>0.96</v>
      </c>
      <c r="AI2193">
        <v>0.96</v>
      </c>
      <c r="AJ2193">
        <v>1.89</v>
      </c>
      <c r="AK2193">
        <v>3.43</v>
      </c>
      <c r="AL2193">
        <v>2</v>
      </c>
      <c r="AM2193">
        <v>1.94</v>
      </c>
      <c r="AN2193">
        <v>27.96</v>
      </c>
      <c r="AO2193">
        <v>0.72</v>
      </c>
      <c r="AP2193">
        <v>31.97</v>
      </c>
    </row>
    <row r="2194" spans="1:42">
      <c r="A2194">
        <v>2193</v>
      </c>
      <c r="B2194" t="str">
        <f>"301267"</f>
        <v>301267</v>
      </c>
      <c r="C2194" t="s">
        <v>12132</v>
      </c>
      <c r="D2194">
        <v>38.63</v>
      </c>
      <c r="E2194">
        <v>-1.28</v>
      </c>
      <c r="F2194">
        <v>-0.5</v>
      </c>
      <c r="G2194" t="s">
        <v>731</v>
      </c>
      <c r="H2194">
        <v>228</v>
      </c>
      <c r="I2194">
        <v>38.62</v>
      </c>
      <c r="J2194">
        <v>38.63</v>
      </c>
      <c r="K2194" t="s">
        <v>12128</v>
      </c>
      <c r="L2194">
        <v>0.67</v>
      </c>
      <c r="M2194" t="s">
        <v>46</v>
      </c>
      <c r="N2194" t="s">
        <v>12133</v>
      </c>
      <c r="O2194">
        <v>39.4</v>
      </c>
      <c r="P2194">
        <v>38.03</v>
      </c>
      <c r="Q2194">
        <v>38.91</v>
      </c>
      <c r="R2194">
        <v>39.13</v>
      </c>
      <c r="S2194">
        <v>3.5</v>
      </c>
      <c r="T2194">
        <v>0.92</v>
      </c>
      <c r="U2194">
        <v>49.04</v>
      </c>
      <c r="V2194">
        <v>77</v>
      </c>
      <c r="W2194">
        <v>38.56</v>
      </c>
      <c r="X2194" t="s">
        <v>905</v>
      </c>
      <c r="Y2194">
        <v>9711</v>
      </c>
      <c r="Z2194">
        <v>1.27</v>
      </c>
      <c r="AA2194">
        <v>7</v>
      </c>
      <c r="AB2194">
        <v>5</v>
      </c>
      <c r="AC2194">
        <v>5.87</v>
      </c>
      <c r="AD2194" t="s">
        <v>4205</v>
      </c>
      <c r="AE2194" t="s">
        <v>12134</v>
      </c>
      <c r="AF2194" t="s">
        <v>4534</v>
      </c>
      <c r="AG2194" t="s">
        <v>10954</v>
      </c>
      <c r="AH2194">
        <v>-1.15</v>
      </c>
      <c r="AI2194">
        <v>-2.87</v>
      </c>
      <c r="AJ2194">
        <v>1.92</v>
      </c>
      <c r="AK2194">
        <v>4.31</v>
      </c>
      <c r="AL2194">
        <v>-2</v>
      </c>
      <c r="AM2194">
        <v>-1.28</v>
      </c>
      <c r="AN2194">
        <v>-20.43</v>
      </c>
      <c r="AO2194">
        <v>-3.28</v>
      </c>
      <c r="AP2194">
        <v>-1.33</v>
      </c>
    </row>
    <row r="2195" spans="1:42">
      <c r="A2195">
        <v>2194</v>
      </c>
      <c r="B2195" t="str">
        <f>"603156"</f>
        <v>603156</v>
      </c>
      <c r="C2195" t="s">
        <v>12135</v>
      </c>
      <c r="D2195">
        <v>22.11</v>
      </c>
      <c r="E2195">
        <v>-1.86</v>
      </c>
      <c r="F2195">
        <v>-0.42</v>
      </c>
      <c r="G2195" t="s">
        <v>6302</v>
      </c>
      <c r="H2195">
        <v>527</v>
      </c>
      <c r="I2195">
        <v>22.08</v>
      </c>
      <c r="J2195">
        <v>22.11</v>
      </c>
      <c r="K2195" t="s">
        <v>12136</v>
      </c>
      <c r="L2195">
        <v>0.3</v>
      </c>
      <c r="M2195" t="s">
        <v>46</v>
      </c>
      <c r="N2195" t="s">
        <v>12137</v>
      </c>
      <c r="O2195">
        <v>22.53</v>
      </c>
      <c r="P2195">
        <v>22.01</v>
      </c>
      <c r="Q2195">
        <v>22.39</v>
      </c>
      <c r="R2195">
        <v>22.53</v>
      </c>
      <c r="S2195">
        <v>2.31</v>
      </c>
      <c r="T2195">
        <v>1.19</v>
      </c>
      <c r="U2195">
        <v>-15.37</v>
      </c>
      <c r="V2195">
        <v>-121</v>
      </c>
      <c r="W2195">
        <v>22.18</v>
      </c>
      <c r="X2195" t="s">
        <v>4976</v>
      </c>
      <c r="Y2195" t="s">
        <v>2878</v>
      </c>
      <c r="Z2195">
        <v>1.1</v>
      </c>
      <c r="AA2195">
        <v>80</v>
      </c>
      <c r="AB2195">
        <v>253</v>
      </c>
      <c r="AC2195">
        <v>2.64</v>
      </c>
      <c r="AD2195" t="s">
        <v>6268</v>
      </c>
      <c r="AE2195" t="s">
        <v>12138</v>
      </c>
      <c r="AF2195" t="s">
        <v>6268</v>
      </c>
      <c r="AG2195" t="s">
        <v>12138</v>
      </c>
      <c r="AH2195">
        <v>-2.38</v>
      </c>
      <c r="AI2195">
        <v>-3.15</v>
      </c>
      <c r="AJ2195">
        <v>0.72</v>
      </c>
      <c r="AK2195">
        <v>1.57</v>
      </c>
      <c r="AL2195">
        <v>-1</v>
      </c>
      <c r="AM2195">
        <v>-1.86</v>
      </c>
      <c r="AN2195">
        <v>8.01</v>
      </c>
      <c r="AO2195">
        <v>-11.2</v>
      </c>
      <c r="AP2195">
        <v>23.18</v>
      </c>
    </row>
    <row r="2196" spans="1:42">
      <c r="A2196">
        <v>2195</v>
      </c>
      <c r="B2196" t="str">
        <f>"000029"</f>
        <v>000029</v>
      </c>
      <c r="C2196" t="s">
        <v>12139</v>
      </c>
      <c r="D2196">
        <v>12.79</v>
      </c>
      <c r="E2196">
        <v>0.24</v>
      </c>
      <c r="F2196">
        <v>0.03</v>
      </c>
      <c r="G2196" t="s">
        <v>9741</v>
      </c>
      <c r="H2196">
        <v>1641</v>
      </c>
      <c r="I2196">
        <v>12.78</v>
      </c>
      <c r="J2196">
        <v>12.79</v>
      </c>
      <c r="K2196" t="s">
        <v>12140</v>
      </c>
      <c r="L2196">
        <v>0.75</v>
      </c>
      <c r="M2196" t="s">
        <v>46</v>
      </c>
      <c r="N2196" t="s">
        <v>4110</v>
      </c>
      <c r="O2196">
        <v>12.94</v>
      </c>
      <c r="P2196">
        <v>12.58</v>
      </c>
      <c r="Q2196">
        <v>12.73</v>
      </c>
      <c r="R2196">
        <v>12.76</v>
      </c>
      <c r="S2196">
        <v>2.82</v>
      </c>
      <c r="T2196">
        <v>0.84</v>
      </c>
      <c r="U2196">
        <v>-86.05</v>
      </c>
      <c r="V2196">
        <v>-7748</v>
      </c>
      <c r="W2196">
        <v>12.75</v>
      </c>
      <c r="X2196" t="s">
        <v>3033</v>
      </c>
      <c r="Y2196" t="s">
        <v>2464</v>
      </c>
      <c r="Z2196">
        <v>0.84</v>
      </c>
      <c r="AA2196">
        <v>39</v>
      </c>
      <c r="AB2196">
        <v>6495</v>
      </c>
      <c r="AC2196">
        <v>3.31</v>
      </c>
      <c r="AD2196" t="s">
        <v>1108</v>
      </c>
      <c r="AE2196" t="s">
        <v>12141</v>
      </c>
      <c r="AF2196" t="s">
        <v>12142</v>
      </c>
      <c r="AG2196" t="s">
        <v>12143</v>
      </c>
      <c r="AH2196">
        <v>2.65</v>
      </c>
      <c r="AI2196">
        <v>-2.22</v>
      </c>
      <c r="AJ2196">
        <v>2.27</v>
      </c>
      <c r="AK2196">
        <v>5.2</v>
      </c>
      <c r="AL2196">
        <v>2</v>
      </c>
      <c r="AM2196">
        <v>0.24</v>
      </c>
      <c r="AN2196">
        <v>-7.52</v>
      </c>
      <c r="AO2196">
        <v>9.13</v>
      </c>
      <c r="AP2196">
        <v>23.1</v>
      </c>
    </row>
    <row r="2197" spans="1:42">
      <c r="A2197">
        <v>2196</v>
      </c>
      <c r="B2197" t="str">
        <f>"000639"</f>
        <v>000639</v>
      </c>
      <c r="C2197" t="s">
        <v>12144</v>
      </c>
      <c r="D2197">
        <v>4.81</v>
      </c>
      <c r="E2197">
        <v>-1.03</v>
      </c>
      <c r="F2197">
        <v>-0.05</v>
      </c>
      <c r="G2197" t="s">
        <v>842</v>
      </c>
      <c r="H2197">
        <v>1327</v>
      </c>
      <c r="I2197">
        <v>4.81</v>
      </c>
      <c r="J2197">
        <v>4.82</v>
      </c>
      <c r="K2197" t="s">
        <v>12140</v>
      </c>
      <c r="L2197">
        <v>1.62</v>
      </c>
      <c r="M2197" t="s">
        <v>46</v>
      </c>
      <c r="N2197" t="s">
        <v>2149</v>
      </c>
      <c r="O2197">
        <v>4.95</v>
      </c>
      <c r="P2197">
        <v>4.79</v>
      </c>
      <c r="Q2197">
        <v>4.82</v>
      </c>
      <c r="R2197">
        <v>4.86</v>
      </c>
      <c r="S2197">
        <v>3.29</v>
      </c>
      <c r="T2197">
        <v>0.56</v>
      </c>
      <c r="U2197">
        <v>38.47</v>
      </c>
      <c r="V2197">
        <v>4662</v>
      </c>
      <c r="W2197">
        <v>4.85</v>
      </c>
      <c r="X2197" t="s">
        <v>1499</v>
      </c>
      <c r="Y2197" t="s">
        <v>613</v>
      </c>
      <c r="Z2197">
        <v>1.39</v>
      </c>
      <c r="AA2197">
        <v>241</v>
      </c>
      <c r="AB2197">
        <v>728</v>
      </c>
      <c r="AC2197">
        <v>1.53</v>
      </c>
      <c r="AD2197" t="s">
        <v>7009</v>
      </c>
      <c r="AE2197" t="s">
        <v>12145</v>
      </c>
      <c r="AF2197" t="s">
        <v>7009</v>
      </c>
      <c r="AG2197" t="s">
        <v>12145</v>
      </c>
      <c r="AH2197">
        <v>0.63</v>
      </c>
      <c r="AI2197">
        <v>8.33</v>
      </c>
      <c r="AJ2197">
        <v>5.71</v>
      </c>
      <c r="AK2197">
        <v>16.12</v>
      </c>
      <c r="AL2197">
        <v>-1</v>
      </c>
      <c r="AM2197">
        <v>-1.03</v>
      </c>
      <c r="AN2197">
        <v>2.12</v>
      </c>
      <c r="AO2197">
        <v>8.82</v>
      </c>
      <c r="AP2197">
        <v>16.75</v>
      </c>
    </row>
    <row r="2198" spans="1:42">
      <c r="A2198">
        <v>2197</v>
      </c>
      <c r="B2198" t="str">
        <f>"000636"</f>
        <v>000636</v>
      </c>
      <c r="C2198" t="s">
        <v>12146</v>
      </c>
      <c r="D2198">
        <v>14.73</v>
      </c>
      <c r="E2198">
        <v>0.89</v>
      </c>
      <c r="F2198">
        <v>0.13</v>
      </c>
      <c r="G2198" t="s">
        <v>6732</v>
      </c>
      <c r="H2198">
        <v>329</v>
      </c>
      <c r="I2198">
        <v>14.73</v>
      </c>
      <c r="J2198">
        <v>14.74</v>
      </c>
      <c r="K2198" t="s">
        <v>12147</v>
      </c>
      <c r="L2198">
        <v>0.54</v>
      </c>
      <c r="M2198" t="s">
        <v>46</v>
      </c>
      <c r="N2198" t="s">
        <v>3390</v>
      </c>
      <c r="O2198">
        <v>14.85</v>
      </c>
      <c r="P2198">
        <v>14.46</v>
      </c>
      <c r="Q2198">
        <v>14.58</v>
      </c>
      <c r="R2198">
        <v>14.6</v>
      </c>
      <c r="S2198">
        <v>2.67</v>
      </c>
      <c r="T2198">
        <v>0.88</v>
      </c>
      <c r="U2198">
        <v>49.82</v>
      </c>
      <c r="V2198">
        <v>705</v>
      </c>
      <c r="W2198">
        <v>14.67</v>
      </c>
      <c r="X2198" t="s">
        <v>8952</v>
      </c>
      <c r="Y2198" t="s">
        <v>6803</v>
      </c>
      <c r="Z2198">
        <v>0.91</v>
      </c>
      <c r="AA2198">
        <v>32</v>
      </c>
      <c r="AB2198">
        <v>43</v>
      </c>
      <c r="AC2198">
        <v>1.43</v>
      </c>
      <c r="AD2198" t="s">
        <v>6386</v>
      </c>
      <c r="AE2198" t="s">
        <v>12148</v>
      </c>
      <c r="AF2198" t="s">
        <v>5935</v>
      </c>
      <c r="AG2198" t="s">
        <v>1544</v>
      </c>
      <c r="AH2198">
        <v>-1.14</v>
      </c>
      <c r="AI2198">
        <v>-0.61</v>
      </c>
      <c r="AJ2198">
        <v>1.58</v>
      </c>
      <c r="AK2198">
        <v>3.58</v>
      </c>
      <c r="AL2198">
        <v>1</v>
      </c>
      <c r="AM2198">
        <v>0.89</v>
      </c>
      <c r="AN2198">
        <v>0</v>
      </c>
      <c r="AO2198">
        <v>-4.41</v>
      </c>
      <c r="AP2198">
        <v>-6.77</v>
      </c>
    </row>
    <row r="2199" spans="1:42">
      <c r="A2199">
        <v>2198</v>
      </c>
      <c r="B2199" t="str">
        <f>"002283"</f>
        <v>002283</v>
      </c>
      <c r="C2199" t="s">
        <v>12149</v>
      </c>
      <c r="D2199">
        <v>6.28</v>
      </c>
      <c r="E2199">
        <v>-2.03</v>
      </c>
      <c r="F2199">
        <v>-0.13</v>
      </c>
      <c r="G2199" t="s">
        <v>4247</v>
      </c>
      <c r="H2199">
        <v>310</v>
      </c>
      <c r="I2199">
        <v>6.27</v>
      </c>
      <c r="J2199">
        <v>6.28</v>
      </c>
      <c r="K2199" t="s">
        <v>12150</v>
      </c>
      <c r="L2199">
        <v>1.34</v>
      </c>
      <c r="M2199" t="s">
        <v>46</v>
      </c>
      <c r="N2199" t="s">
        <v>6721</v>
      </c>
      <c r="O2199">
        <v>6.43</v>
      </c>
      <c r="P2199">
        <v>6.25</v>
      </c>
      <c r="Q2199">
        <v>6.43</v>
      </c>
      <c r="R2199">
        <v>6.41</v>
      </c>
      <c r="S2199">
        <v>2.81</v>
      </c>
      <c r="T2199">
        <v>1.3</v>
      </c>
      <c r="U2199">
        <v>27.99</v>
      </c>
      <c r="V2199">
        <v>2365</v>
      </c>
      <c r="W2199">
        <v>6.29</v>
      </c>
      <c r="X2199" t="s">
        <v>4175</v>
      </c>
      <c r="Y2199" t="s">
        <v>5064</v>
      </c>
      <c r="Z2199">
        <v>1.4</v>
      </c>
      <c r="AA2199">
        <v>1460</v>
      </c>
      <c r="AB2199">
        <v>14</v>
      </c>
      <c r="AC2199">
        <v>1.2</v>
      </c>
      <c r="AD2199" t="s">
        <v>11350</v>
      </c>
      <c r="AE2199" t="s">
        <v>12151</v>
      </c>
      <c r="AF2199" t="s">
        <v>3019</v>
      </c>
      <c r="AG2199" t="s">
        <v>5057</v>
      </c>
      <c r="AH2199">
        <v>-3.98</v>
      </c>
      <c r="AI2199">
        <v>-3.24</v>
      </c>
      <c r="AJ2199">
        <v>3.12</v>
      </c>
      <c r="AK2199">
        <v>6.53</v>
      </c>
      <c r="AL2199">
        <v>-3</v>
      </c>
      <c r="AM2199">
        <v>-2.03</v>
      </c>
      <c r="AN2199">
        <v>32.77</v>
      </c>
      <c r="AO2199">
        <v>1.45</v>
      </c>
      <c r="AP2199">
        <v>20.54</v>
      </c>
    </row>
    <row r="2200" spans="1:42">
      <c r="A2200">
        <v>2199</v>
      </c>
      <c r="B2200" t="str">
        <f>"600508"</f>
        <v>600508</v>
      </c>
      <c r="C2200" t="s">
        <v>12152</v>
      </c>
      <c r="D2200">
        <v>13.96</v>
      </c>
      <c r="E2200">
        <v>1.01</v>
      </c>
      <c r="F2200">
        <v>0.14</v>
      </c>
      <c r="G2200" t="s">
        <v>2028</v>
      </c>
      <c r="H2200">
        <v>607</v>
      </c>
      <c r="I2200">
        <v>13.96</v>
      </c>
      <c r="J2200">
        <v>13.97</v>
      </c>
      <c r="K2200" t="s">
        <v>12153</v>
      </c>
      <c r="L2200">
        <v>0.84</v>
      </c>
      <c r="M2200" t="s">
        <v>46</v>
      </c>
      <c r="N2200" t="s">
        <v>10678</v>
      </c>
      <c r="O2200">
        <v>14.03</v>
      </c>
      <c r="P2200">
        <v>13.84</v>
      </c>
      <c r="Q2200">
        <v>13.84</v>
      </c>
      <c r="R2200">
        <v>13.82</v>
      </c>
      <c r="S2200">
        <v>1.37</v>
      </c>
      <c r="T2200">
        <v>0.9</v>
      </c>
      <c r="U2200">
        <v>-22.48</v>
      </c>
      <c r="V2200">
        <v>-537</v>
      </c>
      <c r="W2200">
        <v>13.96</v>
      </c>
      <c r="X2200" t="s">
        <v>541</v>
      </c>
      <c r="Y2200" t="s">
        <v>7966</v>
      </c>
      <c r="Z2200">
        <v>0.91</v>
      </c>
      <c r="AA2200">
        <v>1</v>
      </c>
      <c r="AB2200">
        <v>179</v>
      </c>
      <c r="AC2200">
        <v>0.77</v>
      </c>
      <c r="AD2200" t="s">
        <v>12154</v>
      </c>
      <c r="AE2200" t="s">
        <v>8898</v>
      </c>
      <c r="AF2200" t="s">
        <v>12154</v>
      </c>
      <c r="AG2200" t="s">
        <v>8898</v>
      </c>
      <c r="AH2200">
        <v>1.31</v>
      </c>
      <c r="AI2200">
        <v>3.18</v>
      </c>
      <c r="AJ2200">
        <v>2.36</v>
      </c>
      <c r="AK2200">
        <v>5.54</v>
      </c>
      <c r="AL2200">
        <v>1</v>
      </c>
      <c r="AM2200">
        <v>1.01</v>
      </c>
      <c r="AN2200">
        <v>2.65</v>
      </c>
      <c r="AO2200">
        <v>4.65</v>
      </c>
      <c r="AP2200">
        <v>-3.46</v>
      </c>
    </row>
    <row r="2201" spans="1:42">
      <c r="A2201">
        <v>2200</v>
      </c>
      <c r="B2201" t="str">
        <f>"600206"</f>
        <v>600206</v>
      </c>
      <c r="C2201" t="s">
        <v>12155</v>
      </c>
      <c r="D2201">
        <v>13.03</v>
      </c>
      <c r="E2201">
        <v>0.23</v>
      </c>
      <c r="F2201">
        <v>0.03</v>
      </c>
      <c r="G2201" t="s">
        <v>7940</v>
      </c>
      <c r="H2201">
        <v>733</v>
      </c>
      <c r="I2201">
        <v>13.02</v>
      </c>
      <c r="J2201">
        <v>13.03</v>
      </c>
      <c r="K2201" t="s">
        <v>6541</v>
      </c>
      <c r="L2201">
        <v>0.78</v>
      </c>
      <c r="M2201" t="s">
        <v>46</v>
      </c>
      <c r="N2201" t="s">
        <v>12156</v>
      </c>
      <c r="O2201">
        <v>13.07</v>
      </c>
      <c r="P2201">
        <v>12.74</v>
      </c>
      <c r="Q2201">
        <v>12.98</v>
      </c>
      <c r="R2201">
        <v>13</v>
      </c>
      <c r="S2201">
        <v>2.54</v>
      </c>
      <c r="T2201">
        <v>0.96</v>
      </c>
      <c r="U2201">
        <v>-37.22</v>
      </c>
      <c r="V2201">
        <v>-1027</v>
      </c>
      <c r="W2201">
        <v>12.92</v>
      </c>
      <c r="X2201" t="s">
        <v>206</v>
      </c>
      <c r="Y2201" t="s">
        <v>1806</v>
      </c>
      <c r="Z2201">
        <v>0.92</v>
      </c>
      <c r="AA2201">
        <v>114</v>
      </c>
      <c r="AB2201">
        <v>198</v>
      </c>
      <c r="AC2201">
        <v>2.99</v>
      </c>
      <c r="AD2201" t="s">
        <v>12157</v>
      </c>
      <c r="AE2201" t="s">
        <v>4843</v>
      </c>
      <c r="AF2201" t="s">
        <v>12157</v>
      </c>
      <c r="AG2201" t="s">
        <v>4843</v>
      </c>
      <c r="AH2201">
        <v>-0.31</v>
      </c>
      <c r="AI2201">
        <v>-0.31</v>
      </c>
      <c r="AJ2201">
        <v>2.28</v>
      </c>
      <c r="AK2201">
        <v>4.82</v>
      </c>
      <c r="AL2201">
        <v>1</v>
      </c>
      <c r="AM2201">
        <v>0.23</v>
      </c>
      <c r="AN2201">
        <v>2.28</v>
      </c>
      <c r="AO2201">
        <v>2.92</v>
      </c>
      <c r="AP2201">
        <v>-3.91</v>
      </c>
    </row>
    <row r="2202" spans="1:42">
      <c r="A2202">
        <v>2201</v>
      </c>
      <c r="B2202" t="str">
        <f>"000539"</f>
        <v>000539</v>
      </c>
      <c r="C2202" t="s">
        <v>12158</v>
      </c>
      <c r="D2202">
        <v>5.14</v>
      </c>
      <c r="E2202">
        <v>0.59</v>
      </c>
      <c r="F2202">
        <v>0.03</v>
      </c>
      <c r="G2202" t="s">
        <v>2778</v>
      </c>
      <c r="H2202">
        <v>1967</v>
      </c>
      <c r="I2202">
        <v>5.13</v>
      </c>
      <c r="J2202">
        <v>5.14</v>
      </c>
      <c r="K2202" t="s">
        <v>4317</v>
      </c>
      <c r="L2202">
        <v>0.65</v>
      </c>
      <c r="M2202" t="s">
        <v>46</v>
      </c>
      <c r="N2202" t="s">
        <v>12159</v>
      </c>
      <c r="O2202">
        <v>5.15</v>
      </c>
      <c r="P2202">
        <v>5.07</v>
      </c>
      <c r="Q2202">
        <v>5.12</v>
      </c>
      <c r="R2202">
        <v>5.11</v>
      </c>
      <c r="S2202">
        <v>1.57</v>
      </c>
      <c r="T2202">
        <v>0.77</v>
      </c>
      <c r="U2202">
        <v>5</v>
      </c>
      <c r="V2202">
        <v>1537</v>
      </c>
      <c r="W2202">
        <v>5.12</v>
      </c>
      <c r="X2202" t="s">
        <v>12160</v>
      </c>
      <c r="Y2202" t="s">
        <v>6339</v>
      </c>
      <c r="Z2202">
        <v>0.76</v>
      </c>
      <c r="AA2202">
        <v>3501</v>
      </c>
      <c r="AB2202">
        <v>189</v>
      </c>
      <c r="AC2202">
        <v>1.23</v>
      </c>
      <c r="AD2202" t="s">
        <v>8439</v>
      </c>
      <c r="AE2202" t="s">
        <v>12161</v>
      </c>
      <c r="AF2202" t="s">
        <v>12162</v>
      </c>
      <c r="AG2202" t="s">
        <v>12163</v>
      </c>
      <c r="AH2202">
        <v>-0.96</v>
      </c>
      <c r="AI2202">
        <v>-3.02</v>
      </c>
      <c r="AJ2202">
        <v>2.61</v>
      </c>
      <c r="AK2202">
        <v>4.87</v>
      </c>
      <c r="AL2202">
        <v>2</v>
      </c>
      <c r="AM2202">
        <v>0.59</v>
      </c>
      <c r="AN2202">
        <v>-7.39</v>
      </c>
      <c r="AO2202">
        <v>-4.64</v>
      </c>
      <c r="AP2202">
        <v>0</v>
      </c>
    </row>
    <row r="2203" spans="1:42">
      <c r="A2203">
        <v>2202</v>
      </c>
      <c r="B2203" t="str">
        <f>"600610"</f>
        <v>600610</v>
      </c>
      <c r="C2203" t="s">
        <v>12164</v>
      </c>
      <c r="D2203">
        <v>7.07</v>
      </c>
      <c r="E2203">
        <v>1.73</v>
      </c>
      <c r="F2203">
        <v>0.12</v>
      </c>
      <c r="G2203" t="s">
        <v>1790</v>
      </c>
      <c r="H2203">
        <v>2600</v>
      </c>
      <c r="I2203">
        <v>7.06</v>
      </c>
      <c r="J2203">
        <v>7.07</v>
      </c>
      <c r="K2203" t="s">
        <v>12165</v>
      </c>
      <c r="L2203">
        <v>2.69</v>
      </c>
      <c r="M2203" t="s">
        <v>46</v>
      </c>
      <c r="N2203" t="s">
        <v>1310</v>
      </c>
      <c r="O2203">
        <v>7.11</v>
      </c>
      <c r="P2203">
        <v>6.92</v>
      </c>
      <c r="Q2203">
        <v>6.95</v>
      </c>
      <c r="R2203">
        <v>6.95</v>
      </c>
      <c r="S2203">
        <v>2.73</v>
      </c>
      <c r="T2203">
        <v>0.64</v>
      </c>
      <c r="U2203">
        <v>2.79</v>
      </c>
      <c r="V2203">
        <v>299</v>
      </c>
      <c r="W2203">
        <v>7.02</v>
      </c>
      <c r="X2203" t="s">
        <v>2649</v>
      </c>
      <c r="Y2203" t="s">
        <v>1721</v>
      </c>
      <c r="Z2203">
        <v>0.81</v>
      </c>
      <c r="AA2203">
        <v>2908</v>
      </c>
      <c r="AB2203">
        <v>178</v>
      </c>
      <c r="AC2203">
        <v>80.59</v>
      </c>
      <c r="AD2203" t="s">
        <v>12166</v>
      </c>
      <c r="AE2203" t="s">
        <v>12167</v>
      </c>
      <c r="AF2203" t="s">
        <v>12168</v>
      </c>
      <c r="AG2203" t="s">
        <v>12169</v>
      </c>
      <c r="AH2203">
        <v>-1.67</v>
      </c>
      <c r="AI2203">
        <v>-8.18</v>
      </c>
      <c r="AJ2203">
        <v>8.44</v>
      </c>
      <c r="AK2203">
        <v>23.66</v>
      </c>
      <c r="AL2203">
        <v>1</v>
      </c>
      <c r="AM2203">
        <v>1.73</v>
      </c>
      <c r="AN2203">
        <v>-55.45</v>
      </c>
      <c r="AO2203">
        <v>-5.98</v>
      </c>
      <c r="AP2203">
        <v>-51.94</v>
      </c>
    </row>
    <row r="2204" spans="1:42">
      <c r="A2204">
        <v>2203</v>
      </c>
      <c r="B2204" t="str">
        <f>"600177"</f>
        <v>600177</v>
      </c>
      <c r="C2204" t="s">
        <v>12170</v>
      </c>
      <c r="D2204">
        <v>6.82</v>
      </c>
      <c r="E2204">
        <v>0.59</v>
      </c>
      <c r="F2204">
        <v>0.04</v>
      </c>
      <c r="G2204" t="s">
        <v>1261</v>
      </c>
      <c r="H2204">
        <v>522</v>
      </c>
      <c r="I2204">
        <v>6.81</v>
      </c>
      <c r="J2204">
        <v>6.82</v>
      </c>
      <c r="K2204" t="s">
        <v>12171</v>
      </c>
      <c r="L2204">
        <v>0.27</v>
      </c>
      <c r="M2204" t="s">
        <v>46</v>
      </c>
      <c r="N2204" t="s">
        <v>12172</v>
      </c>
      <c r="O2204">
        <v>6.87</v>
      </c>
      <c r="P2204">
        <v>6.76</v>
      </c>
      <c r="Q2204">
        <v>6.76</v>
      </c>
      <c r="R2204">
        <v>6.78</v>
      </c>
      <c r="S2204">
        <v>1.62</v>
      </c>
      <c r="T2204">
        <v>1.1</v>
      </c>
      <c r="U2204">
        <v>-25.8</v>
      </c>
      <c r="V2204">
        <v>-1913</v>
      </c>
      <c r="W2204">
        <v>6.83</v>
      </c>
      <c r="X2204" t="s">
        <v>6732</v>
      </c>
      <c r="Y2204" t="s">
        <v>3828</v>
      </c>
      <c r="Z2204">
        <v>0.87</v>
      </c>
      <c r="AA2204">
        <v>651</v>
      </c>
      <c r="AB2204">
        <v>17</v>
      </c>
      <c r="AC2204">
        <v>0.84</v>
      </c>
      <c r="AD2204" t="s">
        <v>12173</v>
      </c>
      <c r="AE2204" t="s">
        <v>2932</v>
      </c>
      <c r="AF2204" t="s">
        <v>12173</v>
      </c>
      <c r="AG2204" t="s">
        <v>2932</v>
      </c>
      <c r="AH2204">
        <v>-0.73</v>
      </c>
      <c r="AI2204">
        <v>-0.87</v>
      </c>
      <c r="AJ2204">
        <v>0.65</v>
      </c>
      <c r="AK2204">
        <v>1.48</v>
      </c>
      <c r="AL2204">
        <v>2</v>
      </c>
      <c r="AM2204">
        <v>0.59</v>
      </c>
      <c r="AN2204">
        <v>16.98</v>
      </c>
      <c r="AO2204">
        <v>1.34</v>
      </c>
      <c r="AP2204">
        <v>17.38</v>
      </c>
    </row>
    <row r="2205" spans="1:42">
      <c r="A2205">
        <v>2204</v>
      </c>
      <c r="B2205" t="str">
        <f>"836433"</f>
        <v>836433</v>
      </c>
      <c r="C2205" t="s">
        <v>12174</v>
      </c>
      <c r="D2205">
        <v>5.7</v>
      </c>
      <c r="E2205">
        <v>-8.8</v>
      </c>
      <c r="F2205">
        <v>-0.55</v>
      </c>
      <c r="G2205" t="s">
        <v>2081</v>
      </c>
      <c r="H2205">
        <v>1395</v>
      </c>
      <c r="I2205">
        <v>5.7</v>
      </c>
      <c r="J2205">
        <v>5.71</v>
      </c>
      <c r="K2205" t="s">
        <v>12175</v>
      </c>
      <c r="L2205">
        <v>8.44</v>
      </c>
      <c r="M2205" t="s">
        <v>46</v>
      </c>
      <c r="N2205" t="s">
        <v>8567</v>
      </c>
      <c r="O2205">
        <v>6.37</v>
      </c>
      <c r="P2205">
        <v>5.6</v>
      </c>
      <c r="Q2205">
        <v>6</v>
      </c>
      <c r="R2205">
        <v>6.25</v>
      </c>
      <c r="S2205">
        <v>12.32</v>
      </c>
      <c r="T2205">
        <v>0.48</v>
      </c>
      <c r="U2205">
        <v>-0.79</v>
      </c>
      <c r="V2205">
        <v>-32</v>
      </c>
      <c r="W2205">
        <v>5.93</v>
      </c>
      <c r="X2205" t="s">
        <v>788</v>
      </c>
      <c r="Y2205" t="s">
        <v>7494</v>
      </c>
      <c r="Z2205">
        <v>1.35</v>
      </c>
      <c r="AA2205">
        <v>56</v>
      </c>
      <c r="AB2205">
        <v>294</v>
      </c>
      <c r="AC2205">
        <v>2.98</v>
      </c>
      <c r="AD2205" t="s">
        <v>12176</v>
      </c>
      <c r="AE2205" t="s">
        <v>833</v>
      </c>
      <c r="AF2205" t="s">
        <v>11549</v>
      </c>
      <c r="AG2205" t="s">
        <v>12177</v>
      </c>
      <c r="AH2205">
        <v>-18.34</v>
      </c>
      <c r="AI2205">
        <v>10.68</v>
      </c>
      <c r="AJ2205">
        <v>35.29</v>
      </c>
      <c r="AK2205">
        <v>96.6</v>
      </c>
      <c r="AL2205">
        <v>-1</v>
      </c>
      <c r="AM2205">
        <v>-8.8</v>
      </c>
      <c r="AN2205">
        <v>66.67</v>
      </c>
      <c r="AO2205">
        <v>85.06</v>
      </c>
      <c r="AP2205">
        <v>41.79</v>
      </c>
    </row>
    <row r="2206" spans="1:42">
      <c r="A2206">
        <v>2205</v>
      </c>
      <c r="B2206" t="str">
        <f>"002705"</f>
        <v>002705</v>
      </c>
      <c r="C2206" t="s">
        <v>12178</v>
      </c>
      <c r="D2206">
        <v>16.28</v>
      </c>
      <c r="E2206">
        <v>-0.85</v>
      </c>
      <c r="F2206">
        <v>-0.14</v>
      </c>
      <c r="G2206" t="s">
        <v>6392</v>
      </c>
      <c r="H2206">
        <v>395</v>
      </c>
      <c r="I2206">
        <v>16.28</v>
      </c>
      <c r="J2206">
        <v>16.29</v>
      </c>
      <c r="K2206" t="s">
        <v>12179</v>
      </c>
      <c r="L2206">
        <v>0.63</v>
      </c>
      <c r="M2206" t="s">
        <v>46</v>
      </c>
      <c r="N2206" t="s">
        <v>379</v>
      </c>
      <c r="O2206">
        <v>16.45</v>
      </c>
      <c r="P2206">
        <v>16.2</v>
      </c>
      <c r="Q2206">
        <v>16.41</v>
      </c>
      <c r="R2206">
        <v>16.42</v>
      </c>
      <c r="S2206">
        <v>1.52</v>
      </c>
      <c r="T2206">
        <v>1.18</v>
      </c>
      <c r="U2206">
        <v>43.43</v>
      </c>
      <c r="V2206">
        <v>215</v>
      </c>
      <c r="W2206">
        <v>16.28</v>
      </c>
      <c r="X2206" t="s">
        <v>7160</v>
      </c>
      <c r="Y2206" t="s">
        <v>4422</v>
      </c>
      <c r="Z2206">
        <v>1.03</v>
      </c>
      <c r="AA2206">
        <v>19</v>
      </c>
      <c r="AB2206">
        <v>36</v>
      </c>
      <c r="AC2206">
        <v>1.81</v>
      </c>
      <c r="AD2206" t="s">
        <v>12180</v>
      </c>
      <c r="AE2206" t="s">
        <v>12181</v>
      </c>
      <c r="AF2206" t="s">
        <v>12182</v>
      </c>
      <c r="AG2206" t="s">
        <v>9791</v>
      </c>
      <c r="AH2206">
        <v>-2.34</v>
      </c>
      <c r="AI2206">
        <v>-3.67</v>
      </c>
      <c r="AJ2206">
        <v>1.59</v>
      </c>
      <c r="AK2206">
        <v>3.3</v>
      </c>
      <c r="AL2206">
        <v>-3</v>
      </c>
      <c r="AM2206">
        <v>-0.85</v>
      </c>
      <c r="AN2206">
        <v>0.18</v>
      </c>
      <c r="AO2206">
        <v>-3.55</v>
      </c>
      <c r="AP2206">
        <v>-2.81</v>
      </c>
    </row>
    <row r="2207" spans="1:42">
      <c r="A2207">
        <v>2206</v>
      </c>
      <c r="B2207" t="str">
        <f>"603867"</f>
        <v>603867</v>
      </c>
      <c r="C2207" t="s">
        <v>12183</v>
      </c>
      <c r="D2207">
        <v>33</v>
      </c>
      <c r="E2207">
        <v>-1.4</v>
      </c>
      <c r="F2207">
        <v>-0.47</v>
      </c>
      <c r="G2207" t="s">
        <v>6954</v>
      </c>
      <c r="H2207">
        <v>389</v>
      </c>
      <c r="I2207">
        <v>33</v>
      </c>
      <c r="J2207">
        <v>33.01</v>
      </c>
      <c r="K2207" t="s">
        <v>12184</v>
      </c>
      <c r="L2207">
        <v>1.39</v>
      </c>
      <c r="M2207" t="s">
        <v>46</v>
      </c>
      <c r="N2207" t="s">
        <v>1511</v>
      </c>
      <c r="O2207">
        <v>33.6</v>
      </c>
      <c r="P2207">
        <v>32.51</v>
      </c>
      <c r="Q2207">
        <v>33.6</v>
      </c>
      <c r="R2207">
        <v>33.47</v>
      </c>
      <c r="S2207">
        <v>3.26</v>
      </c>
      <c r="T2207">
        <v>0.8</v>
      </c>
      <c r="U2207">
        <v>43.62</v>
      </c>
      <c r="V2207">
        <v>252</v>
      </c>
      <c r="W2207">
        <v>32.88</v>
      </c>
      <c r="X2207" t="s">
        <v>61</v>
      </c>
      <c r="Y2207" t="s">
        <v>1400</v>
      </c>
      <c r="Z2207">
        <v>1.45</v>
      </c>
      <c r="AA2207">
        <v>326</v>
      </c>
      <c r="AB2207">
        <v>10</v>
      </c>
      <c r="AC2207">
        <v>2.98</v>
      </c>
      <c r="AD2207" t="s">
        <v>12185</v>
      </c>
      <c r="AE2207" t="s">
        <v>12186</v>
      </c>
      <c r="AF2207" t="s">
        <v>12185</v>
      </c>
      <c r="AG2207" t="s">
        <v>12186</v>
      </c>
      <c r="AH2207">
        <v>1.26</v>
      </c>
      <c r="AI2207">
        <v>-1.2</v>
      </c>
      <c r="AJ2207">
        <v>5.15</v>
      </c>
      <c r="AK2207">
        <v>10</v>
      </c>
      <c r="AL2207">
        <v>-2</v>
      </c>
      <c r="AM2207">
        <v>-1.4</v>
      </c>
      <c r="AN2207">
        <v>3.94</v>
      </c>
      <c r="AO2207">
        <v>8.55</v>
      </c>
      <c r="AP2207">
        <v>3.35</v>
      </c>
    </row>
    <row r="2208" spans="1:42">
      <c r="A2208">
        <v>2207</v>
      </c>
      <c r="B2208" t="str">
        <f>"603379"</f>
        <v>603379</v>
      </c>
      <c r="C2208" t="s">
        <v>12187</v>
      </c>
      <c r="D2208">
        <v>31</v>
      </c>
      <c r="E2208">
        <v>1.41</v>
      </c>
      <c r="F2208">
        <v>0.43</v>
      </c>
      <c r="G2208" t="s">
        <v>3121</v>
      </c>
      <c r="H2208">
        <v>461</v>
      </c>
      <c r="I2208">
        <v>30.99</v>
      </c>
      <c r="J2208">
        <v>31</v>
      </c>
      <c r="K2208" t="s">
        <v>12188</v>
      </c>
      <c r="L2208">
        <v>0.45</v>
      </c>
      <c r="M2208" t="s">
        <v>46</v>
      </c>
      <c r="N2208" t="s">
        <v>10840</v>
      </c>
      <c r="O2208">
        <v>31.14</v>
      </c>
      <c r="P2208">
        <v>30.24</v>
      </c>
      <c r="Q2208">
        <v>30.57</v>
      </c>
      <c r="R2208">
        <v>30.57</v>
      </c>
      <c r="S2208">
        <v>2.94</v>
      </c>
      <c r="T2208">
        <v>0.61</v>
      </c>
      <c r="U2208">
        <v>23.99</v>
      </c>
      <c r="V2208">
        <v>77</v>
      </c>
      <c r="W2208">
        <v>30.75</v>
      </c>
      <c r="X2208" t="s">
        <v>5446</v>
      </c>
      <c r="Y2208" t="s">
        <v>1777</v>
      </c>
      <c r="Z2208">
        <v>1.04</v>
      </c>
      <c r="AA2208">
        <v>103</v>
      </c>
      <c r="AB2208">
        <v>32</v>
      </c>
      <c r="AC2208">
        <v>3.23</v>
      </c>
      <c r="AD2208" t="s">
        <v>12189</v>
      </c>
      <c r="AE2208" t="s">
        <v>12190</v>
      </c>
      <c r="AF2208" t="s">
        <v>12189</v>
      </c>
      <c r="AG2208" t="s">
        <v>12190</v>
      </c>
      <c r="AH2208">
        <v>2.65</v>
      </c>
      <c r="AI2208">
        <v>-0.32</v>
      </c>
      <c r="AJ2208">
        <v>1.66</v>
      </c>
      <c r="AK2208">
        <v>4.15</v>
      </c>
      <c r="AL2208">
        <v>1</v>
      </c>
      <c r="AM2208">
        <v>1.41</v>
      </c>
      <c r="AN2208">
        <v>9.85</v>
      </c>
      <c r="AO2208">
        <v>10.83</v>
      </c>
      <c r="AP2208">
        <v>2.24</v>
      </c>
    </row>
    <row r="2209" spans="1:42">
      <c r="A2209">
        <v>2208</v>
      </c>
      <c r="B2209" t="str">
        <f>"000990"</f>
        <v>000990</v>
      </c>
      <c r="C2209" t="s">
        <v>12191</v>
      </c>
      <c r="D2209">
        <v>8.46</v>
      </c>
      <c r="E2209">
        <v>1.44</v>
      </c>
      <c r="F2209">
        <v>0.12</v>
      </c>
      <c r="G2209" t="s">
        <v>4706</v>
      </c>
      <c r="H2209">
        <v>594</v>
      </c>
      <c r="I2209">
        <v>8.45</v>
      </c>
      <c r="J2209">
        <v>8.46</v>
      </c>
      <c r="K2209" t="s">
        <v>12192</v>
      </c>
      <c r="L2209">
        <v>0.82</v>
      </c>
      <c r="M2209" t="s">
        <v>46</v>
      </c>
      <c r="N2209" t="s">
        <v>8596</v>
      </c>
      <c r="O2209">
        <v>8.48</v>
      </c>
      <c r="P2209">
        <v>8.32</v>
      </c>
      <c r="Q2209">
        <v>8.32</v>
      </c>
      <c r="R2209">
        <v>8.34</v>
      </c>
      <c r="S2209">
        <v>1.92</v>
      </c>
      <c r="T2209">
        <v>1.18</v>
      </c>
      <c r="U2209">
        <v>-68.44</v>
      </c>
      <c r="V2209">
        <v>-5118</v>
      </c>
      <c r="W2209">
        <v>8.44</v>
      </c>
      <c r="X2209" t="s">
        <v>5645</v>
      </c>
      <c r="Y2209" t="s">
        <v>7519</v>
      </c>
      <c r="Z2209">
        <v>0.84</v>
      </c>
      <c r="AA2209">
        <v>192</v>
      </c>
      <c r="AB2209">
        <v>69</v>
      </c>
      <c r="AC2209">
        <v>0.58</v>
      </c>
      <c r="AD2209" t="s">
        <v>83</v>
      </c>
      <c r="AE2209" t="s">
        <v>3459</v>
      </c>
      <c r="AF2209" t="s">
        <v>83</v>
      </c>
      <c r="AG2209" t="s">
        <v>3459</v>
      </c>
      <c r="AH2209">
        <v>0.59</v>
      </c>
      <c r="AI2209">
        <v>0</v>
      </c>
      <c r="AJ2209">
        <v>2.15</v>
      </c>
      <c r="AK2209">
        <v>4.3</v>
      </c>
      <c r="AL2209">
        <v>1</v>
      </c>
      <c r="AM2209">
        <v>1.44</v>
      </c>
      <c r="AN2209">
        <v>-2.65</v>
      </c>
      <c r="AO2209">
        <v>1.68</v>
      </c>
      <c r="AP2209">
        <v>-9.71</v>
      </c>
    </row>
    <row r="2210" spans="1:42">
      <c r="A2210">
        <v>2209</v>
      </c>
      <c r="B2210" t="str">
        <f>"300579"</f>
        <v>300579</v>
      </c>
      <c r="C2210" t="s">
        <v>12193</v>
      </c>
      <c r="D2210">
        <v>28.22</v>
      </c>
      <c r="E2210">
        <v>3.14</v>
      </c>
      <c r="F2210">
        <v>0.86</v>
      </c>
      <c r="G2210" t="s">
        <v>617</v>
      </c>
      <c r="H2210">
        <v>429</v>
      </c>
      <c r="I2210">
        <v>28.21</v>
      </c>
      <c r="J2210">
        <v>28.22</v>
      </c>
      <c r="K2210" t="s">
        <v>12194</v>
      </c>
      <c r="L2210">
        <v>1.15</v>
      </c>
      <c r="M2210" t="s">
        <v>46</v>
      </c>
      <c r="N2210" t="s">
        <v>2372</v>
      </c>
      <c r="O2210">
        <v>28.39</v>
      </c>
      <c r="P2210">
        <v>27.3</v>
      </c>
      <c r="Q2210">
        <v>27.39</v>
      </c>
      <c r="R2210">
        <v>27.36</v>
      </c>
      <c r="S2210">
        <v>3.98</v>
      </c>
      <c r="T2210">
        <v>1</v>
      </c>
      <c r="U2210">
        <v>-56.63</v>
      </c>
      <c r="V2210">
        <v>-935</v>
      </c>
      <c r="W2210">
        <v>27.98</v>
      </c>
      <c r="X2210" t="s">
        <v>218</v>
      </c>
      <c r="Y2210" t="s">
        <v>5585</v>
      </c>
      <c r="Z2210">
        <v>0.55</v>
      </c>
      <c r="AA2210">
        <v>80</v>
      </c>
      <c r="AB2210">
        <v>335</v>
      </c>
      <c r="AC2210">
        <v>8.24</v>
      </c>
      <c r="AD2210" t="s">
        <v>4081</v>
      </c>
      <c r="AE2210" t="s">
        <v>12195</v>
      </c>
      <c r="AF2210" t="s">
        <v>4222</v>
      </c>
      <c r="AG2210" t="s">
        <v>12196</v>
      </c>
      <c r="AH2210">
        <v>-0.04</v>
      </c>
      <c r="AI2210">
        <v>-3.19</v>
      </c>
      <c r="AJ2210">
        <v>2.83</v>
      </c>
      <c r="AK2210">
        <v>6.9</v>
      </c>
      <c r="AL2210">
        <v>1</v>
      </c>
      <c r="AM2210">
        <v>3.14</v>
      </c>
      <c r="AN2210">
        <v>17.14</v>
      </c>
      <c r="AO2210">
        <v>3.75</v>
      </c>
      <c r="AP2210">
        <v>3.22</v>
      </c>
    </row>
    <row r="2211" spans="1:42">
      <c r="A2211">
        <v>2210</v>
      </c>
      <c r="B2211" t="str">
        <f>"300645"</f>
        <v>300645</v>
      </c>
      <c r="C2211" t="s">
        <v>12197</v>
      </c>
      <c r="D2211">
        <v>19.23</v>
      </c>
      <c r="E2211">
        <v>3.11</v>
      </c>
      <c r="F2211">
        <v>0.58</v>
      </c>
      <c r="G2211" t="s">
        <v>4358</v>
      </c>
      <c r="H2211">
        <v>336</v>
      </c>
      <c r="I2211">
        <v>19.22</v>
      </c>
      <c r="J2211">
        <v>19.23</v>
      </c>
      <c r="K2211" t="s">
        <v>12198</v>
      </c>
      <c r="L2211">
        <v>3.15</v>
      </c>
      <c r="M2211" t="s">
        <v>46</v>
      </c>
      <c r="N2211" t="s">
        <v>5209</v>
      </c>
      <c r="O2211">
        <v>19.31</v>
      </c>
      <c r="P2211">
        <v>18.61</v>
      </c>
      <c r="Q2211">
        <v>18.66</v>
      </c>
      <c r="R2211">
        <v>18.65</v>
      </c>
      <c r="S2211">
        <v>3.75</v>
      </c>
      <c r="T2211">
        <v>1</v>
      </c>
      <c r="U2211">
        <v>-4.81</v>
      </c>
      <c r="V2211">
        <v>-20</v>
      </c>
      <c r="W2211">
        <v>19.03</v>
      </c>
      <c r="X2211" t="s">
        <v>6425</v>
      </c>
      <c r="Y2211" t="s">
        <v>4013</v>
      </c>
      <c r="Z2211">
        <v>0.78</v>
      </c>
      <c r="AA2211">
        <v>53</v>
      </c>
      <c r="AB2211">
        <v>38</v>
      </c>
      <c r="AC2211">
        <v>2.64</v>
      </c>
      <c r="AD2211" t="s">
        <v>12199</v>
      </c>
      <c r="AE2211" t="s">
        <v>9648</v>
      </c>
      <c r="AF2211" t="s">
        <v>12199</v>
      </c>
      <c r="AG2211" t="s">
        <v>9648</v>
      </c>
      <c r="AH2211">
        <v>-1.33</v>
      </c>
      <c r="AI2211">
        <v>-5.32</v>
      </c>
      <c r="AJ2211">
        <v>9.83</v>
      </c>
      <c r="AK2211">
        <v>18.94</v>
      </c>
      <c r="AL2211">
        <v>1</v>
      </c>
      <c r="AM2211">
        <v>3.11</v>
      </c>
      <c r="AN2211">
        <v>-23.48</v>
      </c>
      <c r="AO2211">
        <v>-29.09</v>
      </c>
      <c r="AP2211">
        <v>-29.84</v>
      </c>
    </row>
    <row r="2212" spans="1:42">
      <c r="A2212">
        <v>2211</v>
      </c>
      <c r="B2212" t="str">
        <f>"002092"</f>
        <v>002092</v>
      </c>
      <c r="C2212" t="s">
        <v>12200</v>
      </c>
      <c r="D2212">
        <v>6.47</v>
      </c>
      <c r="E2212">
        <v>0.15</v>
      </c>
      <c r="F2212">
        <v>0.01</v>
      </c>
      <c r="G2212" t="s">
        <v>1987</v>
      </c>
      <c r="H2212">
        <v>845</v>
      </c>
      <c r="I2212">
        <v>6.46</v>
      </c>
      <c r="J2212">
        <v>6.47</v>
      </c>
      <c r="K2212" t="s">
        <v>12201</v>
      </c>
      <c r="L2212">
        <v>0.51</v>
      </c>
      <c r="M2212" t="s">
        <v>46</v>
      </c>
      <c r="N2212" t="s">
        <v>2923</v>
      </c>
      <c r="O2212">
        <v>6.5</v>
      </c>
      <c r="P2212">
        <v>6.39</v>
      </c>
      <c r="Q2212">
        <v>6.45</v>
      </c>
      <c r="R2212">
        <v>6.46</v>
      </c>
      <c r="S2212">
        <v>1.7</v>
      </c>
      <c r="T2212">
        <v>0.93</v>
      </c>
      <c r="U2212">
        <v>-4.14</v>
      </c>
      <c r="V2212">
        <v>-318</v>
      </c>
      <c r="W2212">
        <v>6.44</v>
      </c>
      <c r="X2212" t="s">
        <v>8707</v>
      </c>
      <c r="Y2212" t="s">
        <v>12071</v>
      </c>
      <c r="Z2212">
        <v>1.32</v>
      </c>
      <c r="AA2212">
        <v>616</v>
      </c>
      <c r="AB2212">
        <v>167</v>
      </c>
      <c r="AC2212">
        <v>0.69</v>
      </c>
      <c r="AD2212" t="s">
        <v>12202</v>
      </c>
      <c r="AE2212" t="s">
        <v>1298</v>
      </c>
      <c r="AF2212" t="s">
        <v>12203</v>
      </c>
      <c r="AG2212" t="s">
        <v>9789</v>
      </c>
      <c r="AH2212">
        <v>-2.27</v>
      </c>
      <c r="AI2212">
        <v>-2.56</v>
      </c>
      <c r="AJ2212">
        <v>1.57</v>
      </c>
      <c r="AK2212">
        <v>3.25</v>
      </c>
      <c r="AL2212">
        <v>1</v>
      </c>
      <c r="AM2212">
        <v>0.15</v>
      </c>
      <c r="AN2212">
        <v>-12.09</v>
      </c>
      <c r="AO2212">
        <v>-2.41</v>
      </c>
      <c r="AP2212">
        <v>2.37</v>
      </c>
    </row>
    <row r="2213" spans="1:42">
      <c r="A2213">
        <v>2212</v>
      </c>
      <c r="B2213" t="str">
        <f>"000010"</f>
        <v>000010</v>
      </c>
      <c r="C2213" t="s">
        <v>12204</v>
      </c>
      <c r="D2213">
        <v>3.45</v>
      </c>
      <c r="E2213">
        <v>2.07</v>
      </c>
      <c r="F2213">
        <v>0.07</v>
      </c>
      <c r="G2213" t="s">
        <v>851</v>
      </c>
      <c r="H2213">
        <v>5024</v>
      </c>
      <c r="I2213">
        <v>3.45</v>
      </c>
      <c r="J2213">
        <v>3.46</v>
      </c>
      <c r="K2213" t="s">
        <v>12205</v>
      </c>
      <c r="L2213">
        <v>4.71</v>
      </c>
      <c r="M2213" t="s">
        <v>46</v>
      </c>
      <c r="N2213" t="s">
        <v>5854</v>
      </c>
      <c r="O2213">
        <v>3.47</v>
      </c>
      <c r="P2213">
        <v>3.33</v>
      </c>
      <c r="Q2213">
        <v>3.39</v>
      </c>
      <c r="R2213">
        <v>3.38</v>
      </c>
      <c r="S2213">
        <v>4.14</v>
      </c>
      <c r="T2213">
        <v>0.88</v>
      </c>
      <c r="U2213">
        <v>-23.96</v>
      </c>
      <c r="V2213">
        <v>-8725</v>
      </c>
      <c r="W2213">
        <v>3.42</v>
      </c>
      <c r="X2213" t="s">
        <v>8243</v>
      </c>
      <c r="Y2213" t="s">
        <v>796</v>
      </c>
      <c r="Z2213">
        <v>0.57</v>
      </c>
      <c r="AA2213">
        <v>1142</v>
      </c>
      <c r="AB2213">
        <v>5467</v>
      </c>
      <c r="AC2213">
        <v>5.82</v>
      </c>
      <c r="AD2213" t="s">
        <v>915</v>
      </c>
      <c r="AE2213" t="s">
        <v>5846</v>
      </c>
      <c r="AF2213" t="s">
        <v>12206</v>
      </c>
      <c r="AG2213" t="s">
        <v>12207</v>
      </c>
      <c r="AH2213">
        <v>2.07</v>
      </c>
      <c r="AI2213">
        <v>-6.25</v>
      </c>
      <c r="AJ2213">
        <v>12.95</v>
      </c>
      <c r="AK2213">
        <v>31.45</v>
      </c>
      <c r="AL2213">
        <v>2</v>
      </c>
      <c r="AM2213">
        <v>2.07</v>
      </c>
      <c r="AN2213">
        <v>-8</v>
      </c>
      <c r="AO2213">
        <v>-13.53</v>
      </c>
      <c r="AP2213">
        <v>6.48</v>
      </c>
    </row>
    <row r="2214" spans="1:42">
      <c r="A2214">
        <v>2213</v>
      </c>
      <c r="B2214" t="str">
        <f>"600962"</f>
        <v>600962</v>
      </c>
      <c r="C2214" t="s">
        <v>12208</v>
      </c>
      <c r="D2214">
        <v>12.47</v>
      </c>
      <c r="E2214">
        <v>1.71</v>
      </c>
      <c r="F2214">
        <v>0.21</v>
      </c>
      <c r="G2214" t="s">
        <v>5099</v>
      </c>
      <c r="H2214">
        <v>992</v>
      </c>
      <c r="I2214">
        <v>12.46</v>
      </c>
      <c r="J2214">
        <v>12.47</v>
      </c>
      <c r="K2214" t="s">
        <v>12209</v>
      </c>
      <c r="L2214">
        <v>2.58</v>
      </c>
      <c r="M2214" t="s">
        <v>46</v>
      </c>
      <c r="N2214" t="s">
        <v>12210</v>
      </c>
      <c r="O2214">
        <v>12.66</v>
      </c>
      <c r="P2214">
        <v>12.15</v>
      </c>
      <c r="Q2214">
        <v>12.25</v>
      </c>
      <c r="R2214">
        <v>12.26</v>
      </c>
      <c r="S2214">
        <v>4.16</v>
      </c>
      <c r="T2214">
        <v>2.81</v>
      </c>
      <c r="U2214">
        <v>-13.44</v>
      </c>
      <c r="V2214">
        <v>-167</v>
      </c>
      <c r="W2214">
        <v>12.44</v>
      </c>
      <c r="X2214" t="s">
        <v>10177</v>
      </c>
      <c r="Y2214" t="s">
        <v>1069</v>
      </c>
      <c r="Z2214">
        <v>0.91</v>
      </c>
      <c r="AA2214">
        <v>125</v>
      </c>
      <c r="AB2214">
        <v>28</v>
      </c>
      <c r="AC2214">
        <v>3.95</v>
      </c>
      <c r="AD2214" t="s">
        <v>12211</v>
      </c>
      <c r="AE2214" t="s">
        <v>5573</v>
      </c>
      <c r="AF2214" t="s">
        <v>12211</v>
      </c>
      <c r="AG2214" t="s">
        <v>5573</v>
      </c>
      <c r="AH2214">
        <v>1.38</v>
      </c>
      <c r="AI2214">
        <v>2.89</v>
      </c>
      <c r="AJ2214">
        <v>4.21</v>
      </c>
      <c r="AK2214">
        <v>7.17</v>
      </c>
      <c r="AL2214">
        <v>1</v>
      </c>
      <c r="AM2214">
        <v>1.71</v>
      </c>
      <c r="AN2214">
        <v>-5.39</v>
      </c>
      <c r="AO2214">
        <v>16.11</v>
      </c>
      <c r="AP2214">
        <v>-3.33</v>
      </c>
    </row>
    <row r="2215" spans="1:42">
      <c r="A2215">
        <v>2214</v>
      </c>
      <c r="B2215" t="str">
        <f>"300087"</f>
        <v>300087</v>
      </c>
      <c r="C2215" t="s">
        <v>12212</v>
      </c>
      <c r="D2215">
        <v>9.59</v>
      </c>
      <c r="E2215">
        <v>-0.72</v>
      </c>
      <c r="F2215">
        <v>-0.07</v>
      </c>
      <c r="G2215" t="s">
        <v>3903</v>
      </c>
      <c r="H2215">
        <v>1268</v>
      </c>
      <c r="I2215">
        <v>9.59</v>
      </c>
      <c r="J2215">
        <v>9.6</v>
      </c>
      <c r="K2215" t="s">
        <v>12213</v>
      </c>
      <c r="L2215">
        <v>0.98</v>
      </c>
      <c r="M2215" t="s">
        <v>46</v>
      </c>
      <c r="N2215" t="s">
        <v>7188</v>
      </c>
      <c r="O2215">
        <v>9.73</v>
      </c>
      <c r="P2215">
        <v>9.54</v>
      </c>
      <c r="Q2215">
        <v>9.65</v>
      </c>
      <c r="R2215">
        <v>9.66</v>
      </c>
      <c r="S2215">
        <v>1.97</v>
      </c>
      <c r="T2215">
        <v>0.53</v>
      </c>
      <c r="U2215">
        <v>58.9</v>
      </c>
      <c r="V2215">
        <v>3345</v>
      </c>
      <c r="W2215">
        <v>9.61</v>
      </c>
      <c r="X2215" t="s">
        <v>3255</v>
      </c>
      <c r="Y2215" t="s">
        <v>8156</v>
      </c>
      <c r="Z2215">
        <v>1.32</v>
      </c>
      <c r="AA2215">
        <v>1</v>
      </c>
      <c r="AB2215">
        <v>781</v>
      </c>
      <c r="AC2215">
        <v>5.4</v>
      </c>
      <c r="AD2215" t="s">
        <v>12214</v>
      </c>
      <c r="AE2215" t="s">
        <v>12215</v>
      </c>
      <c r="AF2215" t="s">
        <v>2610</v>
      </c>
      <c r="AG2215" t="s">
        <v>4923</v>
      </c>
      <c r="AH2215">
        <v>-1.64</v>
      </c>
      <c r="AI2215">
        <v>1.59</v>
      </c>
      <c r="AJ2215">
        <v>4.84</v>
      </c>
      <c r="AK2215">
        <v>10.24</v>
      </c>
      <c r="AL2215">
        <v>-2</v>
      </c>
      <c r="AM2215">
        <v>-0.72</v>
      </c>
      <c r="AN2215">
        <v>-16.1</v>
      </c>
      <c r="AO2215">
        <v>4.58</v>
      </c>
      <c r="AP2215">
        <v>-10.37</v>
      </c>
    </row>
    <row r="2216" spans="1:42">
      <c r="A2216">
        <v>2215</v>
      </c>
      <c r="B2216" t="str">
        <f>"603219"</f>
        <v>603219</v>
      </c>
      <c r="C2216" t="s">
        <v>12216</v>
      </c>
      <c r="D2216">
        <v>14.25</v>
      </c>
      <c r="E2216">
        <v>0.42</v>
      </c>
      <c r="F2216">
        <v>0.06</v>
      </c>
      <c r="G2216" t="s">
        <v>4753</v>
      </c>
      <c r="H2216">
        <v>1082</v>
      </c>
      <c r="I2216">
        <v>14.24</v>
      </c>
      <c r="J2216">
        <v>14.25</v>
      </c>
      <c r="K2216" t="s">
        <v>12217</v>
      </c>
      <c r="L2216">
        <v>3.81</v>
      </c>
      <c r="M2216" t="s">
        <v>46</v>
      </c>
      <c r="N2216" t="s">
        <v>1511</v>
      </c>
      <c r="O2216">
        <v>14.32</v>
      </c>
      <c r="P2216">
        <v>13.94</v>
      </c>
      <c r="Q2216">
        <v>14.26</v>
      </c>
      <c r="R2216">
        <v>14.19</v>
      </c>
      <c r="S2216">
        <v>2.68</v>
      </c>
      <c r="T2216">
        <v>0.52</v>
      </c>
      <c r="U2216">
        <v>36.05</v>
      </c>
      <c r="V2216">
        <v>1136</v>
      </c>
      <c r="W2216">
        <v>14.19</v>
      </c>
      <c r="X2216" t="s">
        <v>8255</v>
      </c>
      <c r="Y2216" t="s">
        <v>10910</v>
      </c>
      <c r="Z2216">
        <v>1.21</v>
      </c>
      <c r="AA2216">
        <v>168</v>
      </c>
      <c r="AB2216">
        <v>399</v>
      </c>
      <c r="AC2216">
        <v>5.23</v>
      </c>
      <c r="AD2216" t="s">
        <v>12218</v>
      </c>
      <c r="AE2216" t="s">
        <v>12219</v>
      </c>
      <c r="AF2216" t="s">
        <v>12220</v>
      </c>
      <c r="AG2216" t="s">
        <v>12221</v>
      </c>
      <c r="AH2216">
        <v>-1.04</v>
      </c>
      <c r="AI2216">
        <v>0.07</v>
      </c>
      <c r="AJ2216">
        <v>15.51</v>
      </c>
      <c r="AK2216">
        <v>40.33</v>
      </c>
      <c r="AL2216">
        <v>1</v>
      </c>
      <c r="AM2216">
        <v>0.42</v>
      </c>
      <c r="AN2216">
        <v>27.46</v>
      </c>
      <c r="AO2216">
        <v>-0.35</v>
      </c>
      <c r="AP2216">
        <v>2.81</v>
      </c>
    </row>
    <row r="2217" spans="1:42">
      <c r="A2217">
        <v>2216</v>
      </c>
      <c r="B2217" t="str">
        <f>"300628"</f>
        <v>300628</v>
      </c>
      <c r="C2217" t="s">
        <v>12222</v>
      </c>
      <c r="D2217">
        <v>32.7</v>
      </c>
      <c r="E2217">
        <v>1.62</v>
      </c>
      <c r="F2217">
        <v>0.52</v>
      </c>
      <c r="G2217" t="s">
        <v>4036</v>
      </c>
      <c r="H2217">
        <v>311</v>
      </c>
      <c r="I2217">
        <v>32.7</v>
      </c>
      <c r="J2217">
        <v>32.71</v>
      </c>
      <c r="K2217" t="s">
        <v>12223</v>
      </c>
      <c r="L2217">
        <v>0.36</v>
      </c>
      <c r="M2217" t="s">
        <v>46</v>
      </c>
      <c r="N2217" t="s">
        <v>10862</v>
      </c>
      <c r="O2217">
        <v>32.95</v>
      </c>
      <c r="P2217">
        <v>31.92</v>
      </c>
      <c r="Q2217">
        <v>32.19</v>
      </c>
      <c r="R2217">
        <v>32.18</v>
      </c>
      <c r="S2217">
        <v>3.2</v>
      </c>
      <c r="T2217">
        <v>0.99</v>
      </c>
      <c r="U2217">
        <v>-69.8</v>
      </c>
      <c r="V2217">
        <v>-125</v>
      </c>
      <c r="W2217">
        <v>32.4</v>
      </c>
      <c r="X2217" t="s">
        <v>4792</v>
      </c>
      <c r="Y2217" t="s">
        <v>5183</v>
      </c>
      <c r="Z2217">
        <v>0.91</v>
      </c>
      <c r="AA2217">
        <v>6</v>
      </c>
      <c r="AB2217">
        <v>5</v>
      </c>
      <c r="AC2217">
        <v>5.38</v>
      </c>
      <c r="AD2217" t="s">
        <v>12224</v>
      </c>
      <c r="AE2217" t="s">
        <v>12225</v>
      </c>
      <c r="AF2217" t="s">
        <v>12226</v>
      </c>
      <c r="AG2217" t="s">
        <v>12227</v>
      </c>
      <c r="AH2217">
        <v>-0.15</v>
      </c>
      <c r="AI2217">
        <v>-3.54</v>
      </c>
      <c r="AJ2217">
        <v>1</v>
      </c>
      <c r="AK2217">
        <v>2.18</v>
      </c>
      <c r="AL2217">
        <v>1</v>
      </c>
      <c r="AM2217">
        <v>1.62</v>
      </c>
      <c r="AN2217">
        <v>-21.86</v>
      </c>
      <c r="AO2217">
        <v>-0.88</v>
      </c>
      <c r="AP2217">
        <v>-29.53</v>
      </c>
    </row>
    <row r="2218" spans="1:42">
      <c r="A2218">
        <v>2217</v>
      </c>
      <c r="B2218" t="str">
        <f>"002175"</f>
        <v>002175</v>
      </c>
      <c r="C2218" t="s">
        <v>12228</v>
      </c>
      <c r="D2218">
        <v>3.06</v>
      </c>
      <c r="E2218">
        <v>3.03</v>
      </c>
      <c r="F2218">
        <v>0.09</v>
      </c>
      <c r="G2218" t="s">
        <v>283</v>
      </c>
      <c r="H2218">
        <v>4002</v>
      </c>
      <c r="I2218">
        <v>3.05</v>
      </c>
      <c r="J2218">
        <v>3.06</v>
      </c>
      <c r="K2218" t="s">
        <v>12229</v>
      </c>
      <c r="L2218">
        <v>2.18</v>
      </c>
      <c r="M2218" t="s">
        <v>46</v>
      </c>
      <c r="N2218" t="s">
        <v>7285</v>
      </c>
      <c r="O2218">
        <v>3.06</v>
      </c>
      <c r="P2218">
        <v>2.94</v>
      </c>
      <c r="Q2218">
        <v>2.96</v>
      </c>
      <c r="R2218">
        <v>2.97</v>
      </c>
      <c r="S2218">
        <v>4.04</v>
      </c>
      <c r="T2218">
        <v>1.31</v>
      </c>
      <c r="U2218">
        <v>-33.56</v>
      </c>
      <c r="V2218" t="s">
        <v>12230</v>
      </c>
      <c r="W2218">
        <v>3.02</v>
      </c>
      <c r="X2218" t="s">
        <v>3519</v>
      </c>
      <c r="Y2218" t="s">
        <v>1509</v>
      </c>
      <c r="Z2218">
        <v>0.42</v>
      </c>
      <c r="AA2218">
        <v>6547</v>
      </c>
      <c r="AB2218" t="s">
        <v>1743</v>
      </c>
      <c r="AC2218">
        <v>6.66</v>
      </c>
      <c r="AD2218" t="s">
        <v>693</v>
      </c>
      <c r="AE2218" t="s">
        <v>4372</v>
      </c>
      <c r="AF2218" t="s">
        <v>693</v>
      </c>
      <c r="AG2218" t="s">
        <v>4372</v>
      </c>
      <c r="AH2218">
        <v>0</v>
      </c>
      <c r="AI2218">
        <v>-2.24</v>
      </c>
      <c r="AJ2218">
        <v>5.81</v>
      </c>
      <c r="AK2218">
        <v>10.48</v>
      </c>
      <c r="AL2218">
        <v>1</v>
      </c>
      <c r="AM2218">
        <v>3.03</v>
      </c>
      <c r="AN2218">
        <v>-14.53</v>
      </c>
      <c r="AO2218">
        <v>0.66</v>
      </c>
      <c r="AP2218">
        <v>-15.93</v>
      </c>
    </row>
    <row r="2219" spans="1:42">
      <c r="A2219">
        <v>2218</v>
      </c>
      <c r="B2219" t="str">
        <f>"002664"</f>
        <v>002664</v>
      </c>
      <c r="C2219" t="s">
        <v>12231</v>
      </c>
      <c r="D2219">
        <v>18.14</v>
      </c>
      <c r="E2219">
        <v>-0.66</v>
      </c>
      <c r="F2219">
        <v>-0.12</v>
      </c>
      <c r="G2219" t="s">
        <v>5830</v>
      </c>
      <c r="H2219">
        <v>729</v>
      </c>
      <c r="I2219">
        <v>18.13</v>
      </c>
      <c r="J2219">
        <v>18.14</v>
      </c>
      <c r="K2219" t="s">
        <v>12229</v>
      </c>
      <c r="L2219">
        <v>1.15</v>
      </c>
      <c r="M2219" t="s">
        <v>46</v>
      </c>
      <c r="N2219" t="s">
        <v>12232</v>
      </c>
      <c r="O2219">
        <v>18.49</v>
      </c>
      <c r="P2219">
        <v>18.01</v>
      </c>
      <c r="Q2219">
        <v>18.26</v>
      </c>
      <c r="R2219">
        <v>18.26</v>
      </c>
      <c r="S2219">
        <v>2.63</v>
      </c>
      <c r="T2219">
        <v>0.33</v>
      </c>
      <c r="U2219">
        <v>43.82</v>
      </c>
      <c r="V2219">
        <v>337</v>
      </c>
      <c r="W2219">
        <v>18.2</v>
      </c>
      <c r="X2219" t="s">
        <v>299</v>
      </c>
      <c r="Y2219" t="s">
        <v>731</v>
      </c>
      <c r="Z2219">
        <v>1.08</v>
      </c>
      <c r="AA2219">
        <v>121</v>
      </c>
      <c r="AB2219">
        <v>12</v>
      </c>
      <c r="AC2219">
        <v>2.24</v>
      </c>
      <c r="AD2219" t="s">
        <v>5303</v>
      </c>
      <c r="AE2219" t="s">
        <v>12233</v>
      </c>
      <c r="AF2219" t="s">
        <v>528</v>
      </c>
      <c r="AG2219" t="s">
        <v>12234</v>
      </c>
      <c r="AH2219">
        <v>-1.95</v>
      </c>
      <c r="AI2219">
        <v>-12.37</v>
      </c>
      <c r="AJ2219">
        <v>4.63</v>
      </c>
      <c r="AK2219">
        <v>18.83</v>
      </c>
      <c r="AL2219">
        <v>-2</v>
      </c>
      <c r="AM2219">
        <v>-0.66</v>
      </c>
      <c r="AN2219">
        <v>39.22</v>
      </c>
      <c r="AO2219">
        <v>-6.25</v>
      </c>
      <c r="AP2219">
        <v>24.67</v>
      </c>
    </row>
    <row r="2220" spans="1:42">
      <c r="A2220">
        <v>2219</v>
      </c>
      <c r="B2220" t="str">
        <f>"300072"</f>
        <v>300072</v>
      </c>
      <c r="C2220" t="s">
        <v>12235</v>
      </c>
      <c r="D2220">
        <v>3.66</v>
      </c>
      <c r="E2220">
        <v>0.83</v>
      </c>
      <c r="F2220">
        <v>0.03</v>
      </c>
      <c r="G2220" t="s">
        <v>291</v>
      </c>
      <c r="H2220">
        <v>2532</v>
      </c>
      <c r="I2220">
        <v>3.66</v>
      </c>
      <c r="J2220">
        <v>3.67</v>
      </c>
      <c r="K2220" t="s">
        <v>12236</v>
      </c>
      <c r="L2220">
        <v>0.98</v>
      </c>
      <c r="M2220" t="s">
        <v>46</v>
      </c>
      <c r="N2220" t="s">
        <v>12237</v>
      </c>
      <c r="O2220">
        <v>3.71</v>
      </c>
      <c r="P2220">
        <v>3.6</v>
      </c>
      <c r="Q2220">
        <v>3.63</v>
      </c>
      <c r="R2220">
        <v>3.63</v>
      </c>
      <c r="S2220">
        <v>3.03</v>
      </c>
      <c r="T2220">
        <v>0.72</v>
      </c>
      <c r="U2220">
        <v>-1.88</v>
      </c>
      <c r="V2220">
        <v>-656</v>
      </c>
      <c r="W2220">
        <v>3.66</v>
      </c>
      <c r="X2220" t="s">
        <v>262</v>
      </c>
      <c r="Y2220" t="s">
        <v>2960</v>
      </c>
      <c r="Z2220">
        <v>0.98</v>
      </c>
      <c r="AA2220">
        <v>569</v>
      </c>
      <c r="AB2220">
        <v>5217</v>
      </c>
      <c r="AC2220">
        <v>1.28</v>
      </c>
      <c r="AD2220" t="s">
        <v>6286</v>
      </c>
      <c r="AE2220" t="s">
        <v>12238</v>
      </c>
      <c r="AF2220" t="s">
        <v>5806</v>
      </c>
      <c r="AG2220" t="s">
        <v>12239</v>
      </c>
      <c r="AH2220">
        <v>-3.94</v>
      </c>
      <c r="AI2220">
        <v>1.95</v>
      </c>
      <c r="AJ2220">
        <v>3.7</v>
      </c>
      <c r="AK2220">
        <v>7.84</v>
      </c>
      <c r="AL2220">
        <v>1</v>
      </c>
      <c r="AM2220">
        <v>0.83</v>
      </c>
      <c r="AN2220">
        <v>-16.06</v>
      </c>
      <c r="AO2220">
        <v>3.1</v>
      </c>
      <c r="AP2220">
        <v>-14.69</v>
      </c>
    </row>
    <row r="2221" spans="1:42">
      <c r="A2221">
        <v>2220</v>
      </c>
      <c r="B2221" t="str">
        <f>"600141"</f>
        <v>600141</v>
      </c>
      <c r="C2221" t="s">
        <v>12240</v>
      </c>
      <c r="D2221">
        <v>18.82</v>
      </c>
      <c r="E2221">
        <v>0.05</v>
      </c>
      <c r="F2221">
        <v>0.01</v>
      </c>
      <c r="G2221" t="s">
        <v>2559</v>
      </c>
      <c r="H2221">
        <v>372</v>
      </c>
      <c r="I2221">
        <v>18.81</v>
      </c>
      <c r="J2221">
        <v>18.82</v>
      </c>
      <c r="K2221" t="s">
        <v>12241</v>
      </c>
      <c r="L2221">
        <v>0.4</v>
      </c>
      <c r="M2221" t="s">
        <v>46</v>
      </c>
      <c r="N2221" t="s">
        <v>615</v>
      </c>
      <c r="O2221">
        <v>18.88</v>
      </c>
      <c r="P2221">
        <v>18.66</v>
      </c>
      <c r="Q2221">
        <v>18.78</v>
      </c>
      <c r="R2221">
        <v>18.81</v>
      </c>
      <c r="S2221">
        <v>1.17</v>
      </c>
      <c r="T2221">
        <v>0.77</v>
      </c>
      <c r="U2221">
        <v>13.39</v>
      </c>
      <c r="V2221">
        <v>161</v>
      </c>
      <c r="W2221">
        <v>18.78</v>
      </c>
      <c r="X2221" t="s">
        <v>8211</v>
      </c>
      <c r="Y2221" t="s">
        <v>8073</v>
      </c>
      <c r="Z2221">
        <v>1.17</v>
      </c>
      <c r="AA2221">
        <v>19</v>
      </c>
      <c r="AB2221">
        <v>35</v>
      </c>
      <c r="AC2221">
        <v>1.04</v>
      </c>
      <c r="AD2221" t="s">
        <v>3577</v>
      </c>
      <c r="AE2221" t="s">
        <v>9342</v>
      </c>
      <c r="AF2221" t="s">
        <v>8522</v>
      </c>
      <c r="AG2221" t="s">
        <v>12242</v>
      </c>
      <c r="AH2221">
        <v>-1.57</v>
      </c>
      <c r="AI2221">
        <v>-4.18</v>
      </c>
      <c r="AJ2221">
        <v>1.47</v>
      </c>
      <c r="AK2221">
        <v>3.01</v>
      </c>
      <c r="AL2221">
        <v>1</v>
      </c>
      <c r="AM2221">
        <v>0.05</v>
      </c>
      <c r="AN2221">
        <v>-32.79</v>
      </c>
      <c r="AO2221">
        <v>-4.18</v>
      </c>
      <c r="AP2221">
        <v>-36.8</v>
      </c>
    </row>
    <row r="2222" spans="1:42">
      <c r="A2222">
        <v>2221</v>
      </c>
      <c r="B2222" t="str">
        <f>"002085"</f>
        <v>002085</v>
      </c>
      <c r="C2222" t="s">
        <v>12243</v>
      </c>
      <c r="D2222">
        <v>5.29</v>
      </c>
      <c r="E2222">
        <v>-0.56</v>
      </c>
      <c r="F2222">
        <v>-0.03</v>
      </c>
      <c r="G2222" t="s">
        <v>3584</v>
      </c>
      <c r="H2222">
        <v>2510</v>
      </c>
      <c r="I2222">
        <v>5.29</v>
      </c>
      <c r="J2222">
        <v>5.3</v>
      </c>
      <c r="K2222" t="s">
        <v>12244</v>
      </c>
      <c r="L2222">
        <v>0.74</v>
      </c>
      <c r="M2222" t="s">
        <v>46</v>
      </c>
      <c r="N2222" t="s">
        <v>8858</v>
      </c>
      <c r="O2222">
        <v>5.34</v>
      </c>
      <c r="P2222">
        <v>5.21</v>
      </c>
      <c r="Q2222">
        <v>5.33</v>
      </c>
      <c r="R2222">
        <v>5.32</v>
      </c>
      <c r="S2222">
        <v>2.44</v>
      </c>
      <c r="T2222">
        <v>0.82</v>
      </c>
      <c r="U2222">
        <v>-16.51</v>
      </c>
      <c r="V2222">
        <v>-2208</v>
      </c>
      <c r="W2222">
        <v>5.28</v>
      </c>
      <c r="X2222" t="s">
        <v>9660</v>
      </c>
      <c r="Y2222" t="s">
        <v>1892</v>
      </c>
      <c r="Z2222">
        <v>1.32</v>
      </c>
      <c r="AA2222">
        <v>189</v>
      </c>
      <c r="AB2222">
        <v>899</v>
      </c>
      <c r="AC2222">
        <v>1.73</v>
      </c>
      <c r="AD2222" t="s">
        <v>12044</v>
      </c>
      <c r="AE2222" t="s">
        <v>9046</v>
      </c>
      <c r="AF2222" t="s">
        <v>12044</v>
      </c>
      <c r="AG2222" t="s">
        <v>9046</v>
      </c>
      <c r="AH2222">
        <v>-3.29</v>
      </c>
      <c r="AI2222">
        <v>-2.58</v>
      </c>
      <c r="AJ2222">
        <v>2.32</v>
      </c>
      <c r="AK2222">
        <v>5.27</v>
      </c>
      <c r="AL2222">
        <v>-3</v>
      </c>
      <c r="AM2222">
        <v>-0.56</v>
      </c>
      <c r="AN2222">
        <v>-9.57</v>
      </c>
      <c r="AO2222">
        <v>2.92</v>
      </c>
      <c r="AP2222">
        <v>-17.98</v>
      </c>
    </row>
    <row r="2223" spans="1:42">
      <c r="A2223">
        <v>2222</v>
      </c>
      <c r="B2223" t="str">
        <f>"300884"</f>
        <v>300884</v>
      </c>
      <c r="C2223" t="s">
        <v>12245</v>
      </c>
      <c r="D2223">
        <v>13.48</v>
      </c>
      <c r="E2223">
        <v>1.05</v>
      </c>
      <c r="F2223">
        <v>0.14</v>
      </c>
      <c r="G2223" t="s">
        <v>5779</v>
      </c>
      <c r="H2223">
        <v>2133</v>
      </c>
      <c r="I2223">
        <v>13.48</v>
      </c>
      <c r="J2223">
        <v>13.49</v>
      </c>
      <c r="K2223" t="s">
        <v>12246</v>
      </c>
      <c r="L2223">
        <v>3.57</v>
      </c>
      <c r="M2223" t="s">
        <v>46</v>
      </c>
      <c r="N2223" t="s">
        <v>12247</v>
      </c>
      <c r="O2223">
        <v>13.53</v>
      </c>
      <c r="P2223">
        <v>13.22</v>
      </c>
      <c r="Q2223">
        <v>13.32</v>
      </c>
      <c r="R2223">
        <v>13.34</v>
      </c>
      <c r="S2223">
        <v>2.32</v>
      </c>
      <c r="T2223">
        <v>0.75</v>
      </c>
      <c r="U2223">
        <v>-11.61</v>
      </c>
      <c r="V2223">
        <v>-109</v>
      </c>
      <c r="W2223">
        <v>13.41</v>
      </c>
      <c r="X2223" t="s">
        <v>10810</v>
      </c>
      <c r="Y2223" t="s">
        <v>5302</v>
      </c>
      <c r="Z2223">
        <v>1.05</v>
      </c>
      <c r="AA2223">
        <v>183</v>
      </c>
      <c r="AB2223">
        <v>152</v>
      </c>
      <c r="AC2223">
        <v>2.49</v>
      </c>
      <c r="AD2223" t="s">
        <v>12248</v>
      </c>
      <c r="AE2223" t="s">
        <v>10842</v>
      </c>
      <c r="AF2223" t="s">
        <v>12249</v>
      </c>
      <c r="AG2223" t="s">
        <v>4349</v>
      </c>
      <c r="AH2223">
        <v>-0.96</v>
      </c>
      <c r="AI2223">
        <v>-5.2</v>
      </c>
      <c r="AJ2223">
        <v>11.55</v>
      </c>
      <c r="AK2223">
        <v>27.28</v>
      </c>
      <c r="AL2223">
        <v>1</v>
      </c>
      <c r="AM2223">
        <v>1.05</v>
      </c>
      <c r="AN2223">
        <v>39.4</v>
      </c>
      <c r="AO2223">
        <v>16.21</v>
      </c>
      <c r="AP2223">
        <v>22.43</v>
      </c>
    </row>
    <row r="2224" spans="1:42">
      <c r="A2224">
        <v>2223</v>
      </c>
      <c r="B2224" t="str">
        <f>"000615"</f>
        <v>000615</v>
      </c>
      <c r="C2224" t="s">
        <v>12250</v>
      </c>
      <c r="D2224">
        <v>3.94</v>
      </c>
      <c r="E2224">
        <v>2.6</v>
      </c>
      <c r="F2224">
        <v>0.1</v>
      </c>
      <c r="G2224" t="s">
        <v>1786</v>
      </c>
      <c r="H2224">
        <v>3575</v>
      </c>
      <c r="I2224">
        <v>3.93</v>
      </c>
      <c r="J2224">
        <v>3.94</v>
      </c>
      <c r="K2224" t="s">
        <v>12251</v>
      </c>
      <c r="L2224">
        <v>2.84</v>
      </c>
      <c r="M2224" t="s">
        <v>46</v>
      </c>
      <c r="N2224" t="s">
        <v>1419</v>
      </c>
      <c r="O2224">
        <v>3.99</v>
      </c>
      <c r="P2224">
        <v>3.74</v>
      </c>
      <c r="Q2224">
        <v>3.87</v>
      </c>
      <c r="R2224">
        <v>3.84</v>
      </c>
      <c r="S2224">
        <v>6.51</v>
      </c>
      <c r="T2224">
        <v>1.05</v>
      </c>
      <c r="U2224">
        <v>-35.11</v>
      </c>
      <c r="V2224">
        <v>-4851</v>
      </c>
      <c r="W2224">
        <v>3.87</v>
      </c>
      <c r="X2224" t="s">
        <v>9123</v>
      </c>
      <c r="Y2224" t="s">
        <v>1540</v>
      </c>
      <c r="Z2224">
        <v>0.83</v>
      </c>
      <c r="AA2224">
        <v>1465</v>
      </c>
      <c r="AB2224">
        <v>510</v>
      </c>
      <c r="AC2224">
        <v>-14.38</v>
      </c>
      <c r="AD2224" t="s">
        <v>12252</v>
      </c>
      <c r="AE2224" t="s">
        <v>12253</v>
      </c>
      <c r="AF2224" t="s">
        <v>12254</v>
      </c>
      <c r="AG2224" t="s">
        <v>12255</v>
      </c>
      <c r="AH2224">
        <v>-2.48</v>
      </c>
      <c r="AI2224">
        <v>0.25</v>
      </c>
      <c r="AJ2224">
        <v>8.63</v>
      </c>
      <c r="AK2224">
        <v>16.37</v>
      </c>
      <c r="AL2224">
        <v>1</v>
      </c>
      <c r="AM2224">
        <v>2.6</v>
      </c>
      <c r="AN2224">
        <v>-52.3</v>
      </c>
      <c r="AO2224">
        <v>1.29</v>
      </c>
      <c r="AP2224">
        <v>-33.78</v>
      </c>
    </row>
    <row r="2225" spans="1:42">
      <c r="A2225">
        <v>2224</v>
      </c>
      <c r="B2225" t="str">
        <f>"300260"</f>
        <v>300260</v>
      </c>
      <c r="C2225" t="s">
        <v>12256</v>
      </c>
      <c r="D2225">
        <v>33.44</v>
      </c>
      <c r="E2225">
        <v>0.33</v>
      </c>
      <c r="F2225">
        <v>0.11</v>
      </c>
      <c r="G2225" t="s">
        <v>3110</v>
      </c>
      <c r="H2225">
        <v>269</v>
      </c>
      <c r="I2225">
        <v>33.44</v>
      </c>
      <c r="J2225">
        <v>33.45</v>
      </c>
      <c r="K2225" t="s">
        <v>12257</v>
      </c>
      <c r="L2225">
        <v>0.9</v>
      </c>
      <c r="M2225" t="s">
        <v>46</v>
      </c>
      <c r="N2225" t="s">
        <v>3547</v>
      </c>
      <c r="O2225">
        <v>33.63</v>
      </c>
      <c r="P2225">
        <v>32.88</v>
      </c>
      <c r="Q2225">
        <v>33.22</v>
      </c>
      <c r="R2225">
        <v>33.33</v>
      </c>
      <c r="S2225">
        <v>2.25</v>
      </c>
      <c r="T2225">
        <v>0.56</v>
      </c>
      <c r="U2225">
        <v>25.28</v>
      </c>
      <c r="V2225">
        <v>134</v>
      </c>
      <c r="W2225">
        <v>33.25</v>
      </c>
      <c r="X2225" t="s">
        <v>4717</v>
      </c>
      <c r="Y2225" t="s">
        <v>4443</v>
      </c>
      <c r="Z2225">
        <v>1.28</v>
      </c>
      <c r="AA2225">
        <v>129</v>
      </c>
      <c r="AB2225">
        <v>112</v>
      </c>
      <c r="AC2225">
        <v>7.87</v>
      </c>
      <c r="AD2225" t="s">
        <v>9233</v>
      </c>
      <c r="AE2225" t="s">
        <v>933</v>
      </c>
      <c r="AF2225" t="s">
        <v>12258</v>
      </c>
      <c r="AG2225" t="s">
        <v>12259</v>
      </c>
      <c r="AH2225">
        <v>-2.22</v>
      </c>
      <c r="AI2225">
        <v>0.27</v>
      </c>
      <c r="AJ2225">
        <v>4.25</v>
      </c>
      <c r="AK2225">
        <v>8.93</v>
      </c>
      <c r="AL2225">
        <v>1</v>
      </c>
      <c r="AM2225">
        <v>0.33</v>
      </c>
      <c r="AN2225">
        <v>-10.08</v>
      </c>
      <c r="AO2225">
        <v>0.09</v>
      </c>
      <c r="AP2225">
        <v>-34.46</v>
      </c>
    </row>
    <row r="2226" spans="1:42">
      <c r="A2226">
        <v>2225</v>
      </c>
      <c r="B2226" t="str">
        <f>"300307"</f>
        <v>300307</v>
      </c>
      <c r="C2226" t="s">
        <v>12260</v>
      </c>
      <c r="D2226">
        <v>6.84</v>
      </c>
      <c r="E2226">
        <v>1.18</v>
      </c>
      <c r="F2226">
        <v>0.08</v>
      </c>
      <c r="G2226" t="s">
        <v>422</v>
      </c>
      <c r="H2226">
        <v>1437</v>
      </c>
      <c r="I2226">
        <v>6.84</v>
      </c>
      <c r="J2226">
        <v>6.85</v>
      </c>
      <c r="K2226" t="s">
        <v>12261</v>
      </c>
      <c r="L2226">
        <v>1.6</v>
      </c>
      <c r="M2226" t="s">
        <v>46</v>
      </c>
      <c r="N2226" t="s">
        <v>392</v>
      </c>
      <c r="O2226">
        <v>6.88</v>
      </c>
      <c r="P2226">
        <v>6.69</v>
      </c>
      <c r="Q2226">
        <v>6.76</v>
      </c>
      <c r="R2226">
        <v>6.76</v>
      </c>
      <c r="S2226">
        <v>2.81</v>
      </c>
      <c r="T2226">
        <v>0.81</v>
      </c>
      <c r="U2226">
        <v>-61.46</v>
      </c>
      <c r="V2226">
        <v>-3237</v>
      </c>
      <c r="W2226">
        <v>6.78</v>
      </c>
      <c r="X2226" t="s">
        <v>525</v>
      </c>
      <c r="Y2226" t="s">
        <v>4913</v>
      </c>
      <c r="Z2226">
        <v>0.9</v>
      </c>
      <c r="AA2226">
        <v>387</v>
      </c>
      <c r="AB2226">
        <v>582</v>
      </c>
      <c r="AC2226">
        <v>1.84</v>
      </c>
      <c r="AD2226" t="s">
        <v>11754</v>
      </c>
      <c r="AE2226" t="s">
        <v>12262</v>
      </c>
      <c r="AF2226" t="s">
        <v>11362</v>
      </c>
      <c r="AG2226" t="s">
        <v>12263</v>
      </c>
      <c r="AH2226">
        <v>-2.01</v>
      </c>
      <c r="AI2226">
        <v>-3.39</v>
      </c>
      <c r="AJ2226">
        <v>5.67</v>
      </c>
      <c r="AK2226">
        <v>11.5</v>
      </c>
      <c r="AL2226">
        <v>1</v>
      </c>
      <c r="AM2226">
        <v>1.18</v>
      </c>
      <c r="AN2226">
        <v>35.71</v>
      </c>
      <c r="AO2226">
        <v>2.55</v>
      </c>
      <c r="AP2226">
        <v>33.33</v>
      </c>
    </row>
    <row r="2227" spans="1:42">
      <c r="A2227">
        <v>2226</v>
      </c>
      <c r="B2227" t="str">
        <f>"002124"</f>
        <v>002124</v>
      </c>
      <c r="C2227" t="s">
        <v>12264</v>
      </c>
      <c r="D2227">
        <v>3.85</v>
      </c>
      <c r="E2227">
        <v>-1.28</v>
      </c>
      <c r="F2227">
        <v>-0.05</v>
      </c>
      <c r="G2227" t="s">
        <v>1786</v>
      </c>
      <c r="H2227">
        <v>1961</v>
      </c>
      <c r="I2227">
        <v>3.84</v>
      </c>
      <c r="J2227">
        <v>3.85</v>
      </c>
      <c r="K2227" t="s">
        <v>12261</v>
      </c>
      <c r="L2227">
        <v>1.38</v>
      </c>
      <c r="M2227" t="s">
        <v>46</v>
      </c>
      <c r="N2227" t="s">
        <v>11961</v>
      </c>
      <c r="O2227">
        <v>3.93</v>
      </c>
      <c r="P2227">
        <v>3.84</v>
      </c>
      <c r="Q2227">
        <v>3.89</v>
      </c>
      <c r="R2227">
        <v>3.9</v>
      </c>
      <c r="S2227">
        <v>2.31</v>
      </c>
      <c r="T2227">
        <v>1.03</v>
      </c>
      <c r="U2227">
        <v>17.01</v>
      </c>
      <c r="V2227">
        <v>4225</v>
      </c>
      <c r="W2227">
        <v>3.87</v>
      </c>
      <c r="X2227" t="s">
        <v>1376</v>
      </c>
      <c r="Y2227" t="s">
        <v>3759</v>
      </c>
      <c r="Z2227">
        <v>1.71</v>
      </c>
      <c r="AA2227">
        <v>6695</v>
      </c>
      <c r="AB2227">
        <v>615</v>
      </c>
      <c r="AC2227">
        <v>3.01</v>
      </c>
      <c r="AD2227" t="s">
        <v>12265</v>
      </c>
      <c r="AE2227" t="s">
        <v>12266</v>
      </c>
      <c r="AF2227" t="s">
        <v>12267</v>
      </c>
      <c r="AG2227" t="s">
        <v>8084</v>
      </c>
      <c r="AH2227">
        <v>-2.78</v>
      </c>
      <c r="AI2227">
        <v>-3.27</v>
      </c>
      <c r="AJ2227">
        <v>3.08</v>
      </c>
      <c r="AK2227">
        <v>8.06</v>
      </c>
      <c r="AL2227">
        <v>-5</v>
      </c>
      <c r="AM2227">
        <v>-1.28</v>
      </c>
      <c r="AN2227">
        <v>-36.99</v>
      </c>
      <c r="AO2227">
        <v>-3.51</v>
      </c>
      <c r="AP2227">
        <v>-37.5</v>
      </c>
    </row>
    <row r="2228" spans="1:42">
      <c r="A2228">
        <v>2227</v>
      </c>
      <c r="B2228" t="str">
        <f>"300731"</f>
        <v>300731</v>
      </c>
      <c r="C2228" t="s">
        <v>12268</v>
      </c>
      <c r="D2228">
        <v>22.49</v>
      </c>
      <c r="E2228">
        <v>0.85</v>
      </c>
      <c r="F2228">
        <v>0.19</v>
      </c>
      <c r="G2228" t="s">
        <v>2691</v>
      </c>
      <c r="H2228">
        <v>930</v>
      </c>
      <c r="I2228">
        <v>22.48</v>
      </c>
      <c r="J2228">
        <v>22.5</v>
      </c>
      <c r="K2228" t="s">
        <v>12269</v>
      </c>
      <c r="L2228">
        <v>3.1</v>
      </c>
      <c r="M2228" t="s">
        <v>46</v>
      </c>
      <c r="N2228" t="s">
        <v>4078</v>
      </c>
      <c r="O2228">
        <v>22.58</v>
      </c>
      <c r="P2228">
        <v>22.06</v>
      </c>
      <c r="Q2228">
        <v>22.28</v>
      </c>
      <c r="R2228">
        <v>22.3</v>
      </c>
      <c r="S2228">
        <v>2.33</v>
      </c>
      <c r="T2228">
        <v>0.52</v>
      </c>
      <c r="U2228">
        <v>17.57</v>
      </c>
      <c r="V2228">
        <v>110</v>
      </c>
      <c r="W2228">
        <v>22.4</v>
      </c>
      <c r="X2228" t="s">
        <v>2924</v>
      </c>
      <c r="Y2228" t="s">
        <v>1177</v>
      </c>
      <c r="Z2228">
        <v>1.12</v>
      </c>
      <c r="AA2228">
        <v>68</v>
      </c>
      <c r="AB2228">
        <v>14</v>
      </c>
      <c r="AC2228">
        <v>4.7</v>
      </c>
      <c r="AD2228" t="s">
        <v>12270</v>
      </c>
      <c r="AE2228" t="s">
        <v>10022</v>
      </c>
      <c r="AF2228" t="s">
        <v>12271</v>
      </c>
      <c r="AG2228" t="s">
        <v>8588</v>
      </c>
      <c r="AH2228">
        <v>-1.79</v>
      </c>
      <c r="AI2228">
        <v>-2.56</v>
      </c>
      <c r="AJ2228">
        <v>12.42</v>
      </c>
      <c r="AK2228">
        <v>33.08</v>
      </c>
      <c r="AL2228">
        <v>1</v>
      </c>
      <c r="AM2228">
        <v>0.85</v>
      </c>
      <c r="AN2228">
        <v>34.19</v>
      </c>
      <c r="AO2228">
        <v>7.15</v>
      </c>
      <c r="AP2228">
        <v>19.63</v>
      </c>
    </row>
    <row r="2229" spans="1:42">
      <c r="A2229">
        <v>2228</v>
      </c>
      <c r="B2229" t="str">
        <f>"600576"</f>
        <v>600576</v>
      </c>
      <c r="C2229" t="s">
        <v>12272</v>
      </c>
      <c r="D2229">
        <v>7.67</v>
      </c>
      <c r="E2229">
        <v>2.68</v>
      </c>
      <c r="F2229">
        <v>0.2</v>
      </c>
      <c r="G2229" t="s">
        <v>1949</v>
      </c>
      <c r="H2229">
        <v>1042</v>
      </c>
      <c r="I2229">
        <v>7.66</v>
      </c>
      <c r="J2229">
        <v>7.67</v>
      </c>
      <c r="K2229" t="s">
        <v>12273</v>
      </c>
      <c r="L2229">
        <v>1.63</v>
      </c>
      <c r="M2229" t="s">
        <v>46</v>
      </c>
      <c r="N2229" t="s">
        <v>1857</v>
      </c>
      <c r="O2229">
        <v>7.68</v>
      </c>
      <c r="P2229">
        <v>7.44</v>
      </c>
      <c r="Q2229">
        <v>7.46</v>
      </c>
      <c r="R2229">
        <v>7.47</v>
      </c>
      <c r="S2229">
        <v>3.21</v>
      </c>
      <c r="T2229">
        <v>2.62</v>
      </c>
      <c r="U2229">
        <v>-50.27</v>
      </c>
      <c r="V2229">
        <v>-4167</v>
      </c>
      <c r="W2229">
        <v>7.63</v>
      </c>
      <c r="X2229" t="s">
        <v>4827</v>
      </c>
      <c r="Y2229" t="s">
        <v>6903</v>
      </c>
      <c r="Z2229">
        <v>0.72</v>
      </c>
      <c r="AA2229">
        <v>685</v>
      </c>
      <c r="AB2229">
        <v>510</v>
      </c>
      <c r="AC2229">
        <v>3.03</v>
      </c>
      <c r="AD2229" t="s">
        <v>12274</v>
      </c>
      <c r="AE2229" t="s">
        <v>12275</v>
      </c>
      <c r="AF2229" t="s">
        <v>12276</v>
      </c>
      <c r="AG2229" t="s">
        <v>9384</v>
      </c>
      <c r="AH2229">
        <v>2.95</v>
      </c>
      <c r="AI2229">
        <v>1.86</v>
      </c>
      <c r="AJ2229">
        <v>2.86</v>
      </c>
      <c r="AK2229">
        <v>4.73</v>
      </c>
      <c r="AL2229">
        <v>3</v>
      </c>
      <c r="AM2229">
        <v>2.68</v>
      </c>
      <c r="AN2229">
        <v>-3.88</v>
      </c>
      <c r="AO2229">
        <v>3.79</v>
      </c>
      <c r="AP2229">
        <v>29.56</v>
      </c>
    </row>
    <row r="2230" spans="1:42">
      <c r="A2230">
        <v>2229</v>
      </c>
      <c r="B2230" t="str">
        <f>"300514"</f>
        <v>300514</v>
      </c>
      <c r="C2230" t="s">
        <v>12277</v>
      </c>
      <c r="D2230">
        <v>15.79</v>
      </c>
      <c r="E2230">
        <v>1.81</v>
      </c>
      <c r="F2230">
        <v>0.28</v>
      </c>
      <c r="G2230" t="s">
        <v>308</v>
      </c>
      <c r="H2230">
        <v>510</v>
      </c>
      <c r="I2230">
        <v>15.79</v>
      </c>
      <c r="J2230">
        <v>15.8</v>
      </c>
      <c r="K2230" t="s">
        <v>12278</v>
      </c>
      <c r="L2230">
        <v>3.44</v>
      </c>
      <c r="M2230" t="s">
        <v>46</v>
      </c>
      <c r="N2230" t="s">
        <v>12279</v>
      </c>
      <c r="O2230">
        <v>15.85</v>
      </c>
      <c r="P2230">
        <v>15.28</v>
      </c>
      <c r="Q2230">
        <v>15.41</v>
      </c>
      <c r="R2230">
        <v>15.51</v>
      </c>
      <c r="S2230">
        <v>3.68</v>
      </c>
      <c r="T2230">
        <v>1.12</v>
      </c>
      <c r="U2230">
        <v>11.02</v>
      </c>
      <c r="V2230">
        <v>137</v>
      </c>
      <c r="W2230">
        <v>15.62</v>
      </c>
      <c r="X2230" t="s">
        <v>4269</v>
      </c>
      <c r="Y2230" t="s">
        <v>6395</v>
      </c>
      <c r="Z2230">
        <v>0.83</v>
      </c>
      <c r="AA2230">
        <v>37</v>
      </c>
      <c r="AB2230">
        <v>158</v>
      </c>
      <c r="AC2230">
        <v>3.7</v>
      </c>
      <c r="AD2230" t="s">
        <v>5838</v>
      </c>
      <c r="AE2230" t="s">
        <v>12280</v>
      </c>
      <c r="AF2230" t="s">
        <v>12220</v>
      </c>
      <c r="AG2230" t="s">
        <v>3377</v>
      </c>
      <c r="AH2230">
        <v>1.15</v>
      </c>
      <c r="AI2230">
        <v>-0.19</v>
      </c>
      <c r="AJ2230">
        <v>8.38</v>
      </c>
      <c r="AK2230">
        <v>18.81</v>
      </c>
      <c r="AL2230">
        <v>1</v>
      </c>
      <c r="AM2230">
        <v>1.81</v>
      </c>
      <c r="AN2230">
        <v>56.34</v>
      </c>
      <c r="AO2230">
        <v>5.83</v>
      </c>
      <c r="AP2230">
        <v>40.36</v>
      </c>
    </row>
    <row r="2231" spans="1:42">
      <c r="A2231">
        <v>2230</v>
      </c>
      <c r="B2231" t="str">
        <f>"002585"</f>
        <v>002585</v>
      </c>
      <c r="C2231" t="s">
        <v>12281</v>
      </c>
      <c r="D2231">
        <v>8.68</v>
      </c>
      <c r="E2231">
        <v>0</v>
      </c>
      <c r="F2231">
        <v>0</v>
      </c>
      <c r="G2231" t="s">
        <v>12282</v>
      </c>
      <c r="H2231">
        <v>1419</v>
      </c>
      <c r="I2231">
        <v>8.68</v>
      </c>
      <c r="J2231">
        <v>8.69</v>
      </c>
      <c r="K2231" t="s">
        <v>12283</v>
      </c>
      <c r="L2231">
        <v>1.08</v>
      </c>
      <c r="M2231" t="s">
        <v>46</v>
      </c>
      <c r="N2231" t="s">
        <v>3349</v>
      </c>
      <c r="O2231">
        <v>8.73</v>
      </c>
      <c r="P2231">
        <v>8.58</v>
      </c>
      <c r="Q2231">
        <v>8.7</v>
      </c>
      <c r="R2231">
        <v>8.68</v>
      </c>
      <c r="S2231">
        <v>1.73</v>
      </c>
      <c r="T2231">
        <v>0.82</v>
      </c>
      <c r="U2231">
        <v>18.36</v>
      </c>
      <c r="V2231">
        <v>880</v>
      </c>
      <c r="W2231">
        <v>8.64</v>
      </c>
      <c r="X2231" t="s">
        <v>7068</v>
      </c>
      <c r="Y2231" t="s">
        <v>3758</v>
      </c>
      <c r="Z2231">
        <v>1.23</v>
      </c>
      <c r="AA2231">
        <v>306</v>
      </c>
      <c r="AB2231">
        <v>552</v>
      </c>
      <c r="AC2231">
        <v>1.05</v>
      </c>
      <c r="AD2231" t="s">
        <v>896</v>
      </c>
      <c r="AE2231" t="s">
        <v>4162</v>
      </c>
      <c r="AF2231" t="s">
        <v>12284</v>
      </c>
      <c r="AG2231" t="s">
        <v>10102</v>
      </c>
      <c r="AH2231">
        <v>-3.02</v>
      </c>
      <c r="AI2231">
        <v>-6.16</v>
      </c>
      <c r="AJ2231">
        <v>3.32</v>
      </c>
      <c r="AK2231">
        <v>7.65</v>
      </c>
      <c r="AL2231">
        <v>0</v>
      </c>
      <c r="AM2231">
        <v>0</v>
      </c>
      <c r="AN2231">
        <v>-30.84</v>
      </c>
      <c r="AO2231">
        <v>-1.59</v>
      </c>
      <c r="AP2231">
        <v>-41.63</v>
      </c>
    </row>
    <row r="2232" spans="1:42">
      <c r="A2232">
        <v>2231</v>
      </c>
      <c r="B2232" t="str">
        <f>"600221"</f>
        <v>600221</v>
      </c>
      <c r="C2232" t="s">
        <v>12285</v>
      </c>
      <c r="D2232">
        <v>1.44</v>
      </c>
      <c r="E2232">
        <v>-0.69</v>
      </c>
      <c r="F2232">
        <v>-0.01</v>
      </c>
      <c r="G2232" t="s">
        <v>120</v>
      </c>
      <c r="H2232" t="s">
        <v>8681</v>
      </c>
      <c r="I2232">
        <v>1.44</v>
      </c>
      <c r="J2232">
        <v>1.45</v>
      </c>
      <c r="K2232" t="s">
        <v>12286</v>
      </c>
      <c r="L2232">
        <v>0.18</v>
      </c>
      <c r="M2232" t="s">
        <v>46</v>
      </c>
      <c r="N2232" t="s">
        <v>12287</v>
      </c>
      <c r="O2232">
        <v>1.45</v>
      </c>
      <c r="P2232">
        <v>1.43</v>
      </c>
      <c r="Q2232">
        <v>1.45</v>
      </c>
      <c r="R2232">
        <v>1.45</v>
      </c>
      <c r="S2232">
        <v>1.38</v>
      </c>
      <c r="T2232">
        <v>0.99</v>
      </c>
      <c r="U2232">
        <v>-25.06</v>
      </c>
      <c r="V2232" t="s">
        <v>12288</v>
      </c>
      <c r="W2232">
        <v>1.44</v>
      </c>
      <c r="X2232" t="s">
        <v>479</v>
      </c>
      <c r="Y2232" t="s">
        <v>2915</v>
      </c>
      <c r="Z2232">
        <v>2.35</v>
      </c>
      <c r="AA2232">
        <v>2907</v>
      </c>
      <c r="AB2232" t="s">
        <v>8045</v>
      </c>
      <c r="AC2232">
        <v>16.51</v>
      </c>
      <c r="AD2232" t="s">
        <v>12289</v>
      </c>
      <c r="AE2232" t="s">
        <v>12290</v>
      </c>
      <c r="AF2232" t="s">
        <v>12291</v>
      </c>
      <c r="AG2232" t="s">
        <v>12292</v>
      </c>
      <c r="AH2232">
        <v>-0.69</v>
      </c>
      <c r="AI2232">
        <v>-2.04</v>
      </c>
      <c r="AJ2232">
        <v>0.48</v>
      </c>
      <c r="AK2232">
        <v>1.06</v>
      </c>
      <c r="AL2232">
        <v>-1</v>
      </c>
      <c r="AM2232">
        <v>-0.69</v>
      </c>
      <c r="AN2232">
        <v>-22.58</v>
      </c>
      <c r="AO2232">
        <v>-0.69</v>
      </c>
      <c r="AP2232">
        <v>-8.28</v>
      </c>
    </row>
    <row r="2233" spans="1:42">
      <c r="A2233">
        <v>2232</v>
      </c>
      <c r="B2233" t="str">
        <f>"603801"</f>
        <v>603801</v>
      </c>
      <c r="C2233" t="s">
        <v>12293</v>
      </c>
      <c r="D2233">
        <v>18.42</v>
      </c>
      <c r="E2233">
        <v>-1.44</v>
      </c>
      <c r="F2233">
        <v>-0.27</v>
      </c>
      <c r="G2233" t="s">
        <v>1502</v>
      </c>
      <c r="H2233">
        <v>431</v>
      </c>
      <c r="I2233">
        <v>18.41</v>
      </c>
      <c r="J2233">
        <v>18.42</v>
      </c>
      <c r="K2233" t="s">
        <v>12294</v>
      </c>
      <c r="L2233">
        <v>1.04</v>
      </c>
      <c r="M2233" t="s">
        <v>46</v>
      </c>
      <c r="N2233" t="s">
        <v>12295</v>
      </c>
      <c r="O2233">
        <v>18.82</v>
      </c>
      <c r="P2233">
        <v>18.3</v>
      </c>
      <c r="Q2233">
        <v>18.6</v>
      </c>
      <c r="R2233">
        <v>18.69</v>
      </c>
      <c r="S2233">
        <v>2.78</v>
      </c>
      <c r="T2233">
        <v>0.75</v>
      </c>
      <c r="U2233">
        <v>37.75</v>
      </c>
      <c r="V2233">
        <v>642</v>
      </c>
      <c r="W2233">
        <v>18.47</v>
      </c>
      <c r="X2233" t="s">
        <v>914</v>
      </c>
      <c r="Y2233" t="s">
        <v>128</v>
      </c>
      <c r="Z2233">
        <v>1.44</v>
      </c>
      <c r="AA2233">
        <v>305</v>
      </c>
      <c r="AB2233">
        <v>154</v>
      </c>
      <c r="AC2233">
        <v>2.66</v>
      </c>
      <c r="AD2233" t="s">
        <v>12296</v>
      </c>
      <c r="AE2233" t="s">
        <v>12297</v>
      </c>
      <c r="AF2233" t="s">
        <v>12298</v>
      </c>
      <c r="AG2233" t="s">
        <v>6830</v>
      </c>
      <c r="AH2233">
        <v>-3.86</v>
      </c>
      <c r="AI2233">
        <v>-6.31</v>
      </c>
      <c r="AJ2233">
        <v>2.93</v>
      </c>
      <c r="AK2233">
        <v>8.04</v>
      </c>
      <c r="AL2233">
        <v>-6</v>
      </c>
      <c r="AM2233">
        <v>-1.44</v>
      </c>
      <c r="AN2233">
        <v>-1.5</v>
      </c>
      <c r="AO2233">
        <v>-5</v>
      </c>
      <c r="AP2233">
        <v>5.14</v>
      </c>
    </row>
    <row r="2234" spans="1:42">
      <c r="A2234">
        <v>2233</v>
      </c>
      <c r="B2234" t="str">
        <f>"002484"</f>
        <v>002484</v>
      </c>
      <c r="C2234" t="s">
        <v>12299</v>
      </c>
      <c r="D2234">
        <v>16.98</v>
      </c>
      <c r="E2234">
        <v>1.07</v>
      </c>
      <c r="F2234">
        <v>0.18</v>
      </c>
      <c r="G2234" t="s">
        <v>4264</v>
      </c>
      <c r="H2234">
        <v>617</v>
      </c>
      <c r="I2234">
        <v>16.95</v>
      </c>
      <c r="J2234">
        <v>16.98</v>
      </c>
      <c r="K2234" t="s">
        <v>12300</v>
      </c>
      <c r="L2234">
        <v>0.62</v>
      </c>
      <c r="M2234" t="s">
        <v>46</v>
      </c>
      <c r="N2234" t="s">
        <v>12301</v>
      </c>
      <c r="O2234">
        <v>17</v>
      </c>
      <c r="P2234">
        <v>16.61</v>
      </c>
      <c r="Q2234">
        <v>16.76</v>
      </c>
      <c r="R2234">
        <v>16.8</v>
      </c>
      <c r="S2234">
        <v>2.32</v>
      </c>
      <c r="T2234">
        <v>1.3</v>
      </c>
      <c r="U2234">
        <v>-11.46</v>
      </c>
      <c r="V2234">
        <v>-108</v>
      </c>
      <c r="W2234">
        <v>16.84</v>
      </c>
      <c r="X2234" t="s">
        <v>117</v>
      </c>
      <c r="Y2234" t="s">
        <v>314</v>
      </c>
      <c r="Z2234">
        <v>1.11</v>
      </c>
      <c r="AA2234">
        <v>6</v>
      </c>
      <c r="AB2234">
        <v>35</v>
      </c>
      <c r="AC2234">
        <v>2.69</v>
      </c>
      <c r="AD2234" t="s">
        <v>12302</v>
      </c>
      <c r="AE2234" t="s">
        <v>10321</v>
      </c>
      <c r="AF2234" t="s">
        <v>12303</v>
      </c>
      <c r="AG2234" t="s">
        <v>7808</v>
      </c>
      <c r="AH2234">
        <v>-0.99</v>
      </c>
      <c r="AI2234">
        <v>-0.93</v>
      </c>
      <c r="AJ2234">
        <v>1.58</v>
      </c>
      <c r="AK2234">
        <v>3.01</v>
      </c>
      <c r="AL2234">
        <v>1</v>
      </c>
      <c r="AM2234">
        <v>1.07</v>
      </c>
      <c r="AN2234">
        <v>-23.58</v>
      </c>
      <c r="AO2234">
        <v>-1.79</v>
      </c>
      <c r="AP2234">
        <v>-24.2</v>
      </c>
    </row>
    <row r="2235" spans="1:42">
      <c r="A2235">
        <v>2234</v>
      </c>
      <c r="B2235" t="str">
        <f>"000560"</f>
        <v>000560</v>
      </c>
      <c r="C2235" t="s">
        <v>12304</v>
      </c>
      <c r="D2235">
        <v>2.44</v>
      </c>
      <c r="E2235">
        <v>0.83</v>
      </c>
      <c r="F2235">
        <v>0.02</v>
      </c>
      <c r="G2235" t="s">
        <v>856</v>
      </c>
      <c r="H2235">
        <v>8845</v>
      </c>
      <c r="I2235">
        <v>2.43</v>
      </c>
      <c r="J2235">
        <v>2.44</v>
      </c>
      <c r="K2235" t="s">
        <v>12300</v>
      </c>
      <c r="L2235">
        <v>1.52</v>
      </c>
      <c r="M2235" t="s">
        <v>46</v>
      </c>
      <c r="N2235" t="s">
        <v>12305</v>
      </c>
      <c r="O2235">
        <v>2.46</v>
      </c>
      <c r="P2235">
        <v>2.39</v>
      </c>
      <c r="Q2235">
        <v>2.41</v>
      </c>
      <c r="R2235">
        <v>2.42</v>
      </c>
      <c r="S2235">
        <v>2.89</v>
      </c>
      <c r="T2235">
        <v>0.88</v>
      </c>
      <c r="U2235">
        <v>-13.81</v>
      </c>
      <c r="V2235" t="s">
        <v>12306</v>
      </c>
      <c r="W2235">
        <v>2.43</v>
      </c>
      <c r="X2235" t="s">
        <v>562</v>
      </c>
      <c r="Y2235" t="s">
        <v>1008</v>
      </c>
      <c r="Z2235">
        <v>0.83</v>
      </c>
      <c r="AA2235">
        <v>9449</v>
      </c>
      <c r="AB2235" t="s">
        <v>905</v>
      </c>
      <c r="AC2235">
        <v>0.56</v>
      </c>
      <c r="AD2235" t="s">
        <v>5126</v>
      </c>
      <c r="AE2235" t="s">
        <v>12307</v>
      </c>
      <c r="AF2235" t="s">
        <v>12308</v>
      </c>
      <c r="AG2235" t="s">
        <v>12309</v>
      </c>
      <c r="AH2235">
        <v>-1.61</v>
      </c>
      <c r="AI2235">
        <v>-4.69</v>
      </c>
      <c r="AJ2235">
        <v>4.46</v>
      </c>
      <c r="AK2235">
        <v>10.15</v>
      </c>
      <c r="AL2235">
        <v>2</v>
      </c>
      <c r="AM2235">
        <v>0.83</v>
      </c>
      <c r="AN2235">
        <v>-2.4</v>
      </c>
      <c r="AO2235">
        <v>2.09</v>
      </c>
      <c r="AP2235">
        <v>-4.69</v>
      </c>
    </row>
    <row r="2236" spans="1:42">
      <c r="A2236">
        <v>2235</v>
      </c>
      <c r="B2236" t="str">
        <f>"603505"</f>
        <v>603505</v>
      </c>
      <c r="C2236" t="s">
        <v>12310</v>
      </c>
      <c r="D2236">
        <v>27.62</v>
      </c>
      <c r="E2236">
        <v>-0.43</v>
      </c>
      <c r="F2236">
        <v>-0.12</v>
      </c>
      <c r="G2236" t="s">
        <v>8915</v>
      </c>
      <c r="H2236">
        <v>239</v>
      </c>
      <c r="I2236">
        <v>27.6</v>
      </c>
      <c r="J2236">
        <v>27.62</v>
      </c>
      <c r="K2236" t="s">
        <v>12311</v>
      </c>
      <c r="L2236">
        <v>0.5</v>
      </c>
      <c r="M2236" t="s">
        <v>46</v>
      </c>
      <c r="N2236" t="s">
        <v>5453</v>
      </c>
      <c r="O2236">
        <v>27.89</v>
      </c>
      <c r="P2236">
        <v>27.34</v>
      </c>
      <c r="Q2236">
        <v>27.53</v>
      </c>
      <c r="R2236">
        <v>27.74</v>
      </c>
      <c r="S2236">
        <v>1.98</v>
      </c>
      <c r="T2236">
        <v>1.09</v>
      </c>
      <c r="U2236">
        <v>19.19</v>
      </c>
      <c r="V2236">
        <v>65</v>
      </c>
      <c r="W2236">
        <v>27.53</v>
      </c>
      <c r="X2236" t="s">
        <v>3130</v>
      </c>
      <c r="Y2236" t="s">
        <v>5951</v>
      </c>
      <c r="Z2236">
        <v>0.94</v>
      </c>
      <c r="AA2236">
        <v>27</v>
      </c>
      <c r="AB2236">
        <v>41</v>
      </c>
      <c r="AC2236">
        <v>10.9</v>
      </c>
      <c r="AD2236" t="s">
        <v>3585</v>
      </c>
      <c r="AE2236" t="s">
        <v>8693</v>
      </c>
      <c r="AF2236" t="s">
        <v>3585</v>
      </c>
      <c r="AG2236" t="s">
        <v>8693</v>
      </c>
      <c r="AH2236">
        <v>-2.75</v>
      </c>
      <c r="AI2236">
        <v>-3.33</v>
      </c>
      <c r="AJ2236">
        <v>1.31</v>
      </c>
      <c r="AK2236">
        <v>2.79</v>
      </c>
      <c r="AL2236">
        <v>-3</v>
      </c>
      <c r="AM2236">
        <v>-0.43</v>
      </c>
      <c r="AN2236">
        <v>-2.02</v>
      </c>
      <c r="AO2236">
        <v>-5.8</v>
      </c>
      <c r="AP2236">
        <v>-16.2</v>
      </c>
    </row>
    <row r="2237" spans="1:42">
      <c r="A2237">
        <v>2236</v>
      </c>
      <c r="B2237" t="str">
        <f>"300224"</f>
        <v>300224</v>
      </c>
      <c r="C2237" t="s">
        <v>12312</v>
      </c>
      <c r="D2237">
        <v>11.77</v>
      </c>
      <c r="E2237">
        <v>-1.59</v>
      </c>
      <c r="F2237">
        <v>-0.19</v>
      </c>
      <c r="G2237" t="s">
        <v>4868</v>
      </c>
      <c r="H2237">
        <v>842</v>
      </c>
      <c r="I2237">
        <v>11.76</v>
      </c>
      <c r="J2237">
        <v>11.77</v>
      </c>
      <c r="K2237" t="s">
        <v>12313</v>
      </c>
      <c r="L2237">
        <v>0.87</v>
      </c>
      <c r="M2237" t="s">
        <v>46</v>
      </c>
      <c r="N2237" t="s">
        <v>12314</v>
      </c>
      <c r="O2237">
        <v>11.94</v>
      </c>
      <c r="P2237">
        <v>11.67</v>
      </c>
      <c r="Q2237">
        <v>11.92</v>
      </c>
      <c r="R2237">
        <v>11.96</v>
      </c>
      <c r="S2237">
        <v>2.26</v>
      </c>
      <c r="T2237">
        <v>1.26</v>
      </c>
      <c r="U2237">
        <v>19.41</v>
      </c>
      <c r="V2237">
        <v>608</v>
      </c>
      <c r="W2237">
        <v>11.77</v>
      </c>
      <c r="X2237" t="s">
        <v>5666</v>
      </c>
      <c r="Y2237" t="s">
        <v>6247</v>
      </c>
      <c r="Z2237">
        <v>1.41</v>
      </c>
      <c r="AA2237">
        <v>700</v>
      </c>
      <c r="AB2237">
        <v>53</v>
      </c>
      <c r="AC2237">
        <v>2.77</v>
      </c>
      <c r="AD2237" t="s">
        <v>12315</v>
      </c>
      <c r="AE2237" t="s">
        <v>12316</v>
      </c>
      <c r="AF2237" t="s">
        <v>12317</v>
      </c>
      <c r="AG2237" t="s">
        <v>12318</v>
      </c>
      <c r="AH2237">
        <v>-1.92</v>
      </c>
      <c r="AI2237">
        <v>-3.13</v>
      </c>
      <c r="AJ2237">
        <v>2.88</v>
      </c>
      <c r="AK2237">
        <v>4.32</v>
      </c>
      <c r="AL2237">
        <v>-2</v>
      </c>
      <c r="AM2237">
        <v>-1.59</v>
      </c>
      <c r="AN2237">
        <v>-4.54</v>
      </c>
      <c r="AO2237">
        <v>-2.32</v>
      </c>
      <c r="AP2237">
        <v>-10.56</v>
      </c>
    </row>
    <row r="2238" spans="1:42">
      <c r="A2238">
        <v>2237</v>
      </c>
      <c r="B2238" t="str">
        <f>"000797"</f>
        <v>000797</v>
      </c>
      <c r="C2238" t="s">
        <v>12319</v>
      </c>
      <c r="D2238">
        <v>3.19</v>
      </c>
      <c r="E2238">
        <v>1.92</v>
      </c>
      <c r="F2238">
        <v>0.06</v>
      </c>
      <c r="G2238" t="s">
        <v>1032</v>
      </c>
      <c r="H2238">
        <v>2585</v>
      </c>
      <c r="I2238">
        <v>3.18</v>
      </c>
      <c r="J2238">
        <v>3.19</v>
      </c>
      <c r="K2238" t="s">
        <v>12320</v>
      </c>
      <c r="L2238">
        <v>1.67</v>
      </c>
      <c r="M2238" t="s">
        <v>46</v>
      </c>
      <c r="N2238" t="s">
        <v>11051</v>
      </c>
      <c r="O2238">
        <v>3.2</v>
      </c>
      <c r="P2238">
        <v>3.11</v>
      </c>
      <c r="Q2238">
        <v>3.15</v>
      </c>
      <c r="R2238">
        <v>3.13</v>
      </c>
      <c r="S2238">
        <v>2.88</v>
      </c>
      <c r="T2238">
        <v>0.76</v>
      </c>
      <c r="U2238">
        <v>-4.74</v>
      </c>
      <c r="V2238">
        <v>-1812</v>
      </c>
      <c r="W2238">
        <v>3.16</v>
      </c>
      <c r="X2238" t="s">
        <v>881</v>
      </c>
      <c r="Y2238" t="s">
        <v>5021</v>
      </c>
      <c r="Z2238">
        <v>0.66</v>
      </c>
      <c r="AA2238">
        <v>5484</v>
      </c>
      <c r="AB2238">
        <v>2918</v>
      </c>
      <c r="AC2238">
        <v>0.99</v>
      </c>
      <c r="AD2238" t="s">
        <v>12321</v>
      </c>
      <c r="AE2238" t="s">
        <v>12322</v>
      </c>
      <c r="AF2238" t="s">
        <v>12323</v>
      </c>
      <c r="AG2238" t="s">
        <v>12324</v>
      </c>
      <c r="AH2238">
        <v>0.31</v>
      </c>
      <c r="AI2238">
        <v>-4.78</v>
      </c>
      <c r="AJ2238">
        <v>4.87</v>
      </c>
      <c r="AK2238">
        <v>12.62</v>
      </c>
      <c r="AL2238">
        <v>2</v>
      </c>
      <c r="AM2238">
        <v>1.92</v>
      </c>
      <c r="AN2238">
        <v>-11.88</v>
      </c>
      <c r="AO2238">
        <v>3.24</v>
      </c>
      <c r="AP2238">
        <v>10.76</v>
      </c>
    </row>
    <row r="2239" spans="1:42">
      <c r="A2239">
        <v>2238</v>
      </c>
      <c r="B2239" t="str">
        <f>"603489"</f>
        <v>603489</v>
      </c>
      <c r="C2239" t="s">
        <v>12325</v>
      </c>
      <c r="D2239">
        <v>59.16</v>
      </c>
      <c r="E2239">
        <v>0.1</v>
      </c>
      <c r="F2239">
        <v>0.06</v>
      </c>
      <c r="G2239" t="s">
        <v>4105</v>
      </c>
      <c r="H2239">
        <v>203</v>
      </c>
      <c r="I2239">
        <v>59.16</v>
      </c>
      <c r="J2239">
        <v>59.18</v>
      </c>
      <c r="K2239" t="s">
        <v>12326</v>
      </c>
      <c r="L2239">
        <v>0.84</v>
      </c>
      <c r="M2239" t="s">
        <v>46</v>
      </c>
      <c r="N2239" t="s">
        <v>2900</v>
      </c>
      <c r="O2239">
        <v>59.5</v>
      </c>
      <c r="P2239">
        <v>57.96</v>
      </c>
      <c r="Q2239">
        <v>59.1</v>
      </c>
      <c r="R2239">
        <v>59.1</v>
      </c>
      <c r="S2239">
        <v>2.61</v>
      </c>
      <c r="T2239">
        <v>0.51</v>
      </c>
      <c r="U2239">
        <v>25.21</v>
      </c>
      <c r="V2239">
        <v>46</v>
      </c>
      <c r="W2239">
        <v>58.57</v>
      </c>
      <c r="X2239">
        <v>8164</v>
      </c>
      <c r="Y2239">
        <v>6029</v>
      </c>
      <c r="Z2239">
        <v>1.35</v>
      </c>
      <c r="AA2239">
        <v>32</v>
      </c>
      <c r="AB2239">
        <v>7</v>
      </c>
      <c r="AC2239">
        <v>3.63</v>
      </c>
      <c r="AD2239" t="s">
        <v>12078</v>
      </c>
      <c r="AE2239" t="s">
        <v>12327</v>
      </c>
      <c r="AF2239" t="s">
        <v>2651</v>
      </c>
      <c r="AG2239" t="s">
        <v>12328</v>
      </c>
      <c r="AH2239">
        <v>1.48</v>
      </c>
      <c r="AI2239">
        <v>9.03</v>
      </c>
      <c r="AJ2239">
        <v>4.79</v>
      </c>
      <c r="AK2239">
        <v>9.15</v>
      </c>
      <c r="AL2239">
        <v>1</v>
      </c>
      <c r="AM2239">
        <v>0.1</v>
      </c>
      <c r="AN2239">
        <v>-21.11</v>
      </c>
      <c r="AO2239">
        <v>22.38</v>
      </c>
      <c r="AP2239">
        <v>-28.49</v>
      </c>
    </row>
    <row r="2240" spans="1:42">
      <c r="A2240">
        <v>2239</v>
      </c>
      <c r="B2240" t="str">
        <f>"000563"</f>
        <v>000563</v>
      </c>
      <c r="C2240" t="s">
        <v>12329</v>
      </c>
      <c r="D2240">
        <v>3.08</v>
      </c>
      <c r="E2240">
        <v>0.98</v>
      </c>
      <c r="F2240">
        <v>0.03</v>
      </c>
      <c r="G2240" t="s">
        <v>1293</v>
      </c>
      <c r="H2240">
        <v>3145</v>
      </c>
      <c r="I2240">
        <v>3.07</v>
      </c>
      <c r="J2240">
        <v>3.08</v>
      </c>
      <c r="K2240" t="s">
        <v>12330</v>
      </c>
      <c r="L2240">
        <v>0.53</v>
      </c>
      <c r="M2240" t="s">
        <v>46</v>
      </c>
      <c r="N2240" t="s">
        <v>4428</v>
      </c>
      <c r="O2240">
        <v>3.09</v>
      </c>
      <c r="P2240">
        <v>3.04</v>
      </c>
      <c r="Q2240">
        <v>3.05</v>
      </c>
      <c r="R2240">
        <v>3.05</v>
      </c>
      <c r="S2240">
        <v>1.64</v>
      </c>
      <c r="T2240">
        <v>1.09</v>
      </c>
      <c r="U2240">
        <v>11.34</v>
      </c>
      <c r="V2240" t="s">
        <v>1427</v>
      </c>
      <c r="W2240">
        <v>3.07</v>
      </c>
      <c r="X2240" t="s">
        <v>262</v>
      </c>
      <c r="Y2240" t="s">
        <v>5021</v>
      </c>
      <c r="Z2240">
        <v>0.72</v>
      </c>
      <c r="AA2240" t="s">
        <v>209</v>
      </c>
      <c r="AB2240">
        <v>1969</v>
      </c>
      <c r="AC2240">
        <v>0.93</v>
      </c>
      <c r="AD2240" t="s">
        <v>12331</v>
      </c>
      <c r="AE2240" t="s">
        <v>12332</v>
      </c>
      <c r="AF2240" t="s">
        <v>12331</v>
      </c>
      <c r="AG2240" t="s">
        <v>12332</v>
      </c>
      <c r="AH2240">
        <v>0.33</v>
      </c>
      <c r="AI2240">
        <v>-0.65</v>
      </c>
      <c r="AJ2240">
        <v>1.57</v>
      </c>
      <c r="AK2240">
        <v>2.95</v>
      </c>
      <c r="AL2240">
        <v>2</v>
      </c>
      <c r="AM2240">
        <v>0.98</v>
      </c>
      <c r="AN2240">
        <v>2.67</v>
      </c>
      <c r="AO2240">
        <v>1.32</v>
      </c>
      <c r="AP2240">
        <v>-0.65</v>
      </c>
    </row>
    <row r="2241" spans="1:42">
      <c r="A2241">
        <v>2240</v>
      </c>
      <c r="B2241" t="str">
        <f>"000678"</f>
        <v>000678</v>
      </c>
      <c r="C2241" t="s">
        <v>12333</v>
      </c>
      <c r="D2241">
        <v>6.81</v>
      </c>
      <c r="E2241">
        <v>-0.87</v>
      </c>
      <c r="F2241">
        <v>-0.06</v>
      </c>
      <c r="G2241" t="s">
        <v>447</v>
      </c>
      <c r="H2241">
        <v>1842</v>
      </c>
      <c r="I2241">
        <v>6.8</v>
      </c>
      <c r="J2241">
        <v>6.81</v>
      </c>
      <c r="K2241" t="s">
        <v>12334</v>
      </c>
      <c r="L2241">
        <v>2.66</v>
      </c>
      <c r="M2241" t="s">
        <v>46</v>
      </c>
      <c r="N2241" t="s">
        <v>517</v>
      </c>
      <c r="O2241">
        <v>6.88</v>
      </c>
      <c r="P2241">
        <v>6.71</v>
      </c>
      <c r="Q2241">
        <v>6.86</v>
      </c>
      <c r="R2241">
        <v>6.87</v>
      </c>
      <c r="S2241">
        <v>2.47</v>
      </c>
      <c r="T2241">
        <v>0.91</v>
      </c>
      <c r="U2241">
        <v>-13.64</v>
      </c>
      <c r="V2241">
        <v>-526</v>
      </c>
      <c r="W2241">
        <v>6.79</v>
      </c>
      <c r="X2241" t="s">
        <v>523</v>
      </c>
      <c r="Y2241" t="s">
        <v>9139</v>
      </c>
      <c r="Z2241">
        <v>0.95</v>
      </c>
      <c r="AA2241">
        <v>431</v>
      </c>
      <c r="AB2241">
        <v>312</v>
      </c>
      <c r="AC2241">
        <v>3.77</v>
      </c>
      <c r="AD2241" t="s">
        <v>5736</v>
      </c>
      <c r="AE2241" t="s">
        <v>9209</v>
      </c>
      <c r="AF2241" t="s">
        <v>5736</v>
      </c>
      <c r="AG2241" t="s">
        <v>9209</v>
      </c>
      <c r="AH2241">
        <v>-2.3</v>
      </c>
      <c r="AI2241">
        <v>-1.02</v>
      </c>
      <c r="AJ2241">
        <v>8.45</v>
      </c>
      <c r="AK2241">
        <v>17.29</v>
      </c>
      <c r="AL2241">
        <v>-3</v>
      </c>
      <c r="AM2241">
        <v>-0.87</v>
      </c>
      <c r="AN2241">
        <v>20.53</v>
      </c>
      <c r="AO2241">
        <v>5.75</v>
      </c>
      <c r="AP2241">
        <v>2.25</v>
      </c>
    </row>
    <row r="2242" spans="1:42">
      <c r="A2242">
        <v>2241</v>
      </c>
      <c r="B2242" t="str">
        <f>"603825"</f>
        <v>603825</v>
      </c>
      <c r="C2242" t="s">
        <v>12335</v>
      </c>
      <c r="D2242">
        <v>12.6</v>
      </c>
      <c r="E2242">
        <v>4.05</v>
      </c>
      <c r="F2242">
        <v>0.49</v>
      </c>
      <c r="G2242" t="s">
        <v>5918</v>
      </c>
      <c r="H2242">
        <v>649</v>
      </c>
      <c r="I2242">
        <v>12.6</v>
      </c>
      <c r="J2242">
        <v>12.61</v>
      </c>
      <c r="K2242" t="s">
        <v>12336</v>
      </c>
      <c r="L2242">
        <v>2.63</v>
      </c>
      <c r="M2242" t="s">
        <v>46</v>
      </c>
      <c r="N2242" t="s">
        <v>11051</v>
      </c>
      <c r="O2242">
        <v>12.63</v>
      </c>
      <c r="P2242">
        <v>12.09</v>
      </c>
      <c r="Q2242">
        <v>12.1</v>
      </c>
      <c r="R2242">
        <v>12.11</v>
      </c>
      <c r="S2242">
        <v>4.46</v>
      </c>
      <c r="T2242">
        <v>1</v>
      </c>
      <c r="U2242">
        <v>-79.15</v>
      </c>
      <c r="V2242">
        <v>-1240</v>
      </c>
      <c r="W2242">
        <v>12.46</v>
      </c>
      <c r="X2242" t="s">
        <v>48</v>
      </c>
      <c r="Y2242" t="s">
        <v>2921</v>
      </c>
      <c r="Z2242">
        <v>0.6</v>
      </c>
      <c r="AA2242">
        <v>57</v>
      </c>
      <c r="AB2242">
        <v>69</v>
      </c>
      <c r="AC2242">
        <v>2.22</v>
      </c>
      <c r="AD2242" t="s">
        <v>12337</v>
      </c>
      <c r="AE2242" t="s">
        <v>12338</v>
      </c>
      <c r="AF2242" t="s">
        <v>12337</v>
      </c>
      <c r="AG2242" t="s">
        <v>12338</v>
      </c>
      <c r="AH2242">
        <v>2.19</v>
      </c>
      <c r="AI2242">
        <v>1.61</v>
      </c>
      <c r="AJ2242">
        <v>5.73</v>
      </c>
      <c r="AK2242">
        <v>15.73</v>
      </c>
      <c r="AL2242">
        <v>1</v>
      </c>
      <c r="AM2242">
        <v>4.05</v>
      </c>
      <c r="AN2242">
        <v>-11.14</v>
      </c>
      <c r="AO2242">
        <v>8.25</v>
      </c>
      <c r="AP2242">
        <v>-21.1</v>
      </c>
    </row>
    <row r="2243" spans="1:42">
      <c r="A2243">
        <v>2242</v>
      </c>
      <c r="B2243" t="str">
        <f>"002612"</f>
        <v>002612</v>
      </c>
      <c r="C2243" t="s">
        <v>12339</v>
      </c>
      <c r="D2243">
        <v>20.03</v>
      </c>
      <c r="E2243">
        <v>0.75</v>
      </c>
      <c r="F2243">
        <v>0.15</v>
      </c>
      <c r="G2243" t="s">
        <v>2921</v>
      </c>
      <c r="H2243">
        <v>374</v>
      </c>
      <c r="I2243">
        <v>20.03</v>
      </c>
      <c r="J2243">
        <v>20.04</v>
      </c>
      <c r="K2243" t="s">
        <v>12336</v>
      </c>
      <c r="L2243">
        <v>1.65</v>
      </c>
      <c r="M2243" t="s">
        <v>46</v>
      </c>
      <c r="N2243" t="s">
        <v>9562</v>
      </c>
      <c r="O2243">
        <v>20.1</v>
      </c>
      <c r="P2243">
        <v>19.73</v>
      </c>
      <c r="Q2243">
        <v>19.88</v>
      </c>
      <c r="R2243">
        <v>19.88</v>
      </c>
      <c r="S2243">
        <v>1.86</v>
      </c>
      <c r="T2243">
        <v>0.83</v>
      </c>
      <c r="U2243">
        <v>14.04</v>
      </c>
      <c r="V2243">
        <v>195</v>
      </c>
      <c r="W2243">
        <v>19.9</v>
      </c>
      <c r="X2243" t="s">
        <v>153</v>
      </c>
      <c r="Y2243" t="s">
        <v>8073</v>
      </c>
      <c r="Z2243">
        <v>1.03</v>
      </c>
      <c r="AA2243">
        <v>33</v>
      </c>
      <c r="AB2243">
        <v>200</v>
      </c>
      <c r="AC2243">
        <v>2.93</v>
      </c>
      <c r="AD2243" t="s">
        <v>12340</v>
      </c>
      <c r="AE2243" t="s">
        <v>12341</v>
      </c>
      <c r="AF2243" t="s">
        <v>12342</v>
      </c>
      <c r="AG2243" t="s">
        <v>5364</v>
      </c>
      <c r="AH2243">
        <v>-2.44</v>
      </c>
      <c r="AI2243">
        <v>-5.92</v>
      </c>
      <c r="AJ2243">
        <v>4.8</v>
      </c>
      <c r="AK2243">
        <v>11.54</v>
      </c>
      <c r="AL2243">
        <v>1</v>
      </c>
      <c r="AM2243">
        <v>0.75</v>
      </c>
      <c r="AN2243">
        <v>-27.85</v>
      </c>
      <c r="AO2243">
        <v>-5.03</v>
      </c>
      <c r="AP2243">
        <v>-5.52</v>
      </c>
    </row>
    <row r="2244" spans="1:42">
      <c r="A2244">
        <v>2243</v>
      </c>
      <c r="B2244" t="str">
        <f>"603768"</f>
        <v>603768</v>
      </c>
      <c r="C2244" t="s">
        <v>12343</v>
      </c>
      <c r="D2244">
        <v>20.81</v>
      </c>
      <c r="E2244">
        <v>-0.72</v>
      </c>
      <c r="F2244">
        <v>-0.15</v>
      </c>
      <c r="G2244" t="s">
        <v>5692</v>
      </c>
      <c r="H2244">
        <v>546</v>
      </c>
      <c r="I2244">
        <v>20.8</v>
      </c>
      <c r="J2244">
        <v>20.81</v>
      </c>
      <c r="K2244" t="s">
        <v>12344</v>
      </c>
      <c r="L2244">
        <v>1.96</v>
      </c>
      <c r="M2244" t="s">
        <v>46</v>
      </c>
      <c r="N2244" t="s">
        <v>570</v>
      </c>
      <c r="O2244">
        <v>21.09</v>
      </c>
      <c r="P2244">
        <v>20.44</v>
      </c>
      <c r="Q2244">
        <v>21.02</v>
      </c>
      <c r="R2244">
        <v>20.96</v>
      </c>
      <c r="S2244">
        <v>3.1</v>
      </c>
      <c r="T2244">
        <v>0.58</v>
      </c>
      <c r="U2244">
        <v>-31.65</v>
      </c>
      <c r="V2244">
        <v>-310</v>
      </c>
      <c r="W2244">
        <v>20.76</v>
      </c>
      <c r="X2244" t="s">
        <v>2102</v>
      </c>
      <c r="Y2244" t="s">
        <v>3069</v>
      </c>
      <c r="Z2244">
        <v>1.21</v>
      </c>
      <c r="AA2244">
        <v>128</v>
      </c>
      <c r="AB2244">
        <v>244</v>
      </c>
      <c r="AC2244">
        <v>2.14</v>
      </c>
      <c r="AD2244" t="s">
        <v>12345</v>
      </c>
      <c r="AE2244" t="s">
        <v>8870</v>
      </c>
      <c r="AF2244" t="s">
        <v>12345</v>
      </c>
      <c r="AG2244" t="s">
        <v>8870</v>
      </c>
      <c r="AH2244">
        <v>-4.98</v>
      </c>
      <c r="AI2244">
        <v>-5.19</v>
      </c>
      <c r="AJ2244">
        <v>7.42</v>
      </c>
      <c r="AK2244">
        <v>18.73</v>
      </c>
      <c r="AL2244">
        <v>-3</v>
      </c>
      <c r="AM2244">
        <v>-0.72</v>
      </c>
      <c r="AN2244">
        <v>40.51</v>
      </c>
      <c r="AO2244">
        <v>-0.34</v>
      </c>
      <c r="AP2244">
        <v>18.98</v>
      </c>
    </row>
    <row r="2245" spans="1:42">
      <c r="A2245">
        <v>2244</v>
      </c>
      <c r="B2245" t="str">
        <f>"000682"</f>
        <v>000682</v>
      </c>
      <c r="C2245" t="s">
        <v>12346</v>
      </c>
      <c r="D2245">
        <v>7.96</v>
      </c>
      <c r="E2245">
        <v>0.25</v>
      </c>
      <c r="F2245">
        <v>0.02</v>
      </c>
      <c r="G2245" t="s">
        <v>881</v>
      </c>
      <c r="H2245">
        <v>787</v>
      </c>
      <c r="I2245">
        <v>7.95</v>
      </c>
      <c r="J2245">
        <v>7.96</v>
      </c>
      <c r="K2245" t="s">
        <v>12347</v>
      </c>
      <c r="L2245">
        <v>0.78</v>
      </c>
      <c r="M2245" t="s">
        <v>46</v>
      </c>
      <c r="N2245" t="s">
        <v>12348</v>
      </c>
      <c r="O2245">
        <v>7.99</v>
      </c>
      <c r="P2245">
        <v>7.85</v>
      </c>
      <c r="Q2245">
        <v>7.93</v>
      </c>
      <c r="R2245">
        <v>7.94</v>
      </c>
      <c r="S2245">
        <v>1.76</v>
      </c>
      <c r="T2245">
        <v>0.65</v>
      </c>
      <c r="U2245">
        <v>-31</v>
      </c>
      <c r="V2245">
        <v>-2775</v>
      </c>
      <c r="W2245">
        <v>7.92</v>
      </c>
      <c r="X2245" t="s">
        <v>4766</v>
      </c>
      <c r="Y2245" t="s">
        <v>8192</v>
      </c>
      <c r="Z2245">
        <v>0.75</v>
      </c>
      <c r="AA2245">
        <v>30</v>
      </c>
      <c r="AB2245">
        <v>678</v>
      </c>
      <c r="AC2245">
        <v>2.43</v>
      </c>
      <c r="AD2245" t="s">
        <v>8189</v>
      </c>
      <c r="AE2245" t="s">
        <v>3676</v>
      </c>
      <c r="AF2245" t="s">
        <v>8189</v>
      </c>
      <c r="AG2245" t="s">
        <v>3676</v>
      </c>
      <c r="AH2245">
        <v>-0.38</v>
      </c>
      <c r="AI2245">
        <v>1.79</v>
      </c>
      <c r="AJ2245">
        <v>2.99</v>
      </c>
      <c r="AK2245">
        <v>6.81</v>
      </c>
      <c r="AL2245">
        <v>1</v>
      </c>
      <c r="AM2245">
        <v>0.25</v>
      </c>
      <c r="AN2245">
        <v>-0.13</v>
      </c>
      <c r="AO2245">
        <v>5.99</v>
      </c>
      <c r="AP2245">
        <v>-6.46</v>
      </c>
    </row>
    <row r="2246" spans="1:42">
      <c r="A2246">
        <v>2245</v>
      </c>
      <c r="B2246" t="str">
        <f>"600601"</f>
        <v>600601</v>
      </c>
      <c r="C2246" t="s">
        <v>12349</v>
      </c>
      <c r="D2246">
        <v>3.09</v>
      </c>
      <c r="E2246">
        <v>1.98</v>
      </c>
      <c r="F2246">
        <v>0.06</v>
      </c>
      <c r="G2246" t="s">
        <v>1293</v>
      </c>
      <c r="H2246" t="s">
        <v>682</v>
      </c>
      <c r="I2246">
        <v>3.09</v>
      </c>
      <c r="J2246">
        <v>3.1</v>
      </c>
      <c r="K2246" t="s">
        <v>12350</v>
      </c>
      <c r="L2246">
        <v>0.65</v>
      </c>
      <c r="M2246" t="s">
        <v>46</v>
      </c>
      <c r="N2246" t="s">
        <v>7267</v>
      </c>
      <c r="O2246">
        <v>3.09</v>
      </c>
      <c r="P2246">
        <v>3.02</v>
      </c>
      <c r="Q2246">
        <v>3.02</v>
      </c>
      <c r="R2246">
        <v>3.03</v>
      </c>
      <c r="S2246">
        <v>2.31</v>
      </c>
      <c r="T2246">
        <v>0.79</v>
      </c>
      <c r="U2246">
        <v>-7.74</v>
      </c>
      <c r="V2246">
        <v>-4799</v>
      </c>
      <c r="W2246">
        <v>3.06</v>
      </c>
      <c r="X2246" t="s">
        <v>4369</v>
      </c>
      <c r="Y2246" t="s">
        <v>3687</v>
      </c>
      <c r="Z2246">
        <v>0.72</v>
      </c>
      <c r="AA2246">
        <v>1932</v>
      </c>
      <c r="AB2246" t="s">
        <v>51</v>
      </c>
      <c r="AC2246">
        <v>3.39</v>
      </c>
      <c r="AD2246" t="s">
        <v>10632</v>
      </c>
      <c r="AE2246" t="s">
        <v>2786</v>
      </c>
      <c r="AF2246" t="s">
        <v>10632</v>
      </c>
      <c r="AG2246" t="s">
        <v>2786</v>
      </c>
      <c r="AH2246">
        <v>0.98</v>
      </c>
      <c r="AI2246">
        <v>-2.22</v>
      </c>
      <c r="AJ2246">
        <v>2</v>
      </c>
      <c r="AK2246">
        <v>4.76</v>
      </c>
      <c r="AL2246">
        <v>1</v>
      </c>
      <c r="AM2246">
        <v>1.98</v>
      </c>
      <c r="AN2246">
        <v>17.49</v>
      </c>
      <c r="AO2246">
        <v>-0.32</v>
      </c>
      <c r="AP2246">
        <v>35.53</v>
      </c>
    </row>
    <row r="2247" spans="1:42">
      <c r="A2247">
        <v>2246</v>
      </c>
      <c r="B2247" t="str">
        <f>"601231"</f>
        <v>601231</v>
      </c>
      <c r="C2247" t="s">
        <v>12351</v>
      </c>
      <c r="D2247">
        <v>14.9</v>
      </c>
      <c r="E2247">
        <v>-0.07</v>
      </c>
      <c r="F2247">
        <v>-0.01</v>
      </c>
      <c r="G2247" t="s">
        <v>9550</v>
      </c>
      <c r="H2247">
        <v>370</v>
      </c>
      <c r="I2247">
        <v>14.9</v>
      </c>
      <c r="J2247">
        <v>14.91</v>
      </c>
      <c r="K2247" t="s">
        <v>12352</v>
      </c>
      <c r="L2247">
        <v>0.26</v>
      </c>
      <c r="M2247" t="s">
        <v>46</v>
      </c>
      <c r="N2247" t="s">
        <v>1040</v>
      </c>
      <c r="O2247">
        <v>15</v>
      </c>
      <c r="P2247">
        <v>14.7</v>
      </c>
      <c r="Q2247">
        <v>14.88</v>
      </c>
      <c r="R2247">
        <v>14.91</v>
      </c>
      <c r="S2247">
        <v>2.01</v>
      </c>
      <c r="T2247">
        <v>1.17</v>
      </c>
      <c r="U2247">
        <v>15.42</v>
      </c>
      <c r="V2247">
        <v>147</v>
      </c>
      <c r="W2247">
        <v>14.86</v>
      </c>
      <c r="X2247" t="s">
        <v>5266</v>
      </c>
      <c r="Y2247" t="s">
        <v>3662</v>
      </c>
      <c r="Z2247">
        <v>1.26</v>
      </c>
      <c r="AA2247">
        <v>7</v>
      </c>
      <c r="AB2247">
        <v>52</v>
      </c>
      <c r="AC2247">
        <v>2.07</v>
      </c>
      <c r="AD2247" t="s">
        <v>12353</v>
      </c>
      <c r="AE2247" t="s">
        <v>12354</v>
      </c>
      <c r="AF2247" t="s">
        <v>12355</v>
      </c>
      <c r="AG2247" t="s">
        <v>12356</v>
      </c>
      <c r="AH2247">
        <v>0.27</v>
      </c>
      <c r="AI2247">
        <v>-0.8</v>
      </c>
      <c r="AJ2247">
        <v>0.74</v>
      </c>
      <c r="AK2247">
        <v>1.35</v>
      </c>
      <c r="AL2247">
        <v>-2</v>
      </c>
      <c r="AM2247">
        <v>-0.07</v>
      </c>
      <c r="AN2247">
        <v>-5.7</v>
      </c>
      <c r="AO2247">
        <v>2.05</v>
      </c>
      <c r="AP2247">
        <v>-14.47</v>
      </c>
    </row>
    <row r="2248" spans="1:42">
      <c r="A2248">
        <v>2247</v>
      </c>
      <c r="B2248" t="str">
        <f>"300041"</f>
        <v>300041</v>
      </c>
      <c r="C2248" t="s">
        <v>12357</v>
      </c>
      <c r="D2248">
        <v>10.45</v>
      </c>
      <c r="E2248">
        <v>0</v>
      </c>
      <c r="F2248">
        <v>0</v>
      </c>
      <c r="G2248" t="s">
        <v>5564</v>
      </c>
      <c r="H2248">
        <v>761</v>
      </c>
      <c r="I2248">
        <v>10.44</v>
      </c>
      <c r="J2248">
        <v>10.45</v>
      </c>
      <c r="K2248" t="s">
        <v>12358</v>
      </c>
      <c r="L2248">
        <v>1.46</v>
      </c>
      <c r="M2248" t="s">
        <v>46</v>
      </c>
      <c r="N2248" t="s">
        <v>7698</v>
      </c>
      <c r="O2248">
        <v>10.49</v>
      </c>
      <c r="P2248">
        <v>10.33</v>
      </c>
      <c r="Q2248">
        <v>10.49</v>
      </c>
      <c r="R2248">
        <v>10.45</v>
      </c>
      <c r="S2248">
        <v>1.53</v>
      </c>
      <c r="T2248">
        <v>0.81</v>
      </c>
      <c r="U2248">
        <v>34.95</v>
      </c>
      <c r="V2248">
        <v>1166</v>
      </c>
      <c r="W2248">
        <v>10.4</v>
      </c>
      <c r="X2248" t="s">
        <v>4928</v>
      </c>
      <c r="Y2248" t="s">
        <v>3226</v>
      </c>
      <c r="Z2248">
        <v>1.52</v>
      </c>
      <c r="AA2248">
        <v>459</v>
      </c>
      <c r="AB2248">
        <v>82</v>
      </c>
      <c r="AC2248">
        <v>2.13</v>
      </c>
      <c r="AD2248" t="s">
        <v>12359</v>
      </c>
      <c r="AE2248" t="s">
        <v>12360</v>
      </c>
      <c r="AF2248" t="s">
        <v>12361</v>
      </c>
      <c r="AG2248" t="s">
        <v>12362</v>
      </c>
      <c r="AH2248">
        <v>-2.7</v>
      </c>
      <c r="AI2248">
        <v>-3.86</v>
      </c>
      <c r="AJ2248">
        <v>4.72</v>
      </c>
      <c r="AK2248">
        <v>10.51</v>
      </c>
      <c r="AL2248">
        <v>0</v>
      </c>
      <c r="AM2248">
        <v>0</v>
      </c>
      <c r="AN2248">
        <v>-16</v>
      </c>
      <c r="AO2248">
        <v>3.16</v>
      </c>
      <c r="AP2248">
        <v>-19.86</v>
      </c>
    </row>
    <row r="2249" spans="1:42">
      <c r="A2249">
        <v>2248</v>
      </c>
      <c r="B2249" t="str">
        <f>"002112"</f>
        <v>002112</v>
      </c>
      <c r="C2249" t="s">
        <v>12363</v>
      </c>
      <c r="D2249">
        <v>10.37</v>
      </c>
      <c r="E2249">
        <v>0</v>
      </c>
      <c r="F2249">
        <v>0</v>
      </c>
      <c r="G2249" t="s">
        <v>655</v>
      </c>
      <c r="H2249">
        <v>1117</v>
      </c>
      <c r="I2249">
        <v>10.37</v>
      </c>
      <c r="J2249">
        <v>10.38</v>
      </c>
      <c r="K2249" t="s">
        <v>12364</v>
      </c>
      <c r="L2249">
        <v>3.05</v>
      </c>
      <c r="M2249" t="s">
        <v>46</v>
      </c>
      <c r="N2249" t="s">
        <v>12365</v>
      </c>
      <c r="O2249">
        <v>10.45</v>
      </c>
      <c r="P2249">
        <v>10.3</v>
      </c>
      <c r="Q2249">
        <v>10.39</v>
      </c>
      <c r="R2249">
        <v>10.37</v>
      </c>
      <c r="S2249">
        <v>1.45</v>
      </c>
      <c r="T2249">
        <v>0.42</v>
      </c>
      <c r="U2249">
        <v>10.94</v>
      </c>
      <c r="V2249">
        <v>380</v>
      </c>
      <c r="W2249">
        <v>10.36</v>
      </c>
      <c r="X2249" t="s">
        <v>2684</v>
      </c>
      <c r="Y2249" t="s">
        <v>1453</v>
      </c>
      <c r="Z2249">
        <v>1.17</v>
      </c>
      <c r="AA2249">
        <v>235</v>
      </c>
      <c r="AB2249">
        <v>616</v>
      </c>
      <c r="AC2249">
        <v>5.58</v>
      </c>
      <c r="AD2249" t="s">
        <v>12366</v>
      </c>
      <c r="AE2249" t="s">
        <v>10378</v>
      </c>
      <c r="AF2249" t="s">
        <v>12366</v>
      </c>
      <c r="AG2249" t="s">
        <v>10378</v>
      </c>
      <c r="AH2249">
        <v>-4.07</v>
      </c>
      <c r="AI2249">
        <v>0.39</v>
      </c>
      <c r="AJ2249">
        <v>14.26</v>
      </c>
      <c r="AK2249">
        <v>39.7</v>
      </c>
      <c r="AL2249">
        <v>0</v>
      </c>
      <c r="AM2249">
        <v>0</v>
      </c>
      <c r="AN2249">
        <v>39.01</v>
      </c>
      <c r="AO2249">
        <v>3.91</v>
      </c>
      <c r="AP2249">
        <v>20.72</v>
      </c>
    </row>
    <row r="2250" spans="1:42">
      <c r="A2250">
        <v>2249</v>
      </c>
      <c r="B2250" t="str">
        <f>"688627"</f>
        <v>688627</v>
      </c>
      <c r="C2250" t="s">
        <v>12367</v>
      </c>
      <c r="D2250">
        <v>95.37</v>
      </c>
      <c r="E2250">
        <v>2.67</v>
      </c>
      <c r="F2250">
        <v>2.48</v>
      </c>
      <c r="G2250">
        <v>8816</v>
      </c>
      <c r="H2250">
        <v>91</v>
      </c>
      <c r="I2250">
        <v>95.37</v>
      </c>
      <c r="J2250">
        <v>95.4</v>
      </c>
      <c r="K2250" t="s">
        <v>11121</v>
      </c>
      <c r="L2250">
        <v>4.42</v>
      </c>
      <c r="M2250" t="s">
        <v>46</v>
      </c>
      <c r="N2250" t="s">
        <v>3939</v>
      </c>
      <c r="O2250">
        <v>95.4</v>
      </c>
      <c r="P2250">
        <v>91.05</v>
      </c>
      <c r="Q2250">
        <v>92.42</v>
      </c>
      <c r="R2250">
        <v>92.89</v>
      </c>
      <c r="S2250">
        <v>4.68</v>
      </c>
      <c r="T2250">
        <v>1.09</v>
      </c>
      <c r="U2250">
        <v>52.67</v>
      </c>
      <c r="V2250">
        <v>115</v>
      </c>
      <c r="W2250">
        <v>93.74</v>
      </c>
      <c r="X2250">
        <v>4161</v>
      </c>
      <c r="Y2250">
        <v>4655</v>
      </c>
      <c r="Z2250">
        <v>0.89</v>
      </c>
      <c r="AA2250">
        <v>112</v>
      </c>
      <c r="AB2250">
        <v>35</v>
      </c>
      <c r="AC2250">
        <v>5.41</v>
      </c>
      <c r="AD2250" t="s">
        <v>12368</v>
      </c>
      <c r="AE2250" t="s">
        <v>12369</v>
      </c>
      <c r="AF2250" t="s">
        <v>9797</v>
      </c>
      <c r="AG2250" t="s">
        <v>4596</v>
      </c>
      <c r="AH2250">
        <v>-1.43</v>
      </c>
      <c r="AI2250">
        <v>0.71</v>
      </c>
      <c r="AJ2250">
        <v>16.78</v>
      </c>
      <c r="AK2250">
        <v>24.75</v>
      </c>
      <c r="AL2250">
        <v>1</v>
      </c>
      <c r="AM2250">
        <v>2.67</v>
      </c>
      <c r="AN2250">
        <v>103.91</v>
      </c>
      <c r="AO2250">
        <v>0.38</v>
      </c>
      <c r="AP2250">
        <v>103.91</v>
      </c>
    </row>
    <row r="2251" spans="1:42">
      <c r="A2251">
        <v>2250</v>
      </c>
      <c r="B2251" t="str">
        <f>"601975"</f>
        <v>601975</v>
      </c>
      <c r="C2251" t="s">
        <v>12370</v>
      </c>
      <c r="D2251">
        <v>2.84</v>
      </c>
      <c r="E2251">
        <v>1.07</v>
      </c>
      <c r="F2251">
        <v>0.03</v>
      </c>
      <c r="G2251" t="s">
        <v>3126</v>
      </c>
      <c r="H2251">
        <v>5675</v>
      </c>
      <c r="I2251">
        <v>2.83</v>
      </c>
      <c r="J2251">
        <v>2.84</v>
      </c>
      <c r="K2251" t="s">
        <v>11121</v>
      </c>
      <c r="L2251">
        <v>0.6</v>
      </c>
      <c r="M2251" t="s">
        <v>46</v>
      </c>
      <c r="N2251" t="s">
        <v>2539</v>
      </c>
      <c r="O2251">
        <v>2.84</v>
      </c>
      <c r="P2251">
        <v>2.81</v>
      </c>
      <c r="Q2251">
        <v>2.81</v>
      </c>
      <c r="R2251">
        <v>2.81</v>
      </c>
      <c r="S2251">
        <v>1.07</v>
      </c>
      <c r="T2251">
        <v>0.62</v>
      </c>
      <c r="U2251">
        <v>-14.87</v>
      </c>
      <c r="V2251" t="s">
        <v>323</v>
      </c>
      <c r="W2251">
        <v>2.82</v>
      </c>
      <c r="X2251" t="s">
        <v>368</v>
      </c>
      <c r="Y2251" t="s">
        <v>3584</v>
      </c>
      <c r="Z2251">
        <v>0.84</v>
      </c>
      <c r="AA2251" t="s">
        <v>5951</v>
      </c>
      <c r="AB2251" t="s">
        <v>7299</v>
      </c>
      <c r="AC2251">
        <v>1.59</v>
      </c>
      <c r="AD2251" t="s">
        <v>12371</v>
      </c>
      <c r="AE2251" t="s">
        <v>4412</v>
      </c>
      <c r="AF2251" t="s">
        <v>12371</v>
      </c>
      <c r="AG2251" t="s">
        <v>4412</v>
      </c>
      <c r="AH2251">
        <v>-1.05</v>
      </c>
      <c r="AI2251">
        <v>-1.05</v>
      </c>
      <c r="AJ2251">
        <v>2.24</v>
      </c>
      <c r="AK2251">
        <v>5.51</v>
      </c>
      <c r="AL2251">
        <v>1</v>
      </c>
      <c r="AM2251">
        <v>1.07</v>
      </c>
      <c r="AN2251">
        <v>-27.92</v>
      </c>
      <c r="AO2251">
        <v>-5.02</v>
      </c>
      <c r="AP2251">
        <v>-44.31</v>
      </c>
    </row>
    <row r="2252" spans="1:42">
      <c r="A2252">
        <v>2251</v>
      </c>
      <c r="B2252" t="str">
        <f>"601019"</f>
        <v>601019</v>
      </c>
      <c r="C2252" t="s">
        <v>12372</v>
      </c>
      <c r="D2252">
        <v>9.23</v>
      </c>
      <c r="E2252">
        <v>2.33</v>
      </c>
      <c r="F2252">
        <v>0.21</v>
      </c>
      <c r="G2252" t="s">
        <v>775</v>
      </c>
      <c r="H2252">
        <v>456</v>
      </c>
      <c r="I2252">
        <v>9.22</v>
      </c>
      <c r="J2252">
        <v>9.23</v>
      </c>
      <c r="K2252" t="s">
        <v>12373</v>
      </c>
      <c r="L2252">
        <v>0.43</v>
      </c>
      <c r="M2252" t="s">
        <v>46</v>
      </c>
      <c r="N2252" t="s">
        <v>2320</v>
      </c>
      <c r="O2252">
        <v>9.24</v>
      </c>
      <c r="P2252">
        <v>9</v>
      </c>
      <c r="Q2252">
        <v>9</v>
      </c>
      <c r="R2252">
        <v>9.02</v>
      </c>
      <c r="S2252">
        <v>2.66</v>
      </c>
      <c r="T2252">
        <v>1.32</v>
      </c>
      <c r="U2252">
        <v>-39.54</v>
      </c>
      <c r="V2252">
        <v>-1415</v>
      </c>
      <c r="W2252">
        <v>9.17</v>
      </c>
      <c r="X2252" t="s">
        <v>8255</v>
      </c>
      <c r="Y2252" t="s">
        <v>6732</v>
      </c>
      <c r="Z2252">
        <v>0.56</v>
      </c>
      <c r="AA2252">
        <v>63</v>
      </c>
      <c r="AB2252">
        <v>388</v>
      </c>
      <c r="AC2252">
        <v>1.4</v>
      </c>
      <c r="AD2252" t="s">
        <v>12374</v>
      </c>
      <c r="AE2252" t="s">
        <v>12375</v>
      </c>
      <c r="AF2252" t="s">
        <v>12374</v>
      </c>
      <c r="AG2252" t="s">
        <v>12375</v>
      </c>
      <c r="AH2252">
        <v>2.78</v>
      </c>
      <c r="AI2252">
        <v>0.65</v>
      </c>
      <c r="AJ2252">
        <v>1.06</v>
      </c>
      <c r="AK2252">
        <v>2.06</v>
      </c>
      <c r="AL2252">
        <v>2</v>
      </c>
      <c r="AM2252">
        <v>2.33</v>
      </c>
      <c r="AN2252">
        <v>56.71</v>
      </c>
      <c r="AO2252">
        <v>7.7</v>
      </c>
      <c r="AP2252">
        <v>55.91</v>
      </c>
    </row>
    <row r="2253" spans="1:42">
      <c r="A2253">
        <v>2252</v>
      </c>
      <c r="B2253" t="str">
        <f>"300460"</f>
        <v>300460</v>
      </c>
      <c r="C2253" t="s">
        <v>12376</v>
      </c>
      <c r="D2253">
        <v>12.51</v>
      </c>
      <c r="E2253">
        <v>2.04</v>
      </c>
      <c r="F2253">
        <v>0.25</v>
      </c>
      <c r="G2253" t="s">
        <v>9741</v>
      </c>
      <c r="H2253">
        <v>591</v>
      </c>
      <c r="I2253">
        <v>12.5</v>
      </c>
      <c r="J2253">
        <v>12.51</v>
      </c>
      <c r="K2253" t="s">
        <v>12377</v>
      </c>
      <c r="L2253">
        <v>2.38</v>
      </c>
      <c r="M2253" t="s">
        <v>46</v>
      </c>
      <c r="N2253" t="s">
        <v>4601</v>
      </c>
      <c r="O2253">
        <v>12.55</v>
      </c>
      <c r="P2253">
        <v>12.23</v>
      </c>
      <c r="Q2253">
        <v>12.3</v>
      </c>
      <c r="R2253">
        <v>12.26</v>
      </c>
      <c r="S2253">
        <v>2.61</v>
      </c>
      <c r="T2253">
        <v>1.09</v>
      </c>
      <c r="U2253">
        <v>-42.98</v>
      </c>
      <c r="V2253">
        <v>-778</v>
      </c>
      <c r="W2253">
        <v>12.37</v>
      </c>
      <c r="X2253" t="s">
        <v>57</v>
      </c>
      <c r="Y2253" t="s">
        <v>4915</v>
      </c>
      <c r="Z2253">
        <v>0.98</v>
      </c>
      <c r="AA2253">
        <v>4</v>
      </c>
      <c r="AB2253">
        <v>217</v>
      </c>
      <c r="AC2253">
        <v>3.43</v>
      </c>
      <c r="AD2253" t="s">
        <v>5696</v>
      </c>
      <c r="AE2253" t="s">
        <v>12378</v>
      </c>
      <c r="AF2253" t="s">
        <v>5696</v>
      </c>
      <c r="AG2253" t="s">
        <v>12378</v>
      </c>
      <c r="AH2253">
        <v>-1.26</v>
      </c>
      <c r="AI2253">
        <v>-2.11</v>
      </c>
      <c r="AJ2253">
        <v>7.4</v>
      </c>
      <c r="AK2253">
        <v>13.31</v>
      </c>
      <c r="AL2253">
        <v>1</v>
      </c>
      <c r="AM2253">
        <v>2.04</v>
      </c>
      <c r="AN2253">
        <v>10.81</v>
      </c>
      <c r="AO2253">
        <v>-1.42</v>
      </c>
      <c r="AP2253">
        <v>21.1</v>
      </c>
    </row>
    <row r="2254" spans="1:42">
      <c r="A2254">
        <v>2253</v>
      </c>
      <c r="B2254" t="str">
        <f>"300172"</f>
        <v>300172</v>
      </c>
      <c r="C2254" t="s">
        <v>12379</v>
      </c>
      <c r="D2254">
        <v>5.72</v>
      </c>
      <c r="E2254">
        <v>1.24</v>
      </c>
      <c r="F2254">
        <v>0.07</v>
      </c>
      <c r="G2254" t="s">
        <v>4194</v>
      </c>
      <c r="H2254">
        <v>5149</v>
      </c>
      <c r="I2254">
        <v>5.71</v>
      </c>
      <c r="J2254">
        <v>5.72</v>
      </c>
      <c r="K2254" t="s">
        <v>12380</v>
      </c>
      <c r="L2254">
        <v>2.77</v>
      </c>
      <c r="M2254" t="s">
        <v>46</v>
      </c>
      <c r="N2254" t="s">
        <v>12381</v>
      </c>
      <c r="O2254">
        <v>5.72</v>
      </c>
      <c r="P2254">
        <v>5.62</v>
      </c>
      <c r="Q2254">
        <v>5.65</v>
      </c>
      <c r="R2254">
        <v>5.65</v>
      </c>
      <c r="S2254">
        <v>1.77</v>
      </c>
      <c r="T2254">
        <v>0.77</v>
      </c>
      <c r="U2254">
        <v>-68.42</v>
      </c>
      <c r="V2254">
        <v>-8670</v>
      </c>
      <c r="W2254">
        <v>5.68</v>
      </c>
      <c r="X2254" t="s">
        <v>9224</v>
      </c>
      <c r="Y2254" t="s">
        <v>4547</v>
      </c>
      <c r="Z2254">
        <v>0.7</v>
      </c>
      <c r="AA2254">
        <v>478</v>
      </c>
      <c r="AB2254">
        <v>497</v>
      </c>
      <c r="AC2254">
        <v>2.1</v>
      </c>
      <c r="AD2254" t="s">
        <v>12382</v>
      </c>
      <c r="AE2254" t="s">
        <v>7335</v>
      </c>
      <c r="AF2254" t="s">
        <v>6806</v>
      </c>
      <c r="AG2254" t="s">
        <v>12383</v>
      </c>
      <c r="AH2254">
        <v>-0.35</v>
      </c>
      <c r="AI2254">
        <v>-2.72</v>
      </c>
      <c r="AJ2254">
        <v>8.92</v>
      </c>
      <c r="AK2254">
        <v>20.77</v>
      </c>
      <c r="AL2254">
        <v>1</v>
      </c>
      <c r="AM2254">
        <v>1.24</v>
      </c>
      <c r="AN2254">
        <v>31.19</v>
      </c>
      <c r="AO2254">
        <v>-3.21</v>
      </c>
      <c r="AP2254">
        <v>21.19</v>
      </c>
    </row>
    <row r="2255" spans="1:42">
      <c r="A2255">
        <v>2254</v>
      </c>
      <c r="B2255" t="str">
        <f>"301141"</f>
        <v>301141</v>
      </c>
      <c r="C2255" t="s">
        <v>12384</v>
      </c>
      <c r="D2255">
        <v>47.96</v>
      </c>
      <c r="E2255">
        <v>-0.75</v>
      </c>
      <c r="F2255">
        <v>-0.36</v>
      </c>
      <c r="G2255" t="s">
        <v>6656</v>
      </c>
      <c r="H2255">
        <v>216</v>
      </c>
      <c r="I2255">
        <v>47.96</v>
      </c>
      <c r="J2255">
        <v>47.98</v>
      </c>
      <c r="K2255" t="s">
        <v>12385</v>
      </c>
      <c r="L2255">
        <v>8.06</v>
      </c>
      <c r="M2255" t="s">
        <v>46</v>
      </c>
      <c r="N2255" t="s">
        <v>11144</v>
      </c>
      <c r="O2255">
        <v>48.35</v>
      </c>
      <c r="P2255">
        <v>47.29</v>
      </c>
      <c r="Q2255">
        <v>47.86</v>
      </c>
      <c r="R2255">
        <v>48.32</v>
      </c>
      <c r="S2255">
        <v>2.19</v>
      </c>
      <c r="T2255">
        <v>1.05</v>
      </c>
      <c r="U2255">
        <v>52.12</v>
      </c>
      <c r="V2255">
        <v>270</v>
      </c>
      <c r="W2255">
        <v>47.77</v>
      </c>
      <c r="X2255">
        <v>9392</v>
      </c>
      <c r="Y2255">
        <v>7879</v>
      </c>
      <c r="Z2255">
        <v>1.19</v>
      </c>
      <c r="AA2255">
        <v>26</v>
      </c>
      <c r="AB2255">
        <v>8</v>
      </c>
      <c r="AC2255">
        <v>3.38</v>
      </c>
      <c r="AD2255" t="s">
        <v>11805</v>
      </c>
      <c r="AE2255" t="s">
        <v>12386</v>
      </c>
      <c r="AF2255" t="s">
        <v>12387</v>
      </c>
      <c r="AG2255" t="s">
        <v>2911</v>
      </c>
      <c r="AH2255">
        <v>-0.72</v>
      </c>
      <c r="AI2255">
        <v>-4.69</v>
      </c>
      <c r="AJ2255">
        <v>24.19</v>
      </c>
      <c r="AK2255">
        <v>46.41</v>
      </c>
      <c r="AL2255">
        <v>-1</v>
      </c>
      <c r="AM2255">
        <v>-0.75</v>
      </c>
      <c r="AN2255">
        <v>16.98</v>
      </c>
      <c r="AO2255">
        <v>-11.25</v>
      </c>
      <c r="AP2255">
        <v>16.98</v>
      </c>
    </row>
    <row r="2256" spans="1:42">
      <c r="A2256">
        <v>2255</v>
      </c>
      <c r="B2256" t="str">
        <f>"601222"</f>
        <v>601222</v>
      </c>
      <c r="C2256" t="s">
        <v>12388</v>
      </c>
      <c r="D2256">
        <v>6.41</v>
      </c>
      <c r="E2256">
        <v>-0.16</v>
      </c>
      <c r="F2256">
        <v>-0.01</v>
      </c>
      <c r="G2256" t="s">
        <v>1915</v>
      </c>
      <c r="H2256">
        <v>1445</v>
      </c>
      <c r="I2256">
        <v>6.41</v>
      </c>
      <c r="J2256">
        <v>6.42</v>
      </c>
      <c r="K2256" t="s">
        <v>12389</v>
      </c>
      <c r="L2256">
        <v>0.63</v>
      </c>
      <c r="M2256" t="s">
        <v>46</v>
      </c>
      <c r="N2256" t="s">
        <v>3157</v>
      </c>
      <c r="O2256">
        <v>6.44</v>
      </c>
      <c r="P2256">
        <v>6.34</v>
      </c>
      <c r="Q2256">
        <v>6.41</v>
      </c>
      <c r="R2256">
        <v>6.42</v>
      </c>
      <c r="S2256">
        <v>1.56</v>
      </c>
      <c r="T2256">
        <v>1.1</v>
      </c>
      <c r="U2256">
        <v>7.08</v>
      </c>
      <c r="V2256">
        <v>940</v>
      </c>
      <c r="W2256">
        <v>6.38</v>
      </c>
      <c r="X2256" t="s">
        <v>3883</v>
      </c>
      <c r="Y2256" t="s">
        <v>7374</v>
      </c>
      <c r="Z2256">
        <v>1.36</v>
      </c>
      <c r="AA2256">
        <v>358</v>
      </c>
      <c r="AB2256">
        <v>1583</v>
      </c>
      <c r="AC2256">
        <v>0.86</v>
      </c>
      <c r="AD2256" t="s">
        <v>12390</v>
      </c>
      <c r="AE2256" t="s">
        <v>12391</v>
      </c>
      <c r="AF2256" t="s">
        <v>12390</v>
      </c>
      <c r="AG2256" t="s">
        <v>12391</v>
      </c>
      <c r="AH2256">
        <v>-2.58</v>
      </c>
      <c r="AI2256">
        <v>-3.46</v>
      </c>
      <c r="AJ2256">
        <v>1.87</v>
      </c>
      <c r="AK2256">
        <v>3.47</v>
      </c>
      <c r="AL2256">
        <v>-3</v>
      </c>
      <c r="AM2256">
        <v>-0.16</v>
      </c>
      <c r="AN2256">
        <v>-23.78</v>
      </c>
      <c r="AO2256">
        <v>-2.58</v>
      </c>
      <c r="AP2256">
        <v>-25.64</v>
      </c>
    </row>
    <row r="2257" spans="1:42">
      <c r="A2257">
        <v>2256</v>
      </c>
      <c r="B2257" t="str">
        <f>"301306"</f>
        <v>301306</v>
      </c>
      <c r="C2257" t="s">
        <v>12392</v>
      </c>
      <c r="D2257">
        <v>41.47</v>
      </c>
      <c r="E2257">
        <v>2.45</v>
      </c>
      <c r="F2257">
        <v>0.99</v>
      </c>
      <c r="G2257" t="s">
        <v>2976</v>
      </c>
      <c r="H2257">
        <v>342</v>
      </c>
      <c r="I2257">
        <v>41.46</v>
      </c>
      <c r="J2257">
        <v>41.48</v>
      </c>
      <c r="K2257" t="s">
        <v>12389</v>
      </c>
      <c r="L2257">
        <v>5.14</v>
      </c>
      <c r="M2257" t="s">
        <v>46</v>
      </c>
      <c r="N2257" t="s">
        <v>7323</v>
      </c>
      <c r="O2257">
        <v>41.64</v>
      </c>
      <c r="P2257">
        <v>39.75</v>
      </c>
      <c r="Q2257">
        <v>40.48</v>
      </c>
      <c r="R2257">
        <v>40.48</v>
      </c>
      <c r="S2257">
        <v>4.67</v>
      </c>
      <c r="T2257">
        <v>0.83</v>
      </c>
      <c r="U2257">
        <v>-45.99</v>
      </c>
      <c r="V2257">
        <v>-63</v>
      </c>
      <c r="W2257">
        <v>40.81</v>
      </c>
      <c r="X2257" t="s">
        <v>1646</v>
      </c>
      <c r="Y2257" t="s">
        <v>2615</v>
      </c>
      <c r="Z2257">
        <v>1.01</v>
      </c>
      <c r="AA2257">
        <v>18</v>
      </c>
      <c r="AB2257">
        <v>2</v>
      </c>
      <c r="AC2257">
        <v>2.9</v>
      </c>
      <c r="AD2257" t="s">
        <v>8239</v>
      </c>
      <c r="AE2257" t="s">
        <v>12393</v>
      </c>
      <c r="AF2257" t="s">
        <v>12394</v>
      </c>
      <c r="AG2257" t="s">
        <v>12395</v>
      </c>
      <c r="AH2257">
        <v>3.96</v>
      </c>
      <c r="AI2257">
        <v>-0.58</v>
      </c>
      <c r="AJ2257">
        <v>15.42</v>
      </c>
      <c r="AK2257">
        <v>36.11</v>
      </c>
      <c r="AL2257">
        <v>4</v>
      </c>
      <c r="AM2257">
        <v>2.45</v>
      </c>
      <c r="AN2257">
        <v>-3.65</v>
      </c>
      <c r="AO2257">
        <v>3.01</v>
      </c>
      <c r="AP2257">
        <v>-16.89</v>
      </c>
    </row>
    <row r="2258" spans="1:42">
      <c r="A2258">
        <v>2257</v>
      </c>
      <c r="B2258" t="str">
        <f>"600976"</f>
        <v>600976</v>
      </c>
      <c r="C2258" t="s">
        <v>12396</v>
      </c>
      <c r="D2258">
        <v>69.29</v>
      </c>
      <c r="E2258">
        <v>-0.72</v>
      </c>
      <c r="F2258">
        <v>-0.5</v>
      </c>
      <c r="G2258" t="s">
        <v>1083</v>
      </c>
      <c r="H2258">
        <v>122</v>
      </c>
      <c r="I2258">
        <v>69.29</v>
      </c>
      <c r="J2258">
        <v>69.31</v>
      </c>
      <c r="K2258" t="s">
        <v>12389</v>
      </c>
      <c r="L2258">
        <v>0.77</v>
      </c>
      <c r="M2258" t="s">
        <v>46</v>
      </c>
      <c r="N2258" t="s">
        <v>9706</v>
      </c>
      <c r="O2258">
        <v>70.55</v>
      </c>
      <c r="P2258">
        <v>68.82</v>
      </c>
      <c r="Q2258">
        <v>69.2</v>
      </c>
      <c r="R2258">
        <v>69.79</v>
      </c>
      <c r="S2258">
        <v>2.48</v>
      </c>
      <c r="T2258">
        <v>0.85</v>
      </c>
      <c r="U2258">
        <v>-42.24</v>
      </c>
      <c r="V2258">
        <v>-98</v>
      </c>
      <c r="W2258">
        <v>69.48</v>
      </c>
      <c r="X2258">
        <v>6135</v>
      </c>
      <c r="Y2258">
        <v>5713</v>
      </c>
      <c r="Z2258">
        <v>1.07</v>
      </c>
      <c r="AA2258">
        <v>6</v>
      </c>
      <c r="AB2258">
        <v>8</v>
      </c>
      <c r="AC2258">
        <v>4.98</v>
      </c>
      <c r="AD2258" t="s">
        <v>11113</v>
      </c>
      <c r="AE2258" t="s">
        <v>3678</v>
      </c>
      <c r="AF2258" t="s">
        <v>9557</v>
      </c>
      <c r="AG2258" t="s">
        <v>8568</v>
      </c>
      <c r="AH2258">
        <v>0.98</v>
      </c>
      <c r="AI2258">
        <v>2.24</v>
      </c>
      <c r="AJ2258">
        <v>2.47</v>
      </c>
      <c r="AK2258">
        <v>5.33</v>
      </c>
      <c r="AL2258">
        <v>-1</v>
      </c>
      <c r="AM2258">
        <v>-0.72</v>
      </c>
      <c r="AN2258">
        <v>42.31</v>
      </c>
      <c r="AO2258">
        <v>13.26</v>
      </c>
      <c r="AP2258">
        <v>23.47</v>
      </c>
    </row>
    <row r="2259" spans="1:42">
      <c r="A2259">
        <v>2258</v>
      </c>
      <c r="B2259" t="str">
        <f>"600297"</f>
        <v>600297</v>
      </c>
      <c r="C2259" t="s">
        <v>12397</v>
      </c>
      <c r="D2259">
        <v>1.86</v>
      </c>
      <c r="E2259">
        <v>0</v>
      </c>
      <c r="F2259">
        <v>0</v>
      </c>
      <c r="G2259" t="s">
        <v>1866</v>
      </c>
      <c r="H2259" t="s">
        <v>4443</v>
      </c>
      <c r="I2259">
        <v>1.86</v>
      </c>
      <c r="J2259">
        <v>1.87</v>
      </c>
      <c r="K2259" t="s">
        <v>12398</v>
      </c>
      <c r="L2259">
        <v>0.55</v>
      </c>
      <c r="M2259" t="s">
        <v>46</v>
      </c>
      <c r="N2259" t="s">
        <v>12399</v>
      </c>
      <c r="O2259">
        <v>1.87</v>
      </c>
      <c r="P2259">
        <v>1.84</v>
      </c>
      <c r="Q2259">
        <v>1.85</v>
      </c>
      <c r="R2259">
        <v>1.86</v>
      </c>
      <c r="S2259">
        <v>1.61</v>
      </c>
      <c r="T2259">
        <v>0.59</v>
      </c>
      <c r="U2259">
        <v>-14.26</v>
      </c>
      <c r="V2259" t="s">
        <v>7847</v>
      </c>
      <c r="W2259">
        <v>1.86</v>
      </c>
      <c r="X2259" t="s">
        <v>2893</v>
      </c>
      <c r="Y2259" t="s">
        <v>5519</v>
      </c>
      <c r="Z2259">
        <v>0.95</v>
      </c>
      <c r="AA2259" t="s">
        <v>1077</v>
      </c>
      <c r="AB2259" t="s">
        <v>7494</v>
      </c>
      <c r="AC2259">
        <v>0.39</v>
      </c>
      <c r="AD2259" t="s">
        <v>12400</v>
      </c>
      <c r="AE2259" t="s">
        <v>12401</v>
      </c>
      <c r="AF2259" t="s">
        <v>12400</v>
      </c>
      <c r="AG2259" t="s">
        <v>12401</v>
      </c>
      <c r="AH2259">
        <v>-1.59</v>
      </c>
      <c r="AI2259">
        <v>-3.63</v>
      </c>
      <c r="AJ2259">
        <v>2.18</v>
      </c>
      <c r="AK2259">
        <v>5.18</v>
      </c>
      <c r="AL2259">
        <v>0</v>
      </c>
      <c r="AM2259">
        <v>0</v>
      </c>
      <c r="AN2259">
        <v>-11.43</v>
      </c>
      <c r="AO2259">
        <v>-2.62</v>
      </c>
      <c r="AP2259">
        <v>-13.49</v>
      </c>
    </row>
    <row r="2260" spans="1:42">
      <c r="A2260">
        <v>2259</v>
      </c>
      <c r="B2260" t="str">
        <f>"600623"</f>
        <v>600623</v>
      </c>
      <c r="C2260" t="s">
        <v>12402</v>
      </c>
      <c r="D2260">
        <v>6.81</v>
      </c>
      <c r="E2260">
        <v>1.04</v>
      </c>
      <c r="F2260">
        <v>0.07</v>
      </c>
      <c r="G2260" t="s">
        <v>1790</v>
      </c>
      <c r="H2260">
        <v>2263</v>
      </c>
      <c r="I2260">
        <v>6.8</v>
      </c>
      <c r="J2260">
        <v>6.81</v>
      </c>
      <c r="K2260" t="s">
        <v>12403</v>
      </c>
      <c r="L2260">
        <v>0.65</v>
      </c>
      <c r="M2260" t="s">
        <v>46</v>
      </c>
      <c r="N2260" t="s">
        <v>10479</v>
      </c>
      <c r="O2260">
        <v>6.85</v>
      </c>
      <c r="P2260">
        <v>6.73</v>
      </c>
      <c r="Q2260">
        <v>6.76</v>
      </c>
      <c r="R2260">
        <v>6.74</v>
      </c>
      <c r="S2260">
        <v>1.78</v>
      </c>
      <c r="T2260">
        <v>1.22</v>
      </c>
      <c r="U2260">
        <v>-37.25</v>
      </c>
      <c r="V2260">
        <v>-2323</v>
      </c>
      <c r="W2260">
        <v>6.8</v>
      </c>
      <c r="X2260" t="s">
        <v>5878</v>
      </c>
      <c r="Y2260" t="s">
        <v>6903</v>
      </c>
      <c r="Z2260">
        <v>0.9</v>
      </c>
      <c r="AA2260">
        <v>335</v>
      </c>
      <c r="AB2260">
        <v>28</v>
      </c>
      <c r="AC2260">
        <v>0.66</v>
      </c>
      <c r="AD2260" t="s">
        <v>12404</v>
      </c>
      <c r="AE2260" t="s">
        <v>12405</v>
      </c>
      <c r="AF2260" t="s">
        <v>2227</v>
      </c>
      <c r="AG2260" t="s">
        <v>600</v>
      </c>
      <c r="AH2260">
        <v>-0.15</v>
      </c>
      <c r="AI2260">
        <v>-0.73</v>
      </c>
      <c r="AJ2260">
        <v>1.67</v>
      </c>
      <c r="AK2260">
        <v>3.32</v>
      </c>
      <c r="AL2260">
        <v>1</v>
      </c>
      <c r="AM2260">
        <v>1.04</v>
      </c>
      <c r="AN2260">
        <v>11.09</v>
      </c>
      <c r="AO2260">
        <v>1.19</v>
      </c>
      <c r="AP2260">
        <v>11.09</v>
      </c>
    </row>
    <row r="2261" spans="1:42">
      <c r="A2261">
        <v>2260</v>
      </c>
      <c r="B2261" t="str">
        <f>"600388"</f>
        <v>600388</v>
      </c>
      <c r="C2261" t="s">
        <v>12406</v>
      </c>
      <c r="D2261">
        <v>13.78</v>
      </c>
      <c r="E2261">
        <v>-0.43</v>
      </c>
      <c r="F2261">
        <v>-0.06</v>
      </c>
      <c r="G2261" t="s">
        <v>7677</v>
      </c>
      <c r="H2261">
        <v>71</v>
      </c>
      <c r="I2261">
        <v>13.78</v>
      </c>
      <c r="J2261">
        <v>13.79</v>
      </c>
      <c r="K2261" t="s">
        <v>12407</v>
      </c>
      <c r="L2261">
        <v>0.55</v>
      </c>
      <c r="M2261" t="s">
        <v>46</v>
      </c>
      <c r="N2261" t="s">
        <v>6802</v>
      </c>
      <c r="O2261">
        <v>13.86</v>
      </c>
      <c r="P2261">
        <v>13.63</v>
      </c>
      <c r="Q2261">
        <v>13.84</v>
      </c>
      <c r="R2261">
        <v>13.84</v>
      </c>
      <c r="S2261">
        <v>1.66</v>
      </c>
      <c r="T2261">
        <v>0.94</v>
      </c>
      <c r="U2261">
        <v>41.64</v>
      </c>
      <c r="V2261">
        <v>512</v>
      </c>
      <c r="W2261">
        <v>13.73</v>
      </c>
      <c r="X2261" t="s">
        <v>3456</v>
      </c>
      <c r="Y2261" t="s">
        <v>9871</v>
      </c>
      <c r="Z2261">
        <v>0.82</v>
      </c>
      <c r="AA2261">
        <v>106</v>
      </c>
      <c r="AB2261">
        <v>43</v>
      </c>
      <c r="AC2261">
        <v>1.94</v>
      </c>
      <c r="AD2261" t="s">
        <v>9551</v>
      </c>
      <c r="AE2261" t="s">
        <v>5187</v>
      </c>
      <c r="AF2261" t="s">
        <v>9551</v>
      </c>
      <c r="AG2261" t="s">
        <v>5187</v>
      </c>
      <c r="AH2261">
        <v>-2.82</v>
      </c>
      <c r="AI2261">
        <v>-4.24</v>
      </c>
      <c r="AJ2261">
        <v>1.49</v>
      </c>
      <c r="AK2261">
        <v>3.5</v>
      </c>
      <c r="AL2261">
        <v>-3</v>
      </c>
      <c r="AM2261">
        <v>-0.43</v>
      </c>
      <c r="AN2261">
        <v>-4.77</v>
      </c>
      <c r="AO2261">
        <v>-7.64</v>
      </c>
      <c r="AP2261">
        <v>-4.11</v>
      </c>
    </row>
    <row r="2262" spans="1:42">
      <c r="A2262">
        <v>2261</v>
      </c>
      <c r="B2262" t="str">
        <f>"300245"</f>
        <v>300245</v>
      </c>
      <c r="C2262" t="s">
        <v>12408</v>
      </c>
      <c r="D2262">
        <v>9.48</v>
      </c>
      <c r="E2262">
        <v>3.72</v>
      </c>
      <c r="F2262">
        <v>0.34</v>
      </c>
      <c r="G2262" t="s">
        <v>7941</v>
      </c>
      <c r="H2262">
        <v>759</v>
      </c>
      <c r="I2262">
        <v>9.48</v>
      </c>
      <c r="J2262">
        <v>9.49</v>
      </c>
      <c r="K2262" t="s">
        <v>12409</v>
      </c>
      <c r="L2262">
        <v>2.82</v>
      </c>
      <c r="M2262" t="s">
        <v>46</v>
      </c>
      <c r="N2262" t="s">
        <v>6308</v>
      </c>
      <c r="O2262">
        <v>9.51</v>
      </c>
      <c r="P2262">
        <v>9.12</v>
      </c>
      <c r="Q2262">
        <v>9.14</v>
      </c>
      <c r="R2262">
        <v>9.14</v>
      </c>
      <c r="S2262">
        <v>4.27</v>
      </c>
      <c r="T2262">
        <v>0.84</v>
      </c>
      <c r="U2262">
        <v>-31.38</v>
      </c>
      <c r="V2262">
        <v>-1649</v>
      </c>
      <c r="W2262">
        <v>9.36</v>
      </c>
      <c r="X2262" t="s">
        <v>1718</v>
      </c>
      <c r="Y2262" t="s">
        <v>3736</v>
      </c>
      <c r="Z2262">
        <v>0.74</v>
      </c>
      <c r="AA2262">
        <v>42</v>
      </c>
      <c r="AB2262">
        <v>1259</v>
      </c>
      <c r="AC2262">
        <v>2.1</v>
      </c>
      <c r="AD2262" t="s">
        <v>12410</v>
      </c>
      <c r="AE2262" t="s">
        <v>12411</v>
      </c>
      <c r="AF2262" t="s">
        <v>12412</v>
      </c>
      <c r="AG2262" t="s">
        <v>12413</v>
      </c>
      <c r="AH2262">
        <v>0.74</v>
      </c>
      <c r="AI2262">
        <v>-1.15</v>
      </c>
      <c r="AJ2262">
        <v>7.86</v>
      </c>
      <c r="AK2262">
        <v>19.58</v>
      </c>
      <c r="AL2262">
        <v>1</v>
      </c>
      <c r="AM2262">
        <v>3.72</v>
      </c>
      <c r="AN2262">
        <v>24.9</v>
      </c>
      <c r="AO2262">
        <v>9.47</v>
      </c>
      <c r="AP2262">
        <v>13.26</v>
      </c>
    </row>
    <row r="2263" spans="1:42">
      <c r="A2263">
        <v>2262</v>
      </c>
      <c r="B2263" t="str">
        <f>"600198"</f>
        <v>600198</v>
      </c>
      <c r="C2263" t="s">
        <v>12414</v>
      </c>
      <c r="D2263">
        <v>7.05</v>
      </c>
      <c r="E2263">
        <v>3.22</v>
      </c>
      <c r="F2263">
        <v>0.22</v>
      </c>
      <c r="G2263" t="s">
        <v>1540</v>
      </c>
      <c r="H2263">
        <v>1090</v>
      </c>
      <c r="I2263">
        <v>7.05</v>
      </c>
      <c r="J2263">
        <v>7.06</v>
      </c>
      <c r="K2263" t="s">
        <v>12409</v>
      </c>
      <c r="L2263">
        <v>1.34</v>
      </c>
      <c r="M2263" t="s">
        <v>46</v>
      </c>
      <c r="N2263" t="s">
        <v>12415</v>
      </c>
      <c r="O2263">
        <v>7.06</v>
      </c>
      <c r="P2263">
        <v>6.81</v>
      </c>
      <c r="Q2263">
        <v>6.89</v>
      </c>
      <c r="R2263">
        <v>6.83</v>
      </c>
      <c r="S2263">
        <v>3.66</v>
      </c>
      <c r="T2263">
        <v>1.34</v>
      </c>
      <c r="U2263">
        <v>-5.86</v>
      </c>
      <c r="V2263">
        <v>-547</v>
      </c>
      <c r="W2263">
        <v>6.97</v>
      </c>
      <c r="X2263" t="s">
        <v>456</v>
      </c>
      <c r="Y2263" t="s">
        <v>3041</v>
      </c>
      <c r="Z2263">
        <v>0.59</v>
      </c>
      <c r="AA2263">
        <v>119</v>
      </c>
      <c r="AB2263">
        <v>2504</v>
      </c>
      <c r="AC2263">
        <v>24.83</v>
      </c>
      <c r="AD2263" t="s">
        <v>3107</v>
      </c>
      <c r="AE2263" t="s">
        <v>12416</v>
      </c>
      <c r="AF2263" t="s">
        <v>12417</v>
      </c>
      <c r="AG2263" t="s">
        <v>12418</v>
      </c>
      <c r="AH2263">
        <v>1</v>
      </c>
      <c r="AI2263">
        <v>-0.28</v>
      </c>
      <c r="AJ2263">
        <v>3.07</v>
      </c>
      <c r="AK2263">
        <v>6.33</v>
      </c>
      <c r="AL2263">
        <v>1</v>
      </c>
      <c r="AM2263">
        <v>3.22</v>
      </c>
      <c r="AN2263">
        <v>19.09</v>
      </c>
      <c r="AO2263">
        <v>1.15</v>
      </c>
      <c r="AP2263">
        <v>8.29</v>
      </c>
    </row>
    <row r="2264" spans="1:42">
      <c r="A2264">
        <v>2263</v>
      </c>
      <c r="B2264" t="str">
        <f>"000955"</f>
        <v>000955</v>
      </c>
      <c r="C2264" t="s">
        <v>12419</v>
      </c>
      <c r="D2264">
        <v>5.75</v>
      </c>
      <c r="E2264">
        <v>0.88</v>
      </c>
      <c r="F2264">
        <v>0.05</v>
      </c>
      <c r="G2264" t="s">
        <v>2081</v>
      </c>
      <c r="H2264">
        <v>2067</v>
      </c>
      <c r="I2264">
        <v>5.75</v>
      </c>
      <c r="J2264">
        <v>5.76</v>
      </c>
      <c r="K2264" t="s">
        <v>12420</v>
      </c>
      <c r="L2264">
        <v>2.66</v>
      </c>
      <c r="M2264" t="s">
        <v>46</v>
      </c>
      <c r="N2264" t="s">
        <v>2943</v>
      </c>
      <c r="O2264">
        <v>5.84</v>
      </c>
      <c r="P2264">
        <v>5.62</v>
      </c>
      <c r="Q2264">
        <v>5.66</v>
      </c>
      <c r="R2264">
        <v>5.7</v>
      </c>
      <c r="S2264">
        <v>3.86</v>
      </c>
      <c r="T2264">
        <v>0.45</v>
      </c>
      <c r="U2264">
        <v>-68.23</v>
      </c>
      <c r="V2264">
        <v>-2899</v>
      </c>
      <c r="W2264">
        <v>5.74</v>
      </c>
      <c r="X2264" t="s">
        <v>6698</v>
      </c>
      <c r="Y2264" t="s">
        <v>9996</v>
      </c>
      <c r="Z2264">
        <v>1.13</v>
      </c>
      <c r="AA2264">
        <v>263</v>
      </c>
      <c r="AB2264">
        <v>1132</v>
      </c>
      <c r="AC2264">
        <v>4.54</v>
      </c>
      <c r="AD2264" t="s">
        <v>12421</v>
      </c>
      <c r="AE2264" t="s">
        <v>9016</v>
      </c>
      <c r="AF2264" t="s">
        <v>12422</v>
      </c>
      <c r="AG2264" t="s">
        <v>12423</v>
      </c>
      <c r="AH2264">
        <v>-3.2</v>
      </c>
      <c r="AI2264">
        <v>-0.86</v>
      </c>
      <c r="AJ2264">
        <v>12.07</v>
      </c>
      <c r="AK2264">
        <v>32.15</v>
      </c>
      <c r="AL2264">
        <v>1</v>
      </c>
      <c r="AM2264">
        <v>0.88</v>
      </c>
      <c r="AN2264">
        <v>15.23</v>
      </c>
      <c r="AO2264">
        <v>17.35</v>
      </c>
      <c r="AP2264">
        <v>17.83</v>
      </c>
    </row>
    <row r="2265" spans="1:42">
      <c r="A2265">
        <v>2264</v>
      </c>
      <c r="B2265" t="str">
        <f>"600997"</f>
        <v>600997</v>
      </c>
      <c r="C2265" t="s">
        <v>12424</v>
      </c>
      <c r="D2265">
        <v>7.55</v>
      </c>
      <c r="E2265">
        <v>1.62</v>
      </c>
      <c r="F2265">
        <v>0.12</v>
      </c>
      <c r="G2265" t="s">
        <v>1949</v>
      </c>
      <c r="H2265">
        <v>980</v>
      </c>
      <c r="I2265">
        <v>7.55</v>
      </c>
      <c r="J2265">
        <v>7.56</v>
      </c>
      <c r="K2265" t="s">
        <v>12420</v>
      </c>
      <c r="L2265">
        <v>0.69</v>
      </c>
      <c r="M2265" t="s">
        <v>46</v>
      </c>
      <c r="N2265" t="s">
        <v>414</v>
      </c>
      <c r="O2265">
        <v>7.59</v>
      </c>
      <c r="P2265">
        <v>7.43</v>
      </c>
      <c r="Q2265">
        <v>7.45</v>
      </c>
      <c r="R2265">
        <v>7.43</v>
      </c>
      <c r="S2265">
        <v>2.15</v>
      </c>
      <c r="T2265">
        <v>0.74</v>
      </c>
      <c r="U2265">
        <v>-75.54</v>
      </c>
      <c r="V2265">
        <v>-8375</v>
      </c>
      <c r="W2265">
        <v>7.54</v>
      </c>
      <c r="X2265" t="s">
        <v>6026</v>
      </c>
      <c r="Y2265" t="s">
        <v>1577</v>
      </c>
      <c r="Z2265">
        <v>0.87</v>
      </c>
      <c r="AA2265">
        <v>272</v>
      </c>
      <c r="AB2265">
        <v>1212</v>
      </c>
      <c r="AC2265">
        <v>0.85</v>
      </c>
      <c r="AD2265" t="s">
        <v>635</v>
      </c>
      <c r="AE2265" t="s">
        <v>6433</v>
      </c>
      <c r="AF2265" t="s">
        <v>635</v>
      </c>
      <c r="AG2265" t="s">
        <v>6433</v>
      </c>
      <c r="AH2265">
        <v>2.72</v>
      </c>
      <c r="AI2265">
        <v>6.49</v>
      </c>
      <c r="AJ2265">
        <v>2.31</v>
      </c>
      <c r="AK2265">
        <v>5.31</v>
      </c>
      <c r="AL2265">
        <v>1</v>
      </c>
      <c r="AM2265">
        <v>1.62</v>
      </c>
      <c r="AN2265">
        <v>21.77</v>
      </c>
      <c r="AO2265">
        <v>13.7</v>
      </c>
      <c r="AP2265">
        <v>17.42</v>
      </c>
    </row>
    <row r="2266" spans="1:42">
      <c r="A2266">
        <v>2265</v>
      </c>
      <c r="B2266" t="str">
        <f>"000415"</f>
        <v>000415</v>
      </c>
      <c r="C2266" t="s">
        <v>12425</v>
      </c>
      <c r="D2266">
        <v>2.25</v>
      </c>
      <c r="E2266">
        <v>1.35</v>
      </c>
      <c r="F2266">
        <v>0.03</v>
      </c>
      <c r="G2266" t="s">
        <v>2891</v>
      </c>
      <c r="H2266">
        <v>7797</v>
      </c>
      <c r="I2266">
        <v>2.24</v>
      </c>
      <c r="J2266">
        <v>2.25</v>
      </c>
      <c r="K2266" t="s">
        <v>9312</v>
      </c>
      <c r="L2266">
        <v>0.68</v>
      </c>
      <c r="M2266" t="s">
        <v>46</v>
      </c>
      <c r="N2266" t="s">
        <v>12426</v>
      </c>
      <c r="O2266">
        <v>2.26</v>
      </c>
      <c r="P2266">
        <v>2.2</v>
      </c>
      <c r="Q2266">
        <v>2.21</v>
      </c>
      <c r="R2266">
        <v>2.22</v>
      </c>
      <c r="S2266">
        <v>2.7</v>
      </c>
      <c r="T2266">
        <v>1.21</v>
      </c>
      <c r="U2266">
        <v>8.65</v>
      </c>
      <c r="V2266" t="s">
        <v>1154</v>
      </c>
      <c r="W2266">
        <v>2.24</v>
      </c>
      <c r="X2266" t="s">
        <v>1790</v>
      </c>
      <c r="Y2266" t="s">
        <v>2408</v>
      </c>
      <c r="Z2266">
        <v>0.5</v>
      </c>
      <c r="AA2266" t="s">
        <v>905</v>
      </c>
      <c r="AB2266">
        <v>582</v>
      </c>
      <c r="AC2266">
        <v>0.46</v>
      </c>
      <c r="AD2266" t="s">
        <v>12427</v>
      </c>
      <c r="AE2266" t="s">
        <v>12428</v>
      </c>
      <c r="AF2266" t="s">
        <v>6155</v>
      </c>
      <c r="AG2266" t="s">
        <v>12429</v>
      </c>
      <c r="AH2266">
        <v>0</v>
      </c>
      <c r="AI2266">
        <v>-3.43</v>
      </c>
      <c r="AJ2266">
        <v>1.77</v>
      </c>
      <c r="AK2266">
        <v>3.48</v>
      </c>
      <c r="AL2266">
        <v>2</v>
      </c>
      <c r="AM2266">
        <v>1.35</v>
      </c>
      <c r="AN2266">
        <v>1.81</v>
      </c>
      <c r="AO2266">
        <v>-3.43</v>
      </c>
      <c r="AP2266">
        <v>0</v>
      </c>
    </row>
    <row r="2267" spans="1:42">
      <c r="A2267">
        <v>2266</v>
      </c>
      <c r="B2267" t="str">
        <f>"688298"</f>
        <v>688298</v>
      </c>
      <c r="C2267" t="s">
        <v>12430</v>
      </c>
      <c r="D2267">
        <v>39.5</v>
      </c>
      <c r="E2267">
        <v>0.84</v>
      </c>
      <c r="F2267">
        <v>0.33</v>
      </c>
      <c r="G2267" t="s">
        <v>6580</v>
      </c>
      <c r="H2267">
        <v>304</v>
      </c>
      <c r="I2267">
        <v>39.5</v>
      </c>
      <c r="J2267">
        <v>39.53</v>
      </c>
      <c r="K2267" t="s">
        <v>12431</v>
      </c>
      <c r="L2267">
        <v>1.03</v>
      </c>
      <c r="M2267" t="s">
        <v>46</v>
      </c>
      <c r="N2267" t="s">
        <v>2103</v>
      </c>
      <c r="O2267">
        <v>39.93</v>
      </c>
      <c r="P2267">
        <v>38.79</v>
      </c>
      <c r="Q2267">
        <v>39.22</v>
      </c>
      <c r="R2267">
        <v>39.17</v>
      </c>
      <c r="S2267">
        <v>2.91</v>
      </c>
      <c r="T2267">
        <v>0.83</v>
      </c>
      <c r="U2267">
        <v>87.28</v>
      </c>
      <c r="V2267">
        <v>192</v>
      </c>
      <c r="W2267">
        <v>39.32</v>
      </c>
      <c r="X2267" t="s">
        <v>2807</v>
      </c>
      <c r="Y2267">
        <v>9730</v>
      </c>
      <c r="Z2267">
        <v>1.14</v>
      </c>
      <c r="AA2267">
        <v>113</v>
      </c>
      <c r="AB2267">
        <v>2</v>
      </c>
      <c r="AC2267">
        <v>1.02</v>
      </c>
      <c r="AD2267" t="s">
        <v>12432</v>
      </c>
      <c r="AE2267" t="s">
        <v>2353</v>
      </c>
      <c r="AF2267" t="s">
        <v>12432</v>
      </c>
      <c r="AG2267" t="s">
        <v>2353</v>
      </c>
      <c r="AH2267">
        <v>-1.62</v>
      </c>
      <c r="AI2267">
        <v>-7.88</v>
      </c>
      <c r="AJ2267">
        <v>3.45</v>
      </c>
      <c r="AK2267">
        <v>7.26</v>
      </c>
      <c r="AL2267">
        <v>1</v>
      </c>
      <c r="AM2267">
        <v>0.84</v>
      </c>
      <c r="AN2267">
        <v>-36.89</v>
      </c>
      <c r="AO2267">
        <v>1.49</v>
      </c>
      <c r="AP2267">
        <v>-54.73</v>
      </c>
    </row>
    <row r="2268" spans="1:42">
      <c r="A2268">
        <v>2267</v>
      </c>
      <c r="B2268" t="str">
        <f>"600550"</f>
        <v>600550</v>
      </c>
      <c r="C2268" t="s">
        <v>12433</v>
      </c>
      <c r="D2268">
        <v>4.81</v>
      </c>
      <c r="E2268">
        <v>0</v>
      </c>
      <c r="F2268">
        <v>0</v>
      </c>
      <c r="G2268" t="s">
        <v>172</v>
      </c>
      <c r="H2268">
        <v>4664</v>
      </c>
      <c r="I2268">
        <v>4.81</v>
      </c>
      <c r="J2268">
        <v>4.82</v>
      </c>
      <c r="K2268" t="s">
        <v>7181</v>
      </c>
      <c r="L2268">
        <v>0.93</v>
      </c>
      <c r="M2268" t="s">
        <v>46</v>
      </c>
      <c r="N2268" t="s">
        <v>5809</v>
      </c>
      <c r="O2268">
        <v>4.85</v>
      </c>
      <c r="P2268">
        <v>4.74</v>
      </c>
      <c r="Q2268">
        <v>4.85</v>
      </c>
      <c r="R2268">
        <v>4.81</v>
      </c>
      <c r="S2268">
        <v>2.29</v>
      </c>
      <c r="T2268">
        <v>0.44</v>
      </c>
      <c r="U2268">
        <v>-10.06</v>
      </c>
      <c r="V2268">
        <v>-1847</v>
      </c>
      <c r="W2268">
        <v>4.8</v>
      </c>
      <c r="X2268" t="s">
        <v>3777</v>
      </c>
      <c r="Y2268" t="s">
        <v>6376</v>
      </c>
      <c r="Z2268">
        <v>1.15</v>
      </c>
      <c r="AA2268">
        <v>1694</v>
      </c>
      <c r="AB2268">
        <v>1042</v>
      </c>
      <c r="AC2268">
        <v>13.44</v>
      </c>
      <c r="AD2268" t="s">
        <v>12434</v>
      </c>
      <c r="AE2268" t="s">
        <v>12435</v>
      </c>
      <c r="AF2268" t="s">
        <v>12434</v>
      </c>
      <c r="AG2268" t="s">
        <v>12435</v>
      </c>
      <c r="AH2268">
        <v>-2.83</v>
      </c>
      <c r="AI2268">
        <v>3.66</v>
      </c>
      <c r="AJ2268">
        <v>3.63</v>
      </c>
      <c r="AK2268">
        <v>11.54</v>
      </c>
      <c r="AL2268">
        <v>0</v>
      </c>
      <c r="AM2268">
        <v>0</v>
      </c>
      <c r="AN2268">
        <v>3.44</v>
      </c>
      <c r="AO2268">
        <v>5.25</v>
      </c>
      <c r="AP2268">
        <v>-2.63</v>
      </c>
    </row>
    <row r="2269" spans="1:42">
      <c r="A2269">
        <v>2268</v>
      </c>
      <c r="B2269" t="str">
        <f>"002104"</f>
        <v>002104</v>
      </c>
      <c r="C2269" t="s">
        <v>12436</v>
      </c>
      <c r="D2269">
        <v>8.36</v>
      </c>
      <c r="E2269">
        <v>2.2</v>
      </c>
      <c r="F2269">
        <v>0.18</v>
      </c>
      <c r="G2269" t="s">
        <v>5288</v>
      </c>
      <c r="H2269">
        <v>1200</v>
      </c>
      <c r="I2269">
        <v>8.36</v>
      </c>
      <c r="J2269">
        <v>8.37</v>
      </c>
      <c r="K2269" t="s">
        <v>12437</v>
      </c>
      <c r="L2269">
        <v>1.67</v>
      </c>
      <c r="M2269" t="s">
        <v>46</v>
      </c>
      <c r="N2269" t="s">
        <v>1213</v>
      </c>
      <c r="O2269">
        <v>8.37</v>
      </c>
      <c r="P2269">
        <v>8.15</v>
      </c>
      <c r="Q2269">
        <v>8.18</v>
      </c>
      <c r="R2269">
        <v>8.18</v>
      </c>
      <c r="S2269">
        <v>2.69</v>
      </c>
      <c r="T2269">
        <v>1.13</v>
      </c>
      <c r="U2269">
        <v>-54.51</v>
      </c>
      <c r="V2269">
        <v>-4161</v>
      </c>
      <c r="W2269">
        <v>8.28</v>
      </c>
      <c r="X2269" t="s">
        <v>4724</v>
      </c>
      <c r="Y2269" t="s">
        <v>525</v>
      </c>
      <c r="Z2269">
        <v>0.69</v>
      </c>
      <c r="AA2269">
        <v>11</v>
      </c>
      <c r="AB2269">
        <v>1284</v>
      </c>
      <c r="AC2269">
        <v>2.78</v>
      </c>
      <c r="AD2269" t="s">
        <v>1858</v>
      </c>
      <c r="AE2269" t="s">
        <v>12438</v>
      </c>
      <c r="AF2269" t="s">
        <v>12439</v>
      </c>
      <c r="AG2269" t="s">
        <v>12440</v>
      </c>
      <c r="AH2269">
        <v>0.36</v>
      </c>
      <c r="AI2269">
        <v>-1.99</v>
      </c>
      <c r="AJ2269">
        <v>4.27</v>
      </c>
      <c r="AK2269">
        <v>9.07</v>
      </c>
      <c r="AL2269">
        <v>1</v>
      </c>
      <c r="AM2269">
        <v>2.2</v>
      </c>
      <c r="AN2269">
        <v>12.82</v>
      </c>
      <c r="AO2269">
        <v>2.58</v>
      </c>
      <c r="AP2269">
        <v>-9.33</v>
      </c>
    </row>
    <row r="2270" spans="1:42">
      <c r="A2270">
        <v>2269</v>
      </c>
      <c r="B2270" t="str">
        <f>"000813"</f>
        <v>000813</v>
      </c>
      <c r="C2270" t="s">
        <v>12441</v>
      </c>
      <c r="D2270">
        <v>3.56</v>
      </c>
      <c r="E2270">
        <v>1.14</v>
      </c>
      <c r="F2270">
        <v>0.04</v>
      </c>
      <c r="G2270" t="s">
        <v>2247</v>
      </c>
      <c r="H2270">
        <v>3332</v>
      </c>
      <c r="I2270">
        <v>3.55</v>
      </c>
      <c r="J2270">
        <v>3.56</v>
      </c>
      <c r="K2270" t="s">
        <v>12442</v>
      </c>
      <c r="L2270">
        <v>1.06</v>
      </c>
      <c r="M2270" t="s">
        <v>46</v>
      </c>
      <c r="N2270" t="s">
        <v>6464</v>
      </c>
      <c r="O2270">
        <v>3.57</v>
      </c>
      <c r="P2270">
        <v>3.5</v>
      </c>
      <c r="Q2270">
        <v>3.5</v>
      </c>
      <c r="R2270">
        <v>3.52</v>
      </c>
      <c r="S2270">
        <v>1.99</v>
      </c>
      <c r="T2270">
        <v>0.54</v>
      </c>
      <c r="U2270">
        <v>-15.65</v>
      </c>
      <c r="V2270">
        <v>-5936</v>
      </c>
      <c r="W2270">
        <v>3.55</v>
      </c>
      <c r="X2270" t="s">
        <v>1849</v>
      </c>
      <c r="Y2270" t="s">
        <v>960</v>
      </c>
      <c r="Z2270">
        <v>0.65</v>
      </c>
      <c r="AA2270">
        <v>2620</v>
      </c>
      <c r="AB2270">
        <v>509</v>
      </c>
      <c r="AC2270">
        <v>1.48</v>
      </c>
      <c r="AD2270" t="s">
        <v>12443</v>
      </c>
      <c r="AE2270" t="s">
        <v>12444</v>
      </c>
      <c r="AF2270" t="s">
        <v>12443</v>
      </c>
      <c r="AG2270" t="s">
        <v>12445</v>
      </c>
      <c r="AH2270">
        <v>-0.84</v>
      </c>
      <c r="AI2270">
        <v>-3</v>
      </c>
      <c r="AJ2270">
        <v>3.7</v>
      </c>
      <c r="AK2270">
        <v>10.83</v>
      </c>
      <c r="AL2270">
        <v>1</v>
      </c>
      <c r="AM2270">
        <v>1.14</v>
      </c>
      <c r="AN2270">
        <v>-4.04</v>
      </c>
      <c r="AO2270">
        <v>-4.04</v>
      </c>
      <c r="AP2270">
        <v>-2.73</v>
      </c>
    </row>
    <row r="2271" spans="1:42">
      <c r="A2271">
        <v>2270</v>
      </c>
      <c r="B2271" t="str">
        <f>"001373"</f>
        <v>001373</v>
      </c>
      <c r="C2271" t="s">
        <v>12446</v>
      </c>
      <c r="D2271">
        <v>41.76</v>
      </c>
      <c r="E2271">
        <v>0.63</v>
      </c>
      <c r="F2271">
        <v>0.26</v>
      </c>
      <c r="G2271" t="s">
        <v>2924</v>
      </c>
      <c r="H2271">
        <v>377</v>
      </c>
      <c r="I2271">
        <v>41.75</v>
      </c>
      <c r="J2271">
        <v>41.76</v>
      </c>
      <c r="K2271" t="s">
        <v>12447</v>
      </c>
      <c r="L2271">
        <v>11.44</v>
      </c>
      <c r="M2271" t="s">
        <v>46</v>
      </c>
      <c r="N2271" t="s">
        <v>496</v>
      </c>
      <c r="O2271">
        <v>42.15</v>
      </c>
      <c r="P2271">
        <v>40.78</v>
      </c>
      <c r="Q2271">
        <v>42</v>
      </c>
      <c r="R2271">
        <v>41.5</v>
      </c>
      <c r="S2271">
        <v>3.3</v>
      </c>
      <c r="T2271">
        <v>0.41</v>
      </c>
      <c r="U2271">
        <v>22.45</v>
      </c>
      <c r="V2271">
        <v>66</v>
      </c>
      <c r="W2271">
        <v>41.53</v>
      </c>
      <c r="X2271" t="s">
        <v>2147</v>
      </c>
      <c r="Y2271">
        <v>8906</v>
      </c>
      <c r="Z2271">
        <v>1.21</v>
      </c>
      <c r="AA2271">
        <v>6</v>
      </c>
      <c r="AB2271">
        <v>3</v>
      </c>
      <c r="AC2271">
        <v>3.19</v>
      </c>
      <c r="AD2271" t="s">
        <v>12448</v>
      </c>
      <c r="AE2271" t="s">
        <v>12449</v>
      </c>
      <c r="AF2271" t="s">
        <v>12450</v>
      </c>
      <c r="AG2271" t="s">
        <v>12451</v>
      </c>
      <c r="AH2271">
        <v>-9.88</v>
      </c>
      <c r="AI2271">
        <v>-11.9</v>
      </c>
      <c r="AJ2271">
        <v>55.74</v>
      </c>
      <c r="AK2271">
        <v>149.94</v>
      </c>
      <c r="AL2271">
        <v>1</v>
      </c>
      <c r="AM2271">
        <v>0.63</v>
      </c>
      <c r="AN2271">
        <v>44.35</v>
      </c>
      <c r="AO2271">
        <v>0.36</v>
      </c>
      <c r="AP2271">
        <v>44.35</v>
      </c>
    </row>
    <row r="2272" spans="1:42">
      <c r="A2272">
        <v>2271</v>
      </c>
      <c r="B2272" t="str">
        <f>"600237"</f>
        <v>600237</v>
      </c>
      <c r="C2272" t="s">
        <v>12452</v>
      </c>
      <c r="D2272">
        <v>8</v>
      </c>
      <c r="E2272">
        <v>0.38</v>
      </c>
      <c r="F2272">
        <v>0.03</v>
      </c>
      <c r="G2272" t="s">
        <v>1499</v>
      </c>
      <c r="H2272">
        <v>1975</v>
      </c>
      <c r="I2272">
        <v>7.99</v>
      </c>
      <c r="J2272">
        <v>8</v>
      </c>
      <c r="K2272" t="s">
        <v>12453</v>
      </c>
      <c r="L2272">
        <v>1.81</v>
      </c>
      <c r="M2272" t="s">
        <v>46</v>
      </c>
      <c r="N2272" t="s">
        <v>1685</v>
      </c>
      <c r="O2272">
        <v>8.07</v>
      </c>
      <c r="P2272">
        <v>7.87</v>
      </c>
      <c r="Q2272">
        <v>7.93</v>
      </c>
      <c r="R2272">
        <v>7.97</v>
      </c>
      <c r="S2272">
        <v>2.51</v>
      </c>
      <c r="T2272">
        <v>0.61</v>
      </c>
      <c r="U2272">
        <v>37.35</v>
      </c>
      <c r="V2272">
        <v>2009</v>
      </c>
      <c r="W2272">
        <v>7.99</v>
      </c>
      <c r="X2272" t="s">
        <v>5027</v>
      </c>
      <c r="Y2272" t="s">
        <v>4168</v>
      </c>
      <c r="Z2272">
        <v>1.19</v>
      </c>
      <c r="AA2272">
        <v>170</v>
      </c>
      <c r="AB2272">
        <v>463</v>
      </c>
      <c r="AC2272">
        <v>2.96</v>
      </c>
      <c r="AD2272" t="s">
        <v>12454</v>
      </c>
      <c r="AE2272" t="s">
        <v>12455</v>
      </c>
      <c r="AF2272" t="s">
        <v>10140</v>
      </c>
      <c r="AG2272" t="s">
        <v>2994</v>
      </c>
      <c r="AH2272">
        <v>0.13</v>
      </c>
      <c r="AI2272">
        <v>-2.44</v>
      </c>
      <c r="AJ2272">
        <v>8.89</v>
      </c>
      <c r="AK2272">
        <v>16.76</v>
      </c>
      <c r="AL2272">
        <v>1</v>
      </c>
      <c r="AM2272">
        <v>0.38</v>
      </c>
      <c r="AN2272">
        <v>25.79</v>
      </c>
      <c r="AO2272">
        <v>7.1</v>
      </c>
      <c r="AP2272">
        <v>24.42</v>
      </c>
    </row>
    <row r="2273" spans="1:42">
      <c r="A2273">
        <v>2272</v>
      </c>
      <c r="B2273" t="str">
        <f>"688677"</f>
        <v>688677</v>
      </c>
      <c r="C2273" t="s">
        <v>12456</v>
      </c>
      <c r="D2273">
        <v>59.09</v>
      </c>
      <c r="E2273">
        <v>0.82</v>
      </c>
      <c r="F2273">
        <v>0.48</v>
      </c>
      <c r="G2273" t="s">
        <v>10542</v>
      </c>
      <c r="H2273">
        <v>19</v>
      </c>
      <c r="I2273">
        <v>59.09</v>
      </c>
      <c r="J2273">
        <v>59.15</v>
      </c>
      <c r="K2273" t="s">
        <v>12457</v>
      </c>
      <c r="L2273">
        <v>1.85</v>
      </c>
      <c r="M2273" t="s">
        <v>46</v>
      </c>
      <c r="N2273" t="s">
        <v>3910</v>
      </c>
      <c r="O2273">
        <v>59.47</v>
      </c>
      <c r="P2273">
        <v>57.8</v>
      </c>
      <c r="Q2273">
        <v>58.74</v>
      </c>
      <c r="R2273">
        <v>58.61</v>
      </c>
      <c r="S2273">
        <v>2.85</v>
      </c>
      <c r="T2273">
        <v>1.02</v>
      </c>
      <c r="U2273">
        <v>-4.86</v>
      </c>
      <c r="V2273">
        <v>-5</v>
      </c>
      <c r="W2273">
        <v>58.51</v>
      </c>
      <c r="X2273">
        <v>7776</v>
      </c>
      <c r="Y2273">
        <v>6139</v>
      </c>
      <c r="Z2273">
        <v>1.27</v>
      </c>
      <c r="AA2273">
        <v>1</v>
      </c>
      <c r="AB2273">
        <v>10</v>
      </c>
      <c r="AC2273">
        <v>5.63</v>
      </c>
      <c r="AD2273" t="s">
        <v>5455</v>
      </c>
      <c r="AE2273" t="s">
        <v>12458</v>
      </c>
      <c r="AF2273" t="s">
        <v>11432</v>
      </c>
      <c r="AG2273" t="s">
        <v>12459</v>
      </c>
      <c r="AH2273">
        <v>3.81</v>
      </c>
      <c r="AI2273">
        <v>2.06</v>
      </c>
      <c r="AJ2273">
        <v>4.76</v>
      </c>
      <c r="AK2273">
        <v>10.9</v>
      </c>
      <c r="AL2273">
        <v>2</v>
      </c>
      <c r="AM2273">
        <v>0.82</v>
      </c>
      <c r="AN2273">
        <v>-26.27</v>
      </c>
      <c r="AO2273">
        <v>3.09</v>
      </c>
      <c r="AP2273">
        <v>-31.08</v>
      </c>
    </row>
    <row r="2274" spans="1:42">
      <c r="A2274">
        <v>2273</v>
      </c>
      <c r="B2274" t="str">
        <f>"600208"</f>
        <v>600208</v>
      </c>
      <c r="C2274" t="s">
        <v>12460</v>
      </c>
      <c r="D2274">
        <v>2.34</v>
      </c>
      <c r="E2274">
        <v>0.43</v>
      </c>
      <c r="F2274">
        <v>0.01</v>
      </c>
      <c r="G2274" t="s">
        <v>935</v>
      </c>
      <c r="H2274">
        <v>3450</v>
      </c>
      <c r="I2274">
        <v>2.33</v>
      </c>
      <c r="J2274">
        <v>2.34</v>
      </c>
      <c r="K2274" t="s">
        <v>12461</v>
      </c>
      <c r="L2274">
        <v>0.41</v>
      </c>
      <c r="M2274" t="s">
        <v>46</v>
      </c>
      <c r="N2274" t="s">
        <v>7924</v>
      </c>
      <c r="O2274">
        <v>2.35</v>
      </c>
      <c r="P2274">
        <v>2.32</v>
      </c>
      <c r="Q2274">
        <v>2.33</v>
      </c>
      <c r="R2274">
        <v>2.33</v>
      </c>
      <c r="S2274">
        <v>1.29</v>
      </c>
      <c r="T2274">
        <v>0.75</v>
      </c>
      <c r="U2274">
        <v>-3.19</v>
      </c>
      <c r="V2274">
        <v>-5292</v>
      </c>
      <c r="W2274">
        <v>2.34</v>
      </c>
      <c r="X2274" t="s">
        <v>3434</v>
      </c>
      <c r="Y2274" t="s">
        <v>3584</v>
      </c>
      <c r="Z2274">
        <v>1.19</v>
      </c>
      <c r="AA2274" t="s">
        <v>5831</v>
      </c>
      <c r="AB2274">
        <v>2110</v>
      </c>
      <c r="AC2274">
        <v>0.46</v>
      </c>
      <c r="AD2274" t="s">
        <v>12462</v>
      </c>
      <c r="AE2274" t="s">
        <v>3332</v>
      </c>
      <c r="AF2274" t="s">
        <v>12463</v>
      </c>
      <c r="AG2274" t="s">
        <v>3332</v>
      </c>
      <c r="AH2274">
        <v>-1.27</v>
      </c>
      <c r="AI2274">
        <v>-4.49</v>
      </c>
      <c r="AJ2274">
        <v>1.31</v>
      </c>
      <c r="AK2274">
        <v>3.13</v>
      </c>
      <c r="AL2274">
        <v>1</v>
      </c>
      <c r="AM2274">
        <v>0.43</v>
      </c>
      <c r="AN2274">
        <v>-7.14</v>
      </c>
      <c r="AO2274">
        <v>-0.85</v>
      </c>
      <c r="AP2274">
        <v>-10</v>
      </c>
    </row>
    <row r="2275" spans="1:42">
      <c r="A2275">
        <v>2274</v>
      </c>
      <c r="B2275" t="str">
        <f>"002706"</f>
        <v>002706</v>
      </c>
      <c r="C2275" t="s">
        <v>12464</v>
      </c>
      <c r="D2275">
        <v>9.11</v>
      </c>
      <c r="E2275">
        <v>-0.65</v>
      </c>
      <c r="F2275">
        <v>-0.06</v>
      </c>
      <c r="G2275" t="s">
        <v>8379</v>
      </c>
      <c r="H2275">
        <v>1061</v>
      </c>
      <c r="I2275">
        <v>9.11</v>
      </c>
      <c r="J2275">
        <v>9.12</v>
      </c>
      <c r="K2275" t="s">
        <v>12465</v>
      </c>
      <c r="L2275">
        <v>0.98</v>
      </c>
      <c r="M2275" t="s">
        <v>46</v>
      </c>
      <c r="N2275" t="s">
        <v>7627</v>
      </c>
      <c r="O2275">
        <v>9.19</v>
      </c>
      <c r="P2275">
        <v>9.01</v>
      </c>
      <c r="Q2275">
        <v>9.17</v>
      </c>
      <c r="R2275">
        <v>9.17</v>
      </c>
      <c r="S2275">
        <v>1.96</v>
      </c>
      <c r="T2275">
        <v>1.1</v>
      </c>
      <c r="U2275">
        <v>41.63</v>
      </c>
      <c r="V2275">
        <v>1672</v>
      </c>
      <c r="W2275">
        <v>9.09</v>
      </c>
      <c r="X2275" t="s">
        <v>2560</v>
      </c>
      <c r="Y2275" t="s">
        <v>5355</v>
      </c>
      <c r="Z2275">
        <v>1.2</v>
      </c>
      <c r="AA2275">
        <v>160</v>
      </c>
      <c r="AB2275">
        <v>196</v>
      </c>
      <c r="AC2275">
        <v>2.54</v>
      </c>
      <c r="AD2275" t="s">
        <v>12466</v>
      </c>
      <c r="AE2275" t="s">
        <v>3798</v>
      </c>
      <c r="AF2275" t="s">
        <v>12467</v>
      </c>
      <c r="AG2275" t="s">
        <v>12468</v>
      </c>
      <c r="AH2275">
        <v>-3.19</v>
      </c>
      <c r="AI2275">
        <v>-2.77</v>
      </c>
      <c r="AJ2275">
        <v>2.75</v>
      </c>
      <c r="AK2275">
        <v>5.43</v>
      </c>
      <c r="AL2275">
        <v>-3</v>
      </c>
      <c r="AM2275">
        <v>-0.65</v>
      </c>
      <c r="AN2275">
        <v>-36.96</v>
      </c>
      <c r="AO2275">
        <v>-3.6</v>
      </c>
      <c r="AP2275">
        <v>-31.91</v>
      </c>
    </row>
    <row r="2276" spans="1:42">
      <c r="A2276">
        <v>2275</v>
      </c>
      <c r="B2276" t="str">
        <f>"688686"</f>
        <v>688686</v>
      </c>
      <c r="C2276" t="s">
        <v>12469</v>
      </c>
      <c r="D2276">
        <v>113.26</v>
      </c>
      <c r="E2276">
        <v>-0.3</v>
      </c>
      <c r="F2276">
        <v>-0.34</v>
      </c>
      <c r="G2276">
        <v>7249</v>
      </c>
      <c r="H2276">
        <v>85</v>
      </c>
      <c r="I2276">
        <v>113.25</v>
      </c>
      <c r="J2276">
        <v>113.26</v>
      </c>
      <c r="K2276" t="s">
        <v>12470</v>
      </c>
      <c r="L2276">
        <v>2.11</v>
      </c>
      <c r="M2276" t="s">
        <v>46</v>
      </c>
      <c r="N2276" t="s">
        <v>1556</v>
      </c>
      <c r="O2276">
        <v>113.33</v>
      </c>
      <c r="P2276">
        <v>110.48</v>
      </c>
      <c r="Q2276">
        <v>112.9</v>
      </c>
      <c r="R2276">
        <v>113.6</v>
      </c>
      <c r="S2276">
        <v>2.51</v>
      </c>
      <c r="T2276">
        <v>1.07</v>
      </c>
      <c r="U2276">
        <v>13.43</v>
      </c>
      <c r="V2276">
        <v>27</v>
      </c>
      <c r="W2276">
        <v>111.91</v>
      </c>
      <c r="X2276">
        <v>4022</v>
      </c>
      <c r="Y2276">
        <v>3227</v>
      </c>
      <c r="Z2276">
        <v>1.25</v>
      </c>
      <c r="AA2276">
        <v>7</v>
      </c>
      <c r="AB2276">
        <v>19</v>
      </c>
      <c r="AC2276">
        <v>4.77</v>
      </c>
      <c r="AD2276" t="s">
        <v>12471</v>
      </c>
      <c r="AE2276" t="s">
        <v>12472</v>
      </c>
      <c r="AF2276" t="s">
        <v>12473</v>
      </c>
      <c r="AG2276" t="s">
        <v>7952</v>
      </c>
      <c r="AH2276">
        <v>1.07</v>
      </c>
      <c r="AI2276">
        <v>4.72</v>
      </c>
      <c r="AJ2276">
        <v>6.19</v>
      </c>
      <c r="AK2276">
        <v>11.96</v>
      </c>
      <c r="AL2276">
        <v>-1</v>
      </c>
      <c r="AM2276">
        <v>-0.3</v>
      </c>
      <c r="AN2276">
        <v>-13.64</v>
      </c>
      <c r="AO2276">
        <v>9.22</v>
      </c>
      <c r="AP2276">
        <v>-25.33</v>
      </c>
    </row>
    <row r="2277" spans="1:42">
      <c r="A2277">
        <v>2276</v>
      </c>
      <c r="B2277" t="str">
        <f>"002380"</f>
        <v>002380</v>
      </c>
      <c r="C2277" t="s">
        <v>12474</v>
      </c>
      <c r="D2277">
        <v>18.68</v>
      </c>
      <c r="E2277">
        <v>2.02</v>
      </c>
      <c r="F2277">
        <v>0.37</v>
      </c>
      <c r="G2277" t="s">
        <v>456</v>
      </c>
      <c r="H2277">
        <v>327</v>
      </c>
      <c r="I2277">
        <v>18.67</v>
      </c>
      <c r="J2277">
        <v>18.68</v>
      </c>
      <c r="K2277" t="s">
        <v>12475</v>
      </c>
      <c r="L2277">
        <v>3.09</v>
      </c>
      <c r="M2277" t="s">
        <v>46</v>
      </c>
      <c r="N2277" t="s">
        <v>6876</v>
      </c>
      <c r="O2277">
        <v>18.8</v>
      </c>
      <c r="P2277">
        <v>18.26</v>
      </c>
      <c r="Q2277">
        <v>18.26</v>
      </c>
      <c r="R2277">
        <v>18.31</v>
      </c>
      <c r="S2277">
        <v>2.95</v>
      </c>
      <c r="T2277">
        <v>0.51</v>
      </c>
      <c r="U2277">
        <v>-18.7</v>
      </c>
      <c r="V2277">
        <v>-436</v>
      </c>
      <c r="W2277">
        <v>18.52</v>
      </c>
      <c r="X2277" t="s">
        <v>3069</v>
      </c>
      <c r="Y2277" t="s">
        <v>4422</v>
      </c>
      <c r="Z2277">
        <v>0.71</v>
      </c>
      <c r="AA2277">
        <v>180</v>
      </c>
      <c r="AB2277">
        <v>454</v>
      </c>
      <c r="AC2277">
        <v>2.38</v>
      </c>
      <c r="AD2277" t="s">
        <v>4237</v>
      </c>
      <c r="AE2277" t="s">
        <v>12476</v>
      </c>
      <c r="AF2277" t="s">
        <v>12477</v>
      </c>
      <c r="AG2277" t="s">
        <v>12478</v>
      </c>
      <c r="AH2277">
        <v>-1.11</v>
      </c>
      <c r="AI2277">
        <v>-0.27</v>
      </c>
      <c r="AJ2277">
        <v>10.3</v>
      </c>
      <c r="AK2277">
        <v>33.17</v>
      </c>
      <c r="AL2277">
        <v>1</v>
      </c>
      <c r="AM2277">
        <v>2.02</v>
      </c>
      <c r="AN2277">
        <v>32.58</v>
      </c>
      <c r="AO2277">
        <v>4.65</v>
      </c>
      <c r="AP2277">
        <v>22.98</v>
      </c>
    </row>
    <row r="2278" spans="1:42">
      <c r="A2278">
        <v>2277</v>
      </c>
      <c r="B2278" t="str">
        <f>"688091"</f>
        <v>688091</v>
      </c>
      <c r="C2278" t="s">
        <v>12479</v>
      </c>
      <c r="D2278">
        <v>57.05</v>
      </c>
      <c r="E2278">
        <v>1.82</v>
      </c>
      <c r="F2278">
        <v>1.02</v>
      </c>
      <c r="G2278" t="s">
        <v>5900</v>
      </c>
      <c r="H2278">
        <v>74</v>
      </c>
      <c r="I2278">
        <v>57.05</v>
      </c>
      <c r="J2278">
        <v>57.06</v>
      </c>
      <c r="K2278" t="s">
        <v>12480</v>
      </c>
      <c r="L2278">
        <v>1.23</v>
      </c>
      <c r="M2278" t="s">
        <v>46</v>
      </c>
      <c r="N2278" t="s">
        <v>5189</v>
      </c>
      <c r="O2278">
        <v>57.8</v>
      </c>
      <c r="P2278">
        <v>55.66</v>
      </c>
      <c r="Q2278">
        <v>56.22</v>
      </c>
      <c r="R2278">
        <v>56.03</v>
      </c>
      <c r="S2278">
        <v>3.82</v>
      </c>
      <c r="T2278">
        <v>0.89</v>
      </c>
      <c r="U2278">
        <v>54.92</v>
      </c>
      <c r="V2278">
        <v>130</v>
      </c>
      <c r="W2278">
        <v>56.61</v>
      </c>
      <c r="X2278">
        <v>8128</v>
      </c>
      <c r="Y2278">
        <v>6155</v>
      </c>
      <c r="Z2278">
        <v>1.32</v>
      </c>
      <c r="AA2278">
        <v>20</v>
      </c>
      <c r="AB2278">
        <v>2</v>
      </c>
      <c r="AC2278">
        <v>6.33</v>
      </c>
      <c r="AD2278" t="s">
        <v>12481</v>
      </c>
      <c r="AE2278" t="s">
        <v>12482</v>
      </c>
      <c r="AF2278" t="s">
        <v>12483</v>
      </c>
      <c r="AG2278" t="s">
        <v>12484</v>
      </c>
      <c r="AH2278">
        <v>-0.33</v>
      </c>
      <c r="AI2278">
        <v>3.67</v>
      </c>
      <c r="AJ2278">
        <v>3.84</v>
      </c>
      <c r="AK2278">
        <v>8.11</v>
      </c>
      <c r="AL2278">
        <v>1</v>
      </c>
      <c r="AM2278">
        <v>1.82</v>
      </c>
      <c r="AN2278">
        <v>-9.7</v>
      </c>
      <c r="AO2278">
        <v>11.53</v>
      </c>
      <c r="AP2278">
        <v>-10</v>
      </c>
    </row>
    <row r="2279" spans="1:42">
      <c r="A2279">
        <v>2278</v>
      </c>
      <c r="B2279" t="str">
        <f>"001380"</f>
        <v>001380</v>
      </c>
      <c r="C2279" t="s">
        <v>12485</v>
      </c>
      <c r="D2279">
        <v>35.72</v>
      </c>
      <c r="E2279">
        <v>-1.35</v>
      </c>
      <c r="F2279">
        <v>-0.49</v>
      </c>
      <c r="G2279" t="s">
        <v>3611</v>
      </c>
      <c r="H2279">
        <v>413</v>
      </c>
      <c r="I2279">
        <v>35.72</v>
      </c>
      <c r="J2279">
        <v>35.73</v>
      </c>
      <c r="K2279" t="s">
        <v>9201</v>
      </c>
      <c r="L2279">
        <v>7.06</v>
      </c>
      <c r="M2279" t="s">
        <v>46</v>
      </c>
      <c r="N2279" t="s">
        <v>1556</v>
      </c>
      <c r="O2279">
        <v>36.36</v>
      </c>
      <c r="P2279">
        <v>35.16</v>
      </c>
      <c r="Q2279">
        <v>36.36</v>
      </c>
      <c r="R2279">
        <v>36.21</v>
      </c>
      <c r="S2279">
        <v>3.31</v>
      </c>
      <c r="T2279">
        <v>0.93</v>
      </c>
      <c r="U2279">
        <v>-23.43</v>
      </c>
      <c r="V2279">
        <v>-41</v>
      </c>
      <c r="W2279">
        <v>35.51</v>
      </c>
      <c r="X2279" t="s">
        <v>4792</v>
      </c>
      <c r="Y2279" t="s">
        <v>1400</v>
      </c>
      <c r="Z2279">
        <v>1.18</v>
      </c>
      <c r="AA2279">
        <v>26</v>
      </c>
      <c r="AB2279">
        <v>5</v>
      </c>
      <c r="AC2279">
        <v>3.09</v>
      </c>
      <c r="AD2279" t="s">
        <v>12486</v>
      </c>
      <c r="AE2279" t="s">
        <v>12487</v>
      </c>
      <c r="AF2279" t="s">
        <v>12488</v>
      </c>
      <c r="AG2279" t="s">
        <v>906</v>
      </c>
      <c r="AH2279">
        <v>-3.75</v>
      </c>
      <c r="AI2279">
        <v>-3.41</v>
      </c>
      <c r="AJ2279">
        <v>22.71</v>
      </c>
      <c r="AK2279">
        <v>44.93</v>
      </c>
      <c r="AL2279">
        <v>-2</v>
      </c>
      <c r="AM2279">
        <v>-1.35</v>
      </c>
      <c r="AN2279">
        <v>25.03</v>
      </c>
      <c r="AO2279">
        <v>4.94</v>
      </c>
      <c r="AP2279">
        <v>25.03</v>
      </c>
    </row>
    <row r="2280" spans="1:42">
      <c r="A2280">
        <v>2279</v>
      </c>
      <c r="B2280" t="str">
        <f>"000882"</f>
        <v>000882</v>
      </c>
      <c r="C2280" t="s">
        <v>12489</v>
      </c>
      <c r="D2280">
        <v>1.81</v>
      </c>
      <c r="E2280">
        <v>1.69</v>
      </c>
      <c r="F2280">
        <v>0.03</v>
      </c>
      <c r="G2280" t="s">
        <v>2157</v>
      </c>
      <c r="H2280">
        <v>6294</v>
      </c>
      <c r="I2280">
        <v>1.8</v>
      </c>
      <c r="J2280">
        <v>1.81</v>
      </c>
      <c r="K2280" t="s">
        <v>12490</v>
      </c>
      <c r="L2280">
        <v>1.64</v>
      </c>
      <c r="M2280" t="s">
        <v>46</v>
      </c>
      <c r="N2280" t="s">
        <v>12491</v>
      </c>
      <c r="O2280">
        <v>1.83</v>
      </c>
      <c r="P2280">
        <v>1.77</v>
      </c>
      <c r="Q2280">
        <v>1.78</v>
      </c>
      <c r="R2280">
        <v>1.78</v>
      </c>
      <c r="S2280">
        <v>3.37</v>
      </c>
      <c r="T2280">
        <v>0.93</v>
      </c>
      <c r="U2280">
        <v>-31.5</v>
      </c>
      <c r="V2280" t="s">
        <v>12492</v>
      </c>
      <c r="W2280">
        <v>1.8</v>
      </c>
      <c r="X2280" t="s">
        <v>1328</v>
      </c>
      <c r="Y2280" t="s">
        <v>273</v>
      </c>
      <c r="Z2280">
        <v>0.77</v>
      </c>
      <c r="AA2280">
        <v>7513</v>
      </c>
      <c r="AB2280" t="s">
        <v>239</v>
      </c>
      <c r="AC2280">
        <v>0.71</v>
      </c>
      <c r="AD2280" t="s">
        <v>12493</v>
      </c>
      <c r="AE2280" t="s">
        <v>12494</v>
      </c>
      <c r="AF2280" t="s">
        <v>12493</v>
      </c>
      <c r="AG2280" t="s">
        <v>12494</v>
      </c>
      <c r="AH2280">
        <v>1.12</v>
      </c>
      <c r="AI2280">
        <v>-1.09</v>
      </c>
      <c r="AJ2280">
        <v>4.69</v>
      </c>
      <c r="AK2280">
        <v>10.46</v>
      </c>
      <c r="AL2280">
        <v>2</v>
      </c>
      <c r="AM2280">
        <v>1.69</v>
      </c>
      <c r="AN2280">
        <v>-7.18</v>
      </c>
      <c r="AO2280">
        <v>5.85</v>
      </c>
      <c r="AP2280">
        <v>6.47</v>
      </c>
    </row>
    <row r="2281" spans="1:42">
      <c r="A2281">
        <v>2280</v>
      </c>
      <c r="B2281" t="str">
        <f>"600758"</f>
        <v>600758</v>
      </c>
      <c r="C2281" t="s">
        <v>12495</v>
      </c>
      <c r="D2281">
        <v>3.97</v>
      </c>
      <c r="E2281">
        <v>1.79</v>
      </c>
      <c r="F2281">
        <v>0.07</v>
      </c>
      <c r="G2281" t="s">
        <v>509</v>
      </c>
      <c r="H2281">
        <v>2746</v>
      </c>
      <c r="I2281">
        <v>3.97</v>
      </c>
      <c r="J2281">
        <v>3.98</v>
      </c>
      <c r="K2281" t="s">
        <v>12490</v>
      </c>
      <c r="L2281">
        <v>1.55</v>
      </c>
      <c r="M2281" t="s">
        <v>46</v>
      </c>
      <c r="N2281" t="s">
        <v>543</v>
      </c>
      <c r="O2281">
        <v>3.99</v>
      </c>
      <c r="P2281">
        <v>3.89</v>
      </c>
      <c r="Q2281">
        <v>3.89</v>
      </c>
      <c r="R2281">
        <v>3.9</v>
      </c>
      <c r="S2281">
        <v>2.56</v>
      </c>
      <c r="T2281">
        <v>1.16</v>
      </c>
      <c r="U2281">
        <v>-31.73</v>
      </c>
      <c r="V2281">
        <v>-8104</v>
      </c>
      <c r="W2281">
        <v>3.95</v>
      </c>
      <c r="X2281" t="s">
        <v>6586</v>
      </c>
      <c r="Y2281" t="s">
        <v>1790</v>
      </c>
      <c r="Z2281">
        <v>0.69</v>
      </c>
      <c r="AA2281">
        <v>1110</v>
      </c>
      <c r="AB2281">
        <v>4953</v>
      </c>
      <c r="AC2281">
        <v>0.96</v>
      </c>
      <c r="AD2281" t="s">
        <v>3799</v>
      </c>
      <c r="AE2281" t="s">
        <v>12496</v>
      </c>
      <c r="AF2281" t="s">
        <v>12497</v>
      </c>
      <c r="AG2281" t="s">
        <v>12498</v>
      </c>
      <c r="AH2281">
        <v>-2.7</v>
      </c>
      <c r="AI2281">
        <v>-2.93</v>
      </c>
      <c r="AJ2281">
        <v>5.16</v>
      </c>
      <c r="AK2281">
        <v>8.22</v>
      </c>
      <c r="AL2281">
        <v>1</v>
      </c>
      <c r="AM2281">
        <v>1.79</v>
      </c>
      <c r="AN2281">
        <v>5.31</v>
      </c>
      <c r="AO2281">
        <v>1.53</v>
      </c>
      <c r="AP2281">
        <v>-1</v>
      </c>
    </row>
    <row r="2282" spans="1:42">
      <c r="A2282">
        <v>2281</v>
      </c>
      <c r="B2282" t="str">
        <f>"832786"</f>
        <v>832786</v>
      </c>
      <c r="C2282" t="s">
        <v>12499</v>
      </c>
      <c r="D2282">
        <v>6.35</v>
      </c>
      <c r="E2282">
        <v>2.58</v>
      </c>
      <c r="F2282">
        <v>0.16</v>
      </c>
      <c r="G2282" t="s">
        <v>1261</v>
      </c>
      <c r="H2282">
        <v>1204</v>
      </c>
      <c r="I2282">
        <v>6.35</v>
      </c>
      <c r="J2282">
        <v>6.36</v>
      </c>
      <c r="K2282" t="s">
        <v>12500</v>
      </c>
      <c r="L2282">
        <v>15.51</v>
      </c>
      <c r="M2282" t="s">
        <v>46</v>
      </c>
      <c r="N2282" t="s">
        <v>1751</v>
      </c>
      <c r="O2282">
        <v>6.87</v>
      </c>
      <c r="P2282">
        <v>6.2</v>
      </c>
      <c r="Q2282">
        <v>6.21</v>
      </c>
      <c r="R2282">
        <v>6.19</v>
      </c>
      <c r="S2282">
        <v>10.82</v>
      </c>
      <c r="T2282">
        <v>0.68</v>
      </c>
      <c r="U2282">
        <v>-32.66</v>
      </c>
      <c r="V2282">
        <v>-224</v>
      </c>
      <c r="W2282">
        <v>6.53</v>
      </c>
      <c r="X2282" t="s">
        <v>5010</v>
      </c>
      <c r="Y2282" t="s">
        <v>523</v>
      </c>
      <c r="Z2282">
        <v>1.08</v>
      </c>
      <c r="AA2282">
        <v>73</v>
      </c>
      <c r="AB2282">
        <v>61</v>
      </c>
      <c r="AC2282">
        <v>1.68</v>
      </c>
      <c r="AD2282" t="s">
        <v>12501</v>
      </c>
      <c r="AE2282" t="s">
        <v>12502</v>
      </c>
      <c r="AF2282" t="s">
        <v>12503</v>
      </c>
      <c r="AG2282" t="s">
        <v>12504</v>
      </c>
      <c r="AH2282">
        <v>-3.5</v>
      </c>
      <c r="AI2282">
        <v>25.25</v>
      </c>
      <c r="AJ2282">
        <v>47.79</v>
      </c>
      <c r="AK2282">
        <v>128.87</v>
      </c>
      <c r="AL2282">
        <v>2</v>
      </c>
      <c r="AM2282">
        <v>2.58</v>
      </c>
      <c r="AN2282">
        <v>32.57</v>
      </c>
      <c r="AO2282">
        <v>50.47</v>
      </c>
      <c r="AP2282">
        <v>32.57</v>
      </c>
    </row>
    <row r="2283" spans="1:42">
      <c r="A2283">
        <v>2282</v>
      </c>
      <c r="B2283" t="str">
        <f>"000708"</f>
        <v>000708</v>
      </c>
      <c r="C2283" t="s">
        <v>12505</v>
      </c>
      <c r="D2283">
        <v>14.11</v>
      </c>
      <c r="E2283">
        <v>-1.05</v>
      </c>
      <c r="F2283">
        <v>-0.15</v>
      </c>
      <c r="G2283" t="s">
        <v>5192</v>
      </c>
      <c r="H2283">
        <v>263</v>
      </c>
      <c r="I2283">
        <v>14.11</v>
      </c>
      <c r="J2283">
        <v>14.12</v>
      </c>
      <c r="K2283" t="s">
        <v>12506</v>
      </c>
      <c r="L2283">
        <v>0.11</v>
      </c>
      <c r="M2283" t="s">
        <v>46</v>
      </c>
      <c r="N2283" t="s">
        <v>12507</v>
      </c>
      <c r="O2283">
        <v>14.3</v>
      </c>
      <c r="P2283">
        <v>14.06</v>
      </c>
      <c r="Q2283">
        <v>14.26</v>
      </c>
      <c r="R2283">
        <v>14.26</v>
      </c>
      <c r="S2283">
        <v>1.68</v>
      </c>
      <c r="T2283">
        <v>1.1</v>
      </c>
      <c r="U2283">
        <v>75.79</v>
      </c>
      <c r="V2283">
        <v>1296</v>
      </c>
      <c r="W2283">
        <v>14.13</v>
      </c>
      <c r="X2283" t="s">
        <v>4610</v>
      </c>
      <c r="Y2283" t="s">
        <v>6768</v>
      </c>
      <c r="Z2283">
        <v>1</v>
      </c>
      <c r="AA2283">
        <v>35</v>
      </c>
      <c r="AB2283">
        <v>22</v>
      </c>
      <c r="AC2283">
        <v>1.94</v>
      </c>
      <c r="AD2283" t="s">
        <v>12508</v>
      </c>
      <c r="AE2283" t="s">
        <v>12509</v>
      </c>
      <c r="AF2283" t="s">
        <v>12508</v>
      </c>
      <c r="AG2283" t="s">
        <v>12509</v>
      </c>
      <c r="AH2283">
        <v>-1.81</v>
      </c>
      <c r="AI2283">
        <v>-0.35</v>
      </c>
      <c r="AJ2283">
        <v>0.25</v>
      </c>
      <c r="AK2283">
        <v>0.63</v>
      </c>
      <c r="AL2283">
        <v>-5</v>
      </c>
      <c r="AM2283">
        <v>-1.05</v>
      </c>
      <c r="AN2283">
        <v>-14.28</v>
      </c>
      <c r="AO2283">
        <v>-2.29</v>
      </c>
      <c r="AP2283">
        <v>-14.17</v>
      </c>
    </row>
    <row r="2284" spans="1:42">
      <c r="A2284">
        <v>2283</v>
      </c>
      <c r="B2284" t="str">
        <f>"300587"</f>
        <v>300587</v>
      </c>
      <c r="C2284" t="s">
        <v>12510</v>
      </c>
      <c r="D2284">
        <v>6.08</v>
      </c>
      <c r="E2284">
        <v>0.83</v>
      </c>
      <c r="F2284">
        <v>0.05</v>
      </c>
      <c r="G2284" t="s">
        <v>1759</v>
      </c>
      <c r="H2284">
        <v>2921</v>
      </c>
      <c r="I2284">
        <v>6.07</v>
      </c>
      <c r="J2284">
        <v>6.08</v>
      </c>
      <c r="K2284" t="s">
        <v>12511</v>
      </c>
      <c r="L2284">
        <v>1.41</v>
      </c>
      <c r="M2284" t="s">
        <v>46</v>
      </c>
      <c r="N2284" t="s">
        <v>3125</v>
      </c>
      <c r="O2284">
        <v>6.13</v>
      </c>
      <c r="P2284">
        <v>5.96</v>
      </c>
      <c r="Q2284">
        <v>6.02</v>
      </c>
      <c r="R2284">
        <v>6.03</v>
      </c>
      <c r="S2284">
        <v>2.82</v>
      </c>
      <c r="T2284">
        <v>0.59</v>
      </c>
      <c r="U2284">
        <v>16.59</v>
      </c>
      <c r="V2284">
        <v>2038</v>
      </c>
      <c r="W2284">
        <v>6.05</v>
      </c>
      <c r="X2284" t="s">
        <v>6993</v>
      </c>
      <c r="Y2284" t="s">
        <v>1762</v>
      </c>
      <c r="Z2284">
        <v>1.01</v>
      </c>
      <c r="AA2284">
        <v>643</v>
      </c>
      <c r="AB2284">
        <v>233</v>
      </c>
      <c r="AC2284">
        <v>2.26</v>
      </c>
      <c r="AD2284" t="s">
        <v>12512</v>
      </c>
      <c r="AE2284" t="s">
        <v>12513</v>
      </c>
      <c r="AF2284" t="s">
        <v>12514</v>
      </c>
      <c r="AG2284" t="s">
        <v>8583</v>
      </c>
      <c r="AH2284">
        <v>-3.34</v>
      </c>
      <c r="AI2284">
        <v>-5.74</v>
      </c>
      <c r="AJ2284">
        <v>5.09</v>
      </c>
      <c r="AK2284">
        <v>13.36</v>
      </c>
      <c r="AL2284">
        <v>1</v>
      </c>
      <c r="AM2284">
        <v>0.83</v>
      </c>
      <c r="AN2284">
        <v>-47.08</v>
      </c>
      <c r="AO2284">
        <v>8.19</v>
      </c>
      <c r="AP2284">
        <v>-49.96</v>
      </c>
    </row>
    <row r="2285" spans="1:42">
      <c r="A2285">
        <v>2284</v>
      </c>
      <c r="B2285" t="str">
        <f>"600717"</f>
        <v>600717</v>
      </c>
      <c r="C2285" t="s">
        <v>12515</v>
      </c>
      <c r="D2285">
        <v>4.27</v>
      </c>
      <c r="E2285">
        <v>0.71</v>
      </c>
      <c r="F2285">
        <v>0.03</v>
      </c>
      <c r="G2285" t="s">
        <v>3434</v>
      </c>
      <c r="H2285">
        <v>1657</v>
      </c>
      <c r="I2285">
        <v>4.27</v>
      </c>
      <c r="J2285">
        <v>4.28</v>
      </c>
      <c r="K2285" t="s">
        <v>12516</v>
      </c>
      <c r="L2285">
        <v>0.65</v>
      </c>
      <c r="M2285" t="s">
        <v>46</v>
      </c>
      <c r="N2285" t="s">
        <v>12517</v>
      </c>
      <c r="O2285">
        <v>4.3</v>
      </c>
      <c r="P2285">
        <v>4.23</v>
      </c>
      <c r="Q2285">
        <v>4.24</v>
      </c>
      <c r="R2285">
        <v>4.24</v>
      </c>
      <c r="S2285">
        <v>1.65</v>
      </c>
      <c r="T2285">
        <v>1.79</v>
      </c>
      <c r="U2285">
        <v>-22.21</v>
      </c>
      <c r="V2285" t="s">
        <v>12518</v>
      </c>
      <c r="W2285">
        <v>4.27</v>
      </c>
      <c r="X2285" t="s">
        <v>4517</v>
      </c>
      <c r="Y2285" t="s">
        <v>3971</v>
      </c>
      <c r="Z2285">
        <v>0.48</v>
      </c>
      <c r="AA2285">
        <v>1721</v>
      </c>
      <c r="AB2285">
        <v>1251</v>
      </c>
      <c r="AC2285">
        <v>0.66</v>
      </c>
      <c r="AD2285" t="s">
        <v>5881</v>
      </c>
      <c r="AE2285" t="s">
        <v>9498</v>
      </c>
      <c r="AF2285" t="s">
        <v>5881</v>
      </c>
      <c r="AG2285" t="s">
        <v>9498</v>
      </c>
      <c r="AH2285">
        <v>0.23</v>
      </c>
      <c r="AI2285">
        <v>0</v>
      </c>
      <c r="AJ2285">
        <v>1.52</v>
      </c>
      <c r="AK2285">
        <v>2.48</v>
      </c>
      <c r="AL2285">
        <v>1</v>
      </c>
      <c r="AM2285">
        <v>0.71</v>
      </c>
      <c r="AN2285">
        <v>6.22</v>
      </c>
      <c r="AO2285">
        <v>0.95</v>
      </c>
      <c r="AP2285">
        <v>4.91</v>
      </c>
    </row>
    <row r="2286" spans="1:42">
      <c r="A2286">
        <v>2285</v>
      </c>
      <c r="B2286" t="str">
        <f>"301338"</f>
        <v>301338</v>
      </c>
      <c r="C2286" t="s">
        <v>12519</v>
      </c>
      <c r="D2286">
        <v>43.17</v>
      </c>
      <c r="E2286">
        <v>-0.53</v>
      </c>
      <c r="F2286">
        <v>-0.23</v>
      </c>
      <c r="G2286" t="s">
        <v>5578</v>
      </c>
      <c r="H2286">
        <v>156</v>
      </c>
      <c r="I2286">
        <v>43.16</v>
      </c>
      <c r="J2286">
        <v>43.17</v>
      </c>
      <c r="K2286" t="s">
        <v>8771</v>
      </c>
      <c r="L2286">
        <v>5.49</v>
      </c>
      <c r="M2286" t="s">
        <v>46</v>
      </c>
      <c r="N2286" t="s">
        <v>6508</v>
      </c>
      <c r="O2286">
        <v>43.45</v>
      </c>
      <c r="P2286">
        <v>42.33</v>
      </c>
      <c r="Q2286">
        <v>43.34</v>
      </c>
      <c r="R2286">
        <v>43.4</v>
      </c>
      <c r="S2286">
        <v>2.58</v>
      </c>
      <c r="T2286">
        <v>0.59</v>
      </c>
      <c r="U2286">
        <v>-33.94</v>
      </c>
      <c r="V2286">
        <v>-75</v>
      </c>
      <c r="W2286">
        <v>42.83</v>
      </c>
      <c r="X2286">
        <v>9695</v>
      </c>
      <c r="Y2286">
        <v>9143</v>
      </c>
      <c r="Z2286">
        <v>1.06</v>
      </c>
      <c r="AA2286">
        <v>33</v>
      </c>
      <c r="AB2286">
        <v>96</v>
      </c>
      <c r="AC2286">
        <v>3.28</v>
      </c>
      <c r="AD2286" t="s">
        <v>12520</v>
      </c>
      <c r="AE2286" t="s">
        <v>12521</v>
      </c>
      <c r="AF2286" t="s">
        <v>12522</v>
      </c>
      <c r="AG2286" t="s">
        <v>623</v>
      </c>
      <c r="AH2286">
        <v>-1.55</v>
      </c>
      <c r="AI2286">
        <v>-2.79</v>
      </c>
      <c r="AJ2286">
        <v>25.07</v>
      </c>
      <c r="AK2286">
        <v>52.16</v>
      </c>
      <c r="AL2286">
        <v>-2</v>
      </c>
      <c r="AM2286">
        <v>-0.53</v>
      </c>
      <c r="AN2286">
        <v>19.78</v>
      </c>
      <c r="AO2286">
        <v>0.16</v>
      </c>
      <c r="AP2286">
        <v>0.72</v>
      </c>
    </row>
    <row r="2287" spans="1:42">
      <c r="A2287">
        <v>2286</v>
      </c>
      <c r="B2287" t="str">
        <f>"688593"</f>
        <v>688593</v>
      </c>
      <c r="C2287" t="s">
        <v>12523</v>
      </c>
      <c r="D2287">
        <v>15.14</v>
      </c>
      <c r="E2287">
        <v>0.6</v>
      </c>
      <c r="F2287">
        <v>0.09</v>
      </c>
      <c r="G2287" t="s">
        <v>6890</v>
      </c>
      <c r="H2287">
        <v>107</v>
      </c>
      <c r="I2287">
        <v>15.14</v>
      </c>
      <c r="J2287">
        <v>15.16</v>
      </c>
      <c r="K2287" t="s">
        <v>12524</v>
      </c>
      <c r="L2287">
        <v>7.27</v>
      </c>
      <c r="M2287" t="s">
        <v>46</v>
      </c>
      <c r="N2287" t="s">
        <v>7884</v>
      </c>
      <c r="O2287">
        <v>15.26</v>
      </c>
      <c r="P2287">
        <v>14.63</v>
      </c>
      <c r="Q2287">
        <v>14.86</v>
      </c>
      <c r="R2287">
        <v>15.05</v>
      </c>
      <c r="S2287">
        <v>4.19</v>
      </c>
      <c r="T2287">
        <v>2.44</v>
      </c>
      <c r="U2287">
        <v>-31.81</v>
      </c>
      <c r="V2287">
        <v>-66</v>
      </c>
      <c r="W2287">
        <v>14.91</v>
      </c>
      <c r="X2287" t="s">
        <v>3033</v>
      </c>
      <c r="Y2287" t="s">
        <v>2818</v>
      </c>
      <c r="Z2287">
        <v>1.29</v>
      </c>
      <c r="AA2287">
        <v>3</v>
      </c>
      <c r="AB2287">
        <v>11</v>
      </c>
      <c r="AC2287">
        <v>4.35</v>
      </c>
      <c r="AD2287" t="s">
        <v>12525</v>
      </c>
      <c r="AE2287" t="s">
        <v>12526</v>
      </c>
      <c r="AF2287" t="s">
        <v>12527</v>
      </c>
      <c r="AG2287" t="s">
        <v>6479</v>
      </c>
      <c r="AH2287">
        <v>-2.32</v>
      </c>
      <c r="AI2287">
        <v>-3.99</v>
      </c>
      <c r="AJ2287">
        <v>14.68</v>
      </c>
      <c r="AK2287">
        <v>22.2</v>
      </c>
      <c r="AL2287">
        <v>1</v>
      </c>
      <c r="AM2287">
        <v>0.6</v>
      </c>
      <c r="AN2287">
        <v>35.42</v>
      </c>
      <c r="AO2287">
        <v>-0.26</v>
      </c>
      <c r="AP2287">
        <v>35.42</v>
      </c>
    </row>
    <row r="2288" spans="1:42">
      <c r="A2288">
        <v>2287</v>
      </c>
      <c r="B2288" t="str">
        <f>"601020"</f>
        <v>601020</v>
      </c>
      <c r="C2288" t="s">
        <v>12528</v>
      </c>
      <c r="D2288">
        <v>8.99</v>
      </c>
      <c r="E2288">
        <v>0.33</v>
      </c>
      <c r="F2288">
        <v>0.03</v>
      </c>
      <c r="G2288" t="s">
        <v>4683</v>
      </c>
      <c r="H2288">
        <v>475</v>
      </c>
      <c r="I2288">
        <v>8.98</v>
      </c>
      <c r="J2288">
        <v>8.99</v>
      </c>
      <c r="K2288" t="s">
        <v>12529</v>
      </c>
      <c r="L2288">
        <v>1.14</v>
      </c>
      <c r="M2288" t="s">
        <v>46</v>
      </c>
      <c r="N2288" t="s">
        <v>1941</v>
      </c>
      <c r="O2288">
        <v>9.03</v>
      </c>
      <c r="P2288">
        <v>8.89</v>
      </c>
      <c r="Q2288">
        <v>8.94</v>
      </c>
      <c r="R2288">
        <v>8.96</v>
      </c>
      <c r="S2288">
        <v>1.56</v>
      </c>
      <c r="T2288">
        <v>0.69</v>
      </c>
      <c r="U2288">
        <v>-71.43</v>
      </c>
      <c r="V2288">
        <v>-5312</v>
      </c>
      <c r="W2288">
        <v>8.96</v>
      </c>
      <c r="X2288" t="s">
        <v>3779</v>
      </c>
      <c r="Y2288" t="s">
        <v>5963</v>
      </c>
      <c r="Z2288">
        <v>1</v>
      </c>
      <c r="AA2288">
        <v>517</v>
      </c>
      <c r="AB2288">
        <v>1060</v>
      </c>
      <c r="AC2288">
        <v>2.37</v>
      </c>
      <c r="AD2288" t="s">
        <v>3064</v>
      </c>
      <c r="AE2288" t="s">
        <v>12530</v>
      </c>
      <c r="AF2288" t="s">
        <v>3064</v>
      </c>
      <c r="AG2288" t="s">
        <v>12530</v>
      </c>
      <c r="AH2288">
        <v>-0.99</v>
      </c>
      <c r="AI2288">
        <v>-1.96</v>
      </c>
      <c r="AJ2288">
        <v>4.15</v>
      </c>
      <c r="AK2288">
        <v>9.42</v>
      </c>
      <c r="AL2288">
        <v>1</v>
      </c>
      <c r="AM2288">
        <v>0.33</v>
      </c>
      <c r="AN2288">
        <v>9.5</v>
      </c>
      <c r="AO2288">
        <v>9.77</v>
      </c>
      <c r="AP2288">
        <v>2.28</v>
      </c>
    </row>
    <row r="2289" spans="1:42">
      <c r="A2289">
        <v>2288</v>
      </c>
      <c r="B2289" t="str">
        <f>"002483"</f>
        <v>002483</v>
      </c>
      <c r="C2289" t="s">
        <v>12531</v>
      </c>
      <c r="D2289">
        <v>5.36</v>
      </c>
      <c r="E2289">
        <v>0.19</v>
      </c>
      <c r="F2289">
        <v>0.01</v>
      </c>
      <c r="G2289" t="s">
        <v>1377</v>
      </c>
      <c r="H2289">
        <v>345</v>
      </c>
      <c r="I2289">
        <v>5.36</v>
      </c>
      <c r="J2289">
        <v>5.37</v>
      </c>
      <c r="K2289" t="s">
        <v>12532</v>
      </c>
      <c r="L2289">
        <v>1.71</v>
      </c>
      <c r="M2289" t="s">
        <v>46</v>
      </c>
      <c r="N2289" t="s">
        <v>3117</v>
      </c>
      <c r="O2289">
        <v>5.37</v>
      </c>
      <c r="P2289">
        <v>5.26</v>
      </c>
      <c r="Q2289">
        <v>5.34</v>
      </c>
      <c r="R2289">
        <v>5.35</v>
      </c>
      <c r="S2289">
        <v>2.06</v>
      </c>
      <c r="T2289">
        <v>1.3</v>
      </c>
      <c r="U2289">
        <v>27.17</v>
      </c>
      <c r="V2289">
        <v>4460</v>
      </c>
      <c r="W2289">
        <v>5.32</v>
      </c>
      <c r="X2289" t="s">
        <v>4320</v>
      </c>
      <c r="Y2289" t="s">
        <v>9644</v>
      </c>
      <c r="Z2289">
        <v>0.94</v>
      </c>
      <c r="AA2289">
        <v>1946</v>
      </c>
      <c r="AB2289">
        <v>1763</v>
      </c>
      <c r="AC2289">
        <v>1.15</v>
      </c>
      <c r="AD2289" t="s">
        <v>12533</v>
      </c>
      <c r="AE2289" t="s">
        <v>12534</v>
      </c>
      <c r="AF2289" t="s">
        <v>12535</v>
      </c>
      <c r="AG2289" t="s">
        <v>9555</v>
      </c>
      <c r="AH2289">
        <v>-0.92</v>
      </c>
      <c r="AI2289">
        <v>-0.92</v>
      </c>
      <c r="AJ2289">
        <v>4</v>
      </c>
      <c r="AK2289">
        <v>8.27</v>
      </c>
      <c r="AL2289">
        <v>1</v>
      </c>
      <c r="AM2289">
        <v>0.19</v>
      </c>
      <c r="AN2289">
        <v>7.63</v>
      </c>
      <c r="AO2289">
        <v>-1.83</v>
      </c>
      <c r="AP2289">
        <v>-2.72</v>
      </c>
    </row>
    <row r="2290" spans="1:42">
      <c r="A2290">
        <v>2289</v>
      </c>
      <c r="B2290" t="str">
        <f>"603119"</f>
        <v>603119</v>
      </c>
      <c r="C2290" t="s">
        <v>12536</v>
      </c>
      <c r="D2290">
        <v>26.27</v>
      </c>
      <c r="E2290">
        <v>-1.98</v>
      </c>
      <c r="F2290">
        <v>-0.53</v>
      </c>
      <c r="G2290" t="s">
        <v>401</v>
      </c>
      <c r="H2290">
        <v>539</v>
      </c>
      <c r="I2290">
        <v>26.26</v>
      </c>
      <c r="J2290">
        <v>26.27</v>
      </c>
      <c r="K2290" t="s">
        <v>12537</v>
      </c>
      <c r="L2290">
        <v>4.46</v>
      </c>
      <c r="M2290" t="s">
        <v>46</v>
      </c>
      <c r="N2290" t="s">
        <v>10363</v>
      </c>
      <c r="O2290">
        <v>26.77</v>
      </c>
      <c r="P2290">
        <v>25.99</v>
      </c>
      <c r="Q2290">
        <v>26.77</v>
      </c>
      <c r="R2290">
        <v>26.8</v>
      </c>
      <c r="S2290">
        <v>2.91</v>
      </c>
      <c r="T2290">
        <v>0.83</v>
      </c>
      <c r="U2290">
        <v>-83.1</v>
      </c>
      <c r="V2290">
        <v>-836</v>
      </c>
      <c r="W2290">
        <v>26.26</v>
      </c>
      <c r="X2290" t="s">
        <v>6656</v>
      </c>
      <c r="Y2290" t="s">
        <v>383</v>
      </c>
      <c r="Z2290">
        <v>1.31</v>
      </c>
      <c r="AA2290">
        <v>33</v>
      </c>
      <c r="AB2290">
        <v>355</v>
      </c>
      <c r="AC2290">
        <v>4.58</v>
      </c>
      <c r="AD2290" t="s">
        <v>12538</v>
      </c>
      <c r="AE2290" t="s">
        <v>12539</v>
      </c>
      <c r="AF2290" t="s">
        <v>12540</v>
      </c>
      <c r="AG2290" t="s">
        <v>5252</v>
      </c>
      <c r="AH2290">
        <v>-2.88</v>
      </c>
      <c r="AI2290">
        <v>-3.31</v>
      </c>
      <c r="AJ2290">
        <v>16.67</v>
      </c>
      <c r="AK2290">
        <v>31.43</v>
      </c>
      <c r="AL2290">
        <v>-3</v>
      </c>
      <c r="AM2290">
        <v>-1.98</v>
      </c>
      <c r="AN2290">
        <v>72.04</v>
      </c>
      <c r="AO2290">
        <v>5.54</v>
      </c>
      <c r="AP2290">
        <v>72.04</v>
      </c>
    </row>
    <row r="2291" spans="1:42">
      <c r="A2291">
        <v>2290</v>
      </c>
      <c r="B2291" t="str">
        <f>"600354"</f>
        <v>600354</v>
      </c>
      <c r="C2291" t="s">
        <v>12541</v>
      </c>
      <c r="D2291">
        <v>6.41</v>
      </c>
      <c r="E2291">
        <v>0.16</v>
      </c>
      <c r="F2291">
        <v>0.01</v>
      </c>
      <c r="G2291" t="s">
        <v>1986</v>
      </c>
      <c r="H2291">
        <v>1476</v>
      </c>
      <c r="I2291">
        <v>6.41</v>
      </c>
      <c r="J2291">
        <v>6.42</v>
      </c>
      <c r="K2291" t="s">
        <v>12537</v>
      </c>
      <c r="L2291">
        <v>2.37</v>
      </c>
      <c r="M2291" t="s">
        <v>46</v>
      </c>
      <c r="N2291" t="s">
        <v>5889</v>
      </c>
      <c r="O2291">
        <v>6.49</v>
      </c>
      <c r="P2291">
        <v>6.37</v>
      </c>
      <c r="Q2291">
        <v>6.4</v>
      </c>
      <c r="R2291">
        <v>6.4</v>
      </c>
      <c r="S2291">
        <v>1.87</v>
      </c>
      <c r="T2291">
        <v>0.64</v>
      </c>
      <c r="U2291">
        <v>-14.82</v>
      </c>
      <c r="V2291">
        <v>-1616</v>
      </c>
      <c r="W2291">
        <v>6.44</v>
      </c>
      <c r="X2291" t="s">
        <v>6993</v>
      </c>
      <c r="Y2291" t="s">
        <v>1919</v>
      </c>
      <c r="Z2291">
        <v>1.16</v>
      </c>
      <c r="AA2291">
        <v>112</v>
      </c>
      <c r="AB2291">
        <v>829</v>
      </c>
      <c r="AC2291">
        <v>5.4</v>
      </c>
      <c r="AD2291" t="s">
        <v>12542</v>
      </c>
      <c r="AE2291" t="s">
        <v>12543</v>
      </c>
      <c r="AF2291" t="s">
        <v>12542</v>
      </c>
      <c r="AG2291" t="s">
        <v>12543</v>
      </c>
      <c r="AH2291">
        <v>-1.23</v>
      </c>
      <c r="AI2291">
        <v>4.06</v>
      </c>
      <c r="AJ2291">
        <v>10.29</v>
      </c>
      <c r="AK2291">
        <v>20.87</v>
      </c>
      <c r="AL2291">
        <v>1</v>
      </c>
      <c r="AM2291">
        <v>0.16</v>
      </c>
      <c r="AN2291">
        <v>-18.34</v>
      </c>
      <c r="AO2291">
        <v>6.66</v>
      </c>
      <c r="AP2291">
        <v>4.06</v>
      </c>
    </row>
    <row r="2292" spans="1:42">
      <c r="A2292">
        <v>2291</v>
      </c>
      <c r="B2292" t="str">
        <f>"600101"</f>
        <v>600101</v>
      </c>
      <c r="C2292" t="s">
        <v>12544</v>
      </c>
      <c r="D2292">
        <v>8.56</v>
      </c>
      <c r="E2292">
        <v>1.54</v>
      </c>
      <c r="F2292">
        <v>0.13</v>
      </c>
      <c r="G2292" t="s">
        <v>8145</v>
      </c>
      <c r="H2292">
        <v>471</v>
      </c>
      <c r="I2292">
        <v>8.56</v>
      </c>
      <c r="J2292">
        <v>8.57</v>
      </c>
      <c r="K2292" t="s">
        <v>12545</v>
      </c>
      <c r="L2292">
        <v>2.23</v>
      </c>
      <c r="M2292" t="s">
        <v>46</v>
      </c>
      <c r="N2292" t="s">
        <v>322</v>
      </c>
      <c r="O2292">
        <v>8.62</v>
      </c>
      <c r="P2292">
        <v>8.38</v>
      </c>
      <c r="Q2292">
        <v>8.43</v>
      </c>
      <c r="R2292">
        <v>8.43</v>
      </c>
      <c r="S2292">
        <v>2.85</v>
      </c>
      <c r="T2292">
        <v>1.05</v>
      </c>
      <c r="U2292">
        <v>-34.12</v>
      </c>
      <c r="V2292">
        <v>-3128</v>
      </c>
      <c r="W2292">
        <v>8.55</v>
      </c>
      <c r="X2292" t="s">
        <v>5877</v>
      </c>
      <c r="Y2292" t="s">
        <v>2386</v>
      </c>
      <c r="Z2292">
        <v>0.81</v>
      </c>
      <c r="AA2292">
        <v>1773</v>
      </c>
      <c r="AB2292">
        <v>1820</v>
      </c>
      <c r="AC2292">
        <v>1.28</v>
      </c>
      <c r="AD2292" t="s">
        <v>12546</v>
      </c>
      <c r="AE2292" t="s">
        <v>12547</v>
      </c>
      <c r="AF2292" t="s">
        <v>12546</v>
      </c>
      <c r="AG2292" t="s">
        <v>12547</v>
      </c>
      <c r="AH2292">
        <v>-1.15</v>
      </c>
      <c r="AI2292">
        <v>3.13</v>
      </c>
      <c r="AJ2292">
        <v>7.32</v>
      </c>
      <c r="AK2292">
        <v>12.89</v>
      </c>
      <c r="AL2292">
        <v>2</v>
      </c>
      <c r="AM2292">
        <v>1.54</v>
      </c>
      <c r="AN2292">
        <v>1.66</v>
      </c>
      <c r="AO2292">
        <v>4.26</v>
      </c>
      <c r="AP2292">
        <v>-5.52</v>
      </c>
    </row>
    <row r="2293" spans="1:42">
      <c r="A2293">
        <v>2292</v>
      </c>
      <c r="B2293" t="str">
        <f>"835670"</f>
        <v>835670</v>
      </c>
      <c r="C2293" t="s">
        <v>12548</v>
      </c>
      <c r="D2293">
        <v>15</v>
      </c>
      <c r="E2293">
        <v>-1.06</v>
      </c>
      <c r="F2293">
        <v>-0.16</v>
      </c>
      <c r="G2293" t="s">
        <v>1988</v>
      </c>
      <c r="H2293">
        <v>447</v>
      </c>
      <c r="I2293">
        <v>15</v>
      </c>
      <c r="J2293">
        <v>15.02</v>
      </c>
      <c r="K2293" t="s">
        <v>12549</v>
      </c>
      <c r="L2293">
        <v>7.91</v>
      </c>
      <c r="M2293" t="s">
        <v>46</v>
      </c>
      <c r="N2293" t="s">
        <v>12550</v>
      </c>
      <c r="O2293">
        <v>15.94</v>
      </c>
      <c r="P2293">
        <v>14.7</v>
      </c>
      <c r="Q2293">
        <v>15.6</v>
      </c>
      <c r="R2293">
        <v>15.16</v>
      </c>
      <c r="S2293">
        <v>8.18</v>
      </c>
      <c r="T2293">
        <v>0.53</v>
      </c>
      <c r="U2293">
        <v>76.32</v>
      </c>
      <c r="V2293">
        <v>583</v>
      </c>
      <c r="W2293">
        <v>15.28</v>
      </c>
      <c r="X2293" t="s">
        <v>1080</v>
      </c>
      <c r="Y2293" t="s">
        <v>5710</v>
      </c>
      <c r="Z2293">
        <v>1.26</v>
      </c>
      <c r="AA2293">
        <v>256</v>
      </c>
      <c r="AB2293">
        <v>13</v>
      </c>
      <c r="AC2293">
        <v>6.29</v>
      </c>
      <c r="AD2293" t="s">
        <v>12551</v>
      </c>
      <c r="AE2293" t="s">
        <v>12552</v>
      </c>
      <c r="AF2293" t="s">
        <v>12553</v>
      </c>
      <c r="AG2293" t="s">
        <v>12554</v>
      </c>
      <c r="AH2293">
        <v>-8.54</v>
      </c>
      <c r="AI2293">
        <v>-0.4</v>
      </c>
      <c r="AJ2293">
        <v>27.02</v>
      </c>
      <c r="AK2293">
        <v>82.15</v>
      </c>
      <c r="AL2293">
        <v>-1</v>
      </c>
      <c r="AM2293">
        <v>-1.06</v>
      </c>
      <c r="AN2293">
        <v>83.37</v>
      </c>
      <c r="AO2293">
        <v>44.23</v>
      </c>
      <c r="AP2293">
        <v>63.04</v>
      </c>
    </row>
    <row r="2294" spans="1:42">
      <c r="A2294">
        <v>2293</v>
      </c>
      <c r="B2294" t="str">
        <f>"002959"</f>
        <v>002959</v>
      </c>
      <c r="C2294" t="s">
        <v>12555</v>
      </c>
      <c r="D2294">
        <v>52.05</v>
      </c>
      <c r="E2294">
        <v>-2.42</v>
      </c>
      <c r="F2294">
        <v>-1.29</v>
      </c>
      <c r="G2294" t="s">
        <v>578</v>
      </c>
      <c r="H2294">
        <v>290</v>
      </c>
      <c r="I2294">
        <v>52.04</v>
      </c>
      <c r="J2294">
        <v>52.05</v>
      </c>
      <c r="K2294" t="s">
        <v>12549</v>
      </c>
      <c r="L2294">
        <v>0.98</v>
      </c>
      <c r="M2294" t="s">
        <v>46</v>
      </c>
      <c r="N2294" t="s">
        <v>4564</v>
      </c>
      <c r="O2294">
        <v>53.51</v>
      </c>
      <c r="P2294">
        <v>52.05</v>
      </c>
      <c r="Q2294">
        <v>53.5</v>
      </c>
      <c r="R2294">
        <v>53.34</v>
      </c>
      <c r="S2294">
        <v>2.74</v>
      </c>
      <c r="T2294">
        <v>1.25</v>
      </c>
      <c r="U2294">
        <v>41.53</v>
      </c>
      <c r="V2294">
        <v>196</v>
      </c>
      <c r="W2294">
        <v>52.38</v>
      </c>
      <c r="X2294">
        <v>9830</v>
      </c>
      <c r="Y2294">
        <v>5487</v>
      </c>
      <c r="Z2294">
        <v>1.79</v>
      </c>
      <c r="AA2294">
        <v>45</v>
      </c>
      <c r="AB2294">
        <v>28</v>
      </c>
      <c r="AC2294">
        <v>3.23</v>
      </c>
      <c r="AD2294" t="s">
        <v>10891</v>
      </c>
      <c r="AE2294" t="s">
        <v>12556</v>
      </c>
      <c r="AF2294" t="s">
        <v>9367</v>
      </c>
      <c r="AG2294" t="s">
        <v>12557</v>
      </c>
      <c r="AH2294">
        <v>-5.16</v>
      </c>
      <c r="AI2294">
        <v>-7.91</v>
      </c>
      <c r="AJ2294">
        <v>2.11</v>
      </c>
      <c r="AK2294">
        <v>4.9</v>
      </c>
      <c r="AL2294">
        <v>-3</v>
      </c>
      <c r="AM2294">
        <v>-2.42</v>
      </c>
      <c r="AN2294">
        <v>-12.55</v>
      </c>
      <c r="AO2294">
        <v>-5.79</v>
      </c>
      <c r="AP2294">
        <v>-15.5</v>
      </c>
    </row>
    <row r="2295" spans="1:42">
      <c r="A2295">
        <v>2294</v>
      </c>
      <c r="B2295" t="str">
        <f>"300532"</f>
        <v>300532</v>
      </c>
      <c r="C2295" t="s">
        <v>12558</v>
      </c>
      <c r="D2295">
        <v>16.45</v>
      </c>
      <c r="E2295">
        <v>1.61</v>
      </c>
      <c r="F2295">
        <v>0.26</v>
      </c>
      <c r="G2295" t="s">
        <v>6045</v>
      </c>
      <c r="H2295">
        <v>326</v>
      </c>
      <c r="I2295">
        <v>16.44</v>
      </c>
      <c r="J2295">
        <v>16.45</v>
      </c>
      <c r="K2295" t="s">
        <v>12559</v>
      </c>
      <c r="L2295">
        <v>2.64</v>
      </c>
      <c r="M2295" t="s">
        <v>46</v>
      </c>
      <c r="N2295" t="s">
        <v>6741</v>
      </c>
      <c r="O2295">
        <v>16.53</v>
      </c>
      <c r="P2295">
        <v>16.01</v>
      </c>
      <c r="Q2295">
        <v>16.19</v>
      </c>
      <c r="R2295">
        <v>16.19</v>
      </c>
      <c r="S2295">
        <v>3.21</v>
      </c>
      <c r="T2295">
        <v>1.02</v>
      </c>
      <c r="U2295">
        <v>-27.28</v>
      </c>
      <c r="V2295">
        <v>-187</v>
      </c>
      <c r="W2295">
        <v>16.28</v>
      </c>
      <c r="X2295" t="s">
        <v>377</v>
      </c>
      <c r="Y2295" t="s">
        <v>5420</v>
      </c>
      <c r="Z2295">
        <v>0.8</v>
      </c>
      <c r="AA2295">
        <v>62</v>
      </c>
      <c r="AB2295">
        <v>37</v>
      </c>
      <c r="AC2295">
        <v>3.24</v>
      </c>
      <c r="AD2295" t="s">
        <v>12560</v>
      </c>
      <c r="AE2295" t="s">
        <v>12561</v>
      </c>
      <c r="AF2295" t="s">
        <v>12112</v>
      </c>
      <c r="AG2295" t="s">
        <v>8397</v>
      </c>
      <c r="AH2295">
        <v>-0.48</v>
      </c>
      <c r="AI2295">
        <v>-2.2</v>
      </c>
      <c r="AJ2295">
        <v>7.06</v>
      </c>
      <c r="AK2295">
        <v>15.65</v>
      </c>
      <c r="AL2295">
        <v>1</v>
      </c>
      <c r="AM2295">
        <v>1.61</v>
      </c>
      <c r="AN2295">
        <v>18.52</v>
      </c>
      <c r="AO2295">
        <v>0.49</v>
      </c>
      <c r="AP2295">
        <v>-9.96</v>
      </c>
    </row>
    <row r="2296" spans="1:42">
      <c r="A2296">
        <v>2295</v>
      </c>
      <c r="B2296" t="str">
        <f>"603686"</f>
        <v>603686</v>
      </c>
      <c r="C2296" t="s">
        <v>12562</v>
      </c>
      <c r="D2296">
        <v>10.56</v>
      </c>
      <c r="E2296">
        <v>0.86</v>
      </c>
      <c r="F2296">
        <v>0.09</v>
      </c>
      <c r="G2296" t="s">
        <v>6698</v>
      </c>
      <c r="H2296">
        <v>896</v>
      </c>
      <c r="I2296">
        <v>10.55</v>
      </c>
      <c r="J2296">
        <v>10.56</v>
      </c>
      <c r="K2296" t="s">
        <v>8519</v>
      </c>
      <c r="L2296">
        <v>1.83</v>
      </c>
      <c r="M2296" t="s">
        <v>46</v>
      </c>
      <c r="N2296" t="s">
        <v>12563</v>
      </c>
      <c r="O2296">
        <v>10.66</v>
      </c>
      <c r="P2296">
        <v>10.43</v>
      </c>
      <c r="Q2296">
        <v>10.5</v>
      </c>
      <c r="R2296">
        <v>10.47</v>
      </c>
      <c r="S2296">
        <v>2.2</v>
      </c>
      <c r="T2296">
        <v>1.21</v>
      </c>
      <c r="U2296">
        <v>26.69</v>
      </c>
      <c r="V2296">
        <v>571</v>
      </c>
      <c r="W2296">
        <v>10.54</v>
      </c>
      <c r="X2296" t="s">
        <v>5871</v>
      </c>
      <c r="Y2296" t="s">
        <v>1313</v>
      </c>
      <c r="Z2296">
        <v>1.08</v>
      </c>
      <c r="AA2296">
        <v>91</v>
      </c>
      <c r="AB2296">
        <v>114</v>
      </c>
      <c r="AC2296">
        <v>1.34</v>
      </c>
      <c r="AD2296" t="s">
        <v>12564</v>
      </c>
      <c r="AE2296" t="s">
        <v>12565</v>
      </c>
      <c r="AF2296" t="s">
        <v>12564</v>
      </c>
      <c r="AG2296" t="s">
        <v>12565</v>
      </c>
      <c r="AH2296">
        <v>0.09</v>
      </c>
      <c r="AI2296">
        <v>0.19</v>
      </c>
      <c r="AJ2296">
        <v>4.61</v>
      </c>
      <c r="AK2296">
        <v>9.39</v>
      </c>
      <c r="AL2296">
        <v>1</v>
      </c>
      <c r="AM2296">
        <v>0.86</v>
      </c>
      <c r="AN2296">
        <v>26.01</v>
      </c>
      <c r="AO2296">
        <v>5.81</v>
      </c>
      <c r="AP2296">
        <v>18.25</v>
      </c>
    </row>
    <row r="2297" spans="1:42">
      <c r="A2297">
        <v>2296</v>
      </c>
      <c r="B2297" t="str">
        <f>"300850"</f>
        <v>300850</v>
      </c>
      <c r="C2297" t="s">
        <v>12566</v>
      </c>
      <c r="D2297">
        <v>33.15</v>
      </c>
      <c r="E2297">
        <v>0.85</v>
      </c>
      <c r="F2297">
        <v>0.28</v>
      </c>
      <c r="G2297" t="s">
        <v>4037</v>
      </c>
      <c r="H2297">
        <v>371</v>
      </c>
      <c r="I2297">
        <v>33.15</v>
      </c>
      <c r="J2297">
        <v>33.16</v>
      </c>
      <c r="K2297" t="s">
        <v>12567</v>
      </c>
      <c r="L2297">
        <v>1.04</v>
      </c>
      <c r="M2297" t="s">
        <v>46</v>
      </c>
      <c r="N2297" t="s">
        <v>67</v>
      </c>
      <c r="O2297">
        <v>33.31</v>
      </c>
      <c r="P2297">
        <v>32.64</v>
      </c>
      <c r="Q2297">
        <v>32.9</v>
      </c>
      <c r="R2297">
        <v>32.87</v>
      </c>
      <c r="S2297">
        <v>2.04</v>
      </c>
      <c r="T2297">
        <v>0.82</v>
      </c>
      <c r="U2297">
        <v>27.89</v>
      </c>
      <c r="V2297">
        <v>99</v>
      </c>
      <c r="W2297">
        <v>33.02</v>
      </c>
      <c r="X2297" t="s">
        <v>4959</v>
      </c>
      <c r="Y2297" t="s">
        <v>1427</v>
      </c>
      <c r="Z2297">
        <v>0.87</v>
      </c>
      <c r="AA2297">
        <v>53</v>
      </c>
      <c r="AB2297">
        <v>13</v>
      </c>
      <c r="AC2297">
        <v>2.43</v>
      </c>
      <c r="AD2297" t="s">
        <v>6444</v>
      </c>
      <c r="AE2297" t="s">
        <v>7613</v>
      </c>
      <c r="AF2297" t="s">
        <v>12568</v>
      </c>
      <c r="AG2297" t="s">
        <v>12569</v>
      </c>
      <c r="AH2297">
        <v>-1.81</v>
      </c>
      <c r="AI2297">
        <v>-1.6</v>
      </c>
      <c r="AJ2297">
        <v>3.6</v>
      </c>
      <c r="AK2297">
        <v>7.41</v>
      </c>
      <c r="AL2297">
        <v>1</v>
      </c>
      <c r="AM2297">
        <v>0.85</v>
      </c>
      <c r="AN2297">
        <v>-37.66</v>
      </c>
      <c r="AO2297">
        <v>-7.43</v>
      </c>
      <c r="AP2297">
        <v>-50.21</v>
      </c>
    </row>
    <row r="2298" spans="1:42">
      <c r="A2298">
        <v>2297</v>
      </c>
      <c r="B2298" t="str">
        <f>"000525"</f>
        <v>000525</v>
      </c>
      <c r="C2298" t="s">
        <v>12570</v>
      </c>
      <c r="D2298">
        <v>8.92</v>
      </c>
      <c r="E2298">
        <v>4.45</v>
      </c>
      <c r="F2298">
        <v>0.38</v>
      </c>
      <c r="G2298" t="s">
        <v>7498</v>
      </c>
      <c r="H2298">
        <v>207</v>
      </c>
      <c r="I2298">
        <v>8.92</v>
      </c>
      <c r="J2298">
        <v>8.93</v>
      </c>
      <c r="K2298" t="s">
        <v>12571</v>
      </c>
      <c r="L2298">
        <v>1.55</v>
      </c>
      <c r="M2298" t="s">
        <v>46</v>
      </c>
      <c r="N2298" t="s">
        <v>12572</v>
      </c>
      <c r="O2298">
        <v>8.97</v>
      </c>
      <c r="P2298">
        <v>8.5</v>
      </c>
      <c r="Q2298">
        <v>8.55</v>
      </c>
      <c r="R2298">
        <v>8.54</v>
      </c>
      <c r="S2298">
        <v>5.5</v>
      </c>
      <c r="T2298">
        <v>1.9</v>
      </c>
      <c r="U2298">
        <v>-54.96</v>
      </c>
      <c r="V2298">
        <v>-4899</v>
      </c>
      <c r="W2298">
        <v>8.86</v>
      </c>
      <c r="X2298" t="s">
        <v>5706</v>
      </c>
      <c r="Y2298" t="s">
        <v>3722</v>
      </c>
      <c r="Z2298">
        <v>0.78</v>
      </c>
      <c r="AA2298">
        <v>586</v>
      </c>
      <c r="AB2298">
        <v>440</v>
      </c>
      <c r="AC2298">
        <v>4.07</v>
      </c>
      <c r="AD2298" t="s">
        <v>12573</v>
      </c>
      <c r="AE2298" t="s">
        <v>2070</v>
      </c>
      <c r="AF2298" t="s">
        <v>12574</v>
      </c>
      <c r="AG2298" t="s">
        <v>12575</v>
      </c>
      <c r="AH2298">
        <v>3</v>
      </c>
      <c r="AI2298">
        <v>4.94</v>
      </c>
      <c r="AJ2298">
        <v>3.08</v>
      </c>
      <c r="AK2298">
        <v>5.62</v>
      </c>
      <c r="AL2298">
        <v>1</v>
      </c>
      <c r="AM2298">
        <v>4.45</v>
      </c>
      <c r="AN2298">
        <v>-23.1</v>
      </c>
      <c r="AO2298">
        <v>3.12</v>
      </c>
      <c r="AP2298">
        <v>-24.92</v>
      </c>
    </row>
    <row r="2299" spans="1:42">
      <c r="A2299">
        <v>2298</v>
      </c>
      <c r="B2299" t="str">
        <f>"301186"</f>
        <v>301186</v>
      </c>
      <c r="C2299" t="s">
        <v>12576</v>
      </c>
      <c r="D2299">
        <v>42.44</v>
      </c>
      <c r="E2299">
        <v>-2.12</v>
      </c>
      <c r="F2299">
        <v>-0.92</v>
      </c>
      <c r="G2299" t="s">
        <v>5578</v>
      </c>
      <c r="H2299">
        <v>366</v>
      </c>
      <c r="I2299">
        <v>42.43</v>
      </c>
      <c r="J2299">
        <v>42.44</v>
      </c>
      <c r="K2299" t="s">
        <v>12577</v>
      </c>
      <c r="L2299">
        <v>8.71</v>
      </c>
      <c r="M2299" t="s">
        <v>46</v>
      </c>
      <c r="N2299" t="s">
        <v>6916</v>
      </c>
      <c r="O2299">
        <v>43.24</v>
      </c>
      <c r="P2299">
        <v>41.8</v>
      </c>
      <c r="Q2299">
        <v>43.23</v>
      </c>
      <c r="R2299">
        <v>43.36</v>
      </c>
      <c r="S2299">
        <v>3.32</v>
      </c>
      <c r="T2299">
        <v>0.63</v>
      </c>
      <c r="U2299">
        <v>15.64</v>
      </c>
      <c r="V2299">
        <v>61</v>
      </c>
      <c r="W2299">
        <v>42.36</v>
      </c>
      <c r="X2299" t="s">
        <v>51</v>
      </c>
      <c r="Y2299">
        <v>7957</v>
      </c>
      <c r="Z2299">
        <v>1.37</v>
      </c>
      <c r="AA2299">
        <v>34</v>
      </c>
      <c r="AB2299">
        <v>119</v>
      </c>
      <c r="AC2299">
        <v>2.58</v>
      </c>
      <c r="AD2299" t="s">
        <v>3228</v>
      </c>
      <c r="AE2299" t="s">
        <v>11782</v>
      </c>
      <c r="AF2299" t="s">
        <v>12578</v>
      </c>
      <c r="AG2299" t="s">
        <v>12579</v>
      </c>
      <c r="AH2299">
        <v>-5.54</v>
      </c>
      <c r="AI2299">
        <v>-3.22</v>
      </c>
      <c r="AJ2299">
        <v>30.99</v>
      </c>
      <c r="AK2299">
        <v>77.63</v>
      </c>
      <c r="AL2299">
        <v>-3</v>
      </c>
      <c r="AM2299">
        <v>-2.12</v>
      </c>
      <c r="AN2299">
        <v>58.71</v>
      </c>
      <c r="AO2299">
        <v>0.35</v>
      </c>
      <c r="AP2299">
        <v>45.04</v>
      </c>
    </row>
    <row r="2300" spans="1:42">
      <c r="A2300">
        <v>2299</v>
      </c>
      <c r="B2300" t="str">
        <f>"603950"</f>
        <v>603950</v>
      </c>
      <c r="C2300" t="s">
        <v>12580</v>
      </c>
      <c r="D2300">
        <v>16.94</v>
      </c>
      <c r="E2300">
        <v>2.05</v>
      </c>
      <c r="F2300">
        <v>0.34</v>
      </c>
      <c r="G2300" t="s">
        <v>7817</v>
      </c>
      <c r="H2300">
        <v>743</v>
      </c>
      <c r="I2300">
        <v>16.94</v>
      </c>
      <c r="J2300">
        <v>16.95</v>
      </c>
      <c r="K2300" t="s">
        <v>12581</v>
      </c>
      <c r="L2300">
        <v>1.47</v>
      </c>
      <c r="M2300" t="s">
        <v>46</v>
      </c>
      <c r="N2300" t="s">
        <v>5944</v>
      </c>
      <c r="O2300">
        <v>17</v>
      </c>
      <c r="P2300">
        <v>16.44</v>
      </c>
      <c r="Q2300">
        <v>16.62</v>
      </c>
      <c r="R2300">
        <v>16.6</v>
      </c>
      <c r="S2300">
        <v>3.37</v>
      </c>
      <c r="T2300">
        <v>0.76</v>
      </c>
      <c r="U2300">
        <v>-87.4</v>
      </c>
      <c r="V2300">
        <v>-1309</v>
      </c>
      <c r="W2300">
        <v>16.75</v>
      </c>
      <c r="X2300" t="s">
        <v>4017</v>
      </c>
      <c r="Y2300" t="s">
        <v>6419</v>
      </c>
      <c r="Z2300">
        <v>1.01</v>
      </c>
      <c r="AA2300">
        <v>29</v>
      </c>
      <c r="AB2300">
        <v>542</v>
      </c>
      <c r="AC2300">
        <v>2.24</v>
      </c>
      <c r="AD2300" t="s">
        <v>7111</v>
      </c>
      <c r="AE2300" t="s">
        <v>4587</v>
      </c>
      <c r="AF2300" t="s">
        <v>7111</v>
      </c>
      <c r="AG2300" t="s">
        <v>4587</v>
      </c>
      <c r="AH2300">
        <v>-0.99</v>
      </c>
      <c r="AI2300">
        <v>7.83</v>
      </c>
      <c r="AJ2300">
        <v>6.17</v>
      </c>
      <c r="AK2300">
        <v>11.06</v>
      </c>
      <c r="AL2300">
        <v>1</v>
      </c>
      <c r="AM2300">
        <v>2.05</v>
      </c>
      <c r="AN2300">
        <v>49.12</v>
      </c>
      <c r="AO2300">
        <v>18.71</v>
      </c>
      <c r="AP2300">
        <v>51.12</v>
      </c>
    </row>
    <row r="2301" spans="1:42">
      <c r="A2301">
        <v>2300</v>
      </c>
      <c r="B2301" t="str">
        <f>"001269"</f>
        <v>001269</v>
      </c>
      <c r="C2301" t="s">
        <v>12582</v>
      </c>
      <c r="D2301">
        <v>40.7</v>
      </c>
      <c r="E2301">
        <v>-0.8</v>
      </c>
      <c r="F2301">
        <v>-0.33</v>
      </c>
      <c r="G2301" t="s">
        <v>1455</v>
      </c>
      <c r="H2301">
        <v>396</v>
      </c>
      <c r="I2301">
        <v>40.69</v>
      </c>
      <c r="J2301">
        <v>40.7</v>
      </c>
      <c r="K2301" t="s">
        <v>12583</v>
      </c>
      <c r="L2301">
        <v>2.34</v>
      </c>
      <c r="M2301" t="s">
        <v>46</v>
      </c>
      <c r="N2301" t="s">
        <v>570</v>
      </c>
      <c r="O2301">
        <v>41.13</v>
      </c>
      <c r="P2301">
        <v>40.23</v>
      </c>
      <c r="Q2301">
        <v>40.85</v>
      </c>
      <c r="R2301">
        <v>41.03</v>
      </c>
      <c r="S2301">
        <v>2.19</v>
      </c>
      <c r="T2301">
        <v>0.76</v>
      </c>
      <c r="U2301">
        <v>33.33</v>
      </c>
      <c r="V2301">
        <v>117</v>
      </c>
      <c r="W2301">
        <v>40.59</v>
      </c>
      <c r="X2301" t="s">
        <v>2284</v>
      </c>
      <c r="Y2301">
        <v>8089</v>
      </c>
      <c r="Z2301">
        <v>1.42</v>
      </c>
      <c r="AA2301">
        <v>115</v>
      </c>
      <c r="AB2301">
        <v>28</v>
      </c>
      <c r="AC2301">
        <v>4.71</v>
      </c>
      <c r="AD2301" t="s">
        <v>12584</v>
      </c>
      <c r="AE2301" t="s">
        <v>12585</v>
      </c>
      <c r="AF2301" t="s">
        <v>12586</v>
      </c>
      <c r="AG2301" t="s">
        <v>10416</v>
      </c>
      <c r="AH2301">
        <v>-5.35</v>
      </c>
      <c r="AI2301">
        <v>-11.96</v>
      </c>
      <c r="AJ2301">
        <v>7.5</v>
      </c>
      <c r="AK2301">
        <v>17.8</v>
      </c>
      <c r="AL2301">
        <v>-3</v>
      </c>
      <c r="AM2301">
        <v>-0.8</v>
      </c>
      <c r="AN2301">
        <v>-42.29</v>
      </c>
      <c r="AO2301">
        <v>-1.97</v>
      </c>
      <c r="AP2301">
        <v>-34.68</v>
      </c>
    </row>
    <row r="2302" spans="1:42">
      <c r="A2302">
        <v>2301</v>
      </c>
      <c r="B2302" t="str">
        <f>"601179"</f>
        <v>601179</v>
      </c>
      <c r="C2302" t="s">
        <v>12587</v>
      </c>
      <c r="D2302">
        <v>4.6</v>
      </c>
      <c r="E2302">
        <v>-0.22</v>
      </c>
      <c r="F2302">
        <v>-0.01</v>
      </c>
      <c r="G2302" t="s">
        <v>1470</v>
      </c>
      <c r="H2302">
        <v>2167</v>
      </c>
      <c r="I2302">
        <v>4.59</v>
      </c>
      <c r="J2302">
        <v>4.6</v>
      </c>
      <c r="K2302" t="s">
        <v>12583</v>
      </c>
      <c r="L2302">
        <v>0.34</v>
      </c>
      <c r="M2302" t="s">
        <v>46</v>
      </c>
      <c r="N2302" t="s">
        <v>12588</v>
      </c>
      <c r="O2302">
        <v>4.61</v>
      </c>
      <c r="P2302">
        <v>4.55</v>
      </c>
      <c r="Q2302">
        <v>4.59</v>
      </c>
      <c r="R2302">
        <v>4.61</v>
      </c>
      <c r="S2302">
        <v>1.3</v>
      </c>
      <c r="T2302">
        <v>0.93</v>
      </c>
      <c r="U2302">
        <v>1.06</v>
      </c>
      <c r="V2302">
        <v>313</v>
      </c>
      <c r="W2302">
        <v>4.58</v>
      </c>
      <c r="X2302" t="s">
        <v>1232</v>
      </c>
      <c r="Y2302" t="s">
        <v>3618</v>
      </c>
      <c r="Z2302">
        <v>1.37</v>
      </c>
      <c r="AA2302">
        <v>3175</v>
      </c>
      <c r="AB2302">
        <v>532</v>
      </c>
      <c r="AC2302">
        <v>1.1</v>
      </c>
      <c r="AD2302" t="s">
        <v>1017</v>
      </c>
      <c r="AE2302" t="s">
        <v>10334</v>
      </c>
      <c r="AF2302" t="s">
        <v>1017</v>
      </c>
      <c r="AG2302" t="s">
        <v>10334</v>
      </c>
      <c r="AH2302">
        <v>0.44</v>
      </c>
      <c r="AI2302">
        <v>1.1</v>
      </c>
      <c r="AJ2302">
        <v>0.95</v>
      </c>
      <c r="AK2302">
        <v>2.16</v>
      </c>
      <c r="AL2302">
        <v>-1</v>
      </c>
      <c r="AM2302">
        <v>-0.22</v>
      </c>
      <c r="AN2302">
        <v>0.66</v>
      </c>
      <c r="AO2302">
        <v>-0.65</v>
      </c>
      <c r="AP2302">
        <v>-8.91</v>
      </c>
    </row>
    <row r="2303" spans="1:42">
      <c r="A2303">
        <v>2302</v>
      </c>
      <c r="B2303" t="str">
        <f>"000987"</f>
        <v>000987</v>
      </c>
      <c r="C2303" t="s">
        <v>12589</v>
      </c>
      <c r="D2303">
        <v>6.4</v>
      </c>
      <c r="E2303">
        <v>0.79</v>
      </c>
      <c r="F2303">
        <v>0.05</v>
      </c>
      <c r="G2303" t="s">
        <v>1986</v>
      </c>
      <c r="H2303">
        <v>585</v>
      </c>
      <c r="I2303">
        <v>6.39</v>
      </c>
      <c r="J2303">
        <v>6.4</v>
      </c>
      <c r="K2303" t="s">
        <v>12590</v>
      </c>
      <c r="L2303">
        <v>0.25</v>
      </c>
      <c r="M2303" t="s">
        <v>46</v>
      </c>
      <c r="N2303" t="s">
        <v>10213</v>
      </c>
      <c r="O2303">
        <v>6.41</v>
      </c>
      <c r="P2303">
        <v>6.29</v>
      </c>
      <c r="Q2303">
        <v>6.35</v>
      </c>
      <c r="R2303">
        <v>6.35</v>
      </c>
      <c r="S2303">
        <v>1.89</v>
      </c>
      <c r="T2303">
        <v>0.79</v>
      </c>
      <c r="U2303">
        <v>-10.23</v>
      </c>
      <c r="V2303">
        <v>-1056</v>
      </c>
      <c r="W2303">
        <v>6.35</v>
      </c>
      <c r="X2303" t="s">
        <v>4913</v>
      </c>
      <c r="Y2303" t="s">
        <v>7461</v>
      </c>
      <c r="Z2303">
        <v>1.07</v>
      </c>
      <c r="AA2303">
        <v>254</v>
      </c>
      <c r="AB2303">
        <v>526</v>
      </c>
      <c r="AC2303">
        <v>1.14</v>
      </c>
      <c r="AD2303" t="s">
        <v>12591</v>
      </c>
      <c r="AE2303" t="s">
        <v>6684</v>
      </c>
      <c r="AF2303" t="s">
        <v>12592</v>
      </c>
      <c r="AG2303" t="s">
        <v>12593</v>
      </c>
      <c r="AH2303">
        <v>-1.08</v>
      </c>
      <c r="AI2303">
        <v>-3.61</v>
      </c>
      <c r="AJ2303">
        <v>0.95</v>
      </c>
      <c r="AK2303">
        <v>1.82</v>
      </c>
      <c r="AL2303">
        <v>1</v>
      </c>
      <c r="AM2303">
        <v>0.79</v>
      </c>
      <c r="AN2303">
        <v>9.97</v>
      </c>
      <c r="AO2303">
        <v>-1.08</v>
      </c>
      <c r="AP2303">
        <v>8.11</v>
      </c>
    </row>
    <row r="2304" spans="1:42">
      <c r="A2304">
        <v>2303</v>
      </c>
      <c r="B2304" t="str">
        <f>"300513"</f>
        <v>300513</v>
      </c>
      <c r="C2304" t="s">
        <v>12594</v>
      </c>
      <c r="D2304">
        <v>13.3</v>
      </c>
      <c r="E2304">
        <v>3.83</v>
      </c>
      <c r="F2304">
        <v>0.49</v>
      </c>
      <c r="G2304" t="s">
        <v>2028</v>
      </c>
      <c r="H2304">
        <v>1145</v>
      </c>
      <c r="I2304">
        <v>13.29</v>
      </c>
      <c r="J2304">
        <v>13.3</v>
      </c>
      <c r="K2304" t="s">
        <v>12595</v>
      </c>
      <c r="L2304">
        <v>2.16</v>
      </c>
      <c r="M2304" t="s">
        <v>46</v>
      </c>
      <c r="N2304" t="s">
        <v>12596</v>
      </c>
      <c r="O2304">
        <v>13.31</v>
      </c>
      <c r="P2304">
        <v>12.79</v>
      </c>
      <c r="Q2304">
        <v>12.86</v>
      </c>
      <c r="R2304">
        <v>12.81</v>
      </c>
      <c r="S2304">
        <v>4.06</v>
      </c>
      <c r="T2304">
        <v>0.9</v>
      </c>
      <c r="U2304">
        <v>-54.15</v>
      </c>
      <c r="V2304">
        <v>-929</v>
      </c>
      <c r="W2304">
        <v>13.09</v>
      </c>
      <c r="X2304" t="s">
        <v>7195</v>
      </c>
      <c r="Y2304" t="s">
        <v>4846</v>
      </c>
      <c r="Z2304">
        <v>0.58</v>
      </c>
      <c r="AA2304">
        <v>62</v>
      </c>
      <c r="AB2304">
        <v>442</v>
      </c>
      <c r="AC2304">
        <v>1.74</v>
      </c>
      <c r="AD2304" t="s">
        <v>12597</v>
      </c>
      <c r="AE2304" t="s">
        <v>12598</v>
      </c>
      <c r="AF2304" t="s">
        <v>12599</v>
      </c>
      <c r="AG2304" t="s">
        <v>3366</v>
      </c>
      <c r="AH2304">
        <v>0.99</v>
      </c>
      <c r="AI2304">
        <v>-1.41</v>
      </c>
      <c r="AJ2304">
        <v>6.34</v>
      </c>
      <c r="AK2304">
        <v>14.17</v>
      </c>
      <c r="AL2304">
        <v>1</v>
      </c>
      <c r="AM2304">
        <v>3.83</v>
      </c>
      <c r="AN2304">
        <v>17.91</v>
      </c>
      <c r="AO2304">
        <v>3.58</v>
      </c>
      <c r="AP2304">
        <v>16.36</v>
      </c>
    </row>
    <row r="2305" spans="1:42">
      <c r="A2305">
        <v>2304</v>
      </c>
      <c r="B2305" t="str">
        <f>"300700"</f>
        <v>300700</v>
      </c>
      <c r="C2305" t="s">
        <v>12600</v>
      </c>
      <c r="D2305">
        <v>17.88</v>
      </c>
      <c r="E2305">
        <v>1.13</v>
      </c>
      <c r="F2305">
        <v>0.2</v>
      </c>
      <c r="G2305" t="s">
        <v>5963</v>
      </c>
      <c r="H2305">
        <v>916</v>
      </c>
      <c r="I2305">
        <v>17.88</v>
      </c>
      <c r="J2305">
        <v>17.89</v>
      </c>
      <c r="K2305" t="s">
        <v>12601</v>
      </c>
      <c r="L2305">
        <v>2.62</v>
      </c>
      <c r="M2305" t="s">
        <v>46</v>
      </c>
      <c r="N2305" t="s">
        <v>12602</v>
      </c>
      <c r="O2305">
        <v>18.01</v>
      </c>
      <c r="P2305">
        <v>17</v>
      </c>
      <c r="Q2305">
        <v>17.6</v>
      </c>
      <c r="R2305">
        <v>17.68</v>
      </c>
      <c r="S2305">
        <v>5.71</v>
      </c>
      <c r="T2305">
        <v>0.87</v>
      </c>
      <c r="U2305">
        <v>28.01</v>
      </c>
      <c r="V2305">
        <v>221</v>
      </c>
      <c r="W2305">
        <v>17.61</v>
      </c>
      <c r="X2305" t="s">
        <v>1710</v>
      </c>
      <c r="Y2305" t="s">
        <v>377</v>
      </c>
      <c r="Z2305">
        <v>1.04</v>
      </c>
      <c r="AA2305">
        <v>29</v>
      </c>
      <c r="AB2305">
        <v>38</v>
      </c>
      <c r="AC2305">
        <v>3.85</v>
      </c>
      <c r="AD2305" t="s">
        <v>9623</v>
      </c>
      <c r="AE2305" t="s">
        <v>12603</v>
      </c>
      <c r="AF2305" t="s">
        <v>12604</v>
      </c>
      <c r="AG2305" t="s">
        <v>12605</v>
      </c>
      <c r="AH2305">
        <v>-0.72</v>
      </c>
      <c r="AI2305">
        <v>-0.56</v>
      </c>
      <c r="AJ2305">
        <v>7.64</v>
      </c>
      <c r="AK2305">
        <v>17.68</v>
      </c>
      <c r="AL2305">
        <v>1</v>
      </c>
      <c r="AM2305">
        <v>1.13</v>
      </c>
      <c r="AN2305">
        <v>-10.87</v>
      </c>
      <c r="AO2305">
        <v>1.59</v>
      </c>
      <c r="AP2305">
        <v>-17.41</v>
      </c>
    </row>
    <row r="2306" spans="1:42">
      <c r="A2306">
        <v>2305</v>
      </c>
      <c r="B2306" t="str">
        <f>"688409"</f>
        <v>688409</v>
      </c>
      <c r="C2306" t="s">
        <v>12606</v>
      </c>
      <c r="D2306">
        <v>80</v>
      </c>
      <c r="E2306">
        <v>0.35</v>
      </c>
      <c r="F2306">
        <v>0.28</v>
      </c>
      <c r="G2306">
        <v>10000</v>
      </c>
      <c r="H2306">
        <v>96</v>
      </c>
      <c r="I2306">
        <v>79.98</v>
      </c>
      <c r="J2306">
        <v>80</v>
      </c>
      <c r="K2306" t="s">
        <v>12607</v>
      </c>
      <c r="L2306">
        <v>0.83</v>
      </c>
      <c r="M2306" t="s">
        <v>46</v>
      </c>
      <c r="N2306" t="s">
        <v>5049</v>
      </c>
      <c r="O2306">
        <v>80.39</v>
      </c>
      <c r="P2306">
        <v>78.21</v>
      </c>
      <c r="Q2306">
        <v>79.98</v>
      </c>
      <c r="R2306">
        <v>79.72</v>
      </c>
      <c r="S2306">
        <v>2.73</v>
      </c>
      <c r="T2306">
        <v>0.84</v>
      </c>
      <c r="U2306">
        <v>37.48</v>
      </c>
      <c r="V2306">
        <v>43</v>
      </c>
      <c r="W2306">
        <v>79.25</v>
      </c>
      <c r="X2306">
        <v>5078</v>
      </c>
      <c r="Y2306">
        <v>4922</v>
      </c>
      <c r="Z2306">
        <v>1.03</v>
      </c>
      <c r="AA2306">
        <v>7</v>
      </c>
      <c r="AB2306">
        <v>22</v>
      </c>
      <c r="AC2306">
        <v>3.59</v>
      </c>
      <c r="AD2306" t="s">
        <v>12501</v>
      </c>
      <c r="AE2306" t="s">
        <v>12608</v>
      </c>
      <c r="AF2306" t="s">
        <v>10159</v>
      </c>
      <c r="AG2306" t="s">
        <v>12609</v>
      </c>
      <c r="AH2306">
        <v>-0.31</v>
      </c>
      <c r="AI2306">
        <v>-1.6</v>
      </c>
      <c r="AJ2306">
        <v>2.45</v>
      </c>
      <c r="AK2306">
        <v>5.77</v>
      </c>
      <c r="AL2306">
        <v>1</v>
      </c>
      <c r="AM2306">
        <v>0.35</v>
      </c>
      <c r="AN2306">
        <v>-25.52</v>
      </c>
      <c r="AO2306">
        <v>-1.03</v>
      </c>
      <c r="AP2306">
        <v>-40.73</v>
      </c>
    </row>
    <row r="2307" spans="1:42">
      <c r="A2307">
        <v>2306</v>
      </c>
      <c r="B2307" t="str">
        <f>"600563"</f>
        <v>600563</v>
      </c>
      <c r="C2307" t="s">
        <v>12610</v>
      </c>
      <c r="D2307">
        <v>94.1</v>
      </c>
      <c r="E2307">
        <v>0.11</v>
      </c>
      <c r="F2307">
        <v>0.1</v>
      </c>
      <c r="G2307">
        <v>8442</v>
      </c>
      <c r="H2307">
        <v>77</v>
      </c>
      <c r="I2307">
        <v>94.1</v>
      </c>
      <c r="J2307">
        <v>94.13</v>
      </c>
      <c r="K2307" t="s">
        <v>12611</v>
      </c>
      <c r="L2307">
        <v>0.38</v>
      </c>
      <c r="M2307" t="s">
        <v>46</v>
      </c>
      <c r="N2307" t="s">
        <v>10293</v>
      </c>
      <c r="O2307">
        <v>94.78</v>
      </c>
      <c r="P2307">
        <v>92.9</v>
      </c>
      <c r="Q2307">
        <v>93.94</v>
      </c>
      <c r="R2307">
        <v>94</v>
      </c>
      <c r="S2307">
        <v>2</v>
      </c>
      <c r="T2307">
        <v>0.79</v>
      </c>
      <c r="U2307">
        <v>55.56</v>
      </c>
      <c r="V2307">
        <v>60</v>
      </c>
      <c r="W2307">
        <v>93.65</v>
      </c>
      <c r="X2307">
        <v>4540</v>
      </c>
      <c r="Y2307">
        <v>3902</v>
      </c>
      <c r="Z2307">
        <v>1.16</v>
      </c>
      <c r="AA2307">
        <v>5</v>
      </c>
      <c r="AB2307">
        <v>2</v>
      </c>
      <c r="AC2307">
        <v>4.82</v>
      </c>
      <c r="AD2307" t="s">
        <v>12612</v>
      </c>
      <c r="AE2307" t="s">
        <v>12613</v>
      </c>
      <c r="AF2307" t="s">
        <v>12612</v>
      </c>
      <c r="AG2307" t="s">
        <v>12613</v>
      </c>
      <c r="AH2307">
        <v>0.75</v>
      </c>
      <c r="AI2307">
        <v>-3.1</v>
      </c>
      <c r="AJ2307">
        <v>1.24</v>
      </c>
      <c r="AK2307">
        <v>2.76</v>
      </c>
      <c r="AL2307">
        <v>1</v>
      </c>
      <c r="AM2307">
        <v>0.11</v>
      </c>
      <c r="AN2307">
        <v>-40.47</v>
      </c>
      <c r="AO2307">
        <v>-6.36</v>
      </c>
      <c r="AP2307">
        <v>-42.94</v>
      </c>
    </row>
    <row r="2308" spans="1:42">
      <c r="A2308">
        <v>2307</v>
      </c>
      <c r="B2308" t="str">
        <f>"603309"</f>
        <v>603309</v>
      </c>
      <c r="C2308" t="s">
        <v>12614</v>
      </c>
      <c r="D2308">
        <v>15.22</v>
      </c>
      <c r="E2308">
        <v>-0.39</v>
      </c>
      <c r="F2308">
        <v>-0.06</v>
      </c>
      <c r="G2308" t="s">
        <v>7340</v>
      </c>
      <c r="H2308">
        <v>392</v>
      </c>
      <c r="I2308">
        <v>15.22</v>
      </c>
      <c r="J2308">
        <v>15.23</v>
      </c>
      <c r="K2308" t="s">
        <v>12615</v>
      </c>
      <c r="L2308">
        <v>1.8</v>
      </c>
      <c r="M2308" t="s">
        <v>46</v>
      </c>
      <c r="N2308" t="s">
        <v>1155</v>
      </c>
      <c r="O2308">
        <v>15.4</v>
      </c>
      <c r="P2308">
        <v>14.88</v>
      </c>
      <c r="Q2308">
        <v>15.21</v>
      </c>
      <c r="R2308">
        <v>15.28</v>
      </c>
      <c r="S2308">
        <v>3.4</v>
      </c>
      <c r="T2308">
        <v>0.52</v>
      </c>
      <c r="U2308">
        <v>-15.15</v>
      </c>
      <c r="V2308">
        <v>-177</v>
      </c>
      <c r="W2308">
        <v>15.1</v>
      </c>
      <c r="X2308" t="s">
        <v>5420</v>
      </c>
      <c r="Y2308" t="s">
        <v>48</v>
      </c>
      <c r="Z2308">
        <v>1.1</v>
      </c>
      <c r="AA2308">
        <v>110</v>
      </c>
      <c r="AB2308">
        <v>256</v>
      </c>
      <c r="AC2308">
        <v>2.52</v>
      </c>
      <c r="AD2308" t="s">
        <v>12616</v>
      </c>
      <c r="AE2308" t="s">
        <v>12617</v>
      </c>
      <c r="AF2308" t="s">
        <v>12618</v>
      </c>
      <c r="AG2308" t="s">
        <v>12619</v>
      </c>
      <c r="AH2308">
        <v>-1.55</v>
      </c>
      <c r="AI2308">
        <v>6.21</v>
      </c>
      <c r="AJ2308">
        <v>6.99</v>
      </c>
      <c r="AK2308">
        <v>19.02</v>
      </c>
      <c r="AL2308">
        <v>-4</v>
      </c>
      <c r="AM2308">
        <v>-0.39</v>
      </c>
      <c r="AN2308">
        <v>-22.51</v>
      </c>
      <c r="AO2308">
        <v>6.06</v>
      </c>
      <c r="AP2308">
        <v>-21.38</v>
      </c>
    </row>
    <row r="2309" spans="1:42">
      <c r="A2309">
        <v>2308</v>
      </c>
      <c r="B2309" t="str">
        <f>"688503"</f>
        <v>688503</v>
      </c>
      <c r="C2309" t="s">
        <v>12620</v>
      </c>
      <c r="D2309">
        <v>57.75</v>
      </c>
      <c r="E2309">
        <v>-2.7</v>
      </c>
      <c r="F2309">
        <v>-1.6</v>
      </c>
      <c r="G2309" t="s">
        <v>5183</v>
      </c>
      <c r="H2309">
        <v>98</v>
      </c>
      <c r="I2309">
        <v>57.74</v>
      </c>
      <c r="J2309">
        <v>57.75</v>
      </c>
      <c r="K2309" t="s">
        <v>12621</v>
      </c>
      <c r="L2309">
        <v>3.54</v>
      </c>
      <c r="M2309" t="s">
        <v>46</v>
      </c>
      <c r="N2309" t="s">
        <v>10984</v>
      </c>
      <c r="O2309">
        <v>59.38</v>
      </c>
      <c r="P2309">
        <v>57.13</v>
      </c>
      <c r="Q2309">
        <v>59</v>
      </c>
      <c r="R2309">
        <v>59.35</v>
      </c>
      <c r="S2309">
        <v>3.79</v>
      </c>
      <c r="T2309">
        <v>1.54</v>
      </c>
      <c r="U2309">
        <v>-74.63</v>
      </c>
      <c r="V2309">
        <v>-352</v>
      </c>
      <c r="W2309">
        <v>57.97</v>
      </c>
      <c r="X2309">
        <v>8031</v>
      </c>
      <c r="Y2309">
        <v>5582</v>
      </c>
      <c r="Z2309">
        <v>1.44</v>
      </c>
      <c r="AA2309">
        <v>10</v>
      </c>
      <c r="AB2309">
        <v>7</v>
      </c>
      <c r="AC2309">
        <v>1.95</v>
      </c>
      <c r="AD2309" t="s">
        <v>12622</v>
      </c>
      <c r="AE2309" t="s">
        <v>12623</v>
      </c>
      <c r="AF2309" t="s">
        <v>12624</v>
      </c>
      <c r="AG2309" t="s">
        <v>9140</v>
      </c>
      <c r="AH2309">
        <v>-7.21</v>
      </c>
      <c r="AI2309">
        <v>-8.7</v>
      </c>
      <c r="AJ2309">
        <v>8.65</v>
      </c>
      <c r="AK2309">
        <v>15.02</v>
      </c>
      <c r="AL2309">
        <v>-4</v>
      </c>
      <c r="AM2309">
        <v>-2.7</v>
      </c>
      <c r="AN2309">
        <v>-42.47</v>
      </c>
      <c r="AO2309">
        <v>-10.06</v>
      </c>
      <c r="AP2309">
        <v>-21.92</v>
      </c>
    </row>
    <row r="2310" spans="1:42">
      <c r="A2310">
        <v>2309</v>
      </c>
      <c r="B2310" t="str">
        <f>"002468"</f>
        <v>002468</v>
      </c>
      <c r="C2310" t="s">
        <v>12625</v>
      </c>
      <c r="D2310">
        <v>8.87</v>
      </c>
      <c r="E2310">
        <v>-1.11</v>
      </c>
      <c r="F2310">
        <v>-0.1</v>
      </c>
      <c r="G2310" t="s">
        <v>4476</v>
      </c>
      <c r="H2310">
        <v>731</v>
      </c>
      <c r="I2310">
        <v>8.87</v>
      </c>
      <c r="J2310">
        <v>8.88</v>
      </c>
      <c r="K2310" t="s">
        <v>12626</v>
      </c>
      <c r="L2310">
        <v>0.6</v>
      </c>
      <c r="M2310" t="s">
        <v>46</v>
      </c>
      <c r="N2310" t="s">
        <v>6149</v>
      </c>
      <c r="O2310">
        <v>8.97</v>
      </c>
      <c r="P2310">
        <v>8.76</v>
      </c>
      <c r="Q2310">
        <v>8.94</v>
      </c>
      <c r="R2310">
        <v>8.97</v>
      </c>
      <c r="S2310">
        <v>2.34</v>
      </c>
      <c r="T2310">
        <v>1.47</v>
      </c>
      <c r="U2310">
        <v>1.07</v>
      </c>
      <c r="V2310">
        <v>45</v>
      </c>
      <c r="W2310">
        <v>8.86</v>
      </c>
      <c r="X2310" t="s">
        <v>7214</v>
      </c>
      <c r="Y2310" t="s">
        <v>1711</v>
      </c>
      <c r="Z2310">
        <v>2.22</v>
      </c>
      <c r="AA2310">
        <v>541</v>
      </c>
      <c r="AB2310">
        <v>245</v>
      </c>
      <c r="AC2310">
        <v>1.62</v>
      </c>
      <c r="AD2310" t="s">
        <v>12627</v>
      </c>
      <c r="AE2310" t="s">
        <v>511</v>
      </c>
      <c r="AF2310" t="s">
        <v>614</v>
      </c>
      <c r="AG2310" t="s">
        <v>8195</v>
      </c>
      <c r="AH2310">
        <v>-2.42</v>
      </c>
      <c r="AI2310">
        <v>-2.31</v>
      </c>
      <c r="AJ2310">
        <v>1.49</v>
      </c>
      <c r="AK2310">
        <v>2.63</v>
      </c>
      <c r="AL2310">
        <v>-1</v>
      </c>
      <c r="AM2310">
        <v>-1.11</v>
      </c>
      <c r="AN2310">
        <v>-14.13</v>
      </c>
      <c r="AO2310">
        <v>-4.93</v>
      </c>
      <c r="AP2310">
        <v>-11.12</v>
      </c>
    </row>
    <row r="2311" spans="1:42">
      <c r="A2311">
        <v>2310</v>
      </c>
      <c r="B2311" t="str">
        <f>"002851"</f>
        <v>002851</v>
      </c>
      <c r="C2311" t="s">
        <v>12628</v>
      </c>
      <c r="D2311">
        <v>25.44</v>
      </c>
      <c r="E2311">
        <v>-1.89</v>
      </c>
      <c r="F2311">
        <v>-0.49</v>
      </c>
      <c r="G2311" t="s">
        <v>4914</v>
      </c>
      <c r="H2311">
        <v>212</v>
      </c>
      <c r="I2311">
        <v>25.44</v>
      </c>
      <c r="J2311">
        <v>25.46</v>
      </c>
      <c r="K2311" t="s">
        <v>12626</v>
      </c>
      <c r="L2311">
        <v>0.75</v>
      </c>
      <c r="M2311" t="s">
        <v>46</v>
      </c>
      <c r="N2311" t="s">
        <v>12629</v>
      </c>
      <c r="O2311">
        <v>25.94</v>
      </c>
      <c r="P2311">
        <v>25.22</v>
      </c>
      <c r="Q2311">
        <v>25.93</v>
      </c>
      <c r="R2311">
        <v>25.93</v>
      </c>
      <c r="S2311">
        <v>2.78</v>
      </c>
      <c r="T2311">
        <v>1.39</v>
      </c>
      <c r="U2311">
        <v>75.12</v>
      </c>
      <c r="V2311">
        <v>489</v>
      </c>
      <c r="W2311">
        <v>25.41</v>
      </c>
      <c r="X2311" t="s">
        <v>882</v>
      </c>
      <c r="Y2311" t="s">
        <v>718</v>
      </c>
      <c r="Z2311">
        <v>1.62</v>
      </c>
      <c r="AA2311">
        <v>261</v>
      </c>
      <c r="AB2311">
        <v>27</v>
      </c>
      <c r="AC2311">
        <v>3.14</v>
      </c>
      <c r="AD2311" t="s">
        <v>12630</v>
      </c>
      <c r="AE2311" t="s">
        <v>12631</v>
      </c>
      <c r="AF2311" t="s">
        <v>12632</v>
      </c>
      <c r="AG2311" t="s">
        <v>4728</v>
      </c>
      <c r="AH2311">
        <v>-4.36</v>
      </c>
      <c r="AI2311">
        <v>-2.04</v>
      </c>
      <c r="AJ2311">
        <v>1.78</v>
      </c>
      <c r="AK2311">
        <v>3.44</v>
      </c>
      <c r="AL2311">
        <v>-3</v>
      </c>
      <c r="AM2311">
        <v>-1.89</v>
      </c>
      <c r="AN2311">
        <v>-1.81</v>
      </c>
      <c r="AO2311">
        <v>-3.12</v>
      </c>
      <c r="AP2311">
        <v>-7.09</v>
      </c>
    </row>
    <row r="2312" spans="1:42">
      <c r="A2312">
        <v>2311</v>
      </c>
      <c r="B2312" t="str">
        <f>"000629"</f>
        <v>000629</v>
      </c>
      <c r="C2312" t="s">
        <v>12633</v>
      </c>
      <c r="D2312">
        <v>3.42</v>
      </c>
      <c r="E2312">
        <v>0.88</v>
      </c>
      <c r="F2312">
        <v>0.03</v>
      </c>
      <c r="G2312" t="s">
        <v>1031</v>
      </c>
      <c r="H2312">
        <v>3107</v>
      </c>
      <c r="I2312">
        <v>3.41</v>
      </c>
      <c r="J2312">
        <v>3.42</v>
      </c>
      <c r="K2312" t="s">
        <v>12634</v>
      </c>
      <c r="L2312">
        <v>0.27</v>
      </c>
      <c r="M2312" t="s">
        <v>46</v>
      </c>
      <c r="N2312" t="s">
        <v>5616</v>
      </c>
      <c r="O2312">
        <v>3.43</v>
      </c>
      <c r="P2312">
        <v>3.38</v>
      </c>
      <c r="Q2312">
        <v>3.4</v>
      </c>
      <c r="R2312">
        <v>3.39</v>
      </c>
      <c r="S2312">
        <v>1.47</v>
      </c>
      <c r="T2312">
        <v>0.68</v>
      </c>
      <c r="U2312">
        <v>-0.9</v>
      </c>
      <c r="V2312">
        <v>-858</v>
      </c>
      <c r="W2312">
        <v>3.4</v>
      </c>
      <c r="X2312" t="s">
        <v>4356</v>
      </c>
      <c r="Y2312" t="s">
        <v>1807</v>
      </c>
      <c r="Z2312">
        <v>0.98</v>
      </c>
      <c r="AA2312">
        <v>3916</v>
      </c>
      <c r="AB2312">
        <v>9896</v>
      </c>
      <c r="AC2312">
        <v>2.65</v>
      </c>
      <c r="AD2312" t="s">
        <v>12635</v>
      </c>
      <c r="AE2312" t="s">
        <v>12636</v>
      </c>
      <c r="AF2312" t="s">
        <v>12637</v>
      </c>
      <c r="AG2312" t="s">
        <v>12638</v>
      </c>
      <c r="AH2312">
        <v>-0.58</v>
      </c>
      <c r="AI2312">
        <v>-2.29</v>
      </c>
      <c r="AJ2312">
        <v>0.88</v>
      </c>
      <c r="AK2312">
        <v>2.25</v>
      </c>
      <c r="AL2312">
        <v>1</v>
      </c>
      <c r="AM2312">
        <v>0.88</v>
      </c>
      <c r="AN2312">
        <v>-27.7</v>
      </c>
      <c r="AO2312">
        <v>-0.58</v>
      </c>
      <c r="AP2312">
        <v>-34.86</v>
      </c>
    </row>
    <row r="2313" spans="1:42">
      <c r="A2313">
        <v>2312</v>
      </c>
      <c r="B2313" t="str">
        <f>"600968"</f>
        <v>600968</v>
      </c>
      <c r="C2313" t="s">
        <v>12639</v>
      </c>
      <c r="D2313">
        <v>2.92</v>
      </c>
      <c r="E2313">
        <v>0.69</v>
      </c>
      <c r="F2313">
        <v>0.02</v>
      </c>
      <c r="G2313" t="s">
        <v>2381</v>
      </c>
      <c r="H2313">
        <v>1512</v>
      </c>
      <c r="I2313">
        <v>2.92</v>
      </c>
      <c r="J2313">
        <v>2.93</v>
      </c>
      <c r="K2313" t="s">
        <v>12640</v>
      </c>
      <c r="L2313">
        <v>0.27</v>
      </c>
      <c r="M2313" t="s">
        <v>46</v>
      </c>
      <c r="N2313" t="s">
        <v>12641</v>
      </c>
      <c r="O2313">
        <v>2.94</v>
      </c>
      <c r="P2313">
        <v>2.89</v>
      </c>
      <c r="Q2313">
        <v>2.9</v>
      </c>
      <c r="R2313">
        <v>2.9</v>
      </c>
      <c r="S2313">
        <v>1.72</v>
      </c>
      <c r="T2313">
        <v>0.91</v>
      </c>
      <c r="U2313">
        <v>-3.75</v>
      </c>
      <c r="V2313">
        <v>-4056</v>
      </c>
      <c r="W2313">
        <v>2.92</v>
      </c>
      <c r="X2313" t="s">
        <v>2960</v>
      </c>
      <c r="Y2313" t="s">
        <v>978</v>
      </c>
      <c r="Z2313">
        <v>0.76</v>
      </c>
      <c r="AA2313">
        <v>4647</v>
      </c>
      <c r="AB2313">
        <v>3005</v>
      </c>
      <c r="AC2313">
        <v>1.25</v>
      </c>
      <c r="AD2313" t="s">
        <v>1058</v>
      </c>
      <c r="AE2313" t="s">
        <v>12642</v>
      </c>
      <c r="AF2313" t="s">
        <v>1058</v>
      </c>
      <c r="AG2313" t="s">
        <v>12642</v>
      </c>
      <c r="AH2313">
        <v>0.69</v>
      </c>
      <c r="AI2313">
        <v>-1.02</v>
      </c>
      <c r="AJ2313">
        <v>1.05</v>
      </c>
      <c r="AK2313">
        <v>1.73</v>
      </c>
      <c r="AL2313">
        <v>1</v>
      </c>
      <c r="AM2313">
        <v>0.69</v>
      </c>
      <c r="AN2313">
        <v>4.29</v>
      </c>
      <c r="AO2313">
        <v>-2.67</v>
      </c>
      <c r="AP2313">
        <v>0</v>
      </c>
    </row>
    <row r="2314" spans="1:42">
      <c r="A2314">
        <v>2313</v>
      </c>
      <c r="B2314" t="str">
        <f>"688278"</f>
        <v>688278</v>
      </c>
      <c r="C2314" t="s">
        <v>12643</v>
      </c>
      <c r="D2314">
        <v>46.87</v>
      </c>
      <c r="E2314">
        <v>0.17</v>
      </c>
      <c r="F2314">
        <v>0.08</v>
      </c>
      <c r="G2314" t="s">
        <v>1110</v>
      </c>
      <c r="H2314">
        <v>127</v>
      </c>
      <c r="I2314">
        <v>46.78</v>
      </c>
      <c r="J2314">
        <v>46.87</v>
      </c>
      <c r="K2314" t="s">
        <v>12644</v>
      </c>
      <c r="L2314">
        <v>0.42</v>
      </c>
      <c r="M2314" t="s">
        <v>46</v>
      </c>
      <c r="N2314" t="s">
        <v>1592</v>
      </c>
      <c r="O2314">
        <v>46.97</v>
      </c>
      <c r="P2314">
        <v>45.83</v>
      </c>
      <c r="Q2314">
        <v>46.8</v>
      </c>
      <c r="R2314">
        <v>46.79</v>
      </c>
      <c r="S2314">
        <v>2.44</v>
      </c>
      <c r="T2314">
        <v>0.65</v>
      </c>
      <c r="U2314">
        <v>-24.81</v>
      </c>
      <c r="V2314">
        <v>-38</v>
      </c>
      <c r="W2314">
        <v>46.51</v>
      </c>
      <c r="X2314">
        <v>8574</v>
      </c>
      <c r="Y2314">
        <v>8355</v>
      </c>
      <c r="Z2314">
        <v>1.03</v>
      </c>
      <c r="AA2314">
        <v>25</v>
      </c>
      <c r="AB2314">
        <v>1</v>
      </c>
      <c r="AC2314">
        <v>11.28</v>
      </c>
      <c r="AD2314" t="s">
        <v>12645</v>
      </c>
      <c r="AE2314" t="s">
        <v>10763</v>
      </c>
      <c r="AF2314" t="s">
        <v>12645</v>
      </c>
      <c r="AG2314" t="s">
        <v>10763</v>
      </c>
      <c r="AH2314">
        <v>2.56</v>
      </c>
      <c r="AI2314">
        <v>9.05</v>
      </c>
      <c r="AJ2314">
        <v>1.35</v>
      </c>
      <c r="AK2314">
        <v>3.64</v>
      </c>
      <c r="AL2314">
        <v>5</v>
      </c>
      <c r="AM2314">
        <v>0.17</v>
      </c>
      <c r="AN2314">
        <v>21.05</v>
      </c>
      <c r="AO2314">
        <v>9.31</v>
      </c>
      <c r="AP2314">
        <v>20.43</v>
      </c>
    </row>
    <row r="2315" spans="1:42">
      <c r="A2315">
        <v>2314</v>
      </c>
      <c r="B2315" t="str">
        <f>"301555"</f>
        <v>301555</v>
      </c>
      <c r="C2315" t="s">
        <v>12646</v>
      </c>
      <c r="D2315">
        <v>43.36</v>
      </c>
      <c r="E2315">
        <v>0.16</v>
      </c>
      <c r="F2315">
        <v>0.07</v>
      </c>
      <c r="G2315" t="s">
        <v>325</v>
      </c>
      <c r="H2315">
        <v>299</v>
      </c>
      <c r="I2315">
        <v>43.36</v>
      </c>
      <c r="J2315">
        <v>43.37</v>
      </c>
      <c r="K2315" t="s">
        <v>12647</v>
      </c>
      <c r="L2315">
        <v>8.35</v>
      </c>
      <c r="M2315" t="s">
        <v>46</v>
      </c>
      <c r="N2315" t="s">
        <v>1419</v>
      </c>
      <c r="O2315">
        <v>43.61</v>
      </c>
      <c r="P2315">
        <v>42.66</v>
      </c>
      <c r="Q2315">
        <v>43.31</v>
      </c>
      <c r="R2315">
        <v>43.29</v>
      </c>
      <c r="S2315">
        <v>2.19</v>
      </c>
      <c r="T2315">
        <v>0.62</v>
      </c>
      <c r="U2315">
        <v>2.65</v>
      </c>
      <c r="V2315">
        <v>6</v>
      </c>
      <c r="W2315">
        <v>43.09</v>
      </c>
      <c r="X2315" t="s">
        <v>2074</v>
      </c>
      <c r="Y2315">
        <v>8204</v>
      </c>
      <c r="Z2315">
        <v>1.23</v>
      </c>
      <c r="AA2315">
        <v>90</v>
      </c>
      <c r="AB2315">
        <v>29</v>
      </c>
      <c r="AC2315">
        <v>3.76</v>
      </c>
      <c r="AD2315" t="s">
        <v>10743</v>
      </c>
      <c r="AE2315" t="s">
        <v>12648</v>
      </c>
      <c r="AF2315" t="s">
        <v>12649</v>
      </c>
      <c r="AG2315" t="s">
        <v>12650</v>
      </c>
      <c r="AH2315">
        <v>-4.85</v>
      </c>
      <c r="AI2315">
        <v>-12</v>
      </c>
      <c r="AJ2315">
        <v>31.75</v>
      </c>
      <c r="AK2315">
        <v>75.66</v>
      </c>
      <c r="AL2315">
        <v>1</v>
      </c>
      <c r="AM2315">
        <v>0.16</v>
      </c>
      <c r="AN2315">
        <v>89.51</v>
      </c>
      <c r="AO2315">
        <v>-23.94</v>
      </c>
      <c r="AP2315">
        <v>89.51</v>
      </c>
    </row>
    <row r="2316" spans="1:42">
      <c r="A2316">
        <v>2315</v>
      </c>
      <c r="B2316" t="str">
        <f>"300563"</f>
        <v>300563</v>
      </c>
      <c r="C2316" t="s">
        <v>12651</v>
      </c>
      <c r="D2316">
        <v>16.04</v>
      </c>
      <c r="E2316">
        <v>2.75</v>
      </c>
      <c r="F2316">
        <v>0.43</v>
      </c>
      <c r="G2316" t="s">
        <v>3319</v>
      </c>
      <c r="H2316">
        <v>1658</v>
      </c>
      <c r="I2316">
        <v>16.03</v>
      </c>
      <c r="J2316">
        <v>16.04</v>
      </c>
      <c r="K2316" t="s">
        <v>12652</v>
      </c>
      <c r="L2316">
        <v>4.03</v>
      </c>
      <c r="M2316" t="s">
        <v>46</v>
      </c>
      <c r="N2316" t="s">
        <v>485</v>
      </c>
      <c r="O2316">
        <v>16.04</v>
      </c>
      <c r="P2316">
        <v>15.51</v>
      </c>
      <c r="Q2316">
        <v>15.58</v>
      </c>
      <c r="R2316">
        <v>15.61</v>
      </c>
      <c r="S2316">
        <v>3.4</v>
      </c>
      <c r="T2316">
        <v>1.09</v>
      </c>
      <c r="U2316">
        <v>16.42</v>
      </c>
      <c r="V2316">
        <v>314</v>
      </c>
      <c r="W2316">
        <v>15.88</v>
      </c>
      <c r="X2316" t="s">
        <v>3327</v>
      </c>
      <c r="Y2316" t="s">
        <v>5444</v>
      </c>
      <c r="Z2316">
        <v>0.84</v>
      </c>
      <c r="AA2316">
        <v>185</v>
      </c>
      <c r="AB2316">
        <v>217</v>
      </c>
      <c r="AC2316">
        <v>2.89</v>
      </c>
      <c r="AD2316" t="s">
        <v>12653</v>
      </c>
      <c r="AE2316" t="s">
        <v>12654</v>
      </c>
      <c r="AF2316" t="s">
        <v>12655</v>
      </c>
      <c r="AG2316" t="s">
        <v>1723</v>
      </c>
      <c r="AH2316">
        <v>0.5</v>
      </c>
      <c r="AI2316">
        <v>0.25</v>
      </c>
      <c r="AJ2316">
        <v>10.76</v>
      </c>
      <c r="AK2316">
        <v>22.47</v>
      </c>
      <c r="AL2316">
        <v>1</v>
      </c>
      <c r="AM2316">
        <v>2.75</v>
      </c>
      <c r="AN2316">
        <v>47.56</v>
      </c>
      <c r="AO2316">
        <v>2.3</v>
      </c>
      <c r="AP2316">
        <v>28.22</v>
      </c>
    </row>
    <row r="2317" spans="1:42">
      <c r="A2317">
        <v>2316</v>
      </c>
      <c r="B2317" t="str">
        <f>"603279"</f>
        <v>603279</v>
      </c>
      <c r="C2317" t="s">
        <v>12656</v>
      </c>
      <c r="D2317">
        <v>22.46</v>
      </c>
      <c r="E2317">
        <v>-1.45</v>
      </c>
      <c r="F2317">
        <v>-0.33</v>
      </c>
      <c r="G2317" t="s">
        <v>7177</v>
      </c>
      <c r="H2317">
        <v>244</v>
      </c>
      <c r="I2317">
        <v>22.45</v>
      </c>
      <c r="J2317">
        <v>22.46</v>
      </c>
      <c r="K2317" t="s">
        <v>12657</v>
      </c>
      <c r="L2317">
        <v>0.61</v>
      </c>
      <c r="M2317" t="s">
        <v>46</v>
      </c>
      <c r="N2317" t="s">
        <v>2539</v>
      </c>
      <c r="O2317">
        <v>22.88</v>
      </c>
      <c r="P2317">
        <v>22.26</v>
      </c>
      <c r="Q2317">
        <v>22.77</v>
      </c>
      <c r="R2317">
        <v>22.79</v>
      </c>
      <c r="S2317">
        <v>2.72</v>
      </c>
      <c r="T2317">
        <v>1.57</v>
      </c>
      <c r="U2317">
        <v>5.25</v>
      </c>
      <c r="V2317">
        <v>13</v>
      </c>
      <c r="W2317">
        <v>22.49</v>
      </c>
      <c r="X2317" t="s">
        <v>153</v>
      </c>
      <c r="Y2317" t="s">
        <v>4525</v>
      </c>
      <c r="Z2317">
        <v>1.53</v>
      </c>
      <c r="AA2317">
        <v>24</v>
      </c>
      <c r="AB2317">
        <v>36</v>
      </c>
      <c r="AC2317">
        <v>3.04</v>
      </c>
      <c r="AD2317" t="s">
        <v>12658</v>
      </c>
      <c r="AE2317" t="s">
        <v>2784</v>
      </c>
      <c r="AF2317" t="s">
        <v>12659</v>
      </c>
      <c r="AG2317" t="s">
        <v>7253</v>
      </c>
      <c r="AH2317">
        <v>-3.44</v>
      </c>
      <c r="AI2317">
        <v>-4.95</v>
      </c>
      <c r="AJ2317">
        <v>1.35</v>
      </c>
      <c r="AK2317">
        <v>2.58</v>
      </c>
      <c r="AL2317">
        <v>-3</v>
      </c>
      <c r="AM2317">
        <v>-1.45</v>
      </c>
      <c r="AN2317">
        <v>-21.14</v>
      </c>
      <c r="AO2317">
        <v>-2.98</v>
      </c>
      <c r="AP2317">
        <v>-26.38</v>
      </c>
    </row>
    <row r="2318" spans="1:42">
      <c r="A2318">
        <v>2317</v>
      </c>
      <c r="B2318" t="str">
        <f>"300683"</f>
        <v>300683</v>
      </c>
      <c r="C2318" t="s">
        <v>12660</v>
      </c>
      <c r="D2318">
        <v>38.13</v>
      </c>
      <c r="E2318">
        <v>0.82</v>
      </c>
      <c r="F2318">
        <v>0.31</v>
      </c>
      <c r="G2318" t="s">
        <v>9024</v>
      </c>
      <c r="H2318">
        <v>322</v>
      </c>
      <c r="I2318">
        <v>38.12</v>
      </c>
      <c r="J2318">
        <v>38.13</v>
      </c>
      <c r="K2318" t="s">
        <v>12661</v>
      </c>
      <c r="L2318">
        <v>1.7</v>
      </c>
      <c r="M2318" t="s">
        <v>46</v>
      </c>
      <c r="N2318" t="s">
        <v>3282</v>
      </c>
      <c r="O2318">
        <v>38.35</v>
      </c>
      <c r="P2318">
        <v>37.62</v>
      </c>
      <c r="Q2318">
        <v>37.83</v>
      </c>
      <c r="R2318">
        <v>37.82</v>
      </c>
      <c r="S2318">
        <v>1.93</v>
      </c>
      <c r="T2318">
        <v>0.98</v>
      </c>
      <c r="U2318">
        <v>-29.13</v>
      </c>
      <c r="V2318">
        <v>-97</v>
      </c>
      <c r="W2318">
        <v>37.96</v>
      </c>
      <c r="X2318" t="s">
        <v>2147</v>
      </c>
      <c r="Y2318" t="s">
        <v>2615</v>
      </c>
      <c r="Z2318">
        <v>1.07</v>
      </c>
      <c r="AA2318">
        <v>28</v>
      </c>
      <c r="AB2318">
        <v>71</v>
      </c>
      <c r="AC2318">
        <v>1.94</v>
      </c>
      <c r="AD2318" t="s">
        <v>4465</v>
      </c>
      <c r="AE2318" t="s">
        <v>12662</v>
      </c>
      <c r="AF2318" t="s">
        <v>3643</v>
      </c>
      <c r="AG2318" t="s">
        <v>12663</v>
      </c>
      <c r="AH2318">
        <v>0.53</v>
      </c>
      <c r="AI2318">
        <v>1.87</v>
      </c>
      <c r="AJ2318">
        <v>5.15</v>
      </c>
      <c r="AK2318">
        <v>10.34</v>
      </c>
      <c r="AL2318">
        <v>2</v>
      </c>
      <c r="AM2318">
        <v>0.82</v>
      </c>
      <c r="AN2318">
        <v>7.71</v>
      </c>
      <c r="AO2318">
        <v>-10.07</v>
      </c>
      <c r="AP2318">
        <v>-5.81</v>
      </c>
    </row>
    <row r="2319" spans="1:42">
      <c r="A2319">
        <v>2318</v>
      </c>
      <c r="B2319" t="str">
        <f>"002420"</f>
        <v>002420</v>
      </c>
      <c r="C2319" t="s">
        <v>12664</v>
      </c>
      <c r="D2319">
        <v>6.68</v>
      </c>
      <c r="E2319">
        <v>0.45</v>
      </c>
      <c r="F2319">
        <v>0.03</v>
      </c>
      <c r="G2319" t="s">
        <v>1540</v>
      </c>
      <c r="H2319">
        <v>1315</v>
      </c>
      <c r="I2319">
        <v>6.68</v>
      </c>
      <c r="J2319">
        <v>6.69</v>
      </c>
      <c r="K2319" t="s">
        <v>12665</v>
      </c>
      <c r="L2319">
        <v>3.02</v>
      </c>
      <c r="M2319" t="s">
        <v>46</v>
      </c>
      <c r="N2319" t="s">
        <v>8612</v>
      </c>
      <c r="O2319">
        <v>6.74</v>
      </c>
      <c r="P2319">
        <v>6.6</v>
      </c>
      <c r="Q2319">
        <v>6.65</v>
      </c>
      <c r="R2319">
        <v>6.65</v>
      </c>
      <c r="S2319">
        <v>2.11</v>
      </c>
      <c r="T2319">
        <v>0.69</v>
      </c>
      <c r="U2319">
        <v>-45.64</v>
      </c>
      <c r="V2319">
        <v>-2856</v>
      </c>
      <c r="W2319">
        <v>6.67</v>
      </c>
      <c r="X2319" t="s">
        <v>8805</v>
      </c>
      <c r="Y2319" t="s">
        <v>7126</v>
      </c>
      <c r="Z2319">
        <v>0.93</v>
      </c>
      <c r="AA2319">
        <v>635</v>
      </c>
      <c r="AB2319">
        <v>167</v>
      </c>
      <c r="AC2319">
        <v>4.16</v>
      </c>
      <c r="AD2319" t="s">
        <v>945</v>
      </c>
      <c r="AE2319" t="s">
        <v>12666</v>
      </c>
      <c r="AF2319" t="s">
        <v>12667</v>
      </c>
      <c r="AG2319" t="s">
        <v>12668</v>
      </c>
      <c r="AH2319">
        <v>-3.75</v>
      </c>
      <c r="AI2319">
        <v>-2.48</v>
      </c>
      <c r="AJ2319">
        <v>13.49</v>
      </c>
      <c r="AK2319">
        <v>25.08</v>
      </c>
      <c r="AL2319">
        <v>1</v>
      </c>
      <c r="AM2319">
        <v>0.45</v>
      </c>
      <c r="AN2319">
        <v>-10.46</v>
      </c>
      <c r="AO2319">
        <v>-6.31</v>
      </c>
      <c r="AP2319">
        <v>-4.43</v>
      </c>
    </row>
    <row r="2320" spans="1:42">
      <c r="A2320">
        <v>2319</v>
      </c>
      <c r="B2320" t="str">
        <f>"601018"</f>
        <v>601018</v>
      </c>
      <c r="C2320" t="s">
        <v>12669</v>
      </c>
      <c r="D2320">
        <v>3.62</v>
      </c>
      <c r="E2320">
        <v>0.28</v>
      </c>
      <c r="F2320">
        <v>0.01</v>
      </c>
      <c r="G2320" t="s">
        <v>1786</v>
      </c>
      <c r="H2320">
        <v>1994</v>
      </c>
      <c r="I2320">
        <v>3.62</v>
      </c>
      <c r="J2320">
        <v>3.63</v>
      </c>
      <c r="K2320" t="s">
        <v>12670</v>
      </c>
      <c r="L2320">
        <v>0.14</v>
      </c>
      <c r="M2320" t="s">
        <v>46</v>
      </c>
      <c r="N2320" t="s">
        <v>8303</v>
      </c>
      <c r="O2320">
        <v>3.67</v>
      </c>
      <c r="P2320">
        <v>3.61</v>
      </c>
      <c r="Q2320">
        <v>3.62</v>
      </c>
      <c r="R2320">
        <v>3.61</v>
      </c>
      <c r="S2320">
        <v>1.66</v>
      </c>
      <c r="T2320">
        <v>1.13</v>
      </c>
      <c r="U2320">
        <v>-41.59</v>
      </c>
      <c r="V2320" t="s">
        <v>12671</v>
      </c>
      <c r="W2320">
        <v>3.64</v>
      </c>
      <c r="X2320" t="s">
        <v>3311</v>
      </c>
      <c r="Y2320" t="s">
        <v>830</v>
      </c>
      <c r="Z2320">
        <v>0.66</v>
      </c>
      <c r="AA2320">
        <v>431</v>
      </c>
      <c r="AB2320">
        <v>3024</v>
      </c>
      <c r="AC2320">
        <v>0.95</v>
      </c>
      <c r="AD2320" t="s">
        <v>12672</v>
      </c>
      <c r="AE2320" t="s">
        <v>12673</v>
      </c>
      <c r="AF2320" t="s">
        <v>12674</v>
      </c>
      <c r="AG2320" t="s">
        <v>12675</v>
      </c>
      <c r="AH2320">
        <v>0.28</v>
      </c>
      <c r="AI2320">
        <v>1.4</v>
      </c>
      <c r="AJ2320">
        <v>0.35</v>
      </c>
      <c r="AK2320">
        <v>0.74</v>
      </c>
      <c r="AL2320">
        <v>2</v>
      </c>
      <c r="AM2320">
        <v>0.28</v>
      </c>
      <c r="AN2320">
        <v>3.72</v>
      </c>
      <c r="AO2320">
        <v>5.85</v>
      </c>
      <c r="AP2320">
        <v>3.13</v>
      </c>
    </row>
    <row r="2321" spans="1:42">
      <c r="A2321">
        <v>2320</v>
      </c>
      <c r="B2321" t="str">
        <f>"688279"</f>
        <v>688279</v>
      </c>
      <c r="C2321" t="s">
        <v>12676</v>
      </c>
      <c r="D2321">
        <v>115.33</v>
      </c>
      <c r="E2321">
        <v>-2.08</v>
      </c>
      <c r="F2321">
        <v>-2.45</v>
      </c>
      <c r="G2321">
        <v>6861</v>
      </c>
      <c r="H2321">
        <v>17</v>
      </c>
      <c r="I2321">
        <v>115.21</v>
      </c>
      <c r="J2321">
        <v>115.33</v>
      </c>
      <c r="K2321" t="s">
        <v>12677</v>
      </c>
      <c r="L2321">
        <v>1.24</v>
      </c>
      <c r="M2321" t="s">
        <v>46</v>
      </c>
      <c r="N2321" t="s">
        <v>5134</v>
      </c>
      <c r="O2321">
        <v>117.81</v>
      </c>
      <c r="P2321">
        <v>112.91</v>
      </c>
      <c r="Q2321">
        <v>117.78</v>
      </c>
      <c r="R2321">
        <v>117.78</v>
      </c>
      <c r="S2321">
        <v>4.16</v>
      </c>
      <c r="T2321">
        <v>1.61</v>
      </c>
      <c r="U2321">
        <v>8.83</v>
      </c>
      <c r="V2321">
        <v>3</v>
      </c>
      <c r="W2321">
        <v>114.29</v>
      </c>
      <c r="X2321">
        <v>3015</v>
      </c>
      <c r="Y2321">
        <v>3847</v>
      </c>
      <c r="Z2321">
        <v>0.78</v>
      </c>
      <c r="AA2321">
        <v>8</v>
      </c>
      <c r="AB2321">
        <v>3</v>
      </c>
      <c r="AC2321">
        <v>4.55</v>
      </c>
      <c r="AD2321" t="s">
        <v>12678</v>
      </c>
      <c r="AE2321" t="s">
        <v>12679</v>
      </c>
      <c r="AF2321" t="s">
        <v>3230</v>
      </c>
      <c r="AG2321" t="s">
        <v>12680</v>
      </c>
      <c r="AH2321">
        <v>-3.68</v>
      </c>
      <c r="AI2321">
        <v>-3.56</v>
      </c>
      <c r="AJ2321">
        <v>2.65</v>
      </c>
      <c r="AK2321">
        <v>5.12</v>
      </c>
      <c r="AL2321">
        <v>-2</v>
      </c>
      <c r="AM2321">
        <v>-2.08</v>
      </c>
      <c r="AN2321">
        <v>34.7</v>
      </c>
      <c r="AO2321">
        <v>4.24</v>
      </c>
      <c r="AP2321">
        <v>31.03</v>
      </c>
    </row>
    <row r="2322" spans="1:42">
      <c r="A2322">
        <v>2321</v>
      </c>
      <c r="B2322" t="str">
        <f>"600500"</f>
        <v>600500</v>
      </c>
      <c r="C2322" t="s">
        <v>12681</v>
      </c>
      <c r="D2322">
        <v>4.63</v>
      </c>
      <c r="E2322">
        <v>1.31</v>
      </c>
      <c r="F2322">
        <v>0.06</v>
      </c>
      <c r="G2322" t="s">
        <v>172</v>
      </c>
      <c r="H2322">
        <v>4278</v>
      </c>
      <c r="I2322">
        <v>4.62</v>
      </c>
      <c r="J2322">
        <v>4.63</v>
      </c>
      <c r="K2322" t="s">
        <v>12682</v>
      </c>
      <c r="L2322">
        <v>0.55</v>
      </c>
      <c r="M2322" t="s">
        <v>46</v>
      </c>
      <c r="N2322" t="s">
        <v>2387</v>
      </c>
      <c r="O2322">
        <v>4.63</v>
      </c>
      <c r="P2322">
        <v>4.55</v>
      </c>
      <c r="Q2322">
        <v>4.57</v>
      </c>
      <c r="R2322">
        <v>4.57</v>
      </c>
      <c r="S2322">
        <v>1.75</v>
      </c>
      <c r="T2322">
        <v>1.33</v>
      </c>
      <c r="U2322">
        <v>-22.13</v>
      </c>
      <c r="V2322">
        <v>-3227</v>
      </c>
      <c r="W2322">
        <v>4.6</v>
      </c>
      <c r="X2322" t="s">
        <v>2629</v>
      </c>
      <c r="Y2322" t="s">
        <v>656</v>
      </c>
      <c r="Z2322">
        <v>0.52</v>
      </c>
      <c r="AA2322">
        <v>22</v>
      </c>
      <c r="AB2322">
        <v>3670</v>
      </c>
      <c r="AC2322">
        <v>1</v>
      </c>
      <c r="AD2322" t="s">
        <v>10947</v>
      </c>
      <c r="AE2322" t="s">
        <v>7230</v>
      </c>
      <c r="AF2322" t="s">
        <v>12683</v>
      </c>
      <c r="AG2322" t="s">
        <v>11807</v>
      </c>
      <c r="AH2322">
        <v>-2.32</v>
      </c>
      <c r="AI2322">
        <v>-4.34</v>
      </c>
      <c r="AJ2322">
        <v>1.57</v>
      </c>
      <c r="AK2322">
        <v>2.6</v>
      </c>
      <c r="AL2322">
        <v>1</v>
      </c>
      <c r="AM2322">
        <v>1.31</v>
      </c>
      <c r="AN2322">
        <v>-28.33</v>
      </c>
      <c r="AO2322">
        <v>-6.09</v>
      </c>
      <c r="AP2322">
        <v>-31.81</v>
      </c>
    </row>
    <row r="2323" spans="1:42">
      <c r="A2323">
        <v>2322</v>
      </c>
      <c r="B2323" t="str">
        <f>"688326"</f>
        <v>688326</v>
      </c>
      <c r="C2323" t="s">
        <v>12684</v>
      </c>
      <c r="D2323">
        <v>122.16</v>
      </c>
      <c r="E2323">
        <v>-1.47</v>
      </c>
      <c r="F2323">
        <v>-1.82</v>
      </c>
      <c r="G2323">
        <v>6414</v>
      </c>
      <c r="H2323">
        <v>129</v>
      </c>
      <c r="I2323">
        <v>122.16</v>
      </c>
      <c r="J2323">
        <v>122.34</v>
      </c>
      <c r="K2323" t="s">
        <v>12685</v>
      </c>
      <c r="L2323">
        <v>0.81</v>
      </c>
      <c r="M2323" t="s">
        <v>46</v>
      </c>
      <c r="N2323" t="s">
        <v>6230</v>
      </c>
      <c r="O2323">
        <v>124.99</v>
      </c>
      <c r="P2323">
        <v>121.05</v>
      </c>
      <c r="Q2323">
        <v>123.67</v>
      </c>
      <c r="R2323">
        <v>123.98</v>
      </c>
      <c r="S2323">
        <v>3.18</v>
      </c>
      <c r="T2323">
        <v>0.49</v>
      </c>
      <c r="U2323">
        <v>-53.29</v>
      </c>
      <c r="V2323">
        <v>-53</v>
      </c>
      <c r="W2323">
        <v>122.12</v>
      </c>
      <c r="X2323">
        <v>3593</v>
      </c>
      <c r="Y2323">
        <v>2820</v>
      </c>
      <c r="Z2323">
        <v>1.27</v>
      </c>
      <c r="AA2323">
        <v>8</v>
      </c>
      <c r="AB2323">
        <v>3</v>
      </c>
      <c r="AC2323">
        <v>2.87</v>
      </c>
      <c r="AD2323" t="s">
        <v>5210</v>
      </c>
      <c r="AE2323" t="s">
        <v>12686</v>
      </c>
      <c r="AF2323" t="s">
        <v>12607</v>
      </c>
      <c r="AG2323" t="s">
        <v>12687</v>
      </c>
      <c r="AH2323">
        <v>-3.81</v>
      </c>
      <c r="AI2323">
        <v>-11.91</v>
      </c>
      <c r="AJ2323">
        <v>3.23</v>
      </c>
      <c r="AK2323">
        <v>9.09</v>
      </c>
      <c r="AL2323">
        <v>-5</v>
      </c>
      <c r="AM2323">
        <v>-1.47</v>
      </c>
      <c r="AN2323">
        <v>-18.18</v>
      </c>
      <c r="AO2323">
        <v>2.28</v>
      </c>
      <c r="AP2323">
        <v>-22.4</v>
      </c>
    </row>
    <row r="2324" spans="1:42">
      <c r="A2324">
        <v>2323</v>
      </c>
      <c r="B2324" t="str">
        <f>"002563"</f>
        <v>002563</v>
      </c>
      <c r="C2324" t="s">
        <v>12688</v>
      </c>
      <c r="D2324">
        <v>6.15</v>
      </c>
      <c r="E2324">
        <v>0.16</v>
      </c>
      <c r="F2324">
        <v>0.01</v>
      </c>
      <c r="G2324" t="s">
        <v>3971</v>
      </c>
      <c r="H2324">
        <v>1358</v>
      </c>
      <c r="I2324">
        <v>6.14</v>
      </c>
      <c r="J2324">
        <v>6.15</v>
      </c>
      <c r="K2324" t="s">
        <v>12685</v>
      </c>
      <c r="L2324">
        <v>0.71</v>
      </c>
      <c r="M2324" t="s">
        <v>46</v>
      </c>
      <c r="N2324" t="s">
        <v>12689</v>
      </c>
      <c r="O2324">
        <v>6.22</v>
      </c>
      <c r="P2324">
        <v>6.11</v>
      </c>
      <c r="Q2324">
        <v>6.13</v>
      </c>
      <c r="R2324">
        <v>6.14</v>
      </c>
      <c r="S2324">
        <v>1.79</v>
      </c>
      <c r="T2324">
        <v>1.4</v>
      </c>
      <c r="U2324">
        <v>-2.24</v>
      </c>
      <c r="V2324">
        <v>-82</v>
      </c>
      <c r="W2324">
        <v>6.16</v>
      </c>
      <c r="X2324" t="s">
        <v>1605</v>
      </c>
      <c r="Y2324" t="s">
        <v>3102</v>
      </c>
      <c r="Z2324">
        <v>1.05</v>
      </c>
      <c r="AA2324">
        <v>33</v>
      </c>
      <c r="AB2324">
        <v>735</v>
      </c>
      <c r="AC2324">
        <v>1.48</v>
      </c>
      <c r="AD2324" t="s">
        <v>12690</v>
      </c>
      <c r="AE2324" t="s">
        <v>12691</v>
      </c>
      <c r="AF2324" t="s">
        <v>9531</v>
      </c>
      <c r="AG2324" t="s">
        <v>5587</v>
      </c>
      <c r="AH2324">
        <v>-1.44</v>
      </c>
      <c r="AI2324">
        <v>-1.28</v>
      </c>
      <c r="AJ2324">
        <v>1.6</v>
      </c>
      <c r="AK2324">
        <v>3.26</v>
      </c>
      <c r="AL2324">
        <v>1</v>
      </c>
      <c r="AM2324">
        <v>0.16</v>
      </c>
      <c r="AN2324">
        <v>22.02</v>
      </c>
      <c r="AO2324">
        <v>-1.44</v>
      </c>
      <c r="AP2324">
        <v>29.47</v>
      </c>
    </row>
    <row r="2325" spans="1:42">
      <c r="A2325">
        <v>2324</v>
      </c>
      <c r="B2325" t="str">
        <f>"603291"</f>
        <v>603291</v>
      </c>
      <c r="C2325" t="s">
        <v>12692</v>
      </c>
      <c r="D2325">
        <v>16.5</v>
      </c>
      <c r="E2325">
        <v>-0.6</v>
      </c>
      <c r="F2325">
        <v>-0.1</v>
      </c>
      <c r="G2325" t="s">
        <v>5674</v>
      </c>
      <c r="H2325">
        <v>1617</v>
      </c>
      <c r="I2325">
        <v>16.49</v>
      </c>
      <c r="J2325">
        <v>16.5</v>
      </c>
      <c r="K2325" t="s">
        <v>12693</v>
      </c>
      <c r="L2325">
        <v>11.19</v>
      </c>
      <c r="M2325" t="s">
        <v>46</v>
      </c>
      <c r="N2325" t="s">
        <v>1477</v>
      </c>
      <c r="O2325">
        <v>16.75</v>
      </c>
      <c r="P2325">
        <v>16.16</v>
      </c>
      <c r="Q2325">
        <v>16.5</v>
      </c>
      <c r="R2325">
        <v>16.6</v>
      </c>
      <c r="S2325">
        <v>3.55</v>
      </c>
      <c r="T2325">
        <v>0.59</v>
      </c>
      <c r="U2325">
        <v>15.99</v>
      </c>
      <c r="V2325">
        <v>161</v>
      </c>
      <c r="W2325">
        <v>16.51</v>
      </c>
      <c r="X2325" t="s">
        <v>5444</v>
      </c>
      <c r="Y2325" t="s">
        <v>3372</v>
      </c>
      <c r="Z2325">
        <v>1.31</v>
      </c>
      <c r="AA2325">
        <v>7</v>
      </c>
      <c r="AB2325">
        <v>117</v>
      </c>
      <c r="AC2325">
        <v>4.23</v>
      </c>
      <c r="AD2325" t="s">
        <v>10328</v>
      </c>
      <c r="AE2325" t="s">
        <v>12694</v>
      </c>
      <c r="AF2325" t="s">
        <v>12695</v>
      </c>
      <c r="AG2325" t="s">
        <v>12696</v>
      </c>
      <c r="AH2325">
        <v>-2.31</v>
      </c>
      <c r="AI2325">
        <v>5.3</v>
      </c>
      <c r="AJ2325">
        <v>62.39</v>
      </c>
      <c r="AK2325">
        <v>106.82</v>
      </c>
      <c r="AL2325">
        <v>-3</v>
      </c>
      <c r="AM2325">
        <v>-0.6</v>
      </c>
      <c r="AN2325">
        <v>184.97</v>
      </c>
      <c r="AO2325">
        <v>8.62</v>
      </c>
      <c r="AP2325">
        <v>184.97</v>
      </c>
    </row>
    <row r="2326" spans="1:42">
      <c r="A2326">
        <v>2325</v>
      </c>
      <c r="B2326" t="str">
        <f>"300393"</f>
        <v>300393</v>
      </c>
      <c r="C2326" t="s">
        <v>12697</v>
      </c>
      <c r="D2326">
        <v>10.5</v>
      </c>
      <c r="E2326">
        <v>-0.19</v>
      </c>
      <c r="F2326">
        <v>-0.02</v>
      </c>
      <c r="G2326" t="s">
        <v>3883</v>
      </c>
      <c r="H2326">
        <v>1485</v>
      </c>
      <c r="I2326">
        <v>10.5</v>
      </c>
      <c r="J2326">
        <v>10.51</v>
      </c>
      <c r="K2326" t="s">
        <v>12698</v>
      </c>
      <c r="L2326">
        <v>0.78</v>
      </c>
      <c r="M2326" t="s">
        <v>46</v>
      </c>
      <c r="N2326" t="s">
        <v>9144</v>
      </c>
      <c r="O2326">
        <v>10.56</v>
      </c>
      <c r="P2326">
        <v>10.41</v>
      </c>
      <c r="Q2326">
        <v>10.51</v>
      </c>
      <c r="R2326">
        <v>10.52</v>
      </c>
      <c r="S2326">
        <v>1.43</v>
      </c>
      <c r="T2326">
        <v>1.03</v>
      </c>
      <c r="U2326">
        <v>17.84</v>
      </c>
      <c r="V2326">
        <v>688</v>
      </c>
      <c r="W2326">
        <v>10.49</v>
      </c>
      <c r="X2326" t="s">
        <v>3103</v>
      </c>
      <c r="Y2326" t="s">
        <v>5302</v>
      </c>
      <c r="Z2326">
        <v>1.44</v>
      </c>
      <c r="AA2326">
        <v>646</v>
      </c>
      <c r="AB2326">
        <v>193</v>
      </c>
      <c r="AC2326">
        <v>2.59</v>
      </c>
      <c r="AD2326" t="s">
        <v>11965</v>
      </c>
      <c r="AE2326" t="s">
        <v>12699</v>
      </c>
      <c r="AF2326" t="s">
        <v>12700</v>
      </c>
      <c r="AG2326" t="s">
        <v>4360</v>
      </c>
      <c r="AH2326">
        <v>-2.51</v>
      </c>
      <c r="AI2326">
        <v>-4.2</v>
      </c>
      <c r="AJ2326">
        <v>2.26</v>
      </c>
      <c r="AK2326">
        <v>4.56</v>
      </c>
      <c r="AL2326">
        <v>-3</v>
      </c>
      <c r="AM2326">
        <v>-0.19</v>
      </c>
      <c r="AN2326">
        <v>-28.96</v>
      </c>
      <c r="AO2326">
        <v>-5.15</v>
      </c>
      <c r="AP2326">
        <v>-33.63</v>
      </c>
    </row>
    <row r="2327" spans="1:42">
      <c r="A2327">
        <v>2326</v>
      </c>
      <c r="B2327" t="str">
        <f>"600191"</f>
        <v>600191</v>
      </c>
      <c r="C2327" t="s">
        <v>12701</v>
      </c>
      <c r="D2327">
        <v>6.72</v>
      </c>
      <c r="E2327">
        <v>1.66</v>
      </c>
      <c r="F2327">
        <v>0.11</v>
      </c>
      <c r="G2327" t="s">
        <v>2960</v>
      </c>
      <c r="H2327">
        <v>765</v>
      </c>
      <c r="I2327">
        <v>6.72</v>
      </c>
      <c r="J2327">
        <v>6.73</v>
      </c>
      <c r="K2327" t="s">
        <v>12702</v>
      </c>
      <c r="L2327">
        <v>2.39</v>
      </c>
      <c r="M2327" t="s">
        <v>46</v>
      </c>
      <c r="N2327" t="s">
        <v>3363</v>
      </c>
      <c r="O2327">
        <v>6.84</v>
      </c>
      <c r="P2327">
        <v>6.58</v>
      </c>
      <c r="Q2327">
        <v>6.6</v>
      </c>
      <c r="R2327">
        <v>6.61</v>
      </c>
      <c r="S2327">
        <v>3.93</v>
      </c>
      <c r="T2327">
        <v>1.47</v>
      </c>
      <c r="U2327">
        <v>51.62</v>
      </c>
      <c r="V2327">
        <v>3291</v>
      </c>
      <c r="W2327">
        <v>6.72</v>
      </c>
      <c r="X2327" t="s">
        <v>4009</v>
      </c>
      <c r="Y2327" t="s">
        <v>2132</v>
      </c>
      <c r="Z2327">
        <v>0.78</v>
      </c>
      <c r="AA2327">
        <v>555</v>
      </c>
      <c r="AB2327">
        <v>819</v>
      </c>
      <c r="AC2327">
        <v>2.12</v>
      </c>
      <c r="AD2327" t="s">
        <v>12703</v>
      </c>
      <c r="AE2327" t="s">
        <v>12704</v>
      </c>
      <c r="AF2327" t="s">
        <v>12703</v>
      </c>
      <c r="AG2327" t="s">
        <v>12704</v>
      </c>
      <c r="AH2327">
        <v>1.97</v>
      </c>
      <c r="AI2327">
        <v>2.6</v>
      </c>
      <c r="AJ2327">
        <v>5.12</v>
      </c>
      <c r="AK2327">
        <v>10.54</v>
      </c>
      <c r="AL2327">
        <v>2</v>
      </c>
      <c r="AM2327">
        <v>1.66</v>
      </c>
      <c r="AN2327">
        <v>28.98</v>
      </c>
      <c r="AO2327">
        <v>4.02</v>
      </c>
      <c r="AP2327">
        <v>18.52</v>
      </c>
    </row>
    <row r="2328" spans="1:42">
      <c r="A2328">
        <v>2327</v>
      </c>
      <c r="B2328" t="str">
        <f>"301301"</f>
        <v>301301</v>
      </c>
      <c r="C2328" t="s">
        <v>12705</v>
      </c>
      <c r="D2328">
        <v>9.05</v>
      </c>
      <c r="E2328">
        <v>0.33</v>
      </c>
      <c r="F2328">
        <v>0.03</v>
      </c>
      <c r="G2328" t="s">
        <v>6038</v>
      </c>
      <c r="H2328">
        <v>754</v>
      </c>
      <c r="I2328">
        <v>9.05</v>
      </c>
      <c r="J2328">
        <v>9.06</v>
      </c>
      <c r="K2328" t="s">
        <v>12706</v>
      </c>
      <c r="L2328">
        <v>3.85</v>
      </c>
      <c r="M2328" t="s">
        <v>46</v>
      </c>
      <c r="N2328" t="s">
        <v>7306</v>
      </c>
      <c r="O2328">
        <v>9.2</v>
      </c>
      <c r="P2328">
        <v>9</v>
      </c>
      <c r="Q2328">
        <v>9.02</v>
      </c>
      <c r="R2328">
        <v>9.02</v>
      </c>
      <c r="S2328">
        <v>2.22</v>
      </c>
      <c r="T2328">
        <v>0.44</v>
      </c>
      <c r="U2328">
        <v>-1.5</v>
      </c>
      <c r="V2328">
        <v>-69</v>
      </c>
      <c r="W2328">
        <v>9.09</v>
      </c>
      <c r="X2328" t="s">
        <v>456</v>
      </c>
      <c r="Y2328" t="s">
        <v>5877</v>
      </c>
      <c r="Z2328">
        <v>1.04</v>
      </c>
      <c r="AA2328">
        <v>108</v>
      </c>
      <c r="AB2328">
        <v>567</v>
      </c>
      <c r="AC2328">
        <v>3.02</v>
      </c>
      <c r="AD2328" t="s">
        <v>12707</v>
      </c>
      <c r="AE2328" t="s">
        <v>12708</v>
      </c>
      <c r="AF2328" t="s">
        <v>12709</v>
      </c>
      <c r="AG2328" t="s">
        <v>7500</v>
      </c>
      <c r="AH2328">
        <v>-1.95</v>
      </c>
      <c r="AI2328">
        <v>-4.74</v>
      </c>
      <c r="AJ2328">
        <v>15.45</v>
      </c>
      <c r="AK2328">
        <v>47.54</v>
      </c>
      <c r="AL2328">
        <v>2</v>
      </c>
      <c r="AM2328">
        <v>0.33</v>
      </c>
      <c r="AN2328">
        <v>2.14</v>
      </c>
      <c r="AO2328">
        <v>-0.98</v>
      </c>
      <c r="AP2328">
        <v>84.32</v>
      </c>
    </row>
    <row r="2329" spans="1:42">
      <c r="A2329">
        <v>2328</v>
      </c>
      <c r="B2329" t="str">
        <f>"301349"</f>
        <v>301349</v>
      </c>
      <c r="C2329" t="s">
        <v>12710</v>
      </c>
      <c r="D2329">
        <v>48.62</v>
      </c>
      <c r="E2329">
        <v>1.89</v>
      </c>
      <c r="F2329">
        <v>0.9</v>
      </c>
      <c r="G2329" t="s">
        <v>1118</v>
      </c>
      <c r="H2329">
        <v>582</v>
      </c>
      <c r="I2329">
        <v>48.61</v>
      </c>
      <c r="J2329">
        <v>48.64</v>
      </c>
      <c r="K2329" t="s">
        <v>12711</v>
      </c>
      <c r="L2329">
        <v>3.84</v>
      </c>
      <c r="M2329" t="s">
        <v>46</v>
      </c>
      <c r="N2329" t="s">
        <v>2427</v>
      </c>
      <c r="O2329">
        <v>49.18</v>
      </c>
      <c r="P2329">
        <v>46.7</v>
      </c>
      <c r="Q2329">
        <v>47.39</v>
      </c>
      <c r="R2329">
        <v>47.72</v>
      </c>
      <c r="S2329">
        <v>5.2</v>
      </c>
      <c r="T2329">
        <v>0.77</v>
      </c>
      <c r="U2329">
        <v>-58.19</v>
      </c>
      <c r="V2329">
        <v>-231</v>
      </c>
      <c r="W2329">
        <v>48.12</v>
      </c>
      <c r="X2329">
        <v>7549</v>
      </c>
      <c r="Y2329">
        <v>8651</v>
      </c>
      <c r="Z2329">
        <v>0.87</v>
      </c>
      <c r="AA2329">
        <v>8</v>
      </c>
      <c r="AB2329">
        <v>1</v>
      </c>
      <c r="AC2329">
        <v>1.78</v>
      </c>
      <c r="AD2329" t="s">
        <v>12712</v>
      </c>
      <c r="AE2329" t="s">
        <v>12713</v>
      </c>
      <c r="AF2329" t="s">
        <v>12714</v>
      </c>
      <c r="AG2329" t="s">
        <v>12715</v>
      </c>
      <c r="AH2329">
        <v>-2.57</v>
      </c>
      <c r="AI2329">
        <v>2.14</v>
      </c>
      <c r="AJ2329">
        <v>16.95</v>
      </c>
      <c r="AK2329">
        <v>28.95</v>
      </c>
      <c r="AL2329">
        <v>1</v>
      </c>
      <c r="AM2329">
        <v>1.89</v>
      </c>
      <c r="AN2329">
        <v>-33.37</v>
      </c>
      <c r="AO2329">
        <v>9.9</v>
      </c>
      <c r="AP2329">
        <v>-39.06</v>
      </c>
    </row>
    <row r="2330" spans="1:42">
      <c r="A2330">
        <v>2329</v>
      </c>
      <c r="B2330" t="str">
        <f>"002408"</f>
        <v>002408</v>
      </c>
      <c r="C2330" t="s">
        <v>12716</v>
      </c>
      <c r="D2330">
        <v>5.53</v>
      </c>
      <c r="E2330">
        <v>-1.25</v>
      </c>
      <c r="F2330">
        <v>-0.07</v>
      </c>
      <c r="G2330" t="s">
        <v>1296</v>
      </c>
      <c r="H2330">
        <v>486</v>
      </c>
      <c r="I2330">
        <v>5.53</v>
      </c>
      <c r="J2330">
        <v>5.54</v>
      </c>
      <c r="K2330" t="s">
        <v>12717</v>
      </c>
      <c r="L2330">
        <v>0.51</v>
      </c>
      <c r="M2330" t="s">
        <v>46</v>
      </c>
      <c r="N2330" t="s">
        <v>5360</v>
      </c>
      <c r="O2330">
        <v>5.63</v>
      </c>
      <c r="P2330">
        <v>5.49</v>
      </c>
      <c r="Q2330">
        <v>5.59</v>
      </c>
      <c r="R2330">
        <v>5.6</v>
      </c>
      <c r="S2330">
        <v>2.5</v>
      </c>
      <c r="T2330">
        <v>1.33</v>
      </c>
      <c r="U2330">
        <v>13.77</v>
      </c>
      <c r="V2330">
        <v>1761</v>
      </c>
      <c r="W2330">
        <v>5.54</v>
      </c>
      <c r="X2330" t="s">
        <v>3302</v>
      </c>
      <c r="Y2330" t="s">
        <v>8476</v>
      </c>
      <c r="Z2330">
        <v>1.14</v>
      </c>
      <c r="AA2330">
        <v>1694</v>
      </c>
      <c r="AB2330">
        <v>923</v>
      </c>
      <c r="AC2330">
        <v>1.2</v>
      </c>
      <c r="AD2330" t="s">
        <v>10022</v>
      </c>
      <c r="AE2330" t="s">
        <v>7773</v>
      </c>
      <c r="AF2330" t="s">
        <v>12718</v>
      </c>
      <c r="AG2330" t="s">
        <v>12719</v>
      </c>
      <c r="AH2330">
        <v>-2.98</v>
      </c>
      <c r="AI2330">
        <v>-4.33</v>
      </c>
      <c r="AJ2330">
        <v>1.39</v>
      </c>
      <c r="AK2330">
        <v>2.43</v>
      </c>
      <c r="AL2330">
        <v>-3</v>
      </c>
      <c r="AM2330">
        <v>-1.25</v>
      </c>
      <c r="AN2330">
        <v>-19.62</v>
      </c>
      <c r="AO2330">
        <v>-6.59</v>
      </c>
      <c r="AP2330">
        <v>-25.87</v>
      </c>
    </row>
    <row r="2331" spans="1:42">
      <c r="A2331">
        <v>2330</v>
      </c>
      <c r="B2331" t="str">
        <f>"600008"</f>
        <v>600008</v>
      </c>
      <c r="C2331" t="s">
        <v>12720</v>
      </c>
      <c r="D2331">
        <v>2.71</v>
      </c>
      <c r="E2331">
        <v>0.37</v>
      </c>
      <c r="F2331">
        <v>0.01</v>
      </c>
      <c r="G2331" t="s">
        <v>1373</v>
      </c>
      <c r="H2331">
        <v>5163</v>
      </c>
      <c r="I2331">
        <v>2.71</v>
      </c>
      <c r="J2331">
        <v>2.72</v>
      </c>
      <c r="K2331" t="s">
        <v>12721</v>
      </c>
      <c r="L2331">
        <v>0.39</v>
      </c>
      <c r="M2331" t="s">
        <v>46</v>
      </c>
      <c r="N2331" t="s">
        <v>2055</v>
      </c>
      <c r="O2331">
        <v>2.73</v>
      </c>
      <c r="P2331">
        <v>2.7</v>
      </c>
      <c r="Q2331">
        <v>2.7</v>
      </c>
      <c r="R2331">
        <v>2.7</v>
      </c>
      <c r="S2331">
        <v>1.11</v>
      </c>
      <c r="T2331">
        <v>1.06</v>
      </c>
      <c r="U2331">
        <v>-12.88</v>
      </c>
      <c r="V2331" t="s">
        <v>12722</v>
      </c>
      <c r="W2331">
        <v>2.71</v>
      </c>
      <c r="X2331" t="s">
        <v>1493</v>
      </c>
      <c r="Y2331" t="s">
        <v>1296</v>
      </c>
      <c r="Z2331">
        <v>1.04</v>
      </c>
      <c r="AA2331" t="s">
        <v>2284</v>
      </c>
      <c r="AB2331" t="s">
        <v>9211</v>
      </c>
      <c r="AC2331">
        <v>1.05</v>
      </c>
      <c r="AD2331" t="s">
        <v>12723</v>
      </c>
      <c r="AE2331" t="s">
        <v>12724</v>
      </c>
      <c r="AF2331" t="s">
        <v>12723</v>
      </c>
      <c r="AG2331" t="s">
        <v>12724</v>
      </c>
      <c r="AH2331">
        <v>-0.37</v>
      </c>
      <c r="AI2331">
        <v>-1.09</v>
      </c>
      <c r="AJ2331">
        <v>1.21</v>
      </c>
      <c r="AK2331">
        <v>2.23</v>
      </c>
      <c r="AL2331">
        <v>2</v>
      </c>
      <c r="AM2331">
        <v>0.37</v>
      </c>
      <c r="AN2331">
        <v>0.37</v>
      </c>
      <c r="AO2331">
        <v>-1.45</v>
      </c>
      <c r="AP2331">
        <v>0</v>
      </c>
    </row>
    <row r="2332" spans="1:42">
      <c r="A2332">
        <v>2331</v>
      </c>
      <c r="B2332" t="str">
        <f>"603199"</f>
        <v>603199</v>
      </c>
      <c r="C2332" t="s">
        <v>12725</v>
      </c>
      <c r="D2332">
        <v>27.24</v>
      </c>
      <c r="E2332">
        <v>-0.04</v>
      </c>
      <c r="F2332">
        <v>-0.01</v>
      </c>
      <c r="G2332" t="s">
        <v>4610</v>
      </c>
      <c r="H2332">
        <v>237</v>
      </c>
      <c r="I2332">
        <v>27.24</v>
      </c>
      <c r="J2332">
        <v>27.25</v>
      </c>
      <c r="K2332" t="s">
        <v>12726</v>
      </c>
      <c r="L2332">
        <v>2.58</v>
      </c>
      <c r="M2332" t="s">
        <v>46</v>
      </c>
      <c r="N2332" t="s">
        <v>2506</v>
      </c>
      <c r="O2332">
        <v>27.57</v>
      </c>
      <c r="P2332">
        <v>27.1</v>
      </c>
      <c r="Q2332">
        <v>27.3</v>
      </c>
      <c r="R2332">
        <v>27.25</v>
      </c>
      <c r="S2332">
        <v>1.72</v>
      </c>
      <c r="T2332">
        <v>1.35</v>
      </c>
      <c r="U2332">
        <v>73.67</v>
      </c>
      <c r="V2332">
        <v>403</v>
      </c>
      <c r="W2332">
        <v>27.29</v>
      </c>
      <c r="X2332" t="s">
        <v>4105</v>
      </c>
      <c r="Y2332" t="s">
        <v>5900</v>
      </c>
      <c r="Z2332">
        <v>1</v>
      </c>
      <c r="AA2332">
        <v>19</v>
      </c>
      <c r="AB2332">
        <v>6</v>
      </c>
      <c r="AC2332">
        <v>2.16</v>
      </c>
      <c r="AD2332" t="s">
        <v>12727</v>
      </c>
      <c r="AE2332" t="s">
        <v>12728</v>
      </c>
      <c r="AF2332" t="s">
        <v>12727</v>
      </c>
      <c r="AG2332" t="s">
        <v>12728</v>
      </c>
      <c r="AH2332">
        <v>1.83</v>
      </c>
      <c r="AI2332">
        <v>1.08</v>
      </c>
      <c r="AJ2332">
        <v>7.24</v>
      </c>
      <c r="AK2332">
        <v>12.1</v>
      </c>
      <c r="AL2332">
        <v>-1</v>
      </c>
      <c r="AM2332">
        <v>-0.04</v>
      </c>
      <c r="AN2332">
        <v>-4.19</v>
      </c>
      <c r="AO2332">
        <v>3.97</v>
      </c>
      <c r="AP2332">
        <v>13.88</v>
      </c>
    </row>
    <row r="2333" spans="1:42">
      <c r="A2333">
        <v>2332</v>
      </c>
      <c r="B2333" t="str">
        <f>"688636"</f>
        <v>688636</v>
      </c>
      <c r="C2333" t="s">
        <v>12729</v>
      </c>
      <c r="D2333">
        <v>63.5</v>
      </c>
      <c r="E2333">
        <v>-1.17</v>
      </c>
      <c r="F2333">
        <v>-0.75</v>
      </c>
      <c r="G2333" t="s">
        <v>4792</v>
      </c>
      <c r="H2333">
        <v>71</v>
      </c>
      <c r="I2333">
        <v>63.5</v>
      </c>
      <c r="J2333">
        <v>63.54</v>
      </c>
      <c r="K2333" t="s">
        <v>12730</v>
      </c>
      <c r="L2333">
        <v>2.76</v>
      </c>
      <c r="M2333" t="s">
        <v>46</v>
      </c>
      <c r="N2333" t="s">
        <v>3617</v>
      </c>
      <c r="O2333">
        <v>64</v>
      </c>
      <c r="P2333">
        <v>61.98</v>
      </c>
      <c r="Q2333">
        <v>63.33</v>
      </c>
      <c r="R2333">
        <v>64.25</v>
      </c>
      <c r="S2333">
        <v>3.14</v>
      </c>
      <c r="T2333">
        <v>0.94</v>
      </c>
      <c r="U2333">
        <v>55.22</v>
      </c>
      <c r="V2333">
        <v>175</v>
      </c>
      <c r="W2333">
        <v>63.13</v>
      </c>
      <c r="X2333">
        <v>6133</v>
      </c>
      <c r="Y2333">
        <v>6201</v>
      </c>
      <c r="Z2333">
        <v>0.99</v>
      </c>
      <c r="AA2333">
        <v>186</v>
      </c>
      <c r="AB2333">
        <v>6</v>
      </c>
      <c r="AC2333">
        <v>4.55</v>
      </c>
      <c r="AD2333" t="s">
        <v>12731</v>
      </c>
      <c r="AE2333" t="s">
        <v>12732</v>
      </c>
      <c r="AF2333" t="s">
        <v>12733</v>
      </c>
      <c r="AG2333" t="s">
        <v>11930</v>
      </c>
      <c r="AH2333">
        <v>0.16</v>
      </c>
      <c r="AI2333">
        <v>6.22</v>
      </c>
      <c r="AJ2333">
        <v>8.61</v>
      </c>
      <c r="AK2333">
        <v>17.51</v>
      </c>
      <c r="AL2333">
        <v>-2</v>
      </c>
      <c r="AM2333">
        <v>-1.17</v>
      </c>
      <c r="AN2333">
        <v>-10.34</v>
      </c>
      <c r="AO2333">
        <v>19.05</v>
      </c>
      <c r="AP2333">
        <v>-28.38</v>
      </c>
    </row>
    <row r="2334" spans="1:42">
      <c r="A2334">
        <v>2333</v>
      </c>
      <c r="B2334" t="str">
        <f>"603167"</f>
        <v>603167</v>
      </c>
      <c r="C2334" t="s">
        <v>12734</v>
      </c>
      <c r="D2334">
        <v>8.44</v>
      </c>
      <c r="E2334">
        <v>2.18</v>
      </c>
      <c r="F2334">
        <v>0.18</v>
      </c>
      <c r="G2334" t="s">
        <v>4577</v>
      </c>
      <c r="H2334">
        <v>1108</v>
      </c>
      <c r="I2334">
        <v>8.43</v>
      </c>
      <c r="J2334">
        <v>8.44</v>
      </c>
      <c r="K2334" t="s">
        <v>12735</v>
      </c>
      <c r="L2334">
        <v>1.98</v>
      </c>
      <c r="M2334" t="s">
        <v>46</v>
      </c>
      <c r="N2334" t="s">
        <v>3001</v>
      </c>
      <c r="O2334">
        <v>8.49</v>
      </c>
      <c r="P2334">
        <v>8.28</v>
      </c>
      <c r="Q2334">
        <v>8.31</v>
      </c>
      <c r="R2334">
        <v>8.26</v>
      </c>
      <c r="S2334">
        <v>2.54</v>
      </c>
      <c r="T2334">
        <v>1.08</v>
      </c>
      <c r="U2334">
        <v>-13.36</v>
      </c>
      <c r="V2334">
        <v>-944</v>
      </c>
      <c r="W2334">
        <v>8.4</v>
      </c>
      <c r="X2334" t="s">
        <v>3291</v>
      </c>
      <c r="Y2334" t="s">
        <v>6890</v>
      </c>
      <c r="Z2334">
        <v>0.72</v>
      </c>
      <c r="AA2334">
        <v>167</v>
      </c>
      <c r="AB2334">
        <v>439</v>
      </c>
      <c r="AC2334">
        <v>1.05</v>
      </c>
      <c r="AD2334" t="s">
        <v>12736</v>
      </c>
      <c r="AE2334" t="s">
        <v>12737</v>
      </c>
      <c r="AF2334" t="s">
        <v>12736</v>
      </c>
      <c r="AG2334" t="s">
        <v>12737</v>
      </c>
      <c r="AH2334">
        <v>2.93</v>
      </c>
      <c r="AI2334">
        <v>3.69</v>
      </c>
      <c r="AJ2334">
        <v>6.44</v>
      </c>
      <c r="AK2334">
        <v>11.11</v>
      </c>
      <c r="AL2334">
        <v>1</v>
      </c>
      <c r="AM2334">
        <v>2.18</v>
      </c>
      <c r="AN2334">
        <v>17.06</v>
      </c>
      <c r="AO2334">
        <v>9.47</v>
      </c>
      <c r="AP2334">
        <v>24.85</v>
      </c>
    </row>
    <row r="2335" spans="1:42">
      <c r="A2335">
        <v>2334</v>
      </c>
      <c r="B2335" t="str">
        <f>"300484"</f>
        <v>300484</v>
      </c>
      <c r="C2335" t="s">
        <v>12738</v>
      </c>
      <c r="D2335">
        <v>12.72</v>
      </c>
      <c r="E2335">
        <v>-1.7</v>
      </c>
      <c r="F2335">
        <v>-0.22</v>
      </c>
      <c r="G2335" t="s">
        <v>6873</v>
      </c>
      <c r="H2335">
        <v>944</v>
      </c>
      <c r="I2335">
        <v>12.72</v>
      </c>
      <c r="J2335">
        <v>12.73</v>
      </c>
      <c r="K2335" t="s">
        <v>12739</v>
      </c>
      <c r="L2335">
        <v>3.82</v>
      </c>
      <c r="M2335" t="s">
        <v>46</v>
      </c>
      <c r="N2335" t="s">
        <v>5496</v>
      </c>
      <c r="O2335">
        <v>13</v>
      </c>
      <c r="P2335">
        <v>12.61</v>
      </c>
      <c r="Q2335">
        <v>12.84</v>
      </c>
      <c r="R2335">
        <v>12.94</v>
      </c>
      <c r="S2335">
        <v>3.01</v>
      </c>
      <c r="T2335">
        <v>0.91</v>
      </c>
      <c r="U2335">
        <v>39.21</v>
      </c>
      <c r="V2335">
        <v>507</v>
      </c>
      <c r="W2335">
        <v>12.72</v>
      </c>
      <c r="X2335" t="s">
        <v>5675</v>
      </c>
      <c r="Y2335" t="s">
        <v>1080</v>
      </c>
      <c r="Z2335">
        <v>1.1</v>
      </c>
      <c r="AA2335">
        <v>145</v>
      </c>
      <c r="AB2335">
        <v>177</v>
      </c>
      <c r="AC2335">
        <v>4.1</v>
      </c>
      <c r="AD2335" t="s">
        <v>12740</v>
      </c>
      <c r="AE2335" t="s">
        <v>12741</v>
      </c>
      <c r="AF2335" t="s">
        <v>6761</v>
      </c>
      <c r="AG2335" t="s">
        <v>12742</v>
      </c>
      <c r="AH2335">
        <v>-0.62</v>
      </c>
      <c r="AI2335">
        <v>0.24</v>
      </c>
      <c r="AJ2335">
        <v>19.55</v>
      </c>
      <c r="AK2335">
        <v>24.73</v>
      </c>
      <c r="AL2335">
        <v>-2</v>
      </c>
      <c r="AM2335">
        <v>-1.7</v>
      </c>
      <c r="AN2335">
        <v>25.44</v>
      </c>
      <c r="AO2335">
        <v>5.3</v>
      </c>
      <c r="AP2335">
        <v>10.32</v>
      </c>
    </row>
    <row r="2336" spans="1:42">
      <c r="A2336">
        <v>2335</v>
      </c>
      <c r="B2336" t="str">
        <f>"301251"</f>
        <v>301251</v>
      </c>
      <c r="C2336" t="s">
        <v>12743</v>
      </c>
      <c r="D2336">
        <v>39.6</v>
      </c>
      <c r="E2336">
        <v>1.02</v>
      </c>
      <c r="F2336">
        <v>0.4</v>
      </c>
      <c r="G2336" t="s">
        <v>1590</v>
      </c>
      <c r="H2336">
        <v>189</v>
      </c>
      <c r="I2336">
        <v>39.59</v>
      </c>
      <c r="J2336">
        <v>39.6</v>
      </c>
      <c r="K2336" t="s">
        <v>12744</v>
      </c>
      <c r="L2336">
        <v>6.22</v>
      </c>
      <c r="M2336" t="s">
        <v>46</v>
      </c>
      <c r="N2336" t="s">
        <v>1461</v>
      </c>
      <c r="O2336">
        <v>39.7</v>
      </c>
      <c r="P2336">
        <v>38.7</v>
      </c>
      <c r="Q2336">
        <v>39.1</v>
      </c>
      <c r="R2336">
        <v>39.2</v>
      </c>
      <c r="S2336">
        <v>2.55</v>
      </c>
      <c r="T2336">
        <v>0.59</v>
      </c>
      <c r="U2336">
        <v>16.47</v>
      </c>
      <c r="V2336">
        <v>134</v>
      </c>
      <c r="W2336">
        <v>39.17</v>
      </c>
      <c r="X2336">
        <v>9134</v>
      </c>
      <c r="Y2336" t="s">
        <v>2147</v>
      </c>
      <c r="Z2336">
        <v>0.85</v>
      </c>
      <c r="AA2336">
        <v>408</v>
      </c>
      <c r="AB2336">
        <v>118</v>
      </c>
      <c r="AC2336">
        <v>3.76</v>
      </c>
      <c r="AD2336" t="s">
        <v>10544</v>
      </c>
      <c r="AE2336" t="s">
        <v>12745</v>
      </c>
      <c r="AF2336" t="s">
        <v>12746</v>
      </c>
      <c r="AG2336" t="s">
        <v>12224</v>
      </c>
      <c r="AH2336">
        <v>-3.84</v>
      </c>
      <c r="AI2336">
        <v>-4</v>
      </c>
      <c r="AJ2336">
        <v>27.16</v>
      </c>
      <c r="AK2336">
        <v>59.45</v>
      </c>
      <c r="AL2336">
        <v>1</v>
      </c>
      <c r="AM2336">
        <v>1.02</v>
      </c>
      <c r="AN2336">
        <v>37.12</v>
      </c>
      <c r="AO2336">
        <v>-1.22</v>
      </c>
      <c r="AP2336">
        <v>37.12</v>
      </c>
    </row>
    <row r="2337" spans="1:42">
      <c r="A2337">
        <v>2336</v>
      </c>
      <c r="B2337" t="str">
        <f>"300710"</f>
        <v>300710</v>
      </c>
      <c r="C2337" t="s">
        <v>12747</v>
      </c>
      <c r="D2337">
        <v>25.69</v>
      </c>
      <c r="E2337">
        <v>0.35</v>
      </c>
      <c r="F2337">
        <v>0.09</v>
      </c>
      <c r="G2337" t="s">
        <v>6803</v>
      </c>
      <c r="H2337">
        <v>604</v>
      </c>
      <c r="I2337">
        <v>25.69</v>
      </c>
      <c r="J2337">
        <v>25.7</v>
      </c>
      <c r="K2337" t="s">
        <v>8473</v>
      </c>
      <c r="L2337">
        <v>3.41</v>
      </c>
      <c r="M2337" t="s">
        <v>46</v>
      </c>
      <c r="N2337" t="s">
        <v>5717</v>
      </c>
      <c r="O2337">
        <v>26.1</v>
      </c>
      <c r="P2337">
        <v>25.25</v>
      </c>
      <c r="Q2337">
        <v>25.5</v>
      </c>
      <c r="R2337">
        <v>25.6</v>
      </c>
      <c r="S2337">
        <v>3.32</v>
      </c>
      <c r="T2337">
        <v>0.61</v>
      </c>
      <c r="U2337">
        <v>83.17</v>
      </c>
      <c r="V2337">
        <v>889</v>
      </c>
      <c r="W2337">
        <v>25.63</v>
      </c>
      <c r="X2337" t="s">
        <v>1110</v>
      </c>
      <c r="Y2337" t="s">
        <v>1777</v>
      </c>
      <c r="Z2337">
        <v>1.27</v>
      </c>
      <c r="AA2337">
        <v>12</v>
      </c>
      <c r="AB2337">
        <v>12</v>
      </c>
      <c r="AC2337">
        <v>3.98</v>
      </c>
      <c r="AD2337" t="s">
        <v>10944</v>
      </c>
      <c r="AE2337" t="s">
        <v>12748</v>
      </c>
      <c r="AF2337" t="s">
        <v>11779</v>
      </c>
      <c r="AG2337" t="s">
        <v>12749</v>
      </c>
      <c r="AH2337">
        <v>-2.87</v>
      </c>
      <c r="AI2337">
        <v>1.5</v>
      </c>
      <c r="AJ2337">
        <v>17.06</v>
      </c>
      <c r="AK2337">
        <v>31.59</v>
      </c>
      <c r="AL2337">
        <v>1</v>
      </c>
      <c r="AM2337">
        <v>0.35</v>
      </c>
      <c r="AN2337">
        <v>5.37</v>
      </c>
      <c r="AO2337">
        <v>5.29</v>
      </c>
      <c r="AP2337">
        <v>-16.81</v>
      </c>
    </row>
    <row r="2338" spans="1:42">
      <c r="A2338">
        <v>2337</v>
      </c>
      <c r="B2338" t="str">
        <f>"300466"</f>
        <v>300466</v>
      </c>
      <c r="C2338" t="s">
        <v>12750</v>
      </c>
      <c r="D2338">
        <v>7.08</v>
      </c>
      <c r="E2338">
        <v>0</v>
      </c>
      <c r="F2338">
        <v>0</v>
      </c>
      <c r="G2338" t="s">
        <v>829</v>
      </c>
      <c r="H2338">
        <v>1580</v>
      </c>
      <c r="I2338">
        <v>7.08</v>
      </c>
      <c r="J2338">
        <v>7.09</v>
      </c>
      <c r="K2338" t="s">
        <v>12751</v>
      </c>
      <c r="L2338">
        <v>2.64</v>
      </c>
      <c r="M2338" t="s">
        <v>46</v>
      </c>
      <c r="N2338" t="s">
        <v>2794</v>
      </c>
      <c r="O2338">
        <v>7.11</v>
      </c>
      <c r="P2338">
        <v>6.92</v>
      </c>
      <c r="Q2338">
        <v>7.05</v>
      </c>
      <c r="R2338">
        <v>7.08</v>
      </c>
      <c r="S2338">
        <v>2.68</v>
      </c>
      <c r="T2338">
        <v>0.39</v>
      </c>
      <c r="U2338">
        <v>9</v>
      </c>
      <c r="V2338">
        <v>517</v>
      </c>
      <c r="W2338">
        <v>7.02</v>
      </c>
      <c r="X2338" t="s">
        <v>4901</v>
      </c>
      <c r="Y2338" t="s">
        <v>5191</v>
      </c>
      <c r="Z2338">
        <v>1.13</v>
      </c>
      <c r="AA2338">
        <v>39</v>
      </c>
      <c r="AB2338">
        <v>247</v>
      </c>
      <c r="AC2338">
        <v>4.31</v>
      </c>
      <c r="AD2338" t="s">
        <v>12752</v>
      </c>
      <c r="AE2338" t="s">
        <v>12753</v>
      </c>
      <c r="AF2338" t="s">
        <v>7825</v>
      </c>
      <c r="AG2338" t="s">
        <v>12754</v>
      </c>
      <c r="AH2338">
        <v>-5.35</v>
      </c>
      <c r="AI2338">
        <v>-2.34</v>
      </c>
      <c r="AJ2338">
        <v>13.32</v>
      </c>
      <c r="AK2338">
        <v>36.64</v>
      </c>
      <c r="AL2338">
        <v>0</v>
      </c>
      <c r="AM2338">
        <v>0</v>
      </c>
      <c r="AN2338">
        <v>56.29</v>
      </c>
      <c r="AO2338">
        <v>6.15</v>
      </c>
      <c r="AP2338">
        <v>35.89</v>
      </c>
    </row>
    <row r="2339" spans="1:42">
      <c r="A2339">
        <v>2338</v>
      </c>
      <c r="B2339" t="str">
        <f>"600808"</f>
        <v>600808</v>
      </c>
      <c r="C2339" t="s">
        <v>12755</v>
      </c>
      <c r="D2339">
        <v>2.74</v>
      </c>
      <c r="E2339">
        <v>1.48</v>
      </c>
      <c r="F2339">
        <v>0.04</v>
      </c>
      <c r="G2339" t="s">
        <v>2213</v>
      </c>
      <c r="H2339">
        <v>1680</v>
      </c>
      <c r="I2339">
        <v>2.74</v>
      </c>
      <c r="J2339">
        <v>2.75</v>
      </c>
      <c r="K2339" t="s">
        <v>12751</v>
      </c>
      <c r="L2339">
        <v>0.48</v>
      </c>
      <c r="M2339" t="s">
        <v>46</v>
      </c>
      <c r="N2339" t="s">
        <v>1871</v>
      </c>
      <c r="O2339">
        <v>2.76</v>
      </c>
      <c r="P2339">
        <v>2.69</v>
      </c>
      <c r="Q2339">
        <v>2.7</v>
      </c>
      <c r="R2339">
        <v>2.7</v>
      </c>
      <c r="S2339">
        <v>2.59</v>
      </c>
      <c r="T2339">
        <v>1.79</v>
      </c>
      <c r="U2339">
        <v>-51.63</v>
      </c>
      <c r="V2339" t="s">
        <v>12756</v>
      </c>
      <c r="W2339">
        <v>2.74</v>
      </c>
      <c r="X2339" t="s">
        <v>1540</v>
      </c>
      <c r="Y2339" t="s">
        <v>2778</v>
      </c>
      <c r="Z2339">
        <v>0.71</v>
      </c>
      <c r="AA2339">
        <v>100</v>
      </c>
      <c r="AB2339">
        <v>8675</v>
      </c>
      <c r="AC2339">
        <v>0.77</v>
      </c>
      <c r="AD2339" t="s">
        <v>12757</v>
      </c>
      <c r="AE2339" t="s">
        <v>12758</v>
      </c>
      <c r="AF2339" t="s">
        <v>12759</v>
      </c>
      <c r="AG2339" t="s">
        <v>8795</v>
      </c>
      <c r="AH2339">
        <v>0.74</v>
      </c>
      <c r="AI2339">
        <v>-0.36</v>
      </c>
      <c r="AJ2339">
        <v>1.05</v>
      </c>
      <c r="AK2339">
        <v>1.8</v>
      </c>
      <c r="AL2339">
        <v>2</v>
      </c>
      <c r="AM2339">
        <v>1.48</v>
      </c>
      <c r="AN2339">
        <v>-1.79</v>
      </c>
      <c r="AO2339">
        <v>1.11</v>
      </c>
      <c r="AP2339">
        <v>-3.18</v>
      </c>
    </row>
    <row r="2340" spans="1:42">
      <c r="A2340">
        <v>2339</v>
      </c>
      <c r="B2340" t="str">
        <f>"605258"</f>
        <v>605258</v>
      </c>
      <c r="C2340" t="s">
        <v>12760</v>
      </c>
      <c r="D2340">
        <v>28.6</v>
      </c>
      <c r="E2340">
        <v>1.45</v>
      </c>
      <c r="F2340">
        <v>0.41</v>
      </c>
      <c r="G2340" t="s">
        <v>3121</v>
      </c>
      <c r="H2340">
        <v>671</v>
      </c>
      <c r="I2340">
        <v>28.59</v>
      </c>
      <c r="J2340">
        <v>28.6</v>
      </c>
      <c r="K2340" t="s">
        <v>12761</v>
      </c>
      <c r="L2340">
        <v>7.26</v>
      </c>
      <c r="M2340" t="s">
        <v>46</v>
      </c>
      <c r="N2340" t="s">
        <v>2641</v>
      </c>
      <c r="O2340">
        <v>28.62</v>
      </c>
      <c r="P2340">
        <v>27.91</v>
      </c>
      <c r="Q2340">
        <v>28.08</v>
      </c>
      <c r="R2340">
        <v>28.19</v>
      </c>
      <c r="S2340">
        <v>2.52</v>
      </c>
      <c r="T2340">
        <v>0.55</v>
      </c>
      <c r="U2340">
        <v>-22.99</v>
      </c>
      <c r="V2340">
        <v>-160</v>
      </c>
      <c r="W2340">
        <v>28.31</v>
      </c>
      <c r="X2340" t="s">
        <v>682</v>
      </c>
      <c r="Y2340" t="s">
        <v>6595</v>
      </c>
      <c r="Z2340">
        <v>0.85</v>
      </c>
      <c r="AA2340">
        <v>60</v>
      </c>
      <c r="AB2340">
        <v>157</v>
      </c>
      <c r="AC2340">
        <v>2.17</v>
      </c>
      <c r="AD2340" t="s">
        <v>10616</v>
      </c>
      <c r="AE2340" t="s">
        <v>12762</v>
      </c>
      <c r="AF2340" t="s">
        <v>11896</v>
      </c>
      <c r="AG2340" t="s">
        <v>9551</v>
      </c>
      <c r="AH2340">
        <v>-7.26</v>
      </c>
      <c r="AI2340">
        <v>-10.12</v>
      </c>
      <c r="AJ2340">
        <v>36.07</v>
      </c>
      <c r="AK2340">
        <v>72.81</v>
      </c>
      <c r="AL2340">
        <v>1</v>
      </c>
      <c r="AM2340">
        <v>1.45</v>
      </c>
      <c r="AN2340">
        <v>14.72</v>
      </c>
      <c r="AO2340">
        <v>1.6</v>
      </c>
      <c r="AP2340">
        <v>25.6</v>
      </c>
    </row>
    <row r="2341" spans="1:42">
      <c r="A2341">
        <v>2340</v>
      </c>
      <c r="B2341" t="str">
        <f>"600018"</f>
        <v>600018</v>
      </c>
      <c r="C2341" t="s">
        <v>12763</v>
      </c>
      <c r="D2341">
        <v>5.03</v>
      </c>
      <c r="E2341">
        <v>0</v>
      </c>
      <c r="F2341">
        <v>0</v>
      </c>
      <c r="G2341" t="s">
        <v>2291</v>
      </c>
      <c r="H2341">
        <v>3280</v>
      </c>
      <c r="I2341">
        <v>5.03</v>
      </c>
      <c r="J2341">
        <v>5.04</v>
      </c>
      <c r="K2341" t="s">
        <v>12764</v>
      </c>
      <c r="L2341">
        <v>0.07</v>
      </c>
      <c r="M2341" t="s">
        <v>46</v>
      </c>
      <c r="N2341" t="s">
        <v>8699</v>
      </c>
      <c r="O2341">
        <v>5.06</v>
      </c>
      <c r="P2341">
        <v>5.01</v>
      </c>
      <c r="Q2341">
        <v>5.05</v>
      </c>
      <c r="R2341">
        <v>5.03</v>
      </c>
      <c r="S2341">
        <v>0.99</v>
      </c>
      <c r="T2341">
        <v>0.91</v>
      </c>
      <c r="U2341">
        <v>-59.39</v>
      </c>
      <c r="V2341" t="s">
        <v>12765</v>
      </c>
      <c r="W2341">
        <v>5.04</v>
      </c>
      <c r="X2341" t="s">
        <v>6231</v>
      </c>
      <c r="Y2341" t="s">
        <v>6698</v>
      </c>
      <c r="Z2341">
        <v>1.03</v>
      </c>
      <c r="AA2341">
        <v>134</v>
      </c>
      <c r="AB2341">
        <v>2570</v>
      </c>
      <c r="AC2341">
        <v>0.97</v>
      </c>
      <c r="AD2341" t="s">
        <v>7908</v>
      </c>
      <c r="AE2341" t="s">
        <v>12766</v>
      </c>
      <c r="AF2341" t="s">
        <v>10787</v>
      </c>
      <c r="AG2341" t="s">
        <v>94</v>
      </c>
      <c r="AH2341">
        <v>0.8</v>
      </c>
      <c r="AI2341">
        <v>1</v>
      </c>
      <c r="AJ2341">
        <v>0.22</v>
      </c>
      <c r="AK2341">
        <v>0.43</v>
      </c>
      <c r="AL2341">
        <v>0</v>
      </c>
      <c r="AM2341">
        <v>0</v>
      </c>
      <c r="AN2341">
        <v>-3.27</v>
      </c>
      <c r="AO2341">
        <v>0.8</v>
      </c>
      <c r="AP2341">
        <v>-2.9</v>
      </c>
    </row>
    <row r="2342" spans="1:42">
      <c r="A2342">
        <v>2341</v>
      </c>
      <c r="B2342" t="str">
        <f>"600825"</f>
        <v>600825</v>
      </c>
      <c r="C2342" t="s">
        <v>12767</v>
      </c>
      <c r="D2342">
        <v>4.79</v>
      </c>
      <c r="E2342">
        <v>3.9</v>
      </c>
      <c r="F2342">
        <v>0.18</v>
      </c>
      <c r="G2342" t="s">
        <v>3155</v>
      </c>
      <c r="H2342">
        <v>1578</v>
      </c>
      <c r="I2342">
        <v>4.78</v>
      </c>
      <c r="J2342">
        <v>4.79</v>
      </c>
      <c r="K2342" t="s">
        <v>12768</v>
      </c>
      <c r="L2342">
        <v>1.57</v>
      </c>
      <c r="M2342" t="s">
        <v>46</v>
      </c>
      <c r="N2342" t="s">
        <v>5637</v>
      </c>
      <c r="O2342">
        <v>4.8</v>
      </c>
      <c r="P2342">
        <v>4.6</v>
      </c>
      <c r="Q2342">
        <v>4.65</v>
      </c>
      <c r="R2342">
        <v>4.61</v>
      </c>
      <c r="S2342">
        <v>4.34</v>
      </c>
      <c r="T2342">
        <v>1.16</v>
      </c>
      <c r="U2342">
        <v>-30.21</v>
      </c>
      <c r="V2342">
        <v>-5044</v>
      </c>
      <c r="W2342">
        <v>4.73</v>
      </c>
      <c r="X2342" t="s">
        <v>6608</v>
      </c>
      <c r="Y2342" t="s">
        <v>3402</v>
      </c>
      <c r="Z2342">
        <v>0.6</v>
      </c>
      <c r="AA2342">
        <v>908</v>
      </c>
      <c r="AB2342">
        <v>451</v>
      </c>
      <c r="AC2342">
        <v>1.98</v>
      </c>
      <c r="AD2342" t="s">
        <v>2997</v>
      </c>
      <c r="AE2342" t="s">
        <v>12769</v>
      </c>
      <c r="AF2342" t="s">
        <v>2997</v>
      </c>
      <c r="AG2342" t="s">
        <v>12769</v>
      </c>
      <c r="AH2342">
        <v>2.35</v>
      </c>
      <c r="AI2342">
        <v>0.21</v>
      </c>
      <c r="AJ2342">
        <v>3.51</v>
      </c>
      <c r="AK2342">
        <v>8.34</v>
      </c>
      <c r="AL2342">
        <v>1</v>
      </c>
      <c r="AM2342">
        <v>3.9</v>
      </c>
      <c r="AN2342">
        <v>20.65</v>
      </c>
      <c r="AO2342">
        <v>10.88</v>
      </c>
      <c r="AP2342">
        <v>26.72</v>
      </c>
    </row>
    <row r="2343" spans="1:42">
      <c r="A2343">
        <v>2342</v>
      </c>
      <c r="B2343" t="str">
        <f>"688289"</f>
        <v>688289</v>
      </c>
      <c r="C2343" t="s">
        <v>12770</v>
      </c>
      <c r="D2343">
        <v>18.69</v>
      </c>
      <c r="E2343">
        <v>0.48</v>
      </c>
      <c r="F2343">
        <v>0.09</v>
      </c>
      <c r="G2343" t="s">
        <v>2337</v>
      </c>
      <c r="H2343">
        <v>100</v>
      </c>
      <c r="I2343">
        <v>18.68</v>
      </c>
      <c r="J2343">
        <v>18.69</v>
      </c>
      <c r="K2343" t="s">
        <v>12771</v>
      </c>
      <c r="L2343">
        <v>0.71</v>
      </c>
      <c r="M2343" t="s">
        <v>46</v>
      </c>
      <c r="N2343" t="s">
        <v>12772</v>
      </c>
      <c r="O2343">
        <v>18.75</v>
      </c>
      <c r="P2343">
        <v>18.3</v>
      </c>
      <c r="Q2343">
        <v>18.52</v>
      </c>
      <c r="R2343">
        <v>18.6</v>
      </c>
      <c r="S2343">
        <v>2.42</v>
      </c>
      <c r="T2343">
        <v>0.6</v>
      </c>
      <c r="U2343">
        <v>-46.99</v>
      </c>
      <c r="V2343">
        <v>-228</v>
      </c>
      <c r="W2343">
        <v>18.5</v>
      </c>
      <c r="X2343" t="s">
        <v>1520</v>
      </c>
      <c r="Y2343" t="s">
        <v>985</v>
      </c>
      <c r="Z2343">
        <v>1.06</v>
      </c>
      <c r="AA2343">
        <v>10</v>
      </c>
      <c r="AB2343">
        <v>10</v>
      </c>
      <c r="AC2343">
        <v>1.48</v>
      </c>
      <c r="AD2343" t="s">
        <v>12773</v>
      </c>
      <c r="AE2343" t="s">
        <v>694</v>
      </c>
      <c r="AF2343" t="s">
        <v>12773</v>
      </c>
      <c r="AG2343" t="s">
        <v>694</v>
      </c>
      <c r="AH2343">
        <v>-0.48</v>
      </c>
      <c r="AI2343">
        <v>4.18</v>
      </c>
      <c r="AJ2343">
        <v>2.56</v>
      </c>
      <c r="AK2343">
        <v>6.67</v>
      </c>
      <c r="AL2343">
        <v>2</v>
      </c>
      <c r="AM2343">
        <v>0.48</v>
      </c>
      <c r="AN2343">
        <v>-13.11</v>
      </c>
      <c r="AO2343">
        <v>13.07</v>
      </c>
      <c r="AP2343">
        <v>-25.63</v>
      </c>
    </row>
    <row r="2344" spans="1:42">
      <c r="A2344">
        <v>2343</v>
      </c>
      <c r="B2344" t="str">
        <f>"002130"</f>
        <v>002130</v>
      </c>
      <c r="C2344" t="s">
        <v>12774</v>
      </c>
      <c r="D2344">
        <v>7.38</v>
      </c>
      <c r="E2344">
        <v>0.27</v>
      </c>
      <c r="F2344">
        <v>0.02</v>
      </c>
      <c r="G2344" t="s">
        <v>881</v>
      </c>
      <c r="H2344">
        <v>454</v>
      </c>
      <c r="I2344">
        <v>7.38</v>
      </c>
      <c r="J2344">
        <v>7.39</v>
      </c>
      <c r="K2344" t="s">
        <v>12775</v>
      </c>
      <c r="L2344">
        <v>0.84</v>
      </c>
      <c r="M2344" t="s">
        <v>46</v>
      </c>
      <c r="N2344" t="s">
        <v>12776</v>
      </c>
      <c r="O2344">
        <v>7.42</v>
      </c>
      <c r="P2344">
        <v>7.29</v>
      </c>
      <c r="Q2344">
        <v>7.36</v>
      </c>
      <c r="R2344">
        <v>7.36</v>
      </c>
      <c r="S2344">
        <v>1.77</v>
      </c>
      <c r="T2344">
        <v>0.93</v>
      </c>
      <c r="U2344">
        <v>-38.09</v>
      </c>
      <c r="V2344">
        <v>-3717</v>
      </c>
      <c r="W2344">
        <v>7.35</v>
      </c>
      <c r="X2344" t="s">
        <v>4584</v>
      </c>
      <c r="Y2344" t="s">
        <v>6203</v>
      </c>
      <c r="Z2344">
        <v>1.19</v>
      </c>
      <c r="AA2344">
        <v>373</v>
      </c>
      <c r="AB2344">
        <v>535</v>
      </c>
      <c r="AC2344">
        <v>1.93</v>
      </c>
      <c r="AD2344" t="s">
        <v>12777</v>
      </c>
      <c r="AE2344" t="s">
        <v>12778</v>
      </c>
      <c r="AF2344" t="s">
        <v>12779</v>
      </c>
      <c r="AG2344" t="s">
        <v>12780</v>
      </c>
      <c r="AH2344">
        <v>-1.2</v>
      </c>
      <c r="AI2344">
        <v>-1.6</v>
      </c>
      <c r="AJ2344">
        <v>2.72</v>
      </c>
      <c r="AK2344">
        <v>5.4</v>
      </c>
      <c r="AL2344">
        <v>1</v>
      </c>
      <c r="AM2344">
        <v>0.27</v>
      </c>
      <c r="AN2344">
        <v>15.13</v>
      </c>
      <c r="AO2344">
        <v>2.93</v>
      </c>
      <c r="AP2344">
        <v>7.11</v>
      </c>
    </row>
    <row r="2345" spans="1:42">
      <c r="A2345">
        <v>2344</v>
      </c>
      <c r="B2345" t="str">
        <f>"688339"</f>
        <v>688339</v>
      </c>
      <c r="C2345" t="s">
        <v>12781</v>
      </c>
      <c r="D2345">
        <v>53.6</v>
      </c>
      <c r="E2345">
        <v>-2.1</v>
      </c>
      <c r="F2345">
        <v>-1.15</v>
      </c>
      <c r="G2345" t="s">
        <v>5900</v>
      </c>
      <c r="H2345">
        <v>99</v>
      </c>
      <c r="I2345">
        <v>53.58</v>
      </c>
      <c r="J2345">
        <v>53.6</v>
      </c>
      <c r="K2345" t="s">
        <v>12782</v>
      </c>
      <c r="L2345">
        <v>1.26</v>
      </c>
      <c r="M2345" t="s">
        <v>46</v>
      </c>
      <c r="N2345" t="s">
        <v>4921</v>
      </c>
      <c r="O2345">
        <v>55.17</v>
      </c>
      <c r="P2345">
        <v>53.33</v>
      </c>
      <c r="Q2345">
        <v>54.7</v>
      </c>
      <c r="R2345">
        <v>54.75</v>
      </c>
      <c r="S2345">
        <v>3.36</v>
      </c>
      <c r="T2345">
        <v>0.75</v>
      </c>
      <c r="U2345">
        <v>-36.99</v>
      </c>
      <c r="V2345">
        <v>-164</v>
      </c>
      <c r="W2345">
        <v>54.04</v>
      </c>
      <c r="X2345">
        <v>7889</v>
      </c>
      <c r="Y2345">
        <v>6424</v>
      </c>
      <c r="Z2345">
        <v>1.23</v>
      </c>
      <c r="AA2345">
        <v>20</v>
      </c>
      <c r="AB2345">
        <v>17</v>
      </c>
      <c r="AC2345">
        <v>2.88</v>
      </c>
      <c r="AD2345" t="s">
        <v>12783</v>
      </c>
      <c r="AE2345" t="s">
        <v>12784</v>
      </c>
      <c r="AF2345" t="s">
        <v>1473</v>
      </c>
      <c r="AG2345" t="s">
        <v>12785</v>
      </c>
      <c r="AH2345">
        <v>-3.04</v>
      </c>
      <c r="AI2345">
        <v>1.55</v>
      </c>
      <c r="AJ2345">
        <v>4.25</v>
      </c>
      <c r="AK2345">
        <v>9.69</v>
      </c>
      <c r="AL2345">
        <v>-1</v>
      </c>
      <c r="AM2345">
        <v>-2.1</v>
      </c>
      <c r="AN2345">
        <v>1.4</v>
      </c>
      <c r="AO2345">
        <v>5.62</v>
      </c>
      <c r="AP2345">
        <v>-9.87</v>
      </c>
    </row>
    <row r="2346" spans="1:42">
      <c r="A2346">
        <v>2345</v>
      </c>
      <c r="B2346" t="str">
        <f>"300572"</f>
        <v>300572</v>
      </c>
      <c r="C2346" t="s">
        <v>12786</v>
      </c>
      <c r="D2346">
        <v>18.24</v>
      </c>
      <c r="E2346">
        <v>-0.87</v>
      </c>
      <c r="F2346">
        <v>-0.16</v>
      </c>
      <c r="G2346" t="s">
        <v>6408</v>
      </c>
      <c r="H2346">
        <v>497</v>
      </c>
      <c r="I2346">
        <v>18.24</v>
      </c>
      <c r="J2346">
        <v>18.25</v>
      </c>
      <c r="K2346" t="s">
        <v>12787</v>
      </c>
      <c r="L2346">
        <v>2.31</v>
      </c>
      <c r="M2346" t="s">
        <v>46</v>
      </c>
      <c r="N2346" t="s">
        <v>3688</v>
      </c>
      <c r="O2346">
        <v>18.45</v>
      </c>
      <c r="P2346">
        <v>17.93</v>
      </c>
      <c r="Q2346">
        <v>18.2</v>
      </c>
      <c r="R2346">
        <v>18.4</v>
      </c>
      <c r="S2346">
        <v>2.83</v>
      </c>
      <c r="T2346">
        <v>0.52</v>
      </c>
      <c r="U2346">
        <v>-32.62</v>
      </c>
      <c r="V2346">
        <v>-152</v>
      </c>
      <c r="W2346">
        <v>18.25</v>
      </c>
      <c r="X2346" t="s">
        <v>5592</v>
      </c>
      <c r="Y2346" t="s">
        <v>3116</v>
      </c>
      <c r="Z2346">
        <v>0.99</v>
      </c>
      <c r="AA2346">
        <v>42</v>
      </c>
      <c r="AB2346">
        <v>237</v>
      </c>
      <c r="AC2346">
        <v>1.94</v>
      </c>
      <c r="AD2346" t="s">
        <v>12788</v>
      </c>
      <c r="AE2346" t="s">
        <v>7970</v>
      </c>
      <c r="AF2346" t="s">
        <v>12789</v>
      </c>
      <c r="AG2346" t="s">
        <v>3012</v>
      </c>
      <c r="AH2346">
        <v>-4.9</v>
      </c>
      <c r="AI2346">
        <v>2.24</v>
      </c>
      <c r="AJ2346">
        <v>8.83</v>
      </c>
      <c r="AK2346">
        <v>24.7</v>
      </c>
      <c r="AL2346">
        <v>-3</v>
      </c>
      <c r="AM2346">
        <v>-0.87</v>
      </c>
      <c r="AN2346">
        <v>59.3</v>
      </c>
      <c r="AO2346">
        <v>13.93</v>
      </c>
      <c r="AP2346">
        <v>43.17</v>
      </c>
    </row>
    <row r="2347" spans="1:42">
      <c r="A2347">
        <v>2346</v>
      </c>
      <c r="B2347" t="str">
        <f>"688155"</f>
        <v>688155</v>
      </c>
      <c r="C2347" t="s">
        <v>12790</v>
      </c>
      <c r="D2347">
        <v>56.4</v>
      </c>
      <c r="E2347">
        <v>-3.42</v>
      </c>
      <c r="F2347">
        <v>-2</v>
      </c>
      <c r="G2347" t="s">
        <v>3284</v>
      </c>
      <c r="H2347">
        <v>170</v>
      </c>
      <c r="I2347">
        <v>56.3</v>
      </c>
      <c r="J2347">
        <v>56.4</v>
      </c>
      <c r="K2347" t="s">
        <v>10371</v>
      </c>
      <c r="L2347">
        <v>1.78</v>
      </c>
      <c r="M2347" t="s">
        <v>46</v>
      </c>
      <c r="N2347" t="s">
        <v>4602</v>
      </c>
      <c r="O2347">
        <v>58.81</v>
      </c>
      <c r="P2347">
        <v>55.66</v>
      </c>
      <c r="Q2347">
        <v>58</v>
      </c>
      <c r="R2347">
        <v>58.4</v>
      </c>
      <c r="S2347">
        <v>5.39</v>
      </c>
      <c r="T2347">
        <v>0.67</v>
      </c>
      <c r="U2347">
        <v>68.72</v>
      </c>
      <c r="V2347">
        <v>154</v>
      </c>
      <c r="W2347">
        <v>56.57</v>
      </c>
      <c r="X2347">
        <v>7146</v>
      </c>
      <c r="Y2347">
        <v>6518</v>
      </c>
      <c r="Z2347">
        <v>1.1</v>
      </c>
      <c r="AA2347">
        <v>17</v>
      </c>
      <c r="AB2347">
        <v>13</v>
      </c>
      <c r="AC2347">
        <v>3.71</v>
      </c>
      <c r="AD2347" t="s">
        <v>12791</v>
      </c>
      <c r="AE2347" t="s">
        <v>12792</v>
      </c>
      <c r="AF2347" t="s">
        <v>12791</v>
      </c>
      <c r="AG2347" t="s">
        <v>12792</v>
      </c>
      <c r="AH2347">
        <v>2.01</v>
      </c>
      <c r="AI2347">
        <v>6.66</v>
      </c>
      <c r="AJ2347">
        <v>10.12</v>
      </c>
      <c r="AK2347">
        <v>15.05</v>
      </c>
      <c r="AL2347">
        <v>-2</v>
      </c>
      <c r="AM2347">
        <v>-3.42</v>
      </c>
      <c r="AN2347">
        <v>7.86</v>
      </c>
      <c r="AO2347">
        <v>20.54</v>
      </c>
      <c r="AP2347">
        <v>-9.83</v>
      </c>
    </row>
    <row r="2348" spans="1:42">
      <c r="A2348">
        <v>2347</v>
      </c>
      <c r="B2348" t="str">
        <f>"688582"</f>
        <v>688582</v>
      </c>
      <c r="C2348" t="s">
        <v>12793</v>
      </c>
      <c r="D2348">
        <v>39.93</v>
      </c>
      <c r="E2348">
        <v>-1.38</v>
      </c>
      <c r="F2348">
        <v>-0.56</v>
      </c>
      <c r="G2348" t="s">
        <v>5585</v>
      </c>
      <c r="H2348">
        <v>215</v>
      </c>
      <c r="I2348">
        <v>39.93</v>
      </c>
      <c r="J2348">
        <v>39.96</v>
      </c>
      <c r="K2348" t="s">
        <v>12794</v>
      </c>
      <c r="L2348">
        <v>4.23</v>
      </c>
      <c r="M2348" t="s">
        <v>46</v>
      </c>
      <c r="N2348" t="s">
        <v>3640</v>
      </c>
      <c r="O2348">
        <v>40.55</v>
      </c>
      <c r="P2348">
        <v>38.99</v>
      </c>
      <c r="Q2348">
        <v>40.49</v>
      </c>
      <c r="R2348">
        <v>40.49</v>
      </c>
      <c r="S2348">
        <v>3.85</v>
      </c>
      <c r="T2348">
        <v>0.93</v>
      </c>
      <c r="U2348">
        <v>27.58</v>
      </c>
      <c r="V2348">
        <v>117</v>
      </c>
      <c r="W2348">
        <v>39.59</v>
      </c>
      <c r="X2348" t="s">
        <v>4959</v>
      </c>
      <c r="Y2348">
        <v>8149</v>
      </c>
      <c r="Z2348">
        <v>1.39</v>
      </c>
      <c r="AA2348">
        <v>50</v>
      </c>
      <c r="AB2348">
        <v>45</v>
      </c>
      <c r="AC2348">
        <v>7.82</v>
      </c>
      <c r="AD2348" t="s">
        <v>7381</v>
      </c>
      <c r="AE2348" t="s">
        <v>12795</v>
      </c>
      <c r="AF2348" t="s">
        <v>12796</v>
      </c>
      <c r="AG2348" t="s">
        <v>12797</v>
      </c>
      <c r="AH2348">
        <v>-1.41</v>
      </c>
      <c r="AI2348">
        <v>0.28</v>
      </c>
      <c r="AJ2348">
        <v>14.83</v>
      </c>
      <c r="AK2348">
        <v>26.99</v>
      </c>
      <c r="AL2348">
        <v>-2</v>
      </c>
      <c r="AM2348">
        <v>-1.38</v>
      </c>
      <c r="AN2348">
        <v>49.66</v>
      </c>
      <c r="AO2348">
        <v>4.58</v>
      </c>
      <c r="AP2348">
        <v>49.66</v>
      </c>
    </row>
    <row r="2349" spans="1:42">
      <c r="A2349">
        <v>2348</v>
      </c>
      <c r="B2349" t="str">
        <f>"301387"</f>
        <v>301387</v>
      </c>
      <c r="C2349" t="s">
        <v>12798</v>
      </c>
      <c r="D2349">
        <v>60.16</v>
      </c>
      <c r="E2349">
        <v>2.47</v>
      </c>
      <c r="F2349">
        <v>1.45</v>
      </c>
      <c r="G2349" t="s">
        <v>1427</v>
      </c>
      <c r="H2349">
        <v>306</v>
      </c>
      <c r="I2349">
        <v>60.16</v>
      </c>
      <c r="J2349">
        <v>60.18</v>
      </c>
      <c r="K2349" t="s">
        <v>12799</v>
      </c>
      <c r="L2349">
        <v>7.35</v>
      </c>
      <c r="M2349" t="s">
        <v>46</v>
      </c>
      <c r="N2349" t="s">
        <v>927</v>
      </c>
      <c r="O2349">
        <v>60.68</v>
      </c>
      <c r="P2349">
        <v>56.19</v>
      </c>
      <c r="Q2349">
        <v>59</v>
      </c>
      <c r="R2349">
        <v>58.71</v>
      </c>
      <c r="S2349">
        <v>7.65</v>
      </c>
      <c r="T2349">
        <v>1.34</v>
      </c>
      <c r="U2349">
        <v>-12.24</v>
      </c>
      <c r="V2349">
        <v>-12</v>
      </c>
      <c r="W2349">
        <v>59.49</v>
      </c>
      <c r="X2349">
        <v>6674</v>
      </c>
      <c r="Y2349">
        <v>6263</v>
      </c>
      <c r="Z2349">
        <v>1.07</v>
      </c>
      <c r="AA2349">
        <v>29</v>
      </c>
      <c r="AB2349">
        <v>13</v>
      </c>
      <c r="AC2349">
        <v>2.79</v>
      </c>
      <c r="AD2349" t="s">
        <v>12800</v>
      </c>
      <c r="AE2349" t="s">
        <v>5901</v>
      </c>
      <c r="AF2349" t="s">
        <v>12801</v>
      </c>
      <c r="AG2349" t="s">
        <v>12802</v>
      </c>
      <c r="AH2349">
        <v>1.9</v>
      </c>
      <c r="AI2349">
        <v>0.94</v>
      </c>
      <c r="AJ2349">
        <v>19.52</v>
      </c>
      <c r="AK2349">
        <v>34.83</v>
      </c>
      <c r="AL2349">
        <v>1</v>
      </c>
      <c r="AM2349">
        <v>2.47</v>
      </c>
      <c r="AN2349">
        <v>4.41</v>
      </c>
      <c r="AO2349">
        <v>-3.28</v>
      </c>
      <c r="AP2349">
        <v>4.41</v>
      </c>
    </row>
    <row r="2350" spans="1:42">
      <c r="A2350">
        <v>2349</v>
      </c>
      <c r="B2350" t="str">
        <f>"688258"</f>
        <v>688258</v>
      </c>
      <c r="C2350" t="s">
        <v>12803</v>
      </c>
      <c r="D2350">
        <v>58.36</v>
      </c>
      <c r="E2350">
        <v>3.68</v>
      </c>
      <c r="F2350">
        <v>2.07</v>
      </c>
      <c r="G2350" t="s">
        <v>1777</v>
      </c>
      <c r="H2350">
        <v>174</v>
      </c>
      <c r="I2350">
        <v>58.36</v>
      </c>
      <c r="J2350">
        <v>58.37</v>
      </c>
      <c r="K2350" t="s">
        <v>12804</v>
      </c>
      <c r="L2350">
        <v>1.54</v>
      </c>
      <c r="M2350" t="s">
        <v>46</v>
      </c>
      <c r="N2350" t="s">
        <v>6095</v>
      </c>
      <c r="O2350">
        <v>58.8</v>
      </c>
      <c r="P2350">
        <v>55.82</v>
      </c>
      <c r="Q2350">
        <v>55.82</v>
      </c>
      <c r="R2350">
        <v>56.29</v>
      </c>
      <c r="S2350">
        <v>5.29</v>
      </c>
      <c r="T2350">
        <v>1.06</v>
      </c>
      <c r="U2350">
        <v>4.94</v>
      </c>
      <c r="V2350">
        <v>10</v>
      </c>
      <c r="W2350">
        <v>57.59</v>
      </c>
      <c r="X2350">
        <v>5255</v>
      </c>
      <c r="Y2350">
        <v>8100</v>
      </c>
      <c r="Z2350">
        <v>0.65</v>
      </c>
      <c r="AA2350">
        <v>6</v>
      </c>
      <c r="AB2350">
        <v>23</v>
      </c>
      <c r="AC2350">
        <v>4.89</v>
      </c>
      <c r="AD2350" t="s">
        <v>12805</v>
      </c>
      <c r="AE2350" t="s">
        <v>12806</v>
      </c>
      <c r="AF2350" t="s">
        <v>12805</v>
      </c>
      <c r="AG2350" t="s">
        <v>12806</v>
      </c>
      <c r="AH2350">
        <v>2.17</v>
      </c>
      <c r="AI2350">
        <v>-0.92</v>
      </c>
      <c r="AJ2350">
        <v>3.69</v>
      </c>
      <c r="AK2350">
        <v>8.8</v>
      </c>
      <c r="AL2350">
        <v>1</v>
      </c>
      <c r="AM2350">
        <v>3.68</v>
      </c>
      <c r="AN2350">
        <v>42.97</v>
      </c>
      <c r="AO2350">
        <v>6.46</v>
      </c>
      <c r="AP2350">
        <v>24.81</v>
      </c>
    </row>
    <row r="2351" spans="1:42">
      <c r="A2351">
        <v>2350</v>
      </c>
      <c r="B2351" t="str">
        <f>"603960"</f>
        <v>603960</v>
      </c>
      <c r="C2351" t="s">
        <v>12807</v>
      </c>
      <c r="D2351">
        <v>14.95</v>
      </c>
      <c r="E2351">
        <v>-1.84</v>
      </c>
      <c r="F2351">
        <v>-0.28</v>
      </c>
      <c r="G2351" t="s">
        <v>7642</v>
      </c>
      <c r="H2351">
        <v>456</v>
      </c>
      <c r="I2351">
        <v>14.94</v>
      </c>
      <c r="J2351">
        <v>14.95</v>
      </c>
      <c r="K2351" t="s">
        <v>12808</v>
      </c>
      <c r="L2351">
        <v>1.97</v>
      </c>
      <c r="M2351" t="s">
        <v>46</v>
      </c>
      <c r="N2351" t="s">
        <v>3477</v>
      </c>
      <c r="O2351">
        <v>15.24</v>
      </c>
      <c r="P2351">
        <v>14.78</v>
      </c>
      <c r="Q2351">
        <v>15.24</v>
      </c>
      <c r="R2351">
        <v>15.23</v>
      </c>
      <c r="S2351">
        <v>3.02</v>
      </c>
      <c r="T2351">
        <v>1.03</v>
      </c>
      <c r="U2351">
        <v>49.64</v>
      </c>
      <c r="V2351">
        <v>554</v>
      </c>
      <c r="W2351">
        <v>14.93</v>
      </c>
      <c r="X2351" t="s">
        <v>541</v>
      </c>
      <c r="Y2351" t="s">
        <v>3327</v>
      </c>
      <c r="Z2351">
        <v>1.28</v>
      </c>
      <c r="AA2351">
        <v>357</v>
      </c>
      <c r="AB2351">
        <v>23</v>
      </c>
      <c r="AC2351">
        <v>3.8</v>
      </c>
      <c r="AD2351" t="s">
        <v>12809</v>
      </c>
      <c r="AE2351" t="s">
        <v>12810</v>
      </c>
      <c r="AF2351" t="s">
        <v>10210</v>
      </c>
      <c r="AG2351" t="s">
        <v>3841</v>
      </c>
      <c r="AH2351">
        <v>-3.36</v>
      </c>
      <c r="AI2351">
        <v>-3.24</v>
      </c>
      <c r="AJ2351">
        <v>6.34</v>
      </c>
      <c r="AK2351">
        <v>11.53</v>
      </c>
      <c r="AL2351">
        <v>-3</v>
      </c>
      <c r="AM2351">
        <v>-1.84</v>
      </c>
      <c r="AN2351">
        <v>-15.35</v>
      </c>
      <c r="AO2351">
        <v>2.68</v>
      </c>
      <c r="AP2351">
        <v>-25.36</v>
      </c>
    </row>
    <row r="2352" spans="1:42">
      <c r="A2352">
        <v>2351</v>
      </c>
      <c r="B2352" t="str">
        <f>"300145"</f>
        <v>300145</v>
      </c>
      <c r="C2352" t="s">
        <v>12811</v>
      </c>
      <c r="D2352">
        <v>3.21</v>
      </c>
      <c r="E2352">
        <v>0.31</v>
      </c>
      <c r="F2352">
        <v>0.01</v>
      </c>
      <c r="G2352" t="s">
        <v>290</v>
      </c>
      <c r="H2352">
        <v>1338</v>
      </c>
      <c r="I2352">
        <v>3.2</v>
      </c>
      <c r="J2352">
        <v>3.21</v>
      </c>
      <c r="K2352" t="s">
        <v>12812</v>
      </c>
      <c r="L2352">
        <v>1.27</v>
      </c>
      <c r="M2352" t="s">
        <v>46</v>
      </c>
      <c r="N2352" t="s">
        <v>12813</v>
      </c>
      <c r="O2352">
        <v>3.23</v>
      </c>
      <c r="P2352">
        <v>3.18</v>
      </c>
      <c r="Q2352">
        <v>3.19</v>
      </c>
      <c r="R2352">
        <v>3.2</v>
      </c>
      <c r="S2352">
        <v>1.56</v>
      </c>
      <c r="T2352">
        <v>0.75</v>
      </c>
      <c r="U2352">
        <v>-7.41</v>
      </c>
      <c r="V2352">
        <v>-4136</v>
      </c>
      <c r="W2352">
        <v>3.2</v>
      </c>
      <c r="X2352" t="s">
        <v>1261</v>
      </c>
      <c r="Y2352" t="s">
        <v>2960</v>
      </c>
      <c r="Z2352">
        <v>1.07</v>
      </c>
      <c r="AA2352">
        <v>2146</v>
      </c>
      <c r="AB2352">
        <v>6818</v>
      </c>
      <c r="AC2352">
        <v>2.59</v>
      </c>
      <c r="AD2352" t="s">
        <v>12814</v>
      </c>
      <c r="AE2352" t="s">
        <v>12815</v>
      </c>
      <c r="AF2352" t="s">
        <v>12816</v>
      </c>
      <c r="AG2352" t="s">
        <v>12817</v>
      </c>
      <c r="AH2352">
        <v>0.63</v>
      </c>
      <c r="AI2352">
        <v>1.58</v>
      </c>
      <c r="AJ2352">
        <v>4.58</v>
      </c>
      <c r="AK2352">
        <v>9.72</v>
      </c>
      <c r="AL2352">
        <v>1</v>
      </c>
      <c r="AM2352">
        <v>0.31</v>
      </c>
      <c r="AN2352">
        <v>32.1</v>
      </c>
      <c r="AO2352">
        <v>4.9</v>
      </c>
      <c r="AP2352">
        <v>25.39</v>
      </c>
    </row>
    <row r="2353" spans="1:42">
      <c r="A2353">
        <v>2352</v>
      </c>
      <c r="B2353" t="str">
        <f>"300647"</f>
        <v>300647</v>
      </c>
      <c r="C2353" t="s">
        <v>12818</v>
      </c>
      <c r="D2353">
        <v>6.84</v>
      </c>
      <c r="E2353">
        <v>0.74</v>
      </c>
      <c r="F2353">
        <v>0.05</v>
      </c>
      <c r="G2353" t="s">
        <v>262</v>
      </c>
      <c r="H2353">
        <v>520</v>
      </c>
      <c r="I2353">
        <v>6.84</v>
      </c>
      <c r="J2353">
        <v>6.85</v>
      </c>
      <c r="K2353" t="s">
        <v>12819</v>
      </c>
      <c r="L2353">
        <v>2.55</v>
      </c>
      <c r="M2353" t="s">
        <v>46</v>
      </c>
      <c r="N2353" t="s">
        <v>7011</v>
      </c>
      <c r="O2353">
        <v>6.88</v>
      </c>
      <c r="P2353">
        <v>6.71</v>
      </c>
      <c r="Q2353">
        <v>6.78</v>
      </c>
      <c r="R2353">
        <v>6.79</v>
      </c>
      <c r="S2353">
        <v>2.5</v>
      </c>
      <c r="T2353">
        <v>0.89</v>
      </c>
      <c r="U2353">
        <v>-9.39</v>
      </c>
      <c r="V2353">
        <v>-452</v>
      </c>
      <c r="W2353">
        <v>6.8</v>
      </c>
      <c r="X2353" t="s">
        <v>7068</v>
      </c>
      <c r="Y2353" t="s">
        <v>7677</v>
      </c>
      <c r="Z2353">
        <v>0.89</v>
      </c>
      <c r="AA2353">
        <v>421</v>
      </c>
      <c r="AB2353">
        <v>764</v>
      </c>
      <c r="AC2353">
        <v>2.67</v>
      </c>
      <c r="AD2353" t="s">
        <v>12820</v>
      </c>
      <c r="AE2353" t="s">
        <v>9501</v>
      </c>
      <c r="AF2353" t="s">
        <v>12821</v>
      </c>
      <c r="AG2353" t="s">
        <v>8751</v>
      </c>
      <c r="AH2353">
        <v>-2.01</v>
      </c>
      <c r="AI2353">
        <v>-2.84</v>
      </c>
      <c r="AJ2353">
        <v>7.34</v>
      </c>
      <c r="AK2353">
        <v>16.87</v>
      </c>
      <c r="AL2353">
        <v>1</v>
      </c>
      <c r="AM2353">
        <v>0.74</v>
      </c>
      <c r="AN2353">
        <v>-15.24</v>
      </c>
      <c r="AO2353">
        <v>0.59</v>
      </c>
      <c r="AP2353">
        <v>-22.97</v>
      </c>
    </row>
    <row r="2354" spans="1:42">
      <c r="A2354">
        <v>2353</v>
      </c>
      <c r="B2354" t="str">
        <f>"000950"</f>
        <v>000950</v>
      </c>
      <c r="C2354" t="s">
        <v>12822</v>
      </c>
      <c r="D2354">
        <v>5.23</v>
      </c>
      <c r="E2354">
        <v>0.97</v>
      </c>
      <c r="F2354">
        <v>0.05</v>
      </c>
      <c r="G2354" t="s">
        <v>2217</v>
      </c>
      <c r="H2354">
        <v>1146</v>
      </c>
      <c r="I2354">
        <v>5.23</v>
      </c>
      <c r="J2354">
        <v>5.24</v>
      </c>
      <c r="K2354" t="s">
        <v>12823</v>
      </c>
      <c r="L2354">
        <v>0.85</v>
      </c>
      <c r="M2354" t="s">
        <v>46</v>
      </c>
      <c r="N2354" t="s">
        <v>12824</v>
      </c>
      <c r="O2354">
        <v>5.24</v>
      </c>
      <c r="P2354">
        <v>5.16</v>
      </c>
      <c r="Q2354">
        <v>5.19</v>
      </c>
      <c r="R2354">
        <v>5.18</v>
      </c>
      <c r="S2354">
        <v>1.54</v>
      </c>
      <c r="T2354">
        <v>0.65</v>
      </c>
      <c r="U2354">
        <v>-13.8</v>
      </c>
      <c r="V2354">
        <v>-3353</v>
      </c>
      <c r="W2354">
        <v>5.21</v>
      </c>
      <c r="X2354" t="s">
        <v>10018</v>
      </c>
      <c r="Y2354" t="s">
        <v>788</v>
      </c>
      <c r="Z2354">
        <v>0.79</v>
      </c>
      <c r="AA2354">
        <v>731</v>
      </c>
      <c r="AB2354">
        <v>4994</v>
      </c>
      <c r="AC2354">
        <v>0.82</v>
      </c>
      <c r="AD2354" t="s">
        <v>5971</v>
      </c>
      <c r="AE2354" t="s">
        <v>12825</v>
      </c>
      <c r="AF2354" t="s">
        <v>5971</v>
      </c>
      <c r="AG2354" t="s">
        <v>12825</v>
      </c>
      <c r="AH2354">
        <v>-1.51</v>
      </c>
      <c r="AI2354">
        <v>-1.51</v>
      </c>
      <c r="AJ2354">
        <v>3.33</v>
      </c>
      <c r="AK2354">
        <v>7.4</v>
      </c>
      <c r="AL2354">
        <v>1</v>
      </c>
      <c r="AM2354">
        <v>0.97</v>
      </c>
      <c r="AN2354">
        <v>4.18</v>
      </c>
      <c r="AO2354">
        <v>0.97</v>
      </c>
      <c r="AP2354">
        <v>-4.39</v>
      </c>
    </row>
    <row r="2355" spans="1:42">
      <c r="A2355">
        <v>2354</v>
      </c>
      <c r="B2355" t="str">
        <f>"301132"</f>
        <v>301132</v>
      </c>
      <c r="C2355" t="s">
        <v>12826</v>
      </c>
      <c r="D2355">
        <v>29.99</v>
      </c>
      <c r="E2355">
        <v>0.87</v>
      </c>
      <c r="F2355">
        <v>0.26</v>
      </c>
      <c r="G2355" t="s">
        <v>1077</v>
      </c>
      <c r="H2355">
        <v>670</v>
      </c>
      <c r="I2355">
        <v>29.98</v>
      </c>
      <c r="J2355">
        <v>29.99</v>
      </c>
      <c r="K2355" t="s">
        <v>12791</v>
      </c>
      <c r="L2355">
        <v>5.99</v>
      </c>
      <c r="M2355" t="s">
        <v>46</v>
      </c>
      <c r="N2355" t="s">
        <v>5185</v>
      </c>
      <c r="O2355">
        <v>30.26</v>
      </c>
      <c r="P2355">
        <v>29.18</v>
      </c>
      <c r="Q2355">
        <v>29.68</v>
      </c>
      <c r="R2355">
        <v>29.73</v>
      </c>
      <c r="S2355">
        <v>3.63</v>
      </c>
      <c r="T2355">
        <v>0.66</v>
      </c>
      <c r="U2355">
        <v>-27.15</v>
      </c>
      <c r="V2355">
        <v>-45</v>
      </c>
      <c r="W2355">
        <v>29.77</v>
      </c>
      <c r="X2355" t="s">
        <v>6212</v>
      </c>
      <c r="Y2355" t="s">
        <v>9445</v>
      </c>
      <c r="Z2355">
        <v>0.98</v>
      </c>
      <c r="AA2355">
        <v>15</v>
      </c>
      <c r="AB2355">
        <v>4</v>
      </c>
      <c r="AC2355">
        <v>2.64</v>
      </c>
      <c r="AD2355" t="s">
        <v>12827</v>
      </c>
      <c r="AE2355" t="s">
        <v>12828</v>
      </c>
      <c r="AF2355" t="s">
        <v>12829</v>
      </c>
      <c r="AG2355" t="s">
        <v>12830</v>
      </c>
      <c r="AH2355">
        <v>-3.2</v>
      </c>
      <c r="AI2355">
        <v>-1.83</v>
      </c>
      <c r="AJ2355">
        <v>22.45</v>
      </c>
      <c r="AK2355">
        <v>51.37</v>
      </c>
      <c r="AL2355">
        <v>1</v>
      </c>
      <c r="AM2355">
        <v>0.87</v>
      </c>
      <c r="AN2355">
        <v>19.53</v>
      </c>
      <c r="AO2355">
        <v>3.06</v>
      </c>
      <c r="AP2355">
        <v>4.28</v>
      </c>
    </row>
    <row r="2356" spans="1:42">
      <c r="A2356">
        <v>2355</v>
      </c>
      <c r="B2356" t="str">
        <f>"600716"</f>
        <v>600716</v>
      </c>
      <c r="C2356" t="s">
        <v>12831</v>
      </c>
      <c r="D2356">
        <v>4</v>
      </c>
      <c r="E2356">
        <v>2.56</v>
      </c>
      <c r="F2356">
        <v>0.1</v>
      </c>
      <c r="G2356" t="s">
        <v>652</v>
      </c>
      <c r="H2356">
        <v>1862</v>
      </c>
      <c r="I2356">
        <v>3.99</v>
      </c>
      <c r="J2356">
        <v>4</v>
      </c>
      <c r="K2356" t="s">
        <v>12832</v>
      </c>
      <c r="L2356">
        <v>2.05</v>
      </c>
      <c r="M2356" t="s">
        <v>46</v>
      </c>
      <c r="N2356" t="s">
        <v>5184</v>
      </c>
      <c r="O2356">
        <v>4.02</v>
      </c>
      <c r="P2356">
        <v>3.9</v>
      </c>
      <c r="Q2356">
        <v>3.91</v>
      </c>
      <c r="R2356">
        <v>3.9</v>
      </c>
      <c r="S2356">
        <v>3.08</v>
      </c>
      <c r="T2356">
        <v>0.79</v>
      </c>
      <c r="U2356">
        <v>-14.42</v>
      </c>
      <c r="V2356">
        <v>-3407</v>
      </c>
      <c r="W2356">
        <v>3.98</v>
      </c>
      <c r="X2356" t="s">
        <v>6355</v>
      </c>
      <c r="Y2356" t="s">
        <v>740</v>
      </c>
      <c r="Z2356">
        <v>0.84</v>
      </c>
      <c r="AA2356">
        <v>278</v>
      </c>
      <c r="AB2356">
        <v>2962</v>
      </c>
      <c r="AC2356">
        <v>0.72</v>
      </c>
      <c r="AD2356" t="s">
        <v>12833</v>
      </c>
      <c r="AE2356" t="s">
        <v>9878</v>
      </c>
      <c r="AF2356" t="s">
        <v>12833</v>
      </c>
      <c r="AG2356" t="s">
        <v>9878</v>
      </c>
      <c r="AH2356">
        <v>0.76</v>
      </c>
      <c r="AI2356">
        <v>-1.48</v>
      </c>
      <c r="AJ2356">
        <v>5.86</v>
      </c>
      <c r="AK2356">
        <v>15.12</v>
      </c>
      <c r="AL2356">
        <v>1</v>
      </c>
      <c r="AM2356">
        <v>2.56</v>
      </c>
      <c r="AN2356">
        <v>2.3</v>
      </c>
      <c r="AO2356">
        <v>11.73</v>
      </c>
      <c r="AP2356">
        <v>0.76</v>
      </c>
    </row>
    <row r="2357" spans="1:42">
      <c r="A2357">
        <v>2356</v>
      </c>
      <c r="B2357" t="str">
        <f>"301051"</f>
        <v>301051</v>
      </c>
      <c r="C2357" t="s">
        <v>12834</v>
      </c>
      <c r="D2357">
        <v>60.98</v>
      </c>
      <c r="E2357">
        <v>-2.06</v>
      </c>
      <c r="F2357">
        <v>-1.28</v>
      </c>
      <c r="G2357" t="s">
        <v>2547</v>
      </c>
      <c r="H2357">
        <v>121</v>
      </c>
      <c r="I2357">
        <v>60.82</v>
      </c>
      <c r="J2357">
        <v>60.98</v>
      </c>
      <c r="K2357" t="s">
        <v>12835</v>
      </c>
      <c r="L2357">
        <v>2.02</v>
      </c>
      <c r="M2357" t="s">
        <v>46</v>
      </c>
      <c r="N2357" t="s">
        <v>1190</v>
      </c>
      <c r="O2357">
        <v>62.5</v>
      </c>
      <c r="P2357">
        <v>60.38</v>
      </c>
      <c r="Q2357">
        <v>61.89</v>
      </c>
      <c r="R2357">
        <v>62.26</v>
      </c>
      <c r="S2357">
        <v>3.41</v>
      </c>
      <c r="T2357">
        <v>1.58</v>
      </c>
      <c r="U2357">
        <v>-52.9</v>
      </c>
      <c r="V2357">
        <v>-146</v>
      </c>
      <c r="W2357">
        <v>60.9</v>
      </c>
      <c r="X2357">
        <v>6612</v>
      </c>
      <c r="Y2357">
        <v>5935</v>
      </c>
      <c r="Z2357">
        <v>1.11</v>
      </c>
      <c r="AA2357">
        <v>4</v>
      </c>
      <c r="AB2357">
        <v>28</v>
      </c>
      <c r="AC2357">
        <v>2.78</v>
      </c>
      <c r="AD2357" t="s">
        <v>5210</v>
      </c>
      <c r="AE2357" t="s">
        <v>12836</v>
      </c>
      <c r="AF2357" t="s">
        <v>12837</v>
      </c>
      <c r="AG2357" t="s">
        <v>6610</v>
      </c>
      <c r="AH2357">
        <v>-2.31</v>
      </c>
      <c r="AI2357">
        <v>-5.21</v>
      </c>
      <c r="AJ2357">
        <v>4.23</v>
      </c>
      <c r="AK2357">
        <v>8.38</v>
      </c>
      <c r="AL2357">
        <v>-3</v>
      </c>
      <c r="AM2357">
        <v>-2.06</v>
      </c>
      <c r="AN2357">
        <v>92.85</v>
      </c>
      <c r="AO2357">
        <v>8.33</v>
      </c>
      <c r="AP2357">
        <v>68.59</v>
      </c>
    </row>
    <row r="2358" spans="1:42">
      <c r="A2358">
        <v>2357</v>
      </c>
      <c r="B2358" t="str">
        <f>"688443"</f>
        <v>688443</v>
      </c>
      <c r="C2358" t="s">
        <v>12838</v>
      </c>
      <c r="D2358">
        <v>37.7</v>
      </c>
      <c r="E2358">
        <v>2.86</v>
      </c>
      <c r="F2358">
        <v>1.05</v>
      </c>
      <c r="G2358" t="s">
        <v>8073</v>
      </c>
      <c r="H2358">
        <v>285</v>
      </c>
      <c r="I2358">
        <v>37.67</v>
      </c>
      <c r="J2358">
        <v>37.7</v>
      </c>
      <c r="K2358" t="s">
        <v>12839</v>
      </c>
      <c r="L2358">
        <v>2.49</v>
      </c>
      <c r="M2358" t="s">
        <v>46</v>
      </c>
      <c r="N2358" t="s">
        <v>1207</v>
      </c>
      <c r="O2358">
        <v>37.92</v>
      </c>
      <c r="P2358">
        <v>36.27</v>
      </c>
      <c r="Q2358">
        <v>36.44</v>
      </c>
      <c r="R2358">
        <v>36.65</v>
      </c>
      <c r="S2358">
        <v>4.5</v>
      </c>
      <c r="T2358">
        <v>0.74</v>
      </c>
      <c r="U2358">
        <v>-12.11</v>
      </c>
      <c r="V2358">
        <v>-40</v>
      </c>
      <c r="W2358">
        <v>37.11</v>
      </c>
      <c r="X2358">
        <v>9286</v>
      </c>
      <c r="Y2358" t="s">
        <v>4959</v>
      </c>
      <c r="Z2358">
        <v>0.82</v>
      </c>
      <c r="AA2358">
        <v>13</v>
      </c>
      <c r="AB2358">
        <v>79</v>
      </c>
      <c r="AC2358">
        <v>4.67</v>
      </c>
      <c r="AD2358" t="s">
        <v>12840</v>
      </c>
      <c r="AE2358" t="s">
        <v>8367</v>
      </c>
      <c r="AF2358" t="s">
        <v>12841</v>
      </c>
      <c r="AG2358" t="s">
        <v>4084</v>
      </c>
      <c r="AH2358">
        <v>0.86</v>
      </c>
      <c r="AI2358">
        <v>6.74</v>
      </c>
      <c r="AJ2358">
        <v>8.41</v>
      </c>
      <c r="AK2358">
        <v>19.19</v>
      </c>
      <c r="AL2358">
        <v>1</v>
      </c>
      <c r="AM2358">
        <v>2.86</v>
      </c>
      <c r="AN2358">
        <v>-0.48</v>
      </c>
      <c r="AO2358">
        <v>7.13</v>
      </c>
      <c r="AP2358">
        <v>-0.48</v>
      </c>
    </row>
    <row r="2359" spans="1:42">
      <c r="A2359">
        <v>2358</v>
      </c>
      <c r="B2359" t="str">
        <f>"002046"</f>
        <v>002046</v>
      </c>
      <c r="C2359" t="s">
        <v>12842</v>
      </c>
      <c r="D2359">
        <v>12.11</v>
      </c>
      <c r="E2359">
        <v>-0.74</v>
      </c>
      <c r="F2359">
        <v>-0.09</v>
      </c>
      <c r="G2359" t="s">
        <v>2705</v>
      </c>
      <c r="H2359">
        <v>472</v>
      </c>
      <c r="I2359">
        <v>12.11</v>
      </c>
      <c r="J2359">
        <v>12.12</v>
      </c>
      <c r="K2359" t="s">
        <v>12843</v>
      </c>
      <c r="L2359">
        <v>1.2</v>
      </c>
      <c r="M2359" t="s">
        <v>46</v>
      </c>
      <c r="N2359" t="s">
        <v>8839</v>
      </c>
      <c r="O2359">
        <v>12.2</v>
      </c>
      <c r="P2359">
        <v>12.03</v>
      </c>
      <c r="Q2359">
        <v>12.05</v>
      </c>
      <c r="R2359">
        <v>12.2</v>
      </c>
      <c r="S2359">
        <v>1.39</v>
      </c>
      <c r="T2359">
        <v>0.61</v>
      </c>
      <c r="U2359">
        <v>57.46</v>
      </c>
      <c r="V2359">
        <v>638</v>
      </c>
      <c r="W2359">
        <v>12.12</v>
      </c>
      <c r="X2359" t="s">
        <v>1313</v>
      </c>
      <c r="Y2359" t="s">
        <v>7160</v>
      </c>
      <c r="Z2359">
        <v>1.39</v>
      </c>
      <c r="AA2359">
        <v>228</v>
      </c>
      <c r="AB2359">
        <v>10</v>
      </c>
      <c r="AC2359">
        <v>1.97</v>
      </c>
      <c r="AD2359" t="s">
        <v>8085</v>
      </c>
      <c r="AE2359" t="s">
        <v>12844</v>
      </c>
      <c r="AF2359" t="s">
        <v>12845</v>
      </c>
      <c r="AG2359" t="s">
        <v>12846</v>
      </c>
      <c r="AH2359">
        <v>-0.08</v>
      </c>
      <c r="AI2359">
        <v>-3.43</v>
      </c>
      <c r="AJ2359">
        <v>5.29</v>
      </c>
      <c r="AK2359">
        <v>11.03</v>
      </c>
      <c r="AL2359">
        <v>-1</v>
      </c>
      <c r="AM2359">
        <v>-0.74</v>
      </c>
      <c r="AN2359">
        <v>11.2</v>
      </c>
      <c r="AO2359">
        <v>16.33</v>
      </c>
      <c r="AP2359">
        <v>-6.27</v>
      </c>
    </row>
    <row r="2360" spans="1:42">
      <c r="A2360">
        <v>2359</v>
      </c>
      <c r="B2360" t="str">
        <f>"300818"</f>
        <v>300818</v>
      </c>
      <c r="C2360" t="s">
        <v>12847</v>
      </c>
      <c r="D2360">
        <v>31.81</v>
      </c>
      <c r="E2360">
        <v>3.85</v>
      </c>
      <c r="F2360">
        <v>1.18</v>
      </c>
      <c r="G2360" t="s">
        <v>299</v>
      </c>
      <c r="H2360">
        <v>204</v>
      </c>
      <c r="I2360">
        <v>31.81</v>
      </c>
      <c r="J2360">
        <v>31.82</v>
      </c>
      <c r="K2360" t="s">
        <v>12848</v>
      </c>
      <c r="L2360">
        <v>3.86</v>
      </c>
      <c r="M2360" t="s">
        <v>46</v>
      </c>
      <c r="N2360" t="s">
        <v>12849</v>
      </c>
      <c r="O2360">
        <v>32.79</v>
      </c>
      <c r="P2360">
        <v>30.48</v>
      </c>
      <c r="Q2360">
        <v>30.48</v>
      </c>
      <c r="R2360">
        <v>30.63</v>
      </c>
      <c r="S2360">
        <v>7.54</v>
      </c>
      <c r="T2360">
        <v>4.12</v>
      </c>
      <c r="U2360">
        <v>28.97</v>
      </c>
      <c r="V2360">
        <v>31</v>
      </c>
      <c r="W2360">
        <v>31.87</v>
      </c>
      <c r="X2360" t="s">
        <v>2284</v>
      </c>
      <c r="Y2360" t="s">
        <v>905</v>
      </c>
      <c r="Z2360">
        <v>0.93</v>
      </c>
      <c r="AA2360">
        <v>6</v>
      </c>
      <c r="AB2360">
        <v>24</v>
      </c>
      <c r="AC2360">
        <v>2.71</v>
      </c>
      <c r="AD2360" t="s">
        <v>12850</v>
      </c>
      <c r="AE2360" t="s">
        <v>12851</v>
      </c>
      <c r="AF2360" t="s">
        <v>12852</v>
      </c>
      <c r="AG2360" t="s">
        <v>12853</v>
      </c>
      <c r="AH2360">
        <v>2.94</v>
      </c>
      <c r="AI2360">
        <v>4.09</v>
      </c>
      <c r="AJ2360">
        <v>5.8</v>
      </c>
      <c r="AK2360">
        <v>8.53</v>
      </c>
      <c r="AL2360">
        <v>2</v>
      </c>
      <c r="AM2360">
        <v>3.85</v>
      </c>
      <c r="AN2360">
        <v>65.76</v>
      </c>
      <c r="AO2360">
        <v>8.05</v>
      </c>
      <c r="AP2360">
        <v>49.2</v>
      </c>
    </row>
    <row r="2361" spans="1:42">
      <c r="A2361">
        <v>2360</v>
      </c>
      <c r="B2361" t="str">
        <f>"301298"</f>
        <v>301298</v>
      </c>
      <c r="C2361" t="s">
        <v>12854</v>
      </c>
      <c r="D2361">
        <v>18.2</v>
      </c>
      <c r="E2361">
        <v>-1.19</v>
      </c>
      <c r="F2361">
        <v>-0.22</v>
      </c>
      <c r="G2361" t="s">
        <v>5877</v>
      </c>
      <c r="H2361">
        <v>843</v>
      </c>
      <c r="I2361">
        <v>18.18</v>
      </c>
      <c r="J2361">
        <v>18.2</v>
      </c>
      <c r="K2361" t="s">
        <v>12848</v>
      </c>
      <c r="L2361">
        <v>5.14</v>
      </c>
      <c r="M2361" t="s">
        <v>46</v>
      </c>
      <c r="N2361" t="s">
        <v>3363</v>
      </c>
      <c r="O2361">
        <v>18.46</v>
      </c>
      <c r="P2361">
        <v>17.84</v>
      </c>
      <c r="Q2361">
        <v>18.3</v>
      </c>
      <c r="R2361">
        <v>18.42</v>
      </c>
      <c r="S2361">
        <v>3.37</v>
      </c>
      <c r="T2361">
        <v>0.87</v>
      </c>
      <c r="U2361">
        <v>-69.24</v>
      </c>
      <c r="V2361">
        <v>-968</v>
      </c>
      <c r="W2361">
        <v>18.15</v>
      </c>
      <c r="X2361" t="s">
        <v>1335</v>
      </c>
      <c r="Y2361" t="s">
        <v>6425</v>
      </c>
      <c r="Z2361">
        <v>1.17</v>
      </c>
      <c r="AA2361">
        <v>81</v>
      </c>
      <c r="AB2361">
        <v>37</v>
      </c>
      <c r="AC2361">
        <v>3.05</v>
      </c>
      <c r="AD2361" t="s">
        <v>12855</v>
      </c>
      <c r="AE2361" t="s">
        <v>5646</v>
      </c>
      <c r="AF2361" t="s">
        <v>12856</v>
      </c>
      <c r="AG2361" t="s">
        <v>12857</v>
      </c>
      <c r="AH2361">
        <v>-2.99</v>
      </c>
      <c r="AI2361">
        <v>-5.8</v>
      </c>
      <c r="AJ2361">
        <v>15.64</v>
      </c>
      <c r="AK2361">
        <v>34.7</v>
      </c>
      <c r="AL2361">
        <v>-3</v>
      </c>
      <c r="AM2361">
        <v>-1.19</v>
      </c>
      <c r="AN2361">
        <v>21.33</v>
      </c>
      <c r="AO2361">
        <v>1.45</v>
      </c>
      <c r="AP2361">
        <v>8.85</v>
      </c>
    </row>
    <row r="2362" spans="1:42">
      <c r="A2362">
        <v>2361</v>
      </c>
      <c r="B2362" t="str">
        <f>"832522"</f>
        <v>832522</v>
      </c>
      <c r="C2362" t="s">
        <v>12858</v>
      </c>
      <c r="D2362">
        <v>18.75</v>
      </c>
      <c r="E2362">
        <v>-4.19</v>
      </c>
      <c r="F2362">
        <v>-0.82</v>
      </c>
      <c r="G2362" t="s">
        <v>4941</v>
      </c>
      <c r="H2362">
        <v>552</v>
      </c>
      <c r="I2362">
        <v>18.75</v>
      </c>
      <c r="J2362">
        <v>18.76</v>
      </c>
      <c r="K2362" t="s">
        <v>12859</v>
      </c>
      <c r="L2362">
        <v>8.21</v>
      </c>
      <c r="M2362" t="s">
        <v>11793</v>
      </c>
      <c r="N2362" t="s">
        <v>3038</v>
      </c>
      <c r="O2362">
        <v>20.11</v>
      </c>
      <c r="P2362">
        <v>18.7</v>
      </c>
      <c r="Q2362">
        <v>19.77</v>
      </c>
      <c r="R2362">
        <v>19.57</v>
      </c>
      <c r="S2362">
        <v>7.2</v>
      </c>
      <c r="T2362">
        <v>0.37</v>
      </c>
      <c r="U2362">
        <v>35.08</v>
      </c>
      <c r="V2362">
        <v>326</v>
      </c>
      <c r="W2362">
        <v>19.22</v>
      </c>
      <c r="X2362" t="s">
        <v>6954</v>
      </c>
      <c r="Y2362" t="s">
        <v>10542</v>
      </c>
      <c r="Z2362">
        <v>1.85</v>
      </c>
      <c r="AA2362">
        <v>235</v>
      </c>
      <c r="AB2362">
        <v>77</v>
      </c>
      <c r="AC2362">
        <v>2.15</v>
      </c>
      <c r="AD2362" t="s">
        <v>12860</v>
      </c>
      <c r="AE2362" t="s">
        <v>12861</v>
      </c>
      <c r="AF2362" t="s">
        <v>12862</v>
      </c>
      <c r="AG2362" t="s">
        <v>10326</v>
      </c>
      <c r="AH2362">
        <v>-18.37</v>
      </c>
      <c r="AI2362">
        <v>-0.05</v>
      </c>
      <c r="AJ2362">
        <v>38.18</v>
      </c>
      <c r="AK2362">
        <v>118.74</v>
      </c>
      <c r="AL2362">
        <v>-3</v>
      </c>
      <c r="AM2362">
        <v>-4.19</v>
      </c>
      <c r="AN2362">
        <v>36.66</v>
      </c>
      <c r="AO2362">
        <v>23.84</v>
      </c>
      <c r="AP2362">
        <v>26.69</v>
      </c>
    </row>
    <row r="2363" spans="1:42">
      <c r="A2363">
        <v>2362</v>
      </c>
      <c r="B2363" t="str">
        <f>"600252"</f>
        <v>600252</v>
      </c>
      <c r="C2363" t="s">
        <v>12863</v>
      </c>
      <c r="D2363">
        <v>2.75</v>
      </c>
      <c r="E2363">
        <v>0</v>
      </c>
      <c r="F2363">
        <v>0</v>
      </c>
      <c r="G2363" t="s">
        <v>1101</v>
      </c>
      <c r="H2363">
        <v>1460</v>
      </c>
      <c r="I2363">
        <v>2.75</v>
      </c>
      <c r="J2363">
        <v>2.76</v>
      </c>
      <c r="K2363" t="s">
        <v>12864</v>
      </c>
      <c r="L2363">
        <v>0.81</v>
      </c>
      <c r="M2363" t="s">
        <v>46</v>
      </c>
      <c r="N2363" t="s">
        <v>2104</v>
      </c>
      <c r="O2363">
        <v>2.78</v>
      </c>
      <c r="P2363">
        <v>2.73</v>
      </c>
      <c r="Q2363">
        <v>2.75</v>
      </c>
      <c r="R2363">
        <v>2.75</v>
      </c>
      <c r="S2363">
        <v>1.82</v>
      </c>
      <c r="T2363">
        <v>0.73</v>
      </c>
      <c r="U2363">
        <v>-58.8</v>
      </c>
      <c r="V2363" t="s">
        <v>12865</v>
      </c>
      <c r="W2363">
        <v>2.76</v>
      </c>
      <c r="X2363" t="s">
        <v>1759</v>
      </c>
      <c r="Y2363" t="s">
        <v>2081</v>
      </c>
      <c r="Z2363">
        <v>0.93</v>
      </c>
      <c r="AA2363">
        <v>195</v>
      </c>
      <c r="AB2363" t="s">
        <v>7974</v>
      </c>
      <c r="AC2363">
        <v>1.43</v>
      </c>
      <c r="AD2363" t="s">
        <v>12866</v>
      </c>
      <c r="AE2363" t="s">
        <v>12867</v>
      </c>
      <c r="AF2363" t="s">
        <v>6756</v>
      </c>
      <c r="AG2363" t="s">
        <v>12868</v>
      </c>
      <c r="AH2363">
        <v>-0.36</v>
      </c>
      <c r="AI2363">
        <v>0.73</v>
      </c>
      <c r="AJ2363">
        <v>2.51</v>
      </c>
      <c r="AK2363">
        <v>6.37</v>
      </c>
      <c r="AL2363">
        <v>0</v>
      </c>
      <c r="AM2363">
        <v>0</v>
      </c>
      <c r="AN2363">
        <v>4.96</v>
      </c>
      <c r="AO2363">
        <v>3.38</v>
      </c>
      <c r="AP2363">
        <v>-2.83</v>
      </c>
    </row>
    <row r="2364" spans="1:42">
      <c r="A2364">
        <v>2363</v>
      </c>
      <c r="B2364" t="str">
        <f>"301160"</f>
        <v>301160</v>
      </c>
      <c r="C2364" t="s">
        <v>12869</v>
      </c>
      <c r="D2364">
        <v>45.55</v>
      </c>
      <c r="E2364">
        <v>-0.94</v>
      </c>
      <c r="F2364">
        <v>-0.43</v>
      </c>
      <c r="G2364" t="s">
        <v>5997</v>
      </c>
      <c r="H2364">
        <v>172</v>
      </c>
      <c r="I2364">
        <v>45.55</v>
      </c>
      <c r="J2364">
        <v>45.57</v>
      </c>
      <c r="K2364" t="s">
        <v>12870</v>
      </c>
      <c r="L2364">
        <v>4.06</v>
      </c>
      <c r="M2364" t="s">
        <v>46</v>
      </c>
      <c r="N2364" t="s">
        <v>12064</v>
      </c>
      <c r="O2364">
        <v>46.11</v>
      </c>
      <c r="P2364">
        <v>44.91</v>
      </c>
      <c r="Q2364">
        <v>46.08</v>
      </c>
      <c r="R2364">
        <v>45.98</v>
      </c>
      <c r="S2364">
        <v>2.61</v>
      </c>
      <c r="T2364">
        <v>0.83</v>
      </c>
      <c r="U2364">
        <v>76.76</v>
      </c>
      <c r="V2364">
        <v>370</v>
      </c>
      <c r="W2364">
        <v>45.33</v>
      </c>
      <c r="X2364">
        <v>9833</v>
      </c>
      <c r="Y2364">
        <v>6969</v>
      </c>
      <c r="Z2364">
        <v>1.41</v>
      </c>
      <c r="AA2364">
        <v>75</v>
      </c>
      <c r="AB2364">
        <v>16</v>
      </c>
      <c r="AC2364">
        <v>2.49</v>
      </c>
      <c r="AD2364" t="s">
        <v>12871</v>
      </c>
      <c r="AE2364" t="s">
        <v>12872</v>
      </c>
      <c r="AF2364" t="s">
        <v>12873</v>
      </c>
      <c r="AG2364" t="s">
        <v>12874</v>
      </c>
      <c r="AH2364">
        <v>2.02</v>
      </c>
      <c r="AI2364">
        <v>5.44</v>
      </c>
      <c r="AJ2364">
        <v>16.73</v>
      </c>
      <c r="AK2364">
        <v>28.52</v>
      </c>
      <c r="AL2364">
        <v>-1</v>
      </c>
      <c r="AM2364">
        <v>-0.94</v>
      </c>
      <c r="AN2364">
        <v>28.96</v>
      </c>
      <c r="AO2364">
        <v>13.88</v>
      </c>
      <c r="AP2364">
        <v>18.07</v>
      </c>
    </row>
    <row r="2365" spans="1:42">
      <c r="A2365">
        <v>2364</v>
      </c>
      <c r="B2365" t="str">
        <f>"000607"</f>
        <v>000607</v>
      </c>
      <c r="C2365" t="s">
        <v>12875</v>
      </c>
      <c r="D2365">
        <v>4.96</v>
      </c>
      <c r="E2365">
        <v>3.55</v>
      </c>
      <c r="F2365">
        <v>0.17</v>
      </c>
      <c r="G2365" t="s">
        <v>562</v>
      </c>
      <c r="H2365">
        <v>2104</v>
      </c>
      <c r="I2365">
        <v>4.95</v>
      </c>
      <c r="J2365">
        <v>4.97</v>
      </c>
      <c r="K2365" t="s">
        <v>12876</v>
      </c>
      <c r="L2365">
        <v>1.75</v>
      </c>
      <c r="M2365" t="s">
        <v>46</v>
      </c>
      <c r="N2365" t="s">
        <v>5397</v>
      </c>
      <c r="O2365">
        <v>4.98</v>
      </c>
      <c r="P2365">
        <v>4.78</v>
      </c>
      <c r="Q2365">
        <v>4.78</v>
      </c>
      <c r="R2365">
        <v>4.79</v>
      </c>
      <c r="S2365">
        <v>4.18</v>
      </c>
      <c r="T2365">
        <v>1.43</v>
      </c>
      <c r="U2365">
        <v>-49.69</v>
      </c>
      <c r="V2365">
        <v>-5359</v>
      </c>
      <c r="W2365">
        <v>4.91</v>
      </c>
      <c r="X2365" t="s">
        <v>6226</v>
      </c>
      <c r="Y2365" t="s">
        <v>12877</v>
      </c>
      <c r="Z2365">
        <v>0.61</v>
      </c>
      <c r="AA2365">
        <v>472</v>
      </c>
      <c r="AB2365">
        <v>2446</v>
      </c>
      <c r="AC2365">
        <v>3.13</v>
      </c>
      <c r="AD2365" t="s">
        <v>9855</v>
      </c>
      <c r="AE2365" t="s">
        <v>12878</v>
      </c>
      <c r="AF2365" t="s">
        <v>12879</v>
      </c>
      <c r="AG2365" t="s">
        <v>12565</v>
      </c>
      <c r="AH2365">
        <v>1.64</v>
      </c>
      <c r="AI2365">
        <v>-1.39</v>
      </c>
      <c r="AJ2365">
        <v>3.81</v>
      </c>
      <c r="AK2365">
        <v>7.88</v>
      </c>
      <c r="AL2365">
        <v>1</v>
      </c>
      <c r="AM2365">
        <v>3.55</v>
      </c>
      <c r="AN2365">
        <v>-8.15</v>
      </c>
      <c r="AO2365">
        <v>7.59</v>
      </c>
      <c r="AP2365">
        <v>-2.55</v>
      </c>
    </row>
    <row r="2366" spans="1:42">
      <c r="A2366">
        <v>2365</v>
      </c>
      <c r="B2366" t="str">
        <f>"002390"</f>
        <v>002390</v>
      </c>
      <c r="C2366" t="s">
        <v>12880</v>
      </c>
      <c r="D2366">
        <v>4.91</v>
      </c>
      <c r="E2366">
        <v>-0.81</v>
      </c>
      <c r="F2366">
        <v>-0.04</v>
      </c>
      <c r="G2366" t="s">
        <v>2291</v>
      </c>
      <c r="H2366">
        <v>536</v>
      </c>
      <c r="I2366">
        <v>4.91</v>
      </c>
      <c r="J2366">
        <v>4.92</v>
      </c>
      <c r="K2366" t="s">
        <v>12881</v>
      </c>
      <c r="L2366">
        <v>0.84</v>
      </c>
      <c r="M2366" t="s">
        <v>46</v>
      </c>
      <c r="N2366" t="s">
        <v>12882</v>
      </c>
      <c r="O2366">
        <v>4.99</v>
      </c>
      <c r="P2366">
        <v>4.91</v>
      </c>
      <c r="Q2366">
        <v>4.98</v>
      </c>
      <c r="R2366">
        <v>4.95</v>
      </c>
      <c r="S2366">
        <v>1.62</v>
      </c>
      <c r="T2366">
        <v>0.81</v>
      </c>
      <c r="U2366">
        <v>4.36</v>
      </c>
      <c r="V2366">
        <v>696</v>
      </c>
      <c r="W2366">
        <v>4.93</v>
      </c>
      <c r="X2366" t="s">
        <v>8408</v>
      </c>
      <c r="Y2366" t="s">
        <v>12883</v>
      </c>
      <c r="Z2366">
        <v>1.1</v>
      </c>
      <c r="AA2366">
        <v>826</v>
      </c>
      <c r="AB2366">
        <v>724</v>
      </c>
      <c r="AC2366">
        <v>1.39</v>
      </c>
      <c r="AD2366" t="s">
        <v>2524</v>
      </c>
      <c r="AE2366" t="s">
        <v>12884</v>
      </c>
      <c r="AF2366" t="s">
        <v>12885</v>
      </c>
      <c r="AG2366" t="s">
        <v>12886</v>
      </c>
      <c r="AH2366">
        <v>-0.81</v>
      </c>
      <c r="AI2366">
        <v>-0.61</v>
      </c>
      <c r="AJ2366">
        <v>2.64</v>
      </c>
      <c r="AK2366">
        <v>6.06</v>
      </c>
      <c r="AL2366">
        <v>-1</v>
      </c>
      <c r="AM2366">
        <v>-0.81</v>
      </c>
      <c r="AN2366">
        <v>5.82</v>
      </c>
      <c r="AO2366">
        <v>2.72</v>
      </c>
      <c r="AP2366">
        <v>-6.3</v>
      </c>
    </row>
    <row r="2367" spans="1:42">
      <c r="A2367">
        <v>2366</v>
      </c>
      <c r="B2367" t="str">
        <f>"300161"</f>
        <v>300161</v>
      </c>
      <c r="C2367" t="s">
        <v>12887</v>
      </c>
      <c r="D2367">
        <v>38.08</v>
      </c>
      <c r="E2367">
        <v>-0.7</v>
      </c>
      <c r="F2367">
        <v>-0.27</v>
      </c>
      <c r="G2367" t="s">
        <v>1280</v>
      </c>
      <c r="H2367">
        <v>164</v>
      </c>
      <c r="I2367">
        <v>38.07</v>
      </c>
      <c r="J2367">
        <v>38.08</v>
      </c>
      <c r="K2367" t="s">
        <v>12888</v>
      </c>
      <c r="L2367">
        <v>1.19</v>
      </c>
      <c r="M2367" t="s">
        <v>46</v>
      </c>
      <c r="N2367" t="s">
        <v>1638</v>
      </c>
      <c r="O2367">
        <v>38.34</v>
      </c>
      <c r="P2367">
        <v>37.66</v>
      </c>
      <c r="Q2367">
        <v>38.33</v>
      </c>
      <c r="R2367">
        <v>38.35</v>
      </c>
      <c r="S2367">
        <v>1.77</v>
      </c>
      <c r="T2367">
        <v>1.09</v>
      </c>
      <c r="U2367">
        <v>-0.93</v>
      </c>
      <c r="V2367">
        <v>-3</v>
      </c>
      <c r="W2367">
        <v>37.94</v>
      </c>
      <c r="X2367" t="s">
        <v>2807</v>
      </c>
      <c r="Y2367">
        <v>8971</v>
      </c>
      <c r="Z2367">
        <v>1.23</v>
      </c>
      <c r="AA2367">
        <v>134</v>
      </c>
      <c r="AB2367">
        <v>10</v>
      </c>
      <c r="AC2367">
        <v>4.7</v>
      </c>
      <c r="AD2367" t="s">
        <v>12889</v>
      </c>
      <c r="AE2367" t="s">
        <v>6689</v>
      </c>
      <c r="AF2367" t="s">
        <v>12890</v>
      </c>
      <c r="AG2367" t="s">
        <v>12891</v>
      </c>
      <c r="AH2367">
        <v>-1.04</v>
      </c>
      <c r="AI2367">
        <v>-1.93</v>
      </c>
      <c r="AJ2367">
        <v>3.38</v>
      </c>
      <c r="AK2367">
        <v>6.65</v>
      </c>
      <c r="AL2367">
        <v>-2</v>
      </c>
      <c r="AM2367">
        <v>-0.7</v>
      </c>
      <c r="AN2367">
        <v>66.73</v>
      </c>
      <c r="AO2367">
        <v>4.93</v>
      </c>
      <c r="AP2367">
        <v>34.75</v>
      </c>
    </row>
    <row r="2368" spans="1:42">
      <c r="A2368">
        <v>2367</v>
      </c>
      <c r="B2368" t="str">
        <f>"300350"</f>
        <v>300350</v>
      </c>
      <c r="C2368" t="s">
        <v>12892</v>
      </c>
      <c r="D2368">
        <v>5.32</v>
      </c>
      <c r="E2368">
        <v>1.53</v>
      </c>
      <c r="F2368">
        <v>0.08</v>
      </c>
      <c r="G2368" t="s">
        <v>2081</v>
      </c>
      <c r="H2368">
        <v>3481</v>
      </c>
      <c r="I2368">
        <v>5.31</v>
      </c>
      <c r="J2368">
        <v>5.32</v>
      </c>
      <c r="K2368" t="s">
        <v>12893</v>
      </c>
      <c r="L2368">
        <v>3.03</v>
      </c>
      <c r="M2368" t="s">
        <v>46</v>
      </c>
      <c r="N2368" t="s">
        <v>3485</v>
      </c>
      <c r="O2368">
        <v>5.36</v>
      </c>
      <c r="P2368">
        <v>5.23</v>
      </c>
      <c r="Q2368">
        <v>5.28</v>
      </c>
      <c r="R2368">
        <v>5.24</v>
      </c>
      <c r="S2368">
        <v>2.48</v>
      </c>
      <c r="T2368">
        <v>1.35</v>
      </c>
      <c r="U2368">
        <v>-57.94</v>
      </c>
      <c r="V2368" t="s">
        <v>4189</v>
      </c>
      <c r="W2368">
        <v>5.31</v>
      </c>
      <c r="X2368" t="s">
        <v>7628</v>
      </c>
      <c r="Y2368" t="s">
        <v>6376</v>
      </c>
      <c r="Z2368">
        <v>0.81</v>
      </c>
      <c r="AA2368">
        <v>672</v>
      </c>
      <c r="AB2368">
        <v>3667</v>
      </c>
      <c r="AC2368">
        <v>3.23</v>
      </c>
      <c r="AD2368" t="s">
        <v>12894</v>
      </c>
      <c r="AE2368" t="s">
        <v>12895</v>
      </c>
      <c r="AF2368" t="s">
        <v>12896</v>
      </c>
      <c r="AG2368" t="s">
        <v>5213</v>
      </c>
      <c r="AH2368">
        <v>-0.37</v>
      </c>
      <c r="AI2368">
        <v>-1.12</v>
      </c>
      <c r="AJ2368">
        <v>6.95</v>
      </c>
      <c r="AK2368">
        <v>14.26</v>
      </c>
      <c r="AL2368">
        <v>1</v>
      </c>
      <c r="AM2368">
        <v>1.53</v>
      </c>
      <c r="AN2368">
        <v>9.02</v>
      </c>
      <c r="AO2368">
        <v>2.31</v>
      </c>
      <c r="AP2368">
        <v>3.7</v>
      </c>
    </row>
    <row r="2369" spans="1:42">
      <c r="A2369">
        <v>2368</v>
      </c>
      <c r="B2369" t="str">
        <f>"603866"</f>
        <v>603866</v>
      </c>
      <c r="C2369" t="s">
        <v>12897</v>
      </c>
      <c r="D2369">
        <v>8.26</v>
      </c>
      <c r="E2369">
        <v>-0.72</v>
      </c>
      <c r="F2369">
        <v>-0.06</v>
      </c>
      <c r="G2369" t="s">
        <v>79</v>
      </c>
      <c r="H2369">
        <v>680</v>
      </c>
      <c r="I2369">
        <v>8.25</v>
      </c>
      <c r="J2369">
        <v>8.26</v>
      </c>
      <c r="K2369" t="s">
        <v>12898</v>
      </c>
      <c r="L2369">
        <v>0.57</v>
      </c>
      <c r="M2369" t="s">
        <v>46</v>
      </c>
      <c r="N2369" t="s">
        <v>11678</v>
      </c>
      <c r="O2369">
        <v>8.35</v>
      </c>
      <c r="P2369">
        <v>8.21</v>
      </c>
      <c r="Q2369">
        <v>8.32</v>
      </c>
      <c r="R2369">
        <v>8.32</v>
      </c>
      <c r="S2369">
        <v>1.68</v>
      </c>
      <c r="T2369">
        <v>1.18</v>
      </c>
      <c r="U2369">
        <v>45.55</v>
      </c>
      <c r="V2369">
        <v>1979</v>
      </c>
      <c r="W2369">
        <v>8.27</v>
      </c>
      <c r="X2369" t="s">
        <v>7735</v>
      </c>
      <c r="Y2369" t="s">
        <v>5963</v>
      </c>
      <c r="Z2369">
        <v>1.04</v>
      </c>
      <c r="AA2369">
        <v>137</v>
      </c>
      <c r="AB2369">
        <v>20</v>
      </c>
      <c r="AC2369">
        <v>2.66</v>
      </c>
      <c r="AD2369" t="s">
        <v>9465</v>
      </c>
      <c r="AE2369" t="s">
        <v>12391</v>
      </c>
      <c r="AF2369" t="s">
        <v>9465</v>
      </c>
      <c r="AG2369" t="s">
        <v>12391</v>
      </c>
      <c r="AH2369">
        <v>-2.71</v>
      </c>
      <c r="AI2369">
        <v>-3.17</v>
      </c>
      <c r="AJ2369">
        <v>1.63</v>
      </c>
      <c r="AK2369">
        <v>3</v>
      </c>
      <c r="AL2369">
        <v>-1</v>
      </c>
      <c r="AM2369">
        <v>-0.72</v>
      </c>
      <c r="AN2369">
        <v>-33.92</v>
      </c>
      <c r="AO2369">
        <v>-4.29</v>
      </c>
      <c r="AP2369">
        <v>-23.66</v>
      </c>
    </row>
    <row r="2370" spans="1:42">
      <c r="A2370">
        <v>2369</v>
      </c>
      <c r="B2370" t="str">
        <f>"002150"</f>
        <v>002150</v>
      </c>
      <c r="C2370" t="s">
        <v>12899</v>
      </c>
      <c r="D2370">
        <v>15.21</v>
      </c>
      <c r="E2370">
        <v>-1.3</v>
      </c>
      <c r="F2370">
        <v>-0.2</v>
      </c>
      <c r="G2370" t="s">
        <v>4639</v>
      </c>
      <c r="H2370">
        <v>699</v>
      </c>
      <c r="I2370">
        <v>15.21</v>
      </c>
      <c r="J2370">
        <v>15.22</v>
      </c>
      <c r="K2370" t="s">
        <v>12900</v>
      </c>
      <c r="L2370">
        <v>1.41</v>
      </c>
      <c r="M2370" t="s">
        <v>46</v>
      </c>
      <c r="N2370" t="s">
        <v>9029</v>
      </c>
      <c r="O2370">
        <v>15.57</v>
      </c>
      <c r="P2370">
        <v>15.06</v>
      </c>
      <c r="Q2370">
        <v>15.34</v>
      </c>
      <c r="R2370">
        <v>15.41</v>
      </c>
      <c r="S2370">
        <v>3.31</v>
      </c>
      <c r="T2370">
        <v>0.45</v>
      </c>
      <c r="U2370">
        <v>8.31</v>
      </c>
      <c r="V2370">
        <v>60</v>
      </c>
      <c r="W2370">
        <v>15.18</v>
      </c>
      <c r="X2370" t="s">
        <v>914</v>
      </c>
      <c r="Y2370" t="s">
        <v>314</v>
      </c>
      <c r="Z2370">
        <v>1.14</v>
      </c>
      <c r="AA2370">
        <v>118</v>
      </c>
      <c r="AB2370">
        <v>27</v>
      </c>
      <c r="AC2370">
        <v>3.3</v>
      </c>
      <c r="AD2370" t="s">
        <v>12901</v>
      </c>
      <c r="AE2370" t="s">
        <v>12902</v>
      </c>
      <c r="AF2370" t="s">
        <v>12903</v>
      </c>
      <c r="AG2370" t="s">
        <v>12904</v>
      </c>
      <c r="AH2370">
        <v>-4.52</v>
      </c>
      <c r="AI2370">
        <v>2.63</v>
      </c>
      <c r="AJ2370">
        <v>6.62</v>
      </c>
      <c r="AK2370">
        <v>17.06</v>
      </c>
      <c r="AL2370">
        <v>-3</v>
      </c>
      <c r="AM2370">
        <v>-1.3</v>
      </c>
      <c r="AN2370">
        <v>-25.91</v>
      </c>
      <c r="AO2370">
        <v>17.63</v>
      </c>
      <c r="AP2370">
        <v>59.27</v>
      </c>
    </row>
    <row r="2371" spans="1:42">
      <c r="A2371">
        <v>2370</v>
      </c>
      <c r="B2371" t="str">
        <f>"301393"</f>
        <v>301393</v>
      </c>
      <c r="C2371" t="s">
        <v>12905</v>
      </c>
      <c r="D2371">
        <v>69.45</v>
      </c>
      <c r="E2371">
        <v>0.43</v>
      </c>
      <c r="F2371">
        <v>0.3</v>
      </c>
      <c r="G2371" t="s">
        <v>51</v>
      </c>
      <c r="H2371">
        <v>97</v>
      </c>
      <c r="I2371">
        <v>69.45</v>
      </c>
      <c r="J2371">
        <v>69.46</v>
      </c>
      <c r="K2371" t="s">
        <v>12906</v>
      </c>
      <c r="L2371">
        <v>4.67</v>
      </c>
      <c r="M2371" t="s">
        <v>46</v>
      </c>
      <c r="N2371" t="s">
        <v>4739</v>
      </c>
      <c r="O2371">
        <v>70.35</v>
      </c>
      <c r="P2371">
        <v>69.05</v>
      </c>
      <c r="Q2371">
        <v>69.2</v>
      </c>
      <c r="R2371">
        <v>69.15</v>
      </c>
      <c r="S2371">
        <v>1.88</v>
      </c>
      <c r="T2371">
        <v>0.54</v>
      </c>
      <c r="U2371">
        <v>37.06</v>
      </c>
      <c r="V2371">
        <v>73</v>
      </c>
      <c r="W2371">
        <v>69.5</v>
      </c>
      <c r="X2371">
        <v>5502</v>
      </c>
      <c r="Y2371">
        <v>5414</v>
      </c>
      <c r="Z2371">
        <v>1.02</v>
      </c>
      <c r="AA2371">
        <v>14</v>
      </c>
      <c r="AB2371">
        <v>4</v>
      </c>
      <c r="AC2371">
        <v>3.42</v>
      </c>
      <c r="AD2371" t="s">
        <v>8391</v>
      </c>
      <c r="AE2371" t="s">
        <v>12907</v>
      </c>
      <c r="AF2371" t="s">
        <v>12908</v>
      </c>
      <c r="AG2371" t="s">
        <v>532</v>
      </c>
      <c r="AH2371">
        <v>-1.87</v>
      </c>
      <c r="AI2371">
        <v>-7.74</v>
      </c>
      <c r="AJ2371">
        <v>15.4</v>
      </c>
      <c r="AK2371">
        <v>47.71</v>
      </c>
      <c r="AL2371">
        <v>1</v>
      </c>
      <c r="AM2371">
        <v>0.43</v>
      </c>
      <c r="AN2371">
        <v>3</v>
      </c>
      <c r="AO2371">
        <v>-6.77</v>
      </c>
      <c r="AP2371">
        <v>3</v>
      </c>
    </row>
    <row r="2372" spans="1:42">
      <c r="A2372">
        <v>2371</v>
      </c>
      <c r="B2372" t="str">
        <f>"300174"</f>
        <v>300174</v>
      </c>
      <c r="C2372" t="s">
        <v>12909</v>
      </c>
      <c r="D2372">
        <v>16.17</v>
      </c>
      <c r="E2372">
        <v>-1.04</v>
      </c>
      <c r="F2372">
        <v>-0.17</v>
      </c>
      <c r="G2372" t="s">
        <v>5435</v>
      </c>
      <c r="H2372">
        <v>526</v>
      </c>
      <c r="I2372">
        <v>16.17</v>
      </c>
      <c r="J2372">
        <v>16.18</v>
      </c>
      <c r="K2372" t="s">
        <v>12910</v>
      </c>
      <c r="L2372">
        <v>1.28</v>
      </c>
      <c r="M2372" t="s">
        <v>46</v>
      </c>
      <c r="N2372" t="s">
        <v>2591</v>
      </c>
      <c r="O2372">
        <v>16.39</v>
      </c>
      <c r="P2372">
        <v>16.03</v>
      </c>
      <c r="Q2372">
        <v>16.28</v>
      </c>
      <c r="R2372">
        <v>16.34</v>
      </c>
      <c r="S2372">
        <v>2.2</v>
      </c>
      <c r="T2372">
        <v>0.71</v>
      </c>
      <c r="U2372">
        <v>-15.03</v>
      </c>
      <c r="V2372">
        <v>-86</v>
      </c>
      <c r="W2372">
        <v>16.2</v>
      </c>
      <c r="X2372" t="s">
        <v>7946</v>
      </c>
      <c r="Y2372" t="s">
        <v>2716</v>
      </c>
      <c r="Z2372">
        <v>1.19</v>
      </c>
      <c r="AA2372">
        <v>4</v>
      </c>
      <c r="AB2372">
        <v>55</v>
      </c>
      <c r="AC2372">
        <v>1.94</v>
      </c>
      <c r="AD2372" t="s">
        <v>7705</v>
      </c>
      <c r="AE2372" t="s">
        <v>12911</v>
      </c>
      <c r="AF2372" t="s">
        <v>12912</v>
      </c>
      <c r="AG2372" t="s">
        <v>12913</v>
      </c>
      <c r="AH2372">
        <v>-0.92</v>
      </c>
      <c r="AI2372">
        <v>1.25</v>
      </c>
      <c r="AJ2372">
        <v>6.1</v>
      </c>
      <c r="AK2372">
        <v>10.39</v>
      </c>
      <c r="AL2372">
        <v>-2</v>
      </c>
      <c r="AM2372">
        <v>-1.04</v>
      </c>
      <c r="AN2372">
        <v>-18.78</v>
      </c>
      <c r="AO2372">
        <v>6.17</v>
      </c>
      <c r="AP2372">
        <v>-23.55</v>
      </c>
    </row>
    <row r="2373" spans="1:42">
      <c r="A2373">
        <v>2372</v>
      </c>
      <c r="B2373" t="str">
        <f>"002051"</f>
        <v>002051</v>
      </c>
      <c r="C2373" t="s">
        <v>12914</v>
      </c>
      <c r="D2373">
        <v>8.51</v>
      </c>
      <c r="E2373">
        <v>1.67</v>
      </c>
      <c r="F2373">
        <v>0.14</v>
      </c>
      <c r="G2373" t="s">
        <v>6448</v>
      </c>
      <c r="H2373">
        <v>1011</v>
      </c>
      <c r="I2373">
        <v>8.51</v>
      </c>
      <c r="J2373">
        <v>8.52</v>
      </c>
      <c r="K2373" t="s">
        <v>12915</v>
      </c>
      <c r="L2373">
        <v>0.72</v>
      </c>
      <c r="M2373" t="s">
        <v>46</v>
      </c>
      <c r="N2373" t="s">
        <v>7959</v>
      </c>
      <c r="O2373">
        <v>8.56</v>
      </c>
      <c r="P2373">
        <v>8.31</v>
      </c>
      <c r="Q2373">
        <v>8.37</v>
      </c>
      <c r="R2373">
        <v>8.37</v>
      </c>
      <c r="S2373">
        <v>2.99</v>
      </c>
      <c r="T2373">
        <v>1</v>
      </c>
      <c r="U2373">
        <v>-44.61</v>
      </c>
      <c r="V2373">
        <v>-3226</v>
      </c>
      <c r="W2373">
        <v>8.45</v>
      </c>
      <c r="X2373" t="s">
        <v>762</v>
      </c>
      <c r="Y2373" t="s">
        <v>5734</v>
      </c>
      <c r="Z2373">
        <v>0.64</v>
      </c>
      <c r="AA2373">
        <v>105</v>
      </c>
      <c r="AB2373">
        <v>2204</v>
      </c>
      <c r="AC2373">
        <v>0.94</v>
      </c>
      <c r="AD2373" t="s">
        <v>12916</v>
      </c>
      <c r="AE2373" t="s">
        <v>4728</v>
      </c>
      <c r="AF2373" t="s">
        <v>12916</v>
      </c>
      <c r="AG2373" t="s">
        <v>4728</v>
      </c>
      <c r="AH2373">
        <v>-0.7</v>
      </c>
      <c r="AI2373">
        <v>-3.08</v>
      </c>
      <c r="AJ2373">
        <v>2.17</v>
      </c>
      <c r="AK2373">
        <v>4.34</v>
      </c>
      <c r="AL2373">
        <v>1</v>
      </c>
      <c r="AM2373">
        <v>1.67</v>
      </c>
      <c r="AN2373">
        <v>9.81</v>
      </c>
      <c r="AO2373">
        <v>-2.3</v>
      </c>
      <c r="AP2373">
        <v>-0.12</v>
      </c>
    </row>
    <row r="2374" spans="1:42">
      <c r="A2374">
        <v>2373</v>
      </c>
      <c r="B2374" t="str">
        <f>"300516"</f>
        <v>300516</v>
      </c>
      <c r="C2374" t="s">
        <v>12917</v>
      </c>
      <c r="D2374">
        <v>32.21</v>
      </c>
      <c r="E2374">
        <v>-0.22</v>
      </c>
      <c r="F2374">
        <v>-0.07</v>
      </c>
      <c r="G2374" t="s">
        <v>3328</v>
      </c>
      <c r="H2374">
        <v>77</v>
      </c>
      <c r="I2374">
        <v>32.19</v>
      </c>
      <c r="J2374">
        <v>32.21</v>
      </c>
      <c r="K2374" t="s">
        <v>12918</v>
      </c>
      <c r="L2374">
        <v>1.32</v>
      </c>
      <c r="M2374" t="s">
        <v>46</v>
      </c>
      <c r="N2374" t="s">
        <v>3835</v>
      </c>
      <c r="O2374">
        <v>32.25</v>
      </c>
      <c r="P2374">
        <v>31.28</v>
      </c>
      <c r="Q2374">
        <v>31.97</v>
      </c>
      <c r="R2374">
        <v>32.28</v>
      </c>
      <c r="S2374">
        <v>3</v>
      </c>
      <c r="T2374">
        <v>1.21</v>
      </c>
      <c r="U2374">
        <v>45.71</v>
      </c>
      <c r="V2374">
        <v>96</v>
      </c>
      <c r="W2374">
        <v>31.84</v>
      </c>
      <c r="X2374" t="s">
        <v>1083</v>
      </c>
      <c r="Y2374" t="s">
        <v>8636</v>
      </c>
      <c r="Z2374">
        <v>0.98</v>
      </c>
      <c r="AA2374">
        <v>83</v>
      </c>
      <c r="AB2374">
        <v>4</v>
      </c>
      <c r="AC2374">
        <v>4.54</v>
      </c>
      <c r="AD2374" t="s">
        <v>8722</v>
      </c>
      <c r="AE2374" t="s">
        <v>12919</v>
      </c>
      <c r="AF2374" t="s">
        <v>8722</v>
      </c>
      <c r="AG2374" t="s">
        <v>12919</v>
      </c>
      <c r="AH2374">
        <v>-0.25</v>
      </c>
      <c r="AI2374">
        <v>-0.37</v>
      </c>
      <c r="AJ2374">
        <v>4.34</v>
      </c>
      <c r="AK2374">
        <v>6.79</v>
      </c>
      <c r="AL2374">
        <v>-2</v>
      </c>
      <c r="AM2374">
        <v>-0.22</v>
      </c>
      <c r="AN2374">
        <v>32.99</v>
      </c>
      <c r="AO2374">
        <v>0.81</v>
      </c>
      <c r="AP2374">
        <v>14.79</v>
      </c>
    </row>
    <row r="2375" spans="1:42">
      <c r="A2375">
        <v>2374</v>
      </c>
      <c r="B2375" t="str">
        <f>"688176"</f>
        <v>688176</v>
      </c>
      <c r="C2375" t="s">
        <v>12920</v>
      </c>
      <c r="D2375">
        <v>11.1</v>
      </c>
      <c r="E2375">
        <v>-0.72</v>
      </c>
      <c r="F2375">
        <v>-0.08</v>
      </c>
      <c r="G2375" t="s">
        <v>1892</v>
      </c>
      <c r="H2375">
        <v>837</v>
      </c>
      <c r="I2375">
        <v>11.1</v>
      </c>
      <c r="J2375">
        <v>11.12</v>
      </c>
      <c r="K2375" t="s">
        <v>3815</v>
      </c>
      <c r="L2375">
        <v>1.86</v>
      </c>
      <c r="M2375" t="s">
        <v>46</v>
      </c>
      <c r="N2375" t="s">
        <v>12921</v>
      </c>
      <c r="O2375">
        <v>11.25</v>
      </c>
      <c r="P2375">
        <v>10.9</v>
      </c>
      <c r="Q2375">
        <v>11.16</v>
      </c>
      <c r="R2375">
        <v>11.18</v>
      </c>
      <c r="S2375">
        <v>3.13</v>
      </c>
      <c r="T2375">
        <v>1</v>
      </c>
      <c r="U2375">
        <v>-33.13</v>
      </c>
      <c r="V2375">
        <v>-720</v>
      </c>
      <c r="W2375">
        <v>11.05</v>
      </c>
      <c r="X2375" t="s">
        <v>4087</v>
      </c>
      <c r="Y2375" t="s">
        <v>1639</v>
      </c>
      <c r="Z2375">
        <v>1.61</v>
      </c>
      <c r="AA2375">
        <v>161</v>
      </c>
      <c r="AB2375">
        <v>120</v>
      </c>
      <c r="AC2375">
        <v>2.51</v>
      </c>
      <c r="AD2375" t="s">
        <v>10827</v>
      </c>
      <c r="AE2375" t="s">
        <v>10975</v>
      </c>
      <c r="AF2375" t="s">
        <v>12922</v>
      </c>
      <c r="AG2375" t="s">
        <v>12923</v>
      </c>
      <c r="AH2375">
        <v>-3.9</v>
      </c>
      <c r="AI2375">
        <v>-2.97</v>
      </c>
      <c r="AJ2375">
        <v>4.95</v>
      </c>
      <c r="AK2375">
        <v>11.11</v>
      </c>
      <c r="AL2375">
        <v>-3</v>
      </c>
      <c r="AM2375">
        <v>-0.72</v>
      </c>
      <c r="AN2375">
        <v>-1.33</v>
      </c>
      <c r="AO2375">
        <v>1.37</v>
      </c>
      <c r="AP2375">
        <v>-12.53</v>
      </c>
    </row>
    <row r="2376" spans="1:42">
      <c r="A2376">
        <v>2375</v>
      </c>
      <c r="B2376" t="str">
        <f>"301080"</f>
        <v>301080</v>
      </c>
      <c r="C2376" t="s">
        <v>12924</v>
      </c>
      <c r="D2376">
        <v>66.8</v>
      </c>
      <c r="E2376">
        <v>1.32</v>
      </c>
      <c r="F2376">
        <v>0.87</v>
      </c>
      <c r="G2376" t="s">
        <v>4959</v>
      </c>
      <c r="H2376">
        <v>31</v>
      </c>
      <c r="I2376">
        <v>66.8</v>
      </c>
      <c r="J2376">
        <v>66.81</v>
      </c>
      <c r="K2376" t="s">
        <v>12925</v>
      </c>
      <c r="L2376">
        <v>1.81</v>
      </c>
      <c r="M2376" t="s">
        <v>46</v>
      </c>
      <c r="N2376" t="s">
        <v>3477</v>
      </c>
      <c r="O2376">
        <v>67.2</v>
      </c>
      <c r="P2376">
        <v>65.69</v>
      </c>
      <c r="Q2376">
        <v>66.09</v>
      </c>
      <c r="R2376">
        <v>65.93</v>
      </c>
      <c r="S2376">
        <v>2.29</v>
      </c>
      <c r="T2376">
        <v>0.97</v>
      </c>
      <c r="U2376">
        <v>-37.73</v>
      </c>
      <c r="V2376">
        <v>-52</v>
      </c>
      <c r="W2376">
        <v>66.6</v>
      </c>
      <c r="X2376">
        <v>5221</v>
      </c>
      <c r="Y2376">
        <v>6126</v>
      </c>
      <c r="Z2376">
        <v>0.85</v>
      </c>
      <c r="AA2376">
        <v>17</v>
      </c>
      <c r="AB2376">
        <v>42</v>
      </c>
      <c r="AC2376">
        <v>3.1</v>
      </c>
      <c r="AD2376" t="s">
        <v>5210</v>
      </c>
      <c r="AE2376" t="s">
        <v>12926</v>
      </c>
      <c r="AF2376" t="s">
        <v>12927</v>
      </c>
      <c r="AG2376" t="s">
        <v>11947</v>
      </c>
      <c r="AH2376">
        <v>-0.07</v>
      </c>
      <c r="AI2376">
        <v>-1.24</v>
      </c>
      <c r="AJ2376">
        <v>5.54</v>
      </c>
      <c r="AK2376">
        <v>11.15</v>
      </c>
      <c r="AL2376">
        <v>2</v>
      </c>
      <c r="AM2376">
        <v>1.32</v>
      </c>
      <c r="AN2376">
        <v>-0.98</v>
      </c>
      <c r="AO2376">
        <v>5.28</v>
      </c>
      <c r="AP2376">
        <v>-13.82</v>
      </c>
    </row>
    <row r="2377" spans="1:42">
      <c r="A2377">
        <v>2376</v>
      </c>
      <c r="B2377" t="str">
        <f>"002946"</f>
        <v>002946</v>
      </c>
      <c r="C2377" t="s">
        <v>12928</v>
      </c>
      <c r="D2377">
        <v>12.42</v>
      </c>
      <c r="E2377">
        <v>-1.35</v>
      </c>
      <c r="F2377">
        <v>-0.17</v>
      </c>
      <c r="G2377" t="s">
        <v>6801</v>
      </c>
      <c r="H2377">
        <v>239</v>
      </c>
      <c r="I2377">
        <v>12.42</v>
      </c>
      <c r="J2377">
        <v>12.43</v>
      </c>
      <c r="K2377" t="s">
        <v>12929</v>
      </c>
      <c r="L2377">
        <v>0.72</v>
      </c>
      <c r="M2377" t="s">
        <v>46</v>
      </c>
      <c r="N2377" t="s">
        <v>12930</v>
      </c>
      <c r="O2377">
        <v>12.64</v>
      </c>
      <c r="P2377">
        <v>12.26</v>
      </c>
      <c r="Q2377">
        <v>12.63</v>
      </c>
      <c r="R2377">
        <v>12.59</v>
      </c>
      <c r="S2377">
        <v>3.02</v>
      </c>
      <c r="T2377">
        <v>1.59</v>
      </c>
      <c r="U2377">
        <v>-2.65</v>
      </c>
      <c r="V2377">
        <v>-28</v>
      </c>
      <c r="W2377">
        <v>12.41</v>
      </c>
      <c r="X2377" t="s">
        <v>6314</v>
      </c>
      <c r="Y2377" t="s">
        <v>2389</v>
      </c>
      <c r="Z2377">
        <v>1.47</v>
      </c>
      <c r="AA2377">
        <v>11</v>
      </c>
      <c r="AB2377">
        <v>68</v>
      </c>
      <c r="AC2377">
        <v>4.32</v>
      </c>
      <c r="AD2377" t="s">
        <v>5508</v>
      </c>
      <c r="AE2377" t="s">
        <v>4142</v>
      </c>
      <c r="AF2377" t="s">
        <v>12931</v>
      </c>
      <c r="AG2377" t="s">
        <v>12932</v>
      </c>
      <c r="AH2377">
        <v>-2.97</v>
      </c>
      <c r="AI2377">
        <v>-3.27</v>
      </c>
      <c r="AJ2377">
        <v>1.62</v>
      </c>
      <c r="AK2377">
        <v>2.99</v>
      </c>
      <c r="AL2377">
        <v>-3</v>
      </c>
      <c r="AM2377">
        <v>-1.35</v>
      </c>
      <c r="AN2377">
        <v>-5.48</v>
      </c>
      <c r="AO2377">
        <v>-5.55</v>
      </c>
      <c r="AP2377">
        <v>8.95</v>
      </c>
    </row>
    <row r="2378" spans="1:42">
      <c r="A2378">
        <v>2377</v>
      </c>
      <c r="B2378" t="str">
        <f>"000582"</f>
        <v>000582</v>
      </c>
      <c r="C2378" t="s">
        <v>12933</v>
      </c>
      <c r="D2378">
        <v>7.6</v>
      </c>
      <c r="E2378">
        <v>1.06</v>
      </c>
      <c r="F2378">
        <v>0.08</v>
      </c>
      <c r="G2378" t="s">
        <v>3254</v>
      </c>
      <c r="H2378">
        <v>630</v>
      </c>
      <c r="I2378">
        <v>7.59</v>
      </c>
      <c r="J2378">
        <v>7.6</v>
      </c>
      <c r="K2378" t="s">
        <v>12934</v>
      </c>
      <c r="L2378">
        <v>0.71</v>
      </c>
      <c r="M2378" t="s">
        <v>46</v>
      </c>
      <c r="N2378" t="s">
        <v>12935</v>
      </c>
      <c r="O2378">
        <v>7.61</v>
      </c>
      <c r="P2378">
        <v>7.51</v>
      </c>
      <c r="Q2378">
        <v>7.52</v>
      </c>
      <c r="R2378">
        <v>7.52</v>
      </c>
      <c r="S2378">
        <v>1.33</v>
      </c>
      <c r="T2378">
        <v>1.34</v>
      </c>
      <c r="U2378">
        <v>-26.1</v>
      </c>
      <c r="V2378">
        <v>-3629</v>
      </c>
      <c r="W2378">
        <v>7.58</v>
      </c>
      <c r="X2378" t="s">
        <v>2300</v>
      </c>
      <c r="Y2378" t="s">
        <v>6349</v>
      </c>
      <c r="Z2378">
        <v>0.86</v>
      </c>
      <c r="AA2378">
        <v>449</v>
      </c>
      <c r="AB2378">
        <v>369</v>
      </c>
      <c r="AC2378">
        <v>1.01</v>
      </c>
      <c r="AD2378" t="s">
        <v>12936</v>
      </c>
      <c r="AE2378" t="s">
        <v>12937</v>
      </c>
      <c r="AF2378" t="s">
        <v>12938</v>
      </c>
      <c r="AG2378" t="s">
        <v>7321</v>
      </c>
      <c r="AH2378">
        <v>1.2</v>
      </c>
      <c r="AI2378">
        <v>1.88</v>
      </c>
      <c r="AJ2378">
        <v>1.75</v>
      </c>
      <c r="AK2378">
        <v>3.34</v>
      </c>
      <c r="AL2378">
        <v>2</v>
      </c>
      <c r="AM2378">
        <v>1.06</v>
      </c>
      <c r="AN2378">
        <v>5.26</v>
      </c>
      <c r="AO2378">
        <v>2.7</v>
      </c>
      <c r="AP2378">
        <v>3.4</v>
      </c>
    </row>
    <row r="2379" spans="1:42">
      <c r="A2379">
        <v>2378</v>
      </c>
      <c r="B2379" t="str">
        <f>"603186"</f>
        <v>603186</v>
      </c>
      <c r="C2379" t="s">
        <v>12939</v>
      </c>
      <c r="D2379">
        <v>38.4</v>
      </c>
      <c r="E2379">
        <v>1.61</v>
      </c>
      <c r="F2379">
        <v>0.61</v>
      </c>
      <c r="G2379" t="s">
        <v>1280</v>
      </c>
      <c r="H2379">
        <v>213</v>
      </c>
      <c r="I2379">
        <v>38.38</v>
      </c>
      <c r="J2379">
        <v>38.4</v>
      </c>
      <c r="K2379" t="s">
        <v>12940</v>
      </c>
      <c r="L2379">
        <v>1.41</v>
      </c>
      <c r="M2379" t="s">
        <v>46</v>
      </c>
      <c r="N2379" t="s">
        <v>12941</v>
      </c>
      <c r="O2379">
        <v>38.44</v>
      </c>
      <c r="P2379">
        <v>37.01</v>
      </c>
      <c r="Q2379">
        <v>37.79</v>
      </c>
      <c r="R2379">
        <v>37.79</v>
      </c>
      <c r="S2379">
        <v>3.78</v>
      </c>
      <c r="T2379">
        <v>0.8</v>
      </c>
      <c r="U2379">
        <v>-69.54</v>
      </c>
      <c r="V2379">
        <v>-347</v>
      </c>
      <c r="W2379">
        <v>37.77</v>
      </c>
      <c r="X2379">
        <v>9188</v>
      </c>
      <c r="Y2379" t="s">
        <v>7974</v>
      </c>
      <c r="Z2379">
        <v>0.85</v>
      </c>
      <c r="AA2379">
        <v>61</v>
      </c>
      <c r="AB2379">
        <v>30</v>
      </c>
      <c r="AC2379">
        <v>3.43</v>
      </c>
      <c r="AD2379" t="s">
        <v>12942</v>
      </c>
      <c r="AE2379" t="s">
        <v>11822</v>
      </c>
      <c r="AF2379" t="s">
        <v>3762</v>
      </c>
      <c r="AG2379" t="s">
        <v>9120</v>
      </c>
      <c r="AH2379">
        <v>1.05</v>
      </c>
      <c r="AI2379">
        <v>-0.13</v>
      </c>
      <c r="AJ2379">
        <v>3.63</v>
      </c>
      <c r="AK2379">
        <v>10.21</v>
      </c>
      <c r="AL2379">
        <v>1</v>
      </c>
      <c r="AM2379">
        <v>1.61</v>
      </c>
      <c r="AN2379">
        <v>70.36</v>
      </c>
      <c r="AO2379">
        <v>-2.54</v>
      </c>
      <c r="AP2379">
        <v>74.7</v>
      </c>
    </row>
    <row r="2380" spans="1:42">
      <c r="A2380">
        <v>2379</v>
      </c>
      <c r="B2380" t="str">
        <f>"002958"</f>
        <v>002958</v>
      </c>
      <c r="C2380" t="s">
        <v>12943</v>
      </c>
      <c r="D2380">
        <v>2.67</v>
      </c>
      <c r="E2380">
        <v>0.75</v>
      </c>
      <c r="F2380">
        <v>0.02</v>
      </c>
      <c r="G2380" t="s">
        <v>1394</v>
      </c>
      <c r="H2380" t="s">
        <v>8050</v>
      </c>
      <c r="I2380">
        <v>2.66</v>
      </c>
      <c r="J2380">
        <v>2.67</v>
      </c>
      <c r="K2380" t="s">
        <v>12944</v>
      </c>
      <c r="L2380">
        <v>0.58</v>
      </c>
      <c r="M2380" t="s">
        <v>46</v>
      </c>
      <c r="N2380" t="s">
        <v>12945</v>
      </c>
      <c r="O2380">
        <v>2.67</v>
      </c>
      <c r="P2380">
        <v>2.65</v>
      </c>
      <c r="Q2380">
        <v>2.65</v>
      </c>
      <c r="R2380">
        <v>2.65</v>
      </c>
      <c r="S2380">
        <v>0.75</v>
      </c>
      <c r="T2380">
        <v>1.24</v>
      </c>
      <c r="U2380">
        <v>-12.17</v>
      </c>
      <c r="V2380" t="s">
        <v>12946</v>
      </c>
      <c r="W2380">
        <v>2.66</v>
      </c>
      <c r="X2380" t="s">
        <v>1909</v>
      </c>
      <c r="Y2380" t="s">
        <v>1403</v>
      </c>
      <c r="Z2380">
        <v>0.61</v>
      </c>
      <c r="AA2380" t="s">
        <v>8137</v>
      </c>
      <c r="AB2380">
        <v>7047</v>
      </c>
      <c r="AC2380">
        <v>0.45</v>
      </c>
      <c r="AD2380" t="s">
        <v>12947</v>
      </c>
      <c r="AE2380" t="s">
        <v>9709</v>
      </c>
      <c r="AF2380" t="s">
        <v>12948</v>
      </c>
      <c r="AG2380" t="s">
        <v>6716</v>
      </c>
      <c r="AH2380">
        <v>-0.37</v>
      </c>
      <c r="AI2380">
        <v>-1.11</v>
      </c>
      <c r="AJ2380">
        <v>1.56</v>
      </c>
      <c r="AK2380">
        <v>2.92</v>
      </c>
      <c r="AL2380">
        <v>1</v>
      </c>
      <c r="AM2380">
        <v>0.75</v>
      </c>
      <c r="AN2380">
        <v>-7.61</v>
      </c>
      <c r="AO2380">
        <v>-0.74</v>
      </c>
      <c r="AP2380">
        <v>-8.87</v>
      </c>
    </row>
    <row r="2381" spans="1:42">
      <c r="A2381">
        <v>2380</v>
      </c>
      <c r="B2381" t="str">
        <f>"688776"</f>
        <v>688776</v>
      </c>
      <c r="C2381" t="s">
        <v>12949</v>
      </c>
      <c r="D2381">
        <v>97.48</v>
      </c>
      <c r="E2381">
        <v>1.97</v>
      </c>
      <c r="F2381">
        <v>1.88</v>
      </c>
      <c r="G2381">
        <v>7879</v>
      </c>
      <c r="H2381">
        <v>42</v>
      </c>
      <c r="I2381">
        <v>97.48</v>
      </c>
      <c r="J2381">
        <v>97.5</v>
      </c>
      <c r="K2381" t="s">
        <v>12944</v>
      </c>
      <c r="L2381">
        <v>2.29</v>
      </c>
      <c r="M2381" t="s">
        <v>46</v>
      </c>
      <c r="N2381" t="s">
        <v>2451</v>
      </c>
      <c r="O2381">
        <v>98.07</v>
      </c>
      <c r="P2381">
        <v>93.59</v>
      </c>
      <c r="Q2381">
        <v>95.57</v>
      </c>
      <c r="R2381">
        <v>95.6</v>
      </c>
      <c r="S2381">
        <v>4.69</v>
      </c>
      <c r="T2381">
        <v>0.54</v>
      </c>
      <c r="U2381">
        <v>57.26</v>
      </c>
      <c r="V2381">
        <v>266</v>
      </c>
      <c r="W2381">
        <v>95.71</v>
      </c>
      <c r="X2381">
        <v>3523</v>
      </c>
      <c r="Y2381">
        <v>4356</v>
      </c>
      <c r="Z2381">
        <v>0.81</v>
      </c>
      <c r="AA2381">
        <v>63</v>
      </c>
      <c r="AB2381">
        <v>32</v>
      </c>
      <c r="AC2381">
        <v>5.87</v>
      </c>
      <c r="AD2381" t="s">
        <v>12950</v>
      </c>
      <c r="AE2381" t="s">
        <v>12951</v>
      </c>
      <c r="AF2381" t="s">
        <v>12952</v>
      </c>
      <c r="AG2381" t="s">
        <v>12953</v>
      </c>
      <c r="AH2381">
        <v>-0.81</v>
      </c>
      <c r="AI2381">
        <v>-2.4</v>
      </c>
      <c r="AJ2381">
        <v>8.96</v>
      </c>
      <c r="AK2381">
        <v>23.66</v>
      </c>
      <c r="AL2381">
        <v>1</v>
      </c>
      <c r="AM2381">
        <v>1.97</v>
      </c>
      <c r="AN2381">
        <v>-22.05</v>
      </c>
      <c r="AO2381">
        <v>3.26</v>
      </c>
      <c r="AP2381">
        <v>-35.63</v>
      </c>
    </row>
    <row r="2382" spans="1:42">
      <c r="A2382">
        <v>2381</v>
      </c>
      <c r="B2382" t="str">
        <f>"000410"</f>
        <v>000410</v>
      </c>
      <c r="C2382" t="s">
        <v>12954</v>
      </c>
      <c r="D2382">
        <v>7.38</v>
      </c>
      <c r="E2382">
        <v>1.79</v>
      </c>
      <c r="F2382">
        <v>0.13</v>
      </c>
      <c r="G2382" t="s">
        <v>3402</v>
      </c>
      <c r="H2382">
        <v>627</v>
      </c>
      <c r="I2382">
        <v>7.38</v>
      </c>
      <c r="J2382">
        <v>7.39</v>
      </c>
      <c r="K2382" t="s">
        <v>12955</v>
      </c>
      <c r="L2382">
        <v>0.61</v>
      </c>
      <c r="M2382" t="s">
        <v>46</v>
      </c>
      <c r="N2382" t="s">
        <v>3436</v>
      </c>
      <c r="O2382">
        <v>7.42</v>
      </c>
      <c r="P2382">
        <v>7.21</v>
      </c>
      <c r="Q2382">
        <v>7.3</v>
      </c>
      <c r="R2382">
        <v>7.25</v>
      </c>
      <c r="S2382">
        <v>2.9</v>
      </c>
      <c r="T2382">
        <v>1.25</v>
      </c>
      <c r="U2382">
        <v>-33.78</v>
      </c>
      <c r="V2382">
        <v>-3865</v>
      </c>
      <c r="W2382">
        <v>7.35</v>
      </c>
      <c r="X2382" t="s">
        <v>2628</v>
      </c>
      <c r="Y2382" t="s">
        <v>3207</v>
      </c>
      <c r="Z2382">
        <v>0.44</v>
      </c>
      <c r="AA2382">
        <v>842</v>
      </c>
      <c r="AB2382">
        <v>1169</v>
      </c>
      <c r="AC2382">
        <v>16.2</v>
      </c>
      <c r="AD2382" t="s">
        <v>12956</v>
      </c>
      <c r="AE2382" t="s">
        <v>12957</v>
      </c>
      <c r="AF2382" t="s">
        <v>12958</v>
      </c>
      <c r="AG2382" t="s">
        <v>12959</v>
      </c>
      <c r="AH2382">
        <v>-0.94</v>
      </c>
      <c r="AI2382">
        <v>0.27</v>
      </c>
      <c r="AJ2382">
        <v>1.8</v>
      </c>
      <c r="AK2382">
        <v>3.06</v>
      </c>
      <c r="AL2382">
        <v>1</v>
      </c>
      <c r="AM2382">
        <v>1.79</v>
      </c>
      <c r="AN2382">
        <v>31.32</v>
      </c>
      <c r="AO2382">
        <v>1.65</v>
      </c>
      <c r="AP2382">
        <v>27.02</v>
      </c>
    </row>
    <row r="2383" spans="1:42">
      <c r="A2383">
        <v>2382</v>
      </c>
      <c r="B2383" t="str">
        <f>"301370"</f>
        <v>301370</v>
      </c>
      <c r="C2383" t="s">
        <v>12960</v>
      </c>
      <c r="D2383">
        <v>17.31</v>
      </c>
      <c r="E2383">
        <v>0.58</v>
      </c>
      <c r="F2383">
        <v>0.1</v>
      </c>
      <c r="G2383" t="s">
        <v>6838</v>
      </c>
      <c r="H2383">
        <v>626</v>
      </c>
      <c r="I2383">
        <v>17.31</v>
      </c>
      <c r="J2383">
        <v>17.32</v>
      </c>
      <c r="K2383" t="s">
        <v>12961</v>
      </c>
      <c r="L2383">
        <v>6.59</v>
      </c>
      <c r="M2383" t="s">
        <v>46</v>
      </c>
      <c r="N2383" t="s">
        <v>12962</v>
      </c>
      <c r="O2383">
        <v>17.36</v>
      </c>
      <c r="P2383">
        <v>17.05</v>
      </c>
      <c r="Q2383">
        <v>17.2</v>
      </c>
      <c r="R2383">
        <v>17.21</v>
      </c>
      <c r="S2383">
        <v>1.8</v>
      </c>
      <c r="T2383">
        <v>0.37</v>
      </c>
      <c r="U2383">
        <v>-31.44</v>
      </c>
      <c r="V2383">
        <v>-510</v>
      </c>
      <c r="W2383">
        <v>17.23</v>
      </c>
      <c r="X2383" t="s">
        <v>6419</v>
      </c>
      <c r="Y2383" t="s">
        <v>1280</v>
      </c>
      <c r="Z2383">
        <v>1.18</v>
      </c>
      <c r="AA2383">
        <v>118</v>
      </c>
      <c r="AB2383">
        <v>94</v>
      </c>
      <c r="AC2383">
        <v>3.41</v>
      </c>
      <c r="AD2383" t="s">
        <v>12963</v>
      </c>
      <c r="AE2383" t="s">
        <v>12557</v>
      </c>
      <c r="AF2383" t="s">
        <v>12964</v>
      </c>
      <c r="AG2383" t="s">
        <v>4666</v>
      </c>
      <c r="AH2383">
        <v>-7.18</v>
      </c>
      <c r="AI2383">
        <v>-4.63</v>
      </c>
      <c r="AJ2383">
        <v>35.29</v>
      </c>
      <c r="AK2383">
        <v>96.06</v>
      </c>
      <c r="AL2383">
        <v>1</v>
      </c>
      <c r="AM2383">
        <v>0.58</v>
      </c>
      <c r="AN2383">
        <v>29.28</v>
      </c>
      <c r="AO2383">
        <v>-2.2</v>
      </c>
      <c r="AP2383">
        <v>29.28</v>
      </c>
    </row>
    <row r="2384" spans="1:42">
      <c r="A2384">
        <v>2383</v>
      </c>
      <c r="B2384" t="str">
        <f>"300706"</f>
        <v>300706</v>
      </c>
      <c r="C2384" t="s">
        <v>12965</v>
      </c>
      <c r="D2384">
        <v>26.91</v>
      </c>
      <c r="E2384">
        <v>-0.04</v>
      </c>
      <c r="F2384">
        <v>-0.01</v>
      </c>
      <c r="G2384" t="s">
        <v>7993</v>
      </c>
      <c r="H2384">
        <v>310</v>
      </c>
      <c r="I2384">
        <v>26.9</v>
      </c>
      <c r="J2384">
        <v>26.91</v>
      </c>
      <c r="K2384" t="s">
        <v>4891</v>
      </c>
      <c r="L2384">
        <v>2.48</v>
      </c>
      <c r="M2384" t="s">
        <v>46</v>
      </c>
      <c r="N2384" t="s">
        <v>1957</v>
      </c>
      <c r="O2384">
        <v>27.05</v>
      </c>
      <c r="P2384">
        <v>26.4</v>
      </c>
      <c r="Q2384">
        <v>26.77</v>
      </c>
      <c r="R2384">
        <v>26.92</v>
      </c>
      <c r="S2384">
        <v>2.41</v>
      </c>
      <c r="T2384">
        <v>0.67</v>
      </c>
      <c r="U2384">
        <v>33.99</v>
      </c>
      <c r="V2384">
        <v>103</v>
      </c>
      <c r="W2384">
        <v>26.82</v>
      </c>
      <c r="X2384" t="s">
        <v>8212</v>
      </c>
      <c r="Y2384" t="s">
        <v>2547</v>
      </c>
      <c r="Z2384">
        <v>1.25</v>
      </c>
      <c r="AA2384">
        <v>110</v>
      </c>
      <c r="AB2384">
        <v>6</v>
      </c>
      <c r="AC2384">
        <v>5.46</v>
      </c>
      <c r="AD2384" t="s">
        <v>9557</v>
      </c>
      <c r="AE2384" t="s">
        <v>12966</v>
      </c>
      <c r="AF2384" t="s">
        <v>12967</v>
      </c>
      <c r="AG2384" t="s">
        <v>12968</v>
      </c>
      <c r="AH2384">
        <v>-2.68</v>
      </c>
      <c r="AI2384">
        <v>-0.52</v>
      </c>
      <c r="AJ2384">
        <v>10.69</v>
      </c>
      <c r="AK2384">
        <v>21.1</v>
      </c>
      <c r="AL2384">
        <v>-3</v>
      </c>
      <c r="AM2384">
        <v>-0.04</v>
      </c>
      <c r="AN2384">
        <v>17.05</v>
      </c>
      <c r="AO2384">
        <v>0.75</v>
      </c>
      <c r="AP2384">
        <v>-4.88</v>
      </c>
    </row>
    <row r="2385" spans="1:42">
      <c r="A2385">
        <v>2384</v>
      </c>
      <c r="B2385" t="str">
        <f>"600017"</f>
        <v>600017</v>
      </c>
      <c r="C2385" t="s">
        <v>12969</v>
      </c>
      <c r="D2385">
        <v>2.85</v>
      </c>
      <c r="E2385">
        <v>0.71</v>
      </c>
      <c r="F2385">
        <v>0.02</v>
      </c>
      <c r="G2385" t="s">
        <v>1015</v>
      </c>
      <c r="H2385">
        <v>5120</v>
      </c>
      <c r="I2385">
        <v>2.84</v>
      </c>
      <c r="J2385">
        <v>2.85</v>
      </c>
      <c r="K2385" t="s">
        <v>4891</v>
      </c>
      <c r="L2385">
        <v>0.86</v>
      </c>
      <c r="M2385" t="s">
        <v>46</v>
      </c>
      <c r="N2385" t="s">
        <v>12970</v>
      </c>
      <c r="O2385">
        <v>2.86</v>
      </c>
      <c r="P2385">
        <v>2.83</v>
      </c>
      <c r="Q2385">
        <v>2.83</v>
      </c>
      <c r="R2385">
        <v>2.83</v>
      </c>
      <c r="S2385">
        <v>1.06</v>
      </c>
      <c r="T2385">
        <v>1.48</v>
      </c>
      <c r="U2385">
        <v>-4.58</v>
      </c>
      <c r="V2385">
        <v>-7904</v>
      </c>
      <c r="W2385">
        <v>2.85</v>
      </c>
      <c r="X2385" t="s">
        <v>1949</v>
      </c>
      <c r="Y2385" t="s">
        <v>796</v>
      </c>
      <c r="Z2385">
        <v>0.7</v>
      </c>
      <c r="AA2385">
        <v>3290</v>
      </c>
      <c r="AB2385" t="s">
        <v>2397</v>
      </c>
      <c r="AC2385">
        <v>0.66</v>
      </c>
      <c r="AD2385" t="s">
        <v>12971</v>
      </c>
      <c r="AE2385" t="s">
        <v>12972</v>
      </c>
      <c r="AF2385" t="s">
        <v>12971</v>
      </c>
      <c r="AG2385" t="s">
        <v>12972</v>
      </c>
      <c r="AH2385">
        <v>0</v>
      </c>
      <c r="AI2385">
        <v>0</v>
      </c>
      <c r="AJ2385">
        <v>1.94</v>
      </c>
      <c r="AK2385">
        <v>3.76</v>
      </c>
      <c r="AL2385">
        <v>2</v>
      </c>
      <c r="AM2385">
        <v>0.71</v>
      </c>
      <c r="AN2385">
        <v>2.52</v>
      </c>
      <c r="AO2385">
        <v>0.71</v>
      </c>
      <c r="AP2385">
        <v>2.52</v>
      </c>
    </row>
    <row r="2386" spans="1:42">
      <c r="A2386">
        <v>2385</v>
      </c>
      <c r="B2386" t="str">
        <f>"688249"</f>
        <v>688249</v>
      </c>
      <c r="C2386" t="s">
        <v>12973</v>
      </c>
      <c r="D2386">
        <v>16.78</v>
      </c>
      <c r="E2386">
        <v>0.3</v>
      </c>
      <c r="F2386">
        <v>0.05</v>
      </c>
      <c r="G2386" t="s">
        <v>11158</v>
      </c>
      <c r="H2386">
        <v>268</v>
      </c>
      <c r="I2386">
        <v>16.77</v>
      </c>
      <c r="J2386">
        <v>16.78</v>
      </c>
      <c r="K2386" t="s">
        <v>12974</v>
      </c>
      <c r="L2386">
        <v>1.2</v>
      </c>
      <c r="M2386" t="s">
        <v>46</v>
      </c>
      <c r="N2386" t="s">
        <v>8729</v>
      </c>
      <c r="O2386">
        <v>16.86</v>
      </c>
      <c r="P2386">
        <v>16.46</v>
      </c>
      <c r="Q2386">
        <v>16.77</v>
      </c>
      <c r="R2386">
        <v>16.73</v>
      </c>
      <c r="S2386">
        <v>2.39</v>
      </c>
      <c r="T2386">
        <v>0.78</v>
      </c>
      <c r="U2386">
        <v>-14.46</v>
      </c>
      <c r="V2386">
        <v>-114</v>
      </c>
      <c r="W2386">
        <v>16.62</v>
      </c>
      <c r="X2386" t="s">
        <v>6266</v>
      </c>
      <c r="Y2386" t="s">
        <v>731</v>
      </c>
      <c r="Z2386">
        <v>1.04</v>
      </c>
      <c r="AA2386">
        <v>111</v>
      </c>
      <c r="AB2386">
        <v>65</v>
      </c>
      <c r="AC2386">
        <v>1.47</v>
      </c>
      <c r="AD2386" t="s">
        <v>12975</v>
      </c>
      <c r="AE2386" t="s">
        <v>4218</v>
      </c>
      <c r="AF2386" t="s">
        <v>12976</v>
      </c>
      <c r="AG2386" t="s">
        <v>6552</v>
      </c>
      <c r="AH2386">
        <v>-2.21</v>
      </c>
      <c r="AI2386">
        <v>-1.35</v>
      </c>
      <c r="AJ2386">
        <v>5.54</v>
      </c>
      <c r="AK2386">
        <v>8.87</v>
      </c>
      <c r="AL2386">
        <v>1</v>
      </c>
      <c r="AM2386">
        <v>0.3</v>
      </c>
      <c r="AN2386">
        <v>-15.51</v>
      </c>
      <c r="AO2386">
        <v>-0.71</v>
      </c>
      <c r="AP2386">
        <v>-15.51</v>
      </c>
    </row>
    <row r="2387" spans="1:42">
      <c r="A2387">
        <v>2386</v>
      </c>
      <c r="B2387" t="str">
        <f>"838402"</f>
        <v>838402</v>
      </c>
      <c r="C2387" t="s">
        <v>12977</v>
      </c>
      <c r="D2387">
        <v>13.37</v>
      </c>
      <c r="E2387">
        <v>-2.83</v>
      </c>
      <c r="F2387">
        <v>-0.39</v>
      </c>
      <c r="G2387" t="s">
        <v>1038</v>
      </c>
      <c r="H2387">
        <v>426</v>
      </c>
      <c r="I2387">
        <v>13.37</v>
      </c>
      <c r="J2387">
        <v>13.38</v>
      </c>
      <c r="K2387" t="s">
        <v>12978</v>
      </c>
      <c r="L2387">
        <v>1.71</v>
      </c>
      <c r="M2387" t="s">
        <v>46</v>
      </c>
      <c r="N2387" t="s">
        <v>1591</v>
      </c>
      <c r="O2387">
        <v>13.96</v>
      </c>
      <c r="P2387">
        <v>13.35</v>
      </c>
      <c r="Q2387">
        <v>13.88</v>
      </c>
      <c r="R2387">
        <v>13.76</v>
      </c>
      <c r="S2387">
        <v>4.43</v>
      </c>
      <c r="T2387">
        <v>0.43</v>
      </c>
      <c r="U2387">
        <v>64.46</v>
      </c>
      <c r="V2387">
        <v>1042</v>
      </c>
      <c r="W2387">
        <v>13.57</v>
      </c>
      <c r="X2387" t="s">
        <v>10177</v>
      </c>
      <c r="Y2387" t="s">
        <v>6266</v>
      </c>
      <c r="Z2387">
        <v>1.39</v>
      </c>
      <c r="AA2387">
        <v>347</v>
      </c>
      <c r="AB2387">
        <v>66</v>
      </c>
      <c r="AC2387">
        <v>2.78</v>
      </c>
      <c r="AD2387" t="s">
        <v>12979</v>
      </c>
      <c r="AE2387" t="s">
        <v>12980</v>
      </c>
      <c r="AF2387" t="s">
        <v>12979</v>
      </c>
      <c r="AG2387" t="s">
        <v>12980</v>
      </c>
      <c r="AH2387">
        <v>-12.9</v>
      </c>
      <c r="AI2387">
        <v>-2.69</v>
      </c>
      <c r="AJ2387">
        <v>6.93</v>
      </c>
      <c r="AK2387">
        <v>21.43</v>
      </c>
      <c r="AL2387">
        <v>-4</v>
      </c>
      <c r="AM2387">
        <v>-2.83</v>
      </c>
      <c r="AN2387">
        <v>-1.98</v>
      </c>
      <c r="AO2387">
        <v>12.83</v>
      </c>
      <c r="AP2387">
        <v>-20.7</v>
      </c>
    </row>
    <row r="2388" spans="1:42">
      <c r="A2388">
        <v>2387</v>
      </c>
      <c r="B2388" t="str">
        <f>"301168"</f>
        <v>301168</v>
      </c>
      <c r="C2388" t="s">
        <v>12981</v>
      </c>
      <c r="D2388">
        <v>37.01</v>
      </c>
      <c r="E2388">
        <v>-1.8</v>
      </c>
      <c r="F2388">
        <v>-0.68</v>
      </c>
      <c r="G2388" t="s">
        <v>2976</v>
      </c>
      <c r="H2388">
        <v>72</v>
      </c>
      <c r="I2388">
        <v>37.01</v>
      </c>
      <c r="J2388">
        <v>37.02</v>
      </c>
      <c r="K2388" t="s">
        <v>12982</v>
      </c>
      <c r="L2388">
        <v>4.07</v>
      </c>
      <c r="M2388" t="s">
        <v>46</v>
      </c>
      <c r="N2388" t="s">
        <v>5453</v>
      </c>
      <c r="O2388">
        <v>37.83</v>
      </c>
      <c r="P2388">
        <v>36.91</v>
      </c>
      <c r="Q2388">
        <v>37.7</v>
      </c>
      <c r="R2388">
        <v>37.69</v>
      </c>
      <c r="S2388">
        <v>2.44</v>
      </c>
      <c r="T2388">
        <v>1.77</v>
      </c>
      <c r="U2388">
        <v>5.39</v>
      </c>
      <c r="V2388">
        <v>18</v>
      </c>
      <c r="W2388">
        <v>37.17</v>
      </c>
      <c r="X2388" t="s">
        <v>2667</v>
      </c>
      <c r="Y2388">
        <v>8804</v>
      </c>
      <c r="Z2388">
        <v>1.3</v>
      </c>
      <c r="AA2388">
        <v>127</v>
      </c>
      <c r="AB2388">
        <v>42</v>
      </c>
      <c r="AC2388">
        <v>2.13</v>
      </c>
      <c r="AD2388" t="s">
        <v>5210</v>
      </c>
      <c r="AE2388" t="s">
        <v>8291</v>
      </c>
      <c r="AF2388" t="s">
        <v>12983</v>
      </c>
      <c r="AG2388" t="s">
        <v>12984</v>
      </c>
      <c r="AH2388">
        <v>-4.42</v>
      </c>
      <c r="AI2388">
        <v>-7.1</v>
      </c>
      <c r="AJ2388">
        <v>9.23</v>
      </c>
      <c r="AK2388">
        <v>15.58</v>
      </c>
      <c r="AL2388">
        <v>-3</v>
      </c>
      <c r="AM2388">
        <v>-1.8</v>
      </c>
      <c r="AN2388">
        <v>-48.79</v>
      </c>
      <c r="AO2388">
        <v>-4.12</v>
      </c>
      <c r="AP2388">
        <v>-46.44</v>
      </c>
    </row>
    <row r="2389" spans="1:42">
      <c r="A2389">
        <v>2388</v>
      </c>
      <c r="B2389" t="str">
        <f>"605286"</f>
        <v>605286</v>
      </c>
      <c r="C2389" t="s">
        <v>12985</v>
      </c>
      <c r="D2389">
        <v>25.27</v>
      </c>
      <c r="E2389">
        <v>-1.83</v>
      </c>
      <c r="F2389">
        <v>-0.47</v>
      </c>
      <c r="G2389" t="s">
        <v>7649</v>
      </c>
      <c r="H2389">
        <v>160</v>
      </c>
      <c r="I2389">
        <v>25.27</v>
      </c>
      <c r="J2389">
        <v>25.29</v>
      </c>
      <c r="K2389" t="s">
        <v>12986</v>
      </c>
      <c r="L2389">
        <v>6.15</v>
      </c>
      <c r="M2389" t="s">
        <v>46</v>
      </c>
      <c r="N2389" t="s">
        <v>3355</v>
      </c>
      <c r="O2389">
        <v>25.98</v>
      </c>
      <c r="P2389">
        <v>25</v>
      </c>
      <c r="Q2389">
        <v>25.74</v>
      </c>
      <c r="R2389">
        <v>25.74</v>
      </c>
      <c r="S2389">
        <v>3.81</v>
      </c>
      <c r="T2389">
        <v>2.08</v>
      </c>
      <c r="U2389">
        <v>86.67</v>
      </c>
      <c r="V2389">
        <v>299</v>
      </c>
      <c r="W2389">
        <v>25.41</v>
      </c>
      <c r="X2389" t="s">
        <v>4943</v>
      </c>
      <c r="Y2389" t="s">
        <v>1967</v>
      </c>
      <c r="Z2389">
        <v>1.24</v>
      </c>
      <c r="AA2389">
        <v>118</v>
      </c>
      <c r="AB2389">
        <v>5</v>
      </c>
      <c r="AC2389">
        <v>2.49</v>
      </c>
      <c r="AD2389" t="s">
        <v>12987</v>
      </c>
      <c r="AE2389" t="s">
        <v>4744</v>
      </c>
      <c r="AF2389" t="s">
        <v>12988</v>
      </c>
      <c r="AG2389" t="s">
        <v>9711</v>
      </c>
      <c r="AH2389">
        <v>0.36</v>
      </c>
      <c r="AI2389">
        <v>0.6</v>
      </c>
      <c r="AJ2389">
        <v>13.65</v>
      </c>
      <c r="AK2389">
        <v>20.91</v>
      </c>
      <c r="AL2389">
        <v>-1</v>
      </c>
      <c r="AM2389">
        <v>-1.83</v>
      </c>
      <c r="AN2389">
        <v>-39.76</v>
      </c>
      <c r="AO2389">
        <v>4.34</v>
      </c>
      <c r="AP2389">
        <v>-44.09</v>
      </c>
    </row>
    <row r="2390" spans="1:42">
      <c r="A2390">
        <v>2389</v>
      </c>
      <c r="B2390" t="str">
        <f>"688458"</f>
        <v>688458</v>
      </c>
      <c r="C2390" t="s">
        <v>12989</v>
      </c>
      <c r="D2390">
        <v>79.6</v>
      </c>
      <c r="E2390">
        <v>4.76</v>
      </c>
      <c r="F2390">
        <v>3.62</v>
      </c>
      <c r="G2390">
        <v>9516</v>
      </c>
      <c r="H2390">
        <v>110</v>
      </c>
      <c r="I2390">
        <v>79.6</v>
      </c>
      <c r="J2390">
        <v>79.67</v>
      </c>
      <c r="K2390" t="s">
        <v>12990</v>
      </c>
      <c r="L2390">
        <v>4.9</v>
      </c>
      <c r="M2390" t="s">
        <v>46</v>
      </c>
      <c r="N2390" t="s">
        <v>4601</v>
      </c>
      <c r="O2390">
        <v>80.29</v>
      </c>
      <c r="P2390">
        <v>75.01</v>
      </c>
      <c r="Q2390">
        <v>75.75</v>
      </c>
      <c r="R2390">
        <v>75.98</v>
      </c>
      <c r="S2390">
        <v>6.95</v>
      </c>
      <c r="T2390">
        <v>1.11</v>
      </c>
      <c r="U2390">
        <v>22.86</v>
      </c>
      <c r="V2390">
        <v>51</v>
      </c>
      <c r="W2390">
        <v>78.84</v>
      </c>
      <c r="X2390">
        <v>3670</v>
      </c>
      <c r="Y2390">
        <v>5846</v>
      </c>
      <c r="Z2390">
        <v>0.63</v>
      </c>
      <c r="AA2390">
        <v>36</v>
      </c>
      <c r="AB2390">
        <v>47</v>
      </c>
      <c r="AC2390">
        <v>3.09</v>
      </c>
      <c r="AD2390" t="s">
        <v>12991</v>
      </c>
      <c r="AE2390" t="s">
        <v>8202</v>
      </c>
      <c r="AF2390" t="s">
        <v>12992</v>
      </c>
      <c r="AG2390" t="s">
        <v>12993</v>
      </c>
      <c r="AH2390">
        <v>2.86</v>
      </c>
      <c r="AI2390">
        <v>4.54</v>
      </c>
      <c r="AJ2390">
        <v>14.82</v>
      </c>
      <c r="AK2390">
        <v>27.05</v>
      </c>
      <c r="AL2390">
        <v>1</v>
      </c>
      <c r="AM2390">
        <v>4.76</v>
      </c>
      <c r="AN2390">
        <v>6.13</v>
      </c>
      <c r="AO2390">
        <v>6.42</v>
      </c>
      <c r="AP2390">
        <v>6.13</v>
      </c>
    </row>
    <row r="2391" spans="1:42">
      <c r="A2391">
        <v>2390</v>
      </c>
      <c r="B2391" t="str">
        <f>"301366"</f>
        <v>301366</v>
      </c>
      <c r="C2391" t="s">
        <v>12994</v>
      </c>
      <c r="D2391">
        <v>36.35</v>
      </c>
      <c r="E2391">
        <v>2.16</v>
      </c>
      <c r="F2391">
        <v>0.77</v>
      </c>
      <c r="G2391" t="s">
        <v>5592</v>
      </c>
      <c r="H2391">
        <v>348</v>
      </c>
      <c r="I2391">
        <v>36.33</v>
      </c>
      <c r="J2391">
        <v>36.35</v>
      </c>
      <c r="K2391" t="s">
        <v>12995</v>
      </c>
      <c r="L2391">
        <v>3.84</v>
      </c>
      <c r="M2391" t="s">
        <v>46</v>
      </c>
      <c r="N2391" t="s">
        <v>12996</v>
      </c>
      <c r="O2391">
        <v>36.53</v>
      </c>
      <c r="P2391">
        <v>35.2</v>
      </c>
      <c r="Q2391">
        <v>35.6</v>
      </c>
      <c r="R2391">
        <v>35.58</v>
      </c>
      <c r="S2391">
        <v>3.74</v>
      </c>
      <c r="T2391">
        <v>0.81</v>
      </c>
      <c r="U2391">
        <v>-76.73</v>
      </c>
      <c r="V2391">
        <v>-310</v>
      </c>
      <c r="W2391">
        <v>35.77</v>
      </c>
      <c r="X2391" t="s">
        <v>2615</v>
      </c>
      <c r="Y2391" t="s">
        <v>4443</v>
      </c>
      <c r="Z2391">
        <v>0.91</v>
      </c>
      <c r="AA2391">
        <v>2</v>
      </c>
      <c r="AB2391">
        <v>117</v>
      </c>
      <c r="AC2391">
        <v>2.53</v>
      </c>
      <c r="AD2391" t="s">
        <v>3403</v>
      </c>
      <c r="AE2391" t="s">
        <v>12997</v>
      </c>
      <c r="AF2391" t="s">
        <v>12998</v>
      </c>
      <c r="AG2391" t="s">
        <v>12999</v>
      </c>
      <c r="AH2391">
        <v>-0.68</v>
      </c>
      <c r="AI2391">
        <v>-1.2</v>
      </c>
      <c r="AJ2391">
        <v>10.06</v>
      </c>
      <c r="AK2391">
        <v>27.59</v>
      </c>
      <c r="AL2391">
        <v>1</v>
      </c>
      <c r="AM2391">
        <v>2.16</v>
      </c>
      <c r="AN2391">
        <v>40.19</v>
      </c>
      <c r="AO2391">
        <v>8.77</v>
      </c>
      <c r="AP2391">
        <v>32.33</v>
      </c>
    </row>
    <row r="2392" spans="1:42">
      <c r="A2392">
        <v>2391</v>
      </c>
      <c r="B2392" t="str">
        <f>"600285"</f>
        <v>600285</v>
      </c>
      <c r="C2392" t="s">
        <v>13000</v>
      </c>
      <c r="D2392">
        <v>17.13</v>
      </c>
      <c r="E2392">
        <v>0.12</v>
      </c>
      <c r="F2392">
        <v>0.02</v>
      </c>
      <c r="G2392" t="s">
        <v>6838</v>
      </c>
      <c r="H2392">
        <v>277</v>
      </c>
      <c r="I2392">
        <v>17.12</v>
      </c>
      <c r="J2392">
        <v>17.13</v>
      </c>
      <c r="K2392" t="s">
        <v>13001</v>
      </c>
      <c r="L2392">
        <v>0.78</v>
      </c>
      <c r="M2392" t="s">
        <v>46</v>
      </c>
      <c r="N2392" t="s">
        <v>3334</v>
      </c>
      <c r="O2392">
        <v>17.24</v>
      </c>
      <c r="P2392">
        <v>17.01</v>
      </c>
      <c r="Q2392">
        <v>17.07</v>
      </c>
      <c r="R2392">
        <v>17.11</v>
      </c>
      <c r="S2392">
        <v>1.34</v>
      </c>
      <c r="T2392">
        <v>0.62</v>
      </c>
      <c r="U2392">
        <v>6.69</v>
      </c>
      <c r="V2392">
        <v>69</v>
      </c>
      <c r="W2392">
        <v>17.13</v>
      </c>
      <c r="X2392" t="s">
        <v>1520</v>
      </c>
      <c r="Y2392" t="s">
        <v>731</v>
      </c>
      <c r="Z2392">
        <v>0.98</v>
      </c>
      <c r="AA2392">
        <v>41</v>
      </c>
      <c r="AB2392">
        <v>4</v>
      </c>
      <c r="AC2392">
        <v>3.58</v>
      </c>
      <c r="AD2392" t="s">
        <v>13002</v>
      </c>
      <c r="AE2392" t="s">
        <v>13003</v>
      </c>
      <c r="AF2392" t="s">
        <v>13004</v>
      </c>
      <c r="AG2392" t="s">
        <v>13005</v>
      </c>
      <c r="AH2392">
        <v>-0.35</v>
      </c>
      <c r="AI2392">
        <v>0.18</v>
      </c>
      <c r="AJ2392">
        <v>2.73</v>
      </c>
      <c r="AK2392">
        <v>7.01</v>
      </c>
      <c r="AL2392">
        <v>2</v>
      </c>
      <c r="AM2392">
        <v>0.12</v>
      </c>
      <c r="AN2392">
        <v>37.7</v>
      </c>
      <c r="AO2392">
        <v>7.2</v>
      </c>
      <c r="AP2392">
        <v>21.66</v>
      </c>
    </row>
    <row r="2393" spans="1:42">
      <c r="A2393">
        <v>2392</v>
      </c>
      <c r="B2393" t="str">
        <f>"300070"</f>
        <v>300070</v>
      </c>
      <c r="C2393" t="s">
        <v>13006</v>
      </c>
      <c r="D2393">
        <v>5.11</v>
      </c>
      <c r="E2393">
        <v>0.59</v>
      </c>
      <c r="F2393">
        <v>0.03</v>
      </c>
      <c r="G2393" t="s">
        <v>1493</v>
      </c>
      <c r="H2393">
        <v>3139</v>
      </c>
      <c r="I2393">
        <v>5.11</v>
      </c>
      <c r="J2393">
        <v>5.12</v>
      </c>
      <c r="K2393" t="s">
        <v>13007</v>
      </c>
      <c r="L2393">
        <v>0.44</v>
      </c>
      <c r="M2393" t="s">
        <v>46</v>
      </c>
      <c r="N2393" t="s">
        <v>13008</v>
      </c>
      <c r="O2393">
        <v>5.13</v>
      </c>
      <c r="P2393">
        <v>5.07</v>
      </c>
      <c r="Q2393">
        <v>5.08</v>
      </c>
      <c r="R2393">
        <v>5.08</v>
      </c>
      <c r="S2393">
        <v>1.18</v>
      </c>
      <c r="T2393">
        <v>0.84</v>
      </c>
      <c r="U2393">
        <v>-24.51</v>
      </c>
      <c r="V2393">
        <v>-9387</v>
      </c>
      <c r="W2393">
        <v>5.11</v>
      </c>
      <c r="X2393" t="s">
        <v>3102</v>
      </c>
      <c r="Y2393" t="s">
        <v>2224</v>
      </c>
      <c r="Z2393">
        <v>0.74</v>
      </c>
      <c r="AA2393">
        <v>1945</v>
      </c>
      <c r="AB2393">
        <v>1048</v>
      </c>
      <c r="AC2393">
        <v>0.68</v>
      </c>
      <c r="AD2393" t="s">
        <v>13009</v>
      </c>
      <c r="AE2393" t="s">
        <v>13010</v>
      </c>
      <c r="AF2393" t="s">
        <v>5640</v>
      </c>
      <c r="AG2393" t="s">
        <v>8276</v>
      </c>
      <c r="AH2393">
        <v>-0.97</v>
      </c>
      <c r="AI2393">
        <v>-1.35</v>
      </c>
      <c r="AJ2393">
        <v>1.42</v>
      </c>
      <c r="AK2393">
        <v>3.09</v>
      </c>
      <c r="AL2393">
        <v>1</v>
      </c>
      <c r="AM2393">
        <v>0.59</v>
      </c>
      <c r="AN2393">
        <v>8.72</v>
      </c>
      <c r="AO2393">
        <v>0.59</v>
      </c>
      <c r="AP2393">
        <v>0.99</v>
      </c>
    </row>
    <row r="2394" spans="1:42">
      <c r="A2394">
        <v>2393</v>
      </c>
      <c r="B2394" t="str">
        <f>"600171"</f>
        <v>600171</v>
      </c>
      <c r="C2394" t="s">
        <v>13011</v>
      </c>
      <c r="D2394">
        <v>15.79</v>
      </c>
      <c r="E2394">
        <v>0.64</v>
      </c>
      <c r="F2394">
        <v>0.1</v>
      </c>
      <c r="G2394" t="s">
        <v>13012</v>
      </c>
      <c r="H2394">
        <v>224</v>
      </c>
      <c r="I2394">
        <v>15.78</v>
      </c>
      <c r="J2394">
        <v>15.79</v>
      </c>
      <c r="K2394" t="s">
        <v>13013</v>
      </c>
      <c r="L2394">
        <v>0.67</v>
      </c>
      <c r="M2394" t="s">
        <v>46</v>
      </c>
      <c r="N2394" t="s">
        <v>11419</v>
      </c>
      <c r="O2394">
        <v>15.85</v>
      </c>
      <c r="P2394">
        <v>15.52</v>
      </c>
      <c r="Q2394">
        <v>15.7</v>
      </c>
      <c r="R2394">
        <v>15.69</v>
      </c>
      <c r="S2394">
        <v>2.1</v>
      </c>
      <c r="T2394">
        <v>0.77</v>
      </c>
      <c r="U2394">
        <v>6.97</v>
      </c>
      <c r="V2394">
        <v>131</v>
      </c>
      <c r="W2394">
        <v>15.69</v>
      </c>
      <c r="X2394" t="s">
        <v>4509</v>
      </c>
      <c r="Y2394" t="s">
        <v>9251</v>
      </c>
      <c r="Z2394">
        <v>0.88</v>
      </c>
      <c r="AA2394">
        <v>526</v>
      </c>
      <c r="AB2394">
        <v>104</v>
      </c>
      <c r="AC2394">
        <v>2.81</v>
      </c>
      <c r="AD2394" t="s">
        <v>13014</v>
      </c>
      <c r="AE2394" t="s">
        <v>10083</v>
      </c>
      <c r="AF2394" t="s">
        <v>13015</v>
      </c>
      <c r="AG2394" t="s">
        <v>13016</v>
      </c>
      <c r="AH2394">
        <v>-1.62</v>
      </c>
      <c r="AI2394">
        <v>-1.86</v>
      </c>
      <c r="AJ2394">
        <v>2.39</v>
      </c>
      <c r="AK2394">
        <v>5.05</v>
      </c>
      <c r="AL2394">
        <v>1</v>
      </c>
      <c r="AM2394">
        <v>0.64</v>
      </c>
      <c r="AN2394">
        <v>-8.36</v>
      </c>
      <c r="AO2394">
        <v>-1.86</v>
      </c>
      <c r="AP2394">
        <v>-18.9</v>
      </c>
    </row>
    <row r="2395" spans="1:42">
      <c r="A2395">
        <v>2394</v>
      </c>
      <c r="B2395" t="str">
        <f>"603608"</f>
        <v>603608</v>
      </c>
      <c r="C2395" t="s">
        <v>13017</v>
      </c>
      <c r="D2395">
        <v>5.22</v>
      </c>
      <c r="E2395">
        <v>2.35</v>
      </c>
      <c r="F2395">
        <v>0.12</v>
      </c>
      <c r="G2395" t="s">
        <v>44</v>
      </c>
      <c r="H2395">
        <v>2404</v>
      </c>
      <c r="I2395">
        <v>5.22</v>
      </c>
      <c r="J2395">
        <v>5.23</v>
      </c>
      <c r="K2395" t="s">
        <v>13018</v>
      </c>
      <c r="L2395">
        <v>3.43</v>
      </c>
      <c r="M2395" t="s">
        <v>46</v>
      </c>
      <c r="N2395" t="s">
        <v>13019</v>
      </c>
      <c r="O2395">
        <v>5.27</v>
      </c>
      <c r="P2395">
        <v>5.04</v>
      </c>
      <c r="Q2395">
        <v>5.06</v>
      </c>
      <c r="R2395">
        <v>5.1</v>
      </c>
      <c r="S2395">
        <v>4.51</v>
      </c>
      <c r="T2395">
        <v>1.52</v>
      </c>
      <c r="U2395">
        <v>-8.68</v>
      </c>
      <c r="V2395">
        <v>-618</v>
      </c>
      <c r="W2395">
        <v>5.2</v>
      </c>
      <c r="X2395" t="s">
        <v>7519</v>
      </c>
      <c r="Y2395" t="s">
        <v>13020</v>
      </c>
      <c r="Z2395">
        <v>0.6</v>
      </c>
      <c r="AA2395">
        <v>868</v>
      </c>
      <c r="AB2395">
        <v>135</v>
      </c>
      <c r="AC2395">
        <v>1.8</v>
      </c>
      <c r="AD2395" t="s">
        <v>13021</v>
      </c>
      <c r="AE2395" t="s">
        <v>6493</v>
      </c>
      <c r="AF2395" t="s">
        <v>13021</v>
      </c>
      <c r="AG2395" t="s">
        <v>6493</v>
      </c>
      <c r="AH2395">
        <v>2.96</v>
      </c>
      <c r="AI2395">
        <v>3.16</v>
      </c>
      <c r="AJ2395">
        <v>7.01</v>
      </c>
      <c r="AK2395">
        <v>14.67</v>
      </c>
      <c r="AL2395">
        <v>2</v>
      </c>
      <c r="AM2395">
        <v>2.35</v>
      </c>
      <c r="AN2395">
        <v>19.18</v>
      </c>
      <c r="AO2395">
        <v>12.5</v>
      </c>
      <c r="AP2395">
        <v>21.68</v>
      </c>
    </row>
    <row r="2396" spans="1:42">
      <c r="A2396">
        <v>2395</v>
      </c>
      <c r="B2396" t="str">
        <f>"600425"</f>
        <v>600425</v>
      </c>
      <c r="C2396" t="s">
        <v>13022</v>
      </c>
      <c r="D2396">
        <v>3.84</v>
      </c>
      <c r="E2396">
        <v>1.05</v>
      </c>
      <c r="F2396">
        <v>0.04</v>
      </c>
      <c r="G2396" t="s">
        <v>1509</v>
      </c>
      <c r="H2396">
        <v>827</v>
      </c>
      <c r="I2396">
        <v>3.84</v>
      </c>
      <c r="J2396">
        <v>3.85</v>
      </c>
      <c r="K2396" t="s">
        <v>13018</v>
      </c>
      <c r="L2396">
        <v>1.42</v>
      </c>
      <c r="M2396" t="s">
        <v>46</v>
      </c>
      <c r="N2396" t="s">
        <v>1805</v>
      </c>
      <c r="O2396">
        <v>3.85</v>
      </c>
      <c r="P2396">
        <v>3.77</v>
      </c>
      <c r="Q2396">
        <v>3.8</v>
      </c>
      <c r="R2396">
        <v>3.8</v>
      </c>
      <c r="S2396">
        <v>2.11</v>
      </c>
      <c r="T2396">
        <v>0.98</v>
      </c>
      <c r="U2396">
        <v>-40.2</v>
      </c>
      <c r="V2396" t="s">
        <v>9850</v>
      </c>
      <c r="W2396">
        <v>3.81</v>
      </c>
      <c r="X2396" t="s">
        <v>3765</v>
      </c>
      <c r="Y2396" t="s">
        <v>1807</v>
      </c>
      <c r="Z2396">
        <v>0.68</v>
      </c>
      <c r="AA2396">
        <v>684</v>
      </c>
      <c r="AB2396" t="s">
        <v>734</v>
      </c>
      <c r="AC2396">
        <v>0.98</v>
      </c>
      <c r="AD2396" t="s">
        <v>551</v>
      </c>
      <c r="AE2396" t="s">
        <v>13023</v>
      </c>
      <c r="AF2396" t="s">
        <v>5414</v>
      </c>
      <c r="AG2396" t="s">
        <v>13024</v>
      </c>
      <c r="AH2396">
        <v>-1.03</v>
      </c>
      <c r="AI2396">
        <v>-1.79</v>
      </c>
      <c r="AJ2396">
        <v>5.31</v>
      </c>
      <c r="AK2396">
        <v>8.68</v>
      </c>
      <c r="AL2396">
        <v>2</v>
      </c>
      <c r="AM2396">
        <v>1.05</v>
      </c>
      <c r="AN2396">
        <v>6.96</v>
      </c>
      <c r="AO2396">
        <v>-1.03</v>
      </c>
      <c r="AP2396">
        <v>3.5</v>
      </c>
    </row>
    <row r="2397" spans="1:42">
      <c r="A2397">
        <v>2396</v>
      </c>
      <c r="B2397" t="str">
        <f>"000989"</f>
        <v>000989</v>
      </c>
      <c r="C2397" t="s">
        <v>13025</v>
      </c>
      <c r="D2397">
        <v>11.09</v>
      </c>
      <c r="E2397">
        <v>0</v>
      </c>
      <c r="F2397">
        <v>0</v>
      </c>
      <c r="G2397" t="s">
        <v>2168</v>
      </c>
      <c r="H2397">
        <v>453</v>
      </c>
      <c r="I2397">
        <v>11.08</v>
      </c>
      <c r="J2397">
        <v>11.09</v>
      </c>
      <c r="K2397" t="s">
        <v>13026</v>
      </c>
      <c r="L2397">
        <v>0.98</v>
      </c>
      <c r="M2397" t="s">
        <v>46</v>
      </c>
      <c r="N2397" t="s">
        <v>761</v>
      </c>
      <c r="O2397">
        <v>11.22</v>
      </c>
      <c r="P2397">
        <v>11.01</v>
      </c>
      <c r="Q2397">
        <v>11.08</v>
      </c>
      <c r="R2397">
        <v>11.09</v>
      </c>
      <c r="S2397">
        <v>1.89</v>
      </c>
      <c r="T2397">
        <v>0.51</v>
      </c>
      <c r="U2397">
        <v>-6.39</v>
      </c>
      <c r="V2397">
        <v>-266</v>
      </c>
      <c r="W2397">
        <v>11.1</v>
      </c>
      <c r="X2397" t="s">
        <v>1899</v>
      </c>
      <c r="Y2397" t="s">
        <v>6657</v>
      </c>
      <c r="Z2397">
        <v>1.18</v>
      </c>
      <c r="AA2397">
        <v>86</v>
      </c>
      <c r="AB2397">
        <v>592</v>
      </c>
      <c r="AC2397">
        <v>2.41</v>
      </c>
      <c r="AD2397" t="s">
        <v>13027</v>
      </c>
      <c r="AE2397" t="s">
        <v>12867</v>
      </c>
      <c r="AF2397" t="s">
        <v>13028</v>
      </c>
      <c r="AG2397" t="s">
        <v>13029</v>
      </c>
      <c r="AH2397">
        <v>-0.98</v>
      </c>
      <c r="AI2397">
        <v>-0.89</v>
      </c>
      <c r="AJ2397">
        <v>3.05</v>
      </c>
      <c r="AK2397">
        <v>10.47</v>
      </c>
      <c r="AL2397">
        <v>0</v>
      </c>
      <c r="AM2397">
        <v>0</v>
      </c>
      <c r="AN2397">
        <v>31.87</v>
      </c>
      <c r="AO2397">
        <v>4.82</v>
      </c>
      <c r="AP2397">
        <v>23.22</v>
      </c>
    </row>
    <row r="2398" spans="1:42">
      <c r="A2398">
        <v>2397</v>
      </c>
      <c r="B2398" t="str">
        <f>"001378"</f>
        <v>001378</v>
      </c>
      <c r="C2398" t="s">
        <v>13030</v>
      </c>
      <c r="D2398">
        <v>40.16</v>
      </c>
      <c r="E2398">
        <v>-0.37</v>
      </c>
      <c r="F2398">
        <v>-0.15</v>
      </c>
      <c r="G2398" t="s">
        <v>2723</v>
      </c>
      <c r="H2398">
        <v>428</v>
      </c>
      <c r="I2398">
        <v>40.16</v>
      </c>
      <c r="J2398">
        <v>40.17</v>
      </c>
      <c r="K2398" t="s">
        <v>13031</v>
      </c>
      <c r="L2398">
        <v>5.92</v>
      </c>
      <c r="M2398" t="s">
        <v>46</v>
      </c>
      <c r="N2398" t="s">
        <v>13032</v>
      </c>
      <c r="O2398">
        <v>40.44</v>
      </c>
      <c r="P2398">
        <v>39.7</v>
      </c>
      <c r="Q2398">
        <v>40.39</v>
      </c>
      <c r="R2398">
        <v>40.31</v>
      </c>
      <c r="S2398">
        <v>1.84</v>
      </c>
      <c r="T2398">
        <v>0.63</v>
      </c>
      <c r="U2398">
        <v>-24.28</v>
      </c>
      <c r="V2398">
        <v>-99</v>
      </c>
      <c r="W2398">
        <v>40.09</v>
      </c>
      <c r="X2398" t="s">
        <v>1646</v>
      </c>
      <c r="Y2398">
        <v>8394</v>
      </c>
      <c r="Z2398">
        <v>1.22</v>
      </c>
      <c r="AA2398">
        <v>81</v>
      </c>
      <c r="AB2398">
        <v>27</v>
      </c>
      <c r="AC2398">
        <v>2.87</v>
      </c>
      <c r="AD2398" t="s">
        <v>9334</v>
      </c>
      <c r="AE2398" t="s">
        <v>13033</v>
      </c>
      <c r="AF2398" t="s">
        <v>13034</v>
      </c>
      <c r="AG2398" t="s">
        <v>6268</v>
      </c>
      <c r="AH2398">
        <v>-4.61</v>
      </c>
      <c r="AI2398">
        <v>-9.83</v>
      </c>
      <c r="AJ2398">
        <v>22.99</v>
      </c>
      <c r="AK2398">
        <v>52.95</v>
      </c>
      <c r="AL2398">
        <v>-3</v>
      </c>
      <c r="AM2398">
        <v>-0.37</v>
      </c>
      <c r="AN2398">
        <v>26.77</v>
      </c>
      <c r="AO2398">
        <v>-16.97</v>
      </c>
      <c r="AP2398">
        <v>26.77</v>
      </c>
    </row>
    <row r="2399" spans="1:42">
      <c r="A2399">
        <v>2398</v>
      </c>
      <c r="B2399" t="str">
        <f>"603668"</f>
        <v>603668</v>
      </c>
      <c r="C2399" t="s">
        <v>13035</v>
      </c>
      <c r="D2399">
        <v>18.46</v>
      </c>
      <c r="E2399">
        <v>-0.59</v>
      </c>
      <c r="F2399">
        <v>-0.11</v>
      </c>
      <c r="G2399" t="s">
        <v>3227</v>
      </c>
      <c r="H2399">
        <v>324</v>
      </c>
      <c r="I2399">
        <v>18.45</v>
      </c>
      <c r="J2399">
        <v>18.46</v>
      </c>
      <c r="K2399" t="s">
        <v>12871</v>
      </c>
      <c r="L2399">
        <v>0.93</v>
      </c>
      <c r="M2399" t="s">
        <v>46</v>
      </c>
      <c r="N2399" t="s">
        <v>13036</v>
      </c>
      <c r="O2399">
        <v>18.68</v>
      </c>
      <c r="P2399">
        <v>18.35</v>
      </c>
      <c r="Q2399">
        <v>18.55</v>
      </c>
      <c r="R2399">
        <v>18.57</v>
      </c>
      <c r="S2399">
        <v>1.78</v>
      </c>
      <c r="T2399">
        <v>0.69</v>
      </c>
      <c r="U2399">
        <v>-53.44</v>
      </c>
      <c r="V2399">
        <v>-879</v>
      </c>
      <c r="W2399">
        <v>18.48</v>
      </c>
      <c r="X2399" t="s">
        <v>48</v>
      </c>
      <c r="Y2399" t="s">
        <v>5951</v>
      </c>
      <c r="Z2399">
        <v>1.61</v>
      </c>
      <c r="AA2399">
        <v>191</v>
      </c>
      <c r="AB2399">
        <v>104</v>
      </c>
      <c r="AC2399">
        <v>3.99</v>
      </c>
      <c r="AD2399" t="s">
        <v>13037</v>
      </c>
      <c r="AE2399" t="s">
        <v>10533</v>
      </c>
      <c r="AF2399" t="s">
        <v>13037</v>
      </c>
      <c r="AG2399" t="s">
        <v>10533</v>
      </c>
      <c r="AH2399">
        <v>1.15</v>
      </c>
      <c r="AI2399">
        <v>0.82</v>
      </c>
      <c r="AJ2399">
        <v>3.73</v>
      </c>
      <c r="AK2399">
        <v>7.61</v>
      </c>
      <c r="AL2399">
        <v>-1</v>
      </c>
      <c r="AM2399">
        <v>-0.59</v>
      </c>
      <c r="AN2399">
        <v>3.19</v>
      </c>
      <c r="AO2399">
        <v>8.91</v>
      </c>
      <c r="AP2399">
        <v>5.43</v>
      </c>
    </row>
    <row r="2400" spans="1:42">
      <c r="A2400">
        <v>2399</v>
      </c>
      <c r="B2400" t="str">
        <f>"002187"</f>
        <v>002187</v>
      </c>
      <c r="C2400" t="s">
        <v>13038</v>
      </c>
      <c r="D2400">
        <v>6.75</v>
      </c>
      <c r="E2400">
        <v>1.35</v>
      </c>
      <c r="F2400">
        <v>0.09</v>
      </c>
      <c r="G2400" t="s">
        <v>1438</v>
      </c>
      <c r="H2400">
        <v>608</v>
      </c>
      <c r="I2400">
        <v>6.75</v>
      </c>
      <c r="J2400">
        <v>6.76</v>
      </c>
      <c r="K2400" t="s">
        <v>13039</v>
      </c>
      <c r="L2400">
        <v>2.13</v>
      </c>
      <c r="M2400" t="s">
        <v>46</v>
      </c>
      <c r="N2400" t="s">
        <v>6820</v>
      </c>
      <c r="O2400">
        <v>6.85</v>
      </c>
      <c r="P2400">
        <v>6.63</v>
      </c>
      <c r="Q2400">
        <v>6.67</v>
      </c>
      <c r="R2400">
        <v>6.66</v>
      </c>
      <c r="S2400">
        <v>3.3</v>
      </c>
      <c r="T2400">
        <v>2.24</v>
      </c>
      <c r="U2400">
        <v>-20.77</v>
      </c>
      <c r="V2400">
        <v>-885</v>
      </c>
      <c r="W2400">
        <v>6.76</v>
      </c>
      <c r="X2400" t="s">
        <v>3255</v>
      </c>
      <c r="Y2400" t="s">
        <v>7494</v>
      </c>
      <c r="Z2400">
        <v>0.82</v>
      </c>
      <c r="AA2400">
        <v>486</v>
      </c>
      <c r="AB2400">
        <v>1023</v>
      </c>
      <c r="AC2400">
        <v>1.18</v>
      </c>
      <c r="AD2400" t="s">
        <v>11338</v>
      </c>
      <c r="AE2400" t="s">
        <v>10366</v>
      </c>
      <c r="AF2400" t="s">
        <v>13040</v>
      </c>
      <c r="AG2400" t="s">
        <v>13041</v>
      </c>
      <c r="AH2400">
        <v>1.96</v>
      </c>
      <c r="AI2400">
        <v>2.58</v>
      </c>
      <c r="AJ2400">
        <v>4.48</v>
      </c>
      <c r="AK2400">
        <v>6.91</v>
      </c>
      <c r="AL2400">
        <v>2</v>
      </c>
      <c r="AM2400">
        <v>1.35</v>
      </c>
      <c r="AN2400">
        <v>-21.6</v>
      </c>
      <c r="AO2400">
        <v>5.14</v>
      </c>
      <c r="AP2400">
        <v>-6.9</v>
      </c>
    </row>
    <row r="2401" spans="1:42">
      <c r="A2401">
        <v>2400</v>
      </c>
      <c r="B2401" t="str">
        <f>"002926"</f>
        <v>002926</v>
      </c>
      <c r="C2401" t="s">
        <v>13042</v>
      </c>
      <c r="D2401">
        <v>7.99</v>
      </c>
      <c r="E2401">
        <v>0.63</v>
      </c>
      <c r="F2401">
        <v>0.05</v>
      </c>
      <c r="G2401" t="s">
        <v>2587</v>
      </c>
      <c r="H2401">
        <v>1218</v>
      </c>
      <c r="I2401">
        <v>7.98</v>
      </c>
      <c r="J2401">
        <v>7.99</v>
      </c>
      <c r="K2401" t="s">
        <v>13043</v>
      </c>
      <c r="L2401">
        <v>0.36</v>
      </c>
      <c r="M2401" t="s">
        <v>46</v>
      </c>
      <c r="N2401" t="s">
        <v>6922</v>
      </c>
      <c r="O2401">
        <v>8.01</v>
      </c>
      <c r="P2401">
        <v>7.91</v>
      </c>
      <c r="Q2401">
        <v>7.94</v>
      </c>
      <c r="R2401">
        <v>7.94</v>
      </c>
      <c r="S2401">
        <v>1.26</v>
      </c>
      <c r="T2401">
        <v>0.87</v>
      </c>
      <c r="U2401">
        <v>-25.23</v>
      </c>
      <c r="V2401">
        <v>-2717</v>
      </c>
      <c r="W2401">
        <v>7.96</v>
      </c>
      <c r="X2401" t="s">
        <v>5983</v>
      </c>
      <c r="Y2401" t="s">
        <v>2984</v>
      </c>
      <c r="Z2401">
        <v>0.72</v>
      </c>
      <c r="AA2401">
        <v>719</v>
      </c>
      <c r="AB2401">
        <v>94</v>
      </c>
      <c r="AC2401">
        <v>0.92</v>
      </c>
      <c r="AD2401" t="s">
        <v>13044</v>
      </c>
      <c r="AE2401" t="s">
        <v>9443</v>
      </c>
      <c r="AF2401" t="s">
        <v>13044</v>
      </c>
      <c r="AG2401" t="s">
        <v>9443</v>
      </c>
      <c r="AH2401">
        <v>0</v>
      </c>
      <c r="AI2401">
        <v>-1.84</v>
      </c>
      <c r="AJ2401">
        <v>1.05</v>
      </c>
      <c r="AK2401">
        <v>2.41</v>
      </c>
      <c r="AL2401">
        <v>2</v>
      </c>
      <c r="AM2401">
        <v>0.63</v>
      </c>
      <c r="AN2401">
        <v>6.53</v>
      </c>
      <c r="AO2401">
        <v>1.14</v>
      </c>
      <c r="AP2401">
        <v>0</v>
      </c>
    </row>
    <row r="2402" spans="1:42">
      <c r="A2402">
        <v>2401</v>
      </c>
      <c r="B2402" t="str">
        <f>"600381"</f>
        <v>600381</v>
      </c>
      <c r="C2402" t="s">
        <v>13045</v>
      </c>
      <c r="D2402">
        <v>8.28</v>
      </c>
      <c r="E2402">
        <v>1.1</v>
      </c>
      <c r="F2402">
        <v>0.09</v>
      </c>
      <c r="G2402" t="s">
        <v>2131</v>
      </c>
      <c r="H2402">
        <v>591</v>
      </c>
      <c r="I2402">
        <v>8.28</v>
      </c>
      <c r="J2402">
        <v>8.29</v>
      </c>
      <c r="K2402" t="s">
        <v>13046</v>
      </c>
      <c r="L2402">
        <v>1.53</v>
      </c>
      <c r="M2402" t="s">
        <v>46</v>
      </c>
      <c r="N2402" t="s">
        <v>4700</v>
      </c>
      <c r="O2402">
        <v>8.43</v>
      </c>
      <c r="P2402">
        <v>8.17</v>
      </c>
      <c r="Q2402">
        <v>8.23</v>
      </c>
      <c r="R2402">
        <v>8.19</v>
      </c>
      <c r="S2402">
        <v>3.17</v>
      </c>
      <c r="T2402">
        <v>1.82</v>
      </c>
      <c r="U2402">
        <v>-38.75</v>
      </c>
      <c r="V2402">
        <v>-1541</v>
      </c>
      <c r="W2402">
        <v>8.31</v>
      </c>
      <c r="X2402" t="s">
        <v>5830</v>
      </c>
      <c r="Y2402" t="s">
        <v>3176</v>
      </c>
      <c r="Z2402">
        <v>1.06</v>
      </c>
      <c r="AA2402">
        <v>256</v>
      </c>
      <c r="AB2402">
        <v>1179</v>
      </c>
      <c r="AC2402">
        <v>3.32</v>
      </c>
      <c r="AD2402" t="s">
        <v>13047</v>
      </c>
      <c r="AE2402" t="s">
        <v>2135</v>
      </c>
      <c r="AF2402" t="s">
        <v>13047</v>
      </c>
      <c r="AG2402" t="s">
        <v>2135</v>
      </c>
      <c r="AH2402">
        <v>0.61</v>
      </c>
      <c r="AI2402">
        <v>1.22</v>
      </c>
      <c r="AJ2402">
        <v>3.07</v>
      </c>
      <c r="AK2402">
        <v>5.74</v>
      </c>
      <c r="AL2402">
        <v>2</v>
      </c>
      <c r="AM2402">
        <v>1.1</v>
      </c>
      <c r="AN2402">
        <v>-32.74</v>
      </c>
      <c r="AO2402">
        <v>5.61</v>
      </c>
      <c r="AP2402">
        <v>-18.26</v>
      </c>
    </row>
    <row r="2403" spans="1:42">
      <c r="A2403">
        <v>2402</v>
      </c>
      <c r="B2403" t="str">
        <f>"002537"</f>
        <v>002537</v>
      </c>
      <c r="C2403" t="s">
        <v>13048</v>
      </c>
      <c r="D2403">
        <v>6.98</v>
      </c>
      <c r="E2403">
        <v>0.87</v>
      </c>
      <c r="F2403">
        <v>0.06</v>
      </c>
      <c r="G2403" t="s">
        <v>1909</v>
      </c>
      <c r="H2403">
        <v>1211</v>
      </c>
      <c r="I2403">
        <v>6.98</v>
      </c>
      <c r="J2403">
        <v>6.99</v>
      </c>
      <c r="K2403" t="s">
        <v>13049</v>
      </c>
      <c r="L2403">
        <v>0.91</v>
      </c>
      <c r="M2403" t="s">
        <v>46</v>
      </c>
      <c r="N2403" t="s">
        <v>7153</v>
      </c>
      <c r="O2403">
        <v>7.01</v>
      </c>
      <c r="P2403">
        <v>6.87</v>
      </c>
      <c r="Q2403">
        <v>6.9</v>
      </c>
      <c r="R2403">
        <v>6.92</v>
      </c>
      <c r="S2403">
        <v>2.02</v>
      </c>
      <c r="T2403">
        <v>0.95</v>
      </c>
      <c r="U2403">
        <v>-28.42</v>
      </c>
      <c r="V2403">
        <v>-4870</v>
      </c>
      <c r="W2403">
        <v>6.96</v>
      </c>
      <c r="X2403" t="s">
        <v>4928</v>
      </c>
      <c r="Y2403" t="s">
        <v>9326</v>
      </c>
      <c r="Z2403">
        <v>0.81</v>
      </c>
      <c r="AA2403">
        <v>213</v>
      </c>
      <c r="AB2403">
        <v>1170</v>
      </c>
      <c r="AC2403">
        <v>1.83</v>
      </c>
      <c r="AD2403" t="s">
        <v>13050</v>
      </c>
      <c r="AE2403" t="s">
        <v>13051</v>
      </c>
      <c r="AF2403" t="s">
        <v>13050</v>
      </c>
      <c r="AG2403" t="s">
        <v>13051</v>
      </c>
      <c r="AH2403">
        <v>-0.57</v>
      </c>
      <c r="AI2403">
        <v>-0.99</v>
      </c>
      <c r="AJ2403">
        <v>2.77</v>
      </c>
      <c r="AK2403">
        <v>5.72</v>
      </c>
      <c r="AL2403">
        <v>1</v>
      </c>
      <c r="AM2403">
        <v>0.87</v>
      </c>
      <c r="AN2403">
        <v>-9</v>
      </c>
      <c r="AO2403">
        <v>2.8</v>
      </c>
      <c r="AP2403">
        <v>-19.4</v>
      </c>
    </row>
    <row r="2404" spans="1:42">
      <c r="A2404">
        <v>2403</v>
      </c>
      <c r="B2404" t="str">
        <f>"688568"</f>
        <v>688568</v>
      </c>
      <c r="C2404" t="s">
        <v>13052</v>
      </c>
      <c r="D2404">
        <v>50.94</v>
      </c>
      <c r="E2404">
        <v>1.58</v>
      </c>
      <c r="F2404">
        <v>0.79</v>
      </c>
      <c r="G2404" t="s">
        <v>7656</v>
      </c>
      <c r="H2404">
        <v>107</v>
      </c>
      <c r="I2404">
        <v>50.93</v>
      </c>
      <c r="J2404">
        <v>50.94</v>
      </c>
      <c r="K2404" t="s">
        <v>13053</v>
      </c>
      <c r="L2404">
        <v>0.4</v>
      </c>
      <c r="M2404" t="s">
        <v>46</v>
      </c>
      <c r="N2404" t="s">
        <v>5236</v>
      </c>
      <c r="O2404">
        <v>51.28</v>
      </c>
      <c r="P2404">
        <v>49.61</v>
      </c>
      <c r="Q2404">
        <v>50.12</v>
      </c>
      <c r="R2404">
        <v>50.15</v>
      </c>
      <c r="S2404">
        <v>3.33</v>
      </c>
      <c r="T2404">
        <v>0.97</v>
      </c>
      <c r="U2404">
        <v>-32.04</v>
      </c>
      <c r="V2404">
        <v>-146</v>
      </c>
      <c r="W2404">
        <v>50.35</v>
      </c>
      <c r="X2404">
        <v>7032</v>
      </c>
      <c r="Y2404">
        <v>7740</v>
      </c>
      <c r="Z2404">
        <v>0.91</v>
      </c>
      <c r="AA2404">
        <v>1</v>
      </c>
      <c r="AB2404">
        <v>243</v>
      </c>
      <c r="AC2404">
        <v>5.59</v>
      </c>
      <c r="AD2404" t="s">
        <v>13054</v>
      </c>
      <c r="AE2404" t="s">
        <v>6053</v>
      </c>
      <c r="AF2404" t="s">
        <v>13054</v>
      </c>
      <c r="AG2404" t="s">
        <v>6053</v>
      </c>
      <c r="AH2404">
        <v>-0.08</v>
      </c>
      <c r="AI2404">
        <v>-2.79</v>
      </c>
      <c r="AJ2404">
        <v>1.23</v>
      </c>
      <c r="AK2404">
        <v>2.49</v>
      </c>
      <c r="AL2404">
        <v>1</v>
      </c>
      <c r="AM2404">
        <v>1.58</v>
      </c>
      <c r="AN2404">
        <v>22.75</v>
      </c>
      <c r="AO2404">
        <v>4</v>
      </c>
      <c r="AP2404">
        <v>10.96</v>
      </c>
    </row>
    <row r="2405" spans="1:42">
      <c r="A2405">
        <v>2404</v>
      </c>
      <c r="B2405" t="str">
        <f>"002802"</f>
        <v>002802</v>
      </c>
      <c r="C2405" t="s">
        <v>13055</v>
      </c>
      <c r="D2405">
        <v>12.66</v>
      </c>
      <c r="E2405">
        <v>-2.47</v>
      </c>
      <c r="F2405">
        <v>-0.32</v>
      </c>
      <c r="G2405" t="s">
        <v>525</v>
      </c>
      <c r="H2405">
        <v>347</v>
      </c>
      <c r="I2405">
        <v>12.66</v>
      </c>
      <c r="J2405">
        <v>12.67</v>
      </c>
      <c r="K2405" t="s">
        <v>13056</v>
      </c>
      <c r="L2405">
        <v>3.23</v>
      </c>
      <c r="M2405" t="s">
        <v>46</v>
      </c>
      <c r="N2405" t="s">
        <v>5371</v>
      </c>
      <c r="O2405">
        <v>13.07</v>
      </c>
      <c r="P2405">
        <v>12.59</v>
      </c>
      <c r="Q2405">
        <v>13.07</v>
      </c>
      <c r="R2405">
        <v>12.98</v>
      </c>
      <c r="S2405">
        <v>3.7</v>
      </c>
      <c r="T2405">
        <v>0.66</v>
      </c>
      <c r="U2405">
        <v>22.57</v>
      </c>
      <c r="V2405">
        <v>116</v>
      </c>
      <c r="W2405">
        <v>12.73</v>
      </c>
      <c r="X2405" t="s">
        <v>6803</v>
      </c>
      <c r="Y2405" t="s">
        <v>7993</v>
      </c>
      <c r="Z2405">
        <v>1.08</v>
      </c>
      <c r="AA2405">
        <v>195</v>
      </c>
      <c r="AB2405">
        <v>77</v>
      </c>
      <c r="AC2405">
        <v>3.53</v>
      </c>
      <c r="AD2405" t="s">
        <v>13057</v>
      </c>
      <c r="AE2405" t="s">
        <v>13058</v>
      </c>
      <c r="AF2405" t="s">
        <v>13059</v>
      </c>
      <c r="AG2405" t="s">
        <v>13060</v>
      </c>
      <c r="AH2405">
        <v>1.61</v>
      </c>
      <c r="AI2405">
        <v>5.41</v>
      </c>
      <c r="AJ2405">
        <v>10.17</v>
      </c>
      <c r="AK2405">
        <v>27.82</v>
      </c>
      <c r="AL2405">
        <v>-1</v>
      </c>
      <c r="AM2405">
        <v>-2.47</v>
      </c>
      <c r="AN2405">
        <v>18.76</v>
      </c>
      <c r="AO2405">
        <v>-0.31</v>
      </c>
      <c r="AP2405">
        <v>14.99</v>
      </c>
    </row>
    <row r="2406" spans="1:42">
      <c r="A2406">
        <v>2405</v>
      </c>
      <c r="B2406" t="str">
        <f>"002423"</f>
        <v>002423</v>
      </c>
      <c r="C2406" t="s">
        <v>13061</v>
      </c>
      <c r="D2406">
        <v>6.86</v>
      </c>
      <c r="E2406">
        <v>0.88</v>
      </c>
      <c r="F2406">
        <v>0.06</v>
      </c>
      <c r="G2406" t="s">
        <v>1949</v>
      </c>
      <c r="H2406">
        <v>1042</v>
      </c>
      <c r="I2406">
        <v>6.85</v>
      </c>
      <c r="J2406">
        <v>6.86</v>
      </c>
      <c r="K2406" t="s">
        <v>12527</v>
      </c>
      <c r="L2406">
        <v>0.47</v>
      </c>
      <c r="M2406" t="s">
        <v>46</v>
      </c>
      <c r="N2406" t="s">
        <v>8740</v>
      </c>
      <c r="O2406">
        <v>6.88</v>
      </c>
      <c r="P2406">
        <v>6.77</v>
      </c>
      <c r="Q2406">
        <v>6.78</v>
      </c>
      <c r="R2406">
        <v>6.8</v>
      </c>
      <c r="S2406">
        <v>1.62</v>
      </c>
      <c r="T2406">
        <v>0.86</v>
      </c>
      <c r="U2406">
        <v>-15.59</v>
      </c>
      <c r="V2406">
        <v>-1507</v>
      </c>
      <c r="W2406">
        <v>6.82</v>
      </c>
      <c r="X2406" t="s">
        <v>7787</v>
      </c>
      <c r="Y2406" t="s">
        <v>5917</v>
      </c>
      <c r="Z2406">
        <v>1.14</v>
      </c>
      <c r="AA2406">
        <v>767</v>
      </c>
      <c r="AB2406">
        <v>483</v>
      </c>
      <c r="AC2406">
        <v>0.82</v>
      </c>
      <c r="AD2406" t="s">
        <v>409</v>
      </c>
      <c r="AE2406" t="s">
        <v>12674</v>
      </c>
      <c r="AF2406" t="s">
        <v>409</v>
      </c>
      <c r="AG2406" t="s">
        <v>12674</v>
      </c>
      <c r="AH2406">
        <v>-1.15</v>
      </c>
      <c r="AI2406">
        <v>-3.92</v>
      </c>
      <c r="AJ2406">
        <v>1.41</v>
      </c>
      <c r="AK2406">
        <v>3.23</v>
      </c>
      <c r="AL2406">
        <v>1</v>
      </c>
      <c r="AM2406">
        <v>0.88</v>
      </c>
      <c r="AN2406">
        <v>-3.11</v>
      </c>
      <c r="AO2406">
        <v>-3.38</v>
      </c>
      <c r="AP2406">
        <v>11.18</v>
      </c>
    </row>
    <row r="2407" spans="1:42">
      <c r="A2407">
        <v>2406</v>
      </c>
      <c r="B2407" t="str">
        <f>"300428"</f>
        <v>300428</v>
      </c>
      <c r="C2407" t="s">
        <v>13062</v>
      </c>
      <c r="D2407">
        <v>21.46</v>
      </c>
      <c r="E2407">
        <v>-1.47</v>
      </c>
      <c r="F2407">
        <v>-0.32</v>
      </c>
      <c r="G2407" t="s">
        <v>2550</v>
      </c>
      <c r="H2407">
        <v>614</v>
      </c>
      <c r="I2407">
        <v>21.46</v>
      </c>
      <c r="J2407">
        <v>21.47</v>
      </c>
      <c r="K2407" t="s">
        <v>13063</v>
      </c>
      <c r="L2407">
        <v>0.65</v>
      </c>
      <c r="M2407" t="s">
        <v>46</v>
      </c>
      <c r="N2407" t="s">
        <v>13064</v>
      </c>
      <c r="O2407">
        <v>21.84</v>
      </c>
      <c r="P2407">
        <v>21.25</v>
      </c>
      <c r="Q2407">
        <v>21.8</v>
      </c>
      <c r="R2407">
        <v>21.78</v>
      </c>
      <c r="S2407">
        <v>2.71</v>
      </c>
      <c r="T2407">
        <v>1</v>
      </c>
      <c r="U2407">
        <v>-9.41</v>
      </c>
      <c r="V2407">
        <v>-65</v>
      </c>
      <c r="W2407">
        <v>21.42</v>
      </c>
      <c r="X2407" t="s">
        <v>6827</v>
      </c>
      <c r="Y2407" t="s">
        <v>1427</v>
      </c>
      <c r="Z2407">
        <v>1.69</v>
      </c>
      <c r="AA2407">
        <v>143</v>
      </c>
      <c r="AB2407">
        <v>78</v>
      </c>
      <c r="AC2407">
        <v>2.14</v>
      </c>
      <c r="AD2407" t="s">
        <v>13065</v>
      </c>
      <c r="AE2407" t="s">
        <v>440</v>
      </c>
      <c r="AF2407" t="s">
        <v>13066</v>
      </c>
      <c r="AG2407" t="s">
        <v>7565</v>
      </c>
      <c r="AH2407">
        <v>-4.2</v>
      </c>
      <c r="AI2407">
        <v>-6.45</v>
      </c>
      <c r="AJ2407">
        <v>1.85</v>
      </c>
      <c r="AK2407">
        <v>3.95</v>
      </c>
      <c r="AL2407">
        <v>-3</v>
      </c>
      <c r="AM2407">
        <v>-1.47</v>
      </c>
      <c r="AN2407">
        <v>-13.01</v>
      </c>
      <c r="AO2407">
        <v>-3.94</v>
      </c>
      <c r="AP2407">
        <v>-22.78</v>
      </c>
    </row>
    <row r="2408" spans="1:42">
      <c r="A2408">
        <v>2407</v>
      </c>
      <c r="B2408" t="str">
        <f>"300112"</f>
        <v>300112</v>
      </c>
      <c r="C2408" t="s">
        <v>13067</v>
      </c>
      <c r="D2408">
        <v>10.7</v>
      </c>
      <c r="E2408">
        <v>1.23</v>
      </c>
      <c r="F2408">
        <v>0.13</v>
      </c>
      <c r="G2408" t="s">
        <v>4169</v>
      </c>
      <c r="H2408">
        <v>1110</v>
      </c>
      <c r="I2408">
        <v>10.69</v>
      </c>
      <c r="J2408">
        <v>10.7</v>
      </c>
      <c r="K2408" t="s">
        <v>13068</v>
      </c>
      <c r="L2408">
        <v>2.96</v>
      </c>
      <c r="M2408" t="s">
        <v>46</v>
      </c>
      <c r="N2408" t="s">
        <v>13069</v>
      </c>
      <c r="O2408">
        <v>10.7</v>
      </c>
      <c r="P2408">
        <v>10.39</v>
      </c>
      <c r="Q2408">
        <v>10.54</v>
      </c>
      <c r="R2408">
        <v>10.57</v>
      </c>
      <c r="S2408">
        <v>2.93</v>
      </c>
      <c r="T2408">
        <v>0.97</v>
      </c>
      <c r="U2408">
        <v>15.57</v>
      </c>
      <c r="V2408">
        <v>328</v>
      </c>
      <c r="W2408">
        <v>10.56</v>
      </c>
      <c r="X2408" t="s">
        <v>6314</v>
      </c>
      <c r="Y2408" t="s">
        <v>4780</v>
      </c>
      <c r="Z2408">
        <v>1.06</v>
      </c>
      <c r="AA2408">
        <v>132</v>
      </c>
      <c r="AB2408">
        <v>342</v>
      </c>
      <c r="AC2408">
        <v>2.71</v>
      </c>
      <c r="AD2408" t="s">
        <v>13070</v>
      </c>
      <c r="AE2408" t="s">
        <v>13071</v>
      </c>
      <c r="AF2408" t="s">
        <v>6335</v>
      </c>
      <c r="AG2408" t="s">
        <v>8973</v>
      </c>
      <c r="AH2408">
        <v>-0.74</v>
      </c>
      <c r="AI2408">
        <v>0.75</v>
      </c>
      <c r="AJ2408">
        <v>8.84</v>
      </c>
      <c r="AK2408">
        <v>18.23</v>
      </c>
      <c r="AL2408">
        <v>1</v>
      </c>
      <c r="AM2408">
        <v>1.23</v>
      </c>
      <c r="AN2408">
        <v>20.5</v>
      </c>
      <c r="AO2408">
        <v>5.94</v>
      </c>
      <c r="AP2408">
        <v>3.88</v>
      </c>
    </row>
    <row r="2409" spans="1:42">
      <c r="A2409">
        <v>2408</v>
      </c>
      <c r="B2409" t="str">
        <f>"600316"</f>
        <v>600316</v>
      </c>
      <c r="C2409" t="s">
        <v>13072</v>
      </c>
      <c r="D2409">
        <v>21.22</v>
      </c>
      <c r="E2409">
        <v>0.57</v>
      </c>
      <c r="F2409">
        <v>0.12</v>
      </c>
      <c r="G2409" t="s">
        <v>4527</v>
      </c>
      <c r="H2409">
        <v>766</v>
      </c>
      <c r="I2409">
        <v>21.22</v>
      </c>
      <c r="J2409">
        <v>21.23</v>
      </c>
      <c r="K2409" t="s">
        <v>13073</v>
      </c>
      <c r="L2409">
        <v>0.49</v>
      </c>
      <c r="M2409" t="s">
        <v>46</v>
      </c>
      <c r="N2409" t="s">
        <v>2027</v>
      </c>
      <c r="O2409">
        <v>21.23</v>
      </c>
      <c r="P2409">
        <v>20.86</v>
      </c>
      <c r="Q2409">
        <v>21.11</v>
      </c>
      <c r="R2409">
        <v>21.1</v>
      </c>
      <c r="S2409">
        <v>1.75</v>
      </c>
      <c r="T2409">
        <v>0.69</v>
      </c>
      <c r="U2409">
        <v>-68.46</v>
      </c>
      <c r="V2409">
        <v>-495</v>
      </c>
      <c r="W2409">
        <v>21.06</v>
      </c>
      <c r="X2409" t="s">
        <v>1072</v>
      </c>
      <c r="Y2409" t="s">
        <v>8137</v>
      </c>
      <c r="Z2409">
        <v>1.14</v>
      </c>
      <c r="AA2409">
        <v>10</v>
      </c>
      <c r="AB2409">
        <v>192</v>
      </c>
      <c r="AC2409">
        <v>2.89</v>
      </c>
      <c r="AD2409" t="s">
        <v>12451</v>
      </c>
      <c r="AE2409" t="s">
        <v>13074</v>
      </c>
      <c r="AF2409" t="s">
        <v>12451</v>
      </c>
      <c r="AG2409" t="s">
        <v>13074</v>
      </c>
      <c r="AH2409">
        <v>-2.08</v>
      </c>
      <c r="AI2409">
        <v>-1.85</v>
      </c>
      <c r="AJ2409">
        <v>1.59</v>
      </c>
      <c r="AK2409">
        <v>4.06</v>
      </c>
      <c r="AL2409">
        <v>1</v>
      </c>
      <c r="AM2409">
        <v>0.57</v>
      </c>
      <c r="AN2409">
        <v>-15.56</v>
      </c>
      <c r="AO2409">
        <v>5.73</v>
      </c>
      <c r="AP2409">
        <v>-20.7</v>
      </c>
    </row>
    <row r="2410" spans="1:42">
      <c r="A2410">
        <v>2409</v>
      </c>
      <c r="B2410" t="str">
        <f>"600782"</f>
        <v>600782</v>
      </c>
      <c r="C2410" t="s">
        <v>13075</v>
      </c>
      <c r="D2410">
        <v>3.81</v>
      </c>
      <c r="E2410">
        <v>0.79</v>
      </c>
      <c r="F2410">
        <v>0.03</v>
      </c>
      <c r="G2410" t="s">
        <v>1328</v>
      </c>
      <c r="H2410">
        <v>1679</v>
      </c>
      <c r="I2410">
        <v>3.81</v>
      </c>
      <c r="J2410">
        <v>3.82</v>
      </c>
      <c r="K2410" t="s">
        <v>13076</v>
      </c>
      <c r="L2410">
        <v>0.62</v>
      </c>
      <c r="M2410" t="s">
        <v>46</v>
      </c>
      <c r="N2410" t="s">
        <v>13077</v>
      </c>
      <c r="O2410">
        <v>3.82</v>
      </c>
      <c r="P2410">
        <v>3.78</v>
      </c>
      <c r="Q2410">
        <v>3.79</v>
      </c>
      <c r="R2410">
        <v>3.78</v>
      </c>
      <c r="S2410">
        <v>1.06</v>
      </c>
      <c r="T2410">
        <v>0.73</v>
      </c>
      <c r="U2410">
        <v>-19.95</v>
      </c>
      <c r="V2410">
        <v>-8265</v>
      </c>
      <c r="W2410">
        <v>3.8</v>
      </c>
      <c r="X2410" t="s">
        <v>6119</v>
      </c>
      <c r="Y2410" t="s">
        <v>3734</v>
      </c>
      <c r="Z2410">
        <v>0.97</v>
      </c>
      <c r="AA2410">
        <v>392</v>
      </c>
      <c r="AB2410">
        <v>7764</v>
      </c>
      <c r="AC2410">
        <v>0.45</v>
      </c>
      <c r="AD2410" t="s">
        <v>13078</v>
      </c>
      <c r="AE2410" t="s">
        <v>13079</v>
      </c>
      <c r="AF2410" t="s">
        <v>13078</v>
      </c>
      <c r="AG2410" t="s">
        <v>13079</v>
      </c>
      <c r="AH2410">
        <v>-1.3</v>
      </c>
      <c r="AI2410">
        <v>-2.56</v>
      </c>
      <c r="AJ2410">
        <v>2.37</v>
      </c>
      <c r="AK2410">
        <v>4.85</v>
      </c>
      <c r="AL2410">
        <v>1</v>
      </c>
      <c r="AM2410">
        <v>0.79</v>
      </c>
      <c r="AN2410">
        <v>-4.51</v>
      </c>
      <c r="AO2410">
        <v>-4.27</v>
      </c>
      <c r="AP2410">
        <v>-4.51</v>
      </c>
    </row>
    <row r="2411" spans="1:42">
      <c r="A2411">
        <v>2410</v>
      </c>
      <c r="B2411" t="str">
        <f>"688273"</f>
        <v>688273</v>
      </c>
      <c r="C2411" t="s">
        <v>13080</v>
      </c>
      <c r="D2411">
        <v>36.62</v>
      </c>
      <c r="E2411">
        <v>-1.77</v>
      </c>
      <c r="F2411">
        <v>-0.66</v>
      </c>
      <c r="G2411" t="s">
        <v>5237</v>
      </c>
      <c r="H2411">
        <v>62</v>
      </c>
      <c r="I2411">
        <v>36.62</v>
      </c>
      <c r="J2411">
        <v>36.7</v>
      </c>
      <c r="K2411" t="s">
        <v>13081</v>
      </c>
      <c r="L2411">
        <v>6.11</v>
      </c>
      <c r="M2411" t="s">
        <v>46</v>
      </c>
      <c r="N2411" t="s">
        <v>1613</v>
      </c>
      <c r="O2411">
        <v>37.83</v>
      </c>
      <c r="P2411">
        <v>35.72</v>
      </c>
      <c r="Q2411">
        <v>37.83</v>
      </c>
      <c r="R2411">
        <v>37.28</v>
      </c>
      <c r="S2411">
        <v>5.66</v>
      </c>
      <c r="T2411">
        <v>1.43</v>
      </c>
      <c r="U2411">
        <v>23.28</v>
      </c>
      <c r="V2411">
        <v>29</v>
      </c>
      <c r="W2411">
        <v>36.35</v>
      </c>
      <c r="X2411" t="s">
        <v>718</v>
      </c>
      <c r="Y2411">
        <v>8469</v>
      </c>
      <c r="Z2411">
        <v>1.4</v>
      </c>
      <c r="AA2411">
        <v>8</v>
      </c>
      <c r="AB2411">
        <v>3</v>
      </c>
      <c r="AC2411">
        <v>2.7</v>
      </c>
      <c r="AD2411" t="s">
        <v>13082</v>
      </c>
      <c r="AE2411" t="s">
        <v>8856</v>
      </c>
      <c r="AF2411" t="s">
        <v>13083</v>
      </c>
      <c r="AG2411" t="s">
        <v>13084</v>
      </c>
      <c r="AH2411">
        <v>-4.93</v>
      </c>
      <c r="AI2411">
        <v>-5.69</v>
      </c>
      <c r="AJ2411">
        <v>14.87</v>
      </c>
      <c r="AK2411">
        <v>27.51</v>
      </c>
      <c r="AL2411">
        <v>-5</v>
      </c>
      <c r="AM2411">
        <v>-1.77</v>
      </c>
      <c r="AN2411">
        <v>15.16</v>
      </c>
      <c r="AO2411">
        <v>17.71</v>
      </c>
      <c r="AP2411">
        <v>4.09</v>
      </c>
    </row>
    <row r="2412" spans="1:42">
      <c r="A2412">
        <v>2411</v>
      </c>
      <c r="B2412" t="str">
        <f>"600577"</f>
        <v>600577</v>
      </c>
      <c r="C2412" t="s">
        <v>13085</v>
      </c>
      <c r="D2412">
        <v>4.2</v>
      </c>
      <c r="E2412">
        <v>-0.24</v>
      </c>
      <c r="F2412">
        <v>-0.01</v>
      </c>
      <c r="G2412" t="s">
        <v>625</v>
      </c>
      <c r="H2412">
        <v>2281</v>
      </c>
      <c r="I2412">
        <v>4.2</v>
      </c>
      <c r="J2412">
        <v>4.21</v>
      </c>
      <c r="K2412" t="s">
        <v>13081</v>
      </c>
      <c r="L2412">
        <v>0.88</v>
      </c>
      <c r="M2412" t="s">
        <v>46</v>
      </c>
      <c r="N2412" t="s">
        <v>11309</v>
      </c>
      <c r="O2412">
        <v>4.22</v>
      </c>
      <c r="P2412">
        <v>4.17</v>
      </c>
      <c r="Q2412">
        <v>4.19</v>
      </c>
      <c r="R2412">
        <v>4.21</v>
      </c>
      <c r="S2412">
        <v>1.19</v>
      </c>
      <c r="T2412">
        <v>1.05</v>
      </c>
      <c r="U2412">
        <v>3.86</v>
      </c>
      <c r="V2412">
        <v>1722</v>
      </c>
      <c r="W2412">
        <v>4.19</v>
      </c>
      <c r="X2412" t="s">
        <v>740</v>
      </c>
      <c r="Y2412" t="s">
        <v>183</v>
      </c>
      <c r="Z2412">
        <v>1.42</v>
      </c>
      <c r="AA2412">
        <v>952</v>
      </c>
      <c r="AB2412">
        <v>4066</v>
      </c>
      <c r="AC2412">
        <v>1.7</v>
      </c>
      <c r="AD2412" t="s">
        <v>10420</v>
      </c>
      <c r="AE2412" t="s">
        <v>13086</v>
      </c>
      <c r="AF2412" t="s">
        <v>3515</v>
      </c>
      <c r="AG2412" t="s">
        <v>13087</v>
      </c>
      <c r="AH2412">
        <v>-1.41</v>
      </c>
      <c r="AI2412">
        <v>-1.64</v>
      </c>
      <c r="AJ2412">
        <v>2.46</v>
      </c>
      <c r="AK2412">
        <v>5.1</v>
      </c>
      <c r="AL2412">
        <v>-3</v>
      </c>
      <c r="AM2412">
        <v>-0.24</v>
      </c>
      <c r="AN2412">
        <v>1.94</v>
      </c>
      <c r="AO2412">
        <v>1.45</v>
      </c>
      <c r="AP2412">
        <v>-6.67</v>
      </c>
    </row>
    <row r="2413" spans="1:42">
      <c r="A2413">
        <v>2412</v>
      </c>
      <c r="B2413" t="str">
        <f>"002977"</f>
        <v>002977</v>
      </c>
      <c r="C2413" t="s">
        <v>13088</v>
      </c>
      <c r="D2413">
        <v>37.33</v>
      </c>
      <c r="E2413">
        <v>0.89</v>
      </c>
      <c r="F2413">
        <v>0.33</v>
      </c>
      <c r="G2413" t="s">
        <v>2877</v>
      </c>
      <c r="H2413">
        <v>181</v>
      </c>
      <c r="I2413">
        <v>37.32</v>
      </c>
      <c r="J2413">
        <v>37.33</v>
      </c>
      <c r="K2413" t="s">
        <v>13089</v>
      </c>
      <c r="L2413">
        <v>3.03</v>
      </c>
      <c r="M2413" t="s">
        <v>46</v>
      </c>
      <c r="N2413" t="s">
        <v>8753</v>
      </c>
      <c r="O2413">
        <v>37.8</v>
      </c>
      <c r="P2413">
        <v>36.82</v>
      </c>
      <c r="Q2413">
        <v>37.04</v>
      </c>
      <c r="R2413">
        <v>37</v>
      </c>
      <c r="S2413">
        <v>2.65</v>
      </c>
      <c r="T2413">
        <v>0.71</v>
      </c>
      <c r="U2413">
        <v>-16.17</v>
      </c>
      <c r="V2413">
        <v>-72</v>
      </c>
      <c r="W2413">
        <v>37.36</v>
      </c>
      <c r="X2413">
        <v>8145</v>
      </c>
      <c r="Y2413" t="s">
        <v>189</v>
      </c>
      <c r="Z2413">
        <v>0.7</v>
      </c>
      <c r="AA2413">
        <v>19</v>
      </c>
      <c r="AB2413">
        <v>21</v>
      </c>
      <c r="AC2413">
        <v>4.11</v>
      </c>
      <c r="AD2413" t="s">
        <v>3104</v>
      </c>
      <c r="AE2413" t="s">
        <v>8289</v>
      </c>
      <c r="AF2413" t="s">
        <v>13090</v>
      </c>
      <c r="AG2413" t="s">
        <v>13091</v>
      </c>
      <c r="AH2413">
        <v>-1.76</v>
      </c>
      <c r="AI2413">
        <v>-4.28</v>
      </c>
      <c r="AJ2413">
        <v>9.91</v>
      </c>
      <c r="AK2413">
        <v>24.42</v>
      </c>
      <c r="AL2413">
        <v>1</v>
      </c>
      <c r="AM2413">
        <v>0.89</v>
      </c>
      <c r="AN2413">
        <v>22.72</v>
      </c>
      <c r="AO2413">
        <v>-0.85</v>
      </c>
      <c r="AP2413">
        <v>18.55</v>
      </c>
    </row>
    <row r="2414" spans="1:42">
      <c r="A2414">
        <v>2413</v>
      </c>
      <c r="B2414" t="str">
        <f>"002157"</f>
        <v>002157</v>
      </c>
      <c r="C2414" t="s">
        <v>13092</v>
      </c>
      <c r="D2414">
        <v>2.55</v>
      </c>
      <c r="E2414">
        <v>-1.54</v>
      </c>
      <c r="F2414">
        <v>-0.04</v>
      </c>
      <c r="G2414" t="s">
        <v>956</v>
      </c>
      <c r="H2414">
        <v>2493</v>
      </c>
      <c r="I2414">
        <v>2.55</v>
      </c>
      <c r="J2414">
        <v>2.56</v>
      </c>
      <c r="K2414" t="s">
        <v>13093</v>
      </c>
      <c r="L2414">
        <v>1.01</v>
      </c>
      <c r="M2414" t="s">
        <v>46</v>
      </c>
      <c r="N2414" t="s">
        <v>1145</v>
      </c>
      <c r="O2414">
        <v>2.59</v>
      </c>
      <c r="P2414">
        <v>2.53</v>
      </c>
      <c r="Q2414">
        <v>2.59</v>
      </c>
      <c r="R2414">
        <v>2.59</v>
      </c>
      <c r="S2414">
        <v>2.32</v>
      </c>
      <c r="T2414">
        <v>1.23</v>
      </c>
      <c r="U2414">
        <v>3.88</v>
      </c>
      <c r="V2414">
        <v>3651</v>
      </c>
      <c r="W2414">
        <v>2.56</v>
      </c>
      <c r="X2414" t="s">
        <v>4628</v>
      </c>
      <c r="Y2414" t="s">
        <v>2411</v>
      </c>
      <c r="Z2414">
        <v>2.16</v>
      </c>
      <c r="AA2414">
        <v>4381</v>
      </c>
      <c r="AB2414" t="s">
        <v>189</v>
      </c>
      <c r="AC2414">
        <v>-0.91</v>
      </c>
      <c r="AD2414" t="s">
        <v>13094</v>
      </c>
      <c r="AE2414" t="s">
        <v>13095</v>
      </c>
      <c r="AF2414" t="s">
        <v>13096</v>
      </c>
      <c r="AG2414" t="s">
        <v>13097</v>
      </c>
      <c r="AH2414">
        <v>-2.3</v>
      </c>
      <c r="AI2414">
        <v>-3.41</v>
      </c>
      <c r="AJ2414">
        <v>2.37</v>
      </c>
      <c r="AK2414">
        <v>5.13</v>
      </c>
      <c r="AL2414">
        <v>-1</v>
      </c>
      <c r="AM2414">
        <v>-1.54</v>
      </c>
      <c r="AN2414">
        <v>-39.72</v>
      </c>
      <c r="AO2414">
        <v>-8.93</v>
      </c>
      <c r="AP2414">
        <v>-35.28</v>
      </c>
    </row>
    <row r="2415" spans="1:42">
      <c r="A2415">
        <v>2414</v>
      </c>
      <c r="B2415" t="str">
        <f>"000552"</f>
        <v>000552</v>
      </c>
      <c r="C2415" t="s">
        <v>13098</v>
      </c>
      <c r="D2415">
        <v>3.19</v>
      </c>
      <c r="E2415">
        <v>0.95</v>
      </c>
      <c r="F2415">
        <v>0.03</v>
      </c>
      <c r="G2415" t="s">
        <v>1031</v>
      </c>
      <c r="H2415">
        <v>1947</v>
      </c>
      <c r="I2415">
        <v>3.19</v>
      </c>
      <c r="J2415">
        <v>3.2</v>
      </c>
      <c r="K2415" t="s">
        <v>13099</v>
      </c>
      <c r="L2415">
        <v>0.93</v>
      </c>
      <c r="M2415" t="s">
        <v>46</v>
      </c>
      <c r="N2415" t="s">
        <v>7271</v>
      </c>
      <c r="O2415">
        <v>3.2</v>
      </c>
      <c r="P2415">
        <v>3.16</v>
      </c>
      <c r="Q2415">
        <v>3.16</v>
      </c>
      <c r="R2415">
        <v>3.16</v>
      </c>
      <c r="S2415">
        <v>1.27</v>
      </c>
      <c r="T2415">
        <v>0.71</v>
      </c>
      <c r="U2415">
        <v>-32.39</v>
      </c>
      <c r="V2415" t="s">
        <v>13100</v>
      </c>
      <c r="W2415">
        <v>3.19</v>
      </c>
      <c r="X2415" t="s">
        <v>1199</v>
      </c>
      <c r="Y2415" t="s">
        <v>1493</v>
      </c>
      <c r="Z2415">
        <v>0.59</v>
      </c>
      <c r="AA2415">
        <v>2446</v>
      </c>
      <c r="AB2415" t="s">
        <v>8009</v>
      </c>
      <c r="AC2415">
        <v>1.06</v>
      </c>
      <c r="AD2415" t="s">
        <v>4370</v>
      </c>
      <c r="AE2415" t="s">
        <v>9391</v>
      </c>
      <c r="AF2415" t="s">
        <v>13101</v>
      </c>
      <c r="AG2415" t="s">
        <v>13102</v>
      </c>
      <c r="AH2415">
        <v>0.31</v>
      </c>
      <c r="AI2415">
        <v>1.59</v>
      </c>
      <c r="AJ2415">
        <v>3.53</v>
      </c>
      <c r="AK2415">
        <v>7.48</v>
      </c>
      <c r="AL2415">
        <v>1</v>
      </c>
      <c r="AM2415">
        <v>0.95</v>
      </c>
      <c r="AN2415">
        <v>6.33</v>
      </c>
      <c r="AO2415">
        <v>0.31</v>
      </c>
      <c r="AP2415">
        <v>1.59</v>
      </c>
    </row>
    <row r="2416" spans="1:42">
      <c r="A2416">
        <v>2415</v>
      </c>
      <c r="B2416" t="str">
        <f>"688049"</f>
        <v>688049</v>
      </c>
      <c r="C2416" t="s">
        <v>13103</v>
      </c>
      <c r="D2416">
        <v>37.9</v>
      </c>
      <c r="E2416">
        <v>0.21</v>
      </c>
      <c r="F2416">
        <v>0.08</v>
      </c>
      <c r="G2416" t="s">
        <v>1455</v>
      </c>
      <c r="H2416">
        <v>134</v>
      </c>
      <c r="I2416">
        <v>37.9</v>
      </c>
      <c r="J2416">
        <v>37.93</v>
      </c>
      <c r="K2416" t="s">
        <v>13104</v>
      </c>
      <c r="L2416">
        <v>2.16</v>
      </c>
      <c r="M2416" t="s">
        <v>46</v>
      </c>
      <c r="N2416" t="s">
        <v>3910</v>
      </c>
      <c r="O2416">
        <v>38.27</v>
      </c>
      <c r="P2416">
        <v>37.27</v>
      </c>
      <c r="Q2416">
        <v>38</v>
      </c>
      <c r="R2416">
        <v>37.82</v>
      </c>
      <c r="S2416">
        <v>2.64</v>
      </c>
      <c r="T2416">
        <v>0.74</v>
      </c>
      <c r="U2416">
        <v>65.22</v>
      </c>
      <c r="V2416">
        <v>246</v>
      </c>
      <c r="W2416">
        <v>37.7</v>
      </c>
      <c r="X2416">
        <v>9659</v>
      </c>
      <c r="Y2416">
        <v>9929</v>
      </c>
      <c r="Z2416">
        <v>0.97</v>
      </c>
      <c r="AA2416">
        <v>233</v>
      </c>
      <c r="AB2416">
        <v>17</v>
      </c>
      <c r="AC2416">
        <v>2.58</v>
      </c>
      <c r="AD2416" t="s">
        <v>13105</v>
      </c>
      <c r="AE2416" t="s">
        <v>13106</v>
      </c>
      <c r="AF2416" t="s">
        <v>13107</v>
      </c>
      <c r="AG2416" t="s">
        <v>7534</v>
      </c>
      <c r="AH2416">
        <v>-2.32</v>
      </c>
      <c r="AI2416">
        <v>0.03</v>
      </c>
      <c r="AJ2416">
        <v>7.42</v>
      </c>
      <c r="AK2416">
        <v>16.73</v>
      </c>
      <c r="AL2416">
        <v>1</v>
      </c>
      <c r="AM2416">
        <v>0.21</v>
      </c>
      <c r="AN2416">
        <v>41.15</v>
      </c>
      <c r="AO2416">
        <v>6.7</v>
      </c>
      <c r="AP2416">
        <v>19.75</v>
      </c>
    </row>
    <row r="2417" spans="1:42">
      <c r="A2417">
        <v>2416</v>
      </c>
      <c r="B2417" t="str">
        <f>"601101"</f>
        <v>601101</v>
      </c>
      <c r="C2417" t="s">
        <v>13108</v>
      </c>
      <c r="D2417">
        <v>6.35</v>
      </c>
      <c r="E2417">
        <v>0.63</v>
      </c>
      <c r="F2417">
        <v>0.04</v>
      </c>
      <c r="G2417" t="s">
        <v>2960</v>
      </c>
      <c r="H2417">
        <v>3030</v>
      </c>
      <c r="I2417">
        <v>6.34</v>
      </c>
      <c r="J2417">
        <v>6.35</v>
      </c>
      <c r="K2417" t="s">
        <v>13109</v>
      </c>
      <c r="L2417">
        <v>0.81</v>
      </c>
      <c r="M2417" t="s">
        <v>46</v>
      </c>
      <c r="N2417" t="s">
        <v>5628</v>
      </c>
      <c r="O2417">
        <v>6.37</v>
      </c>
      <c r="P2417">
        <v>6.28</v>
      </c>
      <c r="Q2417">
        <v>6.32</v>
      </c>
      <c r="R2417">
        <v>6.31</v>
      </c>
      <c r="S2417">
        <v>1.43</v>
      </c>
      <c r="T2417">
        <v>0.72</v>
      </c>
      <c r="U2417">
        <v>-59.82</v>
      </c>
      <c r="V2417" t="s">
        <v>4491</v>
      </c>
      <c r="W2417">
        <v>6.34</v>
      </c>
      <c r="X2417" t="s">
        <v>5878</v>
      </c>
      <c r="Y2417" t="s">
        <v>4753</v>
      </c>
      <c r="Z2417">
        <v>0.97</v>
      </c>
      <c r="AA2417">
        <v>348</v>
      </c>
      <c r="AB2417">
        <v>2151</v>
      </c>
      <c r="AC2417">
        <v>0.81</v>
      </c>
      <c r="AD2417" t="s">
        <v>9337</v>
      </c>
      <c r="AE2417" t="s">
        <v>13110</v>
      </c>
      <c r="AF2417" t="s">
        <v>9337</v>
      </c>
      <c r="AG2417" t="s">
        <v>13110</v>
      </c>
      <c r="AH2417">
        <v>0.63</v>
      </c>
      <c r="AI2417">
        <v>2.92</v>
      </c>
      <c r="AJ2417">
        <v>2.76</v>
      </c>
      <c r="AK2417">
        <v>6.44</v>
      </c>
      <c r="AL2417">
        <v>1</v>
      </c>
      <c r="AM2417">
        <v>0.63</v>
      </c>
      <c r="AN2417">
        <v>8.73</v>
      </c>
      <c r="AO2417">
        <v>11.01</v>
      </c>
      <c r="AP2417">
        <v>0.63</v>
      </c>
    </row>
    <row r="2418" spans="1:42">
      <c r="A2418">
        <v>2417</v>
      </c>
      <c r="B2418" t="str">
        <f>"300270"</f>
        <v>300270</v>
      </c>
      <c r="C2418" t="s">
        <v>13111</v>
      </c>
      <c r="D2418">
        <v>8.02</v>
      </c>
      <c r="E2418">
        <v>-0.25</v>
      </c>
      <c r="F2418">
        <v>-0.02</v>
      </c>
      <c r="G2418" t="s">
        <v>1848</v>
      </c>
      <c r="H2418">
        <v>1043</v>
      </c>
      <c r="I2418">
        <v>8.02</v>
      </c>
      <c r="J2418">
        <v>8.03</v>
      </c>
      <c r="K2418" t="s">
        <v>13112</v>
      </c>
      <c r="L2418">
        <v>3.81</v>
      </c>
      <c r="M2418" t="s">
        <v>46</v>
      </c>
      <c r="N2418" t="s">
        <v>10515</v>
      </c>
      <c r="O2418">
        <v>8.05</v>
      </c>
      <c r="P2418">
        <v>7.9</v>
      </c>
      <c r="Q2418">
        <v>8.04</v>
      </c>
      <c r="R2418">
        <v>8.04</v>
      </c>
      <c r="S2418">
        <v>1.87</v>
      </c>
      <c r="T2418">
        <v>0.5</v>
      </c>
      <c r="U2418">
        <v>-9.55</v>
      </c>
      <c r="V2418">
        <v>-445</v>
      </c>
      <c r="W2418">
        <v>7.97</v>
      </c>
      <c r="X2418" t="s">
        <v>4953</v>
      </c>
      <c r="Y2418" t="s">
        <v>5877</v>
      </c>
      <c r="Z2418">
        <v>1.2</v>
      </c>
      <c r="AA2418">
        <v>675</v>
      </c>
      <c r="AB2418">
        <v>558</v>
      </c>
      <c r="AC2418">
        <v>3.47</v>
      </c>
      <c r="AD2418" t="s">
        <v>13113</v>
      </c>
      <c r="AE2418" t="s">
        <v>13114</v>
      </c>
      <c r="AF2418" t="s">
        <v>10172</v>
      </c>
      <c r="AG2418" t="s">
        <v>13115</v>
      </c>
      <c r="AH2418">
        <v>-4.64</v>
      </c>
      <c r="AI2418">
        <v>-0.37</v>
      </c>
      <c r="AJ2418">
        <v>17.87</v>
      </c>
      <c r="AK2418">
        <v>41.65</v>
      </c>
      <c r="AL2418">
        <v>-3</v>
      </c>
      <c r="AM2418">
        <v>-0.25</v>
      </c>
      <c r="AN2418">
        <v>51.61</v>
      </c>
      <c r="AO2418">
        <v>6.79</v>
      </c>
      <c r="AP2418">
        <v>40.21</v>
      </c>
    </row>
    <row r="2419" spans="1:42">
      <c r="A2419">
        <v>2418</v>
      </c>
      <c r="B2419" t="str">
        <f>"600804"</f>
        <v>600804</v>
      </c>
      <c r="C2419" t="s">
        <v>13116</v>
      </c>
      <c r="D2419">
        <v>4.76</v>
      </c>
      <c r="E2419">
        <v>1.28</v>
      </c>
      <c r="F2419">
        <v>0.06</v>
      </c>
      <c r="G2419" t="s">
        <v>562</v>
      </c>
      <c r="H2419">
        <v>1176</v>
      </c>
      <c r="I2419">
        <v>4.75</v>
      </c>
      <c r="J2419">
        <v>4.76</v>
      </c>
      <c r="K2419" t="s">
        <v>13112</v>
      </c>
      <c r="L2419">
        <v>1.11</v>
      </c>
      <c r="M2419" t="s">
        <v>46</v>
      </c>
      <c r="N2419" t="s">
        <v>5276</v>
      </c>
      <c r="O2419">
        <v>4.83</v>
      </c>
      <c r="P2419">
        <v>4.65</v>
      </c>
      <c r="Q2419">
        <v>4.69</v>
      </c>
      <c r="R2419">
        <v>4.7</v>
      </c>
      <c r="S2419">
        <v>3.83</v>
      </c>
      <c r="T2419">
        <v>0.8</v>
      </c>
      <c r="U2419">
        <v>6.12</v>
      </c>
      <c r="V2419">
        <v>1089</v>
      </c>
      <c r="W2419">
        <v>4.75</v>
      </c>
      <c r="X2419" t="s">
        <v>494</v>
      </c>
      <c r="Y2419" t="s">
        <v>7241</v>
      </c>
      <c r="Z2419">
        <v>0.97</v>
      </c>
      <c r="AA2419">
        <v>3454</v>
      </c>
      <c r="AB2419">
        <v>328</v>
      </c>
      <c r="AC2419">
        <v>6.93</v>
      </c>
      <c r="AD2419" t="s">
        <v>521</v>
      </c>
      <c r="AE2419" t="s">
        <v>13117</v>
      </c>
      <c r="AF2419" t="s">
        <v>7633</v>
      </c>
      <c r="AG2419" t="s">
        <v>12484</v>
      </c>
      <c r="AH2419">
        <v>3.7</v>
      </c>
      <c r="AI2419">
        <v>-2.26</v>
      </c>
      <c r="AJ2419">
        <v>4.1</v>
      </c>
      <c r="AK2419">
        <v>8.1</v>
      </c>
      <c r="AL2419">
        <v>2</v>
      </c>
      <c r="AM2419">
        <v>1.28</v>
      </c>
      <c r="AN2419">
        <v>47.83</v>
      </c>
      <c r="AO2419">
        <v>8.68</v>
      </c>
      <c r="AP2419">
        <v>47.37</v>
      </c>
    </row>
    <row r="2420" spans="1:42">
      <c r="A2420">
        <v>2419</v>
      </c>
      <c r="B2420" t="str">
        <f>"300189"</f>
        <v>300189</v>
      </c>
      <c r="C2420" t="s">
        <v>13118</v>
      </c>
      <c r="D2420">
        <v>3.51</v>
      </c>
      <c r="E2420">
        <v>-0.28</v>
      </c>
      <c r="F2420">
        <v>-0.01</v>
      </c>
      <c r="G2420" t="s">
        <v>3217</v>
      </c>
      <c r="H2420">
        <v>3611</v>
      </c>
      <c r="I2420">
        <v>3.5</v>
      </c>
      <c r="J2420">
        <v>3.51</v>
      </c>
      <c r="K2420" t="s">
        <v>13119</v>
      </c>
      <c r="L2420">
        <v>2.18</v>
      </c>
      <c r="M2420" t="s">
        <v>46</v>
      </c>
      <c r="N2420" t="s">
        <v>10035</v>
      </c>
      <c r="O2420">
        <v>3.55</v>
      </c>
      <c r="P2420">
        <v>3.48</v>
      </c>
      <c r="Q2420">
        <v>3.52</v>
      </c>
      <c r="R2420">
        <v>3.52</v>
      </c>
      <c r="S2420">
        <v>1.99</v>
      </c>
      <c r="T2420">
        <v>0.5</v>
      </c>
      <c r="U2420">
        <v>8.4</v>
      </c>
      <c r="V2420">
        <v>3388</v>
      </c>
      <c r="W2420">
        <v>3.51</v>
      </c>
      <c r="X2420" t="s">
        <v>1937</v>
      </c>
      <c r="Y2420" t="s">
        <v>9660</v>
      </c>
      <c r="Z2420">
        <v>1.32</v>
      </c>
      <c r="AA2420">
        <v>6304</v>
      </c>
      <c r="AB2420">
        <v>3238</v>
      </c>
      <c r="AC2420">
        <v>4.52</v>
      </c>
      <c r="AD2420" t="s">
        <v>610</v>
      </c>
      <c r="AE2420" t="s">
        <v>11035</v>
      </c>
      <c r="AF2420" t="s">
        <v>13120</v>
      </c>
      <c r="AG2420" t="s">
        <v>13121</v>
      </c>
      <c r="AH2420">
        <v>-1.68</v>
      </c>
      <c r="AI2420">
        <v>1.74</v>
      </c>
      <c r="AJ2420">
        <v>8.83</v>
      </c>
      <c r="AK2420">
        <v>24.21</v>
      </c>
      <c r="AL2420">
        <v>-2</v>
      </c>
      <c r="AM2420">
        <v>-0.28</v>
      </c>
      <c r="AN2420">
        <v>-13.55</v>
      </c>
      <c r="AO2420">
        <v>4.78</v>
      </c>
      <c r="AP2420">
        <v>-10.91</v>
      </c>
    </row>
    <row r="2421" spans="1:42">
      <c r="A2421">
        <v>2420</v>
      </c>
      <c r="B2421" t="str">
        <f>"002695"</f>
        <v>002695</v>
      </c>
      <c r="C2421" t="s">
        <v>13122</v>
      </c>
      <c r="D2421">
        <v>11.28</v>
      </c>
      <c r="E2421">
        <v>-0.97</v>
      </c>
      <c r="F2421">
        <v>-0.11</v>
      </c>
      <c r="G2421" t="s">
        <v>4913</v>
      </c>
      <c r="H2421">
        <v>365</v>
      </c>
      <c r="I2421">
        <v>11.28</v>
      </c>
      <c r="J2421">
        <v>11.29</v>
      </c>
      <c r="K2421" t="s">
        <v>13123</v>
      </c>
      <c r="L2421">
        <v>1.39</v>
      </c>
      <c r="M2421" t="s">
        <v>46</v>
      </c>
      <c r="N2421" t="s">
        <v>720</v>
      </c>
      <c r="O2421">
        <v>11.52</v>
      </c>
      <c r="P2421">
        <v>11.25</v>
      </c>
      <c r="Q2421">
        <v>11.5</v>
      </c>
      <c r="R2421">
        <v>11.39</v>
      </c>
      <c r="S2421">
        <v>2.37</v>
      </c>
      <c r="T2421">
        <v>1.43</v>
      </c>
      <c r="U2421">
        <v>26.15</v>
      </c>
      <c r="V2421">
        <v>347</v>
      </c>
      <c r="W2421">
        <v>11.38</v>
      </c>
      <c r="X2421" t="s">
        <v>2189</v>
      </c>
      <c r="Y2421" t="s">
        <v>3032</v>
      </c>
      <c r="Z2421">
        <v>1.33</v>
      </c>
      <c r="AA2421">
        <v>59</v>
      </c>
      <c r="AB2421">
        <v>77</v>
      </c>
      <c r="AC2421">
        <v>2.18</v>
      </c>
      <c r="AD2421" t="s">
        <v>2736</v>
      </c>
      <c r="AE2421" t="s">
        <v>13124</v>
      </c>
      <c r="AF2421" t="s">
        <v>13125</v>
      </c>
      <c r="AG2421" t="s">
        <v>13126</v>
      </c>
      <c r="AH2421">
        <v>-0.35</v>
      </c>
      <c r="AI2421">
        <v>1.81</v>
      </c>
      <c r="AJ2421">
        <v>3.26</v>
      </c>
      <c r="AK2421">
        <v>6.29</v>
      </c>
      <c r="AL2421">
        <v>-1</v>
      </c>
      <c r="AM2421">
        <v>-0.97</v>
      </c>
      <c r="AN2421">
        <v>-18.61</v>
      </c>
      <c r="AO2421">
        <v>2.17</v>
      </c>
      <c r="AP2421">
        <v>4.64</v>
      </c>
    </row>
    <row r="2422" spans="1:42">
      <c r="A2422">
        <v>2421</v>
      </c>
      <c r="B2422" t="str">
        <f>"002592"</f>
        <v>002592</v>
      </c>
      <c r="C2422" t="s">
        <v>13127</v>
      </c>
      <c r="D2422">
        <v>6.39</v>
      </c>
      <c r="E2422">
        <v>-1.69</v>
      </c>
      <c r="F2422">
        <v>-0.11</v>
      </c>
      <c r="G2422" t="s">
        <v>4356</v>
      </c>
      <c r="H2422">
        <v>1425</v>
      </c>
      <c r="I2422">
        <v>6.39</v>
      </c>
      <c r="J2422">
        <v>6.4</v>
      </c>
      <c r="K2422" t="s">
        <v>13128</v>
      </c>
      <c r="L2422">
        <v>4.37</v>
      </c>
      <c r="M2422" t="s">
        <v>46</v>
      </c>
      <c r="N2422" t="s">
        <v>4307</v>
      </c>
      <c r="O2422">
        <v>6.56</v>
      </c>
      <c r="P2422">
        <v>6.34</v>
      </c>
      <c r="Q2422">
        <v>6.46</v>
      </c>
      <c r="R2422">
        <v>6.5</v>
      </c>
      <c r="S2422">
        <v>3.38</v>
      </c>
      <c r="T2422">
        <v>1.09</v>
      </c>
      <c r="U2422">
        <v>75.02</v>
      </c>
      <c r="V2422">
        <v>2523</v>
      </c>
      <c r="W2422">
        <v>6.42</v>
      </c>
      <c r="X2422" t="s">
        <v>5844</v>
      </c>
      <c r="Y2422" t="s">
        <v>3176</v>
      </c>
      <c r="Z2422">
        <v>1.63</v>
      </c>
      <c r="AA2422">
        <v>500</v>
      </c>
      <c r="AB2422">
        <v>111</v>
      </c>
      <c r="AC2422">
        <v>2.02</v>
      </c>
      <c r="AD2422" t="s">
        <v>13129</v>
      </c>
      <c r="AE2422" t="s">
        <v>13130</v>
      </c>
      <c r="AF2422" t="s">
        <v>13131</v>
      </c>
      <c r="AG2422" t="s">
        <v>2564</v>
      </c>
      <c r="AH2422">
        <v>1.11</v>
      </c>
      <c r="AI2422">
        <v>1.59</v>
      </c>
      <c r="AJ2422">
        <v>16.04</v>
      </c>
      <c r="AK2422">
        <v>24.41</v>
      </c>
      <c r="AL2422">
        <v>-2</v>
      </c>
      <c r="AM2422">
        <v>-1.69</v>
      </c>
      <c r="AN2422">
        <v>18.55</v>
      </c>
      <c r="AO2422">
        <v>-0.62</v>
      </c>
      <c r="AP2422">
        <v>-1.69</v>
      </c>
    </row>
    <row r="2423" spans="1:42">
      <c r="A2423">
        <v>2422</v>
      </c>
      <c r="B2423" t="str">
        <f>"002898"</f>
        <v>002898</v>
      </c>
      <c r="C2423" t="s">
        <v>13132</v>
      </c>
      <c r="D2423">
        <v>15.02</v>
      </c>
      <c r="E2423">
        <v>1.21</v>
      </c>
      <c r="F2423">
        <v>0.18</v>
      </c>
      <c r="G2423" t="s">
        <v>4421</v>
      </c>
      <c r="H2423">
        <v>1075</v>
      </c>
      <c r="I2423">
        <v>15.01</v>
      </c>
      <c r="J2423">
        <v>15.02</v>
      </c>
      <c r="K2423" t="s">
        <v>13133</v>
      </c>
      <c r="L2423">
        <v>4.84</v>
      </c>
      <c r="M2423" t="s">
        <v>46</v>
      </c>
      <c r="N2423" t="s">
        <v>2159</v>
      </c>
      <c r="O2423">
        <v>15.1</v>
      </c>
      <c r="P2423">
        <v>14.82</v>
      </c>
      <c r="Q2423">
        <v>14.84</v>
      </c>
      <c r="R2423">
        <v>14.84</v>
      </c>
      <c r="S2423">
        <v>1.89</v>
      </c>
      <c r="T2423">
        <v>0.66</v>
      </c>
      <c r="U2423">
        <v>-24.42</v>
      </c>
      <c r="V2423">
        <v>-641</v>
      </c>
      <c r="W2423">
        <v>15.01</v>
      </c>
      <c r="X2423" t="s">
        <v>7053</v>
      </c>
      <c r="Y2423" t="s">
        <v>1711</v>
      </c>
      <c r="Z2423">
        <v>0.78</v>
      </c>
      <c r="AA2423">
        <v>435</v>
      </c>
      <c r="AB2423">
        <v>276</v>
      </c>
      <c r="AC2423">
        <v>4.98</v>
      </c>
      <c r="AD2423" t="s">
        <v>12987</v>
      </c>
      <c r="AE2423" t="s">
        <v>13134</v>
      </c>
      <c r="AF2423" t="s">
        <v>13135</v>
      </c>
      <c r="AG2423" t="s">
        <v>13136</v>
      </c>
      <c r="AH2423">
        <v>0.54</v>
      </c>
      <c r="AI2423">
        <v>-0.6</v>
      </c>
      <c r="AJ2423">
        <v>14.91</v>
      </c>
      <c r="AK2423">
        <v>41.58</v>
      </c>
      <c r="AL2423">
        <v>2</v>
      </c>
      <c r="AM2423">
        <v>1.21</v>
      </c>
      <c r="AN2423">
        <v>23.62</v>
      </c>
      <c r="AO2423">
        <v>-10.38</v>
      </c>
      <c r="AP2423">
        <v>24.23</v>
      </c>
    </row>
    <row r="2424" spans="1:42">
      <c r="A2424">
        <v>2423</v>
      </c>
      <c r="B2424" t="str">
        <f>"300481"</f>
        <v>300481</v>
      </c>
      <c r="C2424" t="s">
        <v>13137</v>
      </c>
      <c r="D2424">
        <v>17.24</v>
      </c>
      <c r="E2424">
        <v>0</v>
      </c>
      <c r="F2424">
        <v>0</v>
      </c>
      <c r="G2424" t="s">
        <v>5235</v>
      </c>
      <c r="H2424">
        <v>582</v>
      </c>
      <c r="I2424">
        <v>17.24</v>
      </c>
      <c r="J2424">
        <v>17.25</v>
      </c>
      <c r="K2424" t="s">
        <v>13138</v>
      </c>
      <c r="L2424">
        <v>1.46</v>
      </c>
      <c r="M2424" t="s">
        <v>46</v>
      </c>
      <c r="N2424" t="s">
        <v>119</v>
      </c>
      <c r="O2424">
        <v>17.34</v>
      </c>
      <c r="P2424">
        <v>16.9</v>
      </c>
      <c r="Q2424">
        <v>17.28</v>
      </c>
      <c r="R2424">
        <v>17.24</v>
      </c>
      <c r="S2424">
        <v>2.55</v>
      </c>
      <c r="T2424">
        <v>0.73</v>
      </c>
      <c r="U2424">
        <v>34.75</v>
      </c>
      <c r="V2424">
        <v>328</v>
      </c>
      <c r="W2424">
        <v>17.09</v>
      </c>
      <c r="X2424" t="s">
        <v>1520</v>
      </c>
      <c r="Y2424" t="s">
        <v>7053</v>
      </c>
      <c r="Z2424">
        <v>1</v>
      </c>
      <c r="AA2424">
        <v>125</v>
      </c>
      <c r="AB2424">
        <v>42</v>
      </c>
      <c r="AC2424">
        <v>2.12</v>
      </c>
      <c r="AD2424" t="s">
        <v>1754</v>
      </c>
      <c r="AE2424" t="s">
        <v>13139</v>
      </c>
      <c r="AF2424" t="s">
        <v>13140</v>
      </c>
      <c r="AG2424" t="s">
        <v>7749</v>
      </c>
      <c r="AH2424">
        <v>-1.77</v>
      </c>
      <c r="AI2424">
        <v>-2.82</v>
      </c>
      <c r="AJ2424">
        <v>8.55</v>
      </c>
      <c r="AK2424">
        <v>11.52</v>
      </c>
      <c r="AL2424">
        <v>0</v>
      </c>
      <c r="AM2424">
        <v>0</v>
      </c>
      <c r="AN2424">
        <v>-34.52</v>
      </c>
      <c r="AO2424">
        <v>-1.6</v>
      </c>
      <c r="AP2424">
        <v>-37.01</v>
      </c>
    </row>
    <row r="2425" spans="1:42">
      <c r="A2425">
        <v>2424</v>
      </c>
      <c r="B2425" t="str">
        <f>"301282"</f>
        <v>301282</v>
      </c>
      <c r="C2425" t="s">
        <v>13141</v>
      </c>
      <c r="D2425">
        <v>27.46</v>
      </c>
      <c r="E2425">
        <v>0.99</v>
      </c>
      <c r="F2425">
        <v>0.27</v>
      </c>
      <c r="G2425" t="s">
        <v>5444</v>
      </c>
      <c r="H2425">
        <v>352</v>
      </c>
      <c r="I2425">
        <v>27.46</v>
      </c>
      <c r="J2425">
        <v>27.47</v>
      </c>
      <c r="K2425" t="s">
        <v>13142</v>
      </c>
      <c r="L2425">
        <v>3.73</v>
      </c>
      <c r="M2425" t="s">
        <v>46</v>
      </c>
      <c r="N2425" t="s">
        <v>12596</v>
      </c>
      <c r="O2425">
        <v>27.62</v>
      </c>
      <c r="P2425">
        <v>26.96</v>
      </c>
      <c r="Q2425">
        <v>27.2</v>
      </c>
      <c r="R2425">
        <v>27.19</v>
      </c>
      <c r="S2425">
        <v>2.43</v>
      </c>
      <c r="T2425">
        <v>0.67</v>
      </c>
      <c r="U2425">
        <v>40.13</v>
      </c>
      <c r="V2425">
        <v>258</v>
      </c>
      <c r="W2425">
        <v>27.32</v>
      </c>
      <c r="X2425" t="s">
        <v>3130</v>
      </c>
      <c r="Y2425" t="s">
        <v>4792</v>
      </c>
      <c r="Z2425">
        <v>1.2</v>
      </c>
      <c r="AA2425">
        <v>69</v>
      </c>
      <c r="AB2425">
        <v>27</v>
      </c>
      <c r="AC2425">
        <v>2.52</v>
      </c>
      <c r="AD2425" t="s">
        <v>13143</v>
      </c>
      <c r="AE2425" t="s">
        <v>13144</v>
      </c>
      <c r="AF2425" t="s">
        <v>13145</v>
      </c>
      <c r="AG2425" t="s">
        <v>9503</v>
      </c>
      <c r="AH2425">
        <v>-4.32</v>
      </c>
      <c r="AI2425">
        <v>-2.59</v>
      </c>
      <c r="AJ2425">
        <v>14.66</v>
      </c>
      <c r="AK2425">
        <v>31.64</v>
      </c>
      <c r="AL2425">
        <v>1</v>
      </c>
      <c r="AM2425">
        <v>0.99</v>
      </c>
      <c r="AN2425">
        <v>6.56</v>
      </c>
      <c r="AO2425">
        <v>2.2</v>
      </c>
      <c r="AP2425">
        <v>-10.2</v>
      </c>
    </row>
    <row r="2426" spans="1:42">
      <c r="A2426">
        <v>2425</v>
      </c>
      <c r="B2426" t="str">
        <f>"300074"</f>
        <v>300074</v>
      </c>
      <c r="C2426" t="s">
        <v>13146</v>
      </c>
      <c r="D2426">
        <v>4.9</v>
      </c>
      <c r="E2426">
        <v>2.51</v>
      </c>
      <c r="F2426">
        <v>0.12</v>
      </c>
      <c r="G2426" t="s">
        <v>1412</v>
      </c>
      <c r="H2426">
        <v>1449</v>
      </c>
      <c r="I2426">
        <v>4.9</v>
      </c>
      <c r="J2426">
        <v>4.91</v>
      </c>
      <c r="K2426" t="s">
        <v>13147</v>
      </c>
      <c r="L2426">
        <v>2.86</v>
      </c>
      <c r="M2426" t="s">
        <v>46</v>
      </c>
      <c r="N2426" t="s">
        <v>4515</v>
      </c>
      <c r="O2426">
        <v>4.91</v>
      </c>
      <c r="P2426">
        <v>4.76</v>
      </c>
      <c r="Q2426">
        <v>4.8</v>
      </c>
      <c r="R2426">
        <v>4.78</v>
      </c>
      <c r="S2426">
        <v>3.14</v>
      </c>
      <c r="T2426">
        <v>0.85</v>
      </c>
      <c r="U2426">
        <v>-47.45</v>
      </c>
      <c r="V2426">
        <v>-5847</v>
      </c>
      <c r="W2426">
        <v>4.85</v>
      </c>
      <c r="X2426" t="s">
        <v>6732</v>
      </c>
      <c r="Y2426" t="s">
        <v>3003</v>
      </c>
      <c r="Z2426">
        <v>0.62</v>
      </c>
      <c r="AA2426">
        <v>1113</v>
      </c>
      <c r="AB2426">
        <v>1625</v>
      </c>
      <c r="AC2426">
        <v>2.52</v>
      </c>
      <c r="AD2426" t="s">
        <v>13148</v>
      </c>
      <c r="AE2426" t="s">
        <v>13149</v>
      </c>
      <c r="AF2426" t="s">
        <v>13150</v>
      </c>
      <c r="AG2426" t="s">
        <v>13151</v>
      </c>
      <c r="AH2426">
        <v>0.82</v>
      </c>
      <c r="AI2426">
        <v>-0.81</v>
      </c>
      <c r="AJ2426">
        <v>9.84</v>
      </c>
      <c r="AK2426">
        <v>19.7</v>
      </c>
      <c r="AL2426">
        <v>1</v>
      </c>
      <c r="AM2426">
        <v>2.51</v>
      </c>
      <c r="AN2426">
        <v>30.67</v>
      </c>
      <c r="AO2426">
        <v>3.59</v>
      </c>
      <c r="AP2426">
        <v>27.6</v>
      </c>
    </row>
    <row r="2427" spans="1:42">
      <c r="A2427">
        <v>2426</v>
      </c>
      <c r="B2427" t="str">
        <f>"600575"</f>
        <v>600575</v>
      </c>
      <c r="C2427" t="s">
        <v>13152</v>
      </c>
      <c r="D2427">
        <v>2.5</v>
      </c>
      <c r="E2427">
        <v>1.21</v>
      </c>
      <c r="F2427">
        <v>0.03</v>
      </c>
      <c r="G2427" t="s">
        <v>595</v>
      </c>
      <c r="H2427">
        <v>5138</v>
      </c>
      <c r="I2427">
        <v>2.49</v>
      </c>
      <c r="J2427">
        <v>2.5</v>
      </c>
      <c r="K2427" t="s">
        <v>13153</v>
      </c>
      <c r="L2427">
        <v>0.76</v>
      </c>
      <c r="M2427" t="s">
        <v>46</v>
      </c>
      <c r="N2427" t="s">
        <v>3518</v>
      </c>
      <c r="O2427">
        <v>2.5</v>
      </c>
      <c r="P2427">
        <v>2.46</v>
      </c>
      <c r="Q2427">
        <v>2.46</v>
      </c>
      <c r="R2427">
        <v>2.47</v>
      </c>
      <c r="S2427">
        <v>1.62</v>
      </c>
      <c r="T2427">
        <v>1.19</v>
      </c>
      <c r="U2427">
        <v>-14.45</v>
      </c>
      <c r="V2427" t="s">
        <v>13154</v>
      </c>
      <c r="W2427">
        <v>2.49</v>
      </c>
      <c r="X2427" t="s">
        <v>3018</v>
      </c>
      <c r="Y2427" t="s">
        <v>2012</v>
      </c>
      <c r="Z2427">
        <v>0.48</v>
      </c>
      <c r="AA2427">
        <v>8828</v>
      </c>
      <c r="AB2427" t="s">
        <v>4977</v>
      </c>
      <c r="AC2427">
        <v>0.89</v>
      </c>
      <c r="AD2427" t="s">
        <v>13155</v>
      </c>
      <c r="AE2427" t="s">
        <v>8110</v>
      </c>
      <c r="AF2427" t="s">
        <v>13155</v>
      </c>
      <c r="AG2427" t="s">
        <v>8110</v>
      </c>
      <c r="AH2427">
        <v>-0.4</v>
      </c>
      <c r="AI2427">
        <v>-0.4</v>
      </c>
      <c r="AJ2427">
        <v>2.27</v>
      </c>
      <c r="AK2427">
        <v>3.97</v>
      </c>
      <c r="AL2427">
        <v>1</v>
      </c>
      <c r="AM2427">
        <v>1.21</v>
      </c>
      <c r="AN2427">
        <v>3.73</v>
      </c>
      <c r="AO2427">
        <v>-1.57</v>
      </c>
      <c r="AP2427">
        <v>-3.1</v>
      </c>
    </row>
    <row r="2428" spans="1:42">
      <c r="A2428">
        <v>2427</v>
      </c>
      <c r="B2428" t="str">
        <f>"300777"</f>
        <v>300777</v>
      </c>
      <c r="C2428" t="s">
        <v>13156</v>
      </c>
      <c r="D2428">
        <v>30.01</v>
      </c>
      <c r="E2428">
        <v>0.37</v>
      </c>
      <c r="F2428">
        <v>0.11</v>
      </c>
      <c r="G2428" t="s">
        <v>3662</v>
      </c>
      <c r="H2428">
        <v>287</v>
      </c>
      <c r="I2428">
        <v>30.01</v>
      </c>
      <c r="J2428">
        <v>30.03</v>
      </c>
      <c r="K2428" t="s">
        <v>13153</v>
      </c>
      <c r="L2428">
        <v>0.58</v>
      </c>
      <c r="M2428" t="s">
        <v>46</v>
      </c>
      <c r="N2428" t="s">
        <v>3605</v>
      </c>
      <c r="O2428">
        <v>30.25</v>
      </c>
      <c r="P2428">
        <v>29.58</v>
      </c>
      <c r="Q2428">
        <v>29.98</v>
      </c>
      <c r="R2428">
        <v>29.9</v>
      </c>
      <c r="S2428">
        <v>2.24</v>
      </c>
      <c r="T2428">
        <v>0.79</v>
      </c>
      <c r="U2428">
        <v>57.88</v>
      </c>
      <c r="V2428">
        <v>426</v>
      </c>
      <c r="W2428">
        <v>29.88</v>
      </c>
      <c r="X2428" t="s">
        <v>682</v>
      </c>
      <c r="Y2428" t="s">
        <v>8636</v>
      </c>
      <c r="Z2428">
        <v>1.05</v>
      </c>
      <c r="AA2428">
        <v>5</v>
      </c>
      <c r="AB2428">
        <v>28</v>
      </c>
      <c r="AC2428">
        <v>3.28</v>
      </c>
      <c r="AD2428" t="s">
        <v>7045</v>
      </c>
      <c r="AE2428" t="s">
        <v>8644</v>
      </c>
      <c r="AF2428" t="s">
        <v>10072</v>
      </c>
      <c r="AG2428" t="s">
        <v>13157</v>
      </c>
      <c r="AH2428">
        <v>-2.6</v>
      </c>
      <c r="AI2428">
        <v>-4.94</v>
      </c>
      <c r="AJ2428">
        <v>2.09</v>
      </c>
      <c r="AK2428">
        <v>4.26</v>
      </c>
      <c r="AL2428">
        <v>1</v>
      </c>
      <c r="AM2428">
        <v>0.37</v>
      </c>
      <c r="AN2428">
        <v>-38.63</v>
      </c>
      <c r="AO2428">
        <v>-3.97</v>
      </c>
      <c r="AP2428">
        <v>-42.91</v>
      </c>
    </row>
    <row r="2429" spans="1:42">
      <c r="A2429">
        <v>2428</v>
      </c>
      <c r="B2429" t="str">
        <f>"002434"</f>
        <v>002434</v>
      </c>
      <c r="C2429" t="s">
        <v>13158</v>
      </c>
      <c r="D2429">
        <v>8.25</v>
      </c>
      <c r="E2429">
        <v>-1.43</v>
      </c>
      <c r="F2429">
        <v>-0.12</v>
      </c>
      <c r="G2429" t="s">
        <v>646</v>
      </c>
      <c r="H2429">
        <v>1369</v>
      </c>
      <c r="I2429">
        <v>8.24</v>
      </c>
      <c r="J2429">
        <v>8.25</v>
      </c>
      <c r="K2429" t="s">
        <v>13159</v>
      </c>
      <c r="L2429">
        <v>0.68</v>
      </c>
      <c r="M2429" t="s">
        <v>46</v>
      </c>
      <c r="N2429" t="s">
        <v>12348</v>
      </c>
      <c r="O2429">
        <v>8.37</v>
      </c>
      <c r="P2429">
        <v>8.15</v>
      </c>
      <c r="Q2429">
        <v>8.36</v>
      </c>
      <c r="R2429">
        <v>8.37</v>
      </c>
      <c r="S2429">
        <v>2.63</v>
      </c>
      <c r="T2429">
        <v>1.06</v>
      </c>
      <c r="U2429">
        <v>16.89</v>
      </c>
      <c r="V2429">
        <v>772</v>
      </c>
      <c r="W2429">
        <v>8.23</v>
      </c>
      <c r="X2429" t="s">
        <v>1708</v>
      </c>
      <c r="Y2429" t="s">
        <v>3716</v>
      </c>
      <c r="Z2429">
        <v>1.31</v>
      </c>
      <c r="AA2429">
        <v>662</v>
      </c>
      <c r="AB2429">
        <v>44</v>
      </c>
      <c r="AC2429">
        <v>1.83</v>
      </c>
      <c r="AD2429" t="s">
        <v>13160</v>
      </c>
      <c r="AE2429" t="s">
        <v>13161</v>
      </c>
      <c r="AF2429" t="s">
        <v>3966</v>
      </c>
      <c r="AG2429" t="s">
        <v>1739</v>
      </c>
      <c r="AH2429">
        <v>-2.37</v>
      </c>
      <c r="AI2429">
        <v>-2.02</v>
      </c>
      <c r="AJ2429">
        <v>2.29</v>
      </c>
      <c r="AK2429">
        <v>3.91</v>
      </c>
      <c r="AL2429">
        <v>-2</v>
      </c>
      <c r="AM2429">
        <v>-1.43</v>
      </c>
      <c r="AN2429">
        <v>2.48</v>
      </c>
      <c r="AO2429">
        <v>0.98</v>
      </c>
      <c r="AP2429">
        <v>-7.2</v>
      </c>
    </row>
    <row r="2430" spans="1:42">
      <c r="A2430">
        <v>2429</v>
      </c>
      <c r="B2430" t="str">
        <f>"603058"</f>
        <v>603058</v>
      </c>
      <c r="C2430" t="s">
        <v>13162</v>
      </c>
      <c r="D2430">
        <v>9.4</v>
      </c>
      <c r="E2430">
        <v>1.51</v>
      </c>
      <c r="F2430">
        <v>0.14</v>
      </c>
      <c r="G2430" t="s">
        <v>4235</v>
      </c>
      <c r="H2430">
        <v>1215</v>
      </c>
      <c r="I2430">
        <v>9.39</v>
      </c>
      <c r="J2430">
        <v>9.4</v>
      </c>
      <c r="K2430" t="s">
        <v>13163</v>
      </c>
      <c r="L2430">
        <v>1.87</v>
      </c>
      <c r="M2430" t="s">
        <v>46</v>
      </c>
      <c r="N2430" t="s">
        <v>6625</v>
      </c>
      <c r="O2430">
        <v>9.58</v>
      </c>
      <c r="P2430">
        <v>9.21</v>
      </c>
      <c r="Q2430">
        <v>9.31</v>
      </c>
      <c r="R2430">
        <v>9.26</v>
      </c>
      <c r="S2430">
        <v>4</v>
      </c>
      <c r="T2430">
        <v>1.45</v>
      </c>
      <c r="U2430">
        <v>10.82</v>
      </c>
      <c r="V2430">
        <v>327</v>
      </c>
      <c r="W2430">
        <v>9.42</v>
      </c>
      <c r="X2430" t="s">
        <v>6838</v>
      </c>
      <c r="Y2430" t="s">
        <v>4780</v>
      </c>
      <c r="Z2430">
        <v>1.28</v>
      </c>
      <c r="AA2430">
        <v>134</v>
      </c>
      <c r="AB2430">
        <v>628</v>
      </c>
      <c r="AC2430">
        <v>3.93</v>
      </c>
      <c r="AD2430" t="s">
        <v>7825</v>
      </c>
      <c r="AE2430" t="s">
        <v>13164</v>
      </c>
      <c r="AF2430" t="s">
        <v>13165</v>
      </c>
      <c r="AG2430" t="s">
        <v>13166</v>
      </c>
      <c r="AH2430">
        <v>0.97</v>
      </c>
      <c r="AI2430">
        <v>-0.11</v>
      </c>
      <c r="AJ2430">
        <v>4.39</v>
      </c>
      <c r="AK2430">
        <v>8.32</v>
      </c>
      <c r="AL2430">
        <v>1</v>
      </c>
      <c r="AM2430">
        <v>1.51</v>
      </c>
      <c r="AN2430">
        <v>33.71</v>
      </c>
      <c r="AO2430">
        <v>16.77</v>
      </c>
      <c r="AP2430">
        <v>24.67</v>
      </c>
    </row>
    <row r="2431" spans="1:42">
      <c r="A2431">
        <v>2430</v>
      </c>
      <c r="B2431" t="str">
        <f>"603335"</f>
        <v>603335</v>
      </c>
      <c r="C2431" t="s">
        <v>13167</v>
      </c>
      <c r="D2431">
        <v>7.25</v>
      </c>
      <c r="E2431">
        <v>0.55</v>
      </c>
      <c r="F2431">
        <v>0.04</v>
      </c>
      <c r="G2431" t="s">
        <v>1499</v>
      </c>
      <c r="H2431">
        <v>1563</v>
      </c>
      <c r="I2431">
        <v>7.24</v>
      </c>
      <c r="J2431">
        <v>7.25</v>
      </c>
      <c r="K2431" t="s">
        <v>13168</v>
      </c>
      <c r="L2431">
        <v>2.38</v>
      </c>
      <c r="M2431" t="s">
        <v>46</v>
      </c>
      <c r="N2431" t="s">
        <v>5049</v>
      </c>
      <c r="O2431">
        <v>7.3</v>
      </c>
      <c r="P2431">
        <v>6.97</v>
      </c>
      <c r="Q2431">
        <v>7.21</v>
      </c>
      <c r="R2431">
        <v>7.21</v>
      </c>
      <c r="S2431">
        <v>4.58</v>
      </c>
      <c r="T2431">
        <v>0.77</v>
      </c>
      <c r="U2431">
        <v>12.01</v>
      </c>
      <c r="V2431">
        <v>389</v>
      </c>
      <c r="W2431">
        <v>7.19</v>
      </c>
      <c r="X2431" t="s">
        <v>2300</v>
      </c>
      <c r="Y2431" t="s">
        <v>6604</v>
      </c>
      <c r="Z2431">
        <v>0.82</v>
      </c>
      <c r="AA2431">
        <v>341</v>
      </c>
      <c r="AB2431">
        <v>5</v>
      </c>
      <c r="AC2431">
        <v>6.83</v>
      </c>
      <c r="AD2431" t="s">
        <v>13169</v>
      </c>
      <c r="AE2431" t="s">
        <v>13170</v>
      </c>
      <c r="AF2431" t="s">
        <v>13169</v>
      </c>
      <c r="AG2431" t="s">
        <v>13170</v>
      </c>
      <c r="AH2431">
        <v>-1.89</v>
      </c>
      <c r="AI2431">
        <v>-2.16</v>
      </c>
      <c r="AJ2431">
        <v>9.9</v>
      </c>
      <c r="AK2431">
        <v>17.84</v>
      </c>
      <c r="AL2431">
        <v>1</v>
      </c>
      <c r="AM2431">
        <v>0.55</v>
      </c>
      <c r="AN2431">
        <v>16.94</v>
      </c>
      <c r="AO2431">
        <v>7.73</v>
      </c>
      <c r="AP2431">
        <v>1.54</v>
      </c>
    </row>
    <row r="2432" spans="1:42">
      <c r="A2432">
        <v>2431</v>
      </c>
      <c r="B2432" t="str">
        <f>"002983"</f>
        <v>002983</v>
      </c>
      <c r="C2432" t="s">
        <v>13171</v>
      </c>
      <c r="D2432">
        <v>30.54</v>
      </c>
      <c r="E2432">
        <v>-0.42</v>
      </c>
      <c r="F2432">
        <v>-0.13</v>
      </c>
      <c r="G2432" t="s">
        <v>8211</v>
      </c>
      <c r="H2432">
        <v>517</v>
      </c>
      <c r="I2432">
        <v>30.54</v>
      </c>
      <c r="J2432">
        <v>30.55</v>
      </c>
      <c r="K2432" t="s">
        <v>13172</v>
      </c>
      <c r="L2432">
        <v>2.27</v>
      </c>
      <c r="M2432" t="s">
        <v>46</v>
      </c>
      <c r="N2432" t="s">
        <v>241</v>
      </c>
      <c r="O2432">
        <v>30.64</v>
      </c>
      <c r="P2432">
        <v>30.17</v>
      </c>
      <c r="Q2432">
        <v>30.64</v>
      </c>
      <c r="R2432">
        <v>30.67</v>
      </c>
      <c r="S2432">
        <v>1.53</v>
      </c>
      <c r="T2432">
        <v>0.61</v>
      </c>
      <c r="U2432">
        <v>-13.87</v>
      </c>
      <c r="V2432">
        <v>-69</v>
      </c>
      <c r="W2432">
        <v>30.39</v>
      </c>
      <c r="X2432" t="s">
        <v>905</v>
      </c>
      <c r="Y2432" t="s">
        <v>189</v>
      </c>
      <c r="Z2432">
        <v>1.06</v>
      </c>
      <c r="AA2432">
        <v>48</v>
      </c>
      <c r="AB2432">
        <v>114</v>
      </c>
      <c r="AC2432">
        <v>4.6</v>
      </c>
      <c r="AD2432" t="s">
        <v>13173</v>
      </c>
      <c r="AE2432" t="s">
        <v>13174</v>
      </c>
      <c r="AF2432" t="s">
        <v>12551</v>
      </c>
      <c r="AG2432" t="s">
        <v>9402</v>
      </c>
      <c r="AH2432">
        <v>-0.36</v>
      </c>
      <c r="AI2432">
        <v>-2.02</v>
      </c>
      <c r="AJ2432">
        <v>9.83</v>
      </c>
      <c r="AK2432">
        <v>20.76</v>
      </c>
      <c r="AL2432">
        <v>-2</v>
      </c>
      <c r="AM2432">
        <v>-0.42</v>
      </c>
      <c r="AN2432">
        <v>79.96</v>
      </c>
      <c r="AO2432">
        <v>11.09</v>
      </c>
      <c r="AP2432">
        <v>63.14</v>
      </c>
    </row>
    <row r="2433" spans="1:42">
      <c r="A2433">
        <v>2432</v>
      </c>
      <c r="B2433" t="str">
        <f>"600655"</f>
        <v>600655</v>
      </c>
      <c r="C2433" t="s">
        <v>13175</v>
      </c>
      <c r="D2433">
        <v>6.43</v>
      </c>
      <c r="E2433">
        <v>-0.31</v>
      </c>
      <c r="F2433">
        <v>-0.02</v>
      </c>
      <c r="G2433" t="s">
        <v>4369</v>
      </c>
      <c r="H2433">
        <v>486</v>
      </c>
      <c r="I2433">
        <v>6.43</v>
      </c>
      <c r="J2433">
        <v>6.44</v>
      </c>
      <c r="K2433" t="s">
        <v>13176</v>
      </c>
      <c r="L2433">
        <v>0.29</v>
      </c>
      <c r="M2433" t="s">
        <v>46</v>
      </c>
      <c r="N2433" t="s">
        <v>6964</v>
      </c>
      <c r="O2433">
        <v>6.45</v>
      </c>
      <c r="P2433">
        <v>6.4</v>
      </c>
      <c r="Q2433">
        <v>6.41</v>
      </c>
      <c r="R2433">
        <v>6.45</v>
      </c>
      <c r="S2433">
        <v>0.78</v>
      </c>
      <c r="T2433">
        <v>0.9</v>
      </c>
      <c r="U2433">
        <v>-6.5</v>
      </c>
      <c r="V2433">
        <v>-1256</v>
      </c>
      <c r="W2433">
        <v>6.43</v>
      </c>
      <c r="X2433" t="s">
        <v>5452</v>
      </c>
      <c r="Y2433" t="s">
        <v>6560</v>
      </c>
      <c r="Z2433">
        <v>1.48</v>
      </c>
      <c r="AA2433">
        <v>973</v>
      </c>
      <c r="AB2433">
        <v>2064</v>
      </c>
      <c r="AC2433">
        <v>0.69</v>
      </c>
      <c r="AD2433" t="s">
        <v>179</v>
      </c>
      <c r="AE2433" t="s">
        <v>5074</v>
      </c>
      <c r="AF2433" t="s">
        <v>13177</v>
      </c>
      <c r="AG2433" t="s">
        <v>11849</v>
      </c>
      <c r="AH2433">
        <v>-0.31</v>
      </c>
      <c r="AI2433">
        <v>-0.16</v>
      </c>
      <c r="AJ2433">
        <v>0.88</v>
      </c>
      <c r="AK2433">
        <v>1.93</v>
      </c>
      <c r="AL2433">
        <v>-1</v>
      </c>
      <c r="AM2433">
        <v>-0.31</v>
      </c>
      <c r="AN2433">
        <v>-11.43</v>
      </c>
      <c r="AO2433">
        <v>-0.46</v>
      </c>
      <c r="AP2433">
        <v>-2.72</v>
      </c>
    </row>
    <row r="2434" spans="1:42">
      <c r="A2434">
        <v>2433</v>
      </c>
      <c r="B2434" t="str">
        <f>"002676"</f>
        <v>002676</v>
      </c>
      <c r="C2434" t="s">
        <v>13178</v>
      </c>
      <c r="D2434">
        <v>5.16</v>
      </c>
      <c r="E2434">
        <v>0.19</v>
      </c>
      <c r="F2434">
        <v>0.01</v>
      </c>
      <c r="G2434" t="s">
        <v>3385</v>
      </c>
      <c r="H2434">
        <v>1454</v>
      </c>
      <c r="I2434">
        <v>5.16</v>
      </c>
      <c r="J2434">
        <v>5.17</v>
      </c>
      <c r="K2434" t="s">
        <v>13179</v>
      </c>
      <c r="L2434">
        <v>1.97</v>
      </c>
      <c r="M2434" t="s">
        <v>46</v>
      </c>
      <c r="N2434" t="s">
        <v>13180</v>
      </c>
      <c r="O2434">
        <v>5.2</v>
      </c>
      <c r="P2434">
        <v>5.11</v>
      </c>
      <c r="Q2434">
        <v>5.19</v>
      </c>
      <c r="R2434">
        <v>5.15</v>
      </c>
      <c r="S2434">
        <v>1.75</v>
      </c>
      <c r="T2434">
        <v>0.54</v>
      </c>
      <c r="U2434">
        <v>-31.88</v>
      </c>
      <c r="V2434">
        <v>-6116</v>
      </c>
      <c r="W2434">
        <v>5.16</v>
      </c>
      <c r="X2434" t="s">
        <v>4542</v>
      </c>
      <c r="Y2434" t="s">
        <v>4654</v>
      </c>
      <c r="Z2434">
        <v>1.06</v>
      </c>
      <c r="AA2434">
        <v>931</v>
      </c>
      <c r="AB2434">
        <v>3165</v>
      </c>
      <c r="AC2434">
        <v>3.17</v>
      </c>
      <c r="AD2434" t="s">
        <v>2067</v>
      </c>
      <c r="AE2434" t="s">
        <v>13181</v>
      </c>
      <c r="AF2434" t="s">
        <v>2067</v>
      </c>
      <c r="AG2434" t="s">
        <v>13181</v>
      </c>
      <c r="AH2434">
        <v>-0.77</v>
      </c>
      <c r="AI2434">
        <v>-4.97</v>
      </c>
      <c r="AJ2434">
        <v>7.05</v>
      </c>
      <c r="AK2434">
        <v>20.25</v>
      </c>
      <c r="AL2434">
        <v>1</v>
      </c>
      <c r="AM2434">
        <v>0.19</v>
      </c>
      <c r="AN2434">
        <v>22.27</v>
      </c>
      <c r="AO2434">
        <v>13.91</v>
      </c>
      <c r="AP2434">
        <v>35.79</v>
      </c>
    </row>
    <row r="2435" spans="1:42">
      <c r="A2435">
        <v>2434</v>
      </c>
      <c r="B2435" t="str">
        <f>"600392"</f>
        <v>600392</v>
      </c>
      <c r="C2435" t="s">
        <v>13182</v>
      </c>
      <c r="D2435">
        <v>10.28</v>
      </c>
      <c r="E2435">
        <v>-0.68</v>
      </c>
      <c r="F2435">
        <v>-0.07</v>
      </c>
      <c r="G2435" t="s">
        <v>5844</v>
      </c>
      <c r="H2435">
        <v>952</v>
      </c>
      <c r="I2435">
        <v>10.28</v>
      </c>
      <c r="J2435">
        <v>10.29</v>
      </c>
      <c r="K2435" t="s">
        <v>13183</v>
      </c>
      <c r="L2435">
        <v>0.41</v>
      </c>
      <c r="M2435" t="s">
        <v>46</v>
      </c>
      <c r="N2435" t="s">
        <v>11309</v>
      </c>
      <c r="O2435">
        <v>10.37</v>
      </c>
      <c r="P2435">
        <v>10.23</v>
      </c>
      <c r="Q2435">
        <v>10.31</v>
      </c>
      <c r="R2435">
        <v>10.35</v>
      </c>
      <c r="S2435">
        <v>1.35</v>
      </c>
      <c r="T2435">
        <v>0.88</v>
      </c>
      <c r="U2435">
        <v>-14.32</v>
      </c>
      <c r="V2435">
        <v>-697</v>
      </c>
      <c r="W2435">
        <v>10.28</v>
      </c>
      <c r="X2435" t="s">
        <v>3304</v>
      </c>
      <c r="Y2435" t="s">
        <v>4422</v>
      </c>
      <c r="Z2435">
        <v>1.77</v>
      </c>
      <c r="AA2435">
        <v>87</v>
      </c>
      <c r="AB2435">
        <v>362</v>
      </c>
      <c r="AC2435">
        <v>2.04</v>
      </c>
      <c r="AD2435" t="s">
        <v>11331</v>
      </c>
      <c r="AE2435" t="s">
        <v>13184</v>
      </c>
      <c r="AF2435" t="s">
        <v>11331</v>
      </c>
      <c r="AG2435" t="s">
        <v>13184</v>
      </c>
      <c r="AH2435">
        <v>-1.63</v>
      </c>
      <c r="AI2435">
        <v>-3.47</v>
      </c>
      <c r="AJ2435">
        <v>1.24</v>
      </c>
      <c r="AK2435">
        <v>2.72</v>
      </c>
      <c r="AL2435">
        <v>-2</v>
      </c>
      <c r="AM2435">
        <v>-0.68</v>
      </c>
      <c r="AN2435">
        <v>-26.04</v>
      </c>
      <c r="AO2435">
        <v>-3.84</v>
      </c>
      <c r="AP2435">
        <v>-27.45</v>
      </c>
    </row>
    <row r="2436" spans="1:42">
      <c r="A2436">
        <v>2435</v>
      </c>
      <c r="B2436" t="str">
        <f>"600340"</f>
        <v>600340</v>
      </c>
      <c r="C2436" t="s">
        <v>13185</v>
      </c>
      <c r="D2436">
        <v>1.91</v>
      </c>
      <c r="E2436">
        <v>1.6</v>
      </c>
      <c r="F2436">
        <v>0.03</v>
      </c>
      <c r="G2436" t="s">
        <v>1943</v>
      </c>
      <c r="H2436">
        <v>3578</v>
      </c>
      <c r="I2436">
        <v>1.9</v>
      </c>
      <c r="J2436">
        <v>1.91</v>
      </c>
      <c r="K2436" t="s">
        <v>13186</v>
      </c>
      <c r="L2436">
        <v>0.99</v>
      </c>
      <c r="M2436" t="s">
        <v>46</v>
      </c>
      <c r="N2436" t="s">
        <v>13187</v>
      </c>
      <c r="O2436">
        <v>1.92</v>
      </c>
      <c r="P2436">
        <v>1.87</v>
      </c>
      <c r="Q2436">
        <v>1.88</v>
      </c>
      <c r="R2436">
        <v>1.88</v>
      </c>
      <c r="S2436">
        <v>2.66</v>
      </c>
      <c r="T2436">
        <v>0.69</v>
      </c>
      <c r="U2436">
        <v>6.84</v>
      </c>
      <c r="V2436">
        <v>9167</v>
      </c>
      <c r="W2436">
        <v>1.9</v>
      </c>
      <c r="X2436" t="s">
        <v>3584</v>
      </c>
      <c r="Y2436" t="s">
        <v>100</v>
      </c>
      <c r="Z2436">
        <v>0.7</v>
      </c>
      <c r="AA2436" t="s">
        <v>1769</v>
      </c>
      <c r="AB2436">
        <v>3778</v>
      </c>
      <c r="AC2436">
        <v>0.85</v>
      </c>
      <c r="AD2436" t="s">
        <v>8647</v>
      </c>
      <c r="AE2436" t="s">
        <v>3551</v>
      </c>
      <c r="AF2436" t="s">
        <v>13188</v>
      </c>
      <c r="AG2436" t="s">
        <v>13189</v>
      </c>
      <c r="AH2436">
        <v>-1.55</v>
      </c>
      <c r="AI2436">
        <v>-6.37</v>
      </c>
      <c r="AJ2436">
        <v>2.98</v>
      </c>
      <c r="AK2436">
        <v>8.17</v>
      </c>
      <c r="AL2436">
        <v>1</v>
      </c>
      <c r="AM2436">
        <v>1.6</v>
      </c>
      <c r="AN2436">
        <v>-23.9</v>
      </c>
      <c r="AO2436">
        <v>3.24</v>
      </c>
      <c r="AP2436">
        <v>-22.04</v>
      </c>
    </row>
    <row r="2437" spans="1:42">
      <c r="A2437">
        <v>2436</v>
      </c>
      <c r="B2437" t="str">
        <f>"600377"</f>
        <v>600377</v>
      </c>
      <c r="C2437" t="s">
        <v>13190</v>
      </c>
      <c r="D2437">
        <v>10.19</v>
      </c>
      <c r="E2437">
        <v>0</v>
      </c>
      <c r="F2437">
        <v>0</v>
      </c>
      <c r="G2437" t="s">
        <v>12160</v>
      </c>
      <c r="H2437">
        <v>316</v>
      </c>
      <c r="I2437">
        <v>10.19</v>
      </c>
      <c r="J2437">
        <v>10.2</v>
      </c>
      <c r="K2437" t="s">
        <v>13191</v>
      </c>
      <c r="L2437">
        <v>0.19</v>
      </c>
      <c r="M2437" t="s">
        <v>46</v>
      </c>
      <c r="N2437" t="s">
        <v>8858</v>
      </c>
      <c r="O2437">
        <v>10.27</v>
      </c>
      <c r="P2437">
        <v>10.14</v>
      </c>
      <c r="Q2437">
        <v>10.21</v>
      </c>
      <c r="R2437">
        <v>10.19</v>
      </c>
      <c r="S2437">
        <v>1.28</v>
      </c>
      <c r="T2437">
        <v>1.05</v>
      </c>
      <c r="U2437">
        <v>-41.61</v>
      </c>
      <c r="V2437">
        <v>-1619</v>
      </c>
      <c r="W2437">
        <v>10.22</v>
      </c>
      <c r="X2437" t="s">
        <v>5923</v>
      </c>
      <c r="Y2437" t="s">
        <v>5774</v>
      </c>
      <c r="Z2437">
        <v>0.84</v>
      </c>
      <c r="AA2437">
        <v>32</v>
      </c>
      <c r="AB2437">
        <v>38</v>
      </c>
      <c r="AC2437">
        <v>1.52</v>
      </c>
      <c r="AD2437" t="s">
        <v>13192</v>
      </c>
      <c r="AE2437" t="s">
        <v>13193</v>
      </c>
      <c r="AF2437" t="s">
        <v>13194</v>
      </c>
      <c r="AG2437" t="s">
        <v>13195</v>
      </c>
      <c r="AH2437">
        <v>0.99</v>
      </c>
      <c r="AI2437">
        <v>2.31</v>
      </c>
      <c r="AJ2437">
        <v>0.49</v>
      </c>
      <c r="AK2437">
        <v>1.09</v>
      </c>
      <c r="AL2437">
        <v>0</v>
      </c>
      <c r="AM2437">
        <v>0</v>
      </c>
      <c r="AN2437">
        <v>31.31</v>
      </c>
      <c r="AO2437">
        <v>3.45</v>
      </c>
      <c r="AP2437">
        <v>40.36</v>
      </c>
    </row>
    <row r="2438" spans="1:42">
      <c r="A2438">
        <v>2437</v>
      </c>
      <c r="B2438" t="str">
        <f>"000045"</f>
        <v>000045</v>
      </c>
      <c r="C2438" t="s">
        <v>13196</v>
      </c>
      <c r="D2438">
        <v>12.04</v>
      </c>
      <c r="E2438">
        <v>0.42</v>
      </c>
      <c r="F2438">
        <v>0.05</v>
      </c>
      <c r="G2438" t="s">
        <v>4048</v>
      </c>
      <c r="H2438">
        <v>366</v>
      </c>
      <c r="I2438">
        <v>12.04</v>
      </c>
      <c r="J2438">
        <v>12.05</v>
      </c>
      <c r="K2438" t="s">
        <v>13197</v>
      </c>
      <c r="L2438">
        <v>1.33</v>
      </c>
      <c r="M2438" t="s">
        <v>46</v>
      </c>
      <c r="N2438" t="s">
        <v>5803</v>
      </c>
      <c r="O2438">
        <v>12.1</v>
      </c>
      <c r="P2438">
        <v>11.84</v>
      </c>
      <c r="Q2438">
        <v>11.99</v>
      </c>
      <c r="R2438">
        <v>11.99</v>
      </c>
      <c r="S2438">
        <v>2.17</v>
      </c>
      <c r="T2438">
        <v>0.56</v>
      </c>
      <c r="U2438">
        <v>-2.57</v>
      </c>
      <c r="V2438">
        <v>-56</v>
      </c>
      <c r="W2438">
        <v>12.02</v>
      </c>
      <c r="X2438" t="s">
        <v>5266</v>
      </c>
      <c r="Y2438" t="s">
        <v>2125</v>
      </c>
      <c r="Z2438">
        <v>1.05</v>
      </c>
      <c r="AA2438">
        <v>194</v>
      </c>
      <c r="AB2438">
        <v>48</v>
      </c>
      <c r="AC2438">
        <v>2.11</v>
      </c>
      <c r="AD2438" t="s">
        <v>8213</v>
      </c>
      <c r="AE2438" t="s">
        <v>13198</v>
      </c>
      <c r="AF2438" t="s">
        <v>13199</v>
      </c>
      <c r="AG2438" t="s">
        <v>13200</v>
      </c>
      <c r="AH2438">
        <v>0.17</v>
      </c>
      <c r="AI2438">
        <v>0.33</v>
      </c>
      <c r="AJ2438">
        <v>4.68</v>
      </c>
      <c r="AK2438">
        <v>13.27</v>
      </c>
      <c r="AL2438">
        <v>1</v>
      </c>
      <c r="AM2438">
        <v>0.42</v>
      </c>
      <c r="AN2438">
        <v>9.16</v>
      </c>
      <c r="AO2438">
        <v>0.33</v>
      </c>
      <c r="AP2438">
        <v>17.12</v>
      </c>
    </row>
    <row r="2439" spans="1:42">
      <c r="A2439">
        <v>2438</v>
      </c>
      <c r="B2439" t="str">
        <f>"603367"</f>
        <v>603367</v>
      </c>
      <c r="C2439" t="s">
        <v>13201</v>
      </c>
      <c r="D2439">
        <v>14.68</v>
      </c>
      <c r="E2439">
        <v>1.1</v>
      </c>
      <c r="F2439">
        <v>0.16</v>
      </c>
      <c r="G2439" t="s">
        <v>3356</v>
      </c>
      <c r="H2439">
        <v>431</v>
      </c>
      <c r="I2439">
        <v>14.67</v>
      </c>
      <c r="J2439">
        <v>14.68</v>
      </c>
      <c r="K2439" t="s">
        <v>13202</v>
      </c>
      <c r="L2439">
        <v>1.1</v>
      </c>
      <c r="M2439" t="s">
        <v>46</v>
      </c>
      <c r="N2439" t="s">
        <v>9528</v>
      </c>
      <c r="O2439">
        <v>14.92</v>
      </c>
      <c r="P2439">
        <v>14.53</v>
      </c>
      <c r="Q2439">
        <v>14.6</v>
      </c>
      <c r="R2439">
        <v>14.52</v>
      </c>
      <c r="S2439">
        <v>2.69</v>
      </c>
      <c r="T2439">
        <v>0.94</v>
      </c>
      <c r="U2439">
        <v>10.02</v>
      </c>
      <c r="V2439">
        <v>115</v>
      </c>
      <c r="W2439">
        <v>14.7</v>
      </c>
      <c r="X2439" t="s">
        <v>4422</v>
      </c>
      <c r="Y2439" t="s">
        <v>8211</v>
      </c>
      <c r="Z2439">
        <v>1.06</v>
      </c>
      <c r="AA2439">
        <v>110</v>
      </c>
      <c r="AB2439">
        <v>96</v>
      </c>
      <c r="AC2439">
        <v>1.19</v>
      </c>
      <c r="AD2439" t="s">
        <v>9207</v>
      </c>
      <c r="AE2439" t="s">
        <v>13203</v>
      </c>
      <c r="AF2439" t="s">
        <v>3297</v>
      </c>
      <c r="AG2439" t="s">
        <v>13204</v>
      </c>
      <c r="AH2439">
        <v>1.1</v>
      </c>
      <c r="AI2439">
        <v>1.66</v>
      </c>
      <c r="AJ2439">
        <v>2.72</v>
      </c>
      <c r="AK2439">
        <v>6.97</v>
      </c>
      <c r="AL2439">
        <v>2</v>
      </c>
      <c r="AM2439">
        <v>1.1</v>
      </c>
      <c r="AN2439">
        <v>19.64</v>
      </c>
      <c r="AO2439">
        <v>5.38</v>
      </c>
      <c r="AP2439">
        <v>10.71</v>
      </c>
    </row>
    <row r="2440" spans="1:42">
      <c r="A2440">
        <v>2439</v>
      </c>
      <c r="B2440" t="str">
        <f>"002243"</f>
        <v>002243</v>
      </c>
      <c r="C2440" t="s">
        <v>13205</v>
      </c>
      <c r="D2440">
        <v>8.3</v>
      </c>
      <c r="E2440">
        <v>0.61</v>
      </c>
      <c r="F2440">
        <v>0.05</v>
      </c>
      <c r="G2440" t="s">
        <v>5002</v>
      </c>
      <c r="H2440">
        <v>2245</v>
      </c>
      <c r="I2440">
        <v>8.3</v>
      </c>
      <c r="J2440">
        <v>8.31</v>
      </c>
      <c r="K2440" t="s">
        <v>13206</v>
      </c>
      <c r="L2440">
        <v>0.73</v>
      </c>
      <c r="M2440" t="s">
        <v>46</v>
      </c>
      <c r="N2440" t="s">
        <v>8612</v>
      </c>
      <c r="O2440">
        <v>8.31</v>
      </c>
      <c r="P2440">
        <v>8.18</v>
      </c>
      <c r="Q2440">
        <v>8.25</v>
      </c>
      <c r="R2440">
        <v>8.25</v>
      </c>
      <c r="S2440">
        <v>1.58</v>
      </c>
      <c r="T2440">
        <v>0.73</v>
      </c>
      <c r="U2440">
        <v>-43.4</v>
      </c>
      <c r="V2440">
        <v>-2156</v>
      </c>
      <c r="W2440">
        <v>8.25</v>
      </c>
      <c r="X2440" t="s">
        <v>2300</v>
      </c>
      <c r="Y2440" t="s">
        <v>6408</v>
      </c>
      <c r="Z2440">
        <v>1.08</v>
      </c>
      <c r="AA2440">
        <v>11</v>
      </c>
      <c r="AB2440">
        <v>872</v>
      </c>
      <c r="AC2440">
        <v>1.43</v>
      </c>
      <c r="AD2440" t="s">
        <v>13207</v>
      </c>
      <c r="AE2440" t="s">
        <v>13208</v>
      </c>
      <c r="AF2440" t="s">
        <v>13207</v>
      </c>
      <c r="AG2440" t="s">
        <v>13208</v>
      </c>
      <c r="AH2440">
        <v>-0.72</v>
      </c>
      <c r="AI2440">
        <v>-1.31</v>
      </c>
      <c r="AJ2440">
        <v>2.24</v>
      </c>
      <c r="AK2440">
        <v>5.72</v>
      </c>
      <c r="AL2440">
        <v>2</v>
      </c>
      <c r="AM2440">
        <v>0.61</v>
      </c>
      <c r="AN2440">
        <v>8.64</v>
      </c>
      <c r="AO2440">
        <v>7.37</v>
      </c>
      <c r="AP2440">
        <v>2.85</v>
      </c>
    </row>
    <row r="2441" spans="1:42">
      <c r="A2441">
        <v>2440</v>
      </c>
      <c r="B2441" t="str">
        <f>"301025"</f>
        <v>301025</v>
      </c>
      <c r="C2441" t="s">
        <v>13209</v>
      </c>
      <c r="D2441">
        <v>12.25</v>
      </c>
      <c r="E2441">
        <v>4.97</v>
      </c>
      <c r="F2441">
        <v>0.58</v>
      </c>
      <c r="G2441" t="s">
        <v>11085</v>
      </c>
      <c r="H2441">
        <v>1125</v>
      </c>
      <c r="I2441">
        <v>12.24</v>
      </c>
      <c r="J2441">
        <v>12.26</v>
      </c>
      <c r="K2441" t="s">
        <v>13210</v>
      </c>
      <c r="L2441">
        <v>6.1</v>
      </c>
      <c r="M2441" t="s">
        <v>46</v>
      </c>
      <c r="N2441" t="s">
        <v>4416</v>
      </c>
      <c r="O2441">
        <v>12.3</v>
      </c>
      <c r="P2441">
        <v>11.55</v>
      </c>
      <c r="Q2441">
        <v>11.65</v>
      </c>
      <c r="R2441">
        <v>11.67</v>
      </c>
      <c r="S2441">
        <v>6.43</v>
      </c>
      <c r="T2441">
        <v>1.52</v>
      </c>
      <c r="U2441">
        <v>-71.87</v>
      </c>
      <c r="V2441">
        <v>-1027</v>
      </c>
      <c r="W2441">
        <v>12.07</v>
      </c>
      <c r="X2441" t="s">
        <v>3151</v>
      </c>
      <c r="Y2441" t="s">
        <v>2189</v>
      </c>
      <c r="Z2441">
        <v>0.64</v>
      </c>
      <c r="AA2441">
        <v>10</v>
      </c>
      <c r="AB2441">
        <v>158</v>
      </c>
      <c r="AC2441">
        <v>7.78</v>
      </c>
      <c r="AD2441" t="s">
        <v>13211</v>
      </c>
      <c r="AE2441" t="s">
        <v>13212</v>
      </c>
      <c r="AF2441" t="s">
        <v>10977</v>
      </c>
      <c r="AG2441" t="s">
        <v>83</v>
      </c>
      <c r="AH2441">
        <v>3.81</v>
      </c>
      <c r="AI2441">
        <v>0.91</v>
      </c>
      <c r="AJ2441">
        <v>12.13</v>
      </c>
      <c r="AK2441">
        <v>26.18</v>
      </c>
      <c r="AL2441">
        <v>1</v>
      </c>
      <c r="AM2441">
        <v>4.97</v>
      </c>
      <c r="AN2441">
        <v>22.26</v>
      </c>
      <c r="AO2441">
        <v>10.96</v>
      </c>
      <c r="AP2441">
        <v>18.47</v>
      </c>
    </row>
    <row r="2442" spans="1:42">
      <c r="A2442">
        <v>2441</v>
      </c>
      <c r="B2442" t="str">
        <f>"603173"</f>
        <v>603173</v>
      </c>
      <c r="C2442" t="s">
        <v>13213</v>
      </c>
      <c r="D2442">
        <v>26.6</v>
      </c>
      <c r="E2442">
        <v>1.72</v>
      </c>
      <c r="F2442">
        <v>0.45</v>
      </c>
      <c r="G2442" t="s">
        <v>8952</v>
      </c>
      <c r="H2442">
        <v>329</v>
      </c>
      <c r="I2442">
        <v>26.59</v>
      </c>
      <c r="J2442">
        <v>26.6</v>
      </c>
      <c r="K2442" t="s">
        <v>13214</v>
      </c>
      <c r="L2442">
        <v>6.89</v>
      </c>
      <c r="M2442" t="s">
        <v>46</v>
      </c>
      <c r="N2442" t="s">
        <v>4689</v>
      </c>
      <c r="O2442">
        <v>26.9</v>
      </c>
      <c r="P2442">
        <v>25.9</v>
      </c>
      <c r="Q2442">
        <v>26.15</v>
      </c>
      <c r="R2442">
        <v>26.15</v>
      </c>
      <c r="S2442">
        <v>3.82</v>
      </c>
      <c r="T2442">
        <v>0.87</v>
      </c>
      <c r="U2442">
        <v>-56.46</v>
      </c>
      <c r="V2442">
        <v>-223</v>
      </c>
      <c r="W2442">
        <v>26.47</v>
      </c>
      <c r="X2442" t="s">
        <v>1427</v>
      </c>
      <c r="Y2442" t="s">
        <v>7836</v>
      </c>
      <c r="Z2442">
        <v>0.88</v>
      </c>
      <c r="AA2442">
        <v>8</v>
      </c>
      <c r="AB2442">
        <v>69</v>
      </c>
      <c r="AC2442">
        <v>3.03</v>
      </c>
      <c r="AD2442" t="s">
        <v>2521</v>
      </c>
      <c r="AE2442" t="s">
        <v>13215</v>
      </c>
      <c r="AF2442" t="s">
        <v>6569</v>
      </c>
      <c r="AG2442" t="s">
        <v>3579</v>
      </c>
      <c r="AH2442">
        <v>2.07</v>
      </c>
      <c r="AI2442">
        <v>8.57</v>
      </c>
      <c r="AJ2442">
        <v>22.19</v>
      </c>
      <c r="AK2442">
        <v>46.53</v>
      </c>
      <c r="AL2442">
        <v>1</v>
      </c>
      <c r="AM2442">
        <v>1.72</v>
      </c>
      <c r="AN2442">
        <v>43.71</v>
      </c>
      <c r="AO2442">
        <v>10.79</v>
      </c>
      <c r="AP2442">
        <v>43.71</v>
      </c>
    </row>
    <row r="2443" spans="1:42">
      <c r="A2443">
        <v>2442</v>
      </c>
      <c r="B2443" t="str">
        <f>"002829"</f>
        <v>002829</v>
      </c>
      <c r="C2443" t="s">
        <v>13216</v>
      </c>
      <c r="D2443">
        <v>28.5</v>
      </c>
      <c r="E2443">
        <v>-0.04</v>
      </c>
      <c r="F2443">
        <v>-0.01</v>
      </c>
      <c r="G2443" t="s">
        <v>1077</v>
      </c>
      <c r="H2443">
        <v>232</v>
      </c>
      <c r="I2443">
        <v>28.5</v>
      </c>
      <c r="J2443">
        <v>28.53</v>
      </c>
      <c r="K2443" t="s">
        <v>13217</v>
      </c>
      <c r="L2443">
        <v>1.8</v>
      </c>
      <c r="M2443" t="s">
        <v>46</v>
      </c>
      <c r="N2443" t="s">
        <v>13218</v>
      </c>
      <c r="O2443">
        <v>28.66</v>
      </c>
      <c r="P2443">
        <v>27.87</v>
      </c>
      <c r="Q2443">
        <v>28.5</v>
      </c>
      <c r="R2443">
        <v>28.51</v>
      </c>
      <c r="S2443">
        <v>2.77</v>
      </c>
      <c r="T2443">
        <v>0.69</v>
      </c>
      <c r="U2443">
        <v>10.06</v>
      </c>
      <c r="V2443">
        <v>36</v>
      </c>
      <c r="W2443">
        <v>28.3</v>
      </c>
      <c r="X2443" t="s">
        <v>3284</v>
      </c>
      <c r="Y2443" t="s">
        <v>1052</v>
      </c>
      <c r="Z2443">
        <v>1.13</v>
      </c>
      <c r="AA2443">
        <v>122</v>
      </c>
      <c r="AB2443">
        <v>9</v>
      </c>
      <c r="AC2443">
        <v>2.97</v>
      </c>
      <c r="AD2443" t="s">
        <v>13219</v>
      </c>
      <c r="AE2443" t="s">
        <v>738</v>
      </c>
      <c r="AF2443" t="s">
        <v>5251</v>
      </c>
      <c r="AG2443" t="s">
        <v>13220</v>
      </c>
      <c r="AH2443">
        <v>-2.43</v>
      </c>
      <c r="AI2443">
        <v>-2.26</v>
      </c>
      <c r="AJ2443">
        <v>7.44</v>
      </c>
      <c r="AK2443">
        <v>14.74</v>
      </c>
      <c r="AL2443">
        <v>-3</v>
      </c>
      <c r="AM2443">
        <v>-0.04</v>
      </c>
      <c r="AN2443">
        <v>0.49</v>
      </c>
      <c r="AO2443">
        <v>2.59</v>
      </c>
      <c r="AP2443">
        <v>-12.58</v>
      </c>
    </row>
    <row r="2444" spans="1:42">
      <c r="A2444">
        <v>2443</v>
      </c>
      <c r="B2444" t="str">
        <f>"600461"</f>
        <v>600461</v>
      </c>
      <c r="C2444" t="s">
        <v>13221</v>
      </c>
      <c r="D2444">
        <v>8.81</v>
      </c>
      <c r="E2444">
        <v>-0.23</v>
      </c>
      <c r="F2444">
        <v>-0.02</v>
      </c>
      <c r="G2444" t="s">
        <v>13222</v>
      </c>
      <c r="H2444">
        <v>136</v>
      </c>
      <c r="I2444">
        <v>8.8</v>
      </c>
      <c r="J2444">
        <v>8.81</v>
      </c>
      <c r="K2444" t="s">
        <v>13223</v>
      </c>
      <c r="L2444">
        <v>0.82</v>
      </c>
      <c r="M2444" t="s">
        <v>46</v>
      </c>
      <c r="N2444" t="s">
        <v>5001</v>
      </c>
      <c r="O2444">
        <v>8.88</v>
      </c>
      <c r="P2444">
        <v>8.77</v>
      </c>
      <c r="Q2444">
        <v>8.83</v>
      </c>
      <c r="R2444">
        <v>8.83</v>
      </c>
      <c r="S2444">
        <v>1.25</v>
      </c>
      <c r="T2444">
        <v>1.33</v>
      </c>
      <c r="U2444">
        <v>26.28</v>
      </c>
      <c r="V2444">
        <v>488</v>
      </c>
      <c r="W2444">
        <v>8.84</v>
      </c>
      <c r="X2444" t="s">
        <v>4941</v>
      </c>
      <c r="Y2444" t="s">
        <v>3959</v>
      </c>
      <c r="Z2444">
        <v>0.93</v>
      </c>
      <c r="AA2444">
        <v>222</v>
      </c>
      <c r="AB2444">
        <v>15</v>
      </c>
      <c r="AC2444">
        <v>1.33</v>
      </c>
      <c r="AD2444" t="s">
        <v>7282</v>
      </c>
      <c r="AE2444" t="s">
        <v>13224</v>
      </c>
      <c r="AF2444" t="s">
        <v>557</v>
      </c>
      <c r="AG2444" t="s">
        <v>13225</v>
      </c>
      <c r="AH2444">
        <v>-0.11</v>
      </c>
      <c r="AI2444">
        <v>1.38</v>
      </c>
      <c r="AJ2444">
        <v>2.03</v>
      </c>
      <c r="AK2444">
        <v>3.89</v>
      </c>
      <c r="AL2444">
        <v>-1</v>
      </c>
      <c r="AM2444">
        <v>-0.23</v>
      </c>
      <c r="AN2444">
        <v>35.12</v>
      </c>
      <c r="AO2444">
        <v>3.16</v>
      </c>
      <c r="AP2444">
        <v>30.33</v>
      </c>
    </row>
    <row r="2445" spans="1:42">
      <c r="A2445">
        <v>2444</v>
      </c>
      <c r="B2445" t="str">
        <f>"834599"</f>
        <v>834599</v>
      </c>
      <c r="C2445" t="s">
        <v>13226</v>
      </c>
      <c r="D2445">
        <v>9.73</v>
      </c>
      <c r="E2445">
        <v>-2.99</v>
      </c>
      <c r="F2445">
        <v>-0.3</v>
      </c>
      <c r="G2445" t="s">
        <v>613</v>
      </c>
      <c r="H2445">
        <v>256</v>
      </c>
      <c r="I2445">
        <v>9.73</v>
      </c>
      <c r="J2445">
        <v>9.74</v>
      </c>
      <c r="K2445" t="s">
        <v>13223</v>
      </c>
      <c r="L2445">
        <v>3.58</v>
      </c>
      <c r="M2445" t="s">
        <v>46</v>
      </c>
      <c r="N2445" t="s">
        <v>2501</v>
      </c>
      <c r="O2445">
        <v>10.26</v>
      </c>
      <c r="P2445">
        <v>9.6</v>
      </c>
      <c r="Q2445">
        <v>10.15</v>
      </c>
      <c r="R2445">
        <v>10.03</v>
      </c>
      <c r="S2445">
        <v>6.58</v>
      </c>
      <c r="T2445">
        <v>0.4</v>
      </c>
      <c r="U2445">
        <v>58.44</v>
      </c>
      <c r="V2445">
        <v>493</v>
      </c>
      <c r="W2445">
        <v>9.92</v>
      </c>
      <c r="X2445" t="s">
        <v>1165</v>
      </c>
      <c r="Y2445" t="s">
        <v>6097</v>
      </c>
      <c r="Z2445">
        <v>1.53</v>
      </c>
      <c r="AA2445">
        <v>426</v>
      </c>
      <c r="AB2445">
        <v>8</v>
      </c>
      <c r="AC2445">
        <v>1.95</v>
      </c>
      <c r="AD2445" t="s">
        <v>8845</v>
      </c>
      <c r="AE2445" t="s">
        <v>3852</v>
      </c>
      <c r="AF2445" t="s">
        <v>13227</v>
      </c>
      <c r="AG2445" t="s">
        <v>3515</v>
      </c>
      <c r="AH2445">
        <v>-13.89</v>
      </c>
      <c r="AI2445">
        <v>3.84</v>
      </c>
      <c r="AJ2445">
        <v>16.86</v>
      </c>
      <c r="AK2445">
        <v>48.18</v>
      </c>
      <c r="AL2445">
        <v>-3</v>
      </c>
      <c r="AM2445">
        <v>-2.99</v>
      </c>
      <c r="AN2445">
        <v>47.87</v>
      </c>
      <c r="AO2445">
        <v>18.66</v>
      </c>
      <c r="AP2445">
        <v>46.32</v>
      </c>
    </row>
    <row r="2446" spans="1:42">
      <c r="A2446">
        <v>2445</v>
      </c>
      <c r="B2446" t="str">
        <f>"688259"</f>
        <v>688259</v>
      </c>
      <c r="C2446" t="s">
        <v>13228</v>
      </c>
      <c r="D2446">
        <v>68.37</v>
      </c>
      <c r="E2446">
        <v>1</v>
      </c>
      <c r="F2446">
        <v>0.68</v>
      </c>
      <c r="G2446" t="s">
        <v>7974</v>
      </c>
      <c r="H2446">
        <v>94</v>
      </c>
      <c r="I2446">
        <v>68.37</v>
      </c>
      <c r="J2446">
        <v>68.38</v>
      </c>
      <c r="K2446" t="s">
        <v>13229</v>
      </c>
      <c r="L2446">
        <v>1.88</v>
      </c>
      <c r="M2446" t="s">
        <v>46</v>
      </c>
      <c r="N2446" t="s">
        <v>3166</v>
      </c>
      <c r="O2446">
        <v>68.86</v>
      </c>
      <c r="P2446">
        <v>66.89</v>
      </c>
      <c r="Q2446">
        <v>68.3</v>
      </c>
      <c r="R2446">
        <v>67.69</v>
      </c>
      <c r="S2446">
        <v>2.91</v>
      </c>
      <c r="T2446">
        <v>0.77</v>
      </c>
      <c r="U2446">
        <v>-24</v>
      </c>
      <c r="V2446">
        <v>-28</v>
      </c>
      <c r="W2446">
        <v>67.67</v>
      </c>
      <c r="X2446">
        <v>5576</v>
      </c>
      <c r="Y2446">
        <v>5186</v>
      </c>
      <c r="Z2446">
        <v>1.08</v>
      </c>
      <c r="AA2446">
        <v>6</v>
      </c>
      <c r="AB2446">
        <v>12</v>
      </c>
      <c r="AC2446">
        <v>3.65</v>
      </c>
      <c r="AD2446" t="s">
        <v>3612</v>
      </c>
      <c r="AE2446" t="s">
        <v>13230</v>
      </c>
      <c r="AF2446" t="s">
        <v>13231</v>
      </c>
      <c r="AG2446" t="s">
        <v>3644</v>
      </c>
      <c r="AH2446">
        <v>-1.98</v>
      </c>
      <c r="AI2446">
        <v>-5.2</v>
      </c>
      <c r="AJ2446">
        <v>5.94</v>
      </c>
      <c r="AK2446">
        <v>14.05</v>
      </c>
      <c r="AL2446">
        <v>1</v>
      </c>
      <c r="AM2446">
        <v>1</v>
      </c>
      <c r="AN2446">
        <v>-8.42</v>
      </c>
      <c r="AO2446">
        <v>0.77</v>
      </c>
      <c r="AP2446">
        <v>-22.88</v>
      </c>
    </row>
    <row r="2447" spans="1:42">
      <c r="A2447">
        <v>2446</v>
      </c>
      <c r="B2447" t="str">
        <f>"600310"</f>
        <v>600310</v>
      </c>
      <c r="C2447" t="s">
        <v>13232</v>
      </c>
      <c r="D2447">
        <v>3.8</v>
      </c>
      <c r="E2447">
        <v>1.06</v>
      </c>
      <c r="F2447">
        <v>0.04</v>
      </c>
      <c r="G2447" t="s">
        <v>869</v>
      </c>
      <c r="H2447">
        <v>3578</v>
      </c>
      <c r="I2447">
        <v>3.79</v>
      </c>
      <c r="J2447">
        <v>3.8</v>
      </c>
      <c r="K2447" t="s">
        <v>13233</v>
      </c>
      <c r="L2447">
        <v>1.58</v>
      </c>
      <c r="M2447" t="s">
        <v>46</v>
      </c>
      <c r="N2447" t="s">
        <v>8281</v>
      </c>
      <c r="O2447">
        <v>3.81</v>
      </c>
      <c r="P2447">
        <v>3.72</v>
      </c>
      <c r="Q2447">
        <v>3.77</v>
      </c>
      <c r="R2447">
        <v>3.76</v>
      </c>
      <c r="S2447">
        <v>2.39</v>
      </c>
      <c r="T2447">
        <v>1.04</v>
      </c>
      <c r="U2447">
        <v>-24.7</v>
      </c>
      <c r="V2447">
        <v>-7965</v>
      </c>
      <c r="W2447">
        <v>3.78</v>
      </c>
      <c r="X2447" t="s">
        <v>4221</v>
      </c>
      <c r="Y2447" t="s">
        <v>1540</v>
      </c>
      <c r="Z2447">
        <v>0.64</v>
      </c>
      <c r="AA2447">
        <v>2816</v>
      </c>
      <c r="AB2447">
        <v>4576</v>
      </c>
      <c r="AC2447">
        <v>1.78</v>
      </c>
      <c r="AD2447" t="s">
        <v>13234</v>
      </c>
      <c r="AE2447" t="s">
        <v>13235</v>
      </c>
      <c r="AF2447" t="s">
        <v>83</v>
      </c>
      <c r="AG2447" t="s">
        <v>13236</v>
      </c>
      <c r="AH2447">
        <v>0.26</v>
      </c>
      <c r="AI2447">
        <v>-0.52</v>
      </c>
      <c r="AJ2447">
        <v>4.48</v>
      </c>
      <c r="AK2447">
        <v>9.22</v>
      </c>
      <c r="AL2447">
        <v>2</v>
      </c>
      <c r="AM2447">
        <v>1.06</v>
      </c>
      <c r="AN2447">
        <v>20.25</v>
      </c>
      <c r="AO2447">
        <v>6.15</v>
      </c>
      <c r="AP2447">
        <v>21.79</v>
      </c>
    </row>
    <row r="2448" spans="1:42">
      <c r="A2448">
        <v>2447</v>
      </c>
      <c r="B2448" t="str">
        <f>"002635"</f>
        <v>002635</v>
      </c>
      <c r="C2448" t="s">
        <v>13237</v>
      </c>
      <c r="D2448">
        <v>14.52</v>
      </c>
      <c r="E2448">
        <v>-0.14</v>
      </c>
      <c r="F2448">
        <v>-0.02</v>
      </c>
      <c r="G2448" t="s">
        <v>4096</v>
      </c>
      <c r="H2448">
        <v>819</v>
      </c>
      <c r="I2448">
        <v>14.51</v>
      </c>
      <c r="J2448">
        <v>14.52</v>
      </c>
      <c r="K2448" t="s">
        <v>13238</v>
      </c>
      <c r="L2448">
        <v>1.24</v>
      </c>
      <c r="M2448" t="s">
        <v>46</v>
      </c>
      <c r="N2448" t="s">
        <v>2693</v>
      </c>
      <c r="O2448">
        <v>14.66</v>
      </c>
      <c r="P2448">
        <v>14.47</v>
      </c>
      <c r="Q2448">
        <v>14.6</v>
      </c>
      <c r="R2448">
        <v>14.54</v>
      </c>
      <c r="S2448">
        <v>1.31</v>
      </c>
      <c r="T2448">
        <v>0.67</v>
      </c>
      <c r="U2448">
        <v>29</v>
      </c>
      <c r="V2448">
        <v>607</v>
      </c>
      <c r="W2448">
        <v>14.56</v>
      </c>
      <c r="X2448" t="s">
        <v>4422</v>
      </c>
      <c r="Y2448" t="s">
        <v>4269</v>
      </c>
      <c r="Z2448">
        <v>1.06</v>
      </c>
      <c r="AA2448">
        <v>310</v>
      </c>
      <c r="AB2448">
        <v>55</v>
      </c>
      <c r="AC2448">
        <v>1.67</v>
      </c>
      <c r="AD2448" t="s">
        <v>13239</v>
      </c>
      <c r="AE2448" t="s">
        <v>13240</v>
      </c>
      <c r="AF2448" t="s">
        <v>1560</v>
      </c>
      <c r="AG2448" t="s">
        <v>13241</v>
      </c>
      <c r="AH2448">
        <v>-2.22</v>
      </c>
      <c r="AI2448">
        <v>-0.68</v>
      </c>
      <c r="AJ2448">
        <v>5.17</v>
      </c>
      <c r="AK2448">
        <v>10.41</v>
      </c>
      <c r="AL2448">
        <v>-3</v>
      </c>
      <c r="AM2448">
        <v>-0.14</v>
      </c>
      <c r="AN2448">
        <v>19.51</v>
      </c>
      <c r="AO2448">
        <v>0.97</v>
      </c>
      <c r="AP2448">
        <v>8.68</v>
      </c>
    </row>
    <row r="2449" spans="1:42">
      <c r="A2449">
        <v>2448</v>
      </c>
      <c r="B2449" t="str">
        <f>"300589"</f>
        <v>300589</v>
      </c>
      <c r="C2449" t="s">
        <v>13242</v>
      </c>
      <c r="D2449">
        <v>13.67</v>
      </c>
      <c r="E2449">
        <v>-0.87</v>
      </c>
      <c r="F2449">
        <v>-0.12</v>
      </c>
      <c r="G2449" t="s">
        <v>1235</v>
      </c>
      <c r="H2449">
        <v>913</v>
      </c>
      <c r="I2449">
        <v>13.66</v>
      </c>
      <c r="J2449">
        <v>13.67</v>
      </c>
      <c r="K2449" t="s">
        <v>13243</v>
      </c>
      <c r="L2449">
        <v>2.4</v>
      </c>
      <c r="M2449" t="s">
        <v>46</v>
      </c>
      <c r="N2449" t="s">
        <v>2627</v>
      </c>
      <c r="O2449">
        <v>13.74</v>
      </c>
      <c r="P2449">
        <v>13.49</v>
      </c>
      <c r="Q2449">
        <v>13.73</v>
      </c>
      <c r="R2449">
        <v>13.79</v>
      </c>
      <c r="S2449">
        <v>1.81</v>
      </c>
      <c r="T2449">
        <v>1.17</v>
      </c>
      <c r="U2449">
        <v>45.08</v>
      </c>
      <c r="V2449">
        <v>814</v>
      </c>
      <c r="W2449">
        <v>13.58</v>
      </c>
      <c r="X2449" t="s">
        <v>8050</v>
      </c>
      <c r="Y2449" t="s">
        <v>3328</v>
      </c>
      <c r="Z2449">
        <v>1.25</v>
      </c>
      <c r="AA2449">
        <v>857</v>
      </c>
      <c r="AB2449">
        <v>167</v>
      </c>
      <c r="AC2449">
        <v>6.55</v>
      </c>
      <c r="AD2449" t="s">
        <v>13244</v>
      </c>
      <c r="AE2449" t="s">
        <v>9384</v>
      </c>
      <c r="AF2449" t="s">
        <v>13245</v>
      </c>
      <c r="AG2449" t="s">
        <v>13246</v>
      </c>
      <c r="AH2449">
        <v>-0.29</v>
      </c>
      <c r="AI2449">
        <v>-2.36</v>
      </c>
      <c r="AJ2449">
        <v>8.01</v>
      </c>
      <c r="AK2449">
        <v>12.7</v>
      </c>
      <c r="AL2449">
        <v>-1</v>
      </c>
      <c r="AM2449">
        <v>-0.87</v>
      </c>
      <c r="AN2449">
        <v>31.7</v>
      </c>
      <c r="AO2449">
        <v>0.89</v>
      </c>
      <c r="AP2449">
        <v>15.36</v>
      </c>
    </row>
    <row r="2450" spans="1:42">
      <c r="A2450">
        <v>2449</v>
      </c>
      <c r="B2450" t="str">
        <f>"688182"</f>
        <v>688182</v>
      </c>
      <c r="C2450" t="s">
        <v>13247</v>
      </c>
      <c r="D2450">
        <v>19.75</v>
      </c>
      <c r="E2450">
        <v>4.06</v>
      </c>
      <c r="F2450">
        <v>0.77</v>
      </c>
      <c r="G2450" t="s">
        <v>3210</v>
      </c>
      <c r="H2450">
        <v>418</v>
      </c>
      <c r="I2450">
        <v>19.74</v>
      </c>
      <c r="J2450">
        <v>19.75</v>
      </c>
      <c r="K2450" t="s">
        <v>13248</v>
      </c>
      <c r="L2450">
        <v>3.75</v>
      </c>
      <c r="M2450" t="s">
        <v>46</v>
      </c>
      <c r="N2450" t="s">
        <v>5518</v>
      </c>
      <c r="O2450">
        <v>19.91</v>
      </c>
      <c r="P2450">
        <v>18.83</v>
      </c>
      <c r="Q2450">
        <v>18.98</v>
      </c>
      <c r="R2450">
        <v>18.98</v>
      </c>
      <c r="S2450">
        <v>5.69</v>
      </c>
      <c r="T2450">
        <v>1.09</v>
      </c>
      <c r="U2450">
        <v>-33.39</v>
      </c>
      <c r="V2450">
        <v>-166</v>
      </c>
      <c r="W2450">
        <v>19.35</v>
      </c>
      <c r="X2450" t="s">
        <v>4943</v>
      </c>
      <c r="Y2450" t="s">
        <v>7210</v>
      </c>
      <c r="Z2450">
        <v>0.77</v>
      </c>
      <c r="AA2450">
        <v>105</v>
      </c>
      <c r="AB2450">
        <v>67</v>
      </c>
      <c r="AC2450">
        <v>3.73</v>
      </c>
      <c r="AD2450" t="s">
        <v>7381</v>
      </c>
      <c r="AE2450" t="s">
        <v>13249</v>
      </c>
      <c r="AF2450" t="s">
        <v>5976</v>
      </c>
      <c r="AG2450" t="s">
        <v>6695</v>
      </c>
      <c r="AH2450">
        <v>1.59</v>
      </c>
      <c r="AI2450">
        <v>-2.23</v>
      </c>
      <c r="AJ2450">
        <v>10.23</v>
      </c>
      <c r="AK2450">
        <v>20.97</v>
      </c>
      <c r="AL2450">
        <v>1</v>
      </c>
      <c r="AM2450">
        <v>4.06</v>
      </c>
      <c r="AN2450">
        <v>73.09</v>
      </c>
      <c r="AO2450">
        <v>-1.99</v>
      </c>
      <c r="AP2450">
        <v>44.69</v>
      </c>
    </row>
    <row r="2451" spans="1:42">
      <c r="A2451">
        <v>2450</v>
      </c>
      <c r="B2451" t="str">
        <f>"688085"</f>
        <v>688085</v>
      </c>
      <c r="C2451" t="s">
        <v>13250</v>
      </c>
      <c r="D2451">
        <v>20.88</v>
      </c>
      <c r="E2451">
        <v>-2.02</v>
      </c>
      <c r="F2451">
        <v>-0.43</v>
      </c>
      <c r="G2451" t="s">
        <v>762</v>
      </c>
      <c r="H2451">
        <v>71</v>
      </c>
      <c r="I2451">
        <v>20.84</v>
      </c>
      <c r="J2451">
        <v>20.88</v>
      </c>
      <c r="K2451" t="s">
        <v>13251</v>
      </c>
      <c r="L2451">
        <v>1.4</v>
      </c>
      <c r="M2451" t="s">
        <v>46</v>
      </c>
      <c r="N2451" t="s">
        <v>2259</v>
      </c>
      <c r="O2451">
        <v>21.45</v>
      </c>
      <c r="P2451">
        <v>20.5</v>
      </c>
      <c r="Q2451">
        <v>21.41</v>
      </c>
      <c r="R2451">
        <v>21.31</v>
      </c>
      <c r="S2451">
        <v>4.46</v>
      </c>
      <c r="T2451">
        <v>1.39</v>
      </c>
      <c r="U2451">
        <v>-34.59</v>
      </c>
      <c r="V2451">
        <v>-96</v>
      </c>
      <c r="W2451">
        <v>20.82</v>
      </c>
      <c r="X2451" t="s">
        <v>3165</v>
      </c>
      <c r="Y2451" t="s">
        <v>1456</v>
      </c>
      <c r="Z2451">
        <v>1.03</v>
      </c>
      <c r="AA2451">
        <v>24</v>
      </c>
      <c r="AB2451">
        <v>14</v>
      </c>
      <c r="AC2451">
        <v>2.75</v>
      </c>
      <c r="AD2451" t="s">
        <v>3214</v>
      </c>
      <c r="AE2451" t="s">
        <v>13252</v>
      </c>
      <c r="AF2451" t="s">
        <v>3214</v>
      </c>
      <c r="AG2451" t="s">
        <v>13252</v>
      </c>
      <c r="AH2451">
        <v>-6.12</v>
      </c>
      <c r="AI2451">
        <v>-6.28</v>
      </c>
      <c r="AJ2451">
        <v>2.94</v>
      </c>
      <c r="AK2451">
        <v>6.45</v>
      </c>
      <c r="AL2451">
        <v>-3</v>
      </c>
      <c r="AM2451">
        <v>-2.02</v>
      </c>
      <c r="AN2451">
        <v>-16.98</v>
      </c>
      <c r="AO2451">
        <v>-2.43</v>
      </c>
      <c r="AP2451">
        <v>-14.67</v>
      </c>
    </row>
    <row r="2452" spans="1:42">
      <c r="A2452">
        <v>2451</v>
      </c>
      <c r="B2452" t="str">
        <f>"002324"</f>
        <v>002324</v>
      </c>
      <c r="C2452" t="s">
        <v>13253</v>
      </c>
      <c r="D2452">
        <v>13.65</v>
      </c>
      <c r="E2452">
        <v>1.34</v>
      </c>
      <c r="F2452">
        <v>0.18</v>
      </c>
      <c r="G2452" t="s">
        <v>1235</v>
      </c>
      <c r="H2452">
        <v>586</v>
      </c>
      <c r="I2452">
        <v>13.65</v>
      </c>
      <c r="J2452">
        <v>13.66</v>
      </c>
      <c r="K2452" t="s">
        <v>13251</v>
      </c>
      <c r="L2452">
        <v>0.79</v>
      </c>
      <c r="M2452" t="s">
        <v>46</v>
      </c>
      <c r="N2452" t="s">
        <v>3932</v>
      </c>
      <c r="O2452">
        <v>13.71</v>
      </c>
      <c r="P2452">
        <v>13.43</v>
      </c>
      <c r="Q2452">
        <v>13.52</v>
      </c>
      <c r="R2452">
        <v>13.47</v>
      </c>
      <c r="S2452">
        <v>2.08</v>
      </c>
      <c r="T2452">
        <v>0.41</v>
      </c>
      <c r="U2452">
        <v>-63.38</v>
      </c>
      <c r="V2452">
        <v>-1990</v>
      </c>
      <c r="W2452">
        <v>13.58</v>
      </c>
      <c r="X2452" t="s">
        <v>4012</v>
      </c>
      <c r="Y2452" t="s">
        <v>3121</v>
      </c>
      <c r="Z2452">
        <v>0.95</v>
      </c>
      <c r="AA2452">
        <v>52</v>
      </c>
      <c r="AB2452">
        <v>1046</v>
      </c>
      <c r="AC2452">
        <v>3.49</v>
      </c>
      <c r="AD2452" t="s">
        <v>13254</v>
      </c>
      <c r="AE2452" t="s">
        <v>8308</v>
      </c>
      <c r="AF2452" t="s">
        <v>13255</v>
      </c>
      <c r="AG2452" t="s">
        <v>13256</v>
      </c>
      <c r="AH2452">
        <v>-2.5</v>
      </c>
      <c r="AI2452">
        <v>-6.44</v>
      </c>
      <c r="AJ2452">
        <v>3.17</v>
      </c>
      <c r="AK2452">
        <v>10.48</v>
      </c>
      <c r="AL2452">
        <v>1</v>
      </c>
      <c r="AM2452">
        <v>1.34</v>
      </c>
      <c r="AN2452">
        <v>-14.42</v>
      </c>
      <c r="AO2452">
        <v>-0.51</v>
      </c>
      <c r="AP2452">
        <v>-16.51</v>
      </c>
    </row>
    <row r="2453" spans="1:42">
      <c r="A2453">
        <v>2452</v>
      </c>
      <c r="B2453" t="str">
        <f>"002591"</f>
        <v>002591</v>
      </c>
      <c r="C2453" t="s">
        <v>13257</v>
      </c>
      <c r="D2453">
        <v>7.1</v>
      </c>
      <c r="E2453">
        <v>2.31</v>
      </c>
      <c r="F2453">
        <v>0.16</v>
      </c>
      <c r="G2453" t="s">
        <v>3402</v>
      </c>
      <c r="H2453">
        <v>1409</v>
      </c>
      <c r="I2453">
        <v>7.1</v>
      </c>
      <c r="J2453">
        <v>7.11</v>
      </c>
      <c r="K2453" t="s">
        <v>13258</v>
      </c>
      <c r="L2453">
        <v>4.5</v>
      </c>
      <c r="M2453" t="s">
        <v>46</v>
      </c>
      <c r="N2453" t="s">
        <v>1917</v>
      </c>
      <c r="O2453">
        <v>7.16</v>
      </c>
      <c r="P2453">
        <v>6.93</v>
      </c>
      <c r="Q2453">
        <v>6.97</v>
      </c>
      <c r="R2453">
        <v>6.94</v>
      </c>
      <c r="S2453">
        <v>3.31</v>
      </c>
      <c r="T2453">
        <v>1.07</v>
      </c>
      <c r="U2453">
        <v>-39.39</v>
      </c>
      <c r="V2453">
        <v>-2402</v>
      </c>
      <c r="W2453">
        <v>7.07</v>
      </c>
      <c r="X2453" t="s">
        <v>6833</v>
      </c>
      <c r="Y2453" t="s">
        <v>5734</v>
      </c>
      <c r="Z2453">
        <v>0.88</v>
      </c>
      <c r="AA2453">
        <v>95</v>
      </c>
      <c r="AB2453">
        <v>420</v>
      </c>
      <c r="AC2453">
        <v>3.03</v>
      </c>
      <c r="AD2453" t="s">
        <v>13259</v>
      </c>
      <c r="AE2453" t="s">
        <v>12404</v>
      </c>
      <c r="AF2453" t="s">
        <v>13260</v>
      </c>
      <c r="AG2453" t="s">
        <v>2118</v>
      </c>
      <c r="AH2453">
        <v>1.14</v>
      </c>
      <c r="AI2453">
        <v>3.35</v>
      </c>
      <c r="AJ2453">
        <v>10.38</v>
      </c>
      <c r="AK2453">
        <v>25.55</v>
      </c>
      <c r="AL2453">
        <v>1</v>
      </c>
      <c r="AM2453">
        <v>2.31</v>
      </c>
      <c r="AN2453">
        <v>-5.33</v>
      </c>
      <c r="AO2453">
        <v>9.57</v>
      </c>
      <c r="AP2453">
        <v>15.64</v>
      </c>
    </row>
    <row r="2454" spans="1:42">
      <c r="A2454">
        <v>2453</v>
      </c>
      <c r="B2454" t="str">
        <f>"688567"</f>
        <v>688567</v>
      </c>
      <c r="C2454" t="s">
        <v>13261</v>
      </c>
      <c r="D2454">
        <v>18.21</v>
      </c>
      <c r="E2454">
        <v>-2.83</v>
      </c>
      <c r="F2454">
        <v>-0.53</v>
      </c>
      <c r="G2454" t="s">
        <v>4941</v>
      </c>
      <c r="H2454">
        <v>745</v>
      </c>
      <c r="I2454">
        <v>18.21</v>
      </c>
      <c r="J2454">
        <v>18.25</v>
      </c>
      <c r="K2454" t="s">
        <v>13262</v>
      </c>
      <c r="L2454">
        <v>0.33</v>
      </c>
      <c r="M2454" t="s">
        <v>46</v>
      </c>
      <c r="N2454" t="s">
        <v>5616</v>
      </c>
      <c r="O2454">
        <v>18.79</v>
      </c>
      <c r="P2454">
        <v>18.07</v>
      </c>
      <c r="Q2454">
        <v>18.74</v>
      </c>
      <c r="R2454">
        <v>18.74</v>
      </c>
      <c r="S2454">
        <v>3.84</v>
      </c>
      <c r="T2454">
        <v>0.97</v>
      </c>
      <c r="U2454">
        <v>54.63</v>
      </c>
      <c r="V2454">
        <v>264</v>
      </c>
      <c r="W2454">
        <v>18.29</v>
      </c>
      <c r="X2454" t="s">
        <v>153</v>
      </c>
      <c r="Y2454" t="s">
        <v>2723</v>
      </c>
      <c r="Z2454">
        <v>1.14</v>
      </c>
      <c r="AA2454">
        <v>33</v>
      </c>
      <c r="AB2454">
        <v>10</v>
      </c>
      <c r="AC2454">
        <v>2.1</v>
      </c>
      <c r="AD2454" t="s">
        <v>13263</v>
      </c>
      <c r="AE2454" t="s">
        <v>13264</v>
      </c>
      <c r="AF2454" t="s">
        <v>13263</v>
      </c>
      <c r="AG2454" t="s">
        <v>13264</v>
      </c>
      <c r="AH2454">
        <v>-2.98</v>
      </c>
      <c r="AI2454">
        <v>-6.52</v>
      </c>
      <c r="AJ2454">
        <v>1.01</v>
      </c>
      <c r="AK2454">
        <v>2.01</v>
      </c>
      <c r="AL2454">
        <v>-1</v>
      </c>
      <c r="AM2454">
        <v>-2.83</v>
      </c>
      <c r="AN2454">
        <v>-32.63</v>
      </c>
      <c r="AO2454">
        <v>1</v>
      </c>
      <c r="AP2454">
        <v>-27.74</v>
      </c>
    </row>
    <row r="2455" spans="1:42">
      <c r="A2455">
        <v>2454</v>
      </c>
      <c r="B2455" t="str">
        <f>"000812"</f>
        <v>000812</v>
      </c>
      <c r="C2455" t="s">
        <v>13265</v>
      </c>
      <c r="D2455">
        <v>5.2</v>
      </c>
      <c r="E2455">
        <v>1.56</v>
      </c>
      <c r="F2455">
        <v>0.08</v>
      </c>
      <c r="G2455" t="s">
        <v>960</v>
      </c>
      <c r="H2455">
        <v>3724</v>
      </c>
      <c r="I2455">
        <v>5.19</v>
      </c>
      <c r="J2455">
        <v>5.2</v>
      </c>
      <c r="K2455" t="s">
        <v>13266</v>
      </c>
      <c r="L2455">
        <v>1.82</v>
      </c>
      <c r="M2455" t="s">
        <v>46</v>
      </c>
      <c r="N2455" t="s">
        <v>13267</v>
      </c>
      <c r="O2455">
        <v>5.21</v>
      </c>
      <c r="P2455">
        <v>5.11</v>
      </c>
      <c r="Q2455">
        <v>5.11</v>
      </c>
      <c r="R2455">
        <v>5.12</v>
      </c>
      <c r="S2455">
        <v>1.95</v>
      </c>
      <c r="T2455">
        <v>1.11</v>
      </c>
      <c r="U2455">
        <v>1.13</v>
      </c>
      <c r="V2455">
        <v>245</v>
      </c>
      <c r="W2455">
        <v>5.17</v>
      </c>
      <c r="X2455" t="s">
        <v>1985</v>
      </c>
      <c r="Y2455" t="s">
        <v>4893</v>
      </c>
      <c r="Z2455">
        <v>0.61</v>
      </c>
      <c r="AA2455">
        <v>3159</v>
      </c>
      <c r="AB2455">
        <v>161</v>
      </c>
      <c r="AC2455">
        <v>2.24</v>
      </c>
      <c r="AD2455" t="s">
        <v>13268</v>
      </c>
      <c r="AE2455" t="s">
        <v>2572</v>
      </c>
      <c r="AF2455" t="s">
        <v>13269</v>
      </c>
      <c r="AG2455" t="s">
        <v>8283</v>
      </c>
      <c r="AH2455">
        <v>1.56</v>
      </c>
      <c r="AI2455">
        <v>-0.38</v>
      </c>
      <c r="AJ2455">
        <v>5.38</v>
      </c>
      <c r="AK2455">
        <v>10.02</v>
      </c>
      <c r="AL2455">
        <v>1</v>
      </c>
      <c r="AM2455">
        <v>1.56</v>
      </c>
      <c r="AN2455">
        <v>-24.64</v>
      </c>
      <c r="AO2455">
        <v>5.91</v>
      </c>
      <c r="AP2455">
        <v>-11.56</v>
      </c>
    </row>
    <row r="2456" spans="1:42">
      <c r="A2456">
        <v>2455</v>
      </c>
      <c r="B2456" t="str">
        <f>"300051"</f>
        <v>300051</v>
      </c>
      <c r="C2456" t="s">
        <v>13270</v>
      </c>
      <c r="D2456">
        <v>11.66</v>
      </c>
      <c r="E2456">
        <v>3.92</v>
      </c>
      <c r="F2456">
        <v>0.44</v>
      </c>
      <c r="G2456" t="s">
        <v>9139</v>
      </c>
      <c r="H2456">
        <v>175</v>
      </c>
      <c r="I2456">
        <v>11.66</v>
      </c>
      <c r="J2456">
        <v>11.67</v>
      </c>
      <c r="K2456" t="s">
        <v>13271</v>
      </c>
      <c r="L2456">
        <v>1.72</v>
      </c>
      <c r="M2456" t="s">
        <v>46</v>
      </c>
      <c r="N2456" t="s">
        <v>424</v>
      </c>
      <c r="O2456">
        <v>11.77</v>
      </c>
      <c r="P2456">
        <v>11.21</v>
      </c>
      <c r="Q2456">
        <v>11.32</v>
      </c>
      <c r="R2456">
        <v>11.22</v>
      </c>
      <c r="S2456">
        <v>4.99</v>
      </c>
      <c r="T2456">
        <v>1.45</v>
      </c>
      <c r="U2456">
        <v>15.4</v>
      </c>
      <c r="V2456">
        <v>311</v>
      </c>
      <c r="W2456">
        <v>11.53</v>
      </c>
      <c r="X2456" t="s">
        <v>9211</v>
      </c>
      <c r="Y2456" t="s">
        <v>8009</v>
      </c>
      <c r="Z2456">
        <v>0.67</v>
      </c>
      <c r="AA2456">
        <v>263</v>
      </c>
      <c r="AB2456">
        <v>127</v>
      </c>
      <c r="AC2456">
        <v>14.15</v>
      </c>
      <c r="AD2456" t="s">
        <v>10497</v>
      </c>
      <c r="AE2456" t="s">
        <v>13272</v>
      </c>
      <c r="AF2456" t="s">
        <v>10497</v>
      </c>
      <c r="AG2456" t="s">
        <v>13272</v>
      </c>
      <c r="AH2456">
        <v>3.83</v>
      </c>
      <c r="AI2456">
        <v>0.43</v>
      </c>
      <c r="AJ2456">
        <v>4.51</v>
      </c>
      <c r="AK2456">
        <v>7.63</v>
      </c>
      <c r="AL2456">
        <v>1</v>
      </c>
      <c r="AM2456">
        <v>3.92</v>
      </c>
      <c r="AN2456">
        <v>28.13</v>
      </c>
      <c r="AO2456">
        <v>2.37</v>
      </c>
      <c r="AP2456">
        <v>86.86</v>
      </c>
    </row>
    <row r="2457" spans="1:42">
      <c r="A2457">
        <v>2456</v>
      </c>
      <c r="B2457" t="str">
        <f>"002587"</f>
        <v>002587</v>
      </c>
      <c r="C2457" t="s">
        <v>13273</v>
      </c>
      <c r="D2457">
        <v>7</v>
      </c>
      <c r="E2457">
        <v>2.49</v>
      </c>
      <c r="F2457">
        <v>0.17</v>
      </c>
      <c r="G2457" t="s">
        <v>881</v>
      </c>
      <c r="H2457">
        <v>739</v>
      </c>
      <c r="I2457">
        <v>6.99</v>
      </c>
      <c r="J2457">
        <v>7</v>
      </c>
      <c r="K2457" t="s">
        <v>13274</v>
      </c>
      <c r="L2457">
        <v>2.04</v>
      </c>
      <c r="M2457" t="s">
        <v>46</v>
      </c>
      <c r="N2457" t="s">
        <v>2834</v>
      </c>
      <c r="O2457">
        <v>7.02</v>
      </c>
      <c r="P2457">
        <v>6.76</v>
      </c>
      <c r="Q2457">
        <v>6.83</v>
      </c>
      <c r="R2457">
        <v>6.83</v>
      </c>
      <c r="S2457">
        <v>3.81</v>
      </c>
      <c r="T2457">
        <v>0.74</v>
      </c>
      <c r="U2457">
        <v>-48.39</v>
      </c>
      <c r="V2457">
        <v>-4220</v>
      </c>
      <c r="W2457">
        <v>6.93</v>
      </c>
      <c r="X2457" t="s">
        <v>4827</v>
      </c>
      <c r="Y2457" t="s">
        <v>6226</v>
      </c>
      <c r="Z2457">
        <v>0.78</v>
      </c>
      <c r="AA2457">
        <v>732</v>
      </c>
      <c r="AB2457">
        <v>608</v>
      </c>
      <c r="AC2457">
        <v>3.28</v>
      </c>
      <c r="AD2457" t="s">
        <v>13275</v>
      </c>
      <c r="AE2457" t="s">
        <v>13276</v>
      </c>
      <c r="AF2457" t="s">
        <v>13277</v>
      </c>
      <c r="AG2457" t="s">
        <v>13278</v>
      </c>
      <c r="AH2457">
        <v>-1.27</v>
      </c>
      <c r="AI2457">
        <v>-3.18</v>
      </c>
      <c r="AJ2457">
        <v>7.05</v>
      </c>
      <c r="AK2457">
        <v>15.85</v>
      </c>
      <c r="AL2457">
        <v>1</v>
      </c>
      <c r="AM2457">
        <v>2.49</v>
      </c>
      <c r="AN2457">
        <v>39.72</v>
      </c>
      <c r="AO2457">
        <v>8.19</v>
      </c>
      <c r="AP2457">
        <v>24.33</v>
      </c>
    </row>
    <row r="2458" spans="1:42">
      <c r="A2458">
        <v>2457</v>
      </c>
      <c r="B2458" t="str">
        <f>"300518"</f>
        <v>300518</v>
      </c>
      <c r="C2458" t="s">
        <v>13279</v>
      </c>
      <c r="D2458">
        <v>18.64</v>
      </c>
      <c r="E2458">
        <v>4.31</v>
      </c>
      <c r="F2458">
        <v>0.77</v>
      </c>
      <c r="G2458" t="s">
        <v>5983</v>
      </c>
      <c r="H2458">
        <v>340</v>
      </c>
      <c r="I2458">
        <v>18.64</v>
      </c>
      <c r="J2458">
        <v>18.65</v>
      </c>
      <c r="K2458" t="s">
        <v>13280</v>
      </c>
      <c r="L2458">
        <v>2.06</v>
      </c>
      <c r="M2458" t="s">
        <v>46</v>
      </c>
      <c r="N2458" t="s">
        <v>4198</v>
      </c>
      <c r="O2458">
        <v>18.76</v>
      </c>
      <c r="P2458">
        <v>17.83</v>
      </c>
      <c r="Q2458">
        <v>17.83</v>
      </c>
      <c r="R2458">
        <v>17.87</v>
      </c>
      <c r="S2458">
        <v>5.2</v>
      </c>
      <c r="T2458">
        <v>2.63</v>
      </c>
      <c r="U2458">
        <v>-20.67</v>
      </c>
      <c r="V2458">
        <v>-206</v>
      </c>
      <c r="W2458">
        <v>18.38</v>
      </c>
      <c r="X2458" t="s">
        <v>578</v>
      </c>
      <c r="Y2458" t="s">
        <v>8211</v>
      </c>
      <c r="Z2458">
        <v>0.63</v>
      </c>
      <c r="AA2458">
        <v>186</v>
      </c>
      <c r="AB2458">
        <v>156</v>
      </c>
      <c r="AC2458">
        <v>2.95</v>
      </c>
      <c r="AD2458" t="s">
        <v>13281</v>
      </c>
      <c r="AE2458" t="s">
        <v>11576</v>
      </c>
      <c r="AF2458" t="s">
        <v>5641</v>
      </c>
      <c r="AG2458" t="s">
        <v>8628</v>
      </c>
      <c r="AH2458">
        <v>3.04</v>
      </c>
      <c r="AI2458">
        <v>0.38</v>
      </c>
      <c r="AJ2458">
        <v>3.41</v>
      </c>
      <c r="AK2458">
        <v>5.98</v>
      </c>
      <c r="AL2458">
        <v>1</v>
      </c>
      <c r="AM2458">
        <v>4.31</v>
      </c>
      <c r="AN2458">
        <v>-37.62</v>
      </c>
      <c r="AO2458">
        <v>2.98</v>
      </c>
      <c r="AP2458">
        <v>-53.7</v>
      </c>
    </row>
    <row r="2459" spans="1:42">
      <c r="A2459">
        <v>2458</v>
      </c>
      <c r="B2459" t="str">
        <f>"301509"</f>
        <v>301509</v>
      </c>
      <c r="C2459" t="s">
        <v>13282</v>
      </c>
      <c r="D2459">
        <v>70.6</v>
      </c>
      <c r="E2459">
        <v>0.28</v>
      </c>
      <c r="F2459">
        <v>0.2</v>
      </c>
      <c r="G2459" t="s">
        <v>1154</v>
      </c>
      <c r="H2459">
        <v>172</v>
      </c>
      <c r="I2459">
        <v>70.59</v>
      </c>
      <c r="J2459">
        <v>70.6</v>
      </c>
      <c r="K2459" t="s">
        <v>13283</v>
      </c>
      <c r="L2459">
        <v>5.05</v>
      </c>
      <c r="M2459" t="s">
        <v>46</v>
      </c>
      <c r="N2459" t="s">
        <v>1831</v>
      </c>
      <c r="O2459">
        <v>70.89</v>
      </c>
      <c r="P2459">
        <v>69.8</v>
      </c>
      <c r="Q2459">
        <v>70.29</v>
      </c>
      <c r="R2459">
        <v>70.4</v>
      </c>
      <c r="S2459">
        <v>1.55</v>
      </c>
      <c r="T2459">
        <v>0.7</v>
      </c>
      <c r="U2459">
        <v>-14.47</v>
      </c>
      <c r="V2459">
        <v>-22</v>
      </c>
      <c r="W2459">
        <v>70.26</v>
      </c>
      <c r="X2459">
        <v>4820</v>
      </c>
      <c r="Y2459">
        <v>5484</v>
      </c>
      <c r="Z2459">
        <v>0.88</v>
      </c>
      <c r="AA2459">
        <v>30</v>
      </c>
      <c r="AB2459">
        <v>38</v>
      </c>
      <c r="AC2459">
        <v>2.83</v>
      </c>
      <c r="AD2459" t="s">
        <v>13284</v>
      </c>
      <c r="AE2459" t="s">
        <v>13285</v>
      </c>
      <c r="AF2459" t="s">
        <v>13286</v>
      </c>
      <c r="AG2459" t="s">
        <v>9337</v>
      </c>
      <c r="AH2459">
        <v>-2.65</v>
      </c>
      <c r="AI2459">
        <v>-5.74</v>
      </c>
      <c r="AJ2459">
        <v>18.05</v>
      </c>
      <c r="AK2459">
        <v>41.02</v>
      </c>
      <c r="AL2459">
        <v>1</v>
      </c>
      <c r="AM2459">
        <v>0.28</v>
      </c>
      <c r="AN2459">
        <v>24.82</v>
      </c>
      <c r="AO2459">
        <v>-8.67</v>
      </c>
      <c r="AP2459">
        <v>24.82</v>
      </c>
    </row>
    <row r="2460" spans="1:42">
      <c r="A2460">
        <v>2459</v>
      </c>
      <c r="B2460" t="str">
        <f>"603919"</f>
        <v>603919</v>
      </c>
      <c r="C2460" t="s">
        <v>13287</v>
      </c>
      <c r="D2460">
        <v>25.81</v>
      </c>
      <c r="E2460">
        <v>-1.49</v>
      </c>
      <c r="F2460">
        <v>-0.39</v>
      </c>
      <c r="G2460" t="s">
        <v>7028</v>
      </c>
      <c r="H2460">
        <v>131</v>
      </c>
      <c r="I2460">
        <v>25.8</v>
      </c>
      <c r="J2460">
        <v>25.81</v>
      </c>
      <c r="K2460" t="s">
        <v>13288</v>
      </c>
      <c r="L2460">
        <v>0.55</v>
      </c>
      <c r="M2460" t="s">
        <v>46</v>
      </c>
      <c r="N2460" t="s">
        <v>2596</v>
      </c>
      <c r="O2460">
        <v>26.2</v>
      </c>
      <c r="P2460">
        <v>25.57</v>
      </c>
      <c r="Q2460">
        <v>26.2</v>
      </c>
      <c r="R2460">
        <v>26.2</v>
      </c>
      <c r="S2460">
        <v>2.4</v>
      </c>
      <c r="T2460">
        <v>0.96</v>
      </c>
      <c r="U2460">
        <v>48.76</v>
      </c>
      <c r="V2460">
        <v>177</v>
      </c>
      <c r="W2460">
        <v>25.83</v>
      </c>
      <c r="X2460" t="s">
        <v>1177</v>
      </c>
      <c r="Y2460" t="s">
        <v>239</v>
      </c>
      <c r="Z2460">
        <v>1.69</v>
      </c>
      <c r="AA2460">
        <v>97</v>
      </c>
      <c r="AB2460">
        <v>50</v>
      </c>
      <c r="AC2460">
        <v>4</v>
      </c>
      <c r="AD2460" t="s">
        <v>13289</v>
      </c>
      <c r="AE2460" t="s">
        <v>13290</v>
      </c>
      <c r="AF2460" t="s">
        <v>13289</v>
      </c>
      <c r="AG2460" t="s">
        <v>13290</v>
      </c>
      <c r="AH2460">
        <v>-1.38</v>
      </c>
      <c r="AI2460">
        <v>-3.37</v>
      </c>
      <c r="AJ2460">
        <v>1.8</v>
      </c>
      <c r="AK2460">
        <v>3.43</v>
      </c>
      <c r="AL2460">
        <v>-1</v>
      </c>
      <c r="AM2460">
        <v>-1.49</v>
      </c>
      <c r="AN2460">
        <v>-2.42</v>
      </c>
      <c r="AO2460">
        <v>-4.94</v>
      </c>
      <c r="AP2460">
        <v>15.17</v>
      </c>
    </row>
    <row r="2461" spans="1:42">
      <c r="A2461">
        <v>2460</v>
      </c>
      <c r="B2461" t="str">
        <f>"002308"</f>
        <v>002308</v>
      </c>
      <c r="C2461" t="s">
        <v>13291</v>
      </c>
      <c r="D2461">
        <v>5.29</v>
      </c>
      <c r="E2461">
        <v>2.72</v>
      </c>
      <c r="F2461">
        <v>0.14</v>
      </c>
      <c r="G2461" t="s">
        <v>784</v>
      </c>
      <c r="H2461">
        <v>2205</v>
      </c>
      <c r="I2461">
        <v>5.29</v>
      </c>
      <c r="J2461">
        <v>5.3</v>
      </c>
      <c r="K2461" t="s">
        <v>13292</v>
      </c>
      <c r="L2461">
        <v>1.54</v>
      </c>
      <c r="M2461" t="s">
        <v>46</v>
      </c>
      <c r="N2461" t="s">
        <v>4010</v>
      </c>
      <c r="O2461">
        <v>5.31</v>
      </c>
      <c r="P2461">
        <v>5.15</v>
      </c>
      <c r="Q2461">
        <v>5.15</v>
      </c>
      <c r="R2461">
        <v>5.15</v>
      </c>
      <c r="S2461">
        <v>3.11</v>
      </c>
      <c r="T2461">
        <v>0.82</v>
      </c>
      <c r="U2461">
        <v>6.27</v>
      </c>
      <c r="V2461">
        <v>697</v>
      </c>
      <c r="W2461">
        <v>5.23</v>
      </c>
      <c r="X2461" t="s">
        <v>5957</v>
      </c>
      <c r="Y2461" t="s">
        <v>7164</v>
      </c>
      <c r="Z2461">
        <v>0.62</v>
      </c>
      <c r="AA2461">
        <v>334</v>
      </c>
      <c r="AB2461">
        <v>2789</v>
      </c>
      <c r="AC2461">
        <v>2.4</v>
      </c>
      <c r="AD2461" t="s">
        <v>11200</v>
      </c>
      <c r="AE2461" t="s">
        <v>13293</v>
      </c>
      <c r="AF2461" t="s">
        <v>13294</v>
      </c>
      <c r="AG2461" t="s">
        <v>13295</v>
      </c>
      <c r="AH2461">
        <v>-0.38</v>
      </c>
      <c r="AI2461">
        <v>-3.11</v>
      </c>
      <c r="AJ2461">
        <v>4.51</v>
      </c>
      <c r="AK2461">
        <v>10.91</v>
      </c>
      <c r="AL2461">
        <v>1</v>
      </c>
      <c r="AM2461">
        <v>2.72</v>
      </c>
      <c r="AN2461">
        <v>23.89</v>
      </c>
      <c r="AO2461">
        <v>0.19</v>
      </c>
      <c r="AP2461">
        <v>9.98</v>
      </c>
    </row>
    <row r="2462" spans="1:42">
      <c r="A2462">
        <v>2461</v>
      </c>
      <c r="B2462" t="str">
        <f>"688716"</f>
        <v>688716</v>
      </c>
      <c r="C2462" t="s">
        <v>13296</v>
      </c>
      <c r="D2462">
        <v>33.15</v>
      </c>
      <c r="E2462">
        <v>0.58</v>
      </c>
      <c r="F2462">
        <v>0.19</v>
      </c>
      <c r="G2462" t="s">
        <v>2102</v>
      </c>
      <c r="H2462">
        <v>30</v>
      </c>
      <c r="I2462">
        <v>33.13</v>
      </c>
      <c r="J2462">
        <v>33.15</v>
      </c>
      <c r="K2462" t="s">
        <v>13297</v>
      </c>
      <c r="L2462">
        <v>8.02</v>
      </c>
      <c r="M2462" t="s">
        <v>46</v>
      </c>
      <c r="N2462" t="s">
        <v>7285</v>
      </c>
      <c r="O2462">
        <v>33.8</v>
      </c>
      <c r="P2462">
        <v>32.4</v>
      </c>
      <c r="Q2462">
        <v>33</v>
      </c>
      <c r="R2462">
        <v>32.96</v>
      </c>
      <c r="S2462">
        <v>4.25</v>
      </c>
      <c r="T2462">
        <v>0.88</v>
      </c>
      <c r="U2462">
        <v>71.88</v>
      </c>
      <c r="V2462">
        <v>278</v>
      </c>
      <c r="W2462">
        <v>33.01</v>
      </c>
      <c r="X2462" t="s">
        <v>209</v>
      </c>
      <c r="Y2462">
        <v>9098</v>
      </c>
      <c r="Z2462">
        <v>1.41</v>
      </c>
      <c r="AA2462">
        <v>13</v>
      </c>
      <c r="AB2462">
        <v>1</v>
      </c>
      <c r="AC2462">
        <v>3.5</v>
      </c>
      <c r="AD2462" t="s">
        <v>13298</v>
      </c>
      <c r="AE2462" t="s">
        <v>10065</v>
      </c>
      <c r="AF2462" t="s">
        <v>13299</v>
      </c>
      <c r="AG2462" t="s">
        <v>13300</v>
      </c>
      <c r="AH2462">
        <v>-8.98</v>
      </c>
      <c r="AI2462">
        <v>-3.35</v>
      </c>
      <c r="AJ2462">
        <v>28.04</v>
      </c>
      <c r="AK2462">
        <v>53.43</v>
      </c>
      <c r="AL2462">
        <v>1</v>
      </c>
      <c r="AM2462">
        <v>0.58</v>
      </c>
      <c r="AN2462">
        <v>11.77</v>
      </c>
      <c r="AO2462">
        <v>29.14</v>
      </c>
      <c r="AP2462">
        <v>11.77</v>
      </c>
    </row>
    <row r="2463" spans="1:42">
      <c r="A2463">
        <v>2462</v>
      </c>
      <c r="B2463" t="str">
        <f>"600516"</f>
        <v>600516</v>
      </c>
      <c r="C2463" t="s">
        <v>13301</v>
      </c>
      <c r="D2463">
        <v>5.77</v>
      </c>
      <c r="E2463">
        <v>-0.17</v>
      </c>
      <c r="F2463">
        <v>-0.01</v>
      </c>
      <c r="G2463" t="s">
        <v>2025</v>
      </c>
      <c r="H2463">
        <v>1397</v>
      </c>
      <c r="I2463">
        <v>5.77</v>
      </c>
      <c r="J2463">
        <v>5.78</v>
      </c>
      <c r="K2463" t="s">
        <v>13302</v>
      </c>
      <c r="L2463">
        <v>0.31</v>
      </c>
      <c r="M2463" t="s">
        <v>46</v>
      </c>
      <c r="N2463" t="s">
        <v>3031</v>
      </c>
      <c r="O2463">
        <v>5.79</v>
      </c>
      <c r="P2463">
        <v>5.74</v>
      </c>
      <c r="Q2463">
        <v>5.76</v>
      </c>
      <c r="R2463">
        <v>5.78</v>
      </c>
      <c r="S2463">
        <v>0.87</v>
      </c>
      <c r="T2463">
        <v>0.91</v>
      </c>
      <c r="U2463">
        <v>26.27</v>
      </c>
      <c r="V2463">
        <v>9970</v>
      </c>
      <c r="W2463">
        <v>5.76</v>
      </c>
      <c r="X2463" t="s">
        <v>8408</v>
      </c>
      <c r="Y2463" t="s">
        <v>3779</v>
      </c>
      <c r="Z2463">
        <v>1.79</v>
      </c>
      <c r="AA2463">
        <v>1099</v>
      </c>
      <c r="AB2463">
        <v>1586</v>
      </c>
      <c r="AC2463">
        <v>1.34</v>
      </c>
      <c r="AD2463" t="s">
        <v>7666</v>
      </c>
      <c r="AE2463" t="s">
        <v>13303</v>
      </c>
      <c r="AF2463" t="s">
        <v>7666</v>
      </c>
      <c r="AG2463" t="s">
        <v>13303</v>
      </c>
      <c r="AH2463">
        <v>-0.17</v>
      </c>
      <c r="AI2463">
        <v>-1.03</v>
      </c>
      <c r="AJ2463">
        <v>1.05</v>
      </c>
      <c r="AK2463">
        <v>2.02</v>
      </c>
      <c r="AL2463">
        <v>-1</v>
      </c>
      <c r="AM2463">
        <v>-0.17</v>
      </c>
      <c r="AN2463">
        <v>-5.72</v>
      </c>
      <c r="AO2463">
        <v>-1.03</v>
      </c>
      <c r="AP2463">
        <v>-10.68</v>
      </c>
    </row>
    <row r="2464" spans="1:42">
      <c r="A2464">
        <v>2463</v>
      </c>
      <c r="B2464" t="str">
        <f>"688502"</f>
        <v>688502</v>
      </c>
      <c r="C2464" t="s">
        <v>13304</v>
      </c>
      <c r="D2464">
        <v>218.78</v>
      </c>
      <c r="E2464">
        <v>-0.43</v>
      </c>
      <c r="F2464">
        <v>-0.94</v>
      </c>
      <c r="G2464">
        <v>3321</v>
      </c>
      <c r="H2464">
        <v>47</v>
      </c>
      <c r="I2464">
        <v>218.75</v>
      </c>
      <c r="J2464">
        <v>218.78</v>
      </c>
      <c r="K2464" t="s">
        <v>13305</v>
      </c>
      <c r="L2464">
        <v>2.6</v>
      </c>
      <c r="M2464" t="s">
        <v>46</v>
      </c>
      <c r="N2464" t="s">
        <v>8131</v>
      </c>
      <c r="O2464">
        <v>222.52</v>
      </c>
      <c r="P2464">
        <v>214.5</v>
      </c>
      <c r="Q2464">
        <v>217.6</v>
      </c>
      <c r="R2464">
        <v>219.72</v>
      </c>
      <c r="S2464">
        <v>3.65</v>
      </c>
      <c r="T2464">
        <v>0.6</v>
      </c>
      <c r="U2464">
        <v>-29.48</v>
      </c>
      <c r="V2464">
        <v>-28</v>
      </c>
      <c r="W2464">
        <v>217.48</v>
      </c>
      <c r="X2464">
        <v>1917</v>
      </c>
      <c r="Y2464">
        <v>1404</v>
      </c>
      <c r="Z2464">
        <v>1.37</v>
      </c>
      <c r="AA2464">
        <v>9</v>
      </c>
      <c r="AB2464">
        <v>28</v>
      </c>
      <c r="AC2464">
        <v>9.79</v>
      </c>
      <c r="AD2464" t="s">
        <v>13306</v>
      </c>
      <c r="AE2464" t="s">
        <v>4125</v>
      </c>
      <c r="AF2464" t="s">
        <v>13307</v>
      </c>
      <c r="AG2464" t="s">
        <v>13308</v>
      </c>
      <c r="AH2464">
        <v>-4.04</v>
      </c>
      <c r="AI2464">
        <v>-3.52</v>
      </c>
      <c r="AJ2464">
        <v>8.96</v>
      </c>
      <c r="AK2464">
        <v>24.48</v>
      </c>
      <c r="AL2464">
        <v>-4</v>
      </c>
      <c r="AM2464">
        <v>-0.43</v>
      </c>
      <c r="AN2464">
        <v>216.98</v>
      </c>
      <c r="AO2464">
        <v>3.01</v>
      </c>
      <c r="AP2464">
        <v>216.98</v>
      </c>
    </row>
    <row r="2465" spans="1:42">
      <c r="A2465">
        <v>2464</v>
      </c>
      <c r="B2465" t="str">
        <f>"300960"</f>
        <v>300960</v>
      </c>
      <c r="C2465" t="s">
        <v>13309</v>
      </c>
      <c r="D2465">
        <v>22.5</v>
      </c>
      <c r="E2465">
        <v>-2.17</v>
      </c>
      <c r="F2465">
        <v>-0.5</v>
      </c>
      <c r="G2465" t="s">
        <v>10810</v>
      </c>
      <c r="H2465">
        <v>235</v>
      </c>
      <c r="I2465">
        <v>22.5</v>
      </c>
      <c r="J2465">
        <v>22.51</v>
      </c>
      <c r="K2465" t="s">
        <v>11892</v>
      </c>
      <c r="L2465">
        <v>12.45</v>
      </c>
      <c r="M2465" t="s">
        <v>46</v>
      </c>
      <c r="N2465" t="s">
        <v>6442</v>
      </c>
      <c r="O2465">
        <v>23.02</v>
      </c>
      <c r="P2465">
        <v>22.19</v>
      </c>
      <c r="Q2465">
        <v>22.98</v>
      </c>
      <c r="R2465">
        <v>23</v>
      </c>
      <c r="S2465">
        <v>3.61</v>
      </c>
      <c r="T2465">
        <v>1.78</v>
      </c>
      <c r="U2465">
        <v>39.5</v>
      </c>
      <c r="V2465">
        <v>50</v>
      </c>
      <c r="W2465">
        <v>22.66</v>
      </c>
      <c r="X2465" t="s">
        <v>1110</v>
      </c>
      <c r="Y2465" t="s">
        <v>3793</v>
      </c>
      <c r="Z2465">
        <v>1.13</v>
      </c>
      <c r="AA2465">
        <v>2</v>
      </c>
      <c r="AB2465">
        <v>2</v>
      </c>
      <c r="AC2465">
        <v>3.74</v>
      </c>
      <c r="AD2465" t="s">
        <v>13310</v>
      </c>
      <c r="AE2465" t="s">
        <v>409</v>
      </c>
      <c r="AF2465" t="s">
        <v>13311</v>
      </c>
      <c r="AG2465" t="s">
        <v>13312</v>
      </c>
      <c r="AH2465">
        <v>-2.6</v>
      </c>
      <c r="AI2465">
        <v>-3.23</v>
      </c>
      <c r="AJ2465">
        <v>33.43</v>
      </c>
      <c r="AK2465">
        <v>47.46</v>
      </c>
      <c r="AL2465">
        <v>-2</v>
      </c>
      <c r="AM2465">
        <v>-2.17</v>
      </c>
      <c r="AN2465">
        <v>35.22</v>
      </c>
      <c r="AO2465">
        <v>-0.44</v>
      </c>
      <c r="AP2465">
        <v>20.58</v>
      </c>
    </row>
    <row r="2466" spans="1:42">
      <c r="A2466">
        <v>2465</v>
      </c>
      <c r="B2466" t="str">
        <f>"300448"</f>
        <v>300448</v>
      </c>
      <c r="C2466" t="s">
        <v>13313</v>
      </c>
      <c r="D2466">
        <v>5.93</v>
      </c>
      <c r="E2466">
        <v>2.77</v>
      </c>
      <c r="F2466">
        <v>0.16</v>
      </c>
      <c r="G2466" t="s">
        <v>422</v>
      </c>
      <c r="H2466">
        <v>2057</v>
      </c>
      <c r="I2466">
        <v>5.93</v>
      </c>
      <c r="J2466">
        <v>5.94</v>
      </c>
      <c r="K2466" t="s">
        <v>13314</v>
      </c>
      <c r="L2466">
        <v>2.51</v>
      </c>
      <c r="M2466" t="s">
        <v>46</v>
      </c>
      <c r="N2466" t="s">
        <v>4198</v>
      </c>
      <c r="O2466">
        <v>5.94</v>
      </c>
      <c r="P2466">
        <v>5.74</v>
      </c>
      <c r="Q2466">
        <v>5.79</v>
      </c>
      <c r="R2466">
        <v>5.77</v>
      </c>
      <c r="S2466">
        <v>3.47</v>
      </c>
      <c r="T2466">
        <v>1.44</v>
      </c>
      <c r="U2466">
        <v>-51.07</v>
      </c>
      <c r="V2466">
        <v>-4071</v>
      </c>
      <c r="W2466">
        <v>5.86</v>
      </c>
      <c r="X2466" t="s">
        <v>2649</v>
      </c>
      <c r="Y2466" t="s">
        <v>4249</v>
      </c>
      <c r="Z2466">
        <v>0.77</v>
      </c>
      <c r="AA2466">
        <v>201</v>
      </c>
      <c r="AB2466">
        <v>683</v>
      </c>
      <c r="AC2466">
        <v>2.86</v>
      </c>
      <c r="AD2466" t="s">
        <v>13315</v>
      </c>
      <c r="AE2466" t="s">
        <v>13316</v>
      </c>
      <c r="AF2466" t="s">
        <v>13317</v>
      </c>
      <c r="AG2466" t="s">
        <v>13318</v>
      </c>
      <c r="AH2466">
        <v>-1.33</v>
      </c>
      <c r="AI2466">
        <v>-1.98</v>
      </c>
      <c r="AJ2466">
        <v>5.48</v>
      </c>
      <c r="AK2466">
        <v>11.26</v>
      </c>
      <c r="AL2466">
        <v>1</v>
      </c>
      <c r="AM2466">
        <v>2.77</v>
      </c>
      <c r="AN2466">
        <v>27.25</v>
      </c>
      <c r="AO2466">
        <v>5.7</v>
      </c>
      <c r="AP2466">
        <v>11.47</v>
      </c>
    </row>
    <row r="2467" spans="1:42">
      <c r="A2467">
        <v>2466</v>
      </c>
      <c r="B2467" t="str">
        <f>"600869"</f>
        <v>600869</v>
      </c>
      <c r="C2467" t="s">
        <v>13319</v>
      </c>
      <c r="D2467">
        <v>4.28</v>
      </c>
      <c r="E2467">
        <v>-0.7</v>
      </c>
      <c r="F2467">
        <v>-0.03</v>
      </c>
      <c r="G2467" t="s">
        <v>2859</v>
      </c>
      <c r="H2467">
        <v>1843</v>
      </c>
      <c r="I2467">
        <v>4.28</v>
      </c>
      <c r="J2467">
        <v>4.29</v>
      </c>
      <c r="K2467" t="s">
        <v>13320</v>
      </c>
      <c r="L2467">
        <v>0.76</v>
      </c>
      <c r="M2467" t="s">
        <v>46</v>
      </c>
      <c r="N2467" t="s">
        <v>13321</v>
      </c>
      <c r="O2467">
        <v>4.31</v>
      </c>
      <c r="P2467">
        <v>4.22</v>
      </c>
      <c r="Q2467">
        <v>4.29</v>
      </c>
      <c r="R2467">
        <v>4.31</v>
      </c>
      <c r="S2467">
        <v>2.09</v>
      </c>
      <c r="T2467">
        <v>0.98</v>
      </c>
      <c r="U2467">
        <v>24.62</v>
      </c>
      <c r="V2467">
        <v>2833</v>
      </c>
      <c r="W2467">
        <v>4.26</v>
      </c>
      <c r="X2467" t="s">
        <v>3275</v>
      </c>
      <c r="Y2467" t="s">
        <v>13322</v>
      </c>
      <c r="Z2467">
        <v>1.14</v>
      </c>
      <c r="AA2467">
        <v>498</v>
      </c>
      <c r="AB2467">
        <v>5</v>
      </c>
      <c r="AC2467">
        <v>2.01</v>
      </c>
      <c r="AD2467" t="s">
        <v>13323</v>
      </c>
      <c r="AE2467" t="s">
        <v>13324</v>
      </c>
      <c r="AF2467" t="s">
        <v>13323</v>
      </c>
      <c r="AG2467" t="s">
        <v>13324</v>
      </c>
      <c r="AH2467">
        <v>-3.39</v>
      </c>
      <c r="AI2467">
        <v>-5.73</v>
      </c>
      <c r="AJ2467">
        <v>3.17</v>
      </c>
      <c r="AK2467">
        <v>4.64</v>
      </c>
      <c r="AL2467">
        <v>-2</v>
      </c>
      <c r="AM2467">
        <v>-0.7</v>
      </c>
      <c r="AN2467">
        <v>-15.25</v>
      </c>
      <c r="AO2467">
        <v>-5.1</v>
      </c>
      <c r="AP2467">
        <v>-21.9</v>
      </c>
    </row>
    <row r="2468" spans="1:42">
      <c r="A2468">
        <v>2467</v>
      </c>
      <c r="B2468" t="str">
        <f>"603203"</f>
        <v>603203</v>
      </c>
      <c r="C2468" t="s">
        <v>13325</v>
      </c>
      <c r="D2468">
        <v>31.03</v>
      </c>
      <c r="E2468">
        <v>1.21</v>
      </c>
      <c r="F2468">
        <v>0.37</v>
      </c>
      <c r="G2468" t="s">
        <v>3151</v>
      </c>
      <c r="H2468">
        <v>312</v>
      </c>
      <c r="I2468">
        <v>31.03</v>
      </c>
      <c r="J2468">
        <v>31.08</v>
      </c>
      <c r="K2468" t="s">
        <v>13326</v>
      </c>
      <c r="L2468">
        <v>0.94</v>
      </c>
      <c r="M2468" t="s">
        <v>46</v>
      </c>
      <c r="N2468" t="s">
        <v>2656</v>
      </c>
      <c r="O2468">
        <v>31.29</v>
      </c>
      <c r="P2468">
        <v>29.86</v>
      </c>
      <c r="Q2468">
        <v>30.69</v>
      </c>
      <c r="R2468">
        <v>30.66</v>
      </c>
      <c r="S2468">
        <v>4.66</v>
      </c>
      <c r="T2468">
        <v>0.73</v>
      </c>
      <c r="U2468">
        <v>48.81</v>
      </c>
      <c r="V2468">
        <v>207</v>
      </c>
      <c r="W2468">
        <v>30.6</v>
      </c>
      <c r="X2468" t="s">
        <v>209</v>
      </c>
      <c r="Y2468" t="s">
        <v>2147</v>
      </c>
      <c r="Z2468">
        <v>1.2</v>
      </c>
      <c r="AA2468">
        <v>120</v>
      </c>
      <c r="AB2468">
        <v>10</v>
      </c>
      <c r="AC2468">
        <v>5.78</v>
      </c>
      <c r="AD2468" t="s">
        <v>13327</v>
      </c>
      <c r="AE2468" t="s">
        <v>13328</v>
      </c>
      <c r="AF2468" t="s">
        <v>6692</v>
      </c>
      <c r="AG2468" t="s">
        <v>13329</v>
      </c>
      <c r="AH2468">
        <v>4.13</v>
      </c>
      <c r="AI2468">
        <v>3.78</v>
      </c>
      <c r="AJ2468">
        <v>3.9</v>
      </c>
      <c r="AK2468">
        <v>7.45</v>
      </c>
      <c r="AL2468">
        <v>4</v>
      </c>
      <c r="AM2468">
        <v>1.21</v>
      </c>
      <c r="AN2468">
        <v>8.92</v>
      </c>
      <c r="AO2468">
        <v>23.04</v>
      </c>
      <c r="AP2468">
        <v>15.78</v>
      </c>
    </row>
    <row r="2469" spans="1:42">
      <c r="A2469">
        <v>2468</v>
      </c>
      <c r="B2469" t="str">
        <f>"002121"</f>
        <v>002121</v>
      </c>
      <c r="C2469" t="s">
        <v>13330</v>
      </c>
      <c r="D2469">
        <v>5.72</v>
      </c>
      <c r="E2469">
        <v>0.53</v>
      </c>
      <c r="F2469">
        <v>0.03</v>
      </c>
      <c r="G2469" t="s">
        <v>3971</v>
      </c>
      <c r="H2469">
        <v>2202</v>
      </c>
      <c r="I2469">
        <v>5.71</v>
      </c>
      <c r="J2469">
        <v>5.72</v>
      </c>
      <c r="K2469" t="s">
        <v>13331</v>
      </c>
      <c r="L2469">
        <v>0.9</v>
      </c>
      <c r="M2469" t="s">
        <v>46</v>
      </c>
      <c r="N2469" t="s">
        <v>11440</v>
      </c>
      <c r="O2469">
        <v>5.74</v>
      </c>
      <c r="P2469">
        <v>5.62</v>
      </c>
      <c r="Q2469">
        <v>5.69</v>
      </c>
      <c r="R2469">
        <v>5.69</v>
      </c>
      <c r="S2469">
        <v>2.11</v>
      </c>
      <c r="T2469">
        <v>0.64</v>
      </c>
      <c r="U2469">
        <v>3.73</v>
      </c>
      <c r="V2469">
        <v>520</v>
      </c>
      <c r="W2469">
        <v>5.68</v>
      </c>
      <c r="X2469" t="s">
        <v>1605</v>
      </c>
      <c r="Y2469" t="s">
        <v>7279</v>
      </c>
      <c r="Z2469">
        <v>1.06</v>
      </c>
      <c r="AA2469">
        <v>1046</v>
      </c>
      <c r="AB2469">
        <v>707</v>
      </c>
      <c r="AC2469">
        <v>6.84</v>
      </c>
      <c r="AD2469" t="s">
        <v>13332</v>
      </c>
      <c r="AE2469" t="s">
        <v>13333</v>
      </c>
      <c r="AF2469" t="s">
        <v>8109</v>
      </c>
      <c r="AG2469" t="s">
        <v>13334</v>
      </c>
      <c r="AH2469">
        <v>-2.39</v>
      </c>
      <c r="AI2469">
        <v>-3.38</v>
      </c>
      <c r="AJ2469">
        <v>3.44</v>
      </c>
      <c r="AK2469">
        <v>7.97</v>
      </c>
      <c r="AL2469">
        <v>1</v>
      </c>
      <c r="AM2469">
        <v>0.53</v>
      </c>
      <c r="AN2469">
        <v>-38.36</v>
      </c>
      <c r="AO2469">
        <v>4.95</v>
      </c>
      <c r="AP2469">
        <v>-37.76</v>
      </c>
    </row>
    <row r="2470" spans="1:42">
      <c r="A2470">
        <v>2469</v>
      </c>
      <c r="B2470" t="str">
        <f>"300560"</f>
        <v>300560</v>
      </c>
      <c r="C2470" t="s">
        <v>13335</v>
      </c>
      <c r="D2470">
        <v>17.7</v>
      </c>
      <c r="E2470">
        <v>1.37</v>
      </c>
      <c r="F2470">
        <v>0.24</v>
      </c>
      <c r="G2470" t="s">
        <v>2752</v>
      </c>
      <c r="H2470">
        <v>376</v>
      </c>
      <c r="I2470">
        <v>17.7</v>
      </c>
      <c r="J2470">
        <v>17.71</v>
      </c>
      <c r="K2470" t="s">
        <v>13336</v>
      </c>
      <c r="L2470">
        <v>2.19</v>
      </c>
      <c r="M2470" t="s">
        <v>46</v>
      </c>
      <c r="N2470" t="s">
        <v>1190</v>
      </c>
      <c r="O2470">
        <v>17.76</v>
      </c>
      <c r="P2470">
        <v>17.26</v>
      </c>
      <c r="Q2470">
        <v>17.47</v>
      </c>
      <c r="R2470">
        <v>17.46</v>
      </c>
      <c r="S2470">
        <v>2.86</v>
      </c>
      <c r="T2470">
        <v>1.2</v>
      </c>
      <c r="U2470">
        <v>-71.86</v>
      </c>
      <c r="V2470">
        <v>-577</v>
      </c>
      <c r="W2470">
        <v>17.54</v>
      </c>
      <c r="X2470" t="s">
        <v>325</v>
      </c>
      <c r="Y2470" t="s">
        <v>3327</v>
      </c>
      <c r="Z2470">
        <v>0.81</v>
      </c>
      <c r="AA2470">
        <v>8</v>
      </c>
      <c r="AB2470">
        <v>61</v>
      </c>
      <c r="AC2470">
        <v>3.53</v>
      </c>
      <c r="AD2470" t="s">
        <v>13337</v>
      </c>
      <c r="AE2470" t="s">
        <v>13338</v>
      </c>
      <c r="AF2470" t="s">
        <v>11797</v>
      </c>
      <c r="AG2470" t="s">
        <v>13339</v>
      </c>
      <c r="AH2470">
        <v>0.17</v>
      </c>
      <c r="AI2470">
        <v>-1.12</v>
      </c>
      <c r="AJ2470">
        <v>5.71</v>
      </c>
      <c r="AK2470">
        <v>11.3</v>
      </c>
      <c r="AL2470">
        <v>2</v>
      </c>
      <c r="AM2470">
        <v>1.37</v>
      </c>
      <c r="AN2470">
        <v>36.05</v>
      </c>
      <c r="AO2470">
        <v>6.56</v>
      </c>
      <c r="AP2470">
        <v>22.15</v>
      </c>
    </row>
    <row r="2471" spans="1:42">
      <c r="A2471">
        <v>2470</v>
      </c>
      <c r="B2471" t="str">
        <f>"300360"</f>
        <v>300360</v>
      </c>
      <c r="C2471" t="s">
        <v>13340</v>
      </c>
      <c r="D2471">
        <v>14.26</v>
      </c>
      <c r="E2471">
        <v>0.14</v>
      </c>
      <c r="F2471">
        <v>0.02</v>
      </c>
      <c r="G2471" t="s">
        <v>6026</v>
      </c>
      <c r="H2471">
        <v>1455</v>
      </c>
      <c r="I2471">
        <v>14.26</v>
      </c>
      <c r="J2471">
        <v>14.27</v>
      </c>
      <c r="K2471" t="s">
        <v>13341</v>
      </c>
      <c r="L2471">
        <v>1.02</v>
      </c>
      <c r="M2471" t="s">
        <v>46</v>
      </c>
      <c r="N2471" t="s">
        <v>958</v>
      </c>
      <c r="O2471">
        <v>14.31</v>
      </c>
      <c r="P2471">
        <v>14.05</v>
      </c>
      <c r="Q2471">
        <v>14.26</v>
      </c>
      <c r="R2471">
        <v>14.24</v>
      </c>
      <c r="S2471">
        <v>1.83</v>
      </c>
      <c r="T2471">
        <v>0.53</v>
      </c>
      <c r="U2471">
        <v>-24.11</v>
      </c>
      <c r="V2471">
        <v>-642</v>
      </c>
      <c r="W2471">
        <v>14.17</v>
      </c>
      <c r="X2471" t="s">
        <v>7993</v>
      </c>
      <c r="Y2471" t="s">
        <v>1212</v>
      </c>
      <c r="Z2471">
        <v>1.25</v>
      </c>
      <c r="AA2471">
        <v>89</v>
      </c>
      <c r="AB2471">
        <v>148</v>
      </c>
      <c r="AC2471">
        <v>2.11</v>
      </c>
      <c r="AD2471" t="s">
        <v>10793</v>
      </c>
      <c r="AE2471" t="s">
        <v>13342</v>
      </c>
      <c r="AF2471" t="s">
        <v>13343</v>
      </c>
      <c r="AG2471" t="s">
        <v>13344</v>
      </c>
      <c r="AH2471">
        <v>-0.28</v>
      </c>
      <c r="AI2471">
        <v>-0.28</v>
      </c>
      <c r="AJ2471">
        <v>5.02</v>
      </c>
      <c r="AK2471">
        <v>10.68</v>
      </c>
      <c r="AL2471">
        <v>1</v>
      </c>
      <c r="AM2471">
        <v>0.14</v>
      </c>
      <c r="AN2471">
        <v>-0.63</v>
      </c>
      <c r="AO2471">
        <v>2.59</v>
      </c>
      <c r="AP2471">
        <v>-11.98</v>
      </c>
    </row>
    <row r="2472" spans="1:42">
      <c r="A2472">
        <v>2471</v>
      </c>
      <c r="B2472" t="str">
        <f>"000096"</f>
        <v>000096</v>
      </c>
      <c r="C2472" t="s">
        <v>13345</v>
      </c>
      <c r="D2472">
        <v>11.31</v>
      </c>
      <c r="E2472">
        <v>3.19</v>
      </c>
      <c r="F2472">
        <v>0.35</v>
      </c>
      <c r="G2472" t="s">
        <v>13346</v>
      </c>
      <c r="H2472">
        <v>1219</v>
      </c>
      <c r="I2472">
        <v>11.3</v>
      </c>
      <c r="J2472">
        <v>11.31</v>
      </c>
      <c r="K2472" t="s">
        <v>13347</v>
      </c>
      <c r="L2472">
        <v>1.26</v>
      </c>
      <c r="M2472" t="s">
        <v>46</v>
      </c>
      <c r="N2472" t="s">
        <v>1511</v>
      </c>
      <c r="O2472">
        <v>11.47</v>
      </c>
      <c r="P2472">
        <v>10.86</v>
      </c>
      <c r="Q2472">
        <v>10.86</v>
      </c>
      <c r="R2472">
        <v>10.96</v>
      </c>
      <c r="S2472">
        <v>5.57</v>
      </c>
      <c r="T2472">
        <v>0.67</v>
      </c>
      <c r="U2472">
        <v>-39.08</v>
      </c>
      <c r="V2472">
        <v>-939</v>
      </c>
      <c r="W2472">
        <v>11.17</v>
      </c>
      <c r="X2472" t="s">
        <v>10910</v>
      </c>
      <c r="Y2472" t="s">
        <v>1718</v>
      </c>
      <c r="Z2472">
        <v>0.72</v>
      </c>
      <c r="AA2472">
        <v>109</v>
      </c>
      <c r="AB2472">
        <v>125</v>
      </c>
      <c r="AC2472">
        <v>2.27</v>
      </c>
      <c r="AD2472" t="s">
        <v>13348</v>
      </c>
      <c r="AE2472" t="s">
        <v>13349</v>
      </c>
      <c r="AF2472" t="s">
        <v>13350</v>
      </c>
      <c r="AG2472" t="s">
        <v>13351</v>
      </c>
      <c r="AH2472">
        <v>0.27</v>
      </c>
      <c r="AI2472">
        <v>4.14</v>
      </c>
      <c r="AJ2472">
        <v>4.38</v>
      </c>
      <c r="AK2472">
        <v>10.66</v>
      </c>
      <c r="AL2472">
        <v>2</v>
      </c>
      <c r="AM2472">
        <v>3.19</v>
      </c>
      <c r="AN2472">
        <v>41.55</v>
      </c>
      <c r="AO2472">
        <v>24.15</v>
      </c>
      <c r="AP2472">
        <v>34.8</v>
      </c>
    </row>
    <row r="2473" spans="1:42">
      <c r="A2473">
        <v>2472</v>
      </c>
      <c r="B2473" t="str">
        <f>"600368"</f>
        <v>600368</v>
      </c>
      <c r="C2473" t="s">
        <v>13352</v>
      </c>
      <c r="D2473">
        <v>4.11</v>
      </c>
      <c r="E2473">
        <v>1.48</v>
      </c>
      <c r="F2473">
        <v>0.06</v>
      </c>
      <c r="G2473" t="s">
        <v>842</v>
      </c>
      <c r="H2473">
        <v>1593</v>
      </c>
      <c r="I2473">
        <v>4.11</v>
      </c>
      <c r="J2473">
        <v>4.12</v>
      </c>
      <c r="K2473" t="s">
        <v>13353</v>
      </c>
      <c r="L2473">
        <v>1.41</v>
      </c>
      <c r="M2473" t="s">
        <v>46</v>
      </c>
      <c r="N2473" t="s">
        <v>966</v>
      </c>
      <c r="O2473">
        <v>4.12</v>
      </c>
      <c r="P2473">
        <v>4.04</v>
      </c>
      <c r="Q2473">
        <v>4.04</v>
      </c>
      <c r="R2473">
        <v>4.05</v>
      </c>
      <c r="S2473">
        <v>1.98</v>
      </c>
      <c r="T2473">
        <v>1.29</v>
      </c>
      <c r="U2473">
        <v>-50.75</v>
      </c>
      <c r="V2473" t="s">
        <v>12230</v>
      </c>
      <c r="W2473">
        <v>4.1</v>
      </c>
      <c r="X2473" t="s">
        <v>2168</v>
      </c>
      <c r="Y2473" t="s">
        <v>1909</v>
      </c>
      <c r="Z2473">
        <v>0.63</v>
      </c>
      <c r="AA2473">
        <v>269</v>
      </c>
      <c r="AB2473" t="s">
        <v>2147</v>
      </c>
      <c r="AC2473">
        <v>0.82</v>
      </c>
      <c r="AD2473" t="s">
        <v>13354</v>
      </c>
      <c r="AE2473" t="s">
        <v>13355</v>
      </c>
      <c r="AF2473" t="s">
        <v>13354</v>
      </c>
      <c r="AG2473" t="s">
        <v>13355</v>
      </c>
      <c r="AH2473">
        <v>1.48</v>
      </c>
      <c r="AI2473">
        <v>1.48</v>
      </c>
      <c r="AJ2473">
        <v>3.15</v>
      </c>
      <c r="AK2473">
        <v>6.89</v>
      </c>
      <c r="AL2473">
        <v>2</v>
      </c>
      <c r="AM2473">
        <v>1.48</v>
      </c>
      <c r="AN2473">
        <v>21.96</v>
      </c>
      <c r="AO2473">
        <v>6.48</v>
      </c>
      <c r="AP2473">
        <v>27.24</v>
      </c>
    </row>
    <row r="2474" spans="1:42">
      <c r="A2474">
        <v>2473</v>
      </c>
      <c r="B2474" t="str">
        <f>"603229"</f>
        <v>603229</v>
      </c>
      <c r="C2474" t="s">
        <v>13356</v>
      </c>
      <c r="D2474">
        <v>14.55</v>
      </c>
      <c r="E2474">
        <v>-1.22</v>
      </c>
      <c r="F2474">
        <v>-0.18</v>
      </c>
      <c r="G2474" t="s">
        <v>6045</v>
      </c>
      <c r="H2474">
        <v>361</v>
      </c>
      <c r="I2474">
        <v>14.55</v>
      </c>
      <c r="J2474">
        <v>14.56</v>
      </c>
      <c r="K2474" t="s">
        <v>13357</v>
      </c>
      <c r="L2474">
        <v>0.83</v>
      </c>
      <c r="M2474" t="s">
        <v>46</v>
      </c>
      <c r="N2474" t="s">
        <v>2045</v>
      </c>
      <c r="O2474">
        <v>14.8</v>
      </c>
      <c r="P2474">
        <v>14.47</v>
      </c>
      <c r="Q2474">
        <v>14.68</v>
      </c>
      <c r="R2474">
        <v>14.73</v>
      </c>
      <c r="S2474">
        <v>2.24</v>
      </c>
      <c r="T2474">
        <v>0.9</v>
      </c>
      <c r="U2474">
        <v>73.33</v>
      </c>
      <c r="V2474">
        <v>1933</v>
      </c>
      <c r="W2474">
        <v>14.56</v>
      </c>
      <c r="X2474" t="s">
        <v>6025</v>
      </c>
      <c r="Y2474" t="s">
        <v>6867</v>
      </c>
      <c r="Z2474">
        <v>2.41</v>
      </c>
      <c r="AA2474">
        <v>616</v>
      </c>
      <c r="AB2474">
        <v>65</v>
      </c>
      <c r="AC2474">
        <v>4.08</v>
      </c>
      <c r="AD2474" t="s">
        <v>13358</v>
      </c>
      <c r="AE2474" t="s">
        <v>13359</v>
      </c>
      <c r="AF2474" t="s">
        <v>13358</v>
      </c>
      <c r="AG2474" t="s">
        <v>13359</v>
      </c>
      <c r="AH2474">
        <v>-1.69</v>
      </c>
      <c r="AI2474">
        <v>-3.64</v>
      </c>
      <c r="AJ2474">
        <v>2.16</v>
      </c>
      <c r="AK2474">
        <v>5.42</v>
      </c>
      <c r="AL2474">
        <v>-1</v>
      </c>
      <c r="AM2474">
        <v>-1.22</v>
      </c>
      <c r="AN2474">
        <v>-14.01</v>
      </c>
      <c r="AO2474">
        <v>-3.06</v>
      </c>
      <c r="AP2474">
        <v>-27.68</v>
      </c>
    </row>
    <row r="2475" spans="1:42">
      <c r="A2475">
        <v>2474</v>
      </c>
      <c r="B2475" t="str">
        <f>"688102"</f>
        <v>688102</v>
      </c>
      <c r="C2475" t="s">
        <v>13360</v>
      </c>
      <c r="D2475">
        <v>13.98</v>
      </c>
      <c r="E2475">
        <v>1.23</v>
      </c>
      <c r="F2475">
        <v>0.17</v>
      </c>
      <c r="G2475" t="s">
        <v>7642</v>
      </c>
      <c r="H2475">
        <v>1007</v>
      </c>
      <c r="I2475">
        <v>13.96</v>
      </c>
      <c r="J2475">
        <v>13.98</v>
      </c>
      <c r="K2475" t="s">
        <v>13361</v>
      </c>
      <c r="L2475">
        <v>1.61</v>
      </c>
      <c r="M2475" t="s">
        <v>46</v>
      </c>
      <c r="N2475" t="s">
        <v>13362</v>
      </c>
      <c r="O2475">
        <v>14.09</v>
      </c>
      <c r="P2475">
        <v>13.58</v>
      </c>
      <c r="Q2475">
        <v>13.77</v>
      </c>
      <c r="R2475">
        <v>13.81</v>
      </c>
      <c r="S2475">
        <v>3.69</v>
      </c>
      <c r="T2475">
        <v>1.01</v>
      </c>
      <c r="U2475">
        <v>-32.46</v>
      </c>
      <c r="V2475">
        <v>-531</v>
      </c>
      <c r="W2475">
        <v>13.9</v>
      </c>
      <c r="X2475" t="s">
        <v>5578</v>
      </c>
      <c r="Y2475" t="s">
        <v>5923</v>
      </c>
      <c r="Z2475">
        <v>0.58</v>
      </c>
      <c r="AA2475">
        <v>10</v>
      </c>
      <c r="AB2475">
        <v>27</v>
      </c>
      <c r="AC2475">
        <v>7.6</v>
      </c>
      <c r="AD2475" t="s">
        <v>13363</v>
      </c>
      <c r="AE2475" t="s">
        <v>13364</v>
      </c>
      <c r="AF2475" t="s">
        <v>10865</v>
      </c>
      <c r="AG2475" t="s">
        <v>1009</v>
      </c>
      <c r="AH2475">
        <v>2.87</v>
      </c>
      <c r="AI2475">
        <v>4.95</v>
      </c>
      <c r="AJ2475">
        <v>6.03</v>
      </c>
      <c r="AK2475">
        <v>9.6</v>
      </c>
      <c r="AL2475">
        <v>1</v>
      </c>
      <c r="AM2475">
        <v>1.23</v>
      </c>
      <c r="AN2475">
        <v>19.28</v>
      </c>
      <c r="AO2475">
        <v>23.5</v>
      </c>
      <c r="AP2475">
        <v>34.68</v>
      </c>
    </row>
    <row r="2476" spans="1:42">
      <c r="A2476">
        <v>2475</v>
      </c>
      <c r="B2476" t="str">
        <f>"839946"</f>
        <v>839946</v>
      </c>
      <c r="C2476" t="s">
        <v>13365</v>
      </c>
      <c r="D2476">
        <v>5.06</v>
      </c>
      <c r="E2476">
        <v>-8.5</v>
      </c>
      <c r="F2476">
        <v>-0.47</v>
      </c>
      <c r="G2476" t="s">
        <v>2753</v>
      </c>
      <c r="H2476">
        <v>1948</v>
      </c>
      <c r="I2476">
        <v>5.06</v>
      </c>
      <c r="J2476">
        <v>5.07</v>
      </c>
      <c r="K2476" t="s">
        <v>13366</v>
      </c>
      <c r="L2476">
        <v>13.73</v>
      </c>
      <c r="M2476" t="s">
        <v>46</v>
      </c>
      <c r="N2476" t="s">
        <v>4150</v>
      </c>
      <c r="O2476">
        <v>5.77</v>
      </c>
      <c r="P2476">
        <v>4.9</v>
      </c>
      <c r="Q2476">
        <v>5.65</v>
      </c>
      <c r="R2476">
        <v>5.53</v>
      </c>
      <c r="S2476">
        <v>15.73</v>
      </c>
      <c r="T2476">
        <v>0.61</v>
      </c>
      <c r="U2476">
        <v>-29.57</v>
      </c>
      <c r="V2476">
        <v>-409</v>
      </c>
      <c r="W2476">
        <v>5.23</v>
      </c>
      <c r="X2476" t="s">
        <v>4555</v>
      </c>
      <c r="Y2476" t="s">
        <v>1503</v>
      </c>
      <c r="Z2476">
        <v>1.4</v>
      </c>
      <c r="AA2476">
        <v>259</v>
      </c>
      <c r="AB2476">
        <v>195</v>
      </c>
      <c r="AC2476">
        <v>2.53</v>
      </c>
      <c r="AD2476" t="s">
        <v>13367</v>
      </c>
      <c r="AE2476" t="s">
        <v>13368</v>
      </c>
      <c r="AF2476" t="s">
        <v>13369</v>
      </c>
      <c r="AG2476" t="s">
        <v>3042</v>
      </c>
      <c r="AH2476">
        <v>-20.19</v>
      </c>
      <c r="AI2476">
        <v>-20.31</v>
      </c>
      <c r="AJ2476">
        <v>42.24</v>
      </c>
      <c r="AK2476">
        <v>126.77</v>
      </c>
      <c r="AL2476">
        <v>-4</v>
      </c>
      <c r="AM2476">
        <v>-8.5</v>
      </c>
      <c r="AN2476">
        <v>73.88</v>
      </c>
      <c r="AO2476">
        <v>109.96</v>
      </c>
      <c r="AP2476">
        <v>60.13</v>
      </c>
    </row>
    <row r="2477" spans="1:42">
      <c r="A2477">
        <v>2476</v>
      </c>
      <c r="B2477" t="str">
        <f>"300490"</f>
        <v>300490</v>
      </c>
      <c r="C2477" t="s">
        <v>13370</v>
      </c>
      <c r="D2477">
        <v>12.15</v>
      </c>
      <c r="E2477">
        <v>1.08</v>
      </c>
      <c r="F2477">
        <v>0.13</v>
      </c>
      <c r="G2477" t="s">
        <v>4753</v>
      </c>
      <c r="H2477">
        <v>834</v>
      </c>
      <c r="I2477">
        <v>12.15</v>
      </c>
      <c r="J2477">
        <v>12.16</v>
      </c>
      <c r="K2477" t="s">
        <v>13371</v>
      </c>
      <c r="L2477">
        <v>1.52</v>
      </c>
      <c r="M2477" t="s">
        <v>46</v>
      </c>
      <c r="N2477" t="s">
        <v>5403</v>
      </c>
      <c r="O2477">
        <v>12.2</v>
      </c>
      <c r="P2477">
        <v>11.92</v>
      </c>
      <c r="Q2477">
        <v>12.06</v>
      </c>
      <c r="R2477">
        <v>12.02</v>
      </c>
      <c r="S2477">
        <v>2.33</v>
      </c>
      <c r="T2477">
        <v>0.76</v>
      </c>
      <c r="U2477">
        <v>-21.46</v>
      </c>
      <c r="V2477">
        <v>-420</v>
      </c>
      <c r="W2477">
        <v>12.08</v>
      </c>
      <c r="X2477" t="s">
        <v>925</v>
      </c>
      <c r="Y2477" t="s">
        <v>8681</v>
      </c>
      <c r="Z2477">
        <v>1.08</v>
      </c>
      <c r="AA2477">
        <v>97</v>
      </c>
      <c r="AB2477">
        <v>70</v>
      </c>
      <c r="AC2477">
        <v>1.62</v>
      </c>
      <c r="AD2477" t="s">
        <v>13372</v>
      </c>
      <c r="AE2477" t="s">
        <v>13373</v>
      </c>
      <c r="AF2477" t="s">
        <v>13374</v>
      </c>
      <c r="AG2477" t="s">
        <v>8386</v>
      </c>
      <c r="AH2477">
        <v>-1.14</v>
      </c>
      <c r="AI2477">
        <v>-2.64</v>
      </c>
      <c r="AJ2477">
        <v>5.09</v>
      </c>
      <c r="AK2477">
        <v>11.61</v>
      </c>
      <c r="AL2477">
        <v>1</v>
      </c>
      <c r="AM2477">
        <v>1.08</v>
      </c>
      <c r="AN2477">
        <v>5.38</v>
      </c>
      <c r="AO2477">
        <v>1.42</v>
      </c>
      <c r="AP2477">
        <v>-6.61</v>
      </c>
    </row>
    <row r="2478" spans="1:42">
      <c r="A2478">
        <v>2477</v>
      </c>
      <c r="B2478" t="str">
        <f>"603135"</f>
        <v>603135</v>
      </c>
      <c r="C2478" t="s">
        <v>13375</v>
      </c>
      <c r="D2478">
        <v>17.02</v>
      </c>
      <c r="E2478">
        <v>-1.28</v>
      </c>
      <c r="F2478">
        <v>-0.22</v>
      </c>
      <c r="G2478" t="s">
        <v>7877</v>
      </c>
      <c r="H2478">
        <v>629</v>
      </c>
      <c r="I2478">
        <v>17.02</v>
      </c>
      <c r="J2478">
        <v>17.03</v>
      </c>
      <c r="K2478" t="s">
        <v>13376</v>
      </c>
      <c r="L2478">
        <v>4.67</v>
      </c>
      <c r="M2478" t="s">
        <v>46</v>
      </c>
      <c r="N2478" t="s">
        <v>1567</v>
      </c>
      <c r="O2478">
        <v>17.13</v>
      </c>
      <c r="P2478">
        <v>16.91</v>
      </c>
      <c r="Q2478">
        <v>17</v>
      </c>
      <c r="R2478">
        <v>17.24</v>
      </c>
      <c r="S2478">
        <v>1.28</v>
      </c>
      <c r="T2478">
        <v>0.93</v>
      </c>
      <c r="U2478">
        <v>60.1</v>
      </c>
      <c r="V2478">
        <v>753</v>
      </c>
      <c r="W2478">
        <v>17</v>
      </c>
      <c r="X2478" t="s">
        <v>4012</v>
      </c>
      <c r="Y2478" t="s">
        <v>4977</v>
      </c>
      <c r="Z2478">
        <v>1.64</v>
      </c>
      <c r="AA2478">
        <v>263</v>
      </c>
      <c r="AB2478">
        <v>28</v>
      </c>
      <c r="AC2478">
        <v>2.52</v>
      </c>
      <c r="AD2478" t="s">
        <v>6350</v>
      </c>
      <c r="AE2478" t="s">
        <v>13377</v>
      </c>
      <c r="AF2478" t="s">
        <v>13378</v>
      </c>
      <c r="AG2478" t="s">
        <v>13379</v>
      </c>
      <c r="AH2478">
        <v>0.29</v>
      </c>
      <c r="AI2478">
        <v>-0.06</v>
      </c>
      <c r="AJ2478">
        <v>17.45</v>
      </c>
      <c r="AK2478">
        <v>29.66</v>
      </c>
      <c r="AL2478">
        <v>-1</v>
      </c>
      <c r="AM2478">
        <v>-1.28</v>
      </c>
      <c r="AN2478">
        <v>-3.3</v>
      </c>
      <c r="AO2478">
        <v>8.89</v>
      </c>
      <c r="AP2478">
        <v>-3.3</v>
      </c>
    </row>
    <row r="2479" spans="1:42">
      <c r="A2479">
        <v>2478</v>
      </c>
      <c r="B2479" t="str">
        <f>"300420"</f>
        <v>300420</v>
      </c>
      <c r="C2479" t="s">
        <v>13380</v>
      </c>
      <c r="D2479">
        <v>3.22</v>
      </c>
      <c r="E2479">
        <v>0</v>
      </c>
      <c r="F2479">
        <v>0</v>
      </c>
      <c r="G2479" t="s">
        <v>3139</v>
      </c>
      <c r="H2479">
        <v>5612</v>
      </c>
      <c r="I2479">
        <v>3.21</v>
      </c>
      <c r="J2479">
        <v>3.22</v>
      </c>
      <c r="K2479" t="s">
        <v>13381</v>
      </c>
      <c r="L2479">
        <v>2.18</v>
      </c>
      <c r="M2479" t="s">
        <v>46</v>
      </c>
      <c r="N2479" t="s">
        <v>1936</v>
      </c>
      <c r="O2479">
        <v>3.24</v>
      </c>
      <c r="P2479">
        <v>3.18</v>
      </c>
      <c r="Q2479">
        <v>3.22</v>
      </c>
      <c r="R2479">
        <v>3.22</v>
      </c>
      <c r="S2479">
        <v>1.86</v>
      </c>
      <c r="T2479">
        <v>0.33</v>
      </c>
      <c r="U2479">
        <v>37.01</v>
      </c>
      <c r="V2479">
        <v>7945</v>
      </c>
      <c r="W2479">
        <v>3.21</v>
      </c>
      <c r="X2479" t="s">
        <v>1937</v>
      </c>
      <c r="Y2479" t="s">
        <v>3402</v>
      </c>
      <c r="Z2479">
        <v>1.17</v>
      </c>
      <c r="AA2479">
        <v>891</v>
      </c>
      <c r="AB2479">
        <v>376</v>
      </c>
      <c r="AC2479">
        <v>1.47</v>
      </c>
      <c r="AD2479" t="s">
        <v>5555</v>
      </c>
      <c r="AE2479" t="s">
        <v>11592</v>
      </c>
      <c r="AF2479" t="s">
        <v>1078</v>
      </c>
      <c r="AG2479" t="s">
        <v>13382</v>
      </c>
      <c r="AH2479">
        <v>-5.57</v>
      </c>
      <c r="AI2479">
        <v>1.58</v>
      </c>
      <c r="AJ2479">
        <v>9.47</v>
      </c>
      <c r="AK2479">
        <v>34.89</v>
      </c>
      <c r="AL2479">
        <v>0</v>
      </c>
      <c r="AM2479">
        <v>0</v>
      </c>
      <c r="AN2479">
        <v>20.15</v>
      </c>
      <c r="AO2479">
        <v>6.27</v>
      </c>
      <c r="AP2479">
        <v>17.95</v>
      </c>
    </row>
    <row r="2480" spans="1:42">
      <c r="A2480">
        <v>2479</v>
      </c>
      <c r="B2480" t="str">
        <f>"002476"</f>
        <v>002476</v>
      </c>
      <c r="C2480" t="s">
        <v>13383</v>
      </c>
      <c r="D2480">
        <v>6.24</v>
      </c>
      <c r="E2480">
        <v>0</v>
      </c>
      <c r="F2480">
        <v>0</v>
      </c>
      <c r="G2480" t="s">
        <v>4369</v>
      </c>
      <c r="H2480">
        <v>1994</v>
      </c>
      <c r="I2480">
        <v>6.23</v>
      </c>
      <c r="J2480">
        <v>6.24</v>
      </c>
      <c r="K2480" t="s">
        <v>13384</v>
      </c>
      <c r="L2480">
        <v>1.87</v>
      </c>
      <c r="M2480" t="s">
        <v>46</v>
      </c>
      <c r="N2480" t="s">
        <v>3583</v>
      </c>
      <c r="O2480">
        <v>6.3</v>
      </c>
      <c r="P2480">
        <v>6.21</v>
      </c>
      <c r="Q2480">
        <v>6.29</v>
      </c>
      <c r="R2480">
        <v>6.24</v>
      </c>
      <c r="S2480">
        <v>1.44</v>
      </c>
      <c r="T2480">
        <v>0.66</v>
      </c>
      <c r="U2480">
        <v>15.93</v>
      </c>
      <c r="V2480">
        <v>1517</v>
      </c>
      <c r="W2480">
        <v>6.24</v>
      </c>
      <c r="X2480" t="s">
        <v>1721</v>
      </c>
      <c r="Y2480" t="s">
        <v>7817</v>
      </c>
      <c r="Z2480">
        <v>1.41</v>
      </c>
      <c r="AA2480">
        <v>1612</v>
      </c>
      <c r="AB2480">
        <v>48</v>
      </c>
      <c r="AC2480">
        <v>4.38</v>
      </c>
      <c r="AD2480" t="s">
        <v>13385</v>
      </c>
      <c r="AE2480" t="s">
        <v>13386</v>
      </c>
      <c r="AF2480" t="s">
        <v>13385</v>
      </c>
      <c r="AG2480" t="s">
        <v>13386</v>
      </c>
      <c r="AH2480">
        <v>-1.27</v>
      </c>
      <c r="AI2480">
        <v>2.3</v>
      </c>
      <c r="AJ2480">
        <v>6.67</v>
      </c>
      <c r="AK2480">
        <v>16.13</v>
      </c>
      <c r="AL2480">
        <v>0</v>
      </c>
      <c r="AM2480">
        <v>0</v>
      </c>
      <c r="AN2480">
        <v>15.13</v>
      </c>
      <c r="AO2480">
        <v>11.63</v>
      </c>
      <c r="AP2480">
        <v>16.42</v>
      </c>
    </row>
    <row r="2481" spans="1:42">
      <c r="A2481">
        <v>2480</v>
      </c>
      <c r="B2481" t="str">
        <f>"002899"</f>
        <v>002899</v>
      </c>
      <c r="C2481" t="s">
        <v>13387</v>
      </c>
      <c r="D2481">
        <v>16.82</v>
      </c>
      <c r="E2481">
        <v>-2.15</v>
      </c>
      <c r="F2481">
        <v>-0.37</v>
      </c>
      <c r="G2481" t="s">
        <v>7877</v>
      </c>
      <c r="H2481">
        <v>510</v>
      </c>
      <c r="I2481">
        <v>16.82</v>
      </c>
      <c r="J2481">
        <v>16.83</v>
      </c>
      <c r="K2481" t="s">
        <v>13388</v>
      </c>
      <c r="L2481">
        <v>3.5</v>
      </c>
      <c r="M2481" t="s">
        <v>46</v>
      </c>
      <c r="N2481" t="s">
        <v>13389</v>
      </c>
      <c r="O2481">
        <v>17.29</v>
      </c>
      <c r="P2481">
        <v>16.8</v>
      </c>
      <c r="Q2481">
        <v>17.05</v>
      </c>
      <c r="R2481">
        <v>17.19</v>
      </c>
      <c r="S2481">
        <v>2.85</v>
      </c>
      <c r="T2481">
        <v>1.45</v>
      </c>
      <c r="U2481">
        <v>-11.27</v>
      </c>
      <c r="V2481">
        <v>-62</v>
      </c>
      <c r="W2481">
        <v>16.97</v>
      </c>
      <c r="X2481" t="s">
        <v>6266</v>
      </c>
      <c r="Y2481" t="s">
        <v>1525</v>
      </c>
      <c r="Z2481">
        <v>1.22</v>
      </c>
      <c r="AA2481">
        <v>34</v>
      </c>
      <c r="AB2481">
        <v>76</v>
      </c>
      <c r="AC2481">
        <v>1.65</v>
      </c>
      <c r="AD2481" t="s">
        <v>5210</v>
      </c>
      <c r="AE2481" t="s">
        <v>2669</v>
      </c>
      <c r="AF2481" t="s">
        <v>5210</v>
      </c>
      <c r="AG2481" t="s">
        <v>2669</v>
      </c>
      <c r="AH2481">
        <v>-1.52</v>
      </c>
      <c r="AI2481">
        <v>-0.41</v>
      </c>
      <c r="AJ2481">
        <v>7.85</v>
      </c>
      <c r="AK2481">
        <v>15.62</v>
      </c>
      <c r="AL2481">
        <v>-1</v>
      </c>
      <c r="AM2481">
        <v>-2.15</v>
      </c>
      <c r="AN2481">
        <v>34.99</v>
      </c>
      <c r="AO2481">
        <v>8.03</v>
      </c>
      <c r="AP2481">
        <v>25.34</v>
      </c>
    </row>
    <row r="2482" spans="1:42">
      <c r="A2482">
        <v>2481</v>
      </c>
      <c r="B2482" t="str">
        <f>"603368"</f>
        <v>603368</v>
      </c>
      <c r="C2482" t="s">
        <v>13390</v>
      </c>
      <c r="D2482">
        <v>21.24</v>
      </c>
      <c r="E2482">
        <v>0.09</v>
      </c>
      <c r="F2482">
        <v>0.02</v>
      </c>
      <c r="G2482" t="s">
        <v>6365</v>
      </c>
      <c r="H2482">
        <v>190</v>
      </c>
      <c r="I2482">
        <v>21.23</v>
      </c>
      <c r="J2482">
        <v>21.24</v>
      </c>
      <c r="K2482" t="s">
        <v>13391</v>
      </c>
      <c r="L2482">
        <v>0.93</v>
      </c>
      <c r="M2482" t="s">
        <v>46</v>
      </c>
      <c r="N2482" t="s">
        <v>10591</v>
      </c>
      <c r="O2482">
        <v>21.49</v>
      </c>
      <c r="P2482">
        <v>21.05</v>
      </c>
      <c r="Q2482">
        <v>21.19</v>
      </c>
      <c r="R2482">
        <v>21.22</v>
      </c>
      <c r="S2482">
        <v>2.07</v>
      </c>
      <c r="T2482">
        <v>0.95</v>
      </c>
      <c r="U2482">
        <v>-27.82</v>
      </c>
      <c r="V2482">
        <v>-210</v>
      </c>
      <c r="W2482">
        <v>21.26</v>
      </c>
      <c r="X2482" t="s">
        <v>10934</v>
      </c>
      <c r="Y2482" t="s">
        <v>4105</v>
      </c>
      <c r="Z2482">
        <v>1.36</v>
      </c>
      <c r="AA2482">
        <v>120</v>
      </c>
      <c r="AB2482">
        <v>1</v>
      </c>
      <c r="AC2482">
        <v>1.22</v>
      </c>
      <c r="AD2482" t="s">
        <v>13392</v>
      </c>
      <c r="AE2482" t="s">
        <v>13393</v>
      </c>
      <c r="AF2482" t="s">
        <v>13394</v>
      </c>
      <c r="AG2482" t="s">
        <v>13029</v>
      </c>
      <c r="AH2482">
        <v>-0.19</v>
      </c>
      <c r="AI2482">
        <v>0.76</v>
      </c>
      <c r="AJ2482">
        <v>2.41</v>
      </c>
      <c r="AK2482">
        <v>5.84</v>
      </c>
      <c r="AL2482">
        <v>2</v>
      </c>
      <c r="AM2482">
        <v>0.09</v>
      </c>
      <c r="AN2482">
        <v>16.96</v>
      </c>
      <c r="AO2482">
        <v>1.97</v>
      </c>
      <c r="AP2482">
        <v>7.33</v>
      </c>
    </row>
    <row r="2483" spans="1:42">
      <c r="A2483">
        <v>2482</v>
      </c>
      <c r="B2483" t="str">
        <f>"002245"</f>
        <v>002245</v>
      </c>
      <c r="C2483" t="s">
        <v>13395</v>
      </c>
      <c r="D2483">
        <v>9.04</v>
      </c>
      <c r="E2483">
        <v>0.22</v>
      </c>
      <c r="F2483">
        <v>0.02</v>
      </c>
      <c r="G2483" t="s">
        <v>6376</v>
      </c>
      <c r="H2483">
        <v>437</v>
      </c>
      <c r="I2483">
        <v>9.03</v>
      </c>
      <c r="J2483">
        <v>9.04</v>
      </c>
      <c r="K2483" t="s">
        <v>13396</v>
      </c>
      <c r="L2483">
        <v>0.73</v>
      </c>
      <c r="M2483" t="s">
        <v>46</v>
      </c>
      <c r="N2483" t="s">
        <v>13397</v>
      </c>
      <c r="O2483">
        <v>9.09</v>
      </c>
      <c r="P2483">
        <v>8.92</v>
      </c>
      <c r="Q2483">
        <v>8.99</v>
      </c>
      <c r="R2483">
        <v>9.02</v>
      </c>
      <c r="S2483">
        <v>1.88</v>
      </c>
      <c r="T2483">
        <v>0.82</v>
      </c>
      <c r="U2483">
        <v>18.49</v>
      </c>
      <c r="V2483">
        <v>858</v>
      </c>
      <c r="W2483">
        <v>9</v>
      </c>
      <c r="X2483" t="s">
        <v>8404</v>
      </c>
      <c r="Y2483" t="s">
        <v>6645</v>
      </c>
      <c r="Z2483">
        <v>1.02</v>
      </c>
      <c r="AA2483">
        <v>233</v>
      </c>
      <c r="AB2483">
        <v>73</v>
      </c>
      <c r="AC2483">
        <v>1.62</v>
      </c>
      <c r="AD2483" t="s">
        <v>896</v>
      </c>
      <c r="AE2483" t="s">
        <v>13398</v>
      </c>
      <c r="AF2483" t="s">
        <v>13399</v>
      </c>
      <c r="AG2483" t="s">
        <v>13400</v>
      </c>
      <c r="AH2483">
        <v>-2.16</v>
      </c>
      <c r="AI2483">
        <v>-1.85</v>
      </c>
      <c r="AJ2483">
        <v>2.2</v>
      </c>
      <c r="AK2483">
        <v>5.22</v>
      </c>
      <c r="AL2483">
        <v>1</v>
      </c>
      <c r="AM2483">
        <v>0.22</v>
      </c>
      <c r="AN2483">
        <v>-39.12</v>
      </c>
      <c r="AO2483">
        <v>-2.38</v>
      </c>
      <c r="AP2483">
        <v>-43.82</v>
      </c>
    </row>
    <row r="2484" spans="1:42">
      <c r="A2484">
        <v>2483</v>
      </c>
      <c r="B2484" t="str">
        <f>"600708"</f>
        <v>600708</v>
      </c>
      <c r="C2484" t="s">
        <v>13401</v>
      </c>
      <c r="D2484">
        <v>2.25</v>
      </c>
      <c r="E2484">
        <v>1.35</v>
      </c>
      <c r="F2484">
        <v>0.03</v>
      </c>
      <c r="G2484" t="s">
        <v>2450</v>
      </c>
      <c r="H2484">
        <v>2498</v>
      </c>
      <c r="I2484">
        <v>2.25</v>
      </c>
      <c r="J2484">
        <v>2.26</v>
      </c>
      <c r="K2484" t="s">
        <v>13402</v>
      </c>
      <c r="L2484">
        <v>1.42</v>
      </c>
      <c r="M2484" t="s">
        <v>46</v>
      </c>
      <c r="N2484" t="s">
        <v>13403</v>
      </c>
      <c r="O2484">
        <v>2.27</v>
      </c>
      <c r="P2484">
        <v>2.21</v>
      </c>
      <c r="Q2484">
        <v>2.22</v>
      </c>
      <c r="R2484">
        <v>2.22</v>
      </c>
      <c r="S2484">
        <v>2.7</v>
      </c>
      <c r="T2484">
        <v>0.61</v>
      </c>
      <c r="U2484">
        <v>-48.17</v>
      </c>
      <c r="V2484" t="s">
        <v>13404</v>
      </c>
      <c r="W2484">
        <v>2.25</v>
      </c>
      <c r="X2484" t="s">
        <v>1438</v>
      </c>
      <c r="Y2484" t="s">
        <v>3809</v>
      </c>
      <c r="Z2484">
        <v>0.54</v>
      </c>
      <c r="AA2484">
        <v>2624</v>
      </c>
      <c r="AB2484" t="s">
        <v>2818</v>
      </c>
      <c r="AC2484">
        <v>0.46</v>
      </c>
      <c r="AD2484" t="s">
        <v>13405</v>
      </c>
      <c r="AE2484" t="s">
        <v>13406</v>
      </c>
      <c r="AF2484" t="s">
        <v>10093</v>
      </c>
      <c r="AG2484" t="s">
        <v>10439</v>
      </c>
      <c r="AH2484">
        <v>-0.88</v>
      </c>
      <c r="AI2484">
        <v>-6.25</v>
      </c>
      <c r="AJ2484">
        <v>4.32</v>
      </c>
      <c r="AK2484">
        <v>13.18</v>
      </c>
      <c r="AL2484">
        <v>1</v>
      </c>
      <c r="AM2484">
        <v>1.35</v>
      </c>
      <c r="AN2484">
        <v>-8.16</v>
      </c>
      <c r="AO2484">
        <v>3.21</v>
      </c>
      <c r="AP2484">
        <v>-1.75</v>
      </c>
    </row>
    <row r="2485" spans="1:42">
      <c r="A2485">
        <v>2484</v>
      </c>
      <c r="B2485" t="str">
        <f>"300722"</f>
        <v>300722</v>
      </c>
      <c r="C2485" t="s">
        <v>13407</v>
      </c>
      <c r="D2485">
        <v>26.12</v>
      </c>
      <c r="E2485">
        <v>0.93</v>
      </c>
      <c r="F2485">
        <v>0.24</v>
      </c>
      <c r="G2485" t="s">
        <v>5420</v>
      </c>
      <c r="H2485">
        <v>501</v>
      </c>
      <c r="I2485">
        <v>26.12</v>
      </c>
      <c r="J2485">
        <v>26.13</v>
      </c>
      <c r="K2485" t="s">
        <v>13408</v>
      </c>
      <c r="L2485">
        <v>1.18</v>
      </c>
      <c r="M2485" t="s">
        <v>46</v>
      </c>
      <c r="N2485" t="s">
        <v>5371</v>
      </c>
      <c r="O2485">
        <v>26.28</v>
      </c>
      <c r="P2485">
        <v>25.75</v>
      </c>
      <c r="Q2485">
        <v>25.9</v>
      </c>
      <c r="R2485">
        <v>25.88</v>
      </c>
      <c r="S2485">
        <v>2.05</v>
      </c>
      <c r="T2485">
        <v>0.76</v>
      </c>
      <c r="U2485">
        <v>54.93</v>
      </c>
      <c r="V2485">
        <v>848</v>
      </c>
      <c r="W2485">
        <v>26.03</v>
      </c>
      <c r="X2485" t="s">
        <v>2547</v>
      </c>
      <c r="Y2485" t="s">
        <v>7656</v>
      </c>
      <c r="Z2485">
        <v>0.84</v>
      </c>
      <c r="AA2485">
        <v>316</v>
      </c>
      <c r="AB2485">
        <v>148</v>
      </c>
      <c r="AC2485">
        <v>10.47</v>
      </c>
      <c r="AD2485" t="s">
        <v>13409</v>
      </c>
      <c r="AE2485" t="s">
        <v>13410</v>
      </c>
      <c r="AF2485" t="s">
        <v>13409</v>
      </c>
      <c r="AG2485" t="s">
        <v>13410</v>
      </c>
      <c r="AH2485">
        <v>0.46</v>
      </c>
      <c r="AI2485">
        <v>-5.16</v>
      </c>
      <c r="AJ2485">
        <v>3.16</v>
      </c>
      <c r="AK2485">
        <v>8.95</v>
      </c>
      <c r="AL2485">
        <v>2</v>
      </c>
      <c r="AM2485">
        <v>0.93</v>
      </c>
      <c r="AN2485">
        <v>23.32</v>
      </c>
      <c r="AO2485">
        <v>-3.12</v>
      </c>
      <c r="AP2485">
        <v>13.37</v>
      </c>
    </row>
    <row r="2486" spans="1:42">
      <c r="A2486">
        <v>2485</v>
      </c>
      <c r="B2486" t="str">
        <f>"833030"</f>
        <v>833030</v>
      </c>
      <c r="C2486" t="s">
        <v>13411</v>
      </c>
      <c r="D2486">
        <v>14.16</v>
      </c>
      <c r="E2486">
        <v>-5.47</v>
      </c>
      <c r="F2486">
        <v>-0.82</v>
      </c>
      <c r="G2486" t="s">
        <v>5612</v>
      </c>
      <c r="H2486">
        <v>466</v>
      </c>
      <c r="I2486">
        <v>14.16</v>
      </c>
      <c r="J2486">
        <v>14.17</v>
      </c>
      <c r="K2486" t="s">
        <v>13412</v>
      </c>
      <c r="L2486">
        <v>21.7</v>
      </c>
      <c r="M2486" t="s">
        <v>11793</v>
      </c>
      <c r="N2486" t="s">
        <v>987</v>
      </c>
      <c r="O2486">
        <v>15.78</v>
      </c>
      <c r="P2486">
        <v>13.73</v>
      </c>
      <c r="Q2486">
        <v>15.04</v>
      </c>
      <c r="R2486">
        <v>14.98</v>
      </c>
      <c r="S2486">
        <v>13.68</v>
      </c>
      <c r="T2486">
        <v>0.52</v>
      </c>
      <c r="U2486">
        <v>66.73</v>
      </c>
      <c r="V2486">
        <v>738</v>
      </c>
      <c r="W2486">
        <v>14.59</v>
      </c>
      <c r="X2486" t="s">
        <v>2727</v>
      </c>
      <c r="Y2486" t="s">
        <v>2877</v>
      </c>
      <c r="Z2486">
        <v>1.45</v>
      </c>
      <c r="AA2486">
        <v>495</v>
      </c>
      <c r="AB2486">
        <v>112</v>
      </c>
      <c r="AC2486">
        <v>2.14</v>
      </c>
      <c r="AD2486" t="s">
        <v>13413</v>
      </c>
      <c r="AE2486" t="s">
        <v>695</v>
      </c>
      <c r="AF2486" t="s">
        <v>13414</v>
      </c>
      <c r="AG2486" t="s">
        <v>13415</v>
      </c>
      <c r="AH2486">
        <v>-18.29</v>
      </c>
      <c r="AI2486">
        <v>5.83</v>
      </c>
      <c r="AJ2486">
        <v>80.02</v>
      </c>
      <c r="AK2486">
        <v>229.39</v>
      </c>
      <c r="AL2486">
        <v>-3</v>
      </c>
      <c r="AM2486">
        <v>-5.47</v>
      </c>
      <c r="AN2486">
        <v>-54.32</v>
      </c>
      <c r="AO2486">
        <v>10.54</v>
      </c>
      <c r="AP2486">
        <v>-54.32</v>
      </c>
    </row>
    <row r="2487" spans="1:42">
      <c r="A2487">
        <v>2486</v>
      </c>
      <c r="B2487" t="str">
        <f>"836717"</f>
        <v>836717</v>
      </c>
      <c r="C2487" t="s">
        <v>13416</v>
      </c>
      <c r="D2487">
        <v>6.81</v>
      </c>
      <c r="E2487">
        <v>-17.65</v>
      </c>
      <c r="F2487">
        <v>-1.46</v>
      </c>
      <c r="G2487" t="s">
        <v>1232</v>
      </c>
      <c r="H2487">
        <v>565</v>
      </c>
      <c r="I2487">
        <v>6.81</v>
      </c>
      <c r="J2487">
        <v>6.86</v>
      </c>
      <c r="K2487" t="s">
        <v>13417</v>
      </c>
      <c r="L2487">
        <v>35.67</v>
      </c>
      <c r="M2487" t="s">
        <v>46</v>
      </c>
      <c r="N2487" t="s">
        <v>8976</v>
      </c>
      <c r="O2487">
        <v>7.59</v>
      </c>
      <c r="P2487">
        <v>6.53</v>
      </c>
      <c r="Q2487">
        <v>7.19</v>
      </c>
      <c r="R2487">
        <v>8.27</v>
      </c>
      <c r="S2487">
        <v>12.82</v>
      </c>
      <c r="T2487">
        <v>0.94</v>
      </c>
      <c r="U2487">
        <v>24.05</v>
      </c>
      <c r="V2487">
        <v>241</v>
      </c>
      <c r="W2487">
        <v>7.06</v>
      </c>
      <c r="X2487" t="s">
        <v>6561</v>
      </c>
      <c r="Y2487" t="s">
        <v>4724</v>
      </c>
      <c r="Z2487">
        <v>1.49</v>
      </c>
      <c r="AA2487">
        <v>510</v>
      </c>
      <c r="AB2487">
        <v>5</v>
      </c>
      <c r="AC2487">
        <v>1.41</v>
      </c>
      <c r="AD2487" t="s">
        <v>13418</v>
      </c>
      <c r="AE2487" t="s">
        <v>13419</v>
      </c>
      <c r="AF2487" t="s">
        <v>10574</v>
      </c>
      <c r="AG2487" t="s">
        <v>13420</v>
      </c>
      <c r="AH2487">
        <v>-11.56</v>
      </c>
      <c r="AI2487">
        <v>33.53</v>
      </c>
      <c r="AJ2487">
        <v>104.93</v>
      </c>
      <c r="AK2487">
        <v>225.81</v>
      </c>
      <c r="AL2487">
        <v>-1</v>
      </c>
      <c r="AM2487">
        <v>-17.65</v>
      </c>
      <c r="AN2487">
        <v>-48.95</v>
      </c>
      <c r="AO2487">
        <v>66.1</v>
      </c>
      <c r="AP2487">
        <v>-48.95</v>
      </c>
    </row>
    <row r="2488" spans="1:42">
      <c r="A2488">
        <v>2487</v>
      </c>
      <c r="B2488" t="str">
        <f>"000419"</f>
        <v>000419</v>
      </c>
      <c r="C2488" t="s">
        <v>13421</v>
      </c>
      <c r="D2488">
        <v>5.91</v>
      </c>
      <c r="E2488">
        <v>0.68</v>
      </c>
      <c r="F2488">
        <v>0.04</v>
      </c>
      <c r="G2488" t="s">
        <v>1908</v>
      </c>
      <c r="H2488">
        <v>667</v>
      </c>
      <c r="I2488">
        <v>5.91</v>
      </c>
      <c r="J2488">
        <v>5.92</v>
      </c>
      <c r="K2488" t="s">
        <v>13422</v>
      </c>
      <c r="L2488">
        <v>2.19</v>
      </c>
      <c r="M2488" t="s">
        <v>46</v>
      </c>
      <c r="N2488" t="s">
        <v>1386</v>
      </c>
      <c r="O2488">
        <v>6.02</v>
      </c>
      <c r="P2488">
        <v>5.84</v>
      </c>
      <c r="Q2488">
        <v>5.87</v>
      </c>
      <c r="R2488">
        <v>5.87</v>
      </c>
      <c r="S2488">
        <v>3.07</v>
      </c>
      <c r="T2488">
        <v>0.71</v>
      </c>
      <c r="U2488">
        <v>1.99</v>
      </c>
      <c r="V2488">
        <v>138</v>
      </c>
      <c r="W2488">
        <v>5.96</v>
      </c>
      <c r="X2488" t="s">
        <v>9224</v>
      </c>
      <c r="Y2488" t="s">
        <v>4900</v>
      </c>
      <c r="Z2488">
        <v>1.02</v>
      </c>
      <c r="AA2488">
        <v>46</v>
      </c>
      <c r="AB2488">
        <v>1386</v>
      </c>
      <c r="AC2488">
        <v>1</v>
      </c>
      <c r="AD2488" t="s">
        <v>13423</v>
      </c>
      <c r="AE2488" t="s">
        <v>13424</v>
      </c>
      <c r="AF2488" t="s">
        <v>9922</v>
      </c>
      <c r="AG2488" t="s">
        <v>5200</v>
      </c>
      <c r="AH2488">
        <v>2.07</v>
      </c>
      <c r="AI2488">
        <v>2.07</v>
      </c>
      <c r="AJ2488">
        <v>5.63</v>
      </c>
      <c r="AK2488">
        <v>17.52</v>
      </c>
      <c r="AL2488">
        <v>2</v>
      </c>
      <c r="AM2488">
        <v>0.68</v>
      </c>
      <c r="AN2488">
        <v>-22.34</v>
      </c>
      <c r="AO2488">
        <v>7.65</v>
      </c>
      <c r="AP2488">
        <v>17.96</v>
      </c>
    </row>
    <row r="2489" spans="1:42">
      <c r="A2489">
        <v>2488</v>
      </c>
      <c r="B2489" t="str">
        <f>"002073"</f>
        <v>002073</v>
      </c>
      <c r="C2489" t="s">
        <v>13425</v>
      </c>
      <c r="D2489">
        <v>6.87</v>
      </c>
      <c r="E2489">
        <v>0.44</v>
      </c>
      <c r="F2489">
        <v>0.03</v>
      </c>
      <c r="G2489" t="s">
        <v>740</v>
      </c>
      <c r="H2489">
        <v>1552</v>
      </c>
      <c r="I2489">
        <v>6.87</v>
      </c>
      <c r="J2489">
        <v>6.88</v>
      </c>
      <c r="K2489" t="s">
        <v>13426</v>
      </c>
      <c r="L2489">
        <v>1.08</v>
      </c>
      <c r="M2489" t="s">
        <v>46</v>
      </c>
      <c r="N2489" t="s">
        <v>78</v>
      </c>
      <c r="O2489">
        <v>6.88</v>
      </c>
      <c r="P2489">
        <v>6.79</v>
      </c>
      <c r="Q2489">
        <v>6.83</v>
      </c>
      <c r="R2489">
        <v>6.84</v>
      </c>
      <c r="S2489">
        <v>1.32</v>
      </c>
      <c r="T2489">
        <v>1.08</v>
      </c>
      <c r="U2489">
        <v>-22.48</v>
      </c>
      <c r="V2489">
        <v>-1680</v>
      </c>
      <c r="W2489">
        <v>6.84</v>
      </c>
      <c r="X2489" t="s">
        <v>6873</v>
      </c>
      <c r="Y2489" t="s">
        <v>6408</v>
      </c>
      <c r="Z2489">
        <v>1.44</v>
      </c>
      <c r="AA2489">
        <v>471</v>
      </c>
      <c r="AB2489">
        <v>1795</v>
      </c>
      <c r="AC2489">
        <v>1.37</v>
      </c>
      <c r="AD2489" t="s">
        <v>7758</v>
      </c>
      <c r="AE2489" t="s">
        <v>13427</v>
      </c>
      <c r="AF2489" t="s">
        <v>13428</v>
      </c>
      <c r="AG2489" t="s">
        <v>13429</v>
      </c>
      <c r="AH2489">
        <v>-2.14</v>
      </c>
      <c r="AI2489">
        <v>-3.78</v>
      </c>
      <c r="AJ2489">
        <v>3.1</v>
      </c>
      <c r="AK2489">
        <v>6.09</v>
      </c>
      <c r="AL2489">
        <v>1</v>
      </c>
      <c r="AM2489">
        <v>0.44</v>
      </c>
      <c r="AN2489">
        <v>12.62</v>
      </c>
      <c r="AO2489">
        <v>-1.72</v>
      </c>
      <c r="AP2489">
        <v>10.27</v>
      </c>
    </row>
    <row r="2490" spans="1:42">
      <c r="A2490">
        <v>2489</v>
      </c>
      <c r="B2490" t="str">
        <f>"603722"</f>
        <v>603722</v>
      </c>
      <c r="C2490" t="s">
        <v>13430</v>
      </c>
      <c r="D2490">
        <v>43.34</v>
      </c>
      <c r="E2490">
        <v>-3.86</v>
      </c>
      <c r="F2490">
        <v>-1.74</v>
      </c>
      <c r="G2490" t="s">
        <v>1118</v>
      </c>
      <c r="H2490">
        <v>250</v>
      </c>
      <c r="I2490">
        <v>43.33</v>
      </c>
      <c r="J2490">
        <v>43.34</v>
      </c>
      <c r="K2490" t="s">
        <v>13431</v>
      </c>
      <c r="L2490">
        <v>1.84</v>
      </c>
      <c r="M2490" t="s">
        <v>46</v>
      </c>
      <c r="N2490" t="s">
        <v>8330</v>
      </c>
      <c r="O2490">
        <v>45.03</v>
      </c>
      <c r="P2490">
        <v>43.07</v>
      </c>
      <c r="Q2490">
        <v>44.84</v>
      </c>
      <c r="R2490">
        <v>45.08</v>
      </c>
      <c r="S2490">
        <v>4.35</v>
      </c>
      <c r="T2490">
        <v>1.46</v>
      </c>
      <c r="U2490">
        <v>9.47</v>
      </c>
      <c r="V2490">
        <v>18</v>
      </c>
      <c r="W2490">
        <v>43.75</v>
      </c>
      <c r="X2490" t="s">
        <v>239</v>
      </c>
      <c r="Y2490">
        <v>5838</v>
      </c>
      <c r="Z2490">
        <v>1.77</v>
      </c>
      <c r="AA2490">
        <v>3</v>
      </c>
      <c r="AB2490">
        <v>14</v>
      </c>
      <c r="AC2490">
        <v>5.02</v>
      </c>
      <c r="AD2490" t="s">
        <v>13432</v>
      </c>
      <c r="AE2490" t="s">
        <v>5195</v>
      </c>
      <c r="AF2490" t="s">
        <v>13432</v>
      </c>
      <c r="AG2490" t="s">
        <v>5195</v>
      </c>
      <c r="AH2490">
        <v>-7.79</v>
      </c>
      <c r="AI2490">
        <v>-7.51</v>
      </c>
      <c r="AJ2490">
        <v>5.51</v>
      </c>
      <c r="AK2490">
        <v>8.16</v>
      </c>
      <c r="AL2490">
        <v>-2</v>
      </c>
      <c r="AM2490">
        <v>-3.86</v>
      </c>
      <c r="AN2490">
        <v>13.13</v>
      </c>
      <c r="AO2490">
        <v>-6.21</v>
      </c>
      <c r="AP2490">
        <v>-8.18</v>
      </c>
    </row>
    <row r="2491" spans="1:42">
      <c r="A2491">
        <v>2490</v>
      </c>
      <c r="B2491" t="str">
        <f>"300110"</f>
        <v>300110</v>
      </c>
      <c r="C2491" t="s">
        <v>13433</v>
      </c>
      <c r="D2491">
        <v>4.46</v>
      </c>
      <c r="E2491">
        <v>0.9</v>
      </c>
      <c r="F2491">
        <v>0.04</v>
      </c>
      <c r="G2491" t="s">
        <v>3584</v>
      </c>
      <c r="H2491">
        <v>1857</v>
      </c>
      <c r="I2491">
        <v>4.45</v>
      </c>
      <c r="J2491">
        <v>4.46</v>
      </c>
      <c r="K2491" t="s">
        <v>13431</v>
      </c>
      <c r="L2491">
        <v>1.34</v>
      </c>
      <c r="M2491" t="s">
        <v>46</v>
      </c>
      <c r="N2491" t="s">
        <v>1190</v>
      </c>
      <c r="O2491">
        <v>4.51</v>
      </c>
      <c r="P2491">
        <v>4.41</v>
      </c>
      <c r="Q2491">
        <v>4.42</v>
      </c>
      <c r="R2491">
        <v>4.42</v>
      </c>
      <c r="S2491">
        <v>2.26</v>
      </c>
      <c r="T2491">
        <v>0.64</v>
      </c>
      <c r="U2491">
        <v>-28.48</v>
      </c>
      <c r="V2491">
        <v>-6559</v>
      </c>
      <c r="W2491">
        <v>4.47</v>
      </c>
      <c r="X2491" t="s">
        <v>10255</v>
      </c>
      <c r="Y2491" t="s">
        <v>7154</v>
      </c>
      <c r="Z2491">
        <v>0.92</v>
      </c>
      <c r="AA2491">
        <v>1724</v>
      </c>
      <c r="AB2491">
        <v>1959</v>
      </c>
      <c r="AC2491">
        <v>1.99</v>
      </c>
      <c r="AD2491" t="s">
        <v>866</v>
      </c>
      <c r="AE2491" t="s">
        <v>13434</v>
      </c>
      <c r="AF2491" t="s">
        <v>13435</v>
      </c>
      <c r="AG2491" t="s">
        <v>4851</v>
      </c>
      <c r="AH2491">
        <v>-0.67</v>
      </c>
      <c r="AI2491">
        <v>-0.89</v>
      </c>
      <c r="AJ2491">
        <v>4.44</v>
      </c>
      <c r="AK2491">
        <v>11.77</v>
      </c>
      <c r="AL2491">
        <v>2</v>
      </c>
      <c r="AM2491">
        <v>0.9</v>
      </c>
      <c r="AN2491">
        <v>5.69</v>
      </c>
      <c r="AO2491">
        <v>3</v>
      </c>
      <c r="AP2491">
        <v>2.76</v>
      </c>
    </row>
    <row r="2492" spans="1:42">
      <c r="A2492">
        <v>2491</v>
      </c>
      <c r="B2492" t="str">
        <f>"601010"</f>
        <v>601010</v>
      </c>
      <c r="C2492" t="s">
        <v>13436</v>
      </c>
      <c r="D2492">
        <v>2.6</v>
      </c>
      <c r="E2492">
        <v>2.36</v>
      </c>
      <c r="F2492">
        <v>0.06</v>
      </c>
      <c r="G2492" t="s">
        <v>8216</v>
      </c>
      <c r="H2492">
        <v>1714</v>
      </c>
      <c r="I2492">
        <v>2.59</v>
      </c>
      <c r="J2492">
        <v>2.6</v>
      </c>
      <c r="K2492" t="s">
        <v>13437</v>
      </c>
      <c r="L2492">
        <v>1.47</v>
      </c>
      <c r="M2492" t="s">
        <v>46</v>
      </c>
      <c r="N2492" t="s">
        <v>5941</v>
      </c>
      <c r="O2492">
        <v>2.63</v>
      </c>
      <c r="P2492">
        <v>2.53</v>
      </c>
      <c r="Q2492">
        <v>2.54</v>
      </c>
      <c r="R2492">
        <v>2.54</v>
      </c>
      <c r="S2492">
        <v>3.94</v>
      </c>
      <c r="T2492">
        <v>1.98</v>
      </c>
      <c r="U2492">
        <v>-46.08</v>
      </c>
      <c r="V2492" t="s">
        <v>13438</v>
      </c>
      <c r="W2492">
        <v>2.6</v>
      </c>
      <c r="X2492" t="s">
        <v>1232</v>
      </c>
      <c r="Y2492" t="s">
        <v>2915</v>
      </c>
      <c r="Z2492">
        <v>0.58</v>
      </c>
      <c r="AA2492">
        <v>2035</v>
      </c>
      <c r="AB2492">
        <v>7460</v>
      </c>
      <c r="AC2492">
        <v>1.09</v>
      </c>
      <c r="AD2492" t="s">
        <v>13439</v>
      </c>
      <c r="AE2492" t="s">
        <v>13440</v>
      </c>
      <c r="AF2492" t="s">
        <v>13439</v>
      </c>
      <c r="AG2492" t="s">
        <v>13440</v>
      </c>
      <c r="AH2492">
        <v>1.56</v>
      </c>
      <c r="AI2492">
        <v>1.17</v>
      </c>
      <c r="AJ2492">
        <v>2.89</v>
      </c>
      <c r="AK2492">
        <v>5.21</v>
      </c>
      <c r="AL2492">
        <v>2</v>
      </c>
      <c r="AM2492">
        <v>2.36</v>
      </c>
      <c r="AN2492">
        <v>-10.03</v>
      </c>
      <c r="AO2492">
        <v>7.44</v>
      </c>
      <c r="AP2492">
        <v>-1.52</v>
      </c>
    </row>
    <row r="2493" spans="1:42">
      <c r="A2493">
        <v>2492</v>
      </c>
      <c r="B2493" t="str">
        <f>"688038"</f>
        <v>688038</v>
      </c>
      <c r="C2493" t="s">
        <v>13441</v>
      </c>
      <c r="D2493">
        <v>15.08</v>
      </c>
      <c r="E2493">
        <v>2.17</v>
      </c>
      <c r="F2493">
        <v>0.32</v>
      </c>
      <c r="G2493" t="s">
        <v>1236</v>
      </c>
      <c r="H2493">
        <v>404</v>
      </c>
      <c r="I2493">
        <v>15.08</v>
      </c>
      <c r="J2493">
        <v>15.09</v>
      </c>
      <c r="K2493" t="s">
        <v>13442</v>
      </c>
      <c r="L2493">
        <v>5.78</v>
      </c>
      <c r="M2493" t="s">
        <v>46</v>
      </c>
      <c r="N2493" t="s">
        <v>3811</v>
      </c>
      <c r="O2493">
        <v>15.29</v>
      </c>
      <c r="P2493">
        <v>14.7</v>
      </c>
      <c r="Q2493">
        <v>14.7</v>
      </c>
      <c r="R2493">
        <v>14.76</v>
      </c>
      <c r="S2493">
        <v>4</v>
      </c>
      <c r="T2493">
        <v>0.9</v>
      </c>
      <c r="U2493">
        <v>-34.61</v>
      </c>
      <c r="V2493">
        <v>-176</v>
      </c>
      <c r="W2493">
        <v>15.03</v>
      </c>
      <c r="X2493" t="s">
        <v>1077</v>
      </c>
      <c r="Y2493" t="s">
        <v>3116</v>
      </c>
      <c r="Z2493">
        <v>1.21</v>
      </c>
      <c r="AA2493">
        <v>74</v>
      </c>
      <c r="AB2493">
        <v>172</v>
      </c>
      <c r="AC2493">
        <v>2.5</v>
      </c>
      <c r="AD2493" t="s">
        <v>13443</v>
      </c>
      <c r="AE2493" t="s">
        <v>8421</v>
      </c>
      <c r="AF2493" t="s">
        <v>13444</v>
      </c>
      <c r="AG2493" t="s">
        <v>813</v>
      </c>
      <c r="AH2493">
        <v>2.59</v>
      </c>
      <c r="AI2493">
        <v>5.9</v>
      </c>
      <c r="AJ2493">
        <v>28.98</v>
      </c>
      <c r="AK2493">
        <v>37.76</v>
      </c>
      <c r="AL2493">
        <v>1</v>
      </c>
      <c r="AM2493">
        <v>2.17</v>
      </c>
      <c r="AN2493">
        <v>26.83</v>
      </c>
      <c r="AO2493">
        <v>13.73</v>
      </c>
      <c r="AP2493">
        <v>7.48</v>
      </c>
    </row>
    <row r="2494" spans="1:42">
      <c r="A2494">
        <v>2493</v>
      </c>
      <c r="B2494" t="str">
        <f>"002094"</f>
        <v>002094</v>
      </c>
      <c r="C2494" t="s">
        <v>13445</v>
      </c>
      <c r="D2494">
        <v>4</v>
      </c>
      <c r="E2494">
        <v>1.78</v>
      </c>
      <c r="F2494">
        <v>0.07</v>
      </c>
      <c r="G2494" t="s">
        <v>3347</v>
      </c>
      <c r="H2494">
        <v>1562</v>
      </c>
      <c r="I2494">
        <v>4</v>
      </c>
      <c r="J2494">
        <v>4.01</v>
      </c>
      <c r="K2494" t="s">
        <v>13446</v>
      </c>
      <c r="L2494">
        <v>2.57</v>
      </c>
      <c r="M2494" t="s">
        <v>46</v>
      </c>
      <c r="N2494" t="s">
        <v>5803</v>
      </c>
      <c r="O2494">
        <v>4.01</v>
      </c>
      <c r="P2494">
        <v>3.9</v>
      </c>
      <c r="Q2494">
        <v>3.92</v>
      </c>
      <c r="R2494">
        <v>3.93</v>
      </c>
      <c r="S2494">
        <v>2.8</v>
      </c>
      <c r="T2494">
        <v>1.68</v>
      </c>
      <c r="U2494">
        <v>-37.2</v>
      </c>
      <c r="V2494">
        <v>-4390</v>
      </c>
      <c r="W2494">
        <v>3.97</v>
      </c>
      <c r="X2494" t="s">
        <v>13322</v>
      </c>
      <c r="Y2494" t="s">
        <v>2205</v>
      </c>
      <c r="Z2494">
        <v>0.8</v>
      </c>
      <c r="AA2494">
        <v>107</v>
      </c>
      <c r="AB2494">
        <v>713</v>
      </c>
      <c r="AC2494">
        <v>1.86</v>
      </c>
      <c r="AD2494" t="s">
        <v>13447</v>
      </c>
      <c r="AE2494" t="s">
        <v>12718</v>
      </c>
      <c r="AF2494" t="s">
        <v>13448</v>
      </c>
      <c r="AG2494" t="s">
        <v>13449</v>
      </c>
      <c r="AH2494">
        <v>1.27</v>
      </c>
      <c r="AI2494">
        <v>0.5</v>
      </c>
      <c r="AJ2494">
        <v>5.29</v>
      </c>
      <c r="AK2494">
        <v>10.22</v>
      </c>
      <c r="AL2494">
        <v>1</v>
      </c>
      <c r="AM2494">
        <v>1.78</v>
      </c>
      <c r="AN2494">
        <v>-6.98</v>
      </c>
      <c r="AO2494">
        <v>4.44</v>
      </c>
      <c r="AP2494">
        <v>7.82</v>
      </c>
    </row>
    <row r="2495" spans="1:42">
      <c r="A2495">
        <v>2494</v>
      </c>
      <c r="B2495" t="str">
        <f>"300708"</f>
        <v>300708</v>
      </c>
      <c r="C2495" t="s">
        <v>13450</v>
      </c>
      <c r="D2495">
        <v>11.47</v>
      </c>
      <c r="E2495">
        <v>1.06</v>
      </c>
      <c r="F2495">
        <v>0.12</v>
      </c>
      <c r="G2495" t="s">
        <v>5023</v>
      </c>
      <c r="H2495">
        <v>639</v>
      </c>
      <c r="I2495">
        <v>11.47</v>
      </c>
      <c r="J2495">
        <v>11.48</v>
      </c>
      <c r="K2495" t="s">
        <v>13451</v>
      </c>
      <c r="L2495">
        <v>1.63</v>
      </c>
      <c r="M2495" t="s">
        <v>46</v>
      </c>
      <c r="N2495" t="s">
        <v>6402</v>
      </c>
      <c r="O2495">
        <v>11.5</v>
      </c>
      <c r="P2495">
        <v>11.23</v>
      </c>
      <c r="Q2495">
        <v>11.33</v>
      </c>
      <c r="R2495">
        <v>11.35</v>
      </c>
      <c r="S2495">
        <v>2.38</v>
      </c>
      <c r="T2495">
        <v>0.74</v>
      </c>
      <c r="U2495">
        <v>5.46</v>
      </c>
      <c r="V2495">
        <v>174</v>
      </c>
      <c r="W2495">
        <v>11.4</v>
      </c>
      <c r="X2495" t="s">
        <v>6395</v>
      </c>
      <c r="Y2495" t="s">
        <v>7679</v>
      </c>
      <c r="Z2495">
        <v>0.89</v>
      </c>
      <c r="AA2495">
        <v>29</v>
      </c>
      <c r="AB2495">
        <v>214</v>
      </c>
      <c r="AC2495">
        <v>2.72</v>
      </c>
      <c r="AD2495" t="s">
        <v>13452</v>
      </c>
      <c r="AE2495" t="s">
        <v>13453</v>
      </c>
      <c r="AF2495" t="s">
        <v>4366</v>
      </c>
      <c r="AG2495" t="s">
        <v>13454</v>
      </c>
      <c r="AH2495">
        <v>-1.55</v>
      </c>
      <c r="AI2495">
        <v>-1.04</v>
      </c>
      <c r="AJ2495">
        <v>6.45</v>
      </c>
      <c r="AK2495">
        <v>12.67</v>
      </c>
      <c r="AL2495">
        <v>1</v>
      </c>
      <c r="AM2495">
        <v>1.06</v>
      </c>
      <c r="AN2495">
        <v>26.18</v>
      </c>
      <c r="AO2495">
        <v>1.41</v>
      </c>
      <c r="AP2495">
        <v>11.79</v>
      </c>
    </row>
    <row r="2496" spans="1:42">
      <c r="A2496">
        <v>2495</v>
      </c>
      <c r="B2496" t="str">
        <f>"688321"</f>
        <v>688321</v>
      </c>
      <c r="C2496" t="s">
        <v>13455</v>
      </c>
      <c r="D2496">
        <v>23.73</v>
      </c>
      <c r="E2496">
        <v>-0.71</v>
      </c>
      <c r="F2496">
        <v>-0.17</v>
      </c>
      <c r="G2496" t="s">
        <v>8050</v>
      </c>
      <c r="H2496">
        <v>179</v>
      </c>
      <c r="I2496">
        <v>23.72</v>
      </c>
      <c r="J2496">
        <v>23.73</v>
      </c>
      <c r="K2496" t="s">
        <v>13456</v>
      </c>
      <c r="L2496">
        <v>0.72</v>
      </c>
      <c r="M2496" t="s">
        <v>46</v>
      </c>
      <c r="N2496" t="s">
        <v>4149</v>
      </c>
      <c r="O2496">
        <v>24.05</v>
      </c>
      <c r="P2496">
        <v>23.48</v>
      </c>
      <c r="Q2496">
        <v>23.9</v>
      </c>
      <c r="R2496">
        <v>23.9</v>
      </c>
      <c r="S2496">
        <v>2.38</v>
      </c>
      <c r="T2496">
        <v>1.06</v>
      </c>
      <c r="U2496">
        <v>34.28</v>
      </c>
      <c r="V2496">
        <v>203</v>
      </c>
      <c r="W2496">
        <v>23.71</v>
      </c>
      <c r="X2496" t="s">
        <v>144</v>
      </c>
      <c r="Y2496" t="s">
        <v>4717</v>
      </c>
      <c r="Z2496">
        <v>1.11</v>
      </c>
      <c r="AA2496">
        <v>71</v>
      </c>
      <c r="AB2496">
        <v>14</v>
      </c>
      <c r="AC2496">
        <v>6.07</v>
      </c>
      <c r="AD2496" t="s">
        <v>13457</v>
      </c>
      <c r="AE2496" t="s">
        <v>13458</v>
      </c>
      <c r="AF2496" t="s">
        <v>13457</v>
      </c>
      <c r="AG2496" t="s">
        <v>13458</v>
      </c>
      <c r="AH2496">
        <v>-2.71</v>
      </c>
      <c r="AI2496">
        <v>-2.47</v>
      </c>
      <c r="AJ2496">
        <v>1.94</v>
      </c>
      <c r="AK2496">
        <v>4.14</v>
      </c>
      <c r="AL2496">
        <v>-1</v>
      </c>
      <c r="AM2496">
        <v>-0.71</v>
      </c>
      <c r="AN2496">
        <v>7.96</v>
      </c>
      <c r="AO2496">
        <v>3.49</v>
      </c>
      <c r="AP2496">
        <v>-1.94</v>
      </c>
    </row>
    <row r="2497" spans="1:42">
      <c r="A2497">
        <v>2496</v>
      </c>
      <c r="B2497" t="str">
        <f>"601126"</f>
        <v>601126</v>
      </c>
      <c r="C2497" t="s">
        <v>13459</v>
      </c>
      <c r="D2497">
        <v>13.94</v>
      </c>
      <c r="E2497">
        <v>-0.85</v>
      </c>
      <c r="F2497">
        <v>-0.12</v>
      </c>
      <c r="G2497" t="s">
        <v>6026</v>
      </c>
      <c r="H2497">
        <v>274</v>
      </c>
      <c r="I2497">
        <v>13.94</v>
      </c>
      <c r="J2497">
        <v>13.95</v>
      </c>
      <c r="K2497" t="s">
        <v>13460</v>
      </c>
      <c r="L2497">
        <v>0.62</v>
      </c>
      <c r="M2497" t="s">
        <v>46</v>
      </c>
      <c r="N2497" t="s">
        <v>4144</v>
      </c>
      <c r="O2497">
        <v>14.09</v>
      </c>
      <c r="P2497">
        <v>13.83</v>
      </c>
      <c r="Q2497">
        <v>14.06</v>
      </c>
      <c r="R2497">
        <v>14.06</v>
      </c>
      <c r="S2497">
        <v>1.85</v>
      </c>
      <c r="T2497">
        <v>0.86</v>
      </c>
      <c r="U2497">
        <v>-5.42</v>
      </c>
      <c r="V2497">
        <v>-112</v>
      </c>
      <c r="W2497">
        <v>13.91</v>
      </c>
      <c r="X2497" t="s">
        <v>3260</v>
      </c>
      <c r="Y2497" t="s">
        <v>5585</v>
      </c>
      <c r="Z2497">
        <v>1.6</v>
      </c>
      <c r="AA2497">
        <v>34</v>
      </c>
      <c r="AB2497">
        <v>111</v>
      </c>
      <c r="AC2497">
        <v>2.75</v>
      </c>
      <c r="AD2497" t="s">
        <v>13461</v>
      </c>
      <c r="AE2497" t="s">
        <v>13462</v>
      </c>
      <c r="AF2497" t="s">
        <v>13463</v>
      </c>
      <c r="AG2497" t="s">
        <v>13464</v>
      </c>
      <c r="AH2497">
        <v>-1.55</v>
      </c>
      <c r="AI2497">
        <v>-0.43</v>
      </c>
      <c r="AJ2497">
        <v>1.85</v>
      </c>
      <c r="AK2497">
        <v>4.27</v>
      </c>
      <c r="AL2497">
        <v>-1</v>
      </c>
      <c r="AM2497">
        <v>-0.85</v>
      </c>
      <c r="AN2497">
        <v>-0.36</v>
      </c>
      <c r="AO2497">
        <v>-0.64</v>
      </c>
      <c r="AP2497">
        <v>-6.44</v>
      </c>
    </row>
    <row r="2498" spans="1:42">
      <c r="A2498">
        <v>2497</v>
      </c>
      <c r="B2498" t="str">
        <f>"301252"</f>
        <v>301252</v>
      </c>
      <c r="C2498" t="s">
        <v>13465</v>
      </c>
      <c r="D2498">
        <v>44.9</v>
      </c>
      <c r="E2498">
        <v>-1.17</v>
      </c>
      <c r="F2498">
        <v>-0.53</v>
      </c>
      <c r="G2498" t="s">
        <v>141</v>
      </c>
      <c r="H2498">
        <v>240</v>
      </c>
      <c r="I2498">
        <v>44.87</v>
      </c>
      <c r="J2498">
        <v>44.9</v>
      </c>
      <c r="K2498" t="s">
        <v>13466</v>
      </c>
      <c r="L2498">
        <v>7.89</v>
      </c>
      <c r="M2498" t="s">
        <v>46</v>
      </c>
      <c r="N2498" t="s">
        <v>11874</v>
      </c>
      <c r="O2498">
        <v>45.32</v>
      </c>
      <c r="P2498">
        <v>44.08</v>
      </c>
      <c r="Q2498">
        <v>45.2</v>
      </c>
      <c r="R2498">
        <v>45.43</v>
      </c>
      <c r="S2498">
        <v>2.73</v>
      </c>
      <c r="T2498">
        <v>0.67</v>
      </c>
      <c r="U2498">
        <v>74.15</v>
      </c>
      <c r="V2498">
        <v>545</v>
      </c>
      <c r="W2498">
        <v>44.6</v>
      </c>
      <c r="X2498" t="s">
        <v>239</v>
      </c>
      <c r="Y2498">
        <v>5370</v>
      </c>
      <c r="Z2498">
        <v>1.94</v>
      </c>
      <c r="AA2498">
        <v>2</v>
      </c>
      <c r="AB2498">
        <v>44</v>
      </c>
      <c r="AC2498">
        <v>3.19</v>
      </c>
      <c r="AD2498" t="s">
        <v>3612</v>
      </c>
      <c r="AE2498" t="s">
        <v>2155</v>
      </c>
      <c r="AF2498" t="s">
        <v>3614</v>
      </c>
      <c r="AG2498" t="s">
        <v>13467</v>
      </c>
      <c r="AH2498">
        <v>-4.77</v>
      </c>
      <c r="AI2498">
        <v>-2.6</v>
      </c>
      <c r="AJ2498">
        <v>25.84</v>
      </c>
      <c r="AK2498">
        <v>67.23</v>
      </c>
      <c r="AL2498">
        <v>-2</v>
      </c>
      <c r="AM2498">
        <v>-1.17</v>
      </c>
      <c r="AN2498">
        <v>42.63</v>
      </c>
      <c r="AO2498">
        <v>-0.71</v>
      </c>
      <c r="AP2498">
        <v>42.63</v>
      </c>
    </row>
    <row r="2499" spans="1:42">
      <c r="A2499">
        <v>2498</v>
      </c>
      <c r="B2499" t="str">
        <f>"002905"</f>
        <v>002905</v>
      </c>
      <c r="C2499" t="s">
        <v>13468</v>
      </c>
      <c r="D2499">
        <v>10.75</v>
      </c>
      <c r="E2499">
        <v>3.56</v>
      </c>
      <c r="F2499">
        <v>0.37</v>
      </c>
      <c r="G2499" t="s">
        <v>4585</v>
      </c>
      <c r="H2499">
        <v>668</v>
      </c>
      <c r="I2499">
        <v>10.74</v>
      </c>
      <c r="J2499">
        <v>10.75</v>
      </c>
      <c r="K2499" t="s">
        <v>13469</v>
      </c>
      <c r="L2499">
        <v>1.88</v>
      </c>
      <c r="M2499" t="s">
        <v>46</v>
      </c>
      <c r="N2499" t="s">
        <v>1778</v>
      </c>
      <c r="O2499">
        <v>10.81</v>
      </c>
      <c r="P2499">
        <v>10.39</v>
      </c>
      <c r="Q2499">
        <v>10.39</v>
      </c>
      <c r="R2499">
        <v>10.38</v>
      </c>
      <c r="S2499">
        <v>4.05</v>
      </c>
      <c r="T2499">
        <v>1.31</v>
      </c>
      <c r="U2499">
        <v>-29.64</v>
      </c>
      <c r="V2499">
        <v>-910</v>
      </c>
      <c r="W2499">
        <v>10.7</v>
      </c>
      <c r="X2499" t="s">
        <v>10910</v>
      </c>
      <c r="Y2499" t="s">
        <v>6794</v>
      </c>
      <c r="Z2499">
        <v>0.69</v>
      </c>
      <c r="AA2499">
        <v>27</v>
      </c>
      <c r="AB2499">
        <v>276</v>
      </c>
      <c r="AC2499">
        <v>17.76</v>
      </c>
      <c r="AD2499" t="s">
        <v>13470</v>
      </c>
      <c r="AE2499" t="s">
        <v>3237</v>
      </c>
      <c r="AF2499" t="s">
        <v>13471</v>
      </c>
      <c r="AG2499" t="s">
        <v>13472</v>
      </c>
      <c r="AH2499">
        <v>3.37</v>
      </c>
      <c r="AI2499">
        <v>0.94</v>
      </c>
      <c r="AJ2499">
        <v>4.1</v>
      </c>
      <c r="AK2499">
        <v>9.09</v>
      </c>
      <c r="AL2499">
        <v>2</v>
      </c>
      <c r="AM2499">
        <v>3.56</v>
      </c>
      <c r="AN2499">
        <v>5.6</v>
      </c>
      <c r="AO2499">
        <v>5.19</v>
      </c>
      <c r="AP2499">
        <v>37.12</v>
      </c>
    </row>
    <row r="2500" spans="1:42">
      <c r="A2500">
        <v>2499</v>
      </c>
      <c r="B2500" t="str">
        <f>"301219"</f>
        <v>301219</v>
      </c>
      <c r="C2500" t="s">
        <v>13473</v>
      </c>
      <c r="D2500">
        <v>37.32</v>
      </c>
      <c r="E2500">
        <v>-1.01</v>
      </c>
      <c r="F2500">
        <v>-0.38</v>
      </c>
      <c r="G2500" t="s">
        <v>1525</v>
      </c>
      <c r="H2500">
        <v>335</v>
      </c>
      <c r="I2500">
        <v>37.32</v>
      </c>
      <c r="J2500">
        <v>37.33</v>
      </c>
      <c r="K2500" t="s">
        <v>13474</v>
      </c>
      <c r="L2500">
        <v>1.1</v>
      </c>
      <c r="M2500" t="s">
        <v>46</v>
      </c>
      <c r="N2500" t="s">
        <v>730</v>
      </c>
      <c r="O2500">
        <v>37.7</v>
      </c>
      <c r="P2500">
        <v>36.8</v>
      </c>
      <c r="Q2500">
        <v>37.69</v>
      </c>
      <c r="R2500">
        <v>37.7</v>
      </c>
      <c r="S2500">
        <v>2.39</v>
      </c>
      <c r="T2500">
        <v>0.98</v>
      </c>
      <c r="U2500">
        <v>4.7</v>
      </c>
      <c r="V2500">
        <v>8</v>
      </c>
      <c r="W2500">
        <v>37.16</v>
      </c>
      <c r="X2500" t="s">
        <v>7974</v>
      </c>
      <c r="Y2500">
        <v>8133</v>
      </c>
      <c r="Z2500">
        <v>1.33</v>
      </c>
      <c r="AA2500">
        <v>50</v>
      </c>
      <c r="AB2500">
        <v>3</v>
      </c>
      <c r="AC2500">
        <v>1.29</v>
      </c>
      <c r="AD2500" t="s">
        <v>13475</v>
      </c>
      <c r="AE2500" t="s">
        <v>694</v>
      </c>
      <c r="AF2500" t="s">
        <v>13476</v>
      </c>
      <c r="AG2500" t="s">
        <v>9957</v>
      </c>
      <c r="AH2500">
        <v>-2.76</v>
      </c>
      <c r="AI2500">
        <v>-3.06</v>
      </c>
      <c r="AJ2500">
        <v>3.61</v>
      </c>
      <c r="AK2500">
        <v>6.7</v>
      </c>
      <c r="AL2500">
        <v>-2</v>
      </c>
      <c r="AM2500">
        <v>-1.01</v>
      </c>
      <c r="AN2500">
        <v>-28.37</v>
      </c>
      <c r="AO2500">
        <v>-2.74</v>
      </c>
      <c r="AP2500">
        <v>-32.59</v>
      </c>
    </row>
    <row r="2501" spans="1:42">
      <c r="A2501">
        <v>2500</v>
      </c>
      <c r="B2501" t="str">
        <f>"603136"</f>
        <v>603136</v>
      </c>
      <c r="C2501" t="s">
        <v>13477</v>
      </c>
      <c r="D2501">
        <v>19.51</v>
      </c>
      <c r="E2501">
        <v>-1.32</v>
      </c>
      <c r="F2501">
        <v>-0.26</v>
      </c>
      <c r="G2501" t="s">
        <v>5693</v>
      </c>
      <c r="H2501">
        <v>125</v>
      </c>
      <c r="I2501">
        <v>19.51</v>
      </c>
      <c r="J2501">
        <v>19.52</v>
      </c>
      <c r="K2501" t="s">
        <v>13478</v>
      </c>
      <c r="L2501">
        <v>1.91</v>
      </c>
      <c r="M2501" t="s">
        <v>46</v>
      </c>
      <c r="N2501" t="s">
        <v>3000</v>
      </c>
      <c r="O2501">
        <v>20.2</v>
      </c>
      <c r="P2501">
        <v>19.49</v>
      </c>
      <c r="Q2501">
        <v>19.76</v>
      </c>
      <c r="R2501">
        <v>19.77</v>
      </c>
      <c r="S2501">
        <v>3.59</v>
      </c>
      <c r="T2501">
        <v>2.3</v>
      </c>
      <c r="U2501">
        <v>42.46</v>
      </c>
      <c r="V2501">
        <v>276</v>
      </c>
      <c r="W2501">
        <v>19.75</v>
      </c>
      <c r="X2501" t="s">
        <v>2694</v>
      </c>
      <c r="Y2501" t="s">
        <v>390</v>
      </c>
      <c r="Z2501">
        <v>1.15</v>
      </c>
      <c r="AA2501">
        <v>79</v>
      </c>
      <c r="AB2501">
        <v>104</v>
      </c>
      <c r="AC2501">
        <v>2.78</v>
      </c>
      <c r="AD2501" t="s">
        <v>13479</v>
      </c>
      <c r="AE2501" t="s">
        <v>13480</v>
      </c>
      <c r="AF2501" t="s">
        <v>13479</v>
      </c>
      <c r="AG2501" t="s">
        <v>13480</v>
      </c>
      <c r="AH2501">
        <v>0.15</v>
      </c>
      <c r="AI2501">
        <v>0.36</v>
      </c>
      <c r="AJ2501">
        <v>3.75</v>
      </c>
      <c r="AK2501">
        <v>6.06</v>
      </c>
      <c r="AL2501">
        <v>-1</v>
      </c>
      <c r="AM2501">
        <v>-1.32</v>
      </c>
      <c r="AN2501">
        <v>-28.14</v>
      </c>
      <c r="AO2501">
        <v>1.67</v>
      </c>
      <c r="AP2501">
        <v>-25.9</v>
      </c>
    </row>
    <row r="2502" spans="1:42">
      <c r="A2502">
        <v>2501</v>
      </c>
      <c r="B2502" t="str">
        <f>"688506"</f>
        <v>688506</v>
      </c>
      <c r="C2502" t="s">
        <v>13481</v>
      </c>
      <c r="D2502">
        <v>111.21</v>
      </c>
      <c r="E2502">
        <v>1.44</v>
      </c>
      <c r="F2502">
        <v>1.58</v>
      </c>
      <c r="G2502">
        <v>6334</v>
      </c>
      <c r="H2502">
        <v>75</v>
      </c>
      <c r="I2502">
        <v>111.21</v>
      </c>
      <c r="J2502">
        <v>112.14</v>
      </c>
      <c r="K2502" t="s">
        <v>9625</v>
      </c>
      <c r="L2502">
        <v>1.82</v>
      </c>
      <c r="M2502" t="s">
        <v>46</v>
      </c>
      <c r="N2502" t="s">
        <v>3881</v>
      </c>
      <c r="O2502">
        <v>112.85</v>
      </c>
      <c r="P2502">
        <v>108.64</v>
      </c>
      <c r="Q2502">
        <v>109.63</v>
      </c>
      <c r="R2502">
        <v>109.63</v>
      </c>
      <c r="S2502">
        <v>3.84</v>
      </c>
      <c r="T2502">
        <v>0.56</v>
      </c>
      <c r="U2502">
        <v>-4.7</v>
      </c>
      <c r="V2502">
        <v>-2</v>
      </c>
      <c r="W2502">
        <v>110.93</v>
      </c>
      <c r="X2502">
        <v>2870</v>
      </c>
      <c r="Y2502">
        <v>3464</v>
      </c>
      <c r="Z2502">
        <v>0.83</v>
      </c>
      <c r="AA2502">
        <v>2</v>
      </c>
      <c r="AB2502">
        <v>2</v>
      </c>
      <c r="AC2502">
        <v>107.09</v>
      </c>
      <c r="AD2502" t="s">
        <v>945</v>
      </c>
      <c r="AE2502" t="s">
        <v>13482</v>
      </c>
      <c r="AF2502" t="s">
        <v>13483</v>
      </c>
      <c r="AG2502" t="s">
        <v>5229</v>
      </c>
      <c r="AH2502">
        <v>1.47</v>
      </c>
      <c r="AI2502">
        <v>-2.43</v>
      </c>
      <c r="AJ2502">
        <v>6.99</v>
      </c>
      <c r="AK2502">
        <v>17.94</v>
      </c>
      <c r="AL2502">
        <v>1</v>
      </c>
      <c r="AM2502">
        <v>1.44</v>
      </c>
      <c r="AN2502">
        <v>350.24</v>
      </c>
      <c r="AO2502">
        <v>25.24</v>
      </c>
      <c r="AP2502">
        <v>350.24</v>
      </c>
    </row>
    <row r="2503" spans="1:42">
      <c r="A2503">
        <v>2502</v>
      </c>
      <c r="B2503" t="str">
        <f>"002805"</f>
        <v>002805</v>
      </c>
      <c r="C2503" t="s">
        <v>13484</v>
      </c>
      <c r="D2503">
        <v>15.86</v>
      </c>
      <c r="E2503">
        <v>1.21</v>
      </c>
      <c r="F2503">
        <v>0.19</v>
      </c>
      <c r="G2503" t="s">
        <v>4766</v>
      </c>
      <c r="H2503">
        <v>498</v>
      </c>
      <c r="I2503">
        <v>15.86</v>
      </c>
      <c r="J2503">
        <v>15.87</v>
      </c>
      <c r="K2503" t="s">
        <v>13485</v>
      </c>
      <c r="L2503">
        <v>2.07</v>
      </c>
      <c r="M2503" t="s">
        <v>46</v>
      </c>
      <c r="N2503" t="s">
        <v>5803</v>
      </c>
      <c r="O2503">
        <v>15.93</v>
      </c>
      <c r="P2503">
        <v>15.53</v>
      </c>
      <c r="Q2503">
        <v>15.7</v>
      </c>
      <c r="R2503">
        <v>15.67</v>
      </c>
      <c r="S2503">
        <v>2.55</v>
      </c>
      <c r="T2503">
        <v>0.81</v>
      </c>
      <c r="U2503">
        <v>-41.39</v>
      </c>
      <c r="V2503">
        <v>-542</v>
      </c>
      <c r="W2503">
        <v>15.72</v>
      </c>
      <c r="X2503" t="s">
        <v>2716</v>
      </c>
      <c r="Y2503" t="s">
        <v>5620</v>
      </c>
      <c r="Z2503">
        <v>0.92</v>
      </c>
      <c r="AA2503">
        <v>82</v>
      </c>
      <c r="AB2503">
        <v>194</v>
      </c>
      <c r="AC2503">
        <v>1.93</v>
      </c>
      <c r="AD2503" t="s">
        <v>13486</v>
      </c>
      <c r="AE2503" t="s">
        <v>13487</v>
      </c>
      <c r="AF2503" t="s">
        <v>13488</v>
      </c>
      <c r="AG2503" t="s">
        <v>5003</v>
      </c>
      <c r="AH2503">
        <v>-2.46</v>
      </c>
      <c r="AI2503">
        <v>-8.11</v>
      </c>
      <c r="AJ2503">
        <v>5.83</v>
      </c>
      <c r="AK2503">
        <v>14.92</v>
      </c>
      <c r="AL2503">
        <v>1</v>
      </c>
      <c r="AM2503">
        <v>1.21</v>
      </c>
      <c r="AN2503">
        <v>-45.06</v>
      </c>
      <c r="AO2503">
        <v>-10.14</v>
      </c>
      <c r="AP2503">
        <v>-51.47</v>
      </c>
    </row>
    <row r="2504" spans="1:42">
      <c r="A2504">
        <v>2503</v>
      </c>
      <c r="B2504" t="str">
        <f>"603191"</f>
        <v>603191</v>
      </c>
      <c r="C2504" t="s">
        <v>13489</v>
      </c>
      <c r="D2504">
        <v>15.7</v>
      </c>
      <c r="E2504">
        <v>-0.32</v>
      </c>
      <c r="F2504">
        <v>-0.05</v>
      </c>
      <c r="G2504" t="s">
        <v>1502</v>
      </c>
      <c r="H2504">
        <v>618</v>
      </c>
      <c r="I2504">
        <v>15.7</v>
      </c>
      <c r="J2504">
        <v>15.71</v>
      </c>
      <c r="K2504" t="s">
        <v>13490</v>
      </c>
      <c r="L2504">
        <v>2.45</v>
      </c>
      <c r="M2504" t="s">
        <v>46</v>
      </c>
      <c r="N2504" t="s">
        <v>4469</v>
      </c>
      <c r="O2504">
        <v>15.8</v>
      </c>
      <c r="P2504">
        <v>15.43</v>
      </c>
      <c r="Q2504">
        <v>15.71</v>
      </c>
      <c r="R2504">
        <v>15.75</v>
      </c>
      <c r="S2504">
        <v>2.35</v>
      </c>
      <c r="T2504">
        <v>0.6</v>
      </c>
      <c r="U2504">
        <v>14.5</v>
      </c>
      <c r="V2504">
        <v>175</v>
      </c>
      <c r="W2504">
        <v>15.58</v>
      </c>
      <c r="X2504" t="s">
        <v>4012</v>
      </c>
      <c r="Y2504" t="s">
        <v>2694</v>
      </c>
      <c r="Z2504">
        <v>1.38</v>
      </c>
      <c r="AA2504">
        <v>76</v>
      </c>
      <c r="AB2504">
        <v>134</v>
      </c>
      <c r="AC2504">
        <v>2.16</v>
      </c>
      <c r="AD2504" t="s">
        <v>3111</v>
      </c>
      <c r="AE2504" t="s">
        <v>11507</v>
      </c>
      <c r="AF2504" t="s">
        <v>8576</v>
      </c>
      <c r="AG2504" t="s">
        <v>13491</v>
      </c>
      <c r="AH2504">
        <v>-3.68</v>
      </c>
      <c r="AI2504">
        <v>-1.01</v>
      </c>
      <c r="AJ2504">
        <v>8.54</v>
      </c>
      <c r="AK2504">
        <v>22.9</v>
      </c>
      <c r="AL2504">
        <v>-3</v>
      </c>
      <c r="AM2504">
        <v>-0.32</v>
      </c>
      <c r="AN2504">
        <v>-28.77</v>
      </c>
      <c r="AO2504">
        <v>2.95</v>
      </c>
      <c r="AP2504">
        <v>-40.01</v>
      </c>
    </row>
    <row r="2505" spans="1:42">
      <c r="A2505">
        <v>2504</v>
      </c>
      <c r="B2505" t="str">
        <f>"300358"</f>
        <v>300358</v>
      </c>
      <c r="C2505" t="s">
        <v>13492</v>
      </c>
      <c r="D2505">
        <v>11.51</v>
      </c>
      <c r="E2505">
        <v>-1.2</v>
      </c>
      <c r="F2505">
        <v>-0.14</v>
      </c>
      <c r="G2505" t="s">
        <v>6801</v>
      </c>
      <c r="H2505">
        <v>442</v>
      </c>
      <c r="I2505">
        <v>11.51</v>
      </c>
      <c r="J2505">
        <v>11.52</v>
      </c>
      <c r="K2505" t="s">
        <v>13490</v>
      </c>
      <c r="L2505">
        <v>1.15</v>
      </c>
      <c r="M2505" t="s">
        <v>46</v>
      </c>
      <c r="N2505" t="s">
        <v>9425</v>
      </c>
      <c r="O2505">
        <v>11.68</v>
      </c>
      <c r="P2505">
        <v>11.41</v>
      </c>
      <c r="Q2505">
        <v>11.66</v>
      </c>
      <c r="R2505">
        <v>11.65</v>
      </c>
      <c r="S2505">
        <v>2.32</v>
      </c>
      <c r="T2505">
        <v>1.16</v>
      </c>
      <c r="U2505">
        <v>-45.73</v>
      </c>
      <c r="V2505">
        <v>-1360</v>
      </c>
      <c r="W2505">
        <v>11.52</v>
      </c>
      <c r="X2505" t="s">
        <v>1566</v>
      </c>
      <c r="Y2505" t="s">
        <v>587</v>
      </c>
      <c r="Z2505">
        <v>1.66</v>
      </c>
      <c r="AA2505">
        <v>117</v>
      </c>
      <c r="AB2505">
        <v>29</v>
      </c>
      <c r="AC2505">
        <v>1.46</v>
      </c>
      <c r="AD2505" t="s">
        <v>13493</v>
      </c>
      <c r="AE2505" t="s">
        <v>13494</v>
      </c>
      <c r="AF2505" t="s">
        <v>6127</v>
      </c>
      <c r="AG2505" t="s">
        <v>13495</v>
      </c>
      <c r="AH2505">
        <v>-3.11</v>
      </c>
      <c r="AI2505">
        <v>-3.6</v>
      </c>
      <c r="AJ2505">
        <v>3.04</v>
      </c>
      <c r="AK2505">
        <v>6.12</v>
      </c>
      <c r="AL2505">
        <v>-3</v>
      </c>
      <c r="AM2505">
        <v>-1.2</v>
      </c>
      <c r="AN2505">
        <v>-21.43</v>
      </c>
      <c r="AO2505">
        <v>1.77</v>
      </c>
      <c r="AP2505">
        <v>-30.58</v>
      </c>
    </row>
    <row r="2506" spans="1:42">
      <c r="A2506">
        <v>2505</v>
      </c>
      <c r="B2506" t="str">
        <f>"002839"</f>
        <v>002839</v>
      </c>
      <c r="C2506" t="s">
        <v>13496</v>
      </c>
      <c r="D2506">
        <v>4</v>
      </c>
      <c r="E2506">
        <v>0.5</v>
      </c>
      <c r="F2506">
        <v>0.02</v>
      </c>
      <c r="G2506" t="s">
        <v>1403</v>
      </c>
      <c r="H2506">
        <v>397</v>
      </c>
      <c r="I2506">
        <v>4</v>
      </c>
      <c r="J2506">
        <v>4.01</v>
      </c>
      <c r="K2506" t="s">
        <v>13497</v>
      </c>
      <c r="L2506">
        <v>0.85</v>
      </c>
      <c r="M2506" t="s">
        <v>46</v>
      </c>
      <c r="N2506" t="s">
        <v>9178</v>
      </c>
      <c r="O2506">
        <v>4.01</v>
      </c>
      <c r="P2506">
        <v>3.96</v>
      </c>
      <c r="Q2506">
        <v>3.97</v>
      </c>
      <c r="R2506">
        <v>3.98</v>
      </c>
      <c r="S2506">
        <v>1.26</v>
      </c>
      <c r="T2506">
        <v>0.87</v>
      </c>
      <c r="U2506">
        <v>-5.29</v>
      </c>
      <c r="V2506">
        <v>-2577</v>
      </c>
      <c r="W2506">
        <v>3.99</v>
      </c>
      <c r="X2506" t="s">
        <v>7862</v>
      </c>
      <c r="Y2506" t="s">
        <v>1438</v>
      </c>
      <c r="Z2506">
        <v>0.6</v>
      </c>
      <c r="AA2506">
        <v>865</v>
      </c>
      <c r="AB2506">
        <v>7922</v>
      </c>
      <c r="AC2506">
        <v>0.61</v>
      </c>
      <c r="AD2506" t="s">
        <v>13498</v>
      </c>
      <c r="AE2506" t="s">
        <v>4354</v>
      </c>
      <c r="AF2506" t="s">
        <v>13499</v>
      </c>
      <c r="AG2506" t="s">
        <v>13500</v>
      </c>
      <c r="AH2506">
        <v>-1.48</v>
      </c>
      <c r="AI2506">
        <v>-2.2</v>
      </c>
      <c r="AJ2506">
        <v>3.11</v>
      </c>
      <c r="AK2506">
        <v>5.71</v>
      </c>
      <c r="AL2506">
        <v>1</v>
      </c>
      <c r="AM2506">
        <v>0.5</v>
      </c>
      <c r="AN2506">
        <v>-9.3</v>
      </c>
      <c r="AO2506">
        <v>-2.2</v>
      </c>
      <c r="AP2506">
        <v>-8.26</v>
      </c>
    </row>
    <row r="2507" spans="1:42">
      <c r="A2507">
        <v>2506</v>
      </c>
      <c r="B2507" t="str">
        <f>"000888"</f>
        <v>000888</v>
      </c>
      <c r="C2507" t="s">
        <v>13501</v>
      </c>
      <c r="D2507">
        <v>9.4</v>
      </c>
      <c r="E2507">
        <v>-0.32</v>
      </c>
      <c r="F2507">
        <v>-0.03</v>
      </c>
      <c r="G2507" t="s">
        <v>3350</v>
      </c>
      <c r="H2507">
        <v>416</v>
      </c>
      <c r="I2507">
        <v>9.38</v>
      </c>
      <c r="J2507">
        <v>9.4</v>
      </c>
      <c r="K2507" t="s">
        <v>13502</v>
      </c>
      <c r="L2507">
        <v>1.41</v>
      </c>
      <c r="M2507" t="s">
        <v>46</v>
      </c>
      <c r="N2507" t="s">
        <v>1629</v>
      </c>
      <c r="O2507">
        <v>9.51</v>
      </c>
      <c r="P2507">
        <v>9.34</v>
      </c>
      <c r="Q2507">
        <v>9.43</v>
      </c>
      <c r="R2507">
        <v>9.43</v>
      </c>
      <c r="S2507">
        <v>1.8</v>
      </c>
      <c r="T2507">
        <v>1.01</v>
      </c>
      <c r="U2507">
        <v>38.33</v>
      </c>
      <c r="V2507">
        <v>1436</v>
      </c>
      <c r="W2507">
        <v>9.41</v>
      </c>
      <c r="X2507" t="s">
        <v>10547</v>
      </c>
      <c r="Y2507" t="s">
        <v>7338</v>
      </c>
      <c r="Z2507">
        <v>1.25</v>
      </c>
      <c r="AA2507">
        <v>142</v>
      </c>
      <c r="AB2507">
        <v>211</v>
      </c>
      <c r="AC2507">
        <v>1.96</v>
      </c>
      <c r="AD2507" t="s">
        <v>13503</v>
      </c>
      <c r="AE2507" t="s">
        <v>13504</v>
      </c>
      <c r="AF2507" t="s">
        <v>13503</v>
      </c>
      <c r="AG2507" t="s">
        <v>13504</v>
      </c>
      <c r="AH2507">
        <v>0.21</v>
      </c>
      <c r="AI2507">
        <v>0</v>
      </c>
      <c r="AJ2507">
        <v>3.93</v>
      </c>
      <c r="AK2507">
        <v>8.42</v>
      </c>
      <c r="AL2507">
        <v>-1</v>
      </c>
      <c r="AM2507">
        <v>-0.32</v>
      </c>
      <c r="AN2507">
        <v>-0.74</v>
      </c>
      <c r="AO2507">
        <v>0</v>
      </c>
      <c r="AP2507">
        <v>29.3</v>
      </c>
    </row>
    <row r="2508" spans="1:42">
      <c r="A2508">
        <v>2507</v>
      </c>
      <c r="B2508" t="str">
        <f>"000711"</f>
        <v>000711</v>
      </c>
      <c r="C2508" t="s">
        <v>13505</v>
      </c>
      <c r="D2508">
        <v>2.12</v>
      </c>
      <c r="E2508">
        <v>3.41</v>
      </c>
      <c r="F2508">
        <v>0.07</v>
      </c>
      <c r="G2508" t="s">
        <v>662</v>
      </c>
      <c r="H2508">
        <v>6986</v>
      </c>
      <c r="I2508">
        <v>2.11</v>
      </c>
      <c r="J2508">
        <v>2.12</v>
      </c>
      <c r="K2508" t="s">
        <v>13506</v>
      </c>
      <c r="L2508">
        <v>3.45</v>
      </c>
      <c r="M2508" t="s">
        <v>46</v>
      </c>
      <c r="N2508" t="s">
        <v>10035</v>
      </c>
      <c r="O2508">
        <v>2.15</v>
      </c>
      <c r="P2508">
        <v>2</v>
      </c>
      <c r="Q2508">
        <v>2.06</v>
      </c>
      <c r="R2508">
        <v>2.05</v>
      </c>
      <c r="S2508">
        <v>7.32</v>
      </c>
      <c r="T2508">
        <v>2.09</v>
      </c>
      <c r="U2508">
        <v>-59.09</v>
      </c>
      <c r="V2508" t="s">
        <v>13507</v>
      </c>
      <c r="W2508">
        <v>2.07</v>
      </c>
      <c r="X2508" t="s">
        <v>571</v>
      </c>
      <c r="Y2508" t="s">
        <v>1196</v>
      </c>
      <c r="Z2508">
        <v>0.9</v>
      </c>
      <c r="AA2508">
        <v>2249</v>
      </c>
      <c r="AB2508">
        <v>1863</v>
      </c>
      <c r="AC2508">
        <v>-1.36</v>
      </c>
      <c r="AD2508" t="s">
        <v>610</v>
      </c>
      <c r="AE2508" t="s">
        <v>13498</v>
      </c>
      <c r="AF2508" t="s">
        <v>13508</v>
      </c>
      <c r="AG2508" t="s">
        <v>13509</v>
      </c>
      <c r="AH2508">
        <v>7.61</v>
      </c>
      <c r="AI2508">
        <v>10.42</v>
      </c>
      <c r="AJ2508">
        <v>7.62</v>
      </c>
      <c r="AK2508">
        <v>11.69</v>
      </c>
      <c r="AL2508">
        <v>2</v>
      </c>
      <c r="AM2508">
        <v>3.41</v>
      </c>
      <c r="AN2508">
        <v>-25.09</v>
      </c>
      <c r="AO2508">
        <v>10.42</v>
      </c>
      <c r="AP2508">
        <v>-19.39</v>
      </c>
    </row>
    <row r="2509" spans="1:42">
      <c r="A2509">
        <v>2508</v>
      </c>
      <c r="B2509" t="str">
        <f>"001965"</f>
        <v>001965</v>
      </c>
      <c r="C2509" t="s">
        <v>13510</v>
      </c>
      <c r="D2509">
        <v>9.7</v>
      </c>
      <c r="E2509">
        <v>-1.52</v>
      </c>
      <c r="F2509">
        <v>-0.15</v>
      </c>
      <c r="G2509" t="s">
        <v>11758</v>
      </c>
      <c r="H2509">
        <v>1055</v>
      </c>
      <c r="I2509">
        <v>9.69</v>
      </c>
      <c r="J2509">
        <v>9.71</v>
      </c>
      <c r="K2509" t="s">
        <v>13506</v>
      </c>
      <c r="L2509">
        <v>0.12</v>
      </c>
      <c r="M2509" t="s">
        <v>46</v>
      </c>
      <c r="N2509" t="s">
        <v>4212</v>
      </c>
      <c r="O2509">
        <v>9.88</v>
      </c>
      <c r="P2509">
        <v>9.67</v>
      </c>
      <c r="Q2509">
        <v>9.86</v>
      </c>
      <c r="R2509">
        <v>9.85</v>
      </c>
      <c r="S2509">
        <v>2.13</v>
      </c>
      <c r="T2509">
        <v>0.97</v>
      </c>
      <c r="U2509">
        <v>16.95</v>
      </c>
      <c r="V2509">
        <v>501</v>
      </c>
      <c r="W2509">
        <v>9.77</v>
      </c>
      <c r="X2509" t="s">
        <v>5355</v>
      </c>
      <c r="Y2509" t="s">
        <v>3260</v>
      </c>
      <c r="Z2509">
        <v>1.3</v>
      </c>
      <c r="AA2509">
        <v>377</v>
      </c>
      <c r="AB2509">
        <v>26</v>
      </c>
      <c r="AC2509">
        <v>1.07</v>
      </c>
      <c r="AD2509" t="s">
        <v>3277</v>
      </c>
      <c r="AE2509" t="s">
        <v>13511</v>
      </c>
      <c r="AF2509" t="s">
        <v>3277</v>
      </c>
      <c r="AG2509" t="s">
        <v>13511</v>
      </c>
      <c r="AH2509">
        <v>-1.42</v>
      </c>
      <c r="AI2509">
        <v>0.41</v>
      </c>
      <c r="AJ2509">
        <v>0.36</v>
      </c>
      <c r="AK2509">
        <v>0.71</v>
      </c>
      <c r="AL2509">
        <v>-1</v>
      </c>
      <c r="AM2509">
        <v>-1.52</v>
      </c>
      <c r="AN2509">
        <v>31.79</v>
      </c>
      <c r="AO2509">
        <v>4.86</v>
      </c>
      <c r="AP2509">
        <v>26.8</v>
      </c>
    </row>
    <row r="2510" spans="1:42">
      <c r="A2510">
        <v>2509</v>
      </c>
      <c r="B2510" t="str">
        <f>"001238"</f>
        <v>001238</v>
      </c>
      <c r="C2510" t="s">
        <v>13512</v>
      </c>
      <c r="D2510">
        <v>24.42</v>
      </c>
      <c r="E2510">
        <v>2.3</v>
      </c>
      <c r="F2510">
        <v>0.55</v>
      </c>
      <c r="G2510" t="s">
        <v>541</v>
      </c>
      <c r="H2510">
        <v>567</v>
      </c>
      <c r="I2510">
        <v>24.42</v>
      </c>
      <c r="J2510">
        <v>24.43</v>
      </c>
      <c r="K2510" t="s">
        <v>13513</v>
      </c>
      <c r="L2510">
        <v>9.05</v>
      </c>
      <c r="M2510" t="s">
        <v>46</v>
      </c>
      <c r="N2510" t="s">
        <v>1385</v>
      </c>
      <c r="O2510">
        <v>24.45</v>
      </c>
      <c r="P2510">
        <v>23.78</v>
      </c>
      <c r="Q2510">
        <v>23.81</v>
      </c>
      <c r="R2510">
        <v>23.87</v>
      </c>
      <c r="S2510">
        <v>2.81</v>
      </c>
      <c r="T2510">
        <v>0.87</v>
      </c>
      <c r="U2510">
        <v>-54.84</v>
      </c>
      <c r="V2510">
        <v>-357</v>
      </c>
      <c r="W2510">
        <v>24.24</v>
      </c>
      <c r="X2510" t="s">
        <v>8636</v>
      </c>
      <c r="Y2510" t="s">
        <v>2111</v>
      </c>
      <c r="Z2510">
        <v>0.7</v>
      </c>
      <c r="AA2510">
        <v>45</v>
      </c>
      <c r="AB2510">
        <v>77</v>
      </c>
      <c r="AC2510">
        <v>2.41</v>
      </c>
      <c r="AD2510" t="s">
        <v>3374</v>
      </c>
      <c r="AE2510" t="s">
        <v>13514</v>
      </c>
      <c r="AF2510" t="s">
        <v>13515</v>
      </c>
      <c r="AG2510" t="s">
        <v>13516</v>
      </c>
      <c r="AH2510">
        <v>0.95</v>
      </c>
      <c r="AI2510">
        <v>-3.02</v>
      </c>
      <c r="AJ2510">
        <v>25.37</v>
      </c>
      <c r="AK2510">
        <v>60.82</v>
      </c>
      <c r="AL2510">
        <v>1</v>
      </c>
      <c r="AM2510">
        <v>2.3</v>
      </c>
      <c r="AN2510">
        <v>-15.12</v>
      </c>
      <c r="AO2510">
        <v>-8.02</v>
      </c>
      <c r="AP2510">
        <v>-9.86</v>
      </c>
    </row>
    <row r="2511" spans="1:42">
      <c r="A2511">
        <v>2510</v>
      </c>
      <c r="B2511" t="str">
        <f>"002516"</f>
        <v>002516</v>
      </c>
      <c r="C2511" t="s">
        <v>13517</v>
      </c>
      <c r="D2511">
        <v>5.25</v>
      </c>
      <c r="E2511">
        <v>0.38</v>
      </c>
      <c r="F2511">
        <v>0.02</v>
      </c>
      <c r="G2511" t="s">
        <v>368</v>
      </c>
      <c r="H2511">
        <v>1154</v>
      </c>
      <c r="I2511">
        <v>5.24</v>
      </c>
      <c r="J2511">
        <v>5.25</v>
      </c>
      <c r="K2511" t="s">
        <v>13518</v>
      </c>
      <c r="L2511">
        <v>1.71</v>
      </c>
      <c r="M2511" t="s">
        <v>46</v>
      </c>
      <c r="N2511" t="s">
        <v>958</v>
      </c>
      <c r="O2511">
        <v>5.29</v>
      </c>
      <c r="P2511">
        <v>5.17</v>
      </c>
      <c r="Q2511">
        <v>5.22</v>
      </c>
      <c r="R2511">
        <v>5.23</v>
      </c>
      <c r="S2511">
        <v>2.29</v>
      </c>
      <c r="T2511">
        <v>0.88</v>
      </c>
      <c r="U2511">
        <v>-48.32</v>
      </c>
      <c r="V2511">
        <v>-4232</v>
      </c>
      <c r="W2511">
        <v>5.23</v>
      </c>
      <c r="X2511" t="s">
        <v>1892</v>
      </c>
      <c r="Y2511" t="s">
        <v>2167</v>
      </c>
      <c r="Z2511">
        <v>1.05</v>
      </c>
      <c r="AA2511">
        <v>520</v>
      </c>
      <c r="AB2511">
        <v>22</v>
      </c>
      <c r="AC2511">
        <v>2.15</v>
      </c>
      <c r="AD2511" t="s">
        <v>13519</v>
      </c>
      <c r="AE2511" t="s">
        <v>13520</v>
      </c>
      <c r="AF2511" t="s">
        <v>13521</v>
      </c>
      <c r="AG2511" t="s">
        <v>13522</v>
      </c>
      <c r="AH2511">
        <v>-1.5</v>
      </c>
      <c r="AI2511">
        <v>-0.19</v>
      </c>
      <c r="AJ2511">
        <v>5.64</v>
      </c>
      <c r="AK2511">
        <v>11.48</v>
      </c>
      <c r="AL2511">
        <v>1</v>
      </c>
      <c r="AM2511">
        <v>0.38</v>
      </c>
      <c r="AN2511">
        <v>11.7</v>
      </c>
      <c r="AO2511">
        <v>3.75</v>
      </c>
      <c r="AP2511">
        <v>-3.14</v>
      </c>
    </row>
    <row r="2512" spans="1:42">
      <c r="A2512">
        <v>2511</v>
      </c>
      <c r="B2512" t="str">
        <f>"300613"</f>
        <v>300613</v>
      </c>
      <c r="C2512" t="s">
        <v>13523</v>
      </c>
      <c r="D2512">
        <v>46.53</v>
      </c>
      <c r="E2512">
        <v>0.61</v>
      </c>
      <c r="F2512">
        <v>0.28</v>
      </c>
      <c r="G2512" t="s">
        <v>61</v>
      </c>
      <c r="H2512">
        <v>184</v>
      </c>
      <c r="I2512">
        <v>46.52</v>
      </c>
      <c r="J2512">
        <v>46.53</v>
      </c>
      <c r="K2512" t="s">
        <v>13518</v>
      </c>
      <c r="L2512">
        <v>0.7</v>
      </c>
      <c r="M2512" t="s">
        <v>46</v>
      </c>
      <c r="N2512" t="s">
        <v>2900</v>
      </c>
      <c r="O2512">
        <v>46.8</v>
      </c>
      <c r="P2512">
        <v>45.53</v>
      </c>
      <c r="Q2512">
        <v>46.21</v>
      </c>
      <c r="R2512">
        <v>46.25</v>
      </c>
      <c r="S2512">
        <v>2.75</v>
      </c>
      <c r="T2512">
        <v>0.78</v>
      </c>
      <c r="U2512">
        <v>6.06</v>
      </c>
      <c r="V2512">
        <v>7</v>
      </c>
      <c r="W2512">
        <v>46.12</v>
      </c>
      <c r="X2512">
        <v>7293</v>
      </c>
      <c r="Y2512">
        <v>7905</v>
      </c>
      <c r="Z2512">
        <v>0.92</v>
      </c>
      <c r="AA2512">
        <v>50</v>
      </c>
      <c r="AB2512">
        <v>33</v>
      </c>
      <c r="AC2512">
        <v>4.55</v>
      </c>
      <c r="AD2512" t="s">
        <v>3782</v>
      </c>
      <c r="AE2512" t="s">
        <v>13524</v>
      </c>
      <c r="AF2512" t="s">
        <v>4458</v>
      </c>
      <c r="AG2512" t="s">
        <v>2415</v>
      </c>
      <c r="AH2512">
        <v>-1.73</v>
      </c>
      <c r="AI2512">
        <v>-3.46</v>
      </c>
      <c r="AJ2512">
        <v>2.48</v>
      </c>
      <c r="AK2512">
        <v>5.17</v>
      </c>
      <c r="AL2512">
        <v>1</v>
      </c>
      <c r="AM2512">
        <v>0.61</v>
      </c>
      <c r="AN2512">
        <v>-6.85</v>
      </c>
      <c r="AO2512">
        <v>-3.66</v>
      </c>
      <c r="AP2512">
        <v>-19.25</v>
      </c>
    </row>
    <row r="2513" spans="1:42">
      <c r="A2513">
        <v>2512</v>
      </c>
      <c r="B2513" t="str">
        <f>"001696"</f>
        <v>001696</v>
      </c>
      <c r="C2513" t="s">
        <v>13525</v>
      </c>
      <c r="D2513">
        <v>6.79</v>
      </c>
      <c r="E2513">
        <v>0.15</v>
      </c>
      <c r="F2513">
        <v>0.01</v>
      </c>
      <c r="G2513" t="s">
        <v>3402</v>
      </c>
      <c r="H2513">
        <v>899</v>
      </c>
      <c r="I2513">
        <v>6.79</v>
      </c>
      <c r="J2513">
        <v>6.8</v>
      </c>
      <c r="K2513" t="s">
        <v>13526</v>
      </c>
      <c r="L2513">
        <v>1.16</v>
      </c>
      <c r="M2513" t="s">
        <v>46</v>
      </c>
      <c r="N2513" t="s">
        <v>6084</v>
      </c>
      <c r="O2513">
        <v>6.85</v>
      </c>
      <c r="P2513">
        <v>6.72</v>
      </c>
      <c r="Q2513">
        <v>6.8</v>
      </c>
      <c r="R2513">
        <v>6.78</v>
      </c>
      <c r="S2513">
        <v>1.92</v>
      </c>
      <c r="T2513">
        <v>0.84</v>
      </c>
      <c r="U2513">
        <v>13.25</v>
      </c>
      <c r="V2513">
        <v>902</v>
      </c>
      <c r="W2513">
        <v>6.78</v>
      </c>
      <c r="X2513" t="s">
        <v>7642</v>
      </c>
      <c r="Y2513" t="s">
        <v>2386</v>
      </c>
      <c r="Z2513">
        <v>0.99</v>
      </c>
      <c r="AA2513">
        <v>191</v>
      </c>
      <c r="AB2513">
        <v>53</v>
      </c>
      <c r="AC2513">
        <v>1.6</v>
      </c>
      <c r="AD2513" t="s">
        <v>13527</v>
      </c>
      <c r="AE2513" t="s">
        <v>13528</v>
      </c>
      <c r="AF2513" t="s">
        <v>13529</v>
      </c>
      <c r="AG2513" t="s">
        <v>13530</v>
      </c>
      <c r="AH2513">
        <v>-2.02</v>
      </c>
      <c r="AI2513">
        <v>-0.29</v>
      </c>
      <c r="AJ2513">
        <v>3.54</v>
      </c>
      <c r="AK2513">
        <v>8.08</v>
      </c>
      <c r="AL2513">
        <v>1</v>
      </c>
      <c r="AM2513">
        <v>0.15</v>
      </c>
      <c r="AN2513">
        <v>19.33</v>
      </c>
      <c r="AO2513">
        <v>5.27</v>
      </c>
      <c r="AP2513">
        <v>10.41</v>
      </c>
    </row>
    <row r="2514" spans="1:42">
      <c r="A2514">
        <v>2513</v>
      </c>
      <c r="B2514" t="str">
        <f>"603226"</f>
        <v>603226</v>
      </c>
      <c r="C2514" t="s">
        <v>13531</v>
      </c>
      <c r="D2514">
        <v>6.4</v>
      </c>
      <c r="E2514">
        <v>2.73</v>
      </c>
      <c r="F2514">
        <v>0.17</v>
      </c>
      <c r="G2514" t="s">
        <v>829</v>
      </c>
      <c r="H2514">
        <v>2301</v>
      </c>
      <c r="I2514">
        <v>6.4</v>
      </c>
      <c r="J2514">
        <v>6.41</v>
      </c>
      <c r="K2514" t="s">
        <v>13526</v>
      </c>
      <c r="L2514">
        <v>3.11</v>
      </c>
      <c r="M2514" t="s">
        <v>46</v>
      </c>
      <c r="N2514" t="s">
        <v>5243</v>
      </c>
      <c r="O2514">
        <v>6.52</v>
      </c>
      <c r="P2514">
        <v>6.2</v>
      </c>
      <c r="Q2514">
        <v>6.23</v>
      </c>
      <c r="R2514">
        <v>6.23</v>
      </c>
      <c r="S2514">
        <v>5.14</v>
      </c>
      <c r="T2514">
        <v>2.24</v>
      </c>
      <c r="U2514">
        <v>55.93</v>
      </c>
      <c r="V2514">
        <v>1187</v>
      </c>
      <c r="W2514">
        <v>6.34</v>
      </c>
      <c r="X2514" t="s">
        <v>3030</v>
      </c>
      <c r="Y2514" t="s">
        <v>4616</v>
      </c>
      <c r="Z2514">
        <v>1.12</v>
      </c>
      <c r="AA2514">
        <v>1509</v>
      </c>
      <c r="AB2514">
        <v>110</v>
      </c>
      <c r="AC2514">
        <v>2.32</v>
      </c>
      <c r="AD2514" t="s">
        <v>13532</v>
      </c>
      <c r="AE2514" t="s">
        <v>13533</v>
      </c>
      <c r="AF2514" t="s">
        <v>13532</v>
      </c>
      <c r="AG2514" t="s">
        <v>13533</v>
      </c>
      <c r="AH2514">
        <v>3.9</v>
      </c>
      <c r="AI2514">
        <v>4.92</v>
      </c>
      <c r="AJ2514">
        <v>5.49</v>
      </c>
      <c r="AK2514">
        <v>10.05</v>
      </c>
      <c r="AL2514">
        <v>4</v>
      </c>
      <c r="AM2514">
        <v>2.73</v>
      </c>
      <c r="AN2514">
        <v>30.08</v>
      </c>
      <c r="AO2514">
        <v>12.48</v>
      </c>
      <c r="AP2514">
        <v>23.08</v>
      </c>
    </row>
    <row r="2515" spans="1:42">
      <c r="A2515">
        <v>2514</v>
      </c>
      <c r="B2515" t="str">
        <f>"000402"</f>
        <v>000402</v>
      </c>
      <c r="C2515" t="s">
        <v>13534</v>
      </c>
      <c r="D2515">
        <v>3.97</v>
      </c>
      <c r="E2515">
        <v>0</v>
      </c>
      <c r="F2515">
        <v>0</v>
      </c>
      <c r="G2515" t="s">
        <v>1403</v>
      </c>
      <c r="H2515">
        <v>1372</v>
      </c>
      <c r="I2515">
        <v>3.97</v>
      </c>
      <c r="J2515">
        <v>3.98</v>
      </c>
      <c r="K2515" t="s">
        <v>13535</v>
      </c>
      <c r="L2515">
        <v>0.59</v>
      </c>
      <c r="M2515" t="s">
        <v>46</v>
      </c>
      <c r="N2515" t="s">
        <v>10029</v>
      </c>
      <c r="O2515">
        <v>4.02</v>
      </c>
      <c r="P2515">
        <v>3.94</v>
      </c>
      <c r="Q2515">
        <v>3.97</v>
      </c>
      <c r="R2515">
        <v>3.97</v>
      </c>
      <c r="S2515">
        <v>2.02</v>
      </c>
      <c r="T2515">
        <v>1.2</v>
      </c>
      <c r="U2515">
        <v>6.95</v>
      </c>
      <c r="V2515">
        <v>1500</v>
      </c>
      <c r="W2515">
        <v>3.98</v>
      </c>
      <c r="X2515" t="s">
        <v>4502</v>
      </c>
      <c r="Y2515" t="s">
        <v>752</v>
      </c>
      <c r="Z2515">
        <v>1.1</v>
      </c>
      <c r="AA2515">
        <v>916</v>
      </c>
      <c r="AB2515">
        <v>874</v>
      </c>
      <c r="AC2515">
        <v>0.32</v>
      </c>
      <c r="AD2515" t="s">
        <v>13536</v>
      </c>
      <c r="AE2515" t="s">
        <v>13537</v>
      </c>
      <c r="AF2515" t="s">
        <v>11477</v>
      </c>
      <c r="AG2515" t="s">
        <v>2598</v>
      </c>
      <c r="AH2515">
        <v>-2.46</v>
      </c>
      <c r="AI2515">
        <v>-5.92</v>
      </c>
      <c r="AJ2515">
        <v>1.63</v>
      </c>
      <c r="AK2515">
        <v>3.04</v>
      </c>
      <c r="AL2515">
        <v>0</v>
      </c>
      <c r="AM2515">
        <v>0</v>
      </c>
      <c r="AN2515">
        <v>-24.24</v>
      </c>
      <c r="AO2515">
        <v>-1.73</v>
      </c>
      <c r="AP2515">
        <v>-22.16</v>
      </c>
    </row>
    <row r="2516" spans="1:42">
      <c r="A2516">
        <v>2515</v>
      </c>
      <c r="B2516" t="str">
        <f>"603357"</f>
        <v>603357</v>
      </c>
      <c r="C2516" t="s">
        <v>13538</v>
      </c>
      <c r="D2516">
        <v>9.26</v>
      </c>
      <c r="E2516">
        <v>1.76</v>
      </c>
      <c r="F2516">
        <v>0.16</v>
      </c>
      <c r="G2516" t="s">
        <v>6698</v>
      </c>
      <c r="H2516">
        <v>1388</v>
      </c>
      <c r="I2516">
        <v>9.25</v>
      </c>
      <c r="J2516">
        <v>9.26</v>
      </c>
      <c r="K2516" t="s">
        <v>13539</v>
      </c>
      <c r="L2516">
        <v>1.39</v>
      </c>
      <c r="M2516" t="s">
        <v>46</v>
      </c>
      <c r="N2516" t="s">
        <v>8839</v>
      </c>
      <c r="O2516">
        <v>9.29</v>
      </c>
      <c r="P2516">
        <v>9.09</v>
      </c>
      <c r="Q2516">
        <v>9.09</v>
      </c>
      <c r="R2516">
        <v>9.1</v>
      </c>
      <c r="S2516">
        <v>2.2</v>
      </c>
      <c r="T2516">
        <v>1.15</v>
      </c>
      <c r="U2516">
        <v>-20.4</v>
      </c>
      <c r="V2516">
        <v>-2108</v>
      </c>
      <c r="W2516">
        <v>9.21</v>
      </c>
      <c r="X2516" t="s">
        <v>5553</v>
      </c>
      <c r="Y2516" t="s">
        <v>6203</v>
      </c>
      <c r="Z2516">
        <v>0.58</v>
      </c>
      <c r="AA2516">
        <v>1642</v>
      </c>
      <c r="AB2516">
        <v>94</v>
      </c>
      <c r="AC2516">
        <v>1.58</v>
      </c>
      <c r="AD2516" t="s">
        <v>13540</v>
      </c>
      <c r="AE2516" t="s">
        <v>13541</v>
      </c>
      <c r="AF2516" t="s">
        <v>9474</v>
      </c>
      <c r="AG2516" t="s">
        <v>13542</v>
      </c>
      <c r="AH2516">
        <v>-0.75</v>
      </c>
      <c r="AI2516">
        <v>-0.96</v>
      </c>
      <c r="AJ2516">
        <v>3.47</v>
      </c>
      <c r="AK2516">
        <v>7.47</v>
      </c>
      <c r="AL2516">
        <v>1</v>
      </c>
      <c r="AM2516">
        <v>1.76</v>
      </c>
      <c r="AN2516">
        <v>29.87</v>
      </c>
      <c r="AO2516">
        <v>7.3</v>
      </c>
      <c r="AP2516">
        <v>20.42</v>
      </c>
    </row>
    <row r="2517" spans="1:42">
      <c r="A2517">
        <v>2516</v>
      </c>
      <c r="B2517" t="str">
        <f>"301017"</f>
        <v>301017</v>
      </c>
      <c r="C2517" t="s">
        <v>13543</v>
      </c>
      <c r="D2517">
        <v>21.66</v>
      </c>
      <c r="E2517">
        <v>2.17</v>
      </c>
      <c r="F2517">
        <v>0.46</v>
      </c>
      <c r="G2517" t="s">
        <v>10177</v>
      </c>
      <c r="H2517">
        <v>373</v>
      </c>
      <c r="I2517">
        <v>21.66</v>
      </c>
      <c r="J2517">
        <v>21.68</v>
      </c>
      <c r="K2517" t="s">
        <v>13544</v>
      </c>
      <c r="L2517">
        <v>2.95</v>
      </c>
      <c r="M2517" t="s">
        <v>46</v>
      </c>
      <c r="N2517" t="s">
        <v>13545</v>
      </c>
      <c r="O2517">
        <v>22.1</v>
      </c>
      <c r="P2517">
        <v>21.01</v>
      </c>
      <c r="Q2517">
        <v>21.28</v>
      </c>
      <c r="R2517">
        <v>21.2</v>
      </c>
      <c r="S2517">
        <v>5.14</v>
      </c>
      <c r="T2517">
        <v>1.29</v>
      </c>
      <c r="U2517">
        <v>35.34</v>
      </c>
      <c r="V2517">
        <v>82</v>
      </c>
      <c r="W2517">
        <v>21.7</v>
      </c>
      <c r="X2517" t="s">
        <v>3130</v>
      </c>
      <c r="Y2517" t="s">
        <v>2575</v>
      </c>
      <c r="Z2517">
        <v>0.84</v>
      </c>
      <c r="AA2517">
        <v>64</v>
      </c>
      <c r="AB2517">
        <v>10</v>
      </c>
      <c r="AC2517">
        <v>4.02</v>
      </c>
      <c r="AD2517" t="s">
        <v>9030</v>
      </c>
      <c r="AE2517" t="s">
        <v>8741</v>
      </c>
      <c r="AF2517" t="s">
        <v>7911</v>
      </c>
      <c r="AG2517" t="s">
        <v>9290</v>
      </c>
      <c r="AH2517">
        <v>4.34</v>
      </c>
      <c r="AI2517">
        <v>6.23</v>
      </c>
      <c r="AJ2517">
        <v>5.98</v>
      </c>
      <c r="AK2517">
        <v>14.35</v>
      </c>
      <c r="AL2517">
        <v>2</v>
      </c>
      <c r="AM2517">
        <v>2.17</v>
      </c>
      <c r="AN2517">
        <v>21.14</v>
      </c>
      <c r="AO2517">
        <v>11.76</v>
      </c>
      <c r="AP2517">
        <v>20.2</v>
      </c>
    </row>
    <row r="2518" spans="1:42">
      <c r="A2518">
        <v>2517</v>
      </c>
      <c r="B2518" t="str">
        <f>"300745"</f>
        <v>300745</v>
      </c>
      <c r="C2518" t="s">
        <v>13546</v>
      </c>
      <c r="D2518">
        <v>30.81</v>
      </c>
      <c r="E2518">
        <v>-1.72</v>
      </c>
      <c r="F2518">
        <v>-0.54</v>
      </c>
      <c r="G2518" t="s">
        <v>1335</v>
      </c>
      <c r="H2518">
        <v>284</v>
      </c>
      <c r="I2518">
        <v>30.8</v>
      </c>
      <c r="J2518">
        <v>30.81</v>
      </c>
      <c r="K2518" t="s">
        <v>13547</v>
      </c>
      <c r="L2518">
        <v>2.23</v>
      </c>
      <c r="M2518" t="s">
        <v>46</v>
      </c>
      <c r="N2518" t="s">
        <v>3436</v>
      </c>
      <c r="O2518">
        <v>31.5</v>
      </c>
      <c r="P2518">
        <v>30.49</v>
      </c>
      <c r="Q2518">
        <v>31.5</v>
      </c>
      <c r="R2518">
        <v>31.35</v>
      </c>
      <c r="S2518">
        <v>3.22</v>
      </c>
      <c r="T2518">
        <v>0.67</v>
      </c>
      <c r="U2518">
        <v>1.09</v>
      </c>
      <c r="V2518">
        <v>3</v>
      </c>
      <c r="W2518">
        <v>30.71</v>
      </c>
      <c r="X2518" t="s">
        <v>1254</v>
      </c>
      <c r="Y2518" t="s">
        <v>1400</v>
      </c>
      <c r="Z2518">
        <v>1.16</v>
      </c>
      <c r="AA2518">
        <v>30</v>
      </c>
      <c r="AB2518">
        <v>19</v>
      </c>
      <c r="AC2518">
        <v>1.98</v>
      </c>
      <c r="AD2518" t="s">
        <v>13548</v>
      </c>
      <c r="AE2518" t="s">
        <v>7046</v>
      </c>
      <c r="AF2518" t="s">
        <v>12712</v>
      </c>
      <c r="AG2518" t="s">
        <v>13071</v>
      </c>
      <c r="AH2518">
        <v>-3.3</v>
      </c>
      <c r="AI2518">
        <v>-1.97</v>
      </c>
      <c r="AJ2518">
        <v>10.39</v>
      </c>
      <c r="AK2518">
        <v>18.82</v>
      </c>
      <c r="AL2518">
        <v>-2</v>
      </c>
      <c r="AM2518">
        <v>-1.72</v>
      </c>
      <c r="AN2518">
        <v>-18.58</v>
      </c>
      <c r="AO2518">
        <v>5.88</v>
      </c>
      <c r="AP2518">
        <v>-17.33</v>
      </c>
    </row>
    <row r="2519" spans="1:42">
      <c r="A2519">
        <v>2518</v>
      </c>
      <c r="B2519" t="str">
        <f>"605186"</f>
        <v>605186</v>
      </c>
      <c r="C2519" t="s">
        <v>13549</v>
      </c>
      <c r="D2519">
        <v>43.88</v>
      </c>
      <c r="E2519">
        <v>1.9</v>
      </c>
      <c r="F2519">
        <v>0.82</v>
      </c>
      <c r="G2519" t="s">
        <v>7487</v>
      </c>
      <c r="H2519">
        <v>189</v>
      </c>
      <c r="I2519">
        <v>43.8</v>
      </c>
      <c r="J2519">
        <v>43.88</v>
      </c>
      <c r="K2519" t="s">
        <v>13550</v>
      </c>
      <c r="L2519">
        <v>2.42</v>
      </c>
      <c r="M2519" t="s">
        <v>46</v>
      </c>
      <c r="N2519" t="s">
        <v>5940</v>
      </c>
      <c r="O2519">
        <v>44</v>
      </c>
      <c r="P2519">
        <v>42.3</v>
      </c>
      <c r="Q2519">
        <v>43.3</v>
      </c>
      <c r="R2519">
        <v>43.06</v>
      </c>
      <c r="S2519">
        <v>3.95</v>
      </c>
      <c r="T2519">
        <v>0.93</v>
      </c>
      <c r="U2519">
        <v>-30.39</v>
      </c>
      <c r="V2519">
        <v>-110</v>
      </c>
      <c r="W2519">
        <v>43.24</v>
      </c>
      <c r="X2519">
        <v>5770</v>
      </c>
      <c r="Y2519" t="s">
        <v>239</v>
      </c>
      <c r="Z2519">
        <v>0.56</v>
      </c>
      <c r="AA2519">
        <v>3</v>
      </c>
      <c r="AB2519">
        <v>13</v>
      </c>
      <c r="AC2519">
        <v>5.59</v>
      </c>
      <c r="AD2519" t="s">
        <v>8256</v>
      </c>
      <c r="AE2519" t="s">
        <v>12759</v>
      </c>
      <c r="AF2519" t="s">
        <v>13551</v>
      </c>
      <c r="AG2519" t="s">
        <v>1852</v>
      </c>
      <c r="AH2519">
        <v>0.76</v>
      </c>
      <c r="AI2519">
        <v>1.67</v>
      </c>
      <c r="AJ2519">
        <v>7.66</v>
      </c>
      <c r="AK2519">
        <v>15.43</v>
      </c>
      <c r="AL2519">
        <v>1</v>
      </c>
      <c r="AM2519">
        <v>1.9</v>
      </c>
      <c r="AN2519">
        <v>46.22</v>
      </c>
      <c r="AO2519">
        <v>17.17</v>
      </c>
      <c r="AP2519">
        <v>20.29</v>
      </c>
    </row>
    <row r="2520" spans="1:42">
      <c r="A2520">
        <v>2519</v>
      </c>
      <c r="B2520" t="str">
        <f>"300010"</f>
        <v>300010</v>
      </c>
      <c r="C2520" t="s">
        <v>13552</v>
      </c>
      <c r="D2520">
        <v>2.77</v>
      </c>
      <c r="E2520">
        <v>4.14</v>
      </c>
      <c r="F2520">
        <v>0.11</v>
      </c>
      <c r="G2520" t="s">
        <v>1420</v>
      </c>
      <c r="H2520">
        <v>7338</v>
      </c>
      <c r="I2520">
        <v>2.76</v>
      </c>
      <c r="J2520">
        <v>2.77</v>
      </c>
      <c r="K2520" t="s">
        <v>13550</v>
      </c>
      <c r="L2520">
        <v>3.16</v>
      </c>
      <c r="M2520" t="s">
        <v>46</v>
      </c>
      <c r="N2520" t="s">
        <v>9446</v>
      </c>
      <c r="O2520">
        <v>2.79</v>
      </c>
      <c r="P2520">
        <v>2.59</v>
      </c>
      <c r="Q2520">
        <v>2.62</v>
      </c>
      <c r="R2520">
        <v>2.66</v>
      </c>
      <c r="S2520">
        <v>7.52</v>
      </c>
      <c r="T2520">
        <v>1.65</v>
      </c>
      <c r="U2520">
        <v>-45.55</v>
      </c>
      <c r="V2520" t="s">
        <v>2232</v>
      </c>
      <c r="W2520">
        <v>2.69</v>
      </c>
      <c r="X2520" t="s">
        <v>1540</v>
      </c>
      <c r="Y2520" t="s">
        <v>1296</v>
      </c>
      <c r="Z2520">
        <v>0.83</v>
      </c>
      <c r="AA2520">
        <v>1254</v>
      </c>
      <c r="AB2520">
        <v>595</v>
      </c>
      <c r="AC2520">
        <v>-3.2</v>
      </c>
      <c r="AD2520" t="s">
        <v>13553</v>
      </c>
      <c r="AE2520" t="s">
        <v>8240</v>
      </c>
      <c r="AF2520" t="s">
        <v>13554</v>
      </c>
      <c r="AG2520" t="s">
        <v>13555</v>
      </c>
      <c r="AH2520">
        <v>6.54</v>
      </c>
      <c r="AI2520">
        <v>6.54</v>
      </c>
      <c r="AJ2520">
        <v>7.52</v>
      </c>
      <c r="AK2520">
        <v>12.73</v>
      </c>
      <c r="AL2520">
        <v>2</v>
      </c>
      <c r="AM2520">
        <v>4.14</v>
      </c>
      <c r="AN2520">
        <v>-36.32</v>
      </c>
      <c r="AO2520">
        <v>12.15</v>
      </c>
      <c r="AP2520">
        <v>-34.36</v>
      </c>
    </row>
    <row r="2521" spans="1:42">
      <c r="A2521">
        <v>2520</v>
      </c>
      <c r="B2521" t="str">
        <f>"002310"</f>
        <v>002310</v>
      </c>
      <c r="C2521" t="s">
        <v>13556</v>
      </c>
      <c r="D2521">
        <v>2.09</v>
      </c>
      <c r="E2521">
        <v>0.97</v>
      </c>
      <c r="F2521">
        <v>0.02</v>
      </c>
      <c r="G2521" t="s">
        <v>622</v>
      </c>
      <c r="H2521" t="s">
        <v>4963</v>
      </c>
      <c r="I2521">
        <v>2.08</v>
      </c>
      <c r="J2521">
        <v>2.09</v>
      </c>
      <c r="K2521" t="s">
        <v>13557</v>
      </c>
      <c r="L2521">
        <v>1.25</v>
      </c>
      <c r="M2521" t="s">
        <v>46</v>
      </c>
      <c r="N2521" t="s">
        <v>8612</v>
      </c>
      <c r="O2521">
        <v>2.09</v>
      </c>
      <c r="P2521">
        <v>2.06</v>
      </c>
      <c r="Q2521">
        <v>2.07</v>
      </c>
      <c r="R2521">
        <v>2.07</v>
      </c>
      <c r="S2521">
        <v>1.45</v>
      </c>
      <c r="T2521">
        <v>0.65</v>
      </c>
      <c r="U2521">
        <v>-11.85</v>
      </c>
      <c r="V2521" t="s">
        <v>13558</v>
      </c>
      <c r="W2521">
        <v>2.08</v>
      </c>
      <c r="X2521" t="s">
        <v>3155</v>
      </c>
      <c r="Y2521" t="s">
        <v>2915</v>
      </c>
      <c r="Z2521">
        <v>0.95</v>
      </c>
      <c r="AA2521" t="s">
        <v>7178</v>
      </c>
      <c r="AB2521" t="s">
        <v>1255</v>
      </c>
      <c r="AC2521">
        <v>1.9</v>
      </c>
      <c r="AD2521" t="s">
        <v>3308</v>
      </c>
      <c r="AE2521" t="s">
        <v>13559</v>
      </c>
      <c r="AF2521" t="s">
        <v>5617</v>
      </c>
      <c r="AG2521" t="s">
        <v>13560</v>
      </c>
      <c r="AH2521">
        <v>-2.34</v>
      </c>
      <c r="AI2521">
        <v>-6.7</v>
      </c>
      <c r="AJ2521">
        <v>4.26</v>
      </c>
      <c r="AK2521">
        <v>10.92</v>
      </c>
      <c r="AL2521">
        <v>1</v>
      </c>
      <c r="AM2521">
        <v>0.97</v>
      </c>
      <c r="AN2521">
        <v>-0.48</v>
      </c>
      <c r="AO2521">
        <v>-6.28</v>
      </c>
      <c r="AP2521">
        <v>-5</v>
      </c>
    </row>
    <row r="2522" spans="1:42">
      <c r="A2522">
        <v>2521</v>
      </c>
      <c r="B2522" t="str">
        <f>"600567"</f>
        <v>600567</v>
      </c>
      <c r="C2522" t="s">
        <v>13561</v>
      </c>
      <c r="D2522">
        <v>2.08</v>
      </c>
      <c r="E2522">
        <v>0.48</v>
      </c>
      <c r="F2522">
        <v>0.01</v>
      </c>
      <c r="G2522" t="s">
        <v>622</v>
      </c>
      <c r="H2522">
        <v>2632</v>
      </c>
      <c r="I2522">
        <v>2.07</v>
      </c>
      <c r="J2522">
        <v>2.08</v>
      </c>
      <c r="K2522" t="s">
        <v>13562</v>
      </c>
      <c r="L2522">
        <v>0.75</v>
      </c>
      <c r="M2522" t="s">
        <v>46</v>
      </c>
      <c r="N2522" t="s">
        <v>13563</v>
      </c>
      <c r="O2522">
        <v>2.09</v>
      </c>
      <c r="P2522">
        <v>2.06</v>
      </c>
      <c r="Q2522">
        <v>2.07</v>
      </c>
      <c r="R2522">
        <v>2.07</v>
      </c>
      <c r="S2522">
        <v>1.45</v>
      </c>
      <c r="T2522">
        <v>1.55</v>
      </c>
      <c r="U2522">
        <v>14.21</v>
      </c>
      <c r="V2522" t="s">
        <v>3165</v>
      </c>
      <c r="W2522">
        <v>2.08</v>
      </c>
      <c r="X2522" t="s">
        <v>1377</v>
      </c>
      <c r="Y2522" t="s">
        <v>868</v>
      </c>
      <c r="Z2522">
        <v>0.82</v>
      </c>
      <c r="AA2522" t="s">
        <v>4976</v>
      </c>
      <c r="AB2522">
        <v>727</v>
      </c>
      <c r="AC2522">
        <v>0.72</v>
      </c>
      <c r="AD2522" t="s">
        <v>13564</v>
      </c>
      <c r="AE2522" t="s">
        <v>13565</v>
      </c>
      <c r="AF2522" t="s">
        <v>13564</v>
      </c>
      <c r="AG2522" t="s">
        <v>13565</v>
      </c>
      <c r="AH2522">
        <v>-2.35</v>
      </c>
      <c r="AI2522">
        <v>-3.26</v>
      </c>
      <c r="AJ2522">
        <v>1.88</v>
      </c>
      <c r="AK2522">
        <v>3.17</v>
      </c>
      <c r="AL2522">
        <v>1</v>
      </c>
      <c r="AM2522">
        <v>0.48</v>
      </c>
      <c r="AN2522">
        <v>-16.13</v>
      </c>
      <c r="AO2522">
        <v>-3.7</v>
      </c>
      <c r="AP2522">
        <v>-17.13</v>
      </c>
    </row>
    <row r="2523" spans="1:42">
      <c r="A2523">
        <v>2522</v>
      </c>
      <c r="B2523" t="str">
        <f>"300997"</f>
        <v>300997</v>
      </c>
      <c r="C2523" t="s">
        <v>13566</v>
      </c>
      <c r="D2523">
        <v>14.51</v>
      </c>
      <c r="E2523">
        <v>0.97</v>
      </c>
      <c r="F2523">
        <v>0.14</v>
      </c>
      <c r="G2523" t="s">
        <v>4928</v>
      </c>
      <c r="H2523">
        <v>500</v>
      </c>
      <c r="I2523">
        <v>14.51</v>
      </c>
      <c r="J2523">
        <v>14.52</v>
      </c>
      <c r="K2523" t="s">
        <v>13567</v>
      </c>
      <c r="L2523">
        <v>5.33</v>
      </c>
      <c r="M2523" t="s">
        <v>46</v>
      </c>
      <c r="N2523" t="s">
        <v>4069</v>
      </c>
      <c r="O2523">
        <v>14.72</v>
      </c>
      <c r="P2523">
        <v>14.25</v>
      </c>
      <c r="Q2523">
        <v>14.34</v>
      </c>
      <c r="R2523">
        <v>14.37</v>
      </c>
      <c r="S2523">
        <v>3.27</v>
      </c>
      <c r="T2523">
        <v>1.52</v>
      </c>
      <c r="U2523">
        <v>-32.49</v>
      </c>
      <c r="V2523">
        <v>-410</v>
      </c>
      <c r="W2523">
        <v>14.53</v>
      </c>
      <c r="X2523" t="s">
        <v>6419</v>
      </c>
      <c r="Y2523" t="s">
        <v>4269</v>
      </c>
      <c r="Z2523">
        <v>0.97</v>
      </c>
      <c r="AA2523">
        <v>106</v>
      </c>
      <c r="AB2523">
        <v>77</v>
      </c>
      <c r="AC2523">
        <v>4.71</v>
      </c>
      <c r="AD2523" t="s">
        <v>6350</v>
      </c>
      <c r="AE2523" t="s">
        <v>2143</v>
      </c>
      <c r="AF2523" t="s">
        <v>13378</v>
      </c>
      <c r="AG2523" t="s">
        <v>10685</v>
      </c>
      <c r="AH2523">
        <v>3.2</v>
      </c>
      <c r="AI2523">
        <v>3.13</v>
      </c>
      <c r="AJ2523">
        <v>16.41</v>
      </c>
      <c r="AK2523">
        <v>22.88</v>
      </c>
      <c r="AL2523">
        <v>4</v>
      </c>
      <c r="AM2523">
        <v>0.97</v>
      </c>
      <c r="AN2523">
        <v>13.09</v>
      </c>
      <c r="AO2523">
        <v>7.56</v>
      </c>
      <c r="AP2523">
        <v>35.35</v>
      </c>
    </row>
    <row r="2524" spans="1:42">
      <c r="A2524">
        <v>2523</v>
      </c>
      <c r="B2524" t="str">
        <f>"002318"</f>
        <v>002318</v>
      </c>
      <c r="C2524" t="s">
        <v>13568</v>
      </c>
      <c r="D2524">
        <v>19.06</v>
      </c>
      <c r="E2524">
        <v>-0.52</v>
      </c>
      <c r="F2524">
        <v>-0.1</v>
      </c>
      <c r="G2524" t="s">
        <v>1899</v>
      </c>
      <c r="H2524">
        <v>176</v>
      </c>
      <c r="I2524">
        <v>19.05</v>
      </c>
      <c r="J2524">
        <v>19.06</v>
      </c>
      <c r="K2524" t="s">
        <v>13569</v>
      </c>
      <c r="L2524">
        <v>0.38</v>
      </c>
      <c r="M2524" t="s">
        <v>46</v>
      </c>
      <c r="N2524" t="s">
        <v>13570</v>
      </c>
      <c r="O2524">
        <v>19.23</v>
      </c>
      <c r="P2524">
        <v>18.96</v>
      </c>
      <c r="Q2524">
        <v>19.16</v>
      </c>
      <c r="R2524">
        <v>19.16</v>
      </c>
      <c r="S2524">
        <v>1.41</v>
      </c>
      <c r="T2524">
        <v>1.21</v>
      </c>
      <c r="U2524">
        <v>4.05</v>
      </c>
      <c r="V2524">
        <v>21</v>
      </c>
      <c r="W2524">
        <v>19.12</v>
      </c>
      <c r="X2524" t="s">
        <v>4509</v>
      </c>
      <c r="Y2524" t="s">
        <v>4105</v>
      </c>
      <c r="Z2524">
        <v>1.57</v>
      </c>
      <c r="AA2524">
        <v>83</v>
      </c>
      <c r="AB2524">
        <v>42</v>
      </c>
      <c r="AC2524">
        <v>2.69</v>
      </c>
      <c r="AD2524" t="s">
        <v>13571</v>
      </c>
      <c r="AE2524" t="s">
        <v>6053</v>
      </c>
      <c r="AF2524" t="s">
        <v>13572</v>
      </c>
      <c r="AG2524" t="s">
        <v>13573</v>
      </c>
      <c r="AH2524">
        <v>-1.65</v>
      </c>
      <c r="AI2524">
        <v>-1.19</v>
      </c>
      <c r="AJ2524">
        <v>0.82</v>
      </c>
      <c r="AK2524">
        <v>1.96</v>
      </c>
      <c r="AL2524">
        <v>-3</v>
      </c>
      <c r="AM2524">
        <v>-0.52</v>
      </c>
      <c r="AN2524">
        <v>17.58</v>
      </c>
      <c r="AO2524">
        <v>-3.74</v>
      </c>
      <c r="AP2524">
        <v>15.17</v>
      </c>
    </row>
    <row r="2525" spans="1:42">
      <c r="A2525">
        <v>2524</v>
      </c>
      <c r="B2525" t="str">
        <f>"300485"</f>
        <v>300485</v>
      </c>
      <c r="C2525" t="s">
        <v>13574</v>
      </c>
      <c r="D2525">
        <v>11.7</v>
      </c>
      <c r="E2525">
        <v>0.52</v>
      </c>
      <c r="F2525">
        <v>0.06</v>
      </c>
      <c r="G2525" t="s">
        <v>5472</v>
      </c>
      <c r="H2525">
        <v>475</v>
      </c>
      <c r="I2525">
        <v>11.7</v>
      </c>
      <c r="J2525">
        <v>11.71</v>
      </c>
      <c r="K2525" t="s">
        <v>13575</v>
      </c>
      <c r="L2525">
        <v>2.17</v>
      </c>
      <c r="M2525" t="s">
        <v>46</v>
      </c>
      <c r="N2525" t="s">
        <v>943</v>
      </c>
      <c r="O2525">
        <v>11.87</v>
      </c>
      <c r="P2525">
        <v>11.58</v>
      </c>
      <c r="Q2525">
        <v>11.62</v>
      </c>
      <c r="R2525">
        <v>11.64</v>
      </c>
      <c r="S2525">
        <v>2.49</v>
      </c>
      <c r="T2525">
        <v>0.75</v>
      </c>
      <c r="U2525">
        <v>8.07</v>
      </c>
      <c r="V2525">
        <v>189</v>
      </c>
      <c r="W2525">
        <v>11.74</v>
      </c>
      <c r="X2525" t="s">
        <v>2125</v>
      </c>
      <c r="Y2525" t="s">
        <v>7389</v>
      </c>
      <c r="Z2525">
        <v>1.01</v>
      </c>
      <c r="AA2525">
        <v>37</v>
      </c>
      <c r="AB2525">
        <v>350</v>
      </c>
      <c r="AC2525">
        <v>1.6</v>
      </c>
      <c r="AD2525" t="s">
        <v>2769</v>
      </c>
      <c r="AE2525" t="s">
        <v>13576</v>
      </c>
      <c r="AF2525" t="s">
        <v>13577</v>
      </c>
      <c r="AG2525" t="s">
        <v>9997</v>
      </c>
      <c r="AH2525">
        <v>-0.85</v>
      </c>
      <c r="AI2525">
        <v>-0.85</v>
      </c>
      <c r="AJ2525">
        <v>5.89</v>
      </c>
      <c r="AK2525">
        <v>16.65</v>
      </c>
      <c r="AL2525">
        <v>2</v>
      </c>
      <c r="AM2525">
        <v>0.52</v>
      </c>
      <c r="AN2525">
        <v>-1.6</v>
      </c>
      <c r="AO2525">
        <v>3.45</v>
      </c>
      <c r="AP2525">
        <v>-6.7</v>
      </c>
    </row>
    <row r="2526" spans="1:42">
      <c r="A2526">
        <v>2525</v>
      </c>
      <c r="B2526" t="str">
        <f>"600503"</f>
        <v>600503</v>
      </c>
      <c r="C2526" t="s">
        <v>13578</v>
      </c>
      <c r="D2526">
        <v>2.69</v>
      </c>
      <c r="E2526">
        <v>2.28</v>
      </c>
      <c r="F2526">
        <v>0.06</v>
      </c>
      <c r="G2526" t="s">
        <v>998</v>
      </c>
      <c r="H2526">
        <v>1239</v>
      </c>
      <c r="I2526">
        <v>2.68</v>
      </c>
      <c r="J2526">
        <v>2.69</v>
      </c>
      <c r="K2526" t="s">
        <v>13579</v>
      </c>
      <c r="L2526">
        <v>1.63</v>
      </c>
      <c r="M2526" t="s">
        <v>46</v>
      </c>
      <c r="N2526" t="s">
        <v>6174</v>
      </c>
      <c r="O2526">
        <v>2.7</v>
      </c>
      <c r="P2526">
        <v>2.62</v>
      </c>
      <c r="Q2526">
        <v>2.64</v>
      </c>
      <c r="R2526">
        <v>2.63</v>
      </c>
      <c r="S2526">
        <v>3.04</v>
      </c>
      <c r="T2526">
        <v>0.83</v>
      </c>
      <c r="U2526">
        <v>-36.32</v>
      </c>
      <c r="V2526" t="s">
        <v>13580</v>
      </c>
      <c r="W2526">
        <v>2.67</v>
      </c>
      <c r="X2526" t="s">
        <v>6934</v>
      </c>
      <c r="Y2526" t="s">
        <v>1470</v>
      </c>
      <c r="Z2526">
        <v>0.5</v>
      </c>
      <c r="AA2526">
        <v>2763</v>
      </c>
      <c r="AB2526">
        <v>2238</v>
      </c>
      <c r="AC2526">
        <v>1.16</v>
      </c>
      <c r="AD2526" t="s">
        <v>13581</v>
      </c>
      <c r="AE2526" t="s">
        <v>7007</v>
      </c>
      <c r="AF2526" t="s">
        <v>13581</v>
      </c>
      <c r="AG2526" t="s">
        <v>7007</v>
      </c>
      <c r="AH2526">
        <v>-0.74</v>
      </c>
      <c r="AI2526">
        <v>-4.95</v>
      </c>
      <c r="AJ2526">
        <v>5</v>
      </c>
      <c r="AK2526">
        <v>11.48</v>
      </c>
      <c r="AL2526">
        <v>1</v>
      </c>
      <c r="AM2526">
        <v>2.28</v>
      </c>
      <c r="AN2526">
        <v>-1.1</v>
      </c>
      <c r="AO2526">
        <v>0.37</v>
      </c>
      <c r="AP2526">
        <v>-6.92</v>
      </c>
    </row>
    <row r="2527" spans="1:42">
      <c r="A2527">
        <v>2526</v>
      </c>
      <c r="B2527" t="str">
        <f>"000510"</f>
        <v>000510</v>
      </c>
      <c r="C2527" t="s">
        <v>13582</v>
      </c>
      <c r="D2527">
        <v>5.55</v>
      </c>
      <c r="E2527">
        <v>-0.36</v>
      </c>
      <c r="F2527">
        <v>-0.02</v>
      </c>
      <c r="G2527" t="s">
        <v>2025</v>
      </c>
      <c r="H2527">
        <v>1238</v>
      </c>
      <c r="I2527">
        <v>5.55</v>
      </c>
      <c r="J2527">
        <v>5.56</v>
      </c>
      <c r="K2527" t="s">
        <v>13583</v>
      </c>
      <c r="L2527">
        <v>2.22</v>
      </c>
      <c r="M2527" t="s">
        <v>46</v>
      </c>
      <c r="N2527" t="s">
        <v>4677</v>
      </c>
      <c r="O2527">
        <v>5.61</v>
      </c>
      <c r="P2527">
        <v>5.48</v>
      </c>
      <c r="Q2527">
        <v>5.51</v>
      </c>
      <c r="R2527">
        <v>5.57</v>
      </c>
      <c r="S2527">
        <v>2.33</v>
      </c>
      <c r="T2527">
        <v>0.46</v>
      </c>
      <c r="U2527">
        <v>18.75</v>
      </c>
      <c r="V2527">
        <v>2739</v>
      </c>
      <c r="W2527">
        <v>5.53</v>
      </c>
      <c r="X2527" t="s">
        <v>13584</v>
      </c>
      <c r="Y2527" t="s">
        <v>7763</v>
      </c>
      <c r="Z2527">
        <v>1.4</v>
      </c>
      <c r="AA2527">
        <v>553</v>
      </c>
      <c r="AB2527">
        <v>350</v>
      </c>
      <c r="AC2527">
        <v>2.51</v>
      </c>
      <c r="AD2527" t="s">
        <v>7615</v>
      </c>
      <c r="AE2527" t="s">
        <v>13585</v>
      </c>
      <c r="AF2527" t="s">
        <v>13586</v>
      </c>
      <c r="AG2527" t="s">
        <v>13587</v>
      </c>
      <c r="AH2527">
        <v>0.54</v>
      </c>
      <c r="AI2527">
        <v>5.51</v>
      </c>
      <c r="AJ2527">
        <v>9.78</v>
      </c>
      <c r="AK2527">
        <v>26.61</v>
      </c>
      <c r="AL2527">
        <v>-1</v>
      </c>
      <c r="AM2527">
        <v>-0.36</v>
      </c>
      <c r="AN2527">
        <v>-5.29</v>
      </c>
      <c r="AO2527">
        <v>10.12</v>
      </c>
      <c r="AP2527">
        <v>-12.04</v>
      </c>
    </row>
    <row r="2528" spans="1:42">
      <c r="A2528">
        <v>2527</v>
      </c>
      <c r="B2528" t="str">
        <f>"601061"</f>
        <v>601061</v>
      </c>
      <c r="C2528" t="s">
        <v>13588</v>
      </c>
      <c r="D2528">
        <v>7.5</v>
      </c>
      <c r="E2528">
        <v>1.35</v>
      </c>
      <c r="F2528">
        <v>0.1</v>
      </c>
      <c r="G2528" t="s">
        <v>109</v>
      </c>
      <c r="H2528">
        <v>597</v>
      </c>
      <c r="I2528">
        <v>7.5</v>
      </c>
      <c r="J2528">
        <v>7.51</v>
      </c>
      <c r="K2528" t="s">
        <v>13589</v>
      </c>
      <c r="L2528">
        <v>1.86</v>
      </c>
      <c r="M2528" t="s">
        <v>46</v>
      </c>
      <c r="N2528" t="s">
        <v>13590</v>
      </c>
      <c r="O2528">
        <v>7.56</v>
      </c>
      <c r="P2528">
        <v>7.4</v>
      </c>
      <c r="Q2528">
        <v>7.42</v>
      </c>
      <c r="R2528">
        <v>7.4</v>
      </c>
      <c r="S2528">
        <v>2.16</v>
      </c>
      <c r="T2528">
        <v>1.21</v>
      </c>
      <c r="U2528">
        <v>-51.85</v>
      </c>
      <c r="V2528">
        <v>-4428</v>
      </c>
      <c r="W2528">
        <v>7.47</v>
      </c>
      <c r="X2528" t="s">
        <v>456</v>
      </c>
      <c r="Y2528" t="s">
        <v>4708</v>
      </c>
      <c r="Z2528">
        <v>0.89</v>
      </c>
      <c r="AA2528">
        <v>575</v>
      </c>
      <c r="AB2528">
        <v>792</v>
      </c>
      <c r="AC2528">
        <v>2</v>
      </c>
      <c r="AD2528" t="s">
        <v>13591</v>
      </c>
      <c r="AE2528" t="s">
        <v>13592</v>
      </c>
      <c r="AF2528" t="s">
        <v>13593</v>
      </c>
      <c r="AG2528" t="s">
        <v>8001</v>
      </c>
      <c r="AH2528">
        <v>-0.4</v>
      </c>
      <c r="AI2528">
        <v>-0.92</v>
      </c>
      <c r="AJ2528">
        <v>4.89</v>
      </c>
      <c r="AK2528">
        <v>9.56</v>
      </c>
      <c r="AL2528">
        <v>1</v>
      </c>
      <c r="AM2528">
        <v>1.35</v>
      </c>
      <c r="AN2528">
        <v>16.64</v>
      </c>
      <c r="AO2528">
        <v>0.54</v>
      </c>
      <c r="AP2528">
        <v>16.64</v>
      </c>
    </row>
    <row r="2529" spans="1:42">
      <c r="A2529">
        <v>2528</v>
      </c>
      <c r="B2529" t="str">
        <f>"603499"</f>
        <v>603499</v>
      </c>
      <c r="C2529" t="s">
        <v>13594</v>
      </c>
      <c r="D2529">
        <v>10.61</v>
      </c>
      <c r="E2529">
        <v>1.43</v>
      </c>
      <c r="F2529">
        <v>0.15</v>
      </c>
      <c r="G2529" t="s">
        <v>4585</v>
      </c>
      <c r="H2529">
        <v>1036</v>
      </c>
      <c r="I2529">
        <v>10.61</v>
      </c>
      <c r="J2529">
        <v>10.62</v>
      </c>
      <c r="K2529" t="s">
        <v>13595</v>
      </c>
      <c r="L2529">
        <v>3.27</v>
      </c>
      <c r="M2529" t="s">
        <v>46</v>
      </c>
      <c r="N2529" t="s">
        <v>2808</v>
      </c>
      <c r="O2529">
        <v>10.69</v>
      </c>
      <c r="P2529">
        <v>10.4</v>
      </c>
      <c r="Q2529">
        <v>10.46</v>
      </c>
      <c r="R2529">
        <v>10.46</v>
      </c>
      <c r="S2529">
        <v>2.77</v>
      </c>
      <c r="T2529">
        <v>0.5</v>
      </c>
      <c r="U2529">
        <v>-29.1</v>
      </c>
      <c r="V2529">
        <v>-586</v>
      </c>
      <c r="W2529">
        <v>10.57</v>
      </c>
      <c r="X2529" t="s">
        <v>5675</v>
      </c>
      <c r="Y2529" t="s">
        <v>4915</v>
      </c>
      <c r="Z2529">
        <v>0.95</v>
      </c>
      <c r="AA2529">
        <v>25</v>
      </c>
      <c r="AB2529">
        <v>257</v>
      </c>
      <c r="AC2529">
        <v>3.73</v>
      </c>
      <c r="AD2529" t="s">
        <v>5056</v>
      </c>
      <c r="AE2529" t="s">
        <v>7928</v>
      </c>
      <c r="AF2529" t="s">
        <v>5056</v>
      </c>
      <c r="AG2529" t="s">
        <v>7928</v>
      </c>
      <c r="AH2529">
        <v>-3.11</v>
      </c>
      <c r="AI2529">
        <v>-17.62</v>
      </c>
      <c r="AJ2529">
        <v>11.29</v>
      </c>
      <c r="AK2529">
        <v>35.75</v>
      </c>
      <c r="AL2529">
        <v>1</v>
      </c>
      <c r="AM2529">
        <v>1.43</v>
      </c>
      <c r="AN2529">
        <v>41.28</v>
      </c>
      <c r="AO2529">
        <v>9.95</v>
      </c>
      <c r="AP2529">
        <v>24.97</v>
      </c>
    </row>
    <row r="2530" spans="1:42">
      <c r="A2530">
        <v>2529</v>
      </c>
      <c r="B2530" t="str">
        <f>"603615"</f>
        <v>603615</v>
      </c>
      <c r="C2530" t="s">
        <v>13596</v>
      </c>
      <c r="D2530">
        <v>15.23</v>
      </c>
      <c r="E2530">
        <v>0.66</v>
      </c>
      <c r="F2530">
        <v>0.1</v>
      </c>
      <c r="G2530" t="s">
        <v>5645</v>
      </c>
      <c r="H2530">
        <v>1686</v>
      </c>
      <c r="I2530">
        <v>15.22</v>
      </c>
      <c r="J2530">
        <v>15.23</v>
      </c>
      <c r="K2530" t="s">
        <v>13597</v>
      </c>
      <c r="L2530">
        <v>1.89</v>
      </c>
      <c r="M2530" t="s">
        <v>46</v>
      </c>
      <c r="N2530" t="s">
        <v>2834</v>
      </c>
      <c r="O2530">
        <v>15.33</v>
      </c>
      <c r="P2530">
        <v>15.02</v>
      </c>
      <c r="Q2530">
        <v>15.15</v>
      </c>
      <c r="R2530">
        <v>15.13</v>
      </c>
      <c r="S2530">
        <v>2.05</v>
      </c>
      <c r="T2530">
        <v>0.61</v>
      </c>
      <c r="U2530">
        <v>-49.73</v>
      </c>
      <c r="V2530">
        <v>-455</v>
      </c>
      <c r="W2530">
        <v>15.18</v>
      </c>
      <c r="X2530" t="s">
        <v>4257</v>
      </c>
      <c r="Y2530" t="s">
        <v>985</v>
      </c>
      <c r="Z2530">
        <v>1.25</v>
      </c>
      <c r="AA2530">
        <v>35</v>
      </c>
      <c r="AB2530">
        <v>91</v>
      </c>
      <c r="AC2530">
        <v>3.1</v>
      </c>
      <c r="AD2530" t="s">
        <v>13598</v>
      </c>
      <c r="AE2530" t="s">
        <v>13599</v>
      </c>
      <c r="AF2530" t="s">
        <v>13598</v>
      </c>
      <c r="AG2530" t="s">
        <v>13599</v>
      </c>
      <c r="AH2530">
        <v>-1.99</v>
      </c>
      <c r="AI2530">
        <v>-2.93</v>
      </c>
      <c r="AJ2530">
        <v>6.88</v>
      </c>
      <c r="AK2530">
        <v>17.37</v>
      </c>
      <c r="AL2530">
        <v>1</v>
      </c>
      <c r="AM2530">
        <v>0.66</v>
      </c>
      <c r="AN2530">
        <v>94.26</v>
      </c>
      <c r="AO2530">
        <v>48.88</v>
      </c>
      <c r="AP2530">
        <v>96.01</v>
      </c>
    </row>
    <row r="2531" spans="1:42">
      <c r="A2531">
        <v>2530</v>
      </c>
      <c r="B2531" t="str">
        <f>"600979"</f>
        <v>600979</v>
      </c>
      <c r="C2531" t="s">
        <v>13600</v>
      </c>
      <c r="D2531">
        <v>3.58</v>
      </c>
      <c r="E2531">
        <v>0.56</v>
      </c>
      <c r="F2531">
        <v>0.02</v>
      </c>
      <c r="G2531" t="s">
        <v>106</v>
      </c>
      <c r="H2531">
        <v>1048</v>
      </c>
      <c r="I2531">
        <v>3.58</v>
      </c>
      <c r="J2531">
        <v>3.59</v>
      </c>
      <c r="K2531" t="s">
        <v>13601</v>
      </c>
      <c r="L2531">
        <v>1.57</v>
      </c>
      <c r="M2531" t="s">
        <v>46</v>
      </c>
      <c r="N2531" t="s">
        <v>2596</v>
      </c>
      <c r="O2531">
        <v>3.61</v>
      </c>
      <c r="P2531">
        <v>3.54</v>
      </c>
      <c r="Q2531">
        <v>3.55</v>
      </c>
      <c r="R2531">
        <v>3.56</v>
      </c>
      <c r="S2531">
        <v>1.97</v>
      </c>
      <c r="T2531">
        <v>1.18</v>
      </c>
      <c r="U2531">
        <v>-47.62</v>
      </c>
      <c r="V2531" t="s">
        <v>13602</v>
      </c>
      <c r="W2531">
        <v>3.58</v>
      </c>
      <c r="X2531" t="s">
        <v>740</v>
      </c>
      <c r="Y2531" t="s">
        <v>7232</v>
      </c>
      <c r="Z2531">
        <v>1.17</v>
      </c>
      <c r="AA2531">
        <v>48</v>
      </c>
      <c r="AB2531">
        <v>2969</v>
      </c>
      <c r="AC2531">
        <v>1.02</v>
      </c>
      <c r="AD2531" t="s">
        <v>13603</v>
      </c>
      <c r="AE2531" t="s">
        <v>13604</v>
      </c>
      <c r="AF2531" t="s">
        <v>13603</v>
      </c>
      <c r="AG2531" t="s">
        <v>13604</v>
      </c>
      <c r="AH2531">
        <v>0.85</v>
      </c>
      <c r="AI2531">
        <v>0</v>
      </c>
      <c r="AJ2531">
        <v>4.11</v>
      </c>
      <c r="AK2531">
        <v>8.23</v>
      </c>
      <c r="AL2531">
        <v>2</v>
      </c>
      <c r="AM2531">
        <v>0.56</v>
      </c>
      <c r="AN2531">
        <v>10.15</v>
      </c>
      <c r="AO2531">
        <v>5.92</v>
      </c>
      <c r="AP2531">
        <v>4.99</v>
      </c>
    </row>
    <row r="2532" spans="1:42">
      <c r="A2532">
        <v>2531</v>
      </c>
      <c r="B2532" t="str">
        <f>"603225"</f>
        <v>603225</v>
      </c>
      <c r="C2532" t="s">
        <v>13605</v>
      </c>
      <c r="D2532">
        <v>11.97</v>
      </c>
      <c r="E2532">
        <v>-0.75</v>
      </c>
      <c r="F2532">
        <v>-0.09</v>
      </c>
      <c r="G2532" t="s">
        <v>3055</v>
      </c>
      <c r="H2532">
        <v>1008</v>
      </c>
      <c r="I2532">
        <v>11.96</v>
      </c>
      <c r="J2532">
        <v>11.97</v>
      </c>
      <c r="K2532" t="s">
        <v>13601</v>
      </c>
      <c r="L2532">
        <v>0.38</v>
      </c>
      <c r="M2532" t="s">
        <v>46</v>
      </c>
      <c r="N2532" t="s">
        <v>13606</v>
      </c>
      <c r="O2532">
        <v>12.18</v>
      </c>
      <c r="P2532">
        <v>11.96</v>
      </c>
      <c r="Q2532">
        <v>12.07</v>
      </c>
      <c r="R2532">
        <v>12.06</v>
      </c>
      <c r="S2532">
        <v>1.82</v>
      </c>
      <c r="T2532">
        <v>0.97</v>
      </c>
      <c r="U2532">
        <v>2.81</v>
      </c>
      <c r="V2532">
        <v>36</v>
      </c>
      <c r="W2532">
        <v>12.08</v>
      </c>
      <c r="X2532" t="s">
        <v>6581</v>
      </c>
      <c r="Y2532" t="s">
        <v>541</v>
      </c>
      <c r="Z2532">
        <v>0.99</v>
      </c>
      <c r="AA2532">
        <v>125</v>
      </c>
      <c r="AB2532">
        <v>145</v>
      </c>
      <c r="AC2532">
        <v>1.12</v>
      </c>
      <c r="AD2532" t="s">
        <v>13607</v>
      </c>
      <c r="AE2532" t="s">
        <v>10011</v>
      </c>
      <c r="AF2532" t="s">
        <v>13607</v>
      </c>
      <c r="AG2532" t="s">
        <v>10011</v>
      </c>
      <c r="AH2532">
        <v>-1.07</v>
      </c>
      <c r="AI2532">
        <v>-1.07</v>
      </c>
      <c r="AJ2532">
        <v>1.04</v>
      </c>
      <c r="AK2532">
        <v>2.33</v>
      </c>
      <c r="AL2532">
        <v>-2</v>
      </c>
      <c r="AM2532">
        <v>-0.75</v>
      </c>
      <c r="AN2532">
        <v>10.02</v>
      </c>
      <c r="AO2532">
        <v>-4.24</v>
      </c>
      <c r="AP2532">
        <v>25.08</v>
      </c>
    </row>
    <row r="2533" spans="1:42">
      <c r="A2533">
        <v>2532</v>
      </c>
      <c r="B2533" t="str">
        <f>"300880"</f>
        <v>300880</v>
      </c>
      <c r="C2533" t="s">
        <v>13608</v>
      </c>
      <c r="D2533">
        <v>19.99</v>
      </c>
      <c r="E2533">
        <v>-0.6</v>
      </c>
      <c r="F2533">
        <v>-0.12</v>
      </c>
      <c r="G2533" t="s">
        <v>837</v>
      </c>
      <c r="H2533">
        <v>475</v>
      </c>
      <c r="I2533">
        <v>19.98</v>
      </c>
      <c r="J2533">
        <v>19.99</v>
      </c>
      <c r="K2533" t="s">
        <v>13609</v>
      </c>
      <c r="L2533">
        <v>1.79</v>
      </c>
      <c r="M2533" t="s">
        <v>46</v>
      </c>
      <c r="N2533" t="s">
        <v>13610</v>
      </c>
      <c r="O2533">
        <v>20.63</v>
      </c>
      <c r="P2533">
        <v>19.82</v>
      </c>
      <c r="Q2533">
        <v>20.27</v>
      </c>
      <c r="R2533">
        <v>20.11</v>
      </c>
      <c r="S2533">
        <v>4.03</v>
      </c>
      <c r="T2533">
        <v>0.69</v>
      </c>
      <c r="U2533">
        <v>60</v>
      </c>
      <c r="V2533">
        <v>321</v>
      </c>
      <c r="W2533">
        <v>20.05</v>
      </c>
      <c r="X2533" t="s">
        <v>882</v>
      </c>
      <c r="Y2533" t="s">
        <v>7178</v>
      </c>
      <c r="Z2533">
        <v>1.25</v>
      </c>
      <c r="AA2533">
        <v>198</v>
      </c>
      <c r="AB2533">
        <v>7</v>
      </c>
      <c r="AC2533">
        <v>4.46</v>
      </c>
      <c r="AD2533" t="s">
        <v>13611</v>
      </c>
      <c r="AE2533" t="s">
        <v>13612</v>
      </c>
      <c r="AF2533" t="s">
        <v>13611</v>
      </c>
      <c r="AG2533" t="s">
        <v>13613</v>
      </c>
      <c r="AH2533">
        <v>-1.77</v>
      </c>
      <c r="AI2533">
        <v>0.65</v>
      </c>
      <c r="AJ2533">
        <v>7.27</v>
      </c>
      <c r="AK2533">
        <v>14.79</v>
      </c>
      <c r="AL2533">
        <v>-2</v>
      </c>
      <c r="AM2533">
        <v>-0.6</v>
      </c>
      <c r="AN2533">
        <v>43.09</v>
      </c>
      <c r="AO2533">
        <v>4.71</v>
      </c>
      <c r="AP2533">
        <v>27.41</v>
      </c>
    </row>
    <row r="2534" spans="1:42">
      <c r="A2534">
        <v>2533</v>
      </c>
      <c r="B2534" t="str">
        <f>"300279"</f>
        <v>300279</v>
      </c>
      <c r="C2534" t="s">
        <v>13614</v>
      </c>
      <c r="D2534">
        <v>6.66</v>
      </c>
      <c r="E2534">
        <v>1.22</v>
      </c>
      <c r="F2534">
        <v>0.08</v>
      </c>
      <c r="G2534" t="s">
        <v>881</v>
      </c>
      <c r="H2534">
        <v>740</v>
      </c>
      <c r="I2534">
        <v>6.66</v>
      </c>
      <c r="J2534">
        <v>6.67</v>
      </c>
      <c r="K2534" t="s">
        <v>13615</v>
      </c>
      <c r="L2534">
        <v>2.42</v>
      </c>
      <c r="M2534" t="s">
        <v>46</v>
      </c>
      <c r="N2534" t="s">
        <v>2959</v>
      </c>
      <c r="O2534">
        <v>6.71</v>
      </c>
      <c r="P2534">
        <v>6.51</v>
      </c>
      <c r="Q2534">
        <v>6.55</v>
      </c>
      <c r="R2534">
        <v>6.58</v>
      </c>
      <c r="S2534">
        <v>3.04</v>
      </c>
      <c r="T2534">
        <v>0.86</v>
      </c>
      <c r="U2534">
        <v>-43.56</v>
      </c>
      <c r="V2534">
        <v>-1261</v>
      </c>
      <c r="W2534">
        <v>6.63</v>
      </c>
      <c r="X2534" t="s">
        <v>3915</v>
      </c>
      <c r="Y2534" t="s">
        <v>1988</v>
      </c>
      <c r="Z2534">
        <v>0.99</v>
      </c>
      <c r="AA2534">
        <v>372</v>
      </c>
      <c r="AB2534">
        <v>88</v>
      </c>
      <c r="AC2534">
        <v>3.56</v>
      </c>
      <c r="AD2534" t="s">
        <v>13616</v>
      </c>
      <c r="AE2534" t="s">
        <v>13617</v>
      </c>
      <c r="AF2534" t="s">
        <v>13618</v>
      </c>
      <c r="AG2534" t="s">
        <v>13619</v>
      </c>
      <c r="AH2534">
        <v>-1.04</v>
      </c>
      <c r="AI2534">
        <v>-1.33</v>
      </c>
      <c r="AJ2534">
        <v>8.09</v>
      </c>
      <c r="AK2534">
        <v>16.53</v>
      </c>
      <c r="AL2534">
        <v>1</v>
      </c>
      <c r="AM2534">
        <v>1.22</v>
      </c>
      <c r="AN2534">
        <v>34.82</v>
      </c>
      <c r="AO2534">
        <v>-1.91</v>
      </c>
      <c r="AP2534">
        <v>18.93</v>
      </c>
    </row>
    <row r="2535" spans="1:42">
      <c r="A2535">
        <v>2534</v>
      </c>
      <c r="B2535" t="str">
        <f>"600318"</f>
        <v>600318</v>
      </c>
      <c r="C2535" t="s">
        <v>13620</v>
      </c>
      <c r="D2535">
        <v>6.91</v>
      </c>
      <c r="E2535">
        <v>0.58</v>
      </c>
      <c r="F2535">
        <v>0.04</v>
      </c>
      <c r="G2535" t="s">
        <v>1232</v>
      </c>
      <c r="H2535">
        <v>1189</v>
      </c>
      <c r="I2535">
        <v>6.9</v>
      </c>
      <c r="J2535">
        <v>6.91</v>
      </c>
      <c r="K2535" t="s">
        <v>10220</v>
      </c>
      <c r="L2535">
        <v>1.96</v>
      </c>
      <c r="M2535" t="s">
        <v>46</v>
      </c>
      <c r="N2535" t="s">
        <v>5465</v>
      </c>
      <c r="O2535">
        <v>6.95</v>
      </c>
      <c r="P2535">
        <v>6.82</v>
      </c>
      <c r="Q2535">
        <v>6.85</v>
      </c>
      <c r="R2535">
        <v>6.87</v>
      </c>
      <c r="S2535">
        <v>1.89</v>
      </c>
      <c r="T2535">
        <v>0.54</v>
      </c>
      <c r="U2535">
        <v>-16.3</v>
      </c>
      <c r="V2535">
        <v>-1715</v>
      </c>
      <c r="W2535">
        <v>6.91</v>
      </c>
      <c r="X2535" t="s">
        <v>1236</v>
      </c>
      <c r="Y2535" t="s">
        <v>308</v>
      </c>
      <c r="Z2535">
        <v>0.88</v>
      </c>
      <c r="AA2535">
        <v>2505</v>
      </c>
      <c r="AB2535">
        <v>801</v>
      </c>
      <c r="AC2535">
        <v>3.37</v>
      </c>
      <c r="AD2535" t="s">
        <v>13621</v>
      </c>
      <c r="AE2535" t="s">
        <v>11201</v>
      </c>
      <c r="AF2535" t="s">
        <v>13621</v>
      </c>
      <c r="AG2535" t="s">
        <v>11201</v>
      </c>
      <c r="AH2535">
        <v>-0.14</v>
      </c>
      <c r="AI2535">
        <v>-2.12</v>
      </c>
      <c r="AJ2535">
        <v>7.66</v>
      </c>
      <c r="AK2535">
        <v>20.09</v>
      </c>
      <c r="AL2535">
        <v>2</v>
      </c>
      <c r="AM2535">
        <v>0.58</v>
      </c>
      <c r="AN2535">
        <v>2.22</v>
      </c>
      <c r="AO2535">
        <v>5.02</v>
      </c>
      <c r="AP2535">
        <v>-4.43</v>
      </c>
    </row>
    <row r="2536" spans="1:42">
      <c r="A2536">
        <v>2535</v>
      </c>
      <c r="B2536" t="str">
        <f>"688629"</f>
        <v>688629</v>
      </c>
      <c r="C2536" t="s">
        <v>13622</v>
      </c>
      <c r="D2536">
        <v>25.96</v>
      </c>
      <c r="E2536">
        <v>-0.12</v>
      </c>
      <c r="F2536">
        <v>-0.03</v>
      </c>
      <c r="G2536" t="s">
        <v>7472</v>
      </c>
      <c r="H2536">
        <v>528</v>
      </c>
      <c r="I2536">
        <v>25.95</v>
      </c>
      <c r="J2536">
        <v>25.96</v>
      </c>
      <c r="K2536" t="s">
        <v>13623</v>
      </c>
      <c r="L2536">
        <v>4.11</v>
      </c>
      <c r="M2536" t="s">
        <v>46</v>
      </c>
      <c r="N2536" t="s">
        <v>2237</v>
      </c>
      <c r="O2536">
        <v>26.34</v>
      </c>
      <c r="P2536">
        <v>25.55</v>
      </c>
      <c r="Q2536">
        <v>25.7</v>
      </c>
      <c r="R2536">
        <v>25.99</v>
      </c>
      <c r="S2536">
        <v>3.04</v>
      </c>
      <c r="T2536">
        <v>1.02</v>
      </c>
      <c r="U2536">
        <v>-58.2</v>
      </c>
      <c r="V2536">
        <v>-308</v>
      </c>
      <c r="W2536">
        <v>25.97</v>
      </c>
      <c r="X2536" t="s">
        <v>383</v>
      </c>
      <c r="Y2536" t="s">
        <v>1777</v>
      </c>
      <c r="Z2536">
        <v>1</v>
      </c>
      <c r="AA2536">
        <v>25</v>
      </c>
      <c r="AB2536">
        <v>35</v>
      </c>
      <c r="AC2536">
        <v>8.15</v>
      </c>
      <c r="AD2536" t="s">
        <v>13624</v>
      </c>
      <c r="AE2536" t="s">
        <v>2437</v>
      </c>
      <c r="AF2536" t="s">
        <v>13625</v>
      </c>
      <c r="AG2536" t="s">
        <v>13626</v>
      </c>
      <c r="AH2536">
        <v>1.21</v>
      </c>
      <c r="AI2536">
        <v>4.01</v>
      </c>
      <c r="AJ2536">
        <v>10.97</v>
      </c>
      <c r="AK2536">
        <v>24.22</v>
      </c>
      <c r="AL2536">
        <v>-1</v>
      </c>
      <c r="AM2536">
        <v>-0.12</v>
      </c>
      <c r="AN2536">
        <v>180.35</v>
      </c>
      <c r="AO2536">
        <v>10.33</v>
      </c>
      <c r="AP2536">
        <v>180.35</v>
      </c>
    </row>
    <row r="2537" spans="1:42">
      <c r="A2537">
        <v>2536</v>
      </c>
      <c r="B2537" t="str">
        <f>"600059"</f>
        <v>600059</v>
      </c>
      <c r="C2537" t="s">
        <v>13627</v>
      </c>
      <c r="D2537">
        <v>9.8</v>
      </c>
      <c r="E2537">
        <v>0.2</v>
      </c>
      <c r="F2537">
        <v>0.02</v>
      </c>
      <c r="G2537" t="s">
        <v>4868</v>
      </c>
      <c r="H2537">
        <v>704</v>
      </c>
      <c r="I2537">
        <v>9.79</v>
      </c>
      <c r="J2537">
        <v>9.8</v>
      </c>
      <c r="K2537" t="s">
        <v>13628</v>
      </c>
      <c r="L2537">
        <v>0.78</v>
      </c>
      <c r="M2537" t="s">
        <v>46</v>
      </c>
      <c r="N2537" t="s">
        <v>4336</v>
      </c>
      <c r="O2537">
        <v>9.85</v>
      </c>
      <c r="P2537">
        <v>9.75</v>
      </c>
      <c r="Q2537">
        <v>9.78</v>
      </c>
      <c r="R2537">
        <v>9.78</v>
      </c>
      <c r="S2537">
        <v>1.02</v>
      </c>
      <c r="T2537">
        <v>1.14</v>
      </c>
      <c r="U2537">
        <v>-41.47</v>
      </c>
      <c r="V2537">
        <v>-3512</v>
      </c>
      <c r="W2537">
        <v>9.8</v>
      </c>
      <c r="X2537" t="s">
        <v>5693</v>
      </c>
      <c r="Y2537" t="s">
        <v>5831</v>
      </c>
      <c r="Z2537">
        <v>1.01</v>
      </c>
      <c r="AA2537">
        <v>348</v>
      </c>
      <c r="AB2537">
        <v>207</v>
      </c>
      <c r="AC2537">
        <v>1.61</v>
      </c>
      <c r="AD2537" t="s">
        <v>13629</v>
      </c>
      <c r="AE2537" t="s">
        <v>13630</v>
      </c>
      <c r="AF2537" t="s">
        <v>13629</v>
      </c>
      <c r="AG2537" t="s">
        <v>13630</v>
      </c>
      <c r="AH2537">
        <v>0.51</v>
      </c>
      <c r="AI2537">
        <v>-0.1</v>
      </c>
      <c r="AJ2537">
        <v>2.35</v>
      </c>
      <c r="AK2537">
        <v>4.18</v>
      </c>
      <c r="AL2537">
        <v>2</v>
      </c>
      <c r="AM2537">
        <v>0.2</v>
      </c>
      <c r="AN2537">
        <v>1.77</v>
      </c>
      <c r="AO2537">
        <v>1.87</v>
      </c>
      <c r="AP2537">
        <v>8.77</v>
      </c>
    </row>
    <row r="2538" spans="1:42">
      <c r="A2538">
        <v>2537</v>
      </c>
      <c r="B2538" t="str">
        <f>"600033"</f>
        <v>600033</v>
      </c>
      <c r="C2538" t="s">
        <v>13631</v>
      </c>
      <c r="D2538">
        <v>3.25</v>
      </c>
      <c r="E2538">
        <v>1.25</v>
      </c>
      <c r="F2538">
        <v>0.04</v>
      </c>
      <c r="G2538" t="s">
        <v>553</v>
      </c>
      <c r="H2538">
        <v>1776</v>
      </c>
      <c r="I2538">
        <v>3.25</v>
      </c>
      <c r="J2538">
        <v>3.26</v>
      </c>
      <c r="K2538" t="s">
        <v>13632</v>
      </c>
      <c r="L2538">
        <v>0.78</v>
      </c>
      <c r="M2538" t="s">
        <v>46</v>
      </c>
      <c r="N2538" t="s">
        <v>7267</v>
      </c>
      <c r="O2538">
        <v>3.26</v>
      </c>
      <c r="P2538">
        <v>3.21</v>
      </c>
      <c r="Q2538">
        <v>3.22</v>
      </c>
      <c r="R2538">
        <v>3.21</v>
      </c>
      <c r="S2538">
        <v>1.56</v>
      </c>
      <c r="T2538">
        <v>1.57</v>
      </c>
      <c r="U2538">
        <v>-49.19</v>
      </c>
      <c r="V2538" t="s">
        <v>13633</v>
      </c>
      <c r="W2538">
        <v>3.25</v>
      </c>
      <c r="X2538" t="s">
        <v>110</v>
      </c>
      <c r="Y2538" t="s">
        <v>656</v>
      </c>
      <c r="Z2538">
        <v>0.9</v>
      </c>
      <c r="AA2538">
        <v>116</v>
      </c>
      <c r="AB2538" t="s">
        <v>2694</v>
      </c>
      <c r="AC2538">
        <v>0.8</v>
      </c>
      <c r="AD2538" t="s">
        <v>13634</v>
      </c>
      <c r="AE2538" t="s">
        <v>12084</v>
      </c>
      <c r="AF2538" t="s">
        <v>13634</v>
      </c>
      <c r="AG2538" t="s">
        <v>12084</v>
      </c>
      <c r="AH2538">
        <v>1.56</v>
      </c>
      <c r="AI2538">
        <v>2.2</v>
      </c>
      <c r="AJ2538">
        <v>1.74</v>
      </c>
      <c r="AK2538">
        <v>3.25</v>
      </c>
      <c r="AL2538">
        <v>2</v>
      </c>
      <c r="AM2538">
        <v>1.25</v>
      </c>
      <c r="AN2538">
        <v>18.18</v>
      </c>
      <c r="AO2538">
        <v>1.56</v>
      </c>
      <c r="AP2538">
        <v>22.18</v>
      </c>
    </row>
    <row r="2539" spans="1:42">
      <c r="A2539">
        <v>2538</v>
      </c>
      <c r="B2539" t="str">
        <f>"002540"</f>
        <v>002540</v>
      </c>
      <c r="C2539" t="s">
        <v>13635</v>
      </c>
      <c r="D2539">
        <v>6.46</v>
      </c>
      <c r="E2539">
        <v>-0.77</v>
      </c>
      <c r="F2539">
        <v>-0.05</v>
      </c>
      <c r="G2539" t="s">
        <v>1909</v>
      </c>
      <c r="H2539">
        <v>374</v>
      </c>
      <c r="I2539">
        <v>6.46</v>
      </c>
      <c r="J2539">
        <v>6.47</v>
      </c>
      <c r="K2539" t="s">
        <v>13632</v>
      </c>
      <c r="L2539">
        <v>1.22</v>
      </c>
      <c r="M2539" t="s">
        <v>46</v>
      </c>
      <c r="N2539" t="s">
        <v>13636</v>
      </c>
      <c r="O2539">
        <v>6.57</v>
      </c>
      <c r="P2539">
        <v>6.43</v>
      </c>
      <c r="Q2539">
        <v>6.54</v>
      </c>
      <c r="R2539">
        <v>6.51</v>
      </c>
      <c r="S2539">
        <v>2.15</v>
      </c>
      <c r="T2539">
        <v>0.77</v>
      </c>
      <c r="U2539">
        <v>-42.18</v>
      </c>
      <c r="V2539">
        <v>-3214</v>
      </c>
      <c r="W2539">
        <v>6.47</v>
      </c>
      <c r="X2539" t="s">
        <v>8120</v>
      </c>
      <c r="Y2539" t="s">
        <v>4708</v>
      </c>
      <c r="Z2539">
        <v>1.17</v>
      </c>
      <c r="AA2539">
        <v>150</v>
      </c>
      <c r="AB2539">
        <v>324</v>
      </c>
      <c r="AC2539">
        <v>1.5</v>
      </c>
      <c r="AD2539" t="s">
        <v>13637</v>
      </c>
      <c r="AE2539" t="s">
        <v>13638</v>
      </c>
      <c r="AF2539" t="s">
        <v>13639</v>
      </c>
      <c r="AG2539" t="s">
        <v>13640</v>
      </c>
      <c r="AH2539">
        <v>-1.82</v>
      </c>
      <c r="AI2539">
        <v>0.16</v>
      </c>
      <c r="AJ2539">
        <v>4.7</v>
      </c>
      <c r="AK2539">
        <v>9.16</v>
      </c>
      <c r="AL2539">
        <v>-2</v>
      </c>
      <c r="AM2539">
        <v>-0.77</v>
      </c>
      <c r="AN2539">
        <v>38.63</v>
      </c>
      <c r="AO2539">
        <v>5.56</v>
      </c>
      <c r="AP2539">
        <v>29.98</v>
      </c>
    </row>
    <row r="2540" spans="1:42">
      <c r="A2540">
        <v>2539</v>
      </c>
      <c r="B2540" t="str">
        <f>"600829"</f>
        <v>600829</v>
      </c>
      <c r="C2540" t="s">
        <v>13641</v>
      </c>
      <c r="D2540">
        <v>8.15</v>
      </c>
      <c r="E2540">
        <v>0.62</v>
      </c>
      <c r="F2540">
        <v>0.05</v>
      </c>
      <c r="G2540" t="s">
        <v>2967</v>
      </c>
      <c r="H2540">
        <v>1704</v>
      </c>
      <c r="I2540">
        <v>8.15</v>
      </c>
      <c r="J2540">
        <v>8.16</v>
      </c>
      <c r="K2540" t="s">
        <v>13642</v>
      </c>
      <c r="L2540">
        <v>1.46</v>
      </c>
      <c r="M2540" t="s">
        <v>46</v>
      </c>
      <c r="N2540" t="s">
        <v>13643</v>
      </c>
      <c r="O2540">
        <v>8.25</v>
      </c>
      <c r="P2540">
        <v>8.05</v>
      </c>
      <c r="Q2540">
        <v>8.1</v>
      </c>
      <c r="R2540">
        <v>8.1</v>
      </c>
      <c r="S2540">
        <v>2.47</v>
      </c>
      <c r="T2540">
        <v>0.41</v>
      </c>
      <c r="U2540">
        <v>-19.48</v>
      </c>
      <c r="V2540">
        <v>-538</v>
      </c>
      <c r="W2540">
        <v>8.14</v>
      </c>
      <c r="X2540" t="s">
        <v>3176</v>
      </c>
      <c r="Y2540" t="s">
        <v>10547</v>
      </c>
      <c r="Z2540">
        <v>1.06</v>
      </c>
      <c r="AA2540">
        <v>365</v>
      </c>
      <c r="AB2540">
        <v>417</v>
      </c>
      <c r="AC2540">
        <v>1.75</v>
      </c>
      <c r="AD2540" t="s">
        <v>13644</v>
      </c>
      <c r="AE2540" t="s">
        <v>8506</v>
      </c>
      <c r="AF2540" t="s">
        <v>13644</v>
      </c>
      <c r="AG2540" t="s">
        <v>8506</v>
      </c>
      <c r="AH2540">
        <v>-2.51</v>
      </c>
      <c r="AI2540">
        <v>0.99</v>
      </c>
      <c r="AJ2540">
        <v>5.54</v>
      </c>
      <c r="AK2540">
        <v>19.14</v>
      </c>
      <c r="AL2540">
        <v>2</v>
      </c>
      <c r="AM2540">
        <v>0.62</v>
      </c>
      <c r="AN2540">
        <v>27.74</v>
      </c>
      <c r="AO2540">
        <v>6.82</v>
      </c>
      <c r="AP2540">
        <v>10.58</v>
      </c>
    </row>
    <row r="2541" spans="1:42">
      <c r="A2541">
        <v>2540</v>
      </c>
      <c r="B2541" t="str">
        <f>"600328"</f>
        <v>600328</v>
      </c>
      <c r="C2541" t="s">
        <v>13645</v>
      </c>
      <c r="D2541">
        <v>7.88</v>
      </c>
      <c r="E2541">
        <v>0.51</v>
      </c>
      <c r="F2541">
        <v>0.04</v>
      </c>
      <c r="G2541" t="s">
        <v>2514</v>
      </c>
      <c r="H2541">
        <v>436</v>
      </c>
      <c r="I2541">
        <v>7.88</v>
      </c>
      <c r="J2541">
        <v>7.89</v>
      </c>
      <c r="K2541" t="s">
        <v>13646</v>
      </c>
      <c r="L2541">
        <v>0.61</v>
      </c>
      <c r="M2541" t="s">
        <v>46</v>
      </c>
      <c r="N2541" t="s">
        <v>2734</v>
      </c>
      <c r="O2541">
        <v>7.89</v>
      </c>
      <c r="P2541">
        <v>7.78</v>
      </c>
      <c r="Q2541">
        <v>7.86</v>
      </c>
      <c r="R2541">
        <v>7.84</v>
      </c>
      <c r="S2541">
        <v>1.4</v>
      </c>
      <c r="T2541">
        <v>0.82</v>
      </c>
      <c r="U2541">
        <v>-15.21</v>
      </c>
      <c r="V2541">
        <v>-1431</v>
      </c>
      <c r="W2541">
        <v>7.84</v>
      </c>
      <c r="X2541" t="s">
        <v>3737</v>
      </c>
      <c r="Y2541" t="s">
        <v>5983</v>
      </c>
      <c r="Z2541">
        <v>1.24</v>
      </c>
      <c r="AA2541">
        <v>867</v>
      </c>
      <c r="AB2541">
        <v>2487</v>
      </c>
      <c r="AC2541">
        <v>1.01</v>
      </c>
      <c r="AD2541" t="s">
        <v>133</v>
      </c>
      <c r="AE2541" t="s">
        <v>13462</v>
      </c>
      <c r="AF2541" t="s">
        <v>800</v>
      </c>
      <c r="AG2541" t="s">
        <v>8143</v>
      </c>
      <c r="AH2541">
        <v>-1.99</v>
      </c>
      <c r="AI2541">
        <v>-2.11</v>
      </c>
      <c r="AJ2541">
        <v>1.96</v>
      </c>
      <c r="AK2541">
        <v>4.29</v>
      </c>
      <c r="AL2541">
        <v>1</v>
      </c>
      <c r="AM2541">
        <v>0.51</v>
      </c>
      <c r="AN2541">
        <v>-27.84</v>
      </c>
      <c r="AO2541">
        <v>-0.63</v>
      </c>
      <c r="AP2541">
        <v>-28.62</v>
      </c>
    </row>
    <row r="2542" spans="1:42">
      <c r="A2542">
        <v>2541</v>
      </c>
      <c r="B2542" t="str">
        <f>"000597"</f>
        <v>000597</v>
      </c>
      <c r="C2542" t="s">
        <v>13647</v>
      </c>
      <c r="D2542">
        <v>5.68</v>
      </c>
      <c r="E2542">
        <v>-0.53</v>
      </c>
      <c r="F2542">
        <v>-0.03</v>
      </c>
      <c r="G2542" t="s">
        <v>447</v>
      </c>
      <c r="H2542">
        <v>768</v>
      </c>
      <c r="I2542">
        <v>5.67</v>
      </c>
      <c r="J2542">
        <v>5.68</v>
      </c>
      <c r="K2542" t="s">
        <v>13648</v>
      </c>
      <c r="L2542">
        <v>0.89</v>
      </c>
      <c r="M2542" t="s">
        <v>46</v>
      </c>
      <c r="N2542" t="s">
        <v>13649</v>
      </c>
      <c r="O2542">
        <v>5.73</v>
      </c>
      <c r="P2542">
        <v>5.65</v>
      </c>
      <c r="Q2542">
        <v>5.71</v>
      </c>
      <c r="R2542">
        <v>5.71</v>
      </c>
      <c r="S2542">
        <v>1.4</v>
      </c>
      <c r="T2542">
        <v>0.41</v>
      </c>
      <c r="U2542">
        <v>6.28</v>
      </c>
      <c r="V2542">
        <v>930</v>
      </c>
      <c r="W2542">
        <v>5.68</v>
      </c>
      <c r="X2542" t="s">
        <v>9741</v>
      </c>
      <c r="Y2542" t="s">
        <v>9519</v>
      </c>
      <c r="Z2542">
        <v>1.21</v>
      </c>
      <c r="AA2542">
        <v>798</v>
      </c>
      <c r="AB2542">
        <v>1392</v>
      </c>
      <c r="AC2542">
        <v>1.68</v>
      </c>
      <c r="AD2542" t="s">
        <v>7013</v>
      </c>
      <c r="AE2542" t="s">
        <v>13650</v>
      </c>
      <c r="AF2542" t="s">
        <v>7244</v>
      </c>
      <c r="AG2542" t="s">
        <v>13651</v>
      </c>
      <c r="AH2542">
        <v>-0.35</v>
      </c>
      <c r="AI2542">
        <v>-0.35</v>
      </c>
      <c r="AJ2542">
        <v>2.94</v>
      </c>
      <c r="AK2542">
        <v>11.73</v>
      </c>
      <c r="AL2542">
        <v>-1</v>
      </c>
      <c r="AM2542">
        <v>-0.53</v>
      </c>
      <c r="AN2542">
        <v>-8.53</v>
      </c>
      <c r="AO2542">
        <v>4.8</v>
      </c>
      <c r="AP2542">
        <v>4.99</v>
      </c>
    </row>
    <row r="2543" spans="1:42">
      <c r="A2543">
        <v>2542</v>
      </c>
      <c r="B2543" t="str">
        <f>"002859"</f>
        <v>002859</v>
      </c>
      <c r="C2543" t="s">
        <v>13652</v>
      </c>
      <c r="D2543">
        <v>25.75</v>
      </c>
      <c r="E2543">
        <v>-0.35</v>
      </c>
      <c r="F2543">
        <v>-0.09</v>
      </c>
      <c r="G2543" t="s">
        <v>10910</v>
      </c>
      <c r="H2543">
        <v>102</v>
      </c>
      <c r="I2543">
        <v>25.75</v>
      </c>
      <c r="J2543">
        <v>25.77</v>
      </c>
      <c r="K2543" t="s">
        <v>13648</v>
      </c>
      <c r="L2543">
        <v>0.67</v>
      </c>
      <c r="M2543" t="s">
        <v>46</v>
      </c>
      <c r="N2543" t="s">
        <v>1778</v>
      </c>
      <c r="O2543">
        <v>26.06</v>
      </c>
      <c r="P2543">
        <v>25.67</v>
      </c>
      <c r="Q2543">
        <v>25.86</v>
      </c>
      <c r="R2543">
        <v>25.84</v>
      </c>
      <c r="S2543">
        <v>1.51</v>
      </c>
      <c r="T2543">
        <v>1.25</v>
      </c>
      <c r="U2543">
        <v>78.03</v>
      </c>
      <c r="V2543">
        <v>625</v>
      </c>
      <c r="W2543">
        <v>25.8</v>
      </c>
      <c r="X2543" t="s">
        <v>5183</v>
      </c>
      <c r="Y2543" t="s">
        <v>1967</v>
      </c>
      <c r="Z2543">
        <v>1.03</v>
      </c>
      <c r="AA2543">
        <v>51</v>
      </c>
      <c r="AB2543">
        <v>1</v>
      </c>
      <c r="AC2543">
        <v>3.97</v>
      </c>
      <c r="AD2543" t="s">
        <v>13653</v>
      </c>
      <c r="AE2543" t="s">
        <v>13654</v>
      </c>
      <c r="AF2543" t="s">
        <v>945</v>
      </c>
      <c r="AG2543" t="s">
        <v>13655</v>
      </c>
      <c r="AH2543">
        <v>-1.98</v>
      </c>
      <c r="AI2543">
        <v>-1.53</v>
      </c>
      <c r="AJ2543">
        <v>1.81</v>
      </c>
      <c r="AK2543">
        <v>3.35</v>
      </c>
      <c r="AL2543">
        <v>-3</v>
      </c>
      <c r="AM2543">
        <v>-0.35</v>
      </c>
      <c r="AN2543">
        <v>-8.46</v>
      </c>
      <c r="AO2543">
        <v>-7.57</v>
      </c>
      <c r="AP2543">
        <v>-3.52</v>
      </c>
    </row>
    <row r="2544" spans="1:42">
      <c r="A2544">
        <v>2543</v>
      </c>
      <c r="B2544" t="str">
        <f>"002500"</f>
        <v>002500</v>
      </c>
      <c r="C2544" t="s">
        <v>13656</v>
      </c>
      <c r="D2544">
        <v>5.62</v>
      </c>
      <c r="E2544">
        <v>0.72</v>
      </c>
      <c r="F2544">
        <v>0.04</v>
      </c>
      <c r="G2544" t="s">
        <v>422</v>
      </c>
      <c r="H2544">
        <v>1862</v>
      </c>
      <c r="I2544">
        <v>5.62</v>
      </c>
      <c r="J2544">
        <v>5.63</v>
      </c>
      <c r="K2544" t="s">
        <v>13648</v>
      </c>
      <c r="L2544">
        <v>0.34</v>
      </c>
      <c r="M2544" t="s">
        <v>46</v>
      </c>
      <c r="N2544" t="s">
        <v>9088</v>
      </c>
      <c r="O2544">
        <v>5.63</v>
      </c>
      <c r="P2544">
        <v>5.55</v>
      </c>
      <c r="Q2544">
        <v>5.57</v>
      </c>
      <c r="R2544">
        <v>5.58</v>
      </c>
      <c r="S2544">
        <v>1.43</v>
      </c>
      <c r="T2544">
        <v>0.82</v>
      </c>
      <c r="U2544">
        <v>-18.24</v>
      </c>
      <c r="V2544">
        <v>-4378</v>
      </c>
      <c r="W2544">
        <v>5.6</v>
      </c>
      <c r="X2544" t="s">
        <v>3319</v>
      </c>
      <c r="Y2544" t="s">
        <v>3041</v>
      </c>
      <c r="Z2544">
        <v>0.67</v>
      </c>
      <c r="AA2544">
        <v>2006</v>
      </c>
      <c r="AB2544">
        <v>4011</v>
      </c>
      <c r="AC2544">
        <v>1.15</v>
      </c>
      <c r="AD2544" t="s">
        <v>1782</v>
      </c>
      <c r="AE2544" t="s">
        <v>13657</v>
      </c>
      <c r="AF2544" t="s">
        <v>1782</v>
      </c>
      <c r="AG2544" t="s">
        <v>13657</v>
      </c>
      <c r="AH2544">
        <v>-0.35</v>
      </c>
      <c r="AI2544">
        <v>-2.26</v>
      </c>
      <c r="AJ2544">
        <v>1.23</v>
      </c>
      <c r="AK2544">
        <v>2.44</v>
      </c>
      <c r="AL2544">
        <v>2</v>
      </c>
      <c r="AM2544">
        <v>0.72</v>
      </c>
      <c r="AN2544">
        <v>7.66</v>
      </c>
      <c r="AO2544">
        <v>0</v>
      </c>
      <c r="AP2544">
        <v>4.07</v>
      </c>
    </row>
    <row r="2545" spans="1:42">
      <c r="A2545">
        <v>2544</v>
      </c>
      <c r="B2545" t="str">
        <f>"000778"</f>
        <v>000778</v>
      </c>
      <c r="C2545" t="s">
        <v>13658</v>
      </c>
      <c r="D2545">
        <v>3.91</v>
      </c>
      <c r="E2545">
        <v>0.51</v>
      </c>
      <c r="F2545">
        <v>0.02</v>
      </c>
      <c r="G2545" t="s">
        <v>625</v>
      </c>
      <c r="H2545">
        <v>2412</v>
      </c>
      <c r="I2545">
        <v>3.91</v>
      </c>
      <c r="J2545">
        <v>3.92</v>
      </c>
      <c r="K2545" t="s">
        <v>13659</v>
      </c>
      <c r="L2545">
        <v>0.45</v>
      </c>
      <c r="M2545" t="s">
        <v>46</v>
      </c>
      <c r="N2545" t="s">
        <v>403</v>
      </c>
      <c r="O2545">
        <v>3.93</v>
      </c>
      <c r="P2545">
        <v>3.88</v>
      </c>
      <c r="Q2545">
        <v>3.89</v>
      </c>
      <c r="R2545">
        <v>3.89</v>
      </c>
      <c r="S2545">
        <v>1.29</v>
      </c>
      <c r="T2545">
        <v>0.83</v>
      </c>
      <c r="U2545">
        <v>-46.21</v>
      </c>
      <c r="V2545" t="s">
        <v>2713</v>
      </c>
      <c r="W2545">
        <v>3.91</v>
      </c>
      <c r="X2545" t="s">
        <v>5725</v>
      </c>
      <c r="Y2545" t="s">
        <v>2402</v>
      </c>
      <c r="Z2545">
        <v>0.64</v>
      </c>
      <c r="AA2545">
        <v>2556</v>
      </c>
      <c r="AB2545" t="s">
        <v>1154</v>
      </c>
      <c r="AC2545">
        <v>0.62</v>
      </c>
      <c r="AD2545" t="s">
        <v>11195</v>
      </c>
      <c r="AE2545" t="s">
        <v>3215</v>
      </c>
      <c r="AF2545" t="s">
        <v>13660</v>
      </c>
      <c r="AG2545" t="s">
        <v>10924</v>
      </c>
      <c r="AH2545">
        <v>-1.01</v>
      </c>
      <c r="AI2545">
        <v>-1.51</v>
      </c>
      <c r="AJ2545">
        <v>1.53</v>
      </c>
      <c r="AK2545">
        <v>3.18</v>
      </c>
      <c r="AL2545">
        <v>1</v>
      </c>
      <c r="AM2545">
        <v>0.51</v>
      </c>
      <c r="AN2545">
        <v>11.08</v>
      </c>
      <c r="AO2545">
        <v>-1.26</v>
      </c>
      <c r="AP2545">
        <v>7.71</v>
      </c>
    </row>
    <row r="2546" spans="1:42">
      <c r="A2546">
        <v>2545</v>
      </c>
      <c r="B2546" t="str">
        <f>"300397"</f>
        <v>300397</v>
      </c>
      <c r="C2546" t="s">
        <v>13661</v>
      </c>
      <c r="D2546">
        <v>11.23</v>
      </c>
      <c r="E2546">
        <v>1.45</v>
      </c>
      <c r="F2546">
        <v>0.16</v>
      </c>
      <c r="G2546" t="s">
        <v>5023</v>
      </c>
      <c r="H2546">
        <v>1543</v>
      </c>
      <c r="I2546">
        <v>11.22</v>
      </c>
      <c r="J2546">
        <v>11.23</v>
      </c>
      <c r="K2546" t="s">
        <v>13662</v>
      </c>
      <c r="L2546">
        <v>1.54</v>
      </c>
      <c r="M2546" t="s">
        <v>46</v>
      </c>
      <c r="N2546" t="s">
        <v>3982</v>
      </c>
      <c r="O2546">
        <v>11.25</v>
      </c>
      <c r="P2546">
        <v>11.01</v>
      </c>
      <c r="Q2546">
        <v>11.07</v>
      </c>
      <c r="R2546">
        <v>11.07</v>
      </c>
      <c r="S2546">
        <v>2.17</v>
      </c>
      <c r="T2546">
        <v>0.94</v>
      </c>
      <c r="U2546">
        <v>-30.45</v>
      </c>
      <c r="V2546">
        <v>-1389</v>
      </c>
      <c r="W2546">
        <v>11.15</v>
      </c>
      <c r="X2546" t="s">
        <v>3260</v>
      </c>
      <c r="Y2546" t="s">
        <v>7205</v>
      </c>
      <c r="Z2546">
        <v>1.02</v>
      </c>
      <c r="AA2546">
        <v>2</v>
      </c>
      <c r="AB2546">
        <v>281</v>
      </c>
      <c r="AC2546">
        <v>3.3</v>
      </c>
      <c r="AD2546" t="s">
        <v>13663</v>
      </c>
      <c r="AE2546" t="s">
        <v>13664</v>
      </c>
      <c r="AF2546" t="s">
        <v>4258</v>
      </c>
      <c r="AG2546" t="s">
        <v>9247</v>
      </c>
      <c r="AH2546">
        <v>-0.97</v>
      </c>
      <c r="AI2546">
        <v>-2.26</v>
      </c>
      <c r="AJ2546">
        <v>4.41</v>
      </c>
      <c r="AK2546">
        <v>9.78</v>
      </c>
      <c r="AL2546">
        <v>1</v>
      </c>
      <c r="AM2546">
        <v>1.45</v>
      </c>
      <c r="AN2546">
        <v>21.27</v>
      </c>
      <c r="AO2546">
        <v>-0.88</v>
      </c>
      <c r="AP2546">
        <v>10.1</v>
      </c>
    </row>
    <row r="2547" spans="1:42">
      <c r="A2547">
        <v>2546</v>
      </c>
      <c r="B2547" t="str">
        <f>"301087"</f>
        <v>301087</v>
      </c>
      <c r="C2547" t="s">
        <v>13665</v>
      </c>
      <c r="D2547">
        <v>38.9</v>
      </c>
      <c r="E2547">
        <v>0.91</v>
      </c>
      <c r="F2547">
        <v>0.35</v>
      </c>
      <c r="G2547" t="s">
        <v>60</v>
      </c>
      <c r="H2547">
        <v>244</v>
      </c>
      <c r="I2547">
        <v>38.85</v>
      </c>
      <c r="J2547">
        <v>38.9</v>
      </c>
      <c r="K2547" t="s">
        <v>13666</v>
      </c>
      <c r="L2547">
        <v>1.97</v>
      </c>
      <c r="M2547" t="s">
        <v>46</v>
      </c>
      <c r="N2547" t="s">
        <v>1898</v>
      </c>
      <c r="O2547">
        <v>39.55</v>
      </c>
      <c r="P2547">
        <v>38.03</v>
      </c>
      <c r="Q2547">
        <v>38.52</v>
      </c>
      <c r="R2547">
        <v>38.55</v>
      </c>
      <c r="S2547">
        <v>3.94</v>
      </c>
      <c r="T2547">
        <v>0.61</v>
      </c>
      <c r="U2547">
        <v>-20.16</v>
      </c>
      <c r="V2547">
        <v>-49</v>
      </c>
      <c r="W2547">
        <v>38.73</v>
      </c>
      <c r="X2547">
        <v>9782</v>
      </c>
      <c r="Y2547">
        <v>8040</v>
      </c>
      <c r="Z2547">
        <v>1.22</v>
      </c>
      <c r="AA2547">
        <v>1</v>
      </c>
      <c r="AB2547">
        <v>122</v>
      </c>
      <c r="AC2547">
        <v>1.66</v>
      </c>
      <c r="AD2547" t="s">
        <v>5218</v>
      </c>
      <c r="AE2547" t="s">
        <v>3580</v>
      </c>
      <c r="AF2547" t="s">
        <v>13667</v>
      </c>
      <c r="AG2547" t="s">
        <v>13668</v>
      </c>
      <c r="AH2547">
        <v>-0.46</v>
      </c>
      <c r="AI2547">
        <v>-3.11</v>
      </c>
      <c r="AJ2547">
        <v>4.72</v>
      </c>
      <c r="AK2547">
        <v>18.23</v>
      </c>
      <c r="AL2547">
        <v>2</v>
      </c>
      <c r="AM2547">
        <v>0.91</v>
      </c>
      <c r="AN2547">
        <v>10.26</v>
      </c>
      <c r="AO2547">
        <v>2.53</v>
      </c>
      <c r="AP2547">
        <v>-2.8</v>
      </c>
    </row>
    <row r="2548" spans="1:42">
      <c r="A2548">
        <v>2547</v>
      </c>
      <c r="B2548" t="str">
        <f>"002171"</f>
        <v>002171</v>
      </c>
      <c r="C2548" t="s">
        <v>13669</v>
      </c>
      <c r="D2548">
        <v>7.59</v>
      </c>
      <c r="E2548">
        <v>0.13</v>
      </c>
      <c r="F2548">
        <v>0.01</v>
      </c>
      <c r="G2548" t="s">
        <v>9929</v>
      </c>
      <c r="H2548">
        <v>550</v>
      </c>
      <c r="I2548">
        <v>7.58</v>
      </c>
      <c r="J2548">
        <v>7.59</v>
      </c>
      <c r="K2548" t="s">
        <v>13670</v>
      </c>
      <c r="L2548">
        <v>0.7</v>
      </c>
      <c r="M2548" t="s">
        <v>46</v>
      </c>
      <c r="N2548" t="s">
        <v>13671</v>
      </c>
      <c r="O2548">
        <v>7.65</v>
      </c>
      <c r="P2548">
        <v>7.55</v>
      </c>
      <c r="Q2548">
        <v>7.59</v>
      </c>
      <c r="R2548">
        <v>7.58</v>
      </c>
      <c r="S2548">
        <v>1.32</v>
      </c>
      <c r="T2548">
        <v>0.83</v>
      </c>
      <c r="U2548">
        <v>24.37</v>
      </c>
      <c r="V2548">
        <v>2145</v>
      </c>
      <c r="W2548">
        <v>7.59</v>
      </c>
      <c r="X2548" t="s">
        <v>4888</v>
      </c>
      <c r="Y2548" t="s">
        <v>2621</v>
      </c>
      <c r="Z2548">
        <v>1.17</v>
      </c>
      <c r="AA2548">
        <v>1877</v>
      </c>
      <c r="AB2548">
        <v>161</v>
      </c>
      <c r="AC2548">
        <v>1.67</v>
      </c>
      <c r="AD2548" t="s">
        <v>13672</v>
      </c>
      <c r="AE2548" t="s">
        <v>4030</v>
      </c>
      <c r="AF2548" t="s">
        <v>13673</v>
      </c>
      <c r="AG2548" t="s">
        <v>13674</v>
      </c>
      <c r="AH2548">
        <v>-0.65</v>
      </c>
      <c r="AI2548">
        <v>0.66</v>
      </c>
      <c r="AJ2548">
        <v>2.57</v>
      </c>
      <c r="AK2548">
        <v>4.91</v>
      </c>
      <c r="AL2548">
        <v>1</v>
      </c>
      <c r="AM2548">
        <v>0.13</v>
      </c>
      <c r="AN2548">
        <v>5.42</v>
      </c>
      <c r="AO2548">
        <v>5.12</v>
      </c>
      <c r="AP2548">
        <v>4.4</v>
      </c>
    </row>
    <row r="2549" spans="1:42">
      <c r="A2549">
        <v>2548</v>
      </c>
      <c r="B2549" t="str">
        <f>"000521"</f>
        <v>000521</v>
      </c>
      <c r="C2549" t="s">
        <v>13675</v>
      </c>
      <c r="D2549">
        <v>6.11</v>
      </c>
      <c r="E2549">
        <v>0.49</v>
      </c>
      <c r="F2549">
        <v>0.03</v>
      </c>
      <c r="G2549" t="s">
        <v>262</v>
      </c>
      <c r="H2549">
        <v>1545</v>
      </c>
      <c r="I2549">
        <v>6.11</v>
      </c>
      <c r="J2549">
        <v>6.12</v>
      </c>
      <c r="K2549" t="s">
        <v>13670</v>
      </c>
      <c r="L2549">
        <v>1.29</v>
      </c>
      <c r="M2549" t="s">
        <v>46</v>
      </c>
      <c r="N2549" t="s">
        <v>8303</v>
      </c>
      <c r="O2549">
        <v>6.17</v>
      </c>
      <c r="P2549">
        <v>6.05</v>
      </c>
      <c r="Q2549">
        <v>6.07</v>
      </c>
      <c r="R2549">
        <v>6.08</v>
      </c>
      <c r="S2549">
        <v>1.97</v>
      </c>
      <c r="T2549">
        <v>1.03</v>
      </c>
      <c r="U2549">
        <v>8.04</v>
      </c>
      <c r="V2549">
        <v>1054</v>
      </c>
      <c r="W2549">
        <v>6.11</v>
      </c>
      <c r="X2549" t="s">
        <v>6085</v>
      </c>
      <c r="Y2549" t="s">
        <v>10661</v>
      </c>
      <c r="Z2549">
        <v>0.95</v>
      </c>
      <c r="AA2549">
        <v>2579</v>
      </c>
      <c r="AB2549">
        <v>576</v>
      </c>
      <c r="AC2549">
        <v>1.13</v>
      </c>
      <c r="AD2549" t="s">
        <v>2553</v>
      </c>
      <c r="AE2549" t="s">
        <v>13676</v>
      </c>
      <c r="AF2549" t="s">
        <v>13677</v>
      </c>
      <c r="AG2549" t="s">
        <v>1615</v>
      </c>
      <c r="AH2549">
        <v>-0.81</v>
      </c>
      <c r="AI2549">
        <v>-2.71</v>
      </c>
      <c r="AJ2549">
        <v>3.5</v>
      </c>
      <c r="AK2549">
        <v>7.54</v>
      </c>
      <c r="AL2549">
        <v>1</v>
      </c>
      <c r="AM2549">
        <v>0.49</v>
      </c>
      <c r="AN2549">
        <v>48.3</v>
      </c>
      <c r="AO2549">
        <v>2.86</v>
      </c>
      <c r="AP2549">
        <v>40.78</v>
      </c>
    </row>
    <row r="2550" spans="1:42">
      <c r="A2550">
        <v>2549</v>
      </c>
      <c r="B2550" t="str">
        <f>"600313"</f>
        <v>600313</v>
      </c>
      <c r="C2550" t="s">
        <v>13678</v>
      </c>
      <c r="D2550">
        <v>7.9</v>
      </c>
      <c r="E2550">
        <v>0.25</v>
      </c>
      <c r="F2550">
        <v>0.02</v>
      </c>
      <c r="G2550" t="s">
        <v>3903</v>
      </c>
      <c r="H2550">
        <v>928</v>
      </c>
      <c r="I2550">
        <v>7.89</v>
      </c>
      <c r="J2550">
        <v>7.9</v>
      </c>
      <c r="K2550" t="s">
        <v>13670</v>
      </c>
      <c r="L2550">
        <v>0.82</v>
      </c>
      <c r="M2550" t="s">
        <v>46</v>
      </c>
      <c r="N2550" t="s">
        <v>9924</v>
      </c>
      <c r="O2550">
        <v>7.93</v>
      </c>
      <c r="P2550">
        <v>7.86</v>
      </c>
      <c r="Q2550">
        <v>7.89</v>
      </c>
      <c r="R2550">
        <v>7.88</v>
      </c>
      <c r="S2550">
        <v>0.89</v>
      </c>
      <c r="T2550">
        <v>0.49</v>
      </c>
      <c r="U2550">
        <v>34.04</v>
      </c>
      <c r="V2550">
        <v>5591</v>
      </c>
      <c r="W2550">
        <v>7.89</v>
      </c>
      <c r="X2550" t="s">
        <v>3736</v>
      </c>
      <c r="Y2550" t="s">
        <v>1312</v>
      </c>
      <c r="Z2550">
        <v>1.35</v>
      </c>
      <c r="AA2550">
        <v>838</v>
      </c>
      <c r="AB2550">
        <v>1177</v>
      </c>
      <c r="AC2550">
        <v>4.65</v>
      </c>
      <c r="AD2550" t="s">
        <v>13399</v>
      </c>
      <c r="AE2550" t="s">
        <v>6864</v>
      </c>
      <c r="AF2550" t="s">
        <v>12274</v>
      </c>
      <c r="AG2550" t="s">
        <v>13679</v>
      </c>
      <c r="AH2550">
        <v>-1.74</v>
      </c>
      <c r="AI2550">
        <v>-0.13</v>
      </c>
      <c r="AJ2550">
        <v>3.8</v>
      </c>
      <c r="AK2550">
        <v>9.24</v>
      </c>
      <c r="AL2550">
        <v>1</v>
      </c>
      <c r="AM2550">
        <v>0.25</v>
      </c>
      <c r="AN2550">
        <v>-22.85</v>
      </c>
      <c r="AO2550">
        <v>1.54</v>
      </c>
      <c r="AP2550">
        <v>-18.81</v>
      </c>
    </row>
    <row r="2551" spans="1:42">
      <c r="A2551">
        <v>2550</v>
      </c>
      <c r="B2551" t="str">
        <f>"002210"</f>
        <v>002210</v>
      </c>
      <c r="C2551" t="s">
        <v>13680</v>
      </c>
      <c r="D2551">
        <v>1.96</v>
      </c>
      <c r="E2551">
        <v>2.08</v>
      </c>
      <c r="F2551">
        <v>0.04</v>
      </c>
      <c r="G2551" t="s">
        <v>5853</v>
      </c>
      <c r="H2551">
        <v>2264</v>
      </c>
      <c r="I2551">
        <v>1.95</v>
      </c>
      <c r="J2551">
        <v>1.96</v>
      </c>
      <c r="K2551" t="s">
        <v>13681</v>
      </c>
      <c r="L2551">
        <v>1.33</v>
      </c>
      <c r="M2551" t="s">
        <v>46</v>
      </c>
      <c r="N2551" t="s">
        <v>5094</v>
      </c>
      <c r="O2551">
        <v>1.96</v>
      </c>
      <c r="P2551">
        <v>1.91</v>
      </c>
      <c r="Q2551">
        <v>1.92</v>
      </c>
      <c r="R2551">
        <v>1.92</v>
      </c>
      <c r="S2551">
        <v>2.6</v>
      </c>
      <c r="T2551">
        <v>2.22</v>
      </c>
      <c r="U2551">
        <v>-43.14</v>
      </c>
      <c r="V2551" t="s">
        <v>13682</v>
      </c>
      <c r="W2551">
        <v>1.95</v>
      </c>
      <c r="X2551" t="s">
        <v>740</v>
      </c>
      <c r="Y2551" t="s">
        <v>443</v>
      </c>
      <c r="Z2551">
        <v>0.41</v>
      </c>
      <c r="AA2551">
        <v>5533</v>
      </c>
      <c r="AB2551" t="s">
        <v>8166</v>
      </c>
      <c r="AC2551">
        <v>18.69</v>
      </c>
      <c r="AD2551" t="s">
        <v>13683</v>
      </c>
      <c r="AE2551" t="s">
        <v>13684</v>
      </c>
      <c r="AF2551" t="s">
        <v>13683</v>
      </c>
      <c r="AG2551" t="s">
        <v>13684</v>
      </c>
      <c r="AH2551">
        <v>1.03</v>
      </c>
      <c r="AI2551">
        <v>0</v>
      </c>
      <c r="AJ2551">
        <v>2.46</v>
      </c>
      <c r="AK2551">
        <v>4.33</v>
      </c>
      <c r="AL2551">
        <v>1</v>
      </c>
      <c r="AM2551">
        <v>2.08</v>
      </c>
      <c r="AN2551">
        <v>-15.88</v>
      </c>
      <c r="AO2551">
        <v>3.16</v>
      </c>
      <c r="AP2551">
        <v>-16.6</v>
      </c>
    </row>
    <row r="2552" spans="1:42">
      <c r="A2552">
        <v>2551</v>
      </c>
      <c r="B2552" t="str">
        <f>"605056"</f>
        <v>605056</v>
      </c>
      <c r="C2552" t="s">
        <v>13685</v>
      </c>
      <c r="D2552">
        <v>13.25</v>
      </c>
      <c r="E2552">
        <v>0.45</v>
      </c>
      <c r="F2552">
        <v>0.06</v>
      </c>
      <c r="G2552" t="s">
        <v>1951</v>
      </c>
      <c r="H2552">
        <v>867</v>
      </c>
      <c r="I2552">
        <v>13.24</v>
      </c>
      <c r="J2552">
        <v>13.25</v>
      </c>
      <c r="K2552" t="s">
        <v>13686</v>
      </c>
      <c r="L2552">
        <v>3.23</v>
      </c>
      <c r="M2552" t="s">
        <v>46</v>
      </c>
      <c r="N2552" t="s">
        <v>13180</v>
      </c>
      <c r="O2552">
        <v>13.68</v>
      </c>
      <c r="P2552">
        <v>13.04</v>
      </c>
      <c r="Q2552">
        <v>13.06</v>
      </c>
      <c r="R2552">
        <v>13.19</v>
      </c>
      <c r="S2552">
        <v>4.85</v>
      </c>
      <c r="T2552">
        <v>1.85</v>
      </c>
      <c r="U2552">
        <v>-13.78</v>
      </c>
      <c r="V2552">
        <v>-117</v>
      </c>
      <c r="W2552">
        <v>13.35</v>
      </c>
      <c r="X2552" t="s">
        <v>4013</v>
      </c>
      <c r="Y2552" t="s">
        <v>10910</v>
      </c>
      <c r="Z2552">
        <v>0.92</v>
      </c>
      <c r="AA2552">
        <v>88</v>
      </c>
      <c r="AB2552">
        <v>69</v>
      </c>
      <c r="AC2552">
        <v>3.64</v>
      </c>
      <c r="AD2552" t="s">
        <v>8098</v>
      </c>
      <c r="AE2552" t="s">
        <v>13687</v>
      </c>
      <c r="AF2552" t="s">
        <v>2521</v>
      </c>
      <c r="AG2552" t="s">
        <v>8180</v>
      </c>
      <c r="AH2552">
        <v>3.92</v>
      </c>
      <c r="AI2552">
        <v>3.68</v>
      </c>
      <c r="AJ2552">
        <v>9.54</v>
      </c>
      <c r="AK2552">
        <v>11.93</v>
      </c>
      <c r="AL2552">
        <v>5</v>
      </c>
      <c r="AM2552">
        <v>0.45</v>
      </c>
      <c r="AN2552">
        <v>11.72</v>
      </c>
      <c r="AO2552">
        <v>8.08</v>
      </c>
      <c r="AP2552">
        <v>0.45</v>
      </c>
    </row>
    <row r="2553" spans="1:42">
      <c r="A2553">
        <v>2552</v>
      </c>
      <c r="B2553" t="str">
        <f>"002526"</f>
        <v>002526</v>
      </c>
      <c r="C2553" t="s">
        <v>13688</v>
      </c>
      <c r="D2553">
        <v>2.73</v>
      </c>
      <c r="E2553">
        <v>0.74</v>
      </c>
      <c r="F2553">
        <v>0.02</v>
      </c>
      <c r="G2553" t="s">
        <v>352</v>
      </c>
      <c r="H2553" t="s">
        <v>4977</v>
      </c>
      <c r="I2553">
        <v>2.72</v>
      </c>
      <c r="J2553">
        <v>2.73</v>
      </c>
      <c r="K2553" t="s">
        <v>13689</v>
      </c>
      <c r="L2553">
        <v>1.44</v>
      </c>
      <c r="M2553" t="s">
        <v>46</v>
      </c>
      <c r="N2553" t="s">
        <v>220</v>
      </c>
      <c r="O2553">
        <v>2.73</v>
      </c>
      <c r="P2553">
        <v>2.68</v>
      </c>
      <c r="Q2553">
        <v>2.69</v>
      </c>
      <c r="R2553">
        <v>2.71</v>
      </c>
      <c r="S2553">
        <v>1.85</v>
      </c>
      <c r="T2553">
        <v>0.77</v>
      </c>
      <c r="U2553">
        <v>-17.85</v>
      </c>
      <c r="V2553" t="s">
        <v>7012</v>
      </c>
      <c r="W2553">
        <v>2.71</v>
      </c>
      <c r="X2553" t="s">
        <v>3402</v>
      </c>
      <c r="Y2553" t="s">
        <v>1377</v>
      </c>
      <c r="Z2553">
        <v>0.68</v>
      </c>
      <c r="AA2553">
        <v>2561</v>
      </c>
      <c r="AB2553" t="s">
        <v>7974</v>
      </c>
      <c r="AC2553">
        <v>1.57</v>
      </c>
      <c r="AD2553" t="s">
        <v>13690</v>
      </c>
      <c r="AE2553" t="s">
        <v>1185</v>
      </c>
      <c r="AF2553" t="s">
        <v>6243</v>
      </c>
      <c r="AG2553" t="s">
        <v>13691</v>
      </c>
      <c r="AH2553">
        <v>0</v>
      </c>
      <c r="AI2553">
        <v>0</v>
      </c>
      <c r="AJ2553">
        <v>4.81</v>
      </c>
      <c r="AK2553">
        <v>10.78</v>
      </c>
      <c r="AL2553">
        <v>2</v>
      </c>
      <c r="AM2553">
        <v>0.74</v>
      </c>
      <c r="AN2553">
        <v>22.42</v>
      </c>
      <c r="AO2553">
        <v>5.41</v>
      </c>
      <c r="AP2553">
        <v>14.71</v>
      </c>
    </row>
    <row r="2554" spans="1:42">
      <c r="A2554">
        <v>2553</v>
      </c>
      <c r="B2554" t="str">
        <f>"001330"</f>
        <v>001330</v>
      </c>
      <c r="C2554" t="s">
        <v>13692</v>
      </c>
      <c r="D2554">
        <v>7.65</v>
      </c>
      <c r="E2554">
        <v>2.55</v>
      </c>
      <c r="F2554">
        <v>0.19</v>
      </c>
      <c r="G2554" t="s">
        <v>2366</v>
      </c>
      <c r="H2554">
        <v>923</v>
      </c>
      <c r="I2554">
        <v>7.64</v>
      </c>
      <c r="J2554">
        <v>7.66</v>
      </c>
      <c r="K2554" t="s">
        <v>13693</v>
      </c>
      <c r="L2554">
        <v>0.86</v>
      </c>
      <c r="M2554" t="s">
        <v>46</v>
      </c>
      <c r="N2554" t="s">
        <v>3538</v>
      </c>
      <c r="O2554">
        <v>7.67</v>
      </c>
      <c r="P2554">
        <v>7.42</v>
      </c>
      <c r="Q2554">
        <v>7.46</v>
      </c>
      <c r="R2554">
        <v>7.46</v>
      </c>
      <c r="S2554">
        <v>3.35</v>
      </c>
      <c r="T2554">
        <v>1.65</v>
      </c>
      <c r="U2554">
        <v>-31.82</v>
      </c>
      <c r="V2554">
        <v>-2376</v>
      </c>
      <c r="W2554">
        <v>7.56</v>
      </c>
      <c r="X2554" t="s">
        <v>10547</v>
      </c>
      <c r="Y2554" t="s">
        <v>3319</v>
      </c>
      <c r="Z2554">
        <v>0.83</v>
      </c>
      <c r="AA2554">
        <v>346</v>
      </c>
      <c r="AB2554">
        <v>886</v>
      </c>
      <c r="AC2554">
        <v>1.61</v>
      </c>
      <c r="AD2554" t="s">
        <v>13694</v>
      </c>
      <c r="AE2554" t="s">
        <v>6296</v>
      </c>
      <c r="AF2554" t="s">
        <v>13695</v>
      </c>
      <c r="AG2554" t="s">
        <v>13696</v>
      </c>
      <c r="AH2554">
        <v>1.19</v>
      </c>
      <c r="AI2554">
        <v>-0.52</v>
      </c>
      <c r="AJ2554">
        <v>1.7</v>
      </c>
      <c r="AK2554">
        <v>3.47</v>
      </c>
      <c r="AL2554">
        <v>1</v>
      </c>
      <c r="AM2554">
        <v>2.55</v>
      </c>
      <c r="AN2554">
        <v>-36.14</v>
      </c>
      <c r="AO2554">
        <v>5.66</v>
      </c>
      <c r="AP2554">
        <v>-24.78</v>
      </c>
    </row>
    <row r="2555" spans="1:42">
      <c r="A2555">
        <v>2554</v>
      </c>
      <c r="B2555" t="str">
        <f>"688233"</f>
        <v>688233</v>
      </c>
      <c r="C2555" t="s">
        <v>13697</v>
      </c>
      <c r="D2555">
        <v>38.5</v>
      </c>
      <c r="E2555">
        <v>2.09</v>
      </c>
      <c r="F2555">
        <v>0.79</v>
      </c>
      <c r="G2555" t="s">
        <v>325</v>
      </c>
      <c r="H2555">
        <v>754</v>
      </c>
      <c r="I2555">
        <v>38.5</v>
      </c>
      <c r="J2555">
        <v>38.53</v>
      </c>
      <c r="K2555" t="s">
        <v>13693</v>
      </c>
      <c r="L2555">
        <v>1.14</v>
      </c>
      <c r="M2555" t="s">
        <v>46</v>
      </c>
      <c r="N2555" t="s">
        <v>9894</v>
      </c>
      <c r="O2555">
        <v>38.65</v>
      </c>
      <c r="P2555">
        <v>36.83</v>
      </c>
      <c r="Q2555">
        <v>37.49</v>
      </c>
      <c r="R2555">
        <v>37.71</v>
      </c>
      <c r="S2555">
        <v>4.83</v>
      </c>
      <c r="T2555">
        <v>0.6</v>
      </c>
      <c r="U2555">
        <v>80.62</v>
      </c>
      <c r="V2555">
        <v>857</v>
      </c>
      <c r="W2555">
        <v>37.59</v>
      </c>
      <c r="X2555">
        <v>9536</v>
      </c>
      <c r="Y2555">
        <v>8728</v>
      </c>
      <c r="Z2555">
        <v>1.09</v>
      </c>
      <c r="AA2555">
        <v>842</v>
      </c>
      <c r="AB2555">
        <v>5</v>
      </c>
      <c r="AC2555">
        <v>3.61</v>
      </c>
      <c r="AD2555" t="s">
        <v>13698</v>
      </c>
      <c r="AE2555" t="s">
        <v>13699</v>
      </c>
      <c r="AF2555" t="s">
        <v>2521</v>
      </c>
      <c r="AG2555" t="s">
        <v>13700</v>
      </c>
      <c r="AH2555">
        <v>4.39</v>
      </c>
      <c r="AI2555">
        <v>3.8</v>
      </c>
      <c r="AJ2555">
        <v>5.37</v>
      </c>
      <c r="AK2555">
        <v>10.6</v>
      </c>
      <c r="AL2555">
        <v>1</v>
      </c>
      <c r="AM2555">
        <v>2.09</v>
      </c>
      <c r="AN2555">
        <v>-5.41</v>
      </c>
      <c r="AO2555">
        <v>21.15</v>
      </c>
      <c r="AP2555">
        <v>-17.06</v>
      </c>
    </row>
    <row r="2556" spans="1:42">
      <c r="A2556">
        <v>2555</v>
      </c>
      <c r="B2556" t="str">
        <f>"600609"</f>
        <v>600609</v>
      </c>
      <c r="C2556" t="s">
        <v>13701</v>
      </c>
      <c r="D2556">
        <v>5.2</v>
      </c>
      <c r="E2556">
        <v>-0.38</v>
      </c>
      <c r="F2556">
        <v>-0.02</v>
      </c>
      <c r="G2556" t="s">
        <v>263</v>
      </c>
      <c r="H2556">
        <v>366</v>
      </c>
      <c r="I2556">
        <v>5.19</v>
      </c>
      <c r="J2556">
        <v>5.2</v>
      </c>
      <c r="K2556" t="s">
        <v>13693</v>
      </c>
      <c r="L2556">
        <v>1.01</v>
      </c>
      <c r="M2556" t="s">
        <v>46</v>
      </c>
      <c r="N2556" t="s">
        <v>5204</v>
      </c>
      <c r="O2556">
        <v>5.26</v>
      </c>
      <c r="P2556">
        <v>5.12</v>
      </c>
      <c r="Q2556">
        <v>5.21</v>
      </c>
      <c r="R2556">
        <v>5.22</v>
      </c>
      <c r="S2556">
        <v>2.68</v>
      </c>
      <c r="T2556">
        <v>0.74</v>
      </c>
      <c r="U2556">
        <v>27.2</v>
      </c>
      <c r="V2556">
        <v>3850</v>
      </c>
      <c r="W2556">
        <v>5.19</v>
      </c>
      <c r="X2556" t="s">
        <v>6903</v>
      </c>
      <c r="Y2556" t="s">
        <v>2367</v>
      </c>
      <c r="Z2556">
        <v>0.93</v>
      </c>
      <c r="AA2556">
        <v>1521</v>
      </c>
      <c r="AB2556">
        <v>977</v>
      </c>
      <c r="AC2556">
        <v>6.07</v>
      </c>
      <c r="AD2556" t="s">
        <v>3966</v>
      </c>
      <c r="AE2556" t="s">
        <v>13702</v>
      </c>
      <c r="AF2556" t="s">
        <v>3966</v>
      </c>
      <c r="AG2556" t="s">
        <v>13702</v>
      </c>
      <c r="AH2556">
        <v>-3.35</v>
      </c>
      <c r="AI2556">
        <v>-0.76</v>
      </c>
      <c r="AJ2556">
        <v>4.03</v>
      </c>
      <c r="AK2556">
        <v>7.85</v>
      </c>
      <c r="AL2556">
        <v>-3</v>
      </c>
      <c r="AM2556">
        <v>-0.38</v>
      </c>
      <c r="AN2556">
        <v>24.4</v>
      </c>
      <c r="AO2556">
        <v>7.88</v>
      </c>
      <c r="AP2556">
        <v>19.82</v>
      </c>
    </row>
    <row r="2557" spans="1:42">
      <c r="A2557">
        <v>2556</v>
      </c>
      <c r="B2557" t="str">
        <f>"002533"</f>
        <v>002533</v>
      </c>
      <c r="C2557" t="s">
        <v>13703</v>
      </c>
      <c r="D2557">
        <v>7.98</v>
      </c>
      <c r="E2557">
        <v>-0.25</v>
      </c>
      <c r="F2557">
        <v>-0.02</v>
      </c>
      <c r="G2557" t="s">
        <v>6312</v>
      </c>
      <c r="H2557">
        <v>1091</v>
      </c>
      <c r="I2557">
        <v>7.98</v>
      </c>
      <c r="J2557">
        <v>7.99</v>
      </c>
      <c r="K2557" t="s">
        <v>13704</v>
      </c>
      <c r="L2557">
        <v>1.38</v>
      </c>
      <c r="M2557" t="s">
        <v>46</v>
      </c>
      <c r="N2557" t="s">
        <v>1958</v>
      </c>
      <c r="O2557">
        <v>8.01</v>
      </c>
      <c r="P2557">
        <v>7.88</v>
      </c>
      <c r="Q2557">
        <v>8</v>
      </c>
      <c r="R2557">
        <v>8</v>
      </c>
      <c r="S2557">
        <v>1.63</v>
      </c>
      <c r="T2557">
        <v>0.76</v>
      </c>
      <c r="U2557">
        <v>-7.14</v>
      </c>
      <c r="V2557">
        <v>-449</v>
      </c>
      <c r="W2557">
        <v>7.95</v>
      </c>
      <c r="X2557" t="s">
        <v>7299</v>
      </c>
      <c r="Y2557" t="s">
        <v>3318</v>
      </c>
      <c r="Z2557">
        <v>1.18</v>
      </c>
      <c r="AA2557">
        <v>218</v>
      </c>
      <c r="AB2557">
        <v>179</v>
      </c>
      <c r="AC2557">
        <v>1.58</v>
      </c>
      <c r="AD2557" t="s">
        <v>13705</v>
      </c>
      <c r="AE2557" t="s">
        <v>12438</v>
      </c>
      <c r="AF2557" t="s">
        <v>13706</v>
      </c>
      <c r="AG2557" t="s">
        <v>10439</v>
      </c>
      <c r="AH2557">
        <v>-0.5</v>
      </c>
      <c r="AI2557">
        <v>-0.5</v>
      </c>
      <c r="AJ2557">
        <v>5.32</v>
      </c>
      <c r="AK2557">
        <v>10.38</v>
      </c>
      <c r="AL2557">
        <v>-2</v>
      </c>
      <c r="AM2557">
        <v>-0.25</v>
      </c>
      <c r="AN2557">
        <v>40</v>
      </c>
      <c r="AO2557">
        <v>2.31</v>
      </c>
      <c r="AP2557">
        <v>29.55</v>
      </c>
    </row>
    <row r="2558" spans="1:42">
      <c r="A2558">
        <v>2557</v>
      </c>
      <c r="B2558" t="str">
        <f>"000709"</f>
        <v>000709</v>
      </c>
      <c r="C2558" t="s">
        <v>13707</v>
      </c>
      <c r="D2558">
        <v>2.18</v>
      </c>
      <c r="E2558">
        <v>0.46</v>
      </c>
      <c r="F2558">
        <v>0.01</v>
      </c>
      <c r="G2558" t="s">
        <v>2066</v>
      </c>
      <c r="H2558">
        <v>6565</v>
      </c>
      <c r="I2558">
        <v>2.18</v>
      </c>
      <c r="J2558">
        <v>2.19</v>
      </c>
      <c r="K2558" t="s">
        <v>13708</v>
      </c>
      <c r="L2558">
        <v>0.3</v>
      </c>
      <c r="M2558" t="s">
        <v>46</v>
      </c>
      <c r="N2558" t="s">
        <v>13709</v>
      </c>
      <c r="O2558">
        <v>2.19</v>
      </c>
      <c r="P2558">
        <v>2.16</v>
      </c>
      <c r="Q2558">
        <v>2.17</v>
      </c>
      <c r="R2558">
        <v>2.17</v>
      </c>
      <c r="S2558">
        <v>1.38</v>
      </c>
      <c r="T2558">
        <v>0.9</v>
      </c>
      <c r="U2558">
        <v>-37.02</v>
      </c>
      <c r="V2558" t="s">
        <v>13710</v>
      </c>
      <c r="W2558">
        <v>2.18</v>
      </c>
      <c r="X2558" t="s">
        <v>446</v>
      </c>
      <c r="Y2558" t="s">
        <v>4161</v>
      </c>
      <c r="Z2558">
        <v>0.69</v>
      </c>
      <c r="AA2558" t="s">
        <v>5420</v>
      </c>
      <c r="AB2558" t="s">
        <v>4502</v>
      </c>
      <c r="AC2558">
        <v>0.44</v>
      </c>
      <c r="AD2558" t="s">
        <v>2729</v>
      </c>
      <c r="AE2558" t="s">
        <v>13711</v>
      </c>
      <c r="AF2558" t="s">
        <v>2729</v>
      </c>
      <c r="AG2558" t="s">
        <v>13711</v>
      </c>
      <c r="AH2558">
        <v>-0.91</v>
      </c>
      <c r="AI2558">
        <v>-0.91</v>
      </c>
      <c r="AJ2558">
        <v>0.93</v>
      </c>
      <c r="AK2558">
        <v>2</v>
      </c>
      <c r="AL2558">
        <v>1</v>
      </c>
      <c r="AM2558">
        <v>0.46</v>
      </c>
      <c r="AN2558">
        <v>-1.8</v>
      </c>
      <c r="AO2558">
        <v>0</v>
      </c>
      <c r="AP2558">
        <v>-5.63</v>
      </c>
    </row>
    <row r="2559" spans="1:42">
      <c r="A2559">
        <v>2558</v>
      </c>
      <c r="B2559" t="str">
        <f>"301155"</f>
        <v>301155</v>
      </c>
      <c r="C2559" t="s">
        <v>13712</v>
      </c>
      <c r="D2559">
        <v>62.25</v>
      </c>
      <c r="E2559">
        <v>-0.16</v>
      </c>
      <c r="F2559">
        <v>-0.1</v>
      </c>
      <c r="G2559" t="s">
        <v>4443</v>
      </c>
      <c r="H2559">
        <v>142</v>
      </c>
      <c r="I2559">
        <v>62.25</v>
      </c>
      <c r="J2559">
        <v>62.26</v>
      </c>
      <c r="K2559" t="s">
        <v>13713</v>
      </c>
      <c r="L2559">
        <v>1.24</v>
      </c>
      <c r="M2559" t="s">
        <v>46</v>
      </c>
      <c r="N2559" t="s">
        <v>7188</v>
      </c>
      <c r="O2559">
        <v>62.87</v>
      </c>
      <c r="P2559">
        <v>61.5</v>
      </c>
      <c r="Q2559">
        <v>62.6</v>
      </c>
      <c r="R2559">
        <v>62.35</v>
      </c>
      <c r="S2559">
        <v>2.2</v>
      </c>
      <c r="T2559">
        <v>0.69</v>
      </c>
      <c r="U2559">
        <v>15.73</v>
      </c>
      <c r="V2559">
        <v>31</v>
      </c>
      <c r="W2559">
        <v>62.15</v>
      </c>
      <c r="X2559">
        <v>6681</v>
      </c>
      <c r="Y2559">
        <v>4331</v>
      </c>
      <c r="Z2559">
        <v>1.54</v>
      </c>
      <c r="AA2559">
        <v>82</v>
      </c>
      <c r="AB2559">
        <v>3</v>
      </c>
      <c r="AC2559">
        <v>2.41</v>
      </c>
      <c r="AD2559" t="s">
        <v>5954</v>
      </c>
      <c r="AE2559" t="s">
        <v>13714</v>
      </c>
      <c r="AF2559" t="s">
        <v>13715</v>
      </c>
      <c r="AG2559" t="s">
        <v>13716</v>
      </c>
      <c r="AH2559">
        <v>-3.71</v>
      </c>
      <c r="AI2559">
        <v>-0.64</v>
      </c>
      <c r="AJ2559">
        <v>4.11</v>
      </c>
      <c r="AK2559">
        <v>10.19</v>
      </c>
      <c r="AL2559">
        <v>-3</v>
      </c>
      <c r="AM2559">
        <v>-0.16</v>
      </c>
      <c r="AN2559">
        <v>-28.65</v>
      </c>
      <c r="AO2559">
        <v>-10.26</v>
      </c>
      <c r="AP2559">
        <v>-29.98</v>
      </c>
    </row>
    <row r="2560" spans="1:42">
      <c r="A2560">
        <v>2559</v>
      </c>
      <c r="B2560" t="str">
        <f>"300205"</f>
        <v>300205</v>
      </c>
      <c r="C2560" t="s">
        <v>13717</v>
      </c>
      <c r="D2560">
        <v>12.11</v>
      </c>
      <c r="E2560">
        <v>4.04</v>
      </c>
      <c r="F2560">
        <v>0.47</v>
      </c>
      <c r="G2560" t="s">
        <v>5878</v>
      </c>
      <c r="H2560">
        <v>367</v>
      </c>
      <c r="I2560">
        <v>12.11</v>
      </c>
      <c r="J2560">
        <v>12.12</v>
      </c>
      <c r="K2560" t="s">
        <v>13718</v>
      </c>
      <c r="L2560">
        <v>1.35</v>
      </c>
      <c r="M2560" t="s">
        <v>46</v>
      </c>
      <c r="N2560" t="s">
        <v>5022</v>
      </c>
      <c r="O2560">
        <v>12.17</v>
      </c>
      <c r="P2560">
        <v>11.6</v>
      </c>
      <c r="Q2560">
        <v>11.67</v>
      </c>
      <c r="R2560">
        <v>11.64</v>
      </c>
      <c r="S2560">
        <v>4.9</v>
      </c>
      <c r="T2560">
        <v>1.65</v>
      </c>
      <c r="U2560">
        <v>-49.08</v>
      </c>
      <c r="V2560">
        <v>-2207</v>
      </c>
      <c r="W2560">
        <v>11.95</v>
      </c>
      <c r="X2560" t="s">
        <v>1212</v>
      </c>
      <c r="Y2560" t="s">
        <v>6025</v>
      </c>
      <c r="Z2560">
        <v>0.65</v>
      </c>
      <c r="AA2560">
        <v>152</v>
      </c>
      <c r="AB2560">
        <v>246</v>
      </c>
      <c r="AC2560">
        <v>3.46</v>
      </c>
      <c r="AD2560" t="s">
        <v>5669</v>
      </c>
      <c r="AE2560" t="s">
        <v>13719</v>
      </c>
      <c r="AF2560" t="s">
        <v>13720</v>
      </c>
      <c r="AG2560" t="s">
        <v>13721</v>
      </c>
      <c r="AH2560">
        <v>2.89</v>
      </c>
      <c r="AI2560">
        <v>0.67</v>
      </c>
      <c r="AJ2560">
        <v>3</v>
      </c>
      <c r="AK2560">
        <v>5.44</v>
      </c>
      <c r="AL2560">
        <v>1</v>
      </c>
      <c r="AM2560">
        <v>4.04</v>
      </c>
      <c r="AN2560">
        <v>10.59</v>
      </c>
      <c r="AO2560">
        <v>6.7</v>
      </c>
      <c r="AP2560">
        <v>-13.19</v>
      </c>
    </row>
    <row r="2561" spans="1:42">
      <c r="A2561">
        <v>2560</v>
      </c>
      <c r="B2561" t="str">
        <f>"002733"</f>
        <v>002733</v>
      </c>
      <c r="C2561" t="s">
        <v>13722</v>
      </c>
      <c r="D2561">
        <v>14.85</v>
      </c>
      <c r="E2561">
        <v>-0.8</v>
      </c>
      <c r="F2561">
        <v>-0.12</v>
      </c>
      <c r="G2561" t="s">
        <v>2300</v>
      </c>
      <c r="H2561">
        <v>473</v>
      </c>
      <c r="I2561">
        <v>14.84</v>
      </c>
      <c r="J2561">
        <v>14.85</v>
      </c>
      <c r="K2561" t="s">
        <v>13723</v>
      </c>
      <c r="L2561">
        <v>1.26</v>
      </c>
      <c r="M2561" t="s">
        <v>46</v>
      </c>
      <c r="N2561" t="s">
        <v>9783</v>
      </c>
      <c r="O2561">
        <v>15.02</v>
      </c>
      <c r="P2561">
        <v>14.8</v>
      </c>
      <c r="Q2561">
        <v>14.95</v>
      </c>
      <c r="R2561">
        <v>14.97</v>
      </c>
      <c r="S2561">
        <v>1.47</v>
      </c>
      <c r="T2561">
        <v>0.54</v>
      </c>
      <c r="U2561">
        <v>31.06</v>
      </c>
      <c r="V2561">
        <v>435</v>
      </c>
      <c r="W2561">
        <v>14.86</v>
      </c>
      <c r="X2561" t="s">
        <v>3662</v>
      </c>
      <c r="Y2561" t="s">
        <v>2716</v>
      </c>
      <c r="Z2561">
        <v>1.15</v>
      </c>
      <c r="AA2561">
        <v>274</v>
      </c>
      <c r="AB2561">
        <v>170</v>
      </c>
      <c r="AC2561">
        <v>2.05</v>
      </c>
      <c r="AD2561" t="s">
        <v>13724</v>
      </c>
      <c r="AE2561" t="s">
        <v>13725</v>
      </c>
      <c r="AF2561" t="s">
        <v>7707</v>
      </c>
      <c r="AG2561" t="s">
        <v>13726</v>
      </c>
      <c r="AH2561">
        <v>-5.17</v>
      </c>
      <c r="AI2561">
        <v>-1.46</v>
      </c>
      <c r="AJ2561">
        <v>6.49</v>
      </c>
      <c r="AK2561">
        <v>12.96</v>
      </c>
      <c r="AL2561">
        <v>-3</v>
      </c>
      <c r="AM2561">
        <v>-0.8</v>
      </c>
      <c r="AN2561">
        <v>-12.9</v>
      </c>
      <c r="AO2561">
        <v>2.48</v>
      </c>
      <c r="AP2561">
        <v>-16.05</v>
      </c>
    </row>
    <row r="2562" spans="1:42">
      <c r="A2562">
        <v>2561</v>
      </c>
      <c r="B2562" t="str">
        <f>"301281"</f>
        <v>301281</v>
      </c>
      <c r="C2562" t="s">
        <v>13727</v>
      </c>
      <c r="D2562">
        <v>36.11</v>
      </c>
      <c r="E2562">
        <v>0.61</v>
      </c>
      <c r="F2562">
        <v>0.22</v>
      </c>
      <c r="G2562" t="s">
        <v>1525</v>
      </c>
      <c r="H2562">
        <v>332</v>
      </c>
      <c r="I2562">
        <v>36.11</v>
      </c>
      <c r="J2562">
        <v>36.12</v>
      </c>
      <c r="K2562" t="s">
        <v>13728</v>
      </c>
      <c r="L2562">
        <v>6.98</v>
      </c>
      <c r="M2562" t="s">
        <v>46</v>
      </c>
      <c r="N2562" t="s">
        <v>5745</v>
      </c>
      <c r="O2562">
        <v>36.54</v>
      </c>
      <c r="P2562">
        <v>35.8</v>
      </c>
      <c r="Q2562">
        <v>35.88</v>
      </c>
      <c r="R2562">
        <v>35.89</v>
      </c>
      <c r="S2562">
        <v>2.06</v>
      </c>
      <c r="T2562">
        <v>0.48</v>
      </c>
      <c r="U2562">
        <v>72.26</v>
      </c>
      <c r="V2562">
        <v>724</v>
      </c>
      <c r="W2562">
        <v>36.11</v>
      </c>
      <c r="X2562">
        <v>9128</v>
      </c>
      <c r="Y2562">
        <v>9783</v>
      </c>
      <c r="Z2562">
        <v>0.93</v>
      </c>
      <c r="AA2562">
        <v>599</v>
      </c>
      <c r="AB2562">
        <v>12</v>
      </c>
      <c r="AC2562">
        <v>2.96</v>
      </c>
      <c r="AD2562" t="s">
        <v>13729</v>
      </c>
      <c r="AE2562" t="s">
        <v>3841</v>
      </c>
      <c r="AF2562" t="s">
        <v>13730</v>
      </c>
      <c r="AG2562" t="s">
        <v>13731</v>
      </c>
      <c r="AH2562">
        <v>-3.42</v>
      </c>
      <c r="AI2562">
        <v>-11.5</v>
      </c>
      <c r="AJ2562">
        <v>26.17</v>
      </c>
      <c r="AK2562">
        <v>79.45</v>
      </c>
      <c r="AL2562">
        <v>1</v>
      </c>
      <c r="AM2562">
        <v>0.61</v>
      </c>
      <c r="AN2562">
        <v>15.48</v>
      </c>
      <c r="AO2562">
        <v>-5.69</v>
      </c>
      <c r="AP2562">
        <v>15.48</v>
      </c>
    </row>
    <row r="2563" spans="1:42">
      <c r="A2563">
        <v>2562</v>
      </c>
      <c r="B2563" t="str">
        <f>"600272"</f>
        <v>600272</v>
      </c>
      <c r="C2563" t="s">
        <v>13732</v>
      </c>
      <c r="D2563">
        <v>12.48</v>
      </c>
      <c r="E2563">
        <v>0.24</v>
      </c>
      <c r="F2563">
        <v>0.03</v>
      </c>
      <c r="G2563" t="s">
        <v>7374</v>
      </c>
      <c r="H2563">
        <v>453</v>
      </c>
      <c r="I2563">
        <v>12.48</v>
      </c>
      <c r="J2563">
        <v>12.49</v>
      </c>
      <c r="K2563" t="s">
        <v>13733</v>
      </c>
      <c r="L2563">
        <v>3.41</v>
      </c>
      <c r="M2563" t="s">
        <v>46</v>
      </c>
      <c r="N2563" t="s">
        <v>6832</v>
      </c>
      <c r="O2563">
        <v>12.62</v>
      </c>
      <c r="P2563">
        <v>12.33</v>
      </c>
      <c r="Q2563">
        <v>12.35</v>
      </c>
      <c r="R2563">
        <v>12.45</v>
      </c>
      <c r="S2563">
        <v>2.33</v>
      </c>
      <c r="T2563">
        <v>0.6</v>
      </c>
      <c r="U2563">
        <v>21.42</v>
      </c>
      <c r="V2563">
        <v>435</v>
      </c>
      <c r="W2563">
        <v>12.49</v>
      </c>
      <c r="X2563" t="s">
        <v>7160</v>
      </c>
      <c r="Y2563" t="s">
        <v>8966</v>
      </c>
      <c r="Z2563">
        <v>0.93</v>
      </c>
      <c r="AA2563">
        <v>200</v>
      </c>
      <c r="AB2563">
        <v>289</v>
      </c>
      <c r="AC2563">
        <v>5.26</v>
      </c>
      <c r="AD2563" t="s">
        <v>13734</v>
      </c>
      <c r="AE2563" t="s">
        <v>13735</v>
      </c>
      <c r="AF2563" t="s">
        <v>2521</v>
      </c>
      <c r="AG2563" t="s">
        <v>332</v>
      </c>
      <c r="AH2563">
        <v>-0.64</v>
      </c>
      <c r="AI2563">
        <v>-1.19</v>
      </c>
      <c r="AJ2563">
        <v>12.07</v>
      </c>
      <c r="AK2563">
        <v>31.69</v>
      </c>
      <c r="AL2563">
        <v>2</v>
      </c>
      <c r="AM2563">
        <v>0.24</v>
      </c>
      <c r="AN2563">
        <v>30.95</v>
      </c>
      <c r="AO2563">
        <v>2.97</v>
      </c>
      <c r="AP2563">
        <v>22.23</v>
      </c>
    </row>
    <row r="2564" spans="1:42">
      <c r="A2564">
        <v>2563</v>
      </c>
      <c r="B2564" t="str">
        <f>"605255"</f>
        <v>605255</v>
      </c>
      <c r="C2564" t="s">
        <v>13736</v>
      </c>
      <c r="D2564">
        <v>18.45</v>
      </c>
      <c r="E2564">
        <v>-1.97</v>
      </c>
      <c r="F2564">
        <v>-0.37</v>
      </c>
      <c r="G2564" t="s">
        <v>1559</v>
      </c>
      <c r="H2564">
        <v>972</v>
      </c>
      <c r="I2564">
        <v>18.44</v>
      </c>
      <c r="J2564">
        <v>18.45</v>
      </c>
      <c r="K2564" t="s">
        <v>13737</v>
      </c>
      <c r="L2564">
        <v>2.76</v>
      </c>
      <c r="M2564" t="s">
        <v>46</v>
      </c>
      <c r="N2564" t="s">
        <v>5667</v>
      </c>
      <c r="O2564">
        <v>18.81</v>
      </c>
      <c r="P2564">
        <v>18.26</v>
      </c>
      <c r="Q2564">
        <v>18.63</v>
      </c>
      <c r="R2564">
        <v>18.82</v>
      </c>
      <c r="S2564">
        <v>2.92</v>
      </c>
      <c r="T2564">
        <v>0.77</v>
      </c>
      <c r="U2564">
        <v>-74.59</v>
      </c>
      <c r="V2564">
        <v>-822</v>
      </c>
      <c r="W2564">
        <v>18.45</v>
      </c>
      <c r="X2564" t="s">
        <v>8267</v>
      </c>
      <c r="Y2564" t="s">
        <v>7656</v>
      </c>
      <c r="Z2564">
        <v>1.5</v>
      </c>
      <c r="AA2564">
        <v>60</v>
      </c>
      <c r="AB2564">
        <v>489</v>
      </c>
      <c r="AC2564">
        <v>2.96</v>
      </c>
      <c r="AD2564" t="s">
        <v>13738</v>
      </c>
      <c r="AE2564" t="s">
        <v>13739</v>
      </c>
      <c r="AF2564" t="s">
        <v>13738</v>
      </c>
      <c r="AG2564" t="s">
        <v>13739</v>
      </c>
      <c r="AH2564">
        <v>-1.86</v>
      </c>
      <c r="AI2564">
        <v>0</v>
      </c>
      <c r="AJ2564">
        <v>9.86</v>
      </c>
      <c r="AK2564">
        <v>20.7</v>
      </c>
      <c r="AL2564">
        <v>-2</v>
      </c>
      <c r="AM2564">
        <v>-1.97</v>
      </c>
      <c r="AN2564">
        <v>32.45</v>
      </c>
      <c r="AO2564">
        <v>8.85</v>
      </c>
      <c r="AP2564">
        <v>2.96</v>
      </c>
    </row>
    <row r="2565" spans="1:42">
      <c r="A2565">
        <v>2564</v>
      </c>
      <c r="B2565" t="str">
        <f>"000027"</f>
        <v>000027</v>
      </c>
      <c r="C2565" t="s">
        <v>13740</v>
      </c>
      <c r="D2565">
        <v>6.14</v>
      </c>
      <c r="E2565">
        <v>0.49</v>
      </c>
      <c r="F2565">
        <v>0.03</v>
      </c>
      <c r="G2565" t="s">
        <v>829</v>
      </c>
      <c r="H2565">
        <v>1323</v>
      </c>
      <c r="I2565">
        <v>6.13</v>
      </c>
      <c r="J2565">
        <v>6.14</v>
      </c>
      <c r="K2565" t="s">
        <v>13737</v>
      </c>
      <c r="L2565">
        <v>0.23</v>
      </c>
      <c r="M2565" t="s">
        <v>46</v>
      </c>
      <c r="N2565" t="s">
        <v>13741</v>
      </c>
      <c r="O2565">
        <v>6.15</v>
      </c>
      <c r="P2565">
        <v>6.09</v>
      </c>
      <c r="Q2565">
        <v>6.12</v>
      </c>
      <c r="R2565">
        <v>6.11</v>
      </c>
      <c r="S2565">
        <v>0.98</v>
      </c>
      <c r="T2565">
        <v>0.69</v>
      </c>
      <c r="U2565">
        <v>-28.97</v>
      </c>
      <c r="V2565">
        <v>-6685</v>
      </c>
      <c r="W2565">
        <v>6.12</v>
      </c>
      <c r="X2565" t="s">
        <v>7430</v>
      </c>
      <c r="Y2565" t="s">
        <v>6561</v>
      </c>
      <c r="Z2565">
        <v>0.85</v>
      </c>
      <c r="AA2565">
        <v>570</v>
      </c>
      <c r="AB2565">
        <v>3092</v>
      </c>
      <c r="AC2565">
        <v>0.96</v>
      </c>
      <c r="AD2565" t="s">
        <v>13742</v>
      </c>
      <c r="AE2565" t="s">
        <v>9937</v>
      </c>
      <c r="AF2565" t="s">
        <v>13742</v>
      </c>
      <c r="AG2565" t="s">
        <v>9937</v>
      </c>
      <c r="AH2565">
        <v>0</v>
      </c>
      <c r="AI2565">
        <v>-1.29</v>
      </c>
      <c r="AJ2565">
        <v>0.68</v>
      </c>
      <c r="AK2565">
        <v>1.92</v>
      </c>
      <c r="AL2565">
        <v>2</v>
      </c>
      <c r="AM2565">
        <v>0.49</v>
      </c>
      <c r="AN2565">
        <v>-1.29</v>
      </c>
      <c r="AO2565">
        <v>-0.65</v>
      </c>
      <c r="AP2565">
        <v>4.96</v>
      </c>
    </row>
    <row r="2566" spans="1:42">
      <c r="A2566">
        <v>2565</v>
      </c>
      <c r="B2566" t="str">
        <f>"301021"</f>
        <v>301021</v>
      </c>
      <c r="C2566" t="s">
        <v>13743</v>
      </c>
      <c r="D2566">
        <v>26.57</v>
      </c>
      <c r="E2566">
        <v>-0.08</v>
      </c>
      <c r="F2566">
        <v>-0.02</v>
      </c>
      <c r="G2566" t="s">
        <v>1077</v>
      </c>
      <c r="H2566">
        <v>236</v>
      </c>
      <c r="I2566">
        <v>26.57</v>
      </c>
      <c r="J2566">
        <v>26.58</v>
      </c>
      <c r="K2566" t="s">
        <v>13744</v>
      </c>
      <c r="L2566">
        <v>3.69</v>
      </c>
      <c r="M2566" t="s">
        <v>46</v>
      </c>
      <c r="N2566" t="s">
        <v>5496</v>
      </c>
      <c r="O2566">
        <v>26.64</v>
      </c>
      <c r="P2566">
        <v>26.03</v>
      </c>
      <c r="Q2566">
        <v>26.45</v>
      </c>
      <c r="R2566">
        <v>26.59</v>
      </c>
      <c r="S2566">
        <v>2.29</v>
      </c>
      <c r="T2566">
        <v>0.52</v>
      </c>
      <c r="U2566">
        <v>3.75</v>
      </c>
      <c r="V2566">
        <v>25</v>
      </c>
      <c r="W2566">
        <v>26.42</v>
      </c>
      <c r="X2566" t="s">
        <v>1170</v>
      </c>
      <c r="Y2566" t="s">
        <v>6212</v>
      </c>
      <c r="Z2566">
        <v>1.03</v>
      </c>
      <c r="AA2566">
        <v>8</v>
      </c>
      <c r="AB2566">
        <v>19</v>
      </c>
      <c r="AC2566">
        <v>4.14</v>
      </c>
      <c r="AD2566" t="s">
        <v>13745</v>
      </c>
      <c r="AE2566" t="s">
        <v>7666</v>
      </c>
      <c r="AF2566" t="s">
        <v>13746</v>
      </c>
      <c r="AG2566" t="s">
        <v>8094</v>
      </c>
      <c r="AH2566">
        <v>-2.32</v>
      </c>
      <c r="AI2566">
        <v>-1.7</v>
      </c>
      <c r="AJ2566">
        <v>17.26</v>
      </c>
      <c r="AK2566">
        <v>39.25</v>
      </c>
      <c r="AL2566">
        <v>-2</v>
      </c>
      <c r="AM2566">
        <v>-0.08</v>
      </c>
      <c r="AN2566">
        <v>3.43</v>
      </c>
      <c r="AO2566">
        <v>4.16</v>
      </c>
      <c r="AP2566">
        <v>-12.54</v>
      </c>
    </row>
    <row r="2567" spans="1:42">
      <c r="A2567">
        <v>2566</v>
      </c>
      <c r="B2567" t="str">
        <f>"300911"</f>
        <v>300911</v>
      </c>
      <c r="C2567" t="s">
        <v>13747</v>
      </c>
      <c r="D2567">
        <v>37.37</v>
      </c>
      <c r="E2567">
        <v>-0.48</v>
      </c>
      <c r="F2567">
        <v>-0.18</v>
      </c>
      <c r="G2567" t="s">
        <v>325</v>
      </c>
      <c r="H2567">
        <v>360</v>
      </c>
      <c r="I2567">
        <v>37.37</v>
      </c>
      <c r="J2567">
        <v>37.4</v>
      </c>
      <c r="K2567" t="s">
        <v>13748</v>
      </c>
      <c r="L2567">
        <v>4.37</v>
      </c>
      <c r="M2567" t="s">
        <v>46</v>
      </c>
      <c r="N2567" t="s">
        <v>13749</v>
      </c>
      <c r="O2567">
        <v>37.54</v>
      </c>
      <c r="P2567">
        <v>36.88</v>
      </c>
      <c r="Q2567">
        <v>37.46</v>
      </c>
      <c r="R2567">
        <v>37.55</v>
      </c>
      <c r="S2567">
        <v>1.76</v>
      </c>
      <c r="T2567">
        <v>0.53</v>
      </c>
      <c r="U2567">
        <v>40.61</v>
      </c>
      <c r="V2567">
        <v>93</v>
      </c>
      <c r="W2567">
        <v>37.16</v>
      </c>
      <c r="X2567" t="s">
        <v>4443</v>
      </c>
      <c r="Y2567">
        <v>7324</v>
      </c>
      <c r="Z2567">
        <v>1.5</v>
      </c>
      <c r="AA2567">
        <v>10</v>
      </c>
      <c r="AB2567">
        <v>1</v>
      </c>
      <c r="AC2567">
        <v>2.75</v>
      </c>
      <c r="AD2567" t="s">
        <v>13750</v>
      </c>
      <c r="AE2567" t="s">
        <v>13751</v>
      </c>
      <c r="AF2567" t="s">
        <v>13752</v>
      </c>
      <c r="AG2567" t="s">
        <v>12323</v>
      </c>
      <c r="AH2567">
        <v>-3.34</v>
      </c>
      <c r="AI2567">
        <v>-0.53</v>
      </c>
      <c r="AJ2567">
        <v>26.24</v>
      </c>
      <c r="AK2567">
        <v>45.69</v>
      </c>
      <c r="AL2567">
        <v>-2</v>
      </c>
      <c r="AM2567">
        <v>-0.48</v>
      </c>
      <c r="AN2567">
        <v>-17.94</v>
      </c>
      <c r="AO2567">
        <v>2.47</v>
      </c>
      <c r="AP2567">
        <v>-3.31</v>
      </c>
    </row>
    <row r="2568" spans="1:42">
      <c r="A2568">
        <v>2567</v>
      </c>
      <c r="B2568" t="str">
        <f>"603078"</f>
        <v>603078</v>
      </c>
      <c r="C2568" t="s">
        <v>13753</v>
      </c>
      <c r="D2568">
        <v>16.94</v>
      </c>
      <c r="E2568">
        <v>0.47</v>
      </c>
      <c r="F2568">
        <v>0.08</v>
      </c>
      <c r="G2568" t="s">
        <v>3227</v>
      </c>
      <c r="H2568">
        <v>453</v>
      </c>
      <c r="I2568">
        <v>16.94</v>
      </c>
      <c r="J2568">
        <v>16.95</v>
      </c>
      <c r="K2568" t="s">
        <v>13754</v>
      </c>
      <c r="L2568">
        <v>1.22</v>
      </c>
      <c r="M2568" t="s">
        <v>46</v>
      </c>
      <c r="N2568" t="s">
        <v>1787</v>
      </c>
      <c r="O2568">
        <v>17</v>
      </c>
      <c r="P2568">
        <v>16.67</v>
      </c>
      <c r="Q2568">
        <v>16.78</v>
      </c>
      <c r="R2568">
        <v>16.86</v>
      </c>
      <c r="S2568">
        <v>1.96</v>
      </c>
      <c r="T2568">
        <v>0.75</v>
      </c>
      <c r="U2568">
        <v>-50.05</v>
      </c>
      <c r="V2568">
        <v>-421</v>
      </c>
      <c r="W2568">
        <v>16.85</v>
      </c>
      <c r="X2568" t="s">
        <v>4976</v>
      </c>
      <c r="Y2568" t="s">
        <v>5237</v>
      </c>
      <c r="Z2568">
        <v>0.99</v>
      </c>
      <c r="AA2568">
        <v>58</v>
      </c>
      <c r="AB2568">
        <v>10</v>
      </c>
      <c r="AC2568">
        <v>3.84</v>
      </c>
      <c r="AD2568" t="s">
        <v>13755</v>
      </c>
      <c r="AE2568" t="s">
        <v>13756</v>
      </c>
      <c r="AF2568" t="s">
        <v>13757</v>
      </c>
      <c r="AG2568" t="s">
        <v>13758</v>
      </c>
      <c r="AH2568">
        <v>-2.02</v>
      </c>
      <c r="AI2568">
        <v>-2.25</v>
      </c>
      <c r="AJ2568">
        <v>4.3</v>
      </c>
      <c r="AK2568">
        <v>9.33</v>
      </c>
      <c r="AL2568">
        <v>1</v>
      </c>
      <c r="AM2568">
        <v>0.47</v>
      </c>
      <c r="AN2568">
        <v>7.76</v>
      </c>
      <c r="AO2568">
        <v>1.5</v>
      </c>
      <c r="AP2568">
        <v>-6.51</v>
      </c>
    </row>
    <row r="2569" spans="1:42">
      <c r="A2569">
        <v>2568</v>
      </c>
      <c r="B2569" t="str">
        <f>"002535"</f>
        <v>002535</v>
      </c>
      <c r="C2569" t="s">
        <v>13759</v>
      </c>
      <c r="D2569">
        <v>4.71</v>
      </c>
      <c r="E2569">
        <v>0.21</v>
      </c>
      <c r="F2569">
        <v>0.01</v>
      </c>
      <c r="G2569" t="s">
        <v>1493</v>
      </c>
      <c r="H2569">
        <v>1819</v>
      </c>
      <c r="I2569">
        <v>4.71</v>
      </c>
      <c r="J2569">
        <v>4.72</v>
      </c>
      <c r="K2569" t="s">
        <v>13760</v>
      </c>
      <c r="L2569">
        <v>2.93</v>
      </c>
      <c r="M2569" t="s">
        <v>46</v>
      </c>
      <c r="N2569" t="s">
        <v>5105</v>
      </c>
      <c r="O2569">
        <v>4.73</v>
      </c>
      <c r="P2569">
        <v>4.62</v>
      </c>
      <c r="Q2569">
        <v>4.69</v>
      </c>
      <c r="R2569">
        <v>4.7</v>
      </c>
      <c r="S2569">
        <v>2.34</v>
      </c>
      <c r="T2569">
        <v>0.95</v>
      </c>
      <c r="U2569">
        <v>-22.48</v>
      </c>
      <c r="V2569">
        <v>-4033</v>
      </c>
      <c r="W2569">
        <v>4.68</v>
      </c>
      <c r="X2569" t="s">
        <v>2568</v>
      </c>
      <c r="Y2569" t="s">
        <v>9723</v>
      </c>
      <c r="Z2569">
        <v>0.88</v>
      </c>
      <c r="AA2569">
        <v>1899</v>
      </c>
      <c r="AB2569">
        <v>835</v>
      </c>
      <c r="AC2569">
        <v>7.67</v>
      </c>
      <c r="AD2569" t="s">
        <v>637</v>
      </c>
      <c r="AE2569" t="s">
        <v>10621</v>
      </c>
      <c r="AF2569" t="s">
        <v>13761</v>
      </c>
      <c r="AG2569" t="s">
        <v>13762</v>
      </c>
      <c r="AH2569">
        <v>-0.63</v>
      </c>
      <c r="AI2569">
        <v>-3.29</v>
      </c>
      <c r="AJ2569">
        <v>9.43</v>
      </c>
      <c r="AK2569">
        <v>18.32</v>
      </c>
      <c r="AL2569">
        <v>2</v>
      </c>
      <c r="AM2569">
        <v>0.21</v>
      </c>
      <c r="AN2569">
        <v>90.69</v>
      </c>
      <c r="AO2569">
        <v>-3.88</v>
      </c>
      <c r="AP2569">
        <v>83.98</v>
      </c>
    </row>
    <row r="2570" spans="1:42">
      <c r="A2570">
        <v>2569</v>
      </c>
      <c r="B2570" t="str">
        <f>"300662"</f>
        <v>300662</v>
      </c>
      <c r="C2570" t="s">
        <v>13763</v>
      </c>
      <c r="D2570">
        <v>32.91</v>
      </c>
      <c r="E2570">
        <v>0.24</v>
      </c>
      <c r="F2570">
        <v>0.08</v>
      </c>
      <c r="G2570" t="s">
        <v>6580</v>
      </c>
      <c r="H2570">
        <v>129</v>
      </c>
      <c r="I2570">
        <v>32.85</v>
      </c>
      <c r="J2570">
        <v>32.91</v>
      </c>
      <c r="K2570" t="s">
        <v>13764</v>
      </c>
      <c r="L2570">
        <v>1.06</v>
      </c>
      <c r="M2570" t="s">
        <v>46</v>
      </c>
      <c r="N2570" t="s">
        <v>13765</v>
      </c>
      <c r="O2570">
        <v>33.27</v>
      </c>
      <c r="P2570">
        <v>32.28</v>
      </c>
      <c r="Q2570">
        <v>32.6</v>
      </c>
      <c r="R2570">
        <v>32.83</v>
      </c>
      <c r="S2570">
        <v>3.02</v>
      </c>
      <c r="T2570">
        <v>0.97</v>
      </c>
      <c r="U2570">
        <v>45.73</v>
      </c>
      <c r="V2570">
        <v>91</v>
      </c>
      <c r="W2570">
        <v>32.7</v>
      </c>
      <c r="X2570">
        <v>9545</v>
      </c>
      <c r="Y2570" t="s">
        <v>734</v>
      </c>
      <c r="Z2570">
        <v>0.85</v>
      </c>
      <c r="AA2570">
        <v>10</v>
      </c>
      <c r="AB2570">
        <v>9</v>
      </c>
      <c r="AC2570">
        <v>3.66</v>
      </c>
      <c r="AD2570" t="s">
        <v>6337</v>
      </c>
      <c r="AE2570" t="s">
        <v>13766</v>
      </c>
      <c r="AF2570" t="s">
        <v>6337</v>
      </c>
      <c r="AG2570" t="s">
        <v>13766</v>
      </c>
      <c r="AH2570">
        <v>2.81</v>
      </c>
      <c r="AI2570">
        <v>2.49</v>
      </c>
      <c r="AJ2570">
        <v>3.17</v>
      </c>
      <c r="AK2570">
        <v>6.5</v>
      </c>
      <c r="AL2570">
        <v>3</v>
      </c>
      <c r="AM2570">
        <v>0.24</v>
      </c>
      <c r="AN2570">
        <v>-32.67</v>
      </c>
      <c r="AO2570">
        <v>7.48</v>
      </c>
      <c r="AP2570">
        <v>-21.61</v>
      </c>
    </row>
    <row r="2571" spans="1:42">
      <c r="A2571">
        <v>2570</v>
      </c>
      <c r="B2571" t="str">
        <f>"002449"</f>
        <v>002449</v>
      </c>
      <c r="C2571" t="s">
        <v>13767</v>
      </c>
      <c r="D2571">
        <v>8.96</v>
      </c>
      <c r="E2571">
        <v>-0.33</v>
      </c>
      <c r="F2571">
        <v>-0.03</v>
      </c>
      <c r="G2571" t="s">
        <v>3750</v>
      </c>
      <c r="H2571">
        <v>496</v>
      </c>
      <c r="I2571">
        <v>8.95</v>
      </c>
      <c r="J2571">
        <v>8.96</v>
      </c>
      <c r="K2571" t="s">
        <v>11372</v>
      </c>
      <c r="L2571">
        <v>1.24</v>
      </c>
      <c r="M2571" t="s">
        <v>46</v>
      </c>
      <c r="N2571" t="s">
        <v>12572</v>
      </c>
      <c r="O2571">
        <v>9.02</v>
      </c>
      <c r="P2571">
        <v>8.86</v>
      </c>
      <c r="Q2571">
        <v>9.02</v>
      </c>
      <c r="R2571">
        <v>8.99</v>
      </c>
      <c r="S2571">
        <v>1.78</v>
      </c>
      <c r="T2571">
        <v>0.7</v>
      </c>
      <c r="U2571">
        <v>7.06</v>
      </c>
      <c r="V2571">
        <v>183</v>
      </c>
      <c r="W2571">
        <v>8.94</v>
      </c>
      <c r="X2571" t="s">
        <v>459</v>
      </c>
      <c r="Y2571" t="s">
        <v>4761</v>
      </c>
      <c r="Z2571">
        <v>1.34</v>
      </c>
      <c r="AA2571">
        <v>342</v>
      </c>
      <c r="AB2571">
        <v>16</v>
      </c>
      <c r="AC2571">
        <v>1.46</v>
      </c>
      <c r="AD2571" t="s">
        <v>13768</v>
      </c>
      <c r="AE2571" t="s">
        <v>13769</v>
      </c>
      <c r="AF2571" t="s">
        <v>13770</v>
      </c>
      <c r="AG2571" t="s">
        <v>13771</v>
      </c>
      <c r="AH2571">
        <v>-3.03</v>
      </c>
      <c r="AI2571">
        <v>-1.54</v>
      </c>
      <c r="AJ2571">
        <v>4.69</v>
      </c>
      <c r="AK2571">
        <v>10.14</v>
      </c>
      <c r="AL2571">
        <v>-3</v>
      </c>
      <c r="AM2571">
        <v>-0.33</v>
      </c>
      <c r="AN2571">
        <v>8.61</v>
      </c>
      <c r="AO2571">
        <v>0.11</v>
      </c>
      <c r="AP2571">
        <v>5.66</v>
      </c>
    </row>
    <row r="2572" spans="1:42">
      <c r="A2572">
        <v>2571</v>
      </c>
      <c r="B2572" t="str">
        <f>"601808"</f>
        <v>601808</v>
      </c>
      <c r="C2572" t="s">
        <v>13772</v>
      </c>
      <c r="D2572">
        <v>14.84</v>
      </c>
      <c r="E2572">
        <v>-0.54</v>
      </c>
      <c r="F2572">
        <v>-0.08</v>
      </c>
      <c r="G2572" t="s">
        <v>6560</v>
      </c>
      <c r="H2572">
        <v>298</v>
      </c>
      <c r="I2572">
        <v>14.83</v>
      </c>
      <c r="J2572">
        <v>14.84</v>
      </c>
      <c r="K2572" t="s">
        <v>11372</v>
      </c>
      <c r="L2572">
        <v>0.16</v>
      </c>
      <c r="M2572" t="s">
        <v>46</v>
      </c>
      <c r="N2572" t="s">
        <v>699</v>
      </c>
      <c r="O2572">
        <v>14.87</v>
      </c>
      <c r="P2572">
        <v>14.71</v>
      </c>
      <c r="Q2572">
        <v>14.85</v>
      </c>
      <c r="R2572">
        <v>14.92</v>
      </c>
      <c r="S2572">
        <v>1.07</v>
      </c>
      <c r="T2572">
        <v>1.02</v>
      </c>
      <c r="U2572">
        <v>18.89</v>
      </c>
      <c r="V2572">
        <v>258</v>
      </c>
      <c r="W2572">
        <v>14.8</v>
      </c>
      <c r="X2572" t="s">
        <v>9766</v>
      </c>
      <c r="Y2572" t="s">
        <v>2716</v>
      </c>
      <c r="Z2572">
        <v>1.14</v>
      </c>
      <c r="AA2572">
        <v>1</v>
      </c>
      <c r="AB2572">
        <v>218</v>
      </c>
      <c r="AC2572">
        <v>1.73</v>
      </c>
      <c r="AD2572" t="s">
        <v>3394</v>
      </c>
      <c r="AE2572" t="s">
        <v>13773</v>
      </c>
      <c r="AF2572" t="s">
        <v>13774</v>
      </c>
      <c r="AG2572" t="s">
        <v>13775</v>
      </c>
      <c r="AH2572">
        <v>0.75</v>
      </c>
      <c r="AI2572">
        <v>0.13</v>
      </c>
      <c r="AJ2572">
        <v>0.54</v>
      </c>
      <c r="AK2572">
        <v>0.91</v>
      </c>
      <c r="AL2572">
        <v>-1</v>
      </c>
      <c r="AM2572">
        <v>-0.54</v>
      </c>
      <c r="AN2572">
        <v>-9.62</v>
      </c>
      <c r="AO2572">
        <v>-3.76</v>
      </c>
      <c r="AP2572">
        <v>-13.42</v>
      </c>
    </row>
    <row r="2573" spans="1:42">
      <c r="A2573">
        <v>2572</v>
      </c>
      <c r="B2573" t="str">
        <f>"600098"</f>
        <v>600098</v>
      </c>
      <c r="C2573" t="s">
        <v>13776</v>
      </c>
      <c r="D2573">
        <v>5.51</v>
      </c>
      <c r="E2573">
        <v>0.92</v>
      </c>
      <c r="F2573">
        <v>0.05</v>
      </c>
      <c r="G2573" t="s">
        <v>1261</v>
      </c>
      <c r="H2573">
        <v>934</v>
      </c>
      <c r="I2573">
        <v>5.5</v>
      </c>
      <c r="J2573">
        <v>5.51</v>
      </c>
      <c r="K2573" t="s">
        <v>13777</v>
      </c>
      <c r="L2573">
        <v>0.35</v>
      </c>
      <c r="M2573" t="s">
        <v>46</v>
      </c>
      <c r="N2573" t="s">
        <v>2380</v>
      </c>
      <c r="O2573">
        <v>5.51</v>
      </c>
      <c r="P2573">
        <v>5.44</v>
      </c>
      <c r="Q2573">
        <v>5.46</v>
      </c>
      <c r="R2573">
        <v>5.46</v>
      </c>
      <c r="S2573">
        <v>1.28</v>
      </c>
      <c r="T2573">
        <v>1.1</v>
      </c>
      <c r="U2573">
        <v>-67.45</v>
      </c>
      <c r="V2573" t="s">
        <v>13778</v>
      </c>
      <c r="W2573">
        <v>5.49</v>
      </c>
      <c r="X2573" t="s">
        <v>778</v>
      </c>
      <c r="Y2573" t="s">
        <v>700</v>
      </c>
      <c r="Z2573">
        <v>0.62</v>
      </c>
      <c r="AA2573">
        <v>1349</v>
      </c>
      <c r="AB2573">
        <v>525</v>
      </c>
      <c r="AC2573">
        <v>0.77</v>
      </c>
      <c r="AD2573" t="s">
        <v>13779</v>
      </c>
      <c r="AE2573" t="s">
        <v>13780</v>
      </c>
      <c r="AF2573" t="s">
        <v>5019</v>
      </c>
      <c r="AG2573" t="s">
        <v>13781</v>
      </c>
      <c r="AH2573">
        <v>0</v>
      </c>
      <c r="AI2573">
        <v>-0.18</v>
      </c>
      <c r="AJ2573">
        <v>0.94</v>
      </c>
      <c r="AK2573">
        <v>1.96</v>
      </c>
      <c r="AL2573">
        <v>1</v>
      </c>
      <c r="AM2573">
        <v>0.92</v>
      </c>
      <c r="AN2573">
        <v>2.99</v>
      </c>
      <c r="AO2573">
        <v>0.36</v>
      </c>
      <c r="AP2573">
        <v>2.8</v>
      </c>
    </row>
    <row r="2574" spans="1:42">
      <c r="A2574">
        <v>2573</v>
      </c>
      <c r="B2574" t="str">
        <f>"002148"</f>
        <v>002148</v>
      </c>
      <c r="C2574" t="s">
        <v>13782</v>
      </c>
      <c r="D2574">
        <v>6.49</v>
      </c>
      <c r="E2574">
        <v>2.37</v>
      </c>
      <c r="F2574">
        <v>0.15</v>
      </c>
      <c r="G2574" t="s">
        <v>1128</v>
      </c>
      <c r="H2574">
        <v>2900</v>
      </c>
      <c r="I2574">
        <v>6.48</v>
      </c>
      <c r="J2574">
        <v>6.49</v>
      </c>
      <c r="K2574" t="s">
        <v>13783</v>
      </c>
      <c r="L2574">
        <v>2.34</v>
      </c>
      <c r="M2574" t="s">
        <v>46</v>
      </c>
      <c r="N2574" t="s">
        <v>7108</v>
      </c>
      <c r="O2574">
        <v>6.49</v>
      </c>
      <c r="P2574">
        <v>6.3</v>
      </c>
      <c r="Q2574">
        <v>6.3</v>
      </c>
      <c r="R2574">
        <v>6.34</v>
      </c>
      <c r="S2574">
        <v>3</v>
      </c>
      <c r="T2574">
        <v>1.02</v>
      </c>
      <c r="U2574">
        <v>-21.13</v>
      </c>
      <c r="V2574">
        <v>-1321</v>
      </c>
      <c r="W2574">
        <v>6.42</v>
      </c>
      <c r="X2574" t="s">
        <v>5645</v>
      </c>
      <c r="Y2574" t="s">
        <v>7677</v>
      </c>
      <c r="Z2574">
        <v>0.77</v>
      </c>
      <c r="AA2574">
        <v>53</v>
      </c>
      <c r="AB2574">
        <v>314</v>
      </c>
      <c r="AC2574">
        <v>3.01</v>
      </c>
      <c r="AD2574" t="s">
        <v>13784</v>
      </c>
      <c r="AE2574" t="s">
        <v>13785</v>
      </c>
      <c r="AF2574" t="s">
        <v>13786</v>
      </c>
      <c r="AG2574" t="s">
        <v>13787</v>
      </c>
      <c r="AH2574">
        <v>1.41</v>
      </c>
      <c r="AI2574">
        <v>-0.31</v>
      </c>
      <c r="AJ2574">
        <v>6</v>
      </c>
      <c r="AK2574">
        <v>13.8</v>
      </c>
      <c r="AL2574">
        <v>1</v>
      </c>
      <c r="AM2574">
        <v>2.37</v>
      </c>
      <c r="AN2574">
        <v>26.76</v>
      </c>
      <c r="AO2574">
        <v>7.27</v>
      </c>
      <c r="AP2574">
        <v>13.07</v>
      </c>
    </row>
    <row r="2575" spans="1:42">
      <c r="A2575">
        <v>2574</v>
      </c>
      <c r="B2575" t="str">
        <f>"600250"</f>
        <v>600250</v>
      </c>
      <c r="C2575" t="s">
        <v>13788</v>
      </c>
      <c r="D2575">
        <v>10.65</v>
      </c>
      <c r="E2575">
        <v>10.02</v>
      </c>
      <c r="F2575">
        <v>0.97</v>
      </c>
      <c r="G2575" t="s">
        <v>11712</v>
      </c>
      <c r="H2575">
        <v>69</v>
      </c>
      <c r="I2575">
        <v>10.65</v>
      </c>
      <c r="J2575" t="s">
        <v>76</v>
      </c>
      <c r="K2575" t="s">
        <v>13789</v>
      </c>
      <c r="L2575">
        <v>2.24</v>
      </c>
      <c r="M2575" t="s">
        <v>46</v>
      </c>
      <c r="N2575" t="s">
        <v>13610</v>
      </c>
      <c r="O2575">
        <v>10.65</v>
      </c>
      <c r="P2575">
        <v>10.65</v>
      </c>
      <c r="Q2575">
        <v>10.65</v>
      </c>
      <c r="R2575">
        <v>9.68</v>
      </c>
      <c r="S2575">
        <v>0</v>
      </c>
      <c r="T2575">
        <v>0.62</v>
      </c>
      <c r="U2575">
        <v>100</v>
      </c>
      <c r="V2575" t="s">
        <v>2222</v>
      </c>
      <c r="W2575">
        <v>10.65</v>
      </c>
      <c r="X2575" t="s">
        <v>11712</v>
      </c>
      <c r="Y2575">
        <v>0</v>
      </c>
      <c r="Z2575">
        <v>1</v>
      </c>
      <c r="AA2575" t="s">
        <v>959</v>
      </c>
      <c r="AB2575">
        <v>0</v>
      </c>
      <c r="AC2575">
        <v>5.71</v>
      </c>
      <c r="AD2575" t="s">
        <v>13790</v>
      </c>
      <c r="AE2575" t="s">
        <v>2955</v>
      </c>
      <c r="AF2575" t="s">
        <v>13791</v>
      </c>
      <c r="AG2575" t="s">
        <v>13792</v>
      </c>
      <c r="AH2575">
        <v>33.12</v>
      </c>
      <c r="AI2575">
        <v>46.49</v>
      </c>
      <c r="AJ2575">
        <v>13.08</v>
      </c>
      <c r="AK2575">
        <v>20.43</v>
      </c>
      <c r="AL2575">
        <v>5</v>
      </c>
      <c r="AM2575">
        <v>10.02</v>
      </c>
      <c r="AN2575">
        <v>82.68</v>
      </c>
      <c r="AO2575">
        <v>59.91</v>
      </c>
      <c r="AP2575">
        <v>83.3</v>
      </c>
    </row>
    <row r="2576" spans="1:42">
      <c r="A2576">
        <v>2575</v>
      </c>
      <c r="B2576" t="str">
        <f>"605020"</f>
        <v>605020</v>
      </c>
      <c r="C2576" t="s">
        <v>13793</v>
      </c>
      <c r="D2576">
        <v>25.45</v>
      </c>
      <c r="E2576">
        <v>-1.24</v>
      </c>
      <c r="F2576">
        <v>-0.32</v>
      </c>
      <c r="G2576" t="s">
        <v>7472</v>
      </c>
      <c r="H2576">
        <v>525</v>
      </c>
      <c r="I2576">
        <v>25.43</v>
      </c>
      <c r="J2576">
        <v>25.45</v>
      </c>
      <c r="K2576" t="s">
        <v>13794</v>
      </c>
      <c r="L2576">
        <v>1.53</v>
      </c>
      <c r="M2576" t="s">
        <v>46</v>
      </c>
      <c r="N2576" t="s">
        <v>2404</v>
      </c>
      <c r="O2576">
        <v>25.77</v>
      </c>
      <c r="P2576">
        <v>25.15</v>
      </c>
      <c r="Q2576">
        <v>25.65</v>
      </c>
      <c r="R2576">
        <v>25.77</v>
      </c>
      <c r="S2576">
        <v>2.41</v>
      </c>
      <c r="T2576">
        <v>0.44</v>
      </c>
      <c r="U2576">
        <v>27.22</v>
      </c>
      <c r="V2576">
        <v>198</v>
      </c>
      <c r="W2576">
        <v>25.39</v>
      </c>
      <c r="X2576" t="s">
        <v>3793</v>
      </c>
      <c r="Y2576" t="s">
        <v>189</v>
      </c>
      <c r="Z2576">
        <v>1.29</v>
      </c>
      <c r="AA2576">
        <v>5</v>
      </c>
      <c r="AB2576">
        <v>19</v>
      </c>
      <c r="AC2576">
        <v>3.99</v>
      </c>
      <c r="AD2576" t="s">
        <v>9726</v>
      </c>
      <c r="AE2576" t="s">
        <v>13795</v>
      </c>
      <c r="AF2576" t="s">
        <v>12249</v>
      </c>
      <c r="AG2576" t="s">
        <v>13796</v>
      </c>
      <c r="AH2576">
        <v>-5.04</v>
      </c>
      <c r="AI2576">
        <v>-2.12</v>
      </c>
      <c r="AJ2576">
        <v>5.41</v>
      </c>
      <c r="AK2576">
        <v>18.84</v>
      </c>
      <c r="AL2576">
        <v>-3</v>
      </c>
      <c r="AM2576">
        <v>-1.24</v>
      </c>
      <c r="AN2576">
        <v>-8.72</v>
      </c>
      <c r="AO2576">
        <v>9.94</v>
      </c>
      <c r="AP2576">
        <v>-16.75</v>
      </c>
    </row>
    <row r="2577" spans="1:42">
      <c r="A2577">
        <v>2576</v>
      </c>
      <c r="B2577" t="str">
        <f>"603565"</f>
        <v>603565</v>
      </c>
      <c r="C2577" t="s">
        <v>13797</v>
      </c>
      <c r="D2577">
        <v>9.21</v>
      </c>
      <c r="E2577">
        <v>-0.22</v>
      </c>
      <c r="F2577">
        <v>-0.02</v>
      </c>
      <c r="G2577" t="s">
        <v>4542</v>
      </c>
      <c r="H2577">
        <v>210</v>
      </c>
      <c r="I2577">
        <v>9.2</v>
      </c>
      <c r="J2577">
        <v>9.21</v>
      </c>
      <c r="K2577" t="s">
        <v>13794</v>
      </c>
      <c r="L2577">
        <v>0.35</v>
      </c>
      <c r="M2577" t="s">
        <v>46</v>
      </c>
      <c r="N2577" t="s">
        <v>13798</v>
      </c>
      <c r="O2577">
        <v>9.43</v>
      </c>
      <c r="P2577">
        <v>9.12</v>
      </c>
      <c r="Q2577">
        <v>9.27</v>
      </c>
      <c r="R2577">
        <v>9.23</v>
      </c>
      <c r="S2577">
        <v>3.36</v>
      </c>
      <c r="T2577">
        <v>1.43</v>
      </c>
      <c r="U2577">
        <v>13.76</v>
      </c>
      <c r="V2577">
        <v>351</v>
      </c>
      <c r="W2577">
        <v>9.26</v>
      </c>
      <c r="X2577" t="s">
        <v>2691</v>
      </c>
      <c r="Y2577" t="s">
        <v>7781</v>
      </c>
      <c r="Z2577">
        <v>1.04</v>
      </c>
      <c r="AA2577">
        <v>147</v>
      </c>
      <c r="AB2577">
        <v>220</v>
      </c>
      <c r="AC2577">
        <v>1.9</v>
      </c>
      <c r="AD2577" t="s">
        <v>13799</v>
      </c>
      <c r="AE2577" t="s">
        <v>13800</v>
      </c>
      <c r="AF2577" t="s">
        <v>13799</v>
      </c>
      <c r="AG2577" t="s">
        <v>13800</v>
      </c>
      <c r="AH2577">
        <v>-0.65</v>
      </c>
      <c r="AI2577">
        <v>0.77</v>
      </c>
      <c r="AJ2577">
        <v>0.85</v>
      </c>
      <c r="AK2577">
        <v>1.57</v>
      </c>
      <c r="AL2577">
        <v>-2</v>
      </c>
      <c r="AM2577">
        <v>-0.22</v>
      </c>
      <c r="AN2577">
        <v>-4.86</v>
      </c>
      <c r="AO2577">
        <v>-1.39</v>
      </c>
      <c r="AP2577">
        <v>-15.27</v>
      </c>
    </row>
    <row r="2578" spans="1:42">
      <c r="A2578">
        <v>2577</v>
      </c>
      <c r="B2578" t="str">
        <f>"300627"</f>
        <v>300627</v>
      </c>
      <c r="C2578" t="s">
        <v>13801</v>
      </c>
      <c r="D2578">
        <v>30.79</v>
      </c>
      <c r="E2578">
        <v>-0.19</v>
      </c>
      <c r="F2578">
        <v>-0.06</v>
      </c>
      <c r="G2578" t="s">
        <v>377</v>
      </c>
      <c r="H2578">
        <v>119</v>
      </c>
      <c r="I2578">
        <v>30.75</v>
      </c>
      <c r="J2578">
        <v>30.79</v>
      </c>
      <c r="K2578" t="s">
        <v>13802</v>
      </c>
      <c r="L2578">
        <v>0.49</v>
      </c>
      <c r="M2578" t="s">
        <v>46</v>
      </c>
      <c r="N2578" t="s">
        <v>6402</v>
      </c>
      <c r="O2578">
        <v>31.02</v>
      </c>
      <c r="P2578">
        <v>30.37</v>
      </c>
      <c r="Q2578">
        <v>30.99</v>
      </c>
      <c r="R2578">
        <v>30.85</v>
      </c>
      <c r="S2578">
        <v>2.11</v>
      </c>
      <c r="T2578">
        <v>0.66</v>
      </c>
      <c r="U2578">
        <v>53.67</v>
      </c>
      <c r="V2578">
        <v>139</v>
      </c>
      <c r="W2578">
        <v>30.74</v>
      </c>
      <c r="X2578" t="s">
        <v>218</v>
      </c>
      <c r="Y2578" t="s">
        <v>2667</v>
      </c>
      <c r="Z2578">
        <v>0.93</v>
      </c>
      <c r="AA2578">
        <v>21</v>
      </c>
      <c r="AB2578">
        <v>13</v>
      </c>
      <c r="AC2578">
        <v>5.92</v>
      </c>
      <c r="AD2578" t="s">
        <v>13803</v>
      </c>
      <c r="AE2578" t="s">
        <v>12608</v>
      </c>
      <c r="AF2578" t="s">
        <v>10636</v>
      </c>
      <c r="AG2578" t="s">
        <v>13804</v>
      </c>
      <c r="AH2578">
        <v>-3.15</v>
      </c>
      <c r="AI2578">
        <v>-1.35</v>
      </c>
      <c r="AJ2578">
        <v>1.72</v>
      </c>
      <c r="AK2578">
        <v>4.23</v>
      </c>
      <c r="AL2578">
        <v>-3</v>
      </c>
      <c r="AM2578">
        <v>-0.19</v>
      </c>
      <c r="AN2578">
        <v>11.84</v>
      </c>
      <c r="AO2578">
        <v>5.23</v>
      </c>
      <c r="AP2578">
        <v>4.62</v>
      </c>
    </row>
    <row r="2579" spans="1:42">
      <c r="A2579">
        <v>2578</v>
      </c>
      <c r="B2579" t="str">
        <f>"688135"</f>
        <v>688135</v>
      </c>
      <c r="C2579" t="s">
        <v>13805</v>
      </c>
      <c r="D2579">
        <v>23.24</v>
      </c>
      <c r="E2579">
        <v>0.78</v>
      </c>
      <c r="F2579">
        <v>0.18</v>
      </c>
      <c r="G2579" t="s">
        <v>6247</v>
      </c>
      <c r="H2579">
        <v>224</v>
      </c>
      <c r="I2579">
        <v>23.24</v>
      </c>
      <c r="J2579">
        <v>23.25</v>
      </c>
      <c r="K2579" t="s">
        <v>13806</v>
      </c>
      <c r="L2579">
        <v>1.46</v>
      </c>
      <c r="M2579" t="s">
        <v>46</v>
      </c>
      <c r="N2579" t="s">
        <v>3910</v>
      </c>
      <c r="O2579">
        <v>23.4</v>
      </c>
      <c r="P2579">
        <v>22.8</v>
      </c>
      <c r="Q2579">
        <v>23.06</v>
      </c>
      <c r="R2579">
        <v>23.06</v>
      </c>
      <c r="S2579">
        <v>2.6</v>
      </c>
      <c r="T2579">
        <v>0.72</v>
      </c>
      <c r="U2579">
        <v>-70.37</v>
      </c>
      <c r="V2579">
        <v>-443</v>
      </c>
      <c r="W2579">
        <v>23.1</v>
      </c>
      <c r="X2579" t="s">
        <v>7487</v>
      </c>
      <c r="Y2579" t="s">
        <v>1967</v>
      </c>
      <c r="Z2579">
        <v>1.22</v>
      </c>
      <c r="AA2579">
        <v>12</v>
      </c>
      <c r="AB2579">
        <v>35</v>
      </c>
      <c r="AC2579">
        <v>4.12</v>
      </c>
      <c r="AD2579" t="s">
        <v>8708</v>
      </c>
      <c r="AE2579" t="s">
        <v>13807</v>
      </c>
      <c r="AF2579" t="s">
        <v>8708</v>
      </c>
      <c r="AG2579" t="s">
        <v>13807</v>
      </c>
      <c r="AH2579">
        <v>-2.11</v>
      </c>
      <c r="AI2579">
        <v>0.04</v>
      </c>
      <c r="AJ2579">
        <v>5.36</v>
      </c>
      <c r="AK2579">
        <v>11.64</v>
      </c>
      <c r="AL2579">
        <v>1</v>
      </c>
      <c r="AM2579">
        <v>0.78</v>
      </c>
      <c r="AN2579">
        <v>23.68</v>
      </c>
      <c r="AO2579">
        <v>1.18</v>
      </c>
      <c r="AP2579">
        <v>-0.73</v>
      </c>
    </row>
    <row r="2580" spans="1:42">
      <c r="A2580">
        <v>2579</v>
      </c>
      <c r="B2580" t="str">
        <f>"605277"</f>
        <v>605277</v>
      </c>
      <c r="C2580" t="s">
        <v>13808</v>
      </c>
      <c r="D2580">
        <v>15.58</v>
      </c>
      <c r="E2580">
        <v>0.65</v>
      </c>
      <c r="F2580">
        <v>0.1</v>
      </c>
      <c r="G2580" t="s">
        <v>6838</v>
      </c>
      <c r="H2580">
        <v>1066</v>
      </c>
      <c r="I2580">
        <v>15.57</v>
      </c>
      <c r="J2580">
        <v>15.58</v>
      </c>
      <c r="K2580" t="s">
        <v>13809</v>
      </c>
      <c r="L2580">
        <v>3.97</v>
      </c>
      <c r="M2580" t="s">
        <v>46</v>
      </c>
      <c r="N2580" t="s">
        <v>5175</v>
      </c>
      <c r="O2580">
        <v>15.6</v>
      </c>
      <c r="P2580">
        <v>15.28</v>
      </c>
      <c r="Q2580">
        <v>15.45</v>
      </c>
      <c r="R2580">
        <v>15.48</v>
      </c>
      <c r="S2580">
        <v>2.07</v>
      </c>
      <c r="T2580">
        <v>0.67</v>
      </c>
      <c r="U2580">
        <v>-34.78</v>
      </c>
      <c r="V2580">
        <v>-546</v>
      </c>
      <c r="W2580">
        <v>15.47</v>
      </c>
      <c r="X2580" t="s">
        <v>3328</v>
      </c>
      <c r="Y2580" t="s">
        <v>1590</v>
      </c>
      <c r="Z2580">
        <v>1.2</v>
      </c>
      <c r="AA2580">
        <v>110</v>
      </c>
      <c r="AB2580">
        <v>102</v>
      </c>
      <c r="AC2580">
        <v>3.17</v>
      </c>
      <c r="AD2580" t="s">
        <v>13810</v>
      </c>
      <c r="AE2580" t="s">
        <v>13811</v>
      </c>
      <c r="AF2580" t="s">
        <v>3374</v>
      </c>
      <c r="AG2580" t="s">
        <v>4872</v>
      </c>
      <c r="AH2580">
        <v>-0.83</v>
      </c>
      <c r="AI2580">
        <v>-1.45</v>
      </c>
      <c r="AJ2580">
        <v>14.96</v>
      </c>
      <c r="AK2580">
        <v>33.57</v>
      </c>
      <c r="AL2580">
        <v>1</v>
      </c>
      <c r="AM2580">
        <v>0.65</v>
      </c>
      <c r="AN2580">
        <v>40.61</v>
      </c>
      <c r="AO2580">
        <v>1.3</v>
      </c>
      <c r="AP2580">
        <v>23.06</v>
      </c>
    </row>
    <row r="2581" spans="1:42">
      <c r="A2581">
        <v>2580</v>
      </c>
      <c r="B2581" t="str">
        <f>"300761"</f>
        <v>300761</v>
      </c>
      <c r="C2581" t="s">
        <v>13812</v>
      </c>
      <c r="D2581">
        <v>17.86</v>
      </c>
      <c r="E2581">
        <v>-1.87</v>
      </c>
      <c r="F2581">
        <v>-0.34</v>
      </c>
      <c r="G2581" t="s">
        <v>8009</v>
      </c>
      <c r="H2581">
        <v>150</v>
      </c>
      <c r="I2581">
        <v>17.85</v>
      </c>
      <c r="J2581">
        <v>17.86</v>
      </c>
      <c r="K2581" t="s">
        <v>13813</v>
      </c>
      <c r="L2581">
        <v>0.62</v>
      </c>
      <c r="M2581" t="s">
        <v>46</v>
      </c>
      <c r="N2581" t="s">
        <v>5616</v>
      </c>
      <c r="O2581">
        <v>18.28</v>
      </c>
      <c r="P2581">
        <v>17.74</v>
      </c>
      <c r="Q2581">
        <v>18.11</v>
      </c>
      <c r="R2581">
        <v>18.2</v>
      </c>
      <c r="S2581">
        <v>2.97</v>
      </c>
      <c r="T2581">
        <v>0.87</v>
      </c>
      <c r="U2581">
        <v>-24.47</v>
      </c>
      <c r="V2581">
        <v>-76</v>
      </c>
      <c r="W2581">
        <v>17.96</v>
      </c>
      <c r="X2581" t="s">
        <v>876</v>
      </c>
      <c r="Y2581" t="s">
        <v>2976</v>
      </c>
      <c r="Z2581">
        <v>0.86</v>
      </c>
      <c r="AA2581">
        <v>41</v>
      </c>
      <c r="AB2581">
        <v>16</v>
      </c>
      <c r="AC2581">
        <v>1.89</v>
      </c>
      <c r="AD2581" t="s">
        <v>13814</v>
      </c>
      <c r="AE2581" t="s">
        <v>13815</v>
      </c>
      <c r="AF2581" t="s">
        <v>13816</v>
      </c>
      <c r="AG2581" t="s">
        <v>4187</v>
      </c>
      <c r="AH2581">
        <v>-2.46</v>
      </c>
      <c r="AI2581">
        <v>1.53</v>
      </c>
      <c r="AJ2581">
        <v>1.55</v>
      </c>
      <c r="AK2581">
        <v>4.2</v>
      </c>
      <c r="AL2581">
        <v>-1</v>
      </c>
      <c r="AM2581">
        <v>-1.87</v>
      </c>
      <c r="AN2581">
        <v>-3.88</v>
      </c>
      <c r="AO2581">
        <v>5.93</v>
      </c>
      <c r="AP2581">
        <v>-3.04</v>
      </c>
    </row>
    <row r="2582" spans="1:42">
      <c r="A2582">
        <v>2581</v>
      </c>
      <c r="B2582" t="str">
        <f>"300353"</f>
        <v>300353</v>
      </c>
      <c r="C2582" t="s">
        <v>13817</v>
      </c>
      <c r="D2582">
        <v>10.37</v>
      </c>
      <c r="E2582">
        <v>2.17</v>
      </c>
      <c r="F2582">
        <v>0.22</v>
      </c>
      <c r="G2582" t="s">
        <v>7394</v>
      </c>
      <c r="H2582">
        <v>765</v>
      </c>
      <c r="I2582">
        <v>10.36</v>
      </c>
      <c r="J2582">
        <v>10.37</v>
      </c>
      <c r="K2582" t="s">
        <v>11210</v>
      </c>
      <c r="L2582">
        <v>1.5</v>
      </c>
      <c r="M2582" t="s">
        <v>46</v>
      </c>
      <c r="N2582" t="s">
        <v>10207</v>
      </c>
      <c r="O2582">
        <v>10.38</v>
      </c>
      <c r="P2582">
        <v>10.09</v>
      </c>
      <c r="Q2582">
        <v>10.15</v>
      </c>
      <c r="R2582">
        <v>10.15</v>
      </c>
      <c r="S2582">
        <v>2.86</v>
      </c>
      <c r="T2582">
        <v>0.68</v>
      </c>
      <c r="U2582">
        <v>47.46</v>
      </c>
      <c r="V2582">
        <v>4368</v>
      </c>
      <c r="W2582">
        <v>10.25</v>
      </c>
      <c r="X2582" t="s">
        <v>6675</v>
      </c>
      <c r="Y2582" t="s">
        <v>4811</v>
      </c>
      <c r="Z2582">
        <v>0.7</v>
      </c>
      <c r="AA2582">
        <v>30</v>
      </c>
      <c r="AB2582">
        <v>534</v>
      </c>
      <c r="AC2582">
        <v>3.73</v>
      </c>
      <c r="AD2582" t="s">
        <v>13818</v>
      </c>
      <c r="AE2582" t="s">
        <v>13819</v>
      </c>
      <c r="AF2582" t="s">
        <v>13820</v>
      </c>
      <c r="AG2582" t="s">
        <v>10157</v>
      </c>
      <c r="AH2582">
        <v>-0.29</v>
      </c>
      <c r="AI2582">
        <v>-1.8</v>
      </c>
      <c r="AJ2582">
        <v>5.16</v>
      </c>
      <c r="AK2582">
        <v>12.47</v>
      </c>
      <c r="AL2582">
        <v>1</v>
      </c>
      <c r="AM2582">
        <v>2.17</v>
      </c>
      <c r="AN2582">
        <v>16.26</v>
      </c>
      <c r="AO2582">
        <v>3.39</v>
      </c>
      <c r="AP2582">
        <v>5.07</v>
      </c>
    </row>
    <row r="2583" spans="1:42">
      <c r="A2583">
        <v>2582</v>
      </c>
      <c r="B2583" t="str">
        <f>"600798"</f>
        <v>600798</v>
      </c>
      <c r="C2583" t="s">
        <v>13821</v>
      </c>
      <c r="D2583">
        <v>3.83</v>
      </c>
      <c r="E2583">
        <v>-0.78</v>
      </c>
      <c r="F2583">
        <v>-0.03</v>
      </c>
      <c r="G2583" t="s">
        <v>842</v>
      </c>
      <c r="H2583">
        <v>610</v>
      </c>
      <c r="I2583">
        <v>3.83</v>
      </c>
      <c r="J2583">
        <v>3.84</v>
      </c>
      <c r="K2583" t="s">
        <v>13822</v>
      </c>
      <c r="L2583">
        <v>1.45</v>
      </c>
      <c r="M2583" t="s">
        <v>46</v>
      </c>
      <c r="N2583" t="s">
        <v>9029</v>
      </c>
      <c r="O2583">
        <v>3.9</v>
      </c>
      <c r="P2583">
        <v>3.82</v>
      </c>
      <c r="Q2583">
        <v>3.84</v>
      </c>
      <c r="R2583">
        <v>3.86</v>
      </c>
      <c r="S2583">
        <v>2.07</v>
      </c>
      <c r="T2583">
        <v>1.1</v>
      </c>
      <c r="U2583">
        <v>-27.98</v>
      </c>
      <c r="V2583">
        <v>-4455</v>
      </c>
      <c r="W2583">
        <v>3.86</v>
      </c>
      <c r="X2583" t="s">
        <v>770</v>
      </c>
      <c r="Y2583" t="s">
        <v>9929</v>
      </c>
      <c r="Z2583">
        <v>0.93</v>
      </c>
      <c r="AA2583">
        <v>975</v>
      </c>
      <c r="AB2583">
        <v>1259</v>
      </c>
      <c r="AC2583">
        <v>1.16</v>
      </c>
      <c r="AD2583" t="s">
        <v>981</v>
      </c>
      <c r="AE2583" t="s">
        <v>13823</v>
      </c>
      <c r="AF2583" t="s">
        <v>981</v>
      </c>
      <c r="AG2583" t="s">
        <v>13823</v>
      </c>
      <c r="AH2583">
        <v>0.79</v>
      </c>
      <c r="AI2583">
        <v>2.96</v>
      </c>
      <c r="AJ2583">
        <v>4.26</v>
      </c>
      <c r="AK2583">
        <v>8.05</v>
      </c>
      <c r="AL2583">
        <v>-1</v>
      </c>
      <c r="AM2583">
        <v>-0.78</v>
      </c>
      <c r="AN2583">
        <v>3.79</v>
      </c>
      <c r="AO2583">
        <v>6.09</v>
      </c>
      <c r="AP2583">
        <v>2.41</v>
      </c>
    </row>
    <row r="2584" spans="1:42">
      <c r="A2584">
        <v>2583</v>
      </c>
      <c r="B2584" t="str">
        <f>"300622"</f>
        <v>300622</v>
      </c>
      <c r="C2584" t="s">
        <v>13824</v>
      </c>
      <c r="D2584">
        <v>20.99</v>
      </c>
      <c r="E2584">
        <v>2.84</v>
      </c>
      <c r="F2584">
        <v>0.58</v>
      </c>
      <c r="G2584" t="s">
        <v>6431</v>
      </c>
      <c r="H2584">
        <v>403</v>
      </c>
      <c r="I2584">
        <v>20.98</v>
      </c>
      <c r="J2584">
        <v>20.99</v>
      </c>
      <c r="K2584" t="s">
        <v>13825</v>
      </c>
      <c r="L2584">
        <v>2.78</v>
      </c>
      <c r="M2584" t="s">
        <v>46</v>
      </c>
      <c r="N2584" t="s">
        <v>1294</v>
      </c>
      <c r="O2584">
        <v>21.35</v>
      </c>
      <c r="P2584">
        <v>20.41</v>
      </c>
      <c r="Q2584">
        <v>20.41</v>
      </c>
      <c r="R2584">
        <v>20.41</v>
      </c>
      <c r="S2584">
        <v>4.61</v>
      </c>
      <c r="T2584">
        <v>3.42</v>
      </c>
      <c r="U2584">
        <v>-21.78</v>
      </c>
      <c r="V2584">
        <v>-137</v>
      </c>
      <c r="W2584">
        <v>21.04</v>
      </c>
      <c r="X2584" t="s">
        <v>4443</v>
      </c>
      <c r="Y2584" t="s">
        <v>153</v>
      </c>
      <c r="Z2584">
        <v>0.52</v>
      </c>
      <c r="AA2584">
        <v>102</v>
      </c>
      <c r="AB2584">
        <v>7</v>
      </c>
      <c r="AC2584">
        <v>4.82</v>
      </c>
      <c r="AD2584" t="s">
        <v>13826</v>
      </c>
      <c r="AE2584" t="s">
        <v>13827</v>
      </c>
      <c r="AF2584" t="s">
        <v>13828</v>
      </c>
      <c r="AG2584" t="s">
        <v>13829</v>
      </c>
      <c r="AH2584">
        <v>3.25</v>
      </c>
      <c r="AI2584">
        <v>2.89</v>
      </c>
      <c r="AJ2584">
        <v>4.77</v>
      </c>
      <c r="AK2584">
        <v>6.84</v>
      </c>
      <c r="AL2584">
        <v>1</v>
      </c>
      <c r="AM2584">
        <v>2.84</v>
      </c>
      <c r="AN2584">
        <v>3.14</v>
      </c>
      <c r="AO2584">
        <v>6.77</v>
      </c>
      <c r="AP2584">
        <v>-1.59</v>
      </c>
    </row>
    <row r="2585" spans="1:42">
      <c r="A2585">
        <v>2584</v>
      </c>
      <c r="B2585" t="str">
        <f>"000705"</f>
        <v>000705</v>
      </c>
      <c r="C2585" t="s">
        <v>13830</v>
      </c>
      <c r="D2585">
        <v>9.06</v>
      </c>
      <c r="E2585">
        <v>0.33</v>
      </c>
      <c r="F2585">
        <v>0.03</v>
      </c>
      <c r="G2585" t="s">
        <v>970</v>
      </c>
      <c r="H2585">
        <v>426</v>
      </c>
      <c r="I2585">
        <v>9.06</v>
      </c>
      <c r="J2585">
        <v>9.07</v>
      </c>
      <c r="K2585" t="s">
        <v>13831</v>
      </c>
      <c r="L2585">
        <v>2.63</v>
      </c>
      <c r="M2585" t="s">
        <v>46</v>
      </c>
      <c r="N2585" t="s">
        <v>9706</v>
      </c>
      <c r="O2585">
        <v>9.2</v>
      </c>
      <c r="P2585">
        <v>9</v>
      </c>
      <c r="Q2585">
        <v>9.03</v>
      </c>
      <c r="R2585">
        <v>9.03</v>
      </c>
      <c r="S2585">
        <v>2.21</v>
      </c>
      <c r="T2585">
        <v>0.82</v>
      </c>
      <c r="U2585">
        <v>3.67</v>
      </c>
      <c r="V2585">
        <v>91</v>
      </c>
      <c r="W2585">
        <v>9.09</v>
      </c>
      <c r="X2585" t="s">
        <v>3210</v>
      </c>
      <c r="Y2585" t="s">
        <v>8663</v>
      </c>
      <c r="Z2585">
        <v>1.02</v>
      </c>
      <c r="AA2585">
        <v>315</v>
      </c>
      <c r="AB2585">
        <v>129</v>
      </c>
      <c r="AC2585">
        <v>1.54</v>
      </c>
      <c r="AD2585" t="s">
        <v>13832</v>
      </c>
      <c r="AE2585" t="s">
        <v>2660</v>
      </c>
      <c r="AF2585" t="s">
        <v>12008</v>
      </c>
      <c r="AG2585" t="s">
        <v>12162</v>
      </c>
      <c r="AH2585">
        <v>-0.55</v>
      </c>
      <c r="AI2585">
        <v>-1.41</v>
      </c>
      <c r="AJ2585">
        <v>7.45</v>
      </c>
      <c r="AK2585">
        <v>18.67</v>
      </c>
      <c r="AL2585">
        <v>2</v>
      </c>
      <c r="AM2585">
        <v>0.33</v>
      </c>
      <c r="AN2585">
        <v>15.12</v>
      </c>
      <c r="AO2585">
        <v>4.26</v>
      </c>
      <c r="AP2585">
        <v>4.02</v>
      </c>
    </row>
    <row r="2586" spans="1:42">
      <c r="A2586">
        <v>2585</v>
      </c>
      <c r="B2586" t="str">
        <f>"688105"</f>
        <v>688105</v>
      </c>
      <c r="C2586" t="s">
        <v>13833</v>
      </c>
      <c r="D2586">
        <v>38.45</v>
      </c>
      <c r="E2586">
        <v>0.37</v>
      </c>
      <c r="F2586">
        <v>0.14</v>
      </c>
      <c r="G2586" t="s">
        <v>3165</v>
      </c>
      <c r="H2586">
        <v>197</v>
      </c>
      <c r="I2586">
        <v>38.43</v>
      </c>
      <c r="J2586">
        <v>38.45</v>
      </c>
      <c r="K2586" t="s">
        <v>13834</v>
      </c>
      <c r="L2586">
        <v>1.05</v>
      </c>
      <c r="M2586" t="s">
        <v>46</v>
      </c>
      <c r="N2586" t="s">
        <v>13362</v>
      </c>
      <c r="O2586">
        <v>38.72</v>
      </c>
      <c r="P2586">
        <v>37.34</v>
      </c>
      <c r="Q2586">
        <v>38.56</v>
      </c>
      <c r="R2586">
        <v>38.31</v>
      </c>
      <c r="S2586">
        <v>3.6</v>
      </c>
      <c r="T2586">
        <v>0.78</v>
      </c>
      <c r="U2586">
        <v>-87.04</v>
      </c>
      <c r="V2586">
        <v>-319</v>
      </c>
      <c r="W2586">
        <v>38.1</v>
      </c>
      <c r="X2586">
        <v>9719</v>
      </c>
      <c r="Y2586">
        <v>7990</v>
      </c>
      <c r="Z2586">
        <v>1.22</v>
      </c>
      <c r="AA2586">
        <v>2</v>
      </c>
      <c r="AB2586">
        <v>275</v>
      </c>
      <c r="AC2586">
        <v>3.83</v>
      </c>
      <c r="AD2586" t="s">
        <v>7381</v>
      </c>
      <c r="AE2586" t="s">
        <v>2776</v>
      </c>
      <c r="AF2586" t="s">
        <v>13835</v>
      </c>
      <c r="AG2586" t="s">
        <v>13836</v>
      </c>
      <c r="AH2586">
        <v>2.37</v>
      </c>
      <c r="AI2586">
        <v>8.16</v>
      </c>
      <c r="AJ2586">
        <v>3.6</v>
      </c>
      <c r="AK2586">
        <v>7.82</v>
      </c>
      <c r="AL2586">
        <v>2</v>
      </c>
      <c r="AM2586">
        <v>0.37</v>
      </c>
      <c r="AN2586">
        <v>-25.9</v>
      </c>
      <c r="AO2586">
        <v>17.98</v>
      </c>
      <c r="AP2586">
        <v>-39.02</v>
      </c>
    </row>
    <row r="2587" spans="1:42">
      <c r="A2587">
        <v>2586</v>
      </c>
      <c r="B2587" t="str">
        <f>"600549"</f>
        <v>600549</v>
      </c>
      <c r="C2587" t="s">
        <v>13837</v>
      </c>
      <c r="D2587">
        <v>17.12</v>
      </c>
      <c r="E2587">
        <v>-0.41</v>
      </c>
      <c r="F2587">
        <v>-0.07</v>
      </c>
      <c r="G2587" t="s">
        <v>3318</v>
      </c>
      <c r="H2587">
        <v>537</v>
      </c>
      <c r="I2587">
        <v>17.12</v>
      </c>
      <c r="J2587">
        <v>17.13</v>
      </c>
      <c r="K2587" t="s">
        <v>13838</v>
      </c>
      <c r="L2587">
        <v>0.28</v>
      </c>
      <c r="M2587" t="s">
        <v>46</v>
      </c>
      <c r="N2587" t="s">
        <v>699</v>
      </c>
      <c r="O2587">
        <v>17.2</v>
      </c>
      <c r="P2587">
        <v>16.95</v>
      </c>
      <c r="Q2587">
        <v>17.15</v>
      </c>
      <c r="R2587">
        <v>17.19</v>
      </c>
      <c r="S2587">
        <v>1.45</v>
      </c>
      <c r="T2587">
        <v>0.9</v>
      </c>
      <c r="U2587">
        <v>-33.54</v>
      </c>
      <c r="V2587">
        <v>-773</v>
      </c>
      <c r="W2587">
        <v>17.06</v>
      </c>
      <c r="X2587" t="s">
        <v>4017</v>
      </c>
      <c r="Y2587" t="s">
        <v>144</v>
      </c>
      <c r="Z2587">
        <v>1.53</v>
      </c>
      <c r="AA2587">
        <v>58</v>
      </c>
      <c r="AB2587">
        <v>222</v>
      </c>
      <c r="AC2587">
        <v>2.26</v>
      </c>
      <c r="AD2587" t="s">
        <v>2580</v>
      </c>
      <c r="AE2587" t="s">
        <v>13839</v>
      </c>
      <c r="AF2587" t="s">
        <v>8863</v>
      </c>
      <c r="AG2587" t="s">
        <v>13840</v>
      </c>
      <c r="AH2587">
        <v>-0.81</v>
      </c>
      <c r="AI2587">
        <v>-2.23</v>
      </c>
      <c r="AJ2587">
        <v>0.82</v>
      </c>
      <c r="AK2587">
        <v>1.83</v>
      </c>
      <c r="AL2587">
        <v>-2</v>
      </c>
      <c r="AM2587">
        <v>-0.41</v>
      </c>
      <c r="AN2587">
        <v>-10.83</v>
      </c>
      <c r="AO2587">
        <v>0.35</v>
      </c>
      <c r="AP2587">
        <v>-17.57</v>
      </c>
    </row>
    <row r="2588" spans="1:42">
      <c r="A2588">
        <v>2587</v>
      </c>
      <c r="B2588" t="str">
        <f>"600248"</f>
        <v>600248</v>
      </c>
      <c r="C2588" t="s">
        <v>13841</v>
      </c>
      <c r="D2588">
        <v>4.16</v>
      </c>
      <c r="E2588">
        <v>0.97</v>
      </c>
      <c r="F2588">
        <v>0.04</v>
      </c>
      <c r="G2588" t="s">
        <v>3143</v>
      </c>
      <c r="H2588">
        <v>1305</v>
      </c>
      <c r="I2588">
        <v>4.15</v>
      </c>
      <c r="J2588">
        <v>4.16</v>
      </c>
      <c r="K2588" t="s">
        <v>13842</v>
      </c>
      <c r="L2588">
        <v>1.12</v>
      </c>
      <c r="M2588" t="s">
        <v>46</v>
      </c>
      <c r="N2588" t="s">
        <v>13843</v>
      </c>
      <c r="O2588">
        <v>4.17</v>
      </c>
      <c r="P2588">
        <v>4.1</v>
      </c>
      <c r="Q2588">
        <v>4.11</v>
      </c>
      <c r="R2588">
        <v>4.12</v>
      </c>
      <c r="S2588">
        <v>1.7</v>
      </c>
      <c r="T2588">
        <v>0.88</v>
      </c>
      <c r="U2588">
        <v>-31.74</v>
      </c>
      <c r="V2588" t="s">
        <v>13844</v>
      </c>
      <c r="W2588">
        <v>4.14</v>
      </c>
      <c r="X2588" t="s">
        <v>6732</v>
      </c>
      <c r="Y2588" t="s">
        <v>881</v>
      </c>
      <c r="Z2588">
        <v>0.55</v>
      </c>
      <c r="AA2588">
        <v>2588</v>
      </c>
      <c r="AB2588">
        <v>4217</v>
      </c>
      <c r="AC2588">
        <v>0.74</v>
      </c>
      <c r="AD2588" t="s">
        <v>13845</v>
      </c>
      <c r="AE2588" t="s">
        <v>6669</v>
      </c>
      <c r="AF2588" t="s">
        <v>8399</v>
      </c>
      <c r="AG2588" t="s">
        <v>13846</v>
      </c>
      <c r="AH2588">
        <v>-0.48</v>
      </c>
      <c r="AI2588">
        <v>-1.89</v>
      </c>
      <c r="AJ2588">
        <v>3.48</v>
      </c>
      <c r="AK2588">
        <v>7.52</v>
      </c>
      <c r="AL2588">
        <v>2</v>
      </c>
      <c r="AM2588">
        <v>0.97</v>
      </c>
      <c r="AN2588">
        <v>1.46</v>
      </c>
      <c r="AO2588">
        <v>-0.95</v>
      </c>
      <c r="AP2588">
        <v>-4.81</v>
      </c>
    </row>
    <row r="2589" spans="1:42">
      <c r="A2589">
        <v>2588</v>
      </c>
      <c r="B2589" t="str">
        <f>"600315"</f>
        <v>600315</v>
      </c>
      <c r="C2589" t="s">
        <v>13847</v>
      </c>
      <c r="D2589">
        <v>23.12</v>
      </c>
      <c r="E2589">
        <v>-0.13</v>
      </c>
      <c r="F2589">
        <v>-0.03</v>
      </c>
      <c r="G2589" t="s">
        <v>1080</v>
      </c>
      <c r="H2589">
        <v>438</v>
      </c>
      <c r="I2589">
        <v>23.11</v>
      </c>
      <c r="J2589">
        <v>23.12</v>
      </c>
      <c r="K2589" t="s">
        <v>13842</v>
      </c>
      <c r="L2589">
        <v>0.43</v>
      </c>
      <c r="M2589" t="s">
        <v>46</v>
      </c>
      <c r="N2589" t="s">
        <v>13848</v>
      </c>
      <c r="O2589">
        <v>23.32</v>
      </c>
      <c r="P2589">
        <v>22.89</v>
      </c>
      <c r="Q2589">
        <v>23.13</v>
      </c>
      <c r="R2589">
        <v>23.15</v>
      </c>
      <c r="S2589">
        <v>1.86</v>
      </c>
      <c r="T2589">
        <v>1.07</v>
      </c>
      <c r="U2589">
        <v>-5.02</v>
      </c>
      <c r="V2589">
        <v>-44</v>
      </c>
      <c r="W2589">
        <v>23.09</v>
      </c>
      <c r="X2589" t="s">
        <v>1112</v>
      </c>
      <c r="Y2589" t="s">
        <v>2547</v>
      </c>
      <c r="Z2589">
        <v>1.34</v>
      </c>
      <c r="AA2589">
        <v>12</v>
      </c>
      <c r="AB2589">
        <v>106</v>
      </c>
      <c r="AC2589">
        <v>2.06</v>
      </c>
      <c r="AD2589" t="s">
        <v>13849</v>
      </c>
      <c r="AE2589" t="s">
        <v>13850</v>
      </c>
      <c r="AF2589" t="s">
        <v>12276</v>
      </c>
      <c r="AG2589" t="s">
        <v>13851</v>
      </c>
      <c r="AH2589">
        <v>-1.78</v>
      </c>
      <c r="AI2589">
        <v>-1.99</v>
      </c>
      <c r="AJ2589">
        <v>1.34</v>
      </c>
      <c r="AK2589">
        <v>2.47</v>
      </c>
      <c r="AL2589">
        <v>-3</v>
      </c>
      <c r="AM2589">
        <v>-0.13</v>
      </c>
      <c r="AN2589">
        <v>-26.93</v>
      </c>
      <c r="AO2589">
        <v>-0.04</v>
      </c>
      <c r="AP2589">
        <v>-18.99</v>
      </c>
    </row>
    <row r="2590" spans="1:42">
      <c r="A2590">
        <v>2589</v>
      </c>
      <c r="B2590" t="str">
        <f>"600419"</f>
        <v>600419</v>
      </c>
      <c r="C2590" t="s">
        <v>13852</v>
      </c>
      <c r="D2590">
        <v>12.61</v>
      </c>
      <c r="E2590">
        <v>0.56</v>
      </c>
      <c r="F2590">
        <v>0.07</v>
      </c>
      <c r="G2590" t="s">
        <v>308</v>
      </c>
      <c r="H2590">
        <v>349</v>
      </c>
      <c r="I2590">
        <v>12.6</v>
      </c>
      <c r="J2590">
        <v>12.61</v>
      </c>
      <c r="K2590" t="s">
        <v>13853</v>
      </c>
      <c r="L2590">
        <v>1.67</v>
      </c>
      <c r="M2590" t="s">
        <v>46</v>
      </c>
      <c r="N2590" t="s">
        <v>5403</v>
      </c>
      <c r="O2590">
        <v>12.79</v>
      </c>
      <c r="P2590">
        <v>12.46</v>
      </c>
      <c r="Q2590">
        <v>12.51</v>
      </c>
      <c r="R2590">
        <v>12.54</v>
      </c>
      <c r="S2590">
        <v>2.63</v>
      </c>
      <c r="T2590">
        <v>1.8</v>
      </c>
      <c r="U2590">
        <v>-25.59</v>
      </c>
      <c r="V2590">
        <v>-507</v>
      </c>
      <c r="W2590">
        <v>12.61</v>
      </c>
      <c r="X2590" t="s">
        <v>2727</v>
      </c>
      <c r="Y2590" t="s">
        <v>3662</v>
      </c>
      <c r="Z2590">
        <v>1.17</v>
      </c>
      <c r="AA2590">
        <v>46</v>
      </c>
      <c r="AB2590">
        <v>615</v>
      </c>
      <c r="AC2590">
        <v>1.69</v>
      </c>
      <c r="AD2590" t="s">
        <v>284</v>
      </c>
      <c r="AE2590" t="s">
        <v>13854</v>
      </c>
      <c r="AF2590" t="s">
        <v>284</v>
      </c>
      <c r="AG2590" t="s">
        <v>13854</v>
      </c>
      <c r="AH2590">
        <v>0.64</v>
      </c>
      <c r="AI2590">
        <v>0.16</v>
      </c>
      <c r="AJ2590">
        <v>3.22</v>
      </c>
      <c r="AK2590">
        <v>6.3</v>
      </c>
      <c r="AL2590">
        <v>2</v>
      </c>
      <c r="AM2590">
        <v>0.56</v>
      </c>
      <c r="AN2590">
        <v>-18.59</v>
      </c>
      <c r="AO2590">
        <v>2.19</v>
      </c>
      <c r="AP2590">
        <v>-12.43</v>
      </c>
    </row>
    <row r="2591" spans="1:42">
      <c r="A2591">
        <v>2590</v>
      </c>
      <c r="B2591" t="str">
        <f>"603170"</f>
        <v>603170</v>
      </c>
      <c r="C2591" t="s">
        <v>13855</v>
      </c>
      <c r="D2591">
        <v>18.53</v>
      </c>
      <c r="E2591">
        <v>-1.01</v>
      </c>
      <c r="F2591">
        <v>-0.19</v>
      </c>
      <c r="G2591" t="s">
        <v>5323</v>
      </c>
      <c r="H2591">
        <v>595</v>
      </c>
      <c r="I2591">
        <v>18.53</v>
      </c>
      <c r="J2591">
        <v>18.54</v>
      </c>
      <c r="K2591" t="s">
        <v>13856</v>
      </c>
      <c r="L2591">
        <v>2.27</v>
      </c>
      <c r="M2591" t="s">
        <v>46</v>
      </c>
      <c r="N2591" t="s">
        <v>8612</v>
      </c>
      <c r="O2591">
        <v>19.16</v>
      </c>
      <c r="P2591">
        <v>18.35</v>
      </c>
      <c r="Q2591">
        <v>18.73</v>
      </c>
      <c r="R2591">
        <v>18.72</v>
      </c>
      <c r="S2591">
        <v>4.33</v>
      </c>
      <c r="T2591">
        <v>1.85</v>
      </c>
      <c r="U2591">
        <v>50.44</v>
      </c>
      <c r="V2591">
        <v>344</v>
      </c>
      <c r="W2591">
        <v>18.67</v>
      </c>
      <c r="X2591" t="s">
        <v>156</v>
      </c>
      <c r="Y2591" t="s">
        <v>61</v>
      </c>
      <c r="Z2591">
        <v>1.38</v>
      </c>
      <c r="AA2591">
        <v>76</v>
      </c>
      <c r="AB2591">
        <v>53</v>
      </c>
      <c r="AC2591">
        <v>5.84</v>
      </c>
      <c r="AD2591" t="s">
        <v>7381</v>
      </c>
      <c r="AE2591" t="s">
        <v>10645</v>
      </c>
      <c r="AF2591" t="s">
        <v>13857</v>
      </c>
      <c r="AG2591" t="s">
        <v>7453</v>
      </c>
      <c r="AH2591">
        <v>-2.42</v>
      </c>
      <c r="AI2591">
        <v>-0.27</v>
      </c>
      <c r="AJ2591">
        <v>4.72</v>
      </c>
      <c r="AK2591">
        <v>8.41</v>
      </c>
      <c r="AL2591">
        <v>-4</v>
      </c>
      <c r="AM2591">
        <v>-1.01</v>
      </c>
      <c r="AN2591">
        <v>-34.01</v>
      </c>
      <c r="AO2591">
        <v>-6.08</v>
      </c>
      <c r="AP2591">
        <v>-30.1</v>
      </c>
    </row>
    <row r="2592" spans="1:42">
      <c r="A2592">
        <v>2591</v>
      </c>
      <c r="B2592" t="str">
        <f>"600397"</f>
        <v>600397</v>
      </c>
      <c r="C2592" t="s">
        <v>13858</v>
      </c>
      <c r="D2592">
        <v>3.16</v>
      </c>
      <c r="E2592">
        <v>1.61</v>
      </c>
      <c r="F2592">
        <v>0.05</v>
      </c>
      <c r="G2592" t="s">
        <v>2419</v>
      </c>
      <c r="H2592">
        <v>2274</v>
      </c>
      <c r="I2592">
        <v>3.15</v>
      </c>
      <c r="J2592">
        <v>3.16</v>
      </c>
      <c r="K2592" t="s">
        <v>13859</v>
      </c>
      <c r="L2592">
        <v>2.16</v>
      </c>
      <c r="M2592" t="s">
        <v>46</v>
      </c>
      <c r="N2592" t="s">
        <v>12935</v>
      </c>
      <c r="O2592">
        <v>3.17</v>
      </c>
      <c r="P2592">
        <v>3.1</v>
      </c>
      <c r="Q2592">
        <v>3.11</v>
      </c>
      <c r="R2592">
        <v>3.11</v>
      </c>
      <c r="S2592">
        <v>2.25</v>
      </c>
      <c r="T2592">
        <v>0.97</v>
      </c>
      <c r="U2592">
        <v>-20.7</v>
      </c>
      <c r="V2592" t="s">
        <v>13844</v>
      </c>
      <c r="W2592">
        <v>3.14</v>
      </c>
      <c r="X2592" t="s">
        <v>4476</v>
      </c>
      <c r="Y2592" t="s">
        <v>1986</v>
      </c>
      <c r="Z2592">
        <v>0.71</v>
      </c>
      <c r="AA2592">
        <v>1975</v>
      </c>
      <c r="AB2592" t="s">
        <v>6867</v>
      </c>
      <c r="AC2592">
        <v>5.23</v>
      </c>
      <c r="AD2592" t="s">
        <v>13860</v>
      </c>
      <c r="AE2592" t="s">
        <v>9501</v>
      </c>
      <c r="AF2592" t="s">
        <v>13860</v>
      </c>
      <c r="AG2592" t="s">
        <v>9501</v>
      </c>
      <c r="AH2592">
        <v>1.94</v>
      </c>
      <c r="AI2592">
        <v>2.6</v>
      </c>
      <c r="AJ2592">
        <v>6.62</v>
      </c>
      <c r="AK2592">
        <v>13.31</v>
      </c>
      <c r="AL2592">
        <v>1</v>
      </c>
      <c r="AM2592">
        <v>1.61</v>
      </c>
      <c r="AN2592">
        <v>4.29</v>
      </c>
      <c r="AO2592">
        <v>8.97</v>
      </c>
      <c r="AP2592">
        <v>-3.36</v>
      </c>
    </row>
    <row r="2593" spans="1:42">
      <c r="A2593">
        <v>2592</v>
      </c>
      <c r="B2593" t="str">
        <f>"601811"</f>
        <v>601811</v>
      </c>
      <c r="C2593" t="s">
        <v>13861</v>
      </c>
      <c r="D2593">
        <v>14.01</v>
      </c>
      <c r="E2593">
        <v>3.85</v>
      </c>
      <c r="F2593">
        <v>0.52</v>
      </c>
      <c r="G2593" t="s">
        <v>5612</v>
      </c>
      <c r="H2593">
        <v>743</v>
      </c>
      <c r="I2593">
        <v>13.99</v>
      </c>
      <c r="J2593">
        <v>14.02</v>
      </c>
      <c r="K2593" t="s">
        <v>13862</v>
      </c>
      <c r="L2593">
        <v>0.61</v>
      </c>
      <c r="M2593" t="s">
        <v>46</v>
      </c>
      <c r="N2593" t="s">
        <v>8014</v>
      </c>
      <c r="O2593">
        <v>14.05</v>
      </c>
      <c r="P2593">
        <v>13.41</v>
      </c>
      <c r="Q2593">
        <v>13.41</v>
      </c>
      <c r="R2593">
        <v>13.49</v>
      </c>
      <c r="S2593">
        <v>4.74</v>
      </c>
      <c r="T2593">
        <v>1.58</v>
      </c>
      <c r="U2593">
        <v>-47.08</v>
      </c>
      <c r="V2593">
        <v>-1153</v>
      </c>
      <c r="W2593">
        <v>13.84</v>
      </c>
      <c r="X2593" t="s">
        <v>1112</v>
      </c>
      <c r="Y2593" t="s">
        <v>10810</v>
      </c>
      <c r="Z2593">
        <v>0.52</v>
      </c>
      <c r="AA2593">
        <v>104</v>
      </c>
      <c r="AB2593">
        <v>100</v>
      </c>
      <c r="AC2593">
        <v>1.32</v>
      </c>
      <c r="AD2593" t="s">
        <v>9594</v>
      </c>
      <c r="AE2593" t="s">
        <v>13863</v>
      </c>
      <c r="AF2593" t="s">
        <v>13864</v>
      </c>
      <c r="AG2593" t="s">
        <v>667</v>
      </c>
      <c r="AH2593">
        <v>2.71</v>
      </c>
      <c r="AI2593">
        <v>0.57</v>
      </c>
      <c r="AJ2593">
        <v>1.34</v>
      </c>
      <c r="AK2593">
        <v>2.56</v>
      </c>
      <c r="AL2593">
        <v>2</v>
      </c>
      <c r="AM2593">
        <v>3.85</v>
      </c>
      <c r="AN2593">
        <v>46.24</v>
      </c>
      <c r="AO2593">
        <v>7.36</v>
      </c>
      <c r="AP2593">
        <v>44.88</v>
      </c>
    </row>
    <row r="2594" spans="1:42">
      <c r="A2594">
        <v>2593</v>
      </c>
      <c r="B2594" t="str">
        <f>"603323"</f>
        <v>603323</v>
      </c>
      <c r="C2594" t="s">
        <v>13865</v>
      </c>
      <c r="D2594">
        <v>4.21</v>
      </c>
      <c r="E2594">
        <v>0.72</v>
      </c>
      <c r="F2594">
        <v>0.03</v>
      </c>
      <c r="G2594" t="s">
        <v>571</v>
      </c>
      <c r="H2594">
        <v>824</v>
      </c>
      <c r="I2594">
        <v>4.21</v>
      </c>
      <c r="J2594">
        <v>4.22</v>
      </c>
      <c r="K2594" t="s">
        <v>13866</v>
      </c>
      <c r="L2594">
        <v>1.04</v>
      </c>
      <c r="M2594" t="s">
        <v>46</v>
      </c>
      <c r="N2594" t="s">
        <v>2693</v>
      </c>
      <c r="O2594">
        <v>4.23</v>
      </c>
      <c r="P2594">
        <v>4.18</v>
      </c>
      <c r="Q2594">
        <v>4.19</v>
      </c>
      <c r="R2594">
        <v>4.18</v>
      </c>
      <c r="S2594">
        <v>1.2</v>
      </c>
      <c r="T2594">
        <v>1.03</v>
      </c>
      <c r="U2594">
        <v>-55.8</v>
      </c>
      <c r="V2594" t="s">
        <v>6497</v>
      </c>
      <c r="W2594">
        <v>4.2</v>
      </c>
      <c r="X2594" t="s">
        <v>6754</v>
      </c>
      <c r="Y2594" t="s">
        <v>9660</v>
      </c>
      <c r="Z2594">
        <v>0.77</v>
      </c>
      <c r="AA2594">
        <v>295</v>
      </c>
      <c r="AB2594">
        <v>7011</v>
      </c>
      <c r="AC2594">
        <v>0.5</v>
      </c>
      <c r="AD2594" t="s">
        <v>13867</v>
      </c>
      <c r="AE2594" t="s">
        <v>2307</v>
      </c>
      <c r="AF2594" t="s">
        <v>13868</v>
      </c>
      <c r="AG2594" t="s">
        <v>13869</v>
      </c>
      <c r="AH2594">
        <v>-0.71</v>
      </c>
      <c r="AI2594">
        <v>-1.41</v>
      </c>
      <c r="AJ2594">
        <v>3.08</v>
      </c>
      <c r="AK2594">
        <v>6.07</v>
      </c>
      <c r="AL2594">
        <v>1</v>
      </c>
      <c r="AM2594">
        <v>0.72</v>
      </c>
      <c r="AN2594">
        <v>-6.86</v>
      </c>
      <c r="AO2594">
        <v>-2.32</v>
      </c>
      <c r="AP2594">
        <v>-4.97</v>
      </c>
    </row>
    <row r="2595" spans="1:42">
      <c r="A2595">
        <v>2594</v>
      </c>
      <c r="B2595" t="str">
        <f>"002491"</f>
        <v>002491</v>
      </c>
      <c r="C2595" t="s">
        <v>13870</v>
      </c>
      <c r="D2595">
        <v>5.66</v>
      </c>
      <c r="E2595">
        <v>2.54</v>
      </c>
      <c r="F2595">
        <v>0.14</v>
      </c>
      <c r="G2595" t="s">
        <v>1937</v>
      </c>
      <c r="H2595">
        <v>442</v>
      </c>
      <c r="I2595">
        <v>5.65</v>
      </c>
      <c r="J2595">
        <v>5.66</v>
      </c>
      <c r="K2595" t="s">
        <v>13871</v>
      </c>
      <c r="L2595">
        <v>1.02</v>
      </c>
      <c r="M2595" t="s">
        <v>46</v>
      </c>
      <c r="N2595" t="s">
        <v>5103</v>
      </c>
      <c r="O2595">
        <v>5.67</v>
      </c>
      <c r="P2595">
        <v>5.5</v>
      </c>
      <c r="Q2595">
        <v>5.54</v>
      </c>
      <c r="R2595">
        <v>5.52</v>
      </c>
      <c r="S2595">
        <v>3.08</v>
      </c>
      <c r="T2595">
        <v>1.2</v>
      </c>
      <c r="U2595">
        <v>-44.97</v>
      </c>
      <c r="V2595">
        <v>-7465</v>
      </c>
      <c r="W2595">
        <v>5.6</v>
      </c>
      <c r="X2595" t="s">
        <v>10547</v>
      </c>
      <c r="Y2595" t="s">
        <v>4175</v>
      </c>
      <c r="Z2595">
        <v>0.53</v>
      </c>
      <c r="AA2595">
        <v>1047</v>
      </c>
      <c r="AB2595">
        <v>579</v>
      </c>
      <c r="AC2595">
        <v>2.86</v>
      </c>
      <c r="AD2595" t="s">
        <v>13872</v>
      </c>
      <c r="AE2595" t="s">
        <v>13873</v>
      </c>
      <c r="AF2595" t="s">
        <v>13874</v>
      </c>
      <c r="AG2595" t="s">
        <v>13875</v>
      </c>
      <c r="AH2595">
        <v>0.35</v>
      </c>
      <c r="AI2595">
        <v>-2.08</v>
      </c>
      <c r="AJ2595">
        <v>2.73</v>
      </c>
      <c r="AK2595">
        <v>5.26</v>
      </c>
      <c r="AL2595">
        <v>1</v>
      </c>
      <c r="AM2595">
        <v>2.54</v>
      </c>
      <c r="AN2595">
        <v>24.67</v>
      </c>
      <c r="AO2595">
        <v>1.43</v>
      </c>
      <c r="AP2595">
        <v>10.55</v>
      </c>
    </row>
    <row r="2596" spans="1:42">
      <c r="A2596">
        <v>2595</v>
      </c>
      <c r="B2596" t="str">
        <f>"002621"</f>
        <v>002621</v>
      </c>
      <c r="C2596" t="s">
        <v>13876</v>
      </c>
      <c r="D2596">
        <v>3.42</v>
      </c>
      <c r="E2596">
        <v>3.01</v>
      </c>
      <c r="F2596">
        <v>0.1</v>
      </c>
      <c r="G2596" t="s">
        <v>4628</v>
      </c>
      <c r="H2596">
        <v>1744</v>
      </c>
      <c r="I2596">
        <v>3.41</v>
      </c>
      <c r="J2596">
        <v>3.42</v>
      </c>
      <c r="K2596" t="s">
        <v>13871</v>
      </c>
      <c r="L2596">
        <v>2.46</v>
      </c>
      <c r="M2596" t="s">
        <v>46</v>
      </c>
      <c r="N2596" t="s">
        <v>10902</v>
      </c>
      <c r="O2596">
        <v>3.44</v>
      </c>
      <c r="P2596">
        <v>3.29</v>
      </c>
      <c r="Q2596">
        <v>3.3</v>
      </c>
      <c r="R2596">
        <v>3.32</v>
      </c>
      <c r="S2596">
        <v>4.52</v>
      </c>
      <c r="T2596">
        <v>1.65</v>
      </c>
      <c r="U2596">
        <v>-32.97</v>
      </c>
      <c r="V2596">
        <v>-6763</v>
      </c>
      <c r="W2596">
        <v>3.4</v>
      </c>
      <c r="X2596" t="s">
        <v>3743</v>
      </c>
      <c r="Y2596" t="s">
        <v>4369</v>
      </c>
      <c r="Z2596">
        <v>0.73</v>
      </c>
      <c r="AA2596">
        <v>2122</v>
      </c>
      <c r="AB2596">
        <v>994</v>
      </c>
      <c r="AC2596">
        <v>7.72</v>
      </c>
      <c r="AD2596" t="s">
        <v>8382</v>
      </c>
      <c r="AE2596" t="s">
        <v>8059</v>
      </c>
      <c r="AF2596" t="s">
        <v>13877</v>
      </c>
      <c r="AG2596" t="s">
        <v>13634</v>
      </c>
      <c r="AH2596">
        <v>0</v>
      </c>
      <c r="AI2596">
        <v>-0.58</v>
      </c>
      <c r="AJ2596">
        <v>6.66</v>
      </c>
      <c r="AK2596">
        <v>9.93</v>
      </c>
      <c r="AL2596">
        <v>1</v>
      </c>
      <c r="AM2596">
        <v>3.01</v>
      </c>
      <c r="AN2596">
        <v>-20.65</v>
      </c>
      <c r="AO2596">
        <v>6.88</v>
      </c>
      <c r="AP2596">
        <v>-17.79</v>
      </c>
    </row>
    <row r="2597" spans="1:42">
      <c r="A2597">
        <v>2596</v>
      </c>
      <c r="B2597" t="str">
        <f>"600273"</f>
        <v>600273</v>
      </c>
      <c r="C2597" t="s">
        <v>13878</v>
      </c>
      <c r="D2597">
        <v>8.42</v>
      </c>
      <c r="E2597">
        <v>0</v>
      </c>
      <c r="F2597">
        <v>0</v>
      </c>
      <c r="G2597" t="s">
        <v>4555</v>
      </c>
      <c r="H2597">
        <v>555</v>
      </c>
      <c r="I2597">
        <v>8.41</v>
      </c>
      <c r="J2597">
        <v>8.42</v>
      </c>
      <c r="K2597" t="s">
        <v>13879</v>
      </c>
      <c r="L2597">
        <v>0.57</v>
      </c>
      <c r="M2597" t="s">
        <v>46</v>
      </c>
      <c r="N2597" t="s">
        <v>9568</v>
      </c>
      <c r="O2597">
        <v>8.45</v>
      </c>
      <c r="P2597">
        <v>8.37</v>
      </c>
      <c r="Q2597">
        <v>8.44</v>
      </c>
      <c r="R2597">
        <v>8.42</v>
      </c>
      <c r="S2597">
        <v>0.95</v>
      </c>
      <c r="T2597">
        <v>0.87</v>
      </c>
      <c r="U2597">
        <v>8.03</v>
      </c>
      <c r="V2597">
        <v>643</v>
      </c>
      <c r="W2597">
        <v>8.41</v>
      </c>
      <c r="X2597" t="s">
        <v>1320</v>
      </c>
      <c r="Y2597" t="s">
        <v>6645</v>
      </c>
      <c r="Z2597">
        <v>1.04</v>
      </c>
      <c r="AA2597">
        <v>454</v>
      </c>
      <c r="AB2597">
        <v>90</v>
      </c>
      <c r="AC2597">
        <v>1.22</v>
      </c>
      <c r="AD2597" t="s">
        <v>13880</v>
      </c>
      <c r="AE2597" t="s">
        <v>13881</v>
      </c>
      <c r="AF2597" t="s">
        <v>13880</v>
      </c>
      <c r="AG2597" t="s">
        <v>13881</v>
      </c>
      <c r="AH2597">
        <v>-0.36</v>
      </c>
      <c r="AI2597">
        <v>0.24</v>
      </c>
      <c r="AJ2597">
        <v>1.56</v>
      </c>
      <c r="AK2597">
        <v>3.85</v>
      </c>
      <c r="AL2597">
        <v>0</v>
      </c>
      <c r="AM2597">
        <v>0</v>
      </c>
      <c r="AN2597">
        <v>9.78</v>
      </c>
      <c r="AO2597">
        <v>0.6</v>
      </c>
      <c r="AP2597">
        <v>6.18</v>
      </c>
    </row>
    <row r="2598" spans="1:42">
      <c r="A2598">
        <v>2597</v>
      </c>
      <c r="B2598" t="str">
        <f>"600463"</f>
        <v>600463</v>
      </c>
      <c r="C2598" t="s">
        <v>13882</v>
      </c>
      <c r="D2598">
        <v>9.94</v>
      </c>
      <c r="E2598">
        <v>0.91</v>
      </c>
      <c r="F2598">
        <v>0.09</v>
      </c>
      <c r="G2598" t="s">
        <v>9098</v>
      </c>
      <c r="H2598">
        <v>1752</v>
      </c>
      <c r="I2598">
        <v>9.94</v>
      </c>
      <c r="J2598">
        <v>9.95</v>
      </c>
      <c r="K2598" t="s">
        <v>13883</v>
      </c>
      <c r="L2598">
        <v>2.26</v>
      </c>
      <c r="M2598" t="s">
        <v>46</v>
      </c>
      <c r="N2598" t="s">
        <v>3881</v>
      </c>
      <c r="O2598">
        <v>9.99</v>
      </c>
      <c r="P2598">
        <v>9.66</v>
      </c>
      <c r="Q2598">
        <v>9.67</v>
      </c>
      <c r="R2598">
        <v>9.85</v>
      </c>
      <c r="S2598">
        <v>3.35</v>
      </c>
      <c r="T2598">
        <v>0.41</v>
      </c>
      <c r="U2598">
        <v>6.92</v>
      </c>
      <c r="V2598">
        <v>136</v>
      </c>
      <c r="W2598">
        <v>9.87</v>
      </c>
      <c r="X2598" t="s">
        <v>6365</v>
      </c>
      <c r="Y2598" t="s">
        <v>1604</v>
      </c>
      <c r="Z2598">
        <v>0.97</v>
      </c>
      <c r="AA2598">
        <v>307</v>
      </c>
      <c r="AB2598">
        <v>99</v>
      </c>
      <c r="AC2598">
        <v>2.64</v>
      </c>
      <c r="AD2598" t="s">
        <v>13884</v>
      </c>
      <c r="AE2598" t="s">
        <v>13885</v>
      </c>
      <c r="AF2598" t="s">
        <v>13884</v>
      </c>
      <c r="AG2598" t="s">
        <v>13885</v>
      </c>
      <c r="AH2598">
        <v>4.3</v>
      </c>
      <c r="AI2598">
        <v>1.12</v>
      </c>
      <c r="AJ2598">
        <v>10.18</v>
      </c>
      <c r="AK2598">
        <v>30.16</v>
      </c>
      <c r="AL2598">
        <v>3</v>
      </c>
      <c r="AM2598">
        <v>0.91</v>
      </c>
      <c r="AN2598">
        <v>12.83</v>
      </c>
      <c r="AO2598">
        <v>10.69</v>
      </c>
      <c r="AP2598">
        <v>35.24</v>
      </c>
    </row>
    <row r="2599" spans="1:42">
      <c r="A2599">
        <v>2598</v>
      </c>
      <c r="B2599" t="str">
        <f>"688389"</f>
        <v>688389</v>
      </c>
      <c r="C2599" t="s">
        <v>13886</v>
      </c>
      <c r="D2599">
        <v>24.46</v>
      </c>
      <c r="E2599">
        <v>-0.08</v>
      </c>
      <c r="F2599">
        <v>-0.02</v>
      </c>
      <c r="G2599" t="s">
        <v>1711</v>
      </c>
      <c r="H2599">
        <v>82</v>
      </c>
      <c r="I2599">
        <v>24.46</v>
      </c>
      <c r="J2599">
        <v>24.5</v>
      </c>
      <c r="K2599" t="s">
        <v>13887</v>
      </c>
      <c r="L2599">
        <v>0.65</v>
      </c>
      <c r="M2599" t="s">
        <v>46</v>
      </c>
      <c r="N2599" t="s">
        <v>2725</v>
      </c>
      <c r="O2599">
        <v>25</v>
      </c>
      <c r="P2599">
        <v>23.98</v>
      </c>
      <c r="Q2599">
        <v>24.59</v>
      </c>
      <c r="R2599">
        <v>24.48</v>
      </c>
      <c r="S2599">
        <v>4.17</v>
      </c>
      <c r="T2599">
        <v>1.53</v>
      </c>
      <c r="U2599">
        <v>-37.49</v>
      </c>
      <c r="V2599">
        <v>-70</v>
      </c>
      <c r="W2599">
        <v>24.32</v>
      </c>
      <c r="X2599" t="s">
        <v>3793</v>
      </c>
      <c r="Y2599" t="s">
        <v>682</v>
      </c>
      <c r="Z2599">
        <v>1.19</v>
      </c>
      <c r="AA2599">
        <v>13</v>
      </c>
      <c r="AB2599">
        <v>22</v>
      </c>
      <c r="AC2599">
        <v>6.37</v>
      </c>
      <c r="AD2599" t="s">
        <v>13888</v>
      </c>
      <c r="AE2599" t="s">
        <v>10402</v>
      </c>
      <c r="AF2599" t="s">
        <v>13888</v>
      </c>
      <c r="AG2599" t="s">
        <v>10402</v>
      </c>
      <c r="AH2599">
        <v>0.82</v>
      </c>
      <c r="AI2599">
        <v>2.3</v>
      </c>
      <c r="AJ2599">
        <v>1.48</v>
      </c>
      <c r="AK2599">
        <v>2.76</v>
      </c>
      <c r="AL2599">
        <v>-1</v>
      </c>
      <c r="AM2599">
        <v>-0.08</v>
      </c>
      <c r="AN2599">
        <v>39.06</v>
      </c>
      <c r="AO2599">
        <v>11.54</v>
      </c>
      <c r="AP2599">
        <v>21.27</v>
      </c>
    </row>
    <row r="2600" spans="1:42">
      <c r="A2600">
        <v>2599</v>
      </c>
      <c r="B2600" t="str">
        <f>"002248"</f>
        <v>002248</v>
      </c>
      <c r="C2600" t="s">
        <v>13889</v>
      </c>
      <c r="D2600">
        <v>8.54</v>
      </c>
      <c r="E2600">
        <v>-0.47</v>
      </c>
      <c r="F2600">
        <v>-0.04</v>
      </c>
      <c r="G2600" t="s">
        <v>7241</v>
      </c>
      <c r="H2600">
        <v>455</v>
      </c>
      <c r="I2600">
        <v>8.54</v>
      </c>
      <c r="J2600">
        <v>8.55</v>
      </c>
      <c r="K2600" t="s">
        <v>13890</v>
      </c>
      <c r="L2600">
        <v>2.56</v>
      </c>
      <c r="M2600" t="s">
        <v>46</v>
      </c>
      <c r="N2600" t="s">
        <v>6235</v>
      </c>
      <c r="O2600">
        <v>8.58</v>
      </c>
      <c r="P2600">
        <v>8.43</v>
      </c>
      <c r="Q2600">
        <v>8.55</v>
      </c>
      <c r="R2600">
        <v>8.58</v>
      </c>
      <c r="S2600">
        <v>1.75</v>
      </c>
      <c r="T2600">
        <v>0.66</v>
      </c>
      <c r="U2600">
        <v>-5.69</v>
      </c>
      <c r="V2600">
        <v>-391</v>
      </c>
      <c r="W2600">
        <v>8.49</v>
      </c>
      <c r="X2600" t="s">
        <v>843</v>
      </c>
      <c r="Y2600" t="s">
        <v>4970</v>
      </c>
      <c r="Z2600">
        <v>1.32</v>
      </c>
      <c r="AA2600">
        <v>937</v>
      </c>
      <c r="AB2600">
        <v>1239</v>
      </c>
      <c r="AC2600">
        <v>30.14</v>
      </c>
      <c r="AD2600" t="s">
        <v>13891</v>
      </c>
      <c r="AE2600" t="s">
        <v>13892</v>
      </c>
      <c r="AF2600" t="s">
        <v>13891</v>
      </c>
      <c r="AG2600" t="s">
        <v>13892</v>
      </c>
      <c r="AH2600">
        <v>-2.84</v>
      </c>
      <c r="AI2600">
        <v>-3.17</v>
      </c>
      <c r="AJ2600">
        <v>9.82</v>
      </c>
      <c r="AK2600">
        <v>22.12</v>
      </c>
      <c r="AL2600">
        <v>-3</v>
      </c>
      <c r="AM2600">
        <v>-0.47</v>
      </c>
      <c r="AN2600">
        <v>-8.76</v>
      </c>
      <c r="AO2600">
        <v>0.71</v>
      </c>
      <c r="AP2600">
        <v>-17.01</v>
      </c>
    </row>
    <row r="2601" spans="1:42">
      <c r="A2601">
        <v>2600</v>
      </c>
      <c r="B2601" t="str">
        <f>"600990"</f>
        <v>600990</v>
      </c>
      <c r="C2601" t="s">
        <v>13893</v>
      </c>
      <c r="D2601">
        <v>21.44</v>
      </c>
      <c r="E2601">
        <v>0.14</v>
      </c>
      <c r="F2601">
        <v>0.03</v>
      </c>
      <c r="G2601" t="s">
        <v>2628</v>
      </c>
      <c r="H2601">
        <v>307</v>
      </c>
      <c r="I2601">
        <v>21.43</v>
      </c>
      <c r="J2601">
        <v>21.44</v>
      </c>
      <c r="K2601" t="s">
        <v>13894</v>
      </c>
      <c r="L2601">
        <v>1.16</v>
      </c>
      <c r="M2601" t="s">
        <v>46</v>
      </c>
      <c r="N2601" t="s">
        <v>522</v>
      </c>
      <c r="O2601">
        <v>21.54</v>
      </c>
      <c r="P2601">
        <v>21.2</v>
      </c>
      <c r="Q2601">
        <v>21.37</v>
      </c>
      <c r="R2601">
        <v>21.41</v>
      </c>
      <c r="S2601">
        <v>1.59</v>
      </c>
      <c r="T2601">
        <v>0.78</v>
      </c>
      <c r="U2601">
        <v>0.74</v>
      </c>
      <c r="V2601">
        <v>5</v>
      </c>
      <c r="W2601">
        <v>21.36</v>
      </c>
      <c r="X2601" t="s">
        <v>4105</v>
      </c>
      <c r="Y2601" t="s">
        <v>2397</v>
      </c>
      <c r="Z2601">
        <v>0.83</v>
      </c>
      <c r="AA2601">
        <v>47</v>
      </c>
      <c r="AB2601">
        <v>54</v>
      </c>
      <c r="AC2601">
        <v>2.24</v>
      </c>
      <c r="AD2601" t="s">
        <v>9451</v>
      </c>
      <c r="AE2601" t="s">
        <v>13895</v>
      </c>
      <c r="AF2601" t="s">
        <v>13896</v>
      </c>
      <c r="AG2601" t="s">
        <v>13897</v>
      </c>
      <c r="AH2601">
        <v>-0.79</v>
      </c>
      <c r="AI2601">
        <v>-1.65</v>
      </c>
      <c r="AJ2601">
        <v>3.94</v>
      </c>
      <c r="AK2601">
        <v>8.64</v>
      </c>
      <c r="AL2601">
        <v>1</v>
      </c>
      <c r="AM2601">
        <v>0.14</v>
      </c>
      <c r="AN2601">
        <v>-6.17</v>
      </c>
      <c r="AO2601">
        <v>3.73</v>
      </c>
      <c r="AP2601">
        <v>-11.18</v>
      </c>
    </row>
    <row r="2602" spans="1:42">
      <c r="A2602">
        <v>2601</v>
      </c>
      <c r="B2602" t="str">
        <f>"002948"</f>
        <v>002948</v>
      </c>
      <c r="C2602" t="s">
        <v>13898</v>
      </c>
      <c r="D2602">
        <v>3.12</v>
      </c>
      <c r="E2602">
        <v>0.32</v>
      </c>
      <c r="F2602">
        <v>0.01</v>
      </c>
      <c r="G2602" t="s">
        <v>2419</v>
      </c>
      <c r="H2602">
        <v>1320</v>
      </c>
      <c r="I2602">
        <v>3.12</v>
      </c>
      <c r="J2602">
        <v>3.13</v>
      </c>
      <c r="K2602" t="s">
        <v>13899</v>
      </c>
      <c r="L2602">
        <v>0.69</v>
      </c>
      <c r="M2602" t="s">
        <v>46</v>
      </c>
      <c r="N2602" t="s">
        <v>2140</v>
      </c>
      <c r="O2602">
        <v>3.15</v>
      </c>
      <c r="P2602">
        <v>3.1</v>
      </c>
      <c r="Q2602">
        <v>3.12</v>
      </c>
      <c r="R2602">
        <v>3.11</v>
      </c>
      <c r="S2602">
        <v>1.61</v>
      </c>
      <c r="T2602">
        <v>1.15</v>
      </c>
      <c r="U2602">
        <v>-35.32</v>
      </c>
      <c r="V2602" t="s">
        <v>13900</v>
      </c>
      <c r="W2602">
        <v>3.13</v>
      </c>
      <c r="X2602" t="s">
        <v>4683</v>
      </c>
      <c r="Y2602" t="s">
        <v>1261</v>
      </c>
      <c r="Z2602">
        <v>0.73</v>
      </c>
      <c r="AA2602">
        <v>3178</v>
      </c>
      <c r="AB2602" t="s">
        <v>5446</v>
      </c>
      <c r="AC2602">
        <v>0.57</v>
      </c>
      <c r="AD2602" t="s">
        <v>13901</v>
      </c>
      <c r="AE2602" t="s">
        <v>8314</v>
      </c>
      <c r="AF2602" t="s">
        <v>13902</v>
      </c>
      <c r="AG2602" t="s">
        <v>13903</v>
      </c>
      <c r="AH2602">
        <v>-1.58</v>
      </c>
      <c r="AI2602">
        <v>-2.5</v>
      </c>
      <c r="AJ2602">
        <v>2</v>
      </c>
      <c r="AK2602">
        <v>3.68</v>
      </c>
      <c r="AL2602">
        <v>1</v>
      </c>
      <c r="AM2602">
        <v>0.32</v>
      </c>
      <c r="AN2602">
        <v>-2.5</v>
      </c>
      <c r="AO2602">
        <v>-4</v>
      </c>
      <c r="AP2602">
        <v>1.96</v>
      </c>
    </row>
    <row r="2603" spans="1:42">
      <c r="A2603">
        <v>2602</v>
      </c>
      <c r="B2603" t="str">
        <f>"603106"</f>
        <v>603106</v>
      </c>
      <c r="C2603" t="s">
        <v>13904</v>
      </c>
      <c r="D2603">
        <v>6.85</v>
      </c>
      <c r="E2603">
        <v>3.32</v>
      </c>
      <c r="F2603">
        <v>0.22</v>
      </c>
      <c r="G2603" t="s">
        <v>5288</v>
      </c>
      <c r="H2603">
        <v>1077</v>
      </c>
      <c r="I2603">
        <v>6.85</v>
      </c>
      <c r="J2603">
        <v>6.86</v>
      </c>
      <c r="K2603" t="s">
        <v>13905</v>
      </c>
      <c r="L2603">
        <v>1.9</v>
      </c>
      <c r="M2603" t="s">
        <v>46</v>
      </c>
      <c r="N2603" t="s">
        <v>4781</v>
      </c>
      <c r="O2603">
        <v>6.88</v>
      </c>
      <c r="P2603">
        <v>6.57</v>
      </c>
      <c r="Q2603">
        <v>6.64</v>
      </c>
      <c r="R2603">
        <v>6.63</v>
      </c>
      <c r="S2603">
        <v>4.68</v>
      </c>
      <c r="T2603">
        <v>1.18</v>
      </c>
      <c r="U2603">
        <v>-29.73</v>
      </c>
      <c r="V2603">
        <v>-2320</v>
      </c>
      <c r="W2603">
        <v>6.76</v>
      </c>
      <c r="X2603" t="s">
        <v>3716</v>
      </c>
      <c r="Y2603" t="s">
        <v>5962</v>
      </c>
      <c r="Z2603">
        <v>0.64</v>
      </c>
      <c r="AA2603">
        <v>125</v>
      </c>
      <c r="AB2603">
        <v>1028</v>
      </c>
      <c r="AC2603">
        <v>2.53</v>
      </c>
      <c r="AD2603" t="s">
        <v>13906</v>
      </c>
      <c r="AE2603" t="s">
        <v>13907</v>
      </c>
      <c r="AF2603" t="s">
        <v>13906</v>
      </c>
      <c r="AG2603" t="s">
        <v>13907</v>
      </c>
      <c r="AH2603">
        <v>1.63</v>
      </c>
      <c r="AI2603">
        <v>-1.3</v>
      </c>
      <c r="AJ2603">
        <v>4.52</v>
      </c>
      <c r="AK2603">
        <v>9.97</v>
      </c>
      <c r="AL2603">
        <v>1</v>
      </c>
      <c r="AM2603">
        <v>3.32</v>
      </c>
      <c r="AN2603">
        <v>33.01</v>
      </c>
      <c r="AO2603">
        <v>2.54</v>
      </c>
      <c r="AP2603">
        <v>15.13</v>
      </c>
    </row>
    <row r="2604" spans="1:42">
      <c r="A2604">
        <v>2603</v>
      </c>
      <c r="B2604" t="str">
        <f>"000008"</f>
        <v>000008</v>
      </c>
      <c r="C2604" t="s">
        <v>13908</v>
      </c>
      <c r="D2604">
        <v>2.47</v>
      </c>
      <c r="E2604">
        <v>0.41</v>
      </c>
      <c r="F2604">
        <v>0.01</v>
      </c>
      <c r="G2604" t="s">
        <v>2381</v>
      </c>
      <c r="H2604">
        <v>3381</v>
      </c>
      <c r="I2604">
        <v>2.47</v>
      </c>
      <c r="J2604">
        <v>2.48</v>
      </c>
      <c r="K2604" t="s">
        <v>13909</v>
      </c>
      <c r="L2604">
        <v>1.01</v>
      </c>
      <c r="M2604" t="s">
        <v>46</v>
      </c>
      <c r="N2604" t="s">
        <v>4069</v>
      </c>
      <c r="O2604">
        <v>2.49</v>
      </c>
      <c r="P2604">
        <v>2.45</v>
      </c>
      <c r="Q2604">
        <v>2.46</v>
      </c>
      <c r="R2604">
        <v>2.46</v>
      </c>
      <c r="S2604">
        <v>1.63</v>
      </c>
      <c r="T2604">
        <v>0.9</v>
      </c>
      <c r="U2604">
        <v>-39.11</v>
      </c>
      <c r="V2604" t="s">
        <v>13910</v>
      </c>
      <c r="W2604">
        <v>2.47</v>
      </c>
      <c r="X2604" t="s">
        <v>830</v>
      </c>
      <c r="Y2604" t="s">
        <v>1296</v>
      </c>
      <c r="Z2604">
        <v>0.92</v>
      </c>
      <c r="AA2604">
        <v>2010</v>
      </c>
      <c r="AB2604" t="s">
        <v>189</v>
      </c>
      <c r="AC2604">
        <v>1.59</v>
      </c>
      <c r="AD2604" t="s">
        <v>8679</v>
      </c>
      <c r="AE2604" t="s">
        <v>13911</v>
      </c>
      <c r="AF2604" t="s">
        <v>10860</v>
      </c>
      <c r="AG2604" t="s">
        <v>12513</v>
      </c>
      <c r="AH2604">
        <v>-0.4</v>
      </c>
      <c r="AI2604">
        <v>1.23</v>
      </c>
      <c r="AJ2604">
        <v>3.45</v>
      </c>
      <c r="AK2604">
        <v>6.6</v>
      </c>
      <c r="AL2604">
        <v>1</v>
      </c>
      <c r="AM2604">
        <v>0.41</v>
      </c>
      <c r="AN2604">
        <v>7.39</v>
      </c>
      <c r="AO2604">
        <v>4.22</v>
      </c>
      <c r="AP2604">
        <v>2.92</v>
      </c>
    </row>
    <row r="2605" spans="1:42">
      <c r="A2605">
        <v>2604</v>
      </c>
      <c r="B2605" t="str">
        <f>"601718"</f>
        <v>601718</v>
      </c>
      <c r="C2605" t="s">
        <v>13912</v>
      </c>
      <c r="D2605">
        <v>2.89</v>
      </c>
      <c r="E2605">
        <v>1.05</v>
      </c>
      <c r="F2605">
        <v>0.03</v>
      </c>
      <c r="G2605" t="s">
        <v>1031</v>
      </c>
      <c r="H2605">
        <v>3577</v>
      </c>
      <c r="I2605">
        <v>2.89</v>
      </c>
      <c r="J2605">
        <v>2.9</v>
      </c>
      <c r="K2605" t="s">
        <v>13913</v>
      </c>
      <c r="L2605">
        <v>0.53</v>
      </c>
      <c r="M2605" t="s">
        <v>46</v>
      </c>
      <c r="N2605" t="s">
        <v>7090</v>
      </c>
      <c r="O2605">
        <v>2.9</v>
      </c>
      <c r="P2605">
        <v>2.86</v>
      </c>
      <c r="Q2605">
        <v>2.86</v>
      </c>
      <c r="R2605">
        <v>2.86</v>
      </c>
      <c r="S2605">
        <v>1.4</v>
      </c>
      <c r="T2605">
        <v>0.88</v>
      </c>
      <c r="U2605">
        <v>-28.2</v>
      </c>
      <c r="V2605" t="s">
        <v>13914</v>
      </c>
      <c r="W2605">
        <v>2.88</v>
      </c>
      <c r="X2605" t="s">
        <v>4645</v>
      </c>
      <c r="Y2605" t="s">
        <v>368</v>
      </c>
      <c r="Z2605">
        <v>0.73</v>
      </c>
      <c r="AA2605">
        <v>3884</v>
      </c>
      <c r="AB2605" t="s">
        <v>4527</v>
      </c>
      <c r="AC2605">
        <v>0.75</v>
      </c>
      <c r="AD2605" t="s">
        <v>13915</v>
      </c>
      <c r="AE2605" t="s">
        <v>13916</v>
      </c>
      <c r="AF2605" t="s">
        <v>13915</v>
      </c>
      <c r="AG2605" t="s">
        <v>13916</v>
      </c>
      <c r="AH2605">
        <v>-0.34</v>
      </c>
      <c r="AI2605">
        <v>0.35</v>
      </c>
      <c r="AJ2605">
        <v>1.52</v>
      </c>
      <c r="AK2605">
        <v>3.54</v>
      </c>
      <c r="AL2605">
        <v>1</v>
      </c>
      <c r="AM2605">
        <v>1.05</v>
      </c>
      <c r="AN2605">
        <v>0.35</v>
      </c>
      <c r="AO2605">
        <v>0.7</v>
      </c>
      <c r="AP2605">
        <v>-4.93</v>
      </c>
    </row>
    <row r="2606" spans="1:42">
      <c r="A2606">
        <v>2605</v>
      </c>
      <c r="B2606" t="str">
        <f>"600586"</f>
        <v>600586</v>
      </c>
      <c r="C2606" t="s">
        <v>13917</v>
      </c>
      <c r="D2606">
        <v>6.94</v>
      </c>
      <c r="E2606">
        <v>0.43</v>
      </c>
      <c r="F2606">
        <v>0.03</v>
      </c>
      <c r="G2606" t="s">
        <v>12877</v>
      </c>
      <c r="H2606">
        <v>802</v>
      </c>
      <c r="I2606">
        <v>6.94</v>
      </c>
      <c r="J2606">
        <v>6.95</v>
      </c>
      <c r="K2606" t="s">
        <v>13918</v>
      </c>
      <c r="L2606">
        <v>0.67</v>
      </c>
      <c r="M2606" t="s">
        <v>46</v>
      </c>
      <c r="N2606" t="s">
        <v>13919</v>
      </c>
      <c r="O2606">
        <v>7</v>
      </c>
      <c r="P2606">
        <v>6.85</v>
      </c>
      <c r="Q2606">
        <v>6.95</v>
      </c>
      <c r="R2606">
        <v>6.91</v>
      </c>
      <c r="S2606">
        <v>2.17</v>
      </c>
      <c r="T2606">
        <v>0.79</v>
      </c>
      <c r="U2606">
        <v>4.44</v>
      </c>
      <c r="V2606">
        <v>495</v>
      </c>
      <c r="W2606">
        <v>6.93</v>
      </c>
      <c r="X2606" t="s">
        <v>4888</v>
      </c>
      <c r="Y2606" t="s">
        <v>5582</v>
      </c>
      <c r="Z2606">
        <v>1.04</v>
      </c>
      <c r="AA2606">
        <v>82</v>
      </c>
      <c r="AB2606">
        <v>302</v>
      </c>
      <c r="AC2606">
        <v>1.73</v>
      </c>
      <c r="AD2606" t="s">
        <v>7013</v>
      </c>
      <c r="AE2606" t="s">
        <v>13920</v>
      </c>
      <c r="AF2606" t="s">
        <v>7013</v>
      </c>
      <c r="AG2606" t="s">
        <v>13920</v>
      </c>
      <c r="AH2606">
        <v>-1.98</v>
      </c>
      <c r="AI2606">
        <v>-3.34</v>
      </c>
      <c r="AJ2606">
        <v>2.17</v>
      </c>
      <c r="AK2606">
        <v>4.94</v>
      </c>
      <c r="AL2606">
        <v>1</v>
      </c>
      <c r="AM2606">
        <v>0.43</v>
      </c>
      <c r="AN2606">
        <v>-20.05</v>
      </c>
      <c r="AO2606">
        <v>1.02</v>
      </c>
      <c r="AP2606">
        <v>-9.87</v>
      </c>
    </row>
    <row r="2607" spans="1:42">
      <c r="A2607">
        <v>2606</v>
      </c>
      <c r="B2607" t="str">
        <f>"600060"</f>
        <v>600060</v>
      </c>
      <c r="C2607" t="s">
        <v>13921</v>
      </c>
      <c r="D2607">
        <v>23.53</v>
      </c>
      <c r="E2607">
        <v>0.56</v>
      </c>
      <c r="F2607">
        <v>0.13</v>
      </c>
      <c r="G2607" t="s">
        <v>4610</v>
      </c>
      <c r="H2607">
        <v>281</v>
      </c>
      <c r="I2607">
        <v>23.52</v>
      </c>
      <c r="J2607">
        <v>23.53</v>
      </c>
      <c r="K2607" t="s">
        <v>13922</v>
      </c>
      <c r="L2607">
        <v>0.22</v>
      </c>
      <c r="M2607" t="s">
        <v>46</v>
      </c>
      <c r="N2607" t="s">
        <v>13923</v>
      </c>
      <c r="O2607">
        <v>23.58</v>
      </c>
      <c r="P2607">
        <v>23.02</v>
      </c>
      <c r="Q2607">
        <v>23.28</v>
      </c>
      <c r="R2607">
        <v>23.4</v>
      </c>
      <c r="S2607">
        <v>2.39</v>
      </c>
      <c r="T2607">
        <v>0.63</v>
      </c>
      <c r="U2607">
        <v>-85.53</v>
      </c>
      <c r="V2607">
        <v>-650</v>
      </c>
      <c r="W2607">
        <v>23.39</v>
      </c>
      <c r="X2607" t="s">
        <v>383</v>
      </c>
      <c r="Y2607" t="s">
        <v>61</v>
      </c>
      <c r="Z2607">
        <v>0.88</v>
      </c>
      <c r="AA2607">
        <v>5</v>
      </c>
      <c r="AB2607">
        <v>53</v>
      </c>
      <c r="AC2607">
        <v>1.66</v>
      </c>
      <c r="AD2607" t="s">
        <v>3968</v>
      </c>
      <c r="AE2607" t="s">
        <v>13924</v>
      </c>
      <c r="AF2607" t="s">
        <v>13925</v>
      </c>
      <c r="AG2607" t="s">
        <v>13926</v>
      </c>
      <c r="AH2607">
        <v>-0.42</v>
      </c>
      <c r="AI2607">
        <v>-1.67</v>
      </c>
      <c r="AJ2607">
        <v>0.95</v>
      </c>
      <c r="AK2607">
        <v>1.98</v>
      </c>
      <c r="AL2607">
        <v>1</v>
      </c>
      <c r="AM2607">
        <v>0.56</v>
      </c>
      <c r="AN2607">
        <v>82.4</v>
      </c>
      <c r="AO2607">
        <v>-0.08</v>
      </c>
      <c r="AP2607">
        <v>76.78</v>
      </c>
    </row>
    <row r="2608" spans="1:42">
      <c r="A2608">
        <v>2607</v>
      </c>
      <c r="B2608" t="str">
        <f>"000036"</f>
        <v>000036</v>
      </c>
      <c r="C2608" t="s">
        <v>13927</v>
      </c>
      <c r="D2608">
        <v>4.14</v>
      </c>
      <c r="E2608">
        <v>1.47</v>
      </c>
      <c r="F2608">
        <v>0.06</v>
      </c>
      <c r="G2608" t="s">
        <v>561</v>
      </c>
      <c r="H2608">
        <v>1016</v>
      </c>
      <c r="I2608">
        <v>4.13</v>
      </c>
      <c r="J2608">
        <v>4.14</v>
      </c>
      <c r="K2608" t="s">
        <v>13928</v>
      </c>
      <c r="L2608">
        <v>1.09</v>
      </c>
      <c r="M2608" t="s">
        <v>46</v>
      </c>
      <c r="N2608" t="s">
        <v>3454</v>
      </c>
      <c r="O2608">
        <v>4.16</v>
      </c>
      <c r="P2608">
        <v>4.08</v>
      </c>
      <c r="Q2608">
        <v>4.09</v>
      </c>
      <c r="R2608">
        <v>4.08</v>
      </c>
      <c r="S2608">
        <v>1.96</v>
      </c>
      <c r="T2608">
        <v>1.24</v>
      </c>
      <c r="U2608">
        <v>35.39</v>
      </c>
      <c r="V2608" t="s">
        <v>144</v>
      </c>
      <c r="W2608">
        <v>4.13</v>
      </c>
      <c r="X2608" t="s">
        <v>3765</v>
      </c>
      <c r="Y2608" t="s">
        <v>8226</v>
      </c>
      <c r="Z2608">
        <v>0.97</v>
      </c>
      <c r="AA2608" t="s">
        <v>2716</v>
      </c>
      <c r="AB2608">
        <v>1087</v>
      </c>
      <c r="AC2608">
        <v>1.16</v>
      </c>
      <c r="AD2608" t="s">
        <v>7807</v>
      </c>
      <c r="AE2608" t="s">
        <v>7912</v>
      </c>
      <c r="AF2608" t="s">
        <v>10965</v>
      </c>
      <c r="AG2608" t="s">
        <v>13929</v>
      </c>
      <c r="AH2608">
        <v>0.98</v>
      </c>
      <c r="AI2608">
        <v>0.73</v>
      </c>
      <c r="AJ2608">
        <v>3.01</v>
      </c>
      <c r="AK2608">
        <v>5.47</v>
      </c>
      <c r="AL2608">
        <v>2</v>
      </c>
      <c r="AM2608">
        <v>1.47</v>
      </c>
      <c r="AN2608">
        <v>2.99</v>
      </c>
      <c r="AO2608">
        <v>9.23</v>
      </c>
      <c r="AP2608">
        <v>0.98</v>
      </c>
    </row>
    <row r="2609" spans="1:42">
      <c r="A2609">
        <v>2608</v>
      </c>
      <c r="B2609" t="str">
        <f>"603230"</f>
        <v>603230</v>
      </c>
      <c r="C2609" t="s">
        <v>13930</v>
      </c>
      <c r="D2609">
        <v>13.2</v>
      </c>
      <c r="E2609">
        <v>3.45</v>
      </c>
      <c r="F2609">
        <v>0.44</v>
      </c>
      <c r="G2609" t="s">
        <v>6026</v>
      </c>
      <c r="H2609">
        <v>616</v>
      </c>
      <c r="I2609">
        <v>13.19</v>
      </c>
      <c r="J2609">
        <v>13.2</v>
      </c>
      <c r="K2609" t="s">
        <v>13931</v>
      </c>
      <c r="L2609">
        <v>5.67</v>
      </c>
      <c r="M2609" t="s">
        <v>46</v>
      </c>
      <c r="N2609" t="s">
        <v>5078</v>
      </c>
      <c r="O2609">
        <v>13.25</v>
      </c>
      <c r="P2609">
        <v>12.74</v>
      </c>
      <c r="Q2609">
        <v>12.75</v>
      </c>
      <c r="R2609">
        <v>12.76</v>
      </c>
      <c r="S2609">
        <v>4</v>
      </c>
      <c r="T2609">
        <v>2.09</v>
      </c>
      <c r="U2609">
        <v>-77.55</v>
      </c>
      <c r="V2609">
        <v>-3199</v>
      </c>
      <c r="W2609">
        <v>13.11</v>
      </c>
      <c r="X2609" t="s">
        <v>3116</v>
      </c>
      <c r="Y2609" t="s">
        <v>6247</v>
      </c>
      <c r="Z2609">
        <v>0.73</v>
      </c>
      <c r="AA2609">
        <v>83</v>
      </c>
      <c r="AB2609">
        <v>2906</v>
      </c>
      <c r="AC2609">
        <v>1.8</v>
      </c>
      <c r="AD2609" t="s">
        <v>1016</v>
      </c>
      <c r="AE2609" t="s">
        <v>13932</v>
      </c>
      <c r="AF2609" t="s">
        <v>13933</v>
      </c>
      <c r="AG2609" t="s">
        <v>13435</v>
      </c>
      <c r="AH2609">
        <v>2.72</v>
      </c>
      <c r="AI2609">
        <v>1.93</v>
      </c>
      <c r="AJ2609">
        <v>10.16</v>
      </c>
      <c r="AK2609">
        <v>19.21</v>
      </c>
      <c r="AL2609">
        <v>2</v>
      </c>
      <c r="AM2609">
        <v>3.45</v>
      </c>
      <c r="AN2609">
        <v>21.32</v>
      </c>
      <c r="AO2609">
        <v>7.67</v>
      </c>
      <c r="AP2609">
        <v>21.32</v>
      </c>
    </row>
    <row r="2610" spans="1:42">
      <c r="A2610">
        <v>2609</v>
      </c>
      <c r="B2610" t="str">
        <f>"300048"</f>
        <v>300048</v>
      </c>
      <c r="C2610" t="s">
        <v>13934</v>
      </c>
      <c r="D2610">
        <v>5.24</v>
      </c>
      <c r="E2610">
        <v>-0.95</v>
      </c>
      <c r="F2610">
        <v>-0.05</v>
      </c>
      <c r="G2610" t="s">
        <v>3971</v>
      </c>
      <c r="H2610">
        <v>822</v>
      </c>
      <c r="I2610">
        <v>5.23</v>
      </c>
      <c r="J2610">
        <v>5.24</v>
      </c>
      <c r="K2610" t="s">
        <v>13935</v>
      </c>
      <c r="L2610">
        <v>1.14</v>
      </c>
      <c r="M2610" t="s">
        <v>46</v>
      </c>
      <c r="N2610" t="s">
        <v>8488</v>
      </c>
      <c r="O2610">
        <v>5.34</v>
      </c>
      <c r="P2610">
        <v>5.17</v>
      </c>
      <c r="Q2610">
        <v>5.27</v>
      </c>
      <c r="R2610">
        <v>5.29</v>
      </c>
      <c r="S2610">
        <v>3.21</v>
      </c>
      <c r="T2610">
        <v>1.07</v>
      </c>
      <c r="U2610">
        <v>18.88</v>
      </c>
      <c r="V2610">
        <v>1585</v>
      </c>
      <c r="W2610">
        <v>5.23</v>
      </c>
      <c r="X2610" t="s">
        <v>2835</v>
      </c>
      <c r="Y2610" t="s">
        <v>4096</v>
      </c>
      <c r="Z2610">
        <v>1.54</v>
      </c>
      <c r="AA2610">
        <v>335</v>
      </c>
      <c r="AB2610">
        <v>1041</v>
      </c>
      <c r="AC2610">
        <v>3.15</v>
      </c>
      <c r="AD2610" t="s">
        <v>7783</v>
      </c>
      <c r="AE2610" t="s">
        <v>13936</v>
      </c>
      <c r="AF2610" t="s">
        <v>11086</v>
      </c>
      <c r="AG2610" t="s">
        <v>13937</v>
      </c>
      <c r="AH2610">
        <v>-2.06</v>
      </c>
      <c r="AI2610">
        <v>-0.57</v>
      </c>
      <c r="AJ2610">
        <v>2.85</v>
      </c>
      <c r="AK2610">
        <v>6.5</v>
      </c>
      <c r="AL2610">
        <v>-1</v>
      </c>
      <c r="AM2610">
        <v>-0.95</v>
      </c>
      <c r="AN2610">
        <v>7.82</v>
      </c>
      <c r="AO2610">
        <v>2.95</v>
      </c>
      <c r="AP2610">
        <v>1.35</v>
      </c>
    </row>
    <row r="2611" spans="1:42">
      <c r="A2611">
        <v>2610</v>
      </c>
      <c r="B2611" t="str">
        <f>"835368"</f>
        <v>835368</v>
      </c>
      <c r="C2611" t="s">
        <v>13938</v>
      </c>
      <c r="D2611">
        <v>37.4</v>
      </c>
      <c r="E2611">
        <v>-4.35</v>
      </c>
      <c r="F2611">
        <v>-1.7</v>
      </c>
      <c r="G2611" t="s">
        <v>6656</v>
      </c>
      <c r="H2611">
        <v>320</v>
      </c>
      <c r="I2611">
        <v>37.4</v>
      </c>
      <c r="J2611">
        <v>37.42</v>
      </c>
      <c r="K2611" t="s">
        <v>13939</v>
      </c>
      <c r="L2611">
        <v>1.43</v>
      </c>
      <c r="M2611" t="s">
        <v>46</v>
      </c>
      <c r="N2611" t="s">
        <v>13397</v>
      </c>
      <c r="O2611">
        <v>40.2</v>
      </c>
      <c r="P2611">
        <v>37.18</v>
      </c>
      <c r="Q2611">
        <v>39.21</v>
      </c>
      <c r="R2611">
        <v>39.1</v>
      </c>
      <c r="S2611">
        <v>7.72</v>
      </c>
      <c r="T2611">
        <v>0.45</v>
      </c>
      <c r="U2611">
        <v>5.91</v>
      </c>
      <c r="V2611">
        <v>28</v>
      </c>
      <c r="W2611">
        <v>38.36</v>
      </c>
      <c r="X2611" t="s">
        <v>1646</v>
      </c>
      <c r="Y2611">
        <v>7079</v>
      </c>
      <c r="Z2611">
        <v>1.44</v>
      </c>
      <c r="AA2611">
        <v>209</v>
      </c>
      <c r="AB2611">
        <v>2</v>
      </c>
      <c r="AC2611">
        <v>2.43</v>
      </c>
      <c r="AD2611" t="s">
        <v>13940</v>
      </c>
      <c r="AE2611" t="s">
        <v>13086</v>
      </c>
      <c r="AF2611" t="s">
        <v>13941</v>
      </c>
      <c r="AG2611" t="s">
        <v>13942</v>
      </c>
      <c r="AH2611">
        <v>-15.29</v>
      </c>
      <c r="AI2611">
        <v>-6.99</v>
      </c>
      <c r="AJ2611">
        <v>5.16</v>
      </c>
      <c r="AK2611">
        <v>17.46</v>
      </c>
      <c r="AL2611">
        <v>-4</v>
      </c>
      <c r="AM2611">
        <v>-4.35</v>
      </c>
      <c r="AN2611">
        <v>-27.49</v>
      </c>
      <c r="AO2611">
        <v>16.51</v>
      </c>
      <c r="AP2611">
        <v>-43.65</v>
      </c>
    </row>
    <row r="2612" spans="1:42">
      <c r="A2612">
        <v>2611</v>
      </c>
      <c r="B2612" t="str">
        <f>"001215"</f>
        <v>001215</v>
      </c>
      <c r="C2612" t="s">
        <v>13943</v>
      </c>
      <c r="D2612">
        <v>58.29</v>
      </c>
      <c r="E2612">
        <v>0.53</v>
      </c>
      <c r="F2612">
        <v>0.31</v>
      </c>
      <c r="G2612" t="s">
        <v>734</v>
      </c>
      <c r="H2612">
        <v>44</v>
      </c>
      <c r="I2612">
        <v>58.23</v>
      </c>
      <c r="J2612">
        <v>58.29</v>
      </c>
      <c r="K2612" t="s">
        <v>13944</v>
      </c>
      <c r="L2612">
        <v>2.49</v>
      </c>
      <c r="M2612" t="s">
        <v>46</v>
      </c>
      <c r="N2612" t="s">
        <v>6443</v>
      </c>
      <c r="O2612">
        <v>60.47</v>
      </c>
      <c r="P2612">
        <v>57.63</v>
      </c>
      <c r="Q2612">
        <v>58.3</v>
      </c>
      <c r="R2612">
        <v>57.98</v>
      </c>
      <c r="S2612">
        <v>4.9</v>
      </c>
      <c r="T2612">
        <v>1.36</v>
      </c>
      <c r="U2612">
        <v>66.67</v>
      </c>
      <c r="V2612">
        <v>76</v>
      </c>
      <c r="W2612">
        <v>59.01</v>
      </c>
      <c r="X2612">
        <v>5950</v>
      </c>
      <c r="Y2612">
        <v>5288</v>
      </c>
      <c r="Z2612">
        <v>1.13</v>
      </c>
      <c r="AA2612">
        <v>7</v>
      </c>
      <c r="AB2612">
        <v>6</v>
      </c>
      <c r="AC2612">
        <v>4.43</v>
      </c>
      <c r="AD2612" t="s">
        <v>13945</v>
      </c>
      <c r="AE2612" t="s">
        <v>235</v>
      </c>
      <c r="AF2612" t="s">
        <v>13946</v>
      </c>
      <c r="AG2612" t="s">
        <v>13947</v>
      </c>
      <c r="AH2612">
        <v>1.15</v>
      </c>
      <c r="AI2612">
        <v>0.33</v>
      </c>
      <c r="AJ2612">
        <v>4.4</v>
      </c>
      <c r="AK2612">
        <v>11.63</v>
      </c>
      <c r="AL2612">
        <v>3</v>
      </c>
      <c r="AM2612">
        <v>0.53</v>
      </c>
      <c r="AN2612">
        <v>-10.86</v>
      </c>
      <c r="AO2612">
        <v>2.17</v>
      </c>
      <c r="AP2612">
        <v>1.67</v>
      </c>
    </row>
    <row r="2613" spans="1:42">
      <c r="A2613">
        <v>2612</v>
      </c>
      <c r="B2613" t="str">
        <f>"000738"</f>
        <v>000738</v>
      </c>
      <c r="C2613" t="s">
        <v>13948</v>
      </c>
      <c r="D2613">
        <v>20.46</v>
      </c>
      <c r="E2613">
        <v>-0.24</v>
      </c>
      <c r="F2613">
        <v>-0.05</v>
      </c>
      <c r="G2613" t="s">
        <v>8255</v>
      </c>
      <c r="H2613">
        <v>372</v>
      </c>
      <c r="I2613">
        <v>20.46</v>
      </c>
      <c r="J2613">
        <v>20.47</v>
      </c>
      <c r="K2613" t="s">
        <v>13949</v>
      </c>
      <c r="L2613">
        <v>0.25</v>
      </c>
      <c r="M2613" t="s">
        <v>46</v>
      </c>
      <c r="N2613" t="s">
        <v>12348</v>
      </c>
      <c r="O2613">
        <v>20.58</v>
      </c>
      <c r="P2613">
        <v>20.36</v>
      </c>
      <c r="Q2613">
        <v>20.48</v>
      </c>
      <c r="R2613">
        <v>20.51</v>
      </c>
      <c r="S2613">
        <v>1.07</v>
      </c>
      <c r="T2613">
        <v>0.87</v>
      </c>
      <c r="U2613">
        <v>-28.37</v>
      </c>
      <c r="V2613">
        <v>-202</v>
      </c>
      <c r="W2613">
        <v>20.45</v>
      </c>
      <c r="X2613" t="s">
        <v>6656</v>
      </c>
      <c r="Y2613" t="s">
        <v>2371</v>
      </c>
      <c r="Z2613">
        <v>1.15</v>
      </c>
      <c r="AA2613">
        <v>81</v>
      </c>
      <c r="AB2613">
        <v>90</v>
      </c>
      <c r="AC2613">
        <v>2.3</v>
      </c>
      <c r="AD2613" t="s">
        <v>13950</v>
      </c>
      <c r="AE2613" t="s">
        <v>13951</v>
      </c>
      <c r="AF2613" t="s">
        <v>13950</v>
      </c>
      <c r="AG2613" t="s">
        <v>13951</v>
      </c>
      <c r="AH2613">
        <v>-1.96</v>
      </c>
      <c r="AI2613">
        <v>-2.62</v>
      </c>
      <c r="AJ2613">
        <v>0.77</v>
      </c>
      <c r="AK2613">
        <v>1.67</v>
      </c>
      <c r="AL2613">
        <v>-3</v>
      </c>
      <c r="AM2613">
        <v>-0.24</v>
      </c>
      <c r="AN2613">
        <v>-20.05</v>
      </c>
      <c r="AO2613">
        <v>-1.68</v>
      </c>
      <c r="AP2613">
        <v>-24.94</v>
      </c>
    </row>
    <row r="2614" spans="1:42">
      <c r="A2614">
        <v>2613</v>
      </c>
      <c r="B2614" t="str">
        <f>"600300"</f>
        <v>600300</v>
      </c>
      <c r="C2614" t="s">
        <v>13952</v>
      </c>
      <c r="D2614">
        <v>3.23</v>
      </c>
      <c r="E2614">
        <v>-0.31</v>
      </c>
      <c r="F2614">
        <v>-0.01</v>
      </c>
      <c r="G2614" t="s">
        <v>2160</v>
      </c>
      <c r="H2614">
        <v>1693</v>
      </c>
      <c r="I2614">
        <v>3.22</v>
      </c>
      <c r="J2614">
        <v>3.23</v>
      </c>
      <c r="K2614" t="s">
        <v>13949</v>
      </c>
      <c r="L2614">
        <v>1.26</v>
      </c>
      <c r="M2614" t="s">
        <v>46</v>
      </c>
      <c r="N2614" t="s">
        <v>4564</v>
      </c>
      <c r="O2614">
        <v>3.28</v>
      </c>
      <c r="P2614">
        <v>3.21</v>
      </c>
      <c r="Q2614">
        <v>3.23</v>
      </c>
      <c r="R2614">
        <v>3.24</v>
      </c>
      <c r="S2614">
        <v>2.16</v>
      </c>
      <c r="T2614">
        <v>1.13</v>
      </c>
      <c r="U2614">
        <v>-19.52</v>
      </c>
      <c r="V2614">
        <v>-8223</v>
      </c>
      <c r="W2614">
        <v>3.24</v>
      </c>
      <c r="X2614" t="s">
        <v>4577</v>
      </c>
      <c r="Y2614" t="s">
        <v>656</v>
      </c>
      <c r="Z2614">
        <v>0.83</v>
      </c>
      <c r="AA2614">
        <v>2259</v>
      </c>
      <c r="AB2614">
        <v>4984</v>
      </c>
      <c r="AC2614">
        <v>1.65</v>
      </c>
      <c r="AD2614" t="s">
        <v>1371</v>
      </c>
      <c r="AE2614" t="s">
        <v>13953</v>
      </c>
      <c r="AF2614" t="s">
        <v>1371</v>
      </c>
      <c r="AG2614" t="s">
        <v>13953</v>
      </c>
      <c r="AH2614">
        <v>0.31</v>
      </c>
      <c r="AI2614">
        <v>1.57</v>
      </c>
      <c r="AJ2614">
        <v>3.12</v>
      </c>
      <c r="AK2614">
        <v>6.85</v>
      </c>
      <c r="AL2614">
        <v>-1</v>
      </c>
      <c r="AM2614">
        <v>-0.31</v>
      </c>
      <c r="AN2614">
        <v>-8.76</v>
      </c>
      <c r="AO2614">
        <v>1.25</v>
      </c>
      <c r="AP2614">
        <v>-0.62</v>
      </c>
    </row>
    <row r="2615" spans="1:42">
      <c r="A2615">
        <v>2614</v>
      </c>
      <c r="B2615" t="str">
        <f>"600345"</f>
        <v>600345</v>
      </c>
      <c r="C2615" t="s">
        <v>13954</v>
      </c>
      <c r="D2615">
        <v>21.26</v>
      </c>
      <c r="E2615">
        <v>1.97</v>
      </c>
      <c r="F2615">
        <v>0.41</v>
      </c>
      <c r="G2615" t="s">
        <v>206</v>
      </c>
      <c r="H2615">
        <v>183</v>
      </c>
      <c r="I2615">
        <v>21.26</v>
      </c>
      <c r="J2615">
        <v>21.28</v>
      </c>
      <c r="K2615" t="s">
        <v>13955</v>
      </c>
      <c r="L2615">
        <v>1.58</v>
      </c>
      <c r="M2615" t="s">
        <v>46</v>
      </c>
      <c r="N2615" t="s">
        <v>13956</v>
      </c>
      <c r="O2615">
        <v>21.4</v>
      </c>
      <c r="P2615">
        <v>20.52</v>
      </c>
      <c r="Q2615">
        <v>20.85</v>
      </c>
      <c r="R2615">
        <v>20.85</v>
      </c>
      <c r="S2615">
        <v>4.22</v>
      </c>
      <c r="T2615">
        <v>1.57</v>
      </c>
      <c r="U2615">
        <v>5.12</v>
      </c>
      <c r="V2615">
        <v>26</v>
      </c>
      <c r="W2615">
        <v>21.12</v>
      </c>
      <c r="X2615" t="s">
        <v>1777</v>
      </c>
      <c r="Y2615" t="s">
        <v>432</v>
      </c>
      <c r="Z2615">
        <v>0.75</v>
      </c>
      <c r="AA2615">
        <v>125</v>
      </c>
      <c r="AB2615">
        <v>13</v>
      </c>
      <c r="AC2615">
        <v>1.74</v>
      </c>
      <c r="AD2615" t="s">
        <v>13957</v>
      </c>
      <c r="AE2615" t="s">
        <v>9616</v>
      </c>
      <c r="AF2615" t="s">
        <v>13957</v>
      </c>
      <c r="AG2615" t="s">
        <v>9616</v>
      </c>
      <c r="AH2615">
        <v>1.43</v>
      </c>
      <c r="AI2615">
        <v>-0.09</v>
      </c>
      <c r="AJ2615">
        <v>3.24</v>
      </c>
      <c r="AK2615">
        <v>6.64</v>
      </c>
      <c r="AL2615">
        <v>1</v>
      </c>
      <c r="AM2615">
        <v>1.97</v>
      </c>
      <c r="AN2615">
        <v>37.78</v>
      </c>
      <c r="AO2615">
        <v>8.3</v>
      </c>
      <c r="AP2615">
        <v>22.47</v>
      </c>
    </row>
    <row r="2616" spans="1:42">
      <c r="A2616">
        <v>2615</v>
      </c>
      <c r="B2616" t="str">
        <f>"688408"</f>
        <v>688408</v>
      </c>
      <c r="C2616" t="s">
        <v>13958</v>
      </c>
      <c r="D2616">
        <v>66.7</v>
      </c>
      <c r="E2616">
        <v>2.1</v>
      </c>
      <c r="F2616">
        <v>1.37</v>
      </c>
      <c r="G2616">
        <v>9997</v>
      </c>
      <c r="H2616">
        <v>46</v>
      </c>
      <c r="I2616">
        <v>66.7</v>
      </c>
      <c r="J2616">
        <v>66.71</v>
      </c>
      <c r="K2616" t="s">
        <v>13955</v>
      </c>
      <c r="L2616">
        <v>0.74</v>
      </c>
      <c r="M2616" t="s">
        <v>46</v>
      </c>
      <c r="N2616" t="s">
        <v>13959</v>
      </c>
      <c r="O2616">
        <v>67.38</v>
      </c>
      <c r="P2616">
        <v>64.67</v>
      </c>
      <c r="Q2616">
        <v>64.67</v>
      </c>
      <c r="R2616">
        <v>65.33</v>
      </c>
      <c r="S2616">
        <v>4.15</v>
      </c>
      <c r="T2616">
        <v>1.2</v>
      </c>
      <c r="U2616">
        <v>55.21</v>
      </c>
      <c r="V2616">
        <v>86</v>
      </c>
      <c r="W2616">
        <v>66.29</v>
      </c>
      <c r="X2616">
        <v>3785</v>
      </c>
      <c r="Y2616">
        <v>6212</v>
      </c>
      <c r="Z2616">
        <v>0.61</v>
      </c>
      <c r="AA2616">
        <v>24</v>
      </c>
      <c r="AB2616">
        <v>3</v>
      </c>
      <c r="AC2616">
        <v>3.41</v>
      </c>
      <c r="AD2616" t="s">
        <v>6938</v>
      </c>
      <c r="AE2616" t="s">
        <v>13960</v>
      </c>
      <c r="AF2616" t="s">
        <v>9916</v>
      </c>
      <c r="AG2616" t="s">
        <v>11233</v>
      </c>
      <c r="AH2616">
        <v>-0.76</v>
      </c>
      <c r="AI2616">
        <v>-0.13</v>
      </c>
      <c r="AJ2616">
        <v>1.85</v>
      </c>
      <c r="AK2616">
        <v>3.81</v>
      </c>
      <c r="AL2616">
        <v>1</v>
      </c>
      <c r="AM2616">
        <v>2.1</v>
      </c>
      <c r="AN2616">
        <v>-32.15</v>
      </c>
      <c r="AO2616">
        <v>-13.07</v>
      </c>
      <c r="AP2616">
        <v>-34.33</v>
      </c>
    </row>
    <row r="2617" spans="1:42">
      <c r="A2617">
        <v>2616</v>
      </c>
      <c r="B2617" t="str">
        <f>"300128"</f>
        <v>300128</v>
      </c>
      <c r="C2617" t="s">
        <v>13961</v>
      </c>
      <c r="D2617">
        <v>4.85</v>
      </c>
      <c r="E2617">
        <v>1.25</v>
      </c>
      <c r="F2617">
        <v>0.06</v>
      </c>
      <c r="G2617" t="s">
        <v>784</v>
      </c>
      <c r="H2617">
        <v>2074</v>
      </c>
      <c r="I2617">
        <v>4.84</v>
      </c>
      <c r="J2617">
        <v>4.85</v>
      </c>
      <c r="K2617" t="s">
        <v>13962</v>
      </c>
      <c r="L2617">
        <v>1.27</v>
      </c>
      <c r="M2617" t="s">
        <v>46</v>
      </c>
      <c r="N2617" t="s">
        <v>7120</v>
      </c>
      <c r="O2617">
        <v>4.86</v>
      </c>
      <c r="P2617">
        <v>4.73</v>
      </c>
      <c r="Q2617">
        <v>4.79</v>
      </c>
      <c r="R2617">
        <v>4.79</v>
      </c>
      <c r="S2617">
        <v>2.71</v>
      </c>
      <c r="T2617">
        <v>0.81</v>
      </c>
      <c r="U2617">
        <v>33.52</v>
      </c>
      <c r="V2617">
        <v>4262</v>
      </c>
      <c r="W2617">
        <v>4.78</v>
      </c>
      <c r="X2617" t="s">
        <v>6058</v>
      </c>
      <c r="Y2617" t="s">
        <v>4881</v>
      </c>
      <c r="Z2617">
        <v>0.88</v>
      </c>
      <c r="AA2617">
        <v>1106</v>
      </c>
      <c r="AB2617">
        <v>397</v>
      </c>
      <c r="AC2617">
        <v>4.92</v>
      </c>
      <c r="AD2617" t="s">
        <v>741</v>
      </c>
      <c r="AE2617" t="s">
        <v>13963</v>
      </c>
      <c r="AF2617" t="s">
        <v>1005</v>
      </c>
      <c r="AG2617" t="s">
        <v>13964</v>
      </c>
      <c r="AH2617">
        <v>-0.61</v>
      </c>
      <c r="AI2617">
        <v>-2.41</v>
      </c>
      <c r="AJ2617">
        <v>4.67</v>
      </c>
      <c r="AK2617">
        <v>9.06</v>
      </c>
      <c r="AL2617">
        <v>1</v>
      </c>
      <c r="AM2617">
        <v>1.25</v>
      </c>
      <c r="AN2617">
        <v>39.37</v>
      </c>
      <c r="AO2617">
        <v>1.04</v>
      </c>
      <c r="AP2617">
        <v>33.98</v>
      </c>
    </row>
    <row r="2618" spans="1:42">
      <c r="A2618">
        <v>2617</v>
      </c>
      <c r="B2618" t="str">
        <f>"002589"</f>
        <v>002589</v>
      </c>
      <c r="C2618" t="s">
        <v>13965</v>
      </c>
      <c r="D2618">
        <v>3.64</v>
      </c>
      <c r="E2618">
        <v>0</v>
      </c>
      <c r="F2618">
        <v>0</v>
      </c>
      <c r="G2618" t="s">
        <v>1092</v>
      </c>
      <c r="H2618">
        <v>3306</v>
      </c>
      <c r="I2618">
        <v>3.64</v>
      </c>
      <c r="J2618">
        <v>3.65</v>
      </c>
      <c r="K2618" t="s">
        <v>13962</v>
      </c>
      <c r="L2618">
        <v>1.56</v>
      </c>
      <c r="M2618" t="s">
        <v>46</v>
      </c>
      <c r="N2618" t="s">
        <v>13966</v>
      </c>
      <c r="O2618">
        <v>3.68</v>
      </c>
      <c r="P2618">
        <v>3.61</v>
      </c>
      <c r="Q2618">
        <v>3.63</v>
      </c>
      <c r="R2618">
        <v>3.64</v>
      </c>
      <c r="S2618">
        <v>1.92</v>
      </c>
      <c r="T2618">
        <v>0.99</v>
      </c>
      <c r="U2618">
        <v>6.42</v>
      </c>
      <c r="V2618">
        <v>1600</v>
      </c>
      <c r="W2618">
        <v>3.65</v>
      </c>
      <c r="X2618" t="s">
        <v>4295</v>
      </c>
      <c r="Y2618" t="s">
        <v>4819</v>
      </c>
      <c r="Z2618">
        <v>0.96</v>
      </c>
      <c r="AA2618">
        <v>1215</v>
      </c>
      <c r="AB2618">
        <v>1734</v>
      </c>
      <c r="AC2618">
        <v>1</v>
      </c>
      <c r="AD2618" t="s">
        <v>13967</v>
      </c>
      <c r="AE2618" t="s">
        <v>13968</v>
      </c>
      <c r="AF2618" t="s">
        <v>9314</v>
      </c>
      <c r="AG2618" t="s">
        <v>13969</v>
      </c>
      <c r="AH2618">
        <v>-0.55</v>
      </c>
      <c r="AI2618">
        <v>-1.89</v>
      </c>
      <c r="AJ2618">
        <v>4.02</v>
      </c>
      <c r="AK2618">
        <v>9.4</v>
      </c>
      <c r="AL2618">
        <v>0</v>
      </c>
      <c r="AM2618">
        <v>0</v>
      </c>
      <c r="AN2618">
        <v>-11.65</v>
      </c>
      <c r="AO2618">
        <v>2.54</v>
      </c>
      <c r="AP2618">
        <v>-19.11</v>
      </c>
    </row>
    <row r="2619" spans="1:42">
      <c r="A2619">
        <v>2618</v>
      </c>
      <c r="B2619" t="str">
        <f>"603377"</f>
        <v>603377</v>
      </c>
      <c r="C2619" t="s">
        <v>13970</v>
      </c>
      <c r="D2619">
        <v>5.6</v>
      </c>
      <c r="E2619">
        <v>3.32</v>
      </c>
      <c r="F2619">
        <v>0.18</v>
      </c>
      <c r="G2619" t="s">
        <v>1908</v>
      </c>
      <c r="H2619">
        <v>2492</v>
      </c>
      <c r="I2619">
        <v>5.6</v>
      </c>
      <c r="J2619">
        <v>5.61</v>
      </c>
      <c r="K2619" t="s">
        <v>13971</v>
      </c>
      <c r="L2619">
        <v>1.65</v>
      </c>
      <c r="M2619" t="s">
        <v>46</v>
      </c>
      <c r="N2619" t="s">
        <v>4341</v>
      </c>
      <c r="O2619">
        <v>5.64</v>
      </c>
      <c r="P2619">
        <v>5.4</v>
      </c>
      <c r="Q2619">
        <v>5.42</v>
      </c>
      <c r="R2619">
        <v>5.42</v>
      </c>
      <c r="S2619">
        <v>4.43</v>
      </c>
      <c r="T2619">
        <v>1.53</v>
      </c>
      <c r="U2619">
        <v>-6.97</v>
      </c>
      <c r="V2619">
        <v>-603</v>
      </c>
      <c r="W2619">
        <v>5.54</v>
      </c>
      <c r="X2619" t="s">
        <v>4981</v>
      </c>
      <c r="Y2619" t="s">
        <v>4250</v>
      </c>
      <c r="Z2619">
        <v>0.82</v>
      </c>
      <c r="AA2619">
        <v>646</v>
      </c>
      <c r="AB2619">
        <v>726</v>
      </c>
      <c r="AC2619">
        <v>1.81</v>
      </c>
      <c r="AD2619" t="s">
        <v>13972</v>
      </c>
      <c r="AE2619" t="s">
        <v>13973</v>
      </c>
      <c r="AF2619" t="s">
        <v>13972</v>
      </c>
      <c r="AG2619" t="s">
        <v>13973</v>
      </c>
      <c r="AH2619">
        <v>1.27</v>
      </c>
      <c r="AI2619">
        <v>1.08</v>
      </c>
      <c r="AJ2619">
        <v>4.37</v>
      </c>
      <c r="AK2619">
        <v>7.05</v>
      </c>
      <c r="AL2619">
        <v>1</v>
      </c>
      <c r="AM2619">
        <v>3.32</v>
      </c>
      <c r="AN2619">
        <v>-12.91</v>
      </c>
      <c r="AO2619">
        <v>3.9</v>
      </c>
      <c r="AP2619">
        <v>-8.79</v>
      </c>
    </row>
    <row r="2620" spans="1:42">
      <c r="A2620">
        <v>2619</v>
      </c>
      <c r="B2620" t="str">
        <f>"688685"</f>
        <v>688685</v>
      </c>
      <c r="C2620" t="s">
        <v>13974</v>
      </c>
      <c r="D2620">
        <v>22.21</v>
      </c>
      <c r="E2620">
        <v>-3.01</v>
      </c>
      <c r="F2620">
        <v>-0.69</v>
      </c>
      <c r="G2620" t="s">
        <v>8050</v>
      </c>
      <c r="H2620">
        <v>310</v>
      </c>
      <c r="I2620">
        <v>22.2</v>
      </c>
      <c r="J2620">
        <v>22.21</v>
      </c>
      <c r="K2620" t="s">
        <v>13975</v>
      </c>
      <c r="L2620">
        <v>5.27</v>
      </c>
      <c r="M2620" t="s">
        <v>46</v>
      </c>
      <c r="N2620" t="s">
        <v>6414</v>
      </c>
      <c r="O2620">
        <v>22.98</v>
      </c>
      <c r="P2620">
        <v>21.85</v>
      </c>
      <c r="Q2620">
        <v>22.98</v>
      </c>
      <c r="R2620">
        <v>22.9</v>
      </c>
      <c r="S2620">
        <v>4.93</v>
      </c>
      <c r="T2620">
        <v>1.3</v>
      </c>
      <c r="U2620">
        <v>32.25</v>
      </c>
      <c r="V2620">
        <v>281</v>
      </c>
      <c r="W2620">
        <v>22.13</v>
      </c>
      <c r="X2620" t="s">
        <v>2878</v>
      </c>
      <c r="Y2620" t="s">
        <v>1743</v>
      </c>
      <c r="Z2620">
        <v>1.57</v>
      </c>
      <c r="AA2620">
        <v>229</v>
      </c>
      <c r="AB2620">
        <v>38</v>
      </c>
      <c r="AC2620">
        <v>3.59</v>
      </c>
      <c r="AD2620" t="s">
        <v>5678</v>
      </c>
      <c r="AE2620" t="s">
        <v>7729</v>
      </c>
      <c r="AF2620" t="s">
        <v>13976</v>
      </c>
      <c r="AG2620" t="s">
        <v>13977</v>
      </c>
      <c r="AH2620">
        <v>2.21</v>
      </c>
      <c r="AI2620">
        <v>2.63</v>
      </c>
      <c r="AJ2620">
        <v>18.41</v>
      </c>
      <c r="AK2620">
        <v>25.55</v>
      </c>
      <c r="AL2620">
        <v>-2</v>
      </c>
      <c r="AM2620">
        <v>-3.01</v>
      </c>
      <c r="AN2620">
        <v>-2.76</v>
      </c>
      <c r="AO2620">
        <v>10.22</v>
      </c>
      <c r="AP2620">
        <v>9.19</v>
      </c>
    </row>
    <row r="2621" spans="1:42">
      <c r="A2621">
        <v>2620</v>
      </c>
      <c r="B2621" t="str">
        <f>"000059"</f>
        <v>000059</v>
      </c>
      <c r="C2621" t="s">
        <v>13978</v>
      </c>
      <c r="D2621">
        <v>5.77</v>
      </c>
      <c r="E2621">
        <v>-1.2</v>
      </c>
      <c r="F2621">
        <v>-0.07</v>
      </c>
      <c r="G2621" t="s">
        <v>262</v>
      </c>
      <c r="H2621">
        <v>1475</v>
      </c>
      <c r="I2621">
        <v>5.77</v>
      </c>
      <c r="J2621">
        <v>5.78</v>
      </c>
      <c r="K2621" t="s">
        <v>13979</v>
      </c>
      <c r="L2621">
        <v>0.71</v>
      </c>
      <c r="M2621" t="s">
        <v>46</v>
      </c>
      <c r="N2621" t="s">
        <v>3421</v>
      </c>
      <c r="O2621">
        <v>5.88</v>
      </c>
      <c r="P2621">
        <v>5.76</v>
      </c>
      <c r="Q2621">
        <v>5.86</v>
      </c>
      <c r="R2621">
        <v>5.84</v>
      </c>
      <c r="S2621">
        <v>2.05</v>
      </c>
      <c r="T2621">
        <v>1.5</v>
      </c>
      <c r="U2621">
        <v>10.08</v>
      </c>
      <c r="V2621">
        <v>926</v>
      </c>
      <c r="W2621">
        <v>5.82</v>
      </c>
      <c r="X2621" t="s">
        <v>4759</v>
      </c>
      <c r="Y2621" t="s">
        <v>5645</v>
      </c>
      <c r="Z2621">
        <v>1.48</v>
      </c>
      <c r="AA2621">
        <v>986</v>
      </c>
      <c r="AB2621">
        <v>2862</v>
      </c>
      <c r="AC2621">
        <v>0.67</v>
      </c>
      <c r="AD2621" t="s">
        <v>2542</v>
      </c>
      <c r="AE2621" t="s">
        <v>13980</v>
      </c>
      <c r="AF2621" t="s">
        <v>2542</v>
      </c>
      <c r="AG2621" t="s">
        <v>13980</v>
      </c>
      <c r="AH2621">
        <v>-2.86</v>
      </c>
      <c r="AI2621">
        <v>-3.83</v>
      </c>
      <c r="AJ2621">
        <v>1.7</v>
      </c>
      <c r="AK2621">
        <v>3.07</v>
      </c>
      <c r="AL2621">
        <v>-3</v>
      </c>
      <c r="AM2621">
        <v>-1.2</v>
      </c>
      <c r="AN2621">
        <v>-13.49</v>
      </c>
      <c r="AO2621">
        <v>-1.03</v>
      </c>
      <c r="AP2621">
        <v>-26.21</v>
      </c>
    </row>
    <row r="2622" spans="1:42">
      <c r="A2622">
        <v>2621</v>
      </c>
      <c r="B2622" t="str">
        <f>"688371"</f>
        <v>688371</v>
      </c>
      <c r="C2622" t="s">
        <v>13981</v>
      </c>
      <c r="D2622">
        <v>18.92</v>
      </c>
      <c r="E2622">
        <v>-3.37</v>
      </c>
      <c r="F2622">
        <v>-0.66</v>
      </c>
      <c r="G2622" t="s">
        <v>2550</v>
      </c>
      <c r="H2622">
        <v>251</v>
      </c>
      <c r="I2622">
        <v>18.92</v>
      </c>
      <c r="J2622">
        <v>18.93</v>
      </c>
      <c r="K2622" t="s">
        <v>13979</v>
      </c>
      <c r="L2622">
        <v>3.3</v>
      </c>
      <c r="M2622" t="s">
        <v>46</v>
      </c>
      <c r="N2622" t="s">
        <v>6551</v>
      </c>
      <c r="O2622">
        <v>19.66</v>
      </c>
      <c r="P2622">
        <v>18.87</v>
      </c>
      <c r="Q2622">
        <v>19.66</v>
      </c>
      <c r="R2622">
        <v>19.58</v>
      </c>
      <c r="S2622">
        <v>4.03</v>
      </c>
      <c r="T2622">
        <v>1.54</v>
      </c>
      <c r="U2622">
        <v>61.03</v>
      </c>
      <c r="V2622">
        <v>253</v>
      </c>
      <c r="W2622">
        <v>19.05</v>
      </c>
      <c r="X2622" t="s">
        <v>6425</v>
      </c>
      <c r="Y2622" t="s">
        <v>578</v>
      </c>
      <c r="Z2622">
        <v>1.27</v>
      </c>
      <c r="AA2622">
        <v>110</v>
      </c>
      <c r="AB2622">
        <v>4</v>
      </c>
      <c r="AC2622">
        <v>3.18</v>
      </c>
      <c r="AD2622" t="s">
        <v>2961</v>
      </c>
      <c r="AE2622" t="s">
        <v>13982</v>
      </c>
      <c r="AF2622" t="s">
        <v>13983</v>
      </c>
      <c r="AG2622" t="s">
        <v>13984</v>
      </c>
      <c r="AH2622">
        <v>-4.69</v>
      </c>
      <c r="AI2622">
        <v>-8.82</v>
      </c>
      <c r="AJ2622">
        <v>7.28</v>
      </c>
      <c r="AK2622">
        <v>13.99</v>
      </c>
      <c r="AL2622">
        <v>-1</v>
      </c>
      <c r="AM2622">
        <v>-3.37</v>
      </c>
      <c r="AN2622">
        <v>-6.2</v>
      </c>
      <c r="AO2622">
        <v>-2.02</v>
      </c>
      <c r="AP2622">
        <v>-16.25</v>
      </c>
    </row>
    <row r="2623" spans="1:42">
      <c r="A2623">
        <v>2622</v>
      </c>
      <c r="B2623" t="str">
        <f>"300940"</f>
        <v>300940</v>
      </c>
      <c r="C2623" t="s">
        <v>13985</v>
      </c>
      <c r="D2623">
        <v>19.82</v>
      </c>
      <c r="E2623">
        <v>0.15</v>
      </c>
      <c r="F2623">
        <v>0.03</v>
      </c>
      <c r="G2623" t="s">
        <v>6365</v>
      </c>
      <c r="H2623">
        <v>334</v>
      </c>
      <c r="I2623">
        <v>19.82</v>
      </c>
      <c r="J2623">
        <v>19.83</v>
      </c>
      <c r="K2623" t="s">
        <v>13979</v>
      </c>
      <c r="L2623">
        <v>4.43</v>
      </c>
      <c r="M2623" t="s">
        <v>46</v>
      </c>
      <c r="N2623" t="s">
        <v>3789</v>
      </c>
      <c r="O2623">
        <v>19.93</v>
      </c>
      <c r="P2623">
        <v>19.48</v>
      </c>
      <c r="Q2623">
        <v>19.79</v>
      </c>
      <c r="R2623">
        <v>19.79</v>
      </c>
      <c r="S2623">
        <v>2.27</v>
      </c>
      <c r="T2623">
        <v>1.03</v>
      </c>
      <c r="U2623">
        <v>14.91</v>
      </c>
      <c r="V2623">
        <v>37</v>
      </c>
      <c r="W2623">
        <v>19.68</v>
      </c>
      <c r="X2623" t="s">
        <v>2284</v>
      </c>
      <c r="Y2623" t="s">
        <v>377</v>
      </c>
      <c r="Z2623">
        <v>0.52</v>
      </c>
      <c r="AA2623">
        <v>4</v>
      </c>
      <c r="AB2623">
        <v>2</v>
      </c>
      <c r="AC2623">
        <v>3.57</v>
      </c>
      <c r="AD2623" t="s">
        <v>13986</v>
      </c>
      <c r="AE2623" t="s">
        <v>8763</v>
      </c>
      <c r="AF2623" t="s">
        <v>13987</v>
      </c>
      <c r="AG2623" t="s">
        <v>2927</v>
      </c>
      <c r="AH2623">
        <v>-1.49</v>
      </c>
      <c r="AI2623">
        <v>-3.41</v>
      </c>
      <c r="AJ2623">
        <v>13.41</v>
      </c>
      <c r="AK2623">
        <v>25.84</v>
      </c>
      <c r="AL2623">
        <v>2</v>
      </c>
      <c r="AM2623">
        <v>0.15</v>
      </c>
      <c r="AN2623">
        <v>6.16</v>
      </c>
      <c r="AO2623">
        <v>4.59</v>
      </c>
      <c r="AP2623">
        <v>2.22</v>
      </c>
    </row>
    <row r="2624" spans="1:42">
      <c r="A2624">
        <v>2623</v>
      </c>
      <c r="B2624" t="str">
        <f>"300463"</f>
        <v>300463</v>
      </c>
      <c r="C2624" t="s">
        <v>13988</v>
      </c>
      <c r="D2624">
        <v>16</v>
      </c>
      <c r="E2624">
        <v>0.19</v>
      </c>
      <c r="F2624">
        <v>0.03</v>
      </c>
      <c r="G2624" t="s">
        <v>10547</v>
      </c>
      <c r="H2624">
        <v>832</v>
      </c>
      <c r="I2624">
        <v>15.99</v>
      </c>
      <c r="J2624">
        <v>16</v>
      </c>
      <c r="K2624" t="s">
        <v>13989</v>
      </c>
      <c r="L2624">
        <v>0.83</v>
      </c>
      <c r="M2624" t="s">
        <v>46</v>
      </c>
      <c r="N2624" t="s">
        <v>1898</v>
      </c>
      <c r="O2624">
        <v>16.06</v>
      </c>
      <c r="P2624">
        <v>15.85</v>
      </c>
      <c r="Q2624">
        <v>15.97</v>
      </c>
      <c r="R2624">
        <v>15.97</v>
      </c>
      <c r="S2624">
        <v>1.31</v>
      </c>
      <c r="T2624">
        <v>0.81</v>
      </c>
      <c r="U2624">
        <v>-28.1</v>
      </c>
      <c r="V2624">
        <v>-523</v>
      </c>
      <c r="W2624">
        <v>15.96</v>
      </c>
      <c r="X2624" t="s">
        <v>4509</v>
      </c>
      <c r="Y2624" t="s">
        <v>2694</v>
      </c>
      <c r="Z2624">
        <v>1.17</v>
      </c>
      <c r="AA2624">
        <v>143</v>
      </c>
      <c r="AB2624">
        <v>51</v>
      </c>
      <c r="AC2624">
        <v>1.55</v>
      </c>
      <c r="AD2624" t="s">
        <v>13990</v>
      </c>
      <c r="AE2624" t="s">
        <v>13991</v>
      </c>
      <c r="AF2624" t="s">
        <v>13992</v>
      </c>
      <c r="AG2624" t="s">
        <v>5623</v>
      </c>
      <c r="AH2624">
        <v>0.38</v>
      </c>
      <c r="AI2624">
        <v>-0.06</v>
      </c>
      <c r="AJ2624">
        <v>2.42</v>
      </c>
      <c r="AK2624">
        <v>5.99</v>
      </c>
      <c r="AL2624">
        <v>2</v>
      </c>
      <c r="AM2624">
        <v>0.19</v>
      </c>
      <c r="AN2624">
        <v>-5.6</v>
      </c>
      <c r="AO2624">
        <v>4.51</v>
      </c>
      <c r="AP2624">
        <v>-15.57</v>
      </c>
    </row>
    <row r="2625" spans="1:42">
      <c r="A2625">
        <v>2624</v>
      </c>
      <c r="B2625" t="str">
        <f>"001213"</f>
        <v>001213</v>
      </c>
      <c r="C2625" t="s">
        <v>13993</v>
      </c>
      <c r="D2625">
        <v>4.29</v>
      </c>
      <c r="E2625">
        <v>0.94</v>
      </c>
      <c r="F2625">
        <v>0.04</v>
      </c>
      <c r="G2625" t="s">
        <v>2291</v>
      </c>
      <c r="H2625">
        <v>2412</v>
      </c>
      <c r="I2625">
        <v>4.28</v>
      </c>
      <c r="J2625">
        <v>4.29</v>
      </c>
      <c r="K2625" t="s">
        <v>13994</v>
      </c>
      <c r="L2625">
        <v>1.48</v>
      </c>
      <c r="M2625" t="s">
        <v>46</v>
      </c>
      <c r="N2625" t="s">
        <v>13995</v>
      </c>
      <c r="O2625">
        <v>4.3</v>
      </c>
      <c r="P2625">
        <v>4.24</v>
      </c>
      <c r="Q2625">
        <v>4.24</v>
      </c>
      <c r="R2625">
        <v>4.25</v>
      </c>
      <c r="S2625">
        <v>1.41</v>
      </c>
      <c r="T2625">
        <v>1.68</v>
      </c>
      <c r="U2625">
        <v>2.59</v>
      </c>
      <c r="V2625">
        <v>1076</v>
      </c>
      <c r="W2625">
        <v>4.27</v>
      </c>
      <c r="X2625" t="s">
        <v>4517</v>
      </c>
      <c r="Y2625" t="s">
        <v>8630</v>
      </c>
      <c r="Z2625">
        <v>0.66</v>
      </c>
      <c r="AA2625">
        <v>4991</v>
      </c>
      <c r="AB2625">
        <v>3882</v>
      </c>
      <c r="AC2625">
        <v>1.02</v>
      </c>
      <c r="AD2625" t="s">
        <v>12459</v>
      </c>
      <c r="AE2625" t="s">
        <v>10763</v>
      </c>
      <c r="AF2625" t="s">
        <v>11205</v>
      </c>
      <c r="AG2625" t="s">
        <v>13996</v>
      </c>
      <c r="AH2625">
        <v>0.7</v>
      </c>
      <c r="AI2625">
        <v>1.18</v>
      </c>
      <c r="AJ2625">
        <v>3.45</v>
      </c>
      <c r="AK2625">
        <v>5.87</v>
      </c>
      <c r="AL2625">
        <v>2</v>
      </c>
      <c r="AM2625">
        <v>0.94</v>
      </c>
      <c r="AN2625">
        <v>0.23</v>
      </c>
      <c r="AO2625">
        <v>2.63</v>
      </c>
      <c r="AP2625">
        <v>-3.16</v>
      </c>
    </row>
    <row r="2626" spans="1:42">
      <c r="A2626">
        <v>2625</v>
      </c>
      <c r="B2626" t="str">
        <f>"603779"</f>
        <v>603779</v>
      </c>
      <c r="C2626" t="s">
        <v>13997</v>
      </c>
      <c r="D2626">
        <v>9.67</v>
      </c>
      <c r="E2626">
        <v>0.94</v>
      </c>
      <c r="F2626">
        <v>0.09</v>
      </c>
      <c r="G2626" t="s">
        <v>3002</v>
      </c>
      <c r="H2626">
        <v>1042</v>
      </c>
      <c r="I2626">
        <v>9.67</v>
      </c>
      <c r="J2626">
        <v>9.68</v>
      </c>
      <c r="K2626" t="s">
        <v>5212</v>
      </c>
      <c r="L2626">
        <v>2.06</v>
      </c>
      <c r="M2626" t="s">
        <v>46</v>
      </c>
      <c r="N2626" t="s">
        <v>5418</v>
      </c>
      <c r="O2626">
        <v>9.69</v>
      </c>
      <c r="P2626">
        <v>9.5</v>
      </c>
      <c r="Q2626">
        <v>9.56</v>
      </c>
      <c r="R2626">
        <v>9.58</v>
      </c>
      <c r="S2626">
        <v>1.98</v>
      </c>
      <c r="T2626">
        <v>0.53</v>
      </c>
      <c r="U2626">
        <v>-55.36</v>
      </c>
      <c r="V2626">
        <v>-1863</v>
      </c>
      <c r="W2626">
        <v>9.61</v>
      </c>
      <c r="X2626" t="s">
        <v>4915</v>
      </c>
      <c r="Y2626" t="s">
        <v>762</v>
      </c>
      <c r="Z2626">
        <v>0.96</v>
      </c>
      <c r="AA2626">
        <v>48</v>
      </c>
      <c r="AB2626">
        <v>593</v>
      </c>
      <c r="AC2626">
        <v>4.62</v>
      </c>
      <c r="AD2626" t="s">
        <v>13998</v>
      </c>
      <c r="AE2626" t="s">
        <v>13999</v>
      </c>
      <c r="AF2626" t="s">
        <v>13998</v>
      </c>
      <c r="AG2626" t="s">
        <v>13999</v>
      </c>
      <c r="AH2626">
        <v>0.94</v>
      </c>
      <c r="AI2626">
        <v>-3.2</v>
      </c>
      <c r="AJ2626">
        <v>7.13</v>
      </c>
      <c r="AK2626">
        <v>21.71</v>
      </c>
      <c r="AL2626">
        <v>2</v>
      </c>
      <c r="AM2626">
        <v>0.94</v>
      </c>
      <c r="AN2626">
        <v>46.52</v>
      </c>
      <c r="AO2626">
        <v>3.31</v>
      </c>
      <c r="AP2626">
        <v>51.09</v>
      </c>
    </row>
    <row r="2627" spans="1:42">
      <c r="A2627">
        <v>2626</v>
      </c>
      <c r="B2627" t="str">
        <f>"832566"</f>
        <v>832566</v>
      </c>
      <c r="C2627" t="s">
        <v>14000</v>
      </c>
      <c r="D2627">
        <v>8.13</v>
      </c>
      <c r="E2627">
        <v>-6.87</v>
      </c>
      <c r="F2627">
        <v>-0.6</v>
      </c>
      <c r="G2627" t="s">
        <v>2534</v>
      </c>
      <c r="H2627">
        <v>1070</v>
      </c>
      <c r="I2627">
        <v>8.13</v>
      </c>
      <c r="J2627">
        <v>8.14</v>
      </c>
      <c r="K2627" t="s">
        <v>14001</v>
      </c>
      <c r="L2627">
        <v>6.86</v>
      </c>
      <c r="M2627" t="s">
        <v>46</v>
      </c>
      <c r="N2627" t="s">
        <v>4861</v>
      </c>
      <c r="O2627">
        <v>8.98</v>
      </c>
      <c r="P2627">
        <v>8.09</v>
      </c>
      <c r="Q2627">
        <v>8.58</v>
      </c>
      <c r="R2627">
        <v>8.73</v>
      </c>
      <c r="S2627">
        <v>10.19</v>
      </c>
      <c r="T2627">
        <v>0.49</v>
      </c>
      <c r="U2627">
        <v>6.12</v>
      </c>
      <c r="V2627">
        <v>82</v>
      </c>
      <c r="W2627">
        <v>8.55</v>
      </c>
      <c r="X2627" t="s">
        <v>5235</v>
      </c>
      <c r="Y2627" t="s">
        <v>4970</v>
      </c>
      <c r="Z2627">
        <v>1.27</v>
      </c>
      <c r="AA2627">
        <v>211</v>
      </c>
      <c r="AB2627">
        <v>45</v>
      </c>
      <c r="AC2627">
        <v>1.68</v>
      </c>
      <c r="AD2627" t="s">
        <v>14002</v>
      </c>
      <c r="AE2627" t="s">
        <v>7275</v>
      </c>
      <c r="AF2627" t="s">
        <v>3543</v>
      </c>
      <c r="AG2627" t="s">
        <v>14003</v>
      </c>
      <c r="AH2627">
        <v>-13.6</v>
      </c>
      <c r="AI2627">
        <v>-1.93</v>
      </c>
      <c r="AJ2627">
        <v>25.38</v>
      </c>
      <c r="AK2627">
        <v>76.82</v>
      </c>
      <c r="AL2627">
        <v>-1</v>
      </c>
      <c r="AM2627">
        <v>-6.87</v>
      </c>
      <c r="AN2627">
        <v>25.85</v>
      </c>
      <c r="AO2627">
        <v>29.87</v>
      </c>
      <c r="AP2627">
        <v>14.03</v>
      </c>
    </row>
    <row r="2628" spans="1:42">
      <c r="A2628">
        <v>2627</v>
      </c>
      <c r="B2628" t="str">
        <f>"688183"</f>
        <v>688183</v>
      </c>
      <c r="C2628" t="s">
        <v>14004</v>
      </c>
      <c r="D2628">
        <v>11.99</v>
      </c>
      <c r="E2628">
        <v>2.92</v>
      </c>
      <c r="F2628">
        <v>0.34</v>
      </c>
      <c r="G2628" t="s">
        <v>2735</v>
      </c>
      <c r="H2628">
        <v>1108</v>
      </c>
      <c r="I2628">
        <v>11.97</v>
      </c>
      <c r="J2628">
        <v>11.99</v>
      </c>
      <c r="K2628" t="s">
        <v>14005</v>
      </c>
      <c r="L2628">
        <v>1.79</v>
      </c>
      <c r="M2628" t="s">
        <v>46</v>
      </c>
      <c r="N2628" t="s">
        <v>8146</v>
      </c>
      <c r="O2628">
        <v>12.04</v>
      </c>
      <c r="P2628">
        <v>11.61</v>
      </c>
      <c r="Q2628">
        <v>11.65</v>
      </c>
      <c r="R2628">
        <v>11.65</v>
      </c>
      <c r="S2628">
        <v>3.69</v>
      </c>
      <c r="T2628">
        <v>2.01</v>
      </c>
      <c r="U2628">
        <v>-56.59</v>
      </c>
      <c r="V2628">
        <v>-1123</v>
      </c>
      <c r="W2628">
        <v>11.9</v>
      </c>
      <c r="X2628" t="s">
        <v>4013</v>
      </c>
      <c r="Y2628" t="s">
        <v>5302</v>
      </c>
      <c r="Z2628">
        <v>0.81</v>
      </c>
      <c r="AA2628">
        <v>29</v>
      </c>
      <c r="AB2628">
        <v>536</v>
      </c>
      <c r="AC2628">
        <v>2.54</v>
      </c>
      <c r="AD2628" t="s">
        <v>14006</v>
      </c>
      <c r="AE2628" t="s">
        <v>14007</v>
      </c>
      <c r="AF2628" t="s">
        <v>14008</v>
      </c>
      <c r="AG2628" t="s">
        <v>14009</v>
      </c>
      <c r="AH2628">
        <v>1.18</v>
      </c>
      <c r="AI2628">
        <v>1.44</v>
      </c>
      <c r="AJ2628">
        <v>3.61</v>
      </c>
      <c r="AK2628">
        <v>6.25</v>
      </c>
      <c r="AL2628">
        <v>1</v>
      </c>
      <c r="AM2628">
        <v>2.92</v>
      </c>
      <c r="AN2628">
        <v>31.04</v>
      </c>
      <c r="AO2628">
        <v>10.71</v>
      </c>
      <c r="AP2628">
        <v>16.63</v>
      </c>
    </row>
    <row r="2629" spans="1:42">
      <c r="A2629">
        <v>2628</v>
      </c>
      <c r="B2629" t="str">
        <f>"003023"</f>
        <v>003023</v>
      </c>
      <c r="C2629" t="s">
        <v>14010</v>
      </c>
      <c r="D2629">
        <v>20.44</v>
      </c>
      <c r="E2629">
        <v>-1.16</v>
      </c>
      <c r="F2629">
        <v>-0.24</v>
      </c>
      <c r="G2629" t="s">
        <v>10177</v>
      </c>
      <c r="H2629">
        <v>518</v>
      </c>
      <c r="I2629">
        <v>20.44</v>
      </c>
      <c r="J2629">
        <v>20.45</v>
      </c>
      <c r="K2629" t="s">
        <v>14011</v>
      </c>
      <c r="L2629">
        <v>6.27</v>
      </c>
      <c r="M2629" t="s">
        <v>46</v>
      </c>
      <c r="N2629" t="s">
        <v>1856</v>
      </c>
      <c r="O2629">
        <v>20.66</v>
      </c>
      <c r="P2629">
        <v>20.13</v>
      </c>
      <c r="Q2629">
        <v>20.66</v>
      </c>
      <c r="R2629">
        <v>20.68</v>
      </c>
      <c r="S2629">
        <v>2.56</v>
      </c>
      <c r="T2629">
        <v>0.86</v>
      </c>
      <c r="U2629">
        <v>34.28</v>
      </c>
      <c r="V2629">
        <v>149</v>
      </c>
      <c r="W2629">
        <v>20.41</v>
      </c>
      <c r="X2629" t="s">
        <v>60</v>
      </c>
      <c r="Y2629" t="s">
        <v>6867</v>
      </c>
      <c r="Z2629">
        <v>1.24</v>
      </c>
      <c r="AA2629">
        <v>119</v>
      </c>
      <c r="AB2629">
        <v>10</v>
      </c>
      <c r="AC2629">
        <v>1.5</v>
      </c>
      <c r="AD2629" t="s">
        <v>7571</v>
      </c>
      <c r="AE2629" t="s">
        <v>1746</v>
      </c>
      <c r="AF2629" t="s">
        <v>14012</v>
      </c>
      <c r="AG2629" t="s">
        <v>8897</v>
      </c>
      <c r="AH2629">
        <v>-1.06</v>
      </c>
      <c r="AI2629">
        <v>-1.73</v>
      </c>
      <c r="AJ2629">
        <v>34.23</v>
      </c>
      <c r="AK2629">
        <v>42.67</v>
      </c>
      <c r="AL2629">
        <v>-2</v>
      </c>
      <c r="AM2629">
        <v>-1.16</v>
      </c>
      <c r="AN2629">
        <v>-10.82</v>
      </c>
      <c r="AO2629">
        <v>1.95</v>
      </c>
      <c r="AP2629">
        <v>-20.31</v>
      </c>
    </row>
    <row r="2630" spans="1:42">
      <c r="A2630">
        <v>2629</v>
      </c>
      <c r="B2630" t="str">
        <f>"002057"</f>
        <v>002057</v>
      </c>
      <c r="C2630" t="s">
        <v>14013</v>
      </c>
      <c r="D2630">
        <v>8.24</v>
      </c>
      <c r="E2630">
        <v>-0.36</v>
      </c>
      <c r="F2630">
        <v>-0.03</v>
      </c>
      <c r="G2630" t="s">
        <v>4555</v>
      </c>
      <c r="H2630">
        <v>303</v>
      </c>
      <c r="I2630">
        <v>8.24</v>
      </c>
      <c r="J2630">
        <v>8.25</v>
      </c>
      <c r="K2630" t="s">
        <v>14014</v>
      </c>
      <c r="L2630">
        <v>1.07</v>
      </c>
      <c r="M2630" t="s">
        <v>46</v>
      </c>
      <c r="N2630" t="s">
        <v>2474</v>
      </c>
      <c r="O2630">
        <v>8.33</v>
      </c>
      <c r="P2630">
        <v>8.16</v>
      </c>
      <c r="Q2630">
        <v>8.3</v>
      </c>
      <c r="R2630">
        <v>8.27</v>
      </c>
      <c r="S2630">
        <v>2.06</v>
      </c>
      <c r="T2630">
        <v>1.21</v>
      </c>
      <c r="U2630">
        <v>1.15</v>
      </c>
      <c r="V2630">
        <v>65</v>
      </c>
      <c r="W2630">
        <v>8.24</v>
      </c>
      <c r="X2630" t="s">
        <v>13012</v>
      </c>
      <c r="Y2630" t="s">
        <v>6431</v>
      </c>
      <c r="Z2630">
        <v>1.49</v>
      </c>
      <c r="AA2630">
        <v>198</v>
      </c>
      <c r="AB2630">
        <v>199</v>
      </c>
      <c r="AC2630">
        <v>2.06</v>
      </c>
      <c r="AD2630" t="s">
        <v>14015</v>
      </c>
      <c r="AE2630" t="s">
        <v>14016</v>
      </c>
      <c r="AF2630" t="s">
        <v>14017</v>
      </c>
      <c r="AG2630" t="s">
        <v>14018</v>
      </c>
      <c r="AH2630">
        <v>-2.25</v>
      </c>
      <c r="AI2630">
        <v>-4.07</v>
      </c>
      <c r="AJ2630">
        <v>2.74</v>
      </c>
      <c r="AK2630">
        <v>5.51</v>
      </c>
      <c r="AL2630">
        <v>-3</v>
      </c>
      <c r="AM2630">
        <v>-0.36</v>
      </c>
      <c r="AN2630">
        <v>-19.69</v>
      </c>
      <c r="AO2630">
        <v>-2.25</v>
      </c>
      <c r="AP2630">
        <v>-15.66</v>
      </c>
    </row>
    <row r="2631" spans="1:42">
      <c r="A2631">
        <v>2630</v>
      </c>
      <c r="B2631" t="str">
        <f>"688032"</f>
        <v>688032</v>
      </c>
      <c r="C2631" t="s">
        <v>14019</v>
      </c>
      <c r="D2631">
        <v>221.25</v>
      </c>
      <c r="E2631">
        <v>-1.01</v>
      </c>
      <c r="F2631">
        <v>-2.25</v>
      </c>
      <c r="G2631">
        <v>2979</v>
      </c>
      <c r="H2631">
        <v>64</v>
      </c>
      <c r="I2631">
        <v>221.24</v>
      </c>
      <c r="J2631">
        <v>221.25</v>
      </c>
      <c r="K2631" t="s">
        <v>14020</v>
      </c>
      <c r="L2631">
        <v>0.71</v>
      </c>
      <c r="M2631" t="s">
        <v>46</v>
      </c>
      <c r="N2631" t="s">
        <v>4927</v>
      </c>
      <c r="O2631">
        <v>223.29</v>
      </c>
      <c r="P2631">
        <v>218.81</v>
      </c>
      <c r="Q2631">
        <v>220.51</v>
      </c>
      <c r="R2631">
        <v>223.5</v>
      </c>
      <c r="S2631">
        <v>2</v>
      </c>
      <c r="T2631">
        <v>0.6</v>
      </c>
      <c r="U2631">
        <v>-66.99</v>
      </c>
      <c r="V2631">
        <v>-109</v>
      </c>
      <c r="W2631">
        <v>220.83</v>
      </c>
      <c r="X2631">
        <v>1566</v>
      </c>
      <c r="Y2631">
        <v>1413</v>
      </c>
      <c r="Z2631">
        <v>1.11</v>
      </c>
      <c r="AA2631">
        <v>15</v>
      </c>
      <c r="AB2631">
        <v>37</v>
      </c>
      <c r="AC2631">
        <v>2.87</v>
      </c>
      <c r="AD2631" t="s">
        <v>14021</v>
      </c>
      <c r="AE2631" t="s">
        <v>14022</v>
      </c>
      <c r="AF2631" t="s">
        <v>14023</v>
      </c>
      <c r="AG2631" t="s">
        <v>11110</v>
      </c>
      <c r="AH2631">
        <v>-0.74</v>
      </c>
      <c r="AI2631">
        <v>-2.92</v>
      </c>
      <c r="AJ2631">
        <v>2.65</v>
      </c>
      <c r="AK2631">
        <v>6.71</v>
      </c>
      <c r="AL2631">
        <v>-1</v>
      </c>
      <c r="AM2631">
        <v>-1.01</v>
      </c>
      <c r="AN2631">
        <v>-64.49</v>
      </c>
      <c r="AO2631">
        <v>0.29</v>
      </c>
      <c r="AP2631">
        <v>-66.49</v>
      </c>
    </row>
    <row r="2632" spans="1:42">
      <c r="A2632">
        <v>2631</v>
      </c>
      <c r="B2632" t="str">
        <f>"688239"</f>
        <v>688239</v>
      </c>
      <c r="C2632" t="s">
        <v>14024</v>
      </c>
      <c r="D2632">
        <v>50.55</v>
      </c>
      <c r="E2632">
        <v>0.3</v>
      </c>
      <c r="F2632">
        <v>0.15</v>
      </c>
      <c r="G2632" t="s">
        <v>1170</v>
      </c>
      <c r="H2632">
        <v>46</v>
      </c>
      <c r="I2632">
        <v>50.55</v>
      </c>
      <c r="J2632">
        <v>50.6</v>
      </c>
      <c r="K2632" t="s">
        <v>14025</v>
      </c>
      <c r="L2632">
        <v>1.25</v>
      </c>
      <c r="M2632" t="s">
        <v>46</v>
      </c>
      <c r="N2632" t="s">
        <v>5282</v>
      </c>
      <c r="O2632">
        <v>50.98</v>
      </c>
      <c r="P2632">
        <v>49.6</v>
      </c>
      <c r="Q2632">
        <v>50.39</v>
      </c>
      <c r="R2632">
        <v>50.4</v>
      </c>
      <c r="S2632">
        <v>2.74</v>
      </c>
      <c r="T2632">
        <v>1.16</v>
      </c>
      <c r="U2632">
        <v>2.47</v>
      </c>
      <c r="V2632">
        <v>3</v>
      </c>
      <c r="W2632">
        <v>50.3</v>
      </c>
      <c r="X2632">
        <v>7116</v>
      </c>
      <c r="Y2632">
        <v>5959</v>
      </c>
      <c r="Z2632">
        <v>1.19</v>
      </c>
      <c r="AA2632">
        <v>30</v>
      </c>
      <c r="AB2632">
        <v>18</v>
      </c>
      <c r="AC2632">
        <v>4.6</v>
      </c>
      <c r="AD2632" t="s">
        <v>14026</v>
      </c>
      <c r="AE2632" t="s">
        <v>14027</v>
      </c>
      <c r="AF2632" t="s">
        <v>14028</v>
      </c>
      <c r="AG2632" t="s">
        <v>9236</v>
      </c>
      <c r="AH2632">
        <v>-3.88</v>
      </c>
      <c r="AI2632">
        <v>-4.39</v>
      </c>
      <c r="AJ2632">
        <v>3.33</v>
      </c>
      <c r="AK2632">
        <v>6.66</v>
      </c>
      <c r="AL2632">
        <v>1</v>
      </c>
      <c r="AM2632">
        <v>0.3</v>
      </c>
      <c r="AN2632">
        <v>-34.7</v>
      </c>
      <c r="AO2632">
        <v>2.56</v>
      </c>
      <c r="AP2632">
        <v>-36.17</v>
      </c>
    </row>
    <row r="2633" spans="1:42">
      <c r="A2633">
        <v>2632</v>
      </c>
      <c r="B2633" t="str">
        <f>"000701"</f>
        <v>000701</v>
      </c>
      <c r="C2633" t="s">
        <v>14029</v>
      </c>
      <c r="D2633">
        <v>6.33</v>
      </c>
      <c r="E2633">
        <v>0.8</v>
      </c>
      <c r="F2633">
        <v>0.05</v>
      </c>
      <c r="G2633" t="s">
        <v>740</v>
      </c>
      <c r="H2633">
        <v>1426</v>
      </c>
      <c r="I2633">
        <v>6.32</v>
      </c>
      <c r="J2633">
        <v>6.33</v>
      </c>
      <c r="K2633" t="s">
        <v>14025</v>
      </c>
      <c r="L2633">
        <v>2.53</v>
      </c>
      <c r="M2633" t="s">
        <v>46</v>
      </c>
      <c r="N2633" t="s">
        <v>14030</v>
      </c>
      <c r="O2633">
        <v>6.36</v>
      </c>
      <c r="P2633">
        <v>6.22</v>
      </c>
      <c r="Q2633">
        <v>6.28</v>
      </c>
      <c r="R2633">
        <v>6.28</v>
      </c>
      <c r="S2633">
        <v>2.23</v>
      </c>
      <c r="T2633">
        <v>1.75</v>
      </c>
      <c r="U2633">
        <v>-5.71</v>
      </c>
      <c r="V2633">
        <v>-651</v>
      </c>
      <c r="W2633">
        <v>6.32</v>
      </c>
      <c r="X2633" t="s">
        <v>4168</v>
      </c>
      <c r="Y2633" t="s">
        <v>8120</v>
      </c>
      <c r="Z2633">
        <v>0.81</v>
      </c>
      <c r="AA2633">
        <v>21</v>
      </c>
      <c r="AB2633">
        <v>713</v>
      </c>
      <c r="AC2633">
        <v>4.27</v>
      </c>
      <c r="AD2633" t="s">
        <v>14031</v>
      </c>
      <c r="AE2633" t="s">
        <v>7162</v>
      </c>
      <c r="AF2633" t="s">
        <v>14032</v>
      </c>
      <c r="AG2633" t="s">
        <v>14033</v>
      </c>
      <c r="AH2633">
        <v>1.93</v>
      </c>
      <c r="AI2633">
        <v>0.64</v>
      </c>
      <c r="AJ2633">
        <v>5.97</v>
      </c>
      <c r="AK2633">
        <v>9.75</v>
      </c>
      <c r="AL2633">
        <v>4</v>
      </c>
      <c r="AM2633">
        <v>0.8</v>
      </c>
      <c r="AN2633">
        <v>8.02</v>
      </c>
      <c r="AO2633">
        <v>7.84</v>
      </c>
      <c r="AP2633">
        <v>-1.25</v>
      </c>
    </row>
    <row r="2634" spans="1:42">
      <c r="A2634">
        <v>2633</v>
      </c>
      <c r="B2634" t="str">
        <f>"301418"</f>
        <v>301418</v>
      </c>
      <c r="C2634" t="s">
        <v>14034</v>
      </c>
      <c r="D2634">
        <v>55.14</v>
      </c>
      <c r="E2634">
        <v>-1.24</v>
      </c>
      <c r="F2634">
        <v>-0.69</v>
      </c>
      <c r="G2634" t="s">
        <v>8636</v>
      </c>
      <c r="H2634">
        <v>144</v>
      </c>
      <c r="I2634">
        <v>55.13</v>
      </c>
      <c r="J2634">
        <v>55.14</v>
      </c>
      <c r="K2634" t="s">
        <v>14035</v>
      </c>
      <c r="L2634">
        <v>6.89</v>
      </c>
      <c r="M2634" t="s">
        <v>46</v>
      </c>
      <c r="N2634" t="s">
        <v>7829</v>
      </c>
      <c r="O2634">
        <v>56.23</v>
      </c>
      <c r="P2634">
        <v>54.01</v>
      </c>
      <c r="Q2634">
        <v>56.23</v>
      </c>
      <c r="R2634">
        <v>55.83</v>
      </c>
      <c r="S2634">
        <v>3.98</v>
      </c>
      <c r="T2634">
        <v>1.04</v>
      </c>
      <c r="U2634">
        <v>-75.28</v>
      </c>
      <c r="V2634">
        <v>-201</v>
      </c>
      <c r="W2634">
        <v>54.88</v>
      </c>
      <c r="X2634">
        <v>7703</v>
      </c>
      <c r="Y2634">
        <v>4281</v>
      </c>
      <c r="Z2634">
        <v>1.8</v>
      </c>
      <c r="AA2634">
        <v>17</v>
      </c>
      <c r="AB2634">
        <v>113</v>
      </c>
      <c r="AC2634">
        <v>2.53</v>
      </c>
      <c r="AD2634" t="s">
        <v>13163</v>
      </c>
      <c r="AE2634" t="s">
        <v>14036</v>
      </c>
      <c r="AF2634" t="s">
        <v>14037</v>
      </c>
      <c r="AG2634" t="s">
        <v>14038</v>
      </c>
      <c r="AH2634">
        <v>-5.18</v>
      </c>
      <c r="AI2634">
        <v>-7.03</v>
      </c>
      <c r="AJ2634">
        <v>18.51</v>
      </c>
      <c r="AK2634">
        <v>40.05</v>
      </c>
      <c r="AL2634">
        <v>-3</v>
      </c>
      <c r="AM2634">
        <v>-1.24</v>
      </c>
      <c r="AN2634">
        <v>6.28</v>
      </c>
      <c r="AO2634">
        <v>-5.9</v>
      </c>
      <c r="AP2634">
        <v>6.28</v>
      </c>
    </row>
    <row r="2635" spans="1:42">
      <c r="A2635">
        <v>2634</v>
      </c>
      <c r="B2635" t="str">
        <f>"300991"</f>
        <v>300991</v>
      </c>
      <c r="C2635" t="s">
        <v>14039</v>
      </c>
      <c r="D2635">
        <v>17.79</v>
      </c>
      <c r="E2635">
        <v>0.85</v>
      </c>
      <c r="F2635">
        <v>0.15</v>
      </c>
      <c r="G2635" t="s">
        <v>2691</v>
      </c>
      <c r="H2635">
        <v>865</v>
      </c>
      <c r="I2635">
        <v>17.78</v>
      </c>
      <c r="J2635">
        <v>17.79</v>
      </c>
      <c r="K2635" t="s">
        <v>14040</v>
      </c>
      <c r="L2635">
        <v>5.71</v>
      </c>
      <c r="M2635" t="s">
        <v>46</v>
      </c>
      <c r="N2635" t="s">
        <v>3850</v>
      </c>
      <c r="O2635">
        <v>17.82</v>
      </c>
      <c r="P2635">
        <v>17.34</v>
      </c>
      <c r="Q2635">
        <v>17.6</v>
      </c>
      <c r="R2635">
        <v>17.64</v>
      </c>
      <c r="S2635">
        <v>2.72</v>
      </c>
      <c r="T2635">
        <v>0.67</v>
      </c>
      <c r="U2635">
        <v>-0.59</v>
      </c>
      <c r="V2635">
        <v>-6</v>
      </c>
      <c r="W2635">
        <v>17.62</v>
      </c>
      <c r="X2635" t="s">
        <v>1455</v>
      </c>
      <c r="Y2635" t="s">
        <v>3165</v>
      </c>
      <c r="Z2635">
        <v>1.1</v>
      </c>
      <c r="AA2635">
        <v>124</v>
      </c>
      <c r="AB2635">
        <v>20</v>
      </c>
      <c r="AC2635">
        <v>4.07</v>
      </c>
      <c r="AD2635" t="s">
        <v>14041</v>
      </c>
      <c r="AE2635" t="s">
        <v>10472</v>
      </c>
      <c r="AF2635" t="s">
        <v>14042</v>
      </c>
      <c r="AG2635" t="s">
        <v>7996</v>
      </c>
      <c r="AH2635">
        <v>-1.98</v>
      </c>
      <c r="AI2635">
        <v>-1.39</v>
      </c>
      <c r="AJ2635">
        <v>20.23</v>
      </c>
      <c r="AK2635">
        <v>48.36</v>
      </c>
      <c r="AL2635">
        <v>1</v>
      </c>
      <c r="AM2635">
        <v>0.85</v>
      </c>
      <c r="AN2635">
        <v>32.37</v>
      </c>
      <c r="AO2635">
        <v>6.72</v>
      </c>
      <c r="AP2635">
        <v>42.55</v>
      </c>
    </row>
    <row r="2636" spans="1:42">
      <c r="A2636">
        <v>2635</v>
      </c>
      <c r="B2636" t="str">
        <f>"002440"</f>
        <v>002440</v>
      </c>
      <c r="C2636" t="s">
        <v>14043</v>
      </c>
      <c r="D2636">
        <v>6.38</v>
      </c>
      <c r="E2636">
        <v>-0.62</v>
      </c>
      <c r="F2636">
        <v>-0.04</v>
      </c>
      <c r="G2636" t="s">
        <v>3402</v>
      </c>
      <c r="H2636">
        <v>1049</v>
      </c>
      <c r="I2636">
        <v>6.37</v>
      </c>
      <c r="J2636">
        <v>6.38</v>
      </c>
      <c r="K2636" t="s">
        <v>14044</v>
      </c>
      <c r="L2636">
        <v>1.07</v>
      </c>
      <c r="M2636" t="s">
        <v>46</v>
      </c>
      <c r="N2636" t="s">
        <v>5763</v>
      </c>
      <c r="O2636">
        <v>6.41</v>
      </c>
      <c r="P2636">
        <v>6.33</v>
      </c>
      <c r="Q2636">
        <v>6.4</v>
      </c>
      <c r="R2636">
        <v>6.42</v>
      </c>
      <c r="S2636">
        <v>1.25</v>
      </c>
      <c r="T2636">
        <v>2.13</v>
      </c>
      <c r="U2636">
        <v>-61.75</v>
      </c>
      <c r="V2636" t="s">
        <v>14045</v>
      </c>
      <c r="W2636">
        <v>6.37</v>
      </c>
      <c r="X2636" t="s">
        <v>3779</v>
      </c>
      <c r="Y2636" t="s">
        <v>3030</v>
      </c>
      <c r="Z2636">
        <v>0.77</v>
      </c>
      <c r="AA2636">
        <v>302</v>
      </c>
      <c r="AB2636">
        <v>9225</v>
      </c>
      <c r="AC2636">
        <v>0.77</v>
      </c>
      <c r="AD2636" t="s">
        <v>906</v>
      </c>
      <c r="AE2636" t="s">
        <v>14046</v>
      </c>
      <c r="AF2636" t="s">
        <v>14047</v>
      </c>
      <c r="AG2636" t="s">
        <v>14048</v>
      </c>
      <c r="AH2636">
        <v>-3.77</v>
      </c>
      <c r="AI2636">
        <v>-3.63</v>
      </c>
      <c r="AJ2636">
        <v>2.4</v>
      </c>
      <c r="AK2636">
        <v>3.58</v>
      </c>
      <c r="AL2636">
        <v>-3</v>
      </c>
      <c r="AM2636">
        <v>-0.62</v>
      </c>
      <c r="AN2636">
        <v>-8.86</v>
      </c>
      <c r="AO2636">
        <v>-2.89</v>
      </c>
      <c r="AP2636">
        <v>-11.63</v>
      </c>
    </row>
    <row r="2637" spans="1:42">
      <c r="A2637">
        <v>2636</v>
      </c>
      <c r="B2637" t="str">
        <f>"300844"</f>
        <v>300844</v>
      </c>
      <c r="C2637" t="s">
        <v>14049</v>
      </c>
      <c r="D2637">
        <v>36.01</v>
      </c>
      <c r="E2637">
        <v>3.27</v>
      </c>
      <c r="F2637">
        <v>1.14</v>
      </c>
      <c r="G2637" t="s">
        <v>6012</v>
      </c>
      <c r="H2637">
        <v>264</v>
      </c>
      <c r="I2637">
        <v>36.01</v>
      </c>
      <c r="J2637">
        <v>36.02</v>
      </c>
      <c r="K2637" t="s">
        <v>14050</v>
      </c>
      <c r="L2637">
        <v>11</v>
      </c>
      <c r="M2637" t="s">
        <v>46</v>
      </c>
      <c r="N2637" t="s">
        <v>6531</v>
      </c>
      <c r="O2637">
        <v>36.12</v>
      </c>
      <c r="P2637">
        <v>34.44</v>
      </c>
      <c r="Q2637">
        <v>34.86</v>
      </c>
      <c r="R2637">
        <v>34.87</v>
      </c>
      <c r="S2637">
        <v>4.82</v>
      </c>
      <c r="T2637">
        <v>0.89</v>
      </c>
      <c r="U2637">
        <v>28.19</v>
      </c>
      <c r="V2637">
        <v>73</v>
      </c>
      <c r="W2637">
        <v>35.57</v>
      </c>
      <c r="X2637">
        <v>8034</v>
      </c>
      <c r="Y2637" t="s">
        <v>239</v>
      </c>
      <c r="Z2637">
        <v>0.77</v>
      </c>
      <c r="AA2637">
        <v>145</v>
      </c>
      <c r="AB2637">
        <v>24</v>
      </c>
      <c r="AC2637">
        <v>2.87</v>
      </c>
      <c r="AD2637" t="s">
        <v>10161</v>
      </c>
      <c r="AE2637" t="s">
        <v>2295</v>
      </c>
      <c r="AF2637" t="s">
        <v>14051</v>
      </c>
      <c r="AG2637" t="s">
        <v>14052</v>
      </c>
      <c r="AH2637">
        <v>-0.39</v>
      </c>
      <c r="AI2637">
        <v>-6.9</v>
      </c>
      <c r="AJ2637">
        <v>31.64</v>
      </c>
      <c r="AK2637">
        <v>72.91</v>
      </c>
      <c r="AL2637">
        <v>1</v>
      </c>
      <c r="AM2637">
        <v>3.27</v>
      </c>
      <c r="AN2637">
        <v>60.83</v>
      </c>
      <c r="AO2637">
        <v>-1.8</v>
      </c>
      <c r="AP2637">
        <v>43.52</v>
      </c>
    </row>
    <row r="2638" spans="1:42">
      <c r="A2638">
        <v>2637</v>
      </c>
      <c r="B2638" t="str">
        <f>"002610"</f>
        <v>002610</v>
      </c>
      <c r="C2638" t="s">
        <v>14053</v>
      </c>
      <c r="D2638">
        <v>2.2</v>
      </c>
      <c r="E2638">
        <v>1.38</v>
      </c>
      <c r="F2638">
        <v>0.03</v>
      </c>
      <c r="G2638" t="s">
        <v>2458</v>
      </c>
      <c r="H2638">
        <v>3520</v>
      </c>
      <c r="I2638">
        <v>2.2</v>
      </c>
      <c r="J2638">
        <v>2.21</v>
      </c>
      <c r="K2638" t="s">
        <v>14054</v>
      </c>
      <c r="L2638">
        <v>0.67</v>
      </c>
      <c r="M2638" t="s">
        <v>46</v>
      </c>
      <c r="N2638" t="s">
        <v>7924</v>
      </c>
      <c r="O2638">
        <v>2.2</v>
      </c>
      <c r="P2638">
        <v>2.16</v>
      </c>
      <c r="Q2638">
        <v>2.17</v>
      </c>
      <c r="R2638">
        <v>2.17</v>
      </c>
      <c r="S2638">
        <v>1.84</v>
      </c>
      <c r="T2638">
        <v>0.83</v>
      </c>
      <c r="U2638">
        <v>4.99</v>
      </c>
      <c r="V2638">
        <v>8163</v>
      </c>
      <c r="W2638">
        <v>2.19</v>
      </c>
      <c r="X2638" t="s">
        <v>4476</v>
      </c>
      <c r="Y2638" t="s">
        <v>1125</v>
      </c>
      <c r="Z2638">
        <v>0.42</v>
      </c>
      <c r="AA2638">
        <v>2907</v>
      </c>
      <c r="AB2638" t="s">
        <v>48</v>
      </c>
      <c r="AC2638">
        <v>3.42</v>
      </c>
      <c r="AD2638" t="s">
        <v>14055</v>
      </c>
      <c r="AE2638" t="s">
        <v>14056</v>
      </c>
      <c r="AF2638" t="s">
        <v>14057</v>
      </c>
      <c r="AG2638" t="s">
        <v>14058</v>
      </c>
      <c r="AH2638">
        <v>-0.9</v>
      </c>
      <c r="AI2638">
        <v>-3.08</v>
      </c>
      <c r="AJ2638">
        <v>2.17</v>
      </c>
      <c r="AK2638">
        <v>4.71</v>
      </c>
      <c r="AL2638">
        <v>1</v>
      </c>
      <c r="AM2638">
        <v>1.38</v>
      </c>
      <c r="AN2638">
        <v>-22.81</v>
      </c>
      <c r="AO2638">
        <v>-1.35</v>
      </c>
      <c r="AP2638">
        <v>-29.71</v>
      </c>
    </row>
    <row r="2639" spans="1:42">
      <c r="A2639">
        <v>2638</v>
      </c>
      <c r="B2639" t="str">
        <f>"000014"</f>
        <v>000014</v>
      </c>
      <c r="C2639" t="s">
        <v>14059</v>
      </c>
      <c r="D2639">
        <v>11.61</v>
      </c>
      <c r="E2639">
        <v>0.78</v>
      </c>
      <c r="F2639">
        <v>0.09</v>
      </c>
      <c r="G2639" t="s">
        <v>8805</v>
      </c>
      <c r="H2639">
        <v>759</v>
      </c>
      <c r="I2639">
        <v>11.6</v>
      </c>
      <c r="J2639">
        <v>11.61</v>
      </c>
      <c r="K2639" t="s">
        <v>14060</v>
      </c>
      <c r="L2639">
        <v>2.34</v>
      </c>
      <c r="M2639" t="s">
        <v>46</v>
      </c>
      <c r="N2639" t="s">
        <v>3125</v>
      </c>
      <c r="O2639">
        <v>11.68</v>
      </c>
      <c r="P2639">
        <v>11.42</v>
      </c>
      <c r="Q2639">
        <v>11.54</v>
      </c>
      <c r="R2639">
        <v>11.52</v>
      </c>
      <c r="S2639">
        <v>2.26</v>
      </c>
      <c r="T2639">
        <v>0.59</v>
      </c>
      <c r="U2639">
        <v>-39.13</v>
      </c>
      <c r="V2639">
        <v>-1048</v>
      </c>
      <c r="W2639">
        <v>11.59</v>
      </c>
      <c r="X2639" t="s">
        <v>3121</v>
      </c>
      <c r="Y2639" t="s">
        <v>1080</v>
      </c>
      <c r="Z2639">
        <v>0.94</v>
      </c>
      <c r="AA2639">
        <v>389</v>
      </c>
      <c r="AB2639">
        <v>567</v>
      </c>
      <c r="AC2639">
        <v>1.72</v>
      </c>
      <c r="AD2639" t="s">
        <v>14061</v>
      </c>
      <c r="AE2639" t="s">
        <v>14062</v>
      </c>
      <c r="AF2639" t="s">
        <v>14061</v>
      </c>
      <c r="AG2639" t="s">
        <v>14062</v>
      </c>
      <c r="AH2639">
        <v>-0.09</v>
      </c>
      <c r="AI2639">
        <v>-5.99</v>
      </c>
      <c r="AJ2639">
        <v>7.74</v>
      </c>
      <c r="AK2639">
        <v>22.17</v>
      </c>
      <c r="AL2639">
        <v>2</v>
      </c>
      <c r="AM2639">
        <v>0.78</v>
      </c>
      <c r="AN2639">
        <v>15.29</v>
      </c>
      <c r="AO2639">
        <v>6.81</v>
      </c>
      <c r="AP2639">
        <v>30.74</v>
      </c>
    </row>
    <row r="2640" spans="1:42">
      <c r="A2640">
        <v>2639</v>
      </c>
      <c r="B2640" t="str">
        <f>"603999"</f>
        <v>603999</v>
      </c>
      <c r="C2640" t="s">
        <v>14063</v>
      </c>
      <c r="D2640">
        <v>6.72</v>
      </c>
      <c r="E2640">
        <v>3.86</v>
      </c>
      <c r="F2640">
        <v>0.25</v>
      </c>
      <c r="G2640" t="s">
        <v>1512</v>
      </c>
      <c r="H2640">
        <v>1282</v>
      </c>
      <c r="I2640">
        <v>6.71</v>
      </c>
      <c r="J2640">
        <v>6.72</v>
      </c>
      <c r="K2640" t="s">
        <v>14064</v>
      </c>
      <c r="L2640">
        <v>1.7</v>
      </c>
      <c r="M2640" t="s">
        <v>46</v>
      </c>
      <c r="N2640" t="s">
        <v>5673</v>
      </c>
      <c r="O2640">
        <v>6.84</v>
      </c>
      <c r="P2640">
        <v>6.48</v>
      </c>
      <c r="Q2640">
        <v>6.49</v>
      </c>
      <c r="R2640">
        <v>6.47</v>
      </c>
      <c r="S2640">
        <v>5.56</v>
      </c>
      <c r="T2640">
        <v>1.26</v>
      </c>
      <c r="U2640">
        <v>-25.39</v>
      </c>
      <c r="V2640">
        <v>-922</v>
      </c>
      <c r="W2640">
        <v>6.67</v>
      </c>
      <c r="X2640" t="s">
        <v>2300</v>
      </c>
      <c r="Y2640" t="s">
        <v>3915</v>
      </c>
      <c r="Z2640">
        <v>0.88</v>
      </c>
      <c r="AA2640">
        <v>135</v>
      </c>
      <c r="AB2640">
        <v>116</v>
      </c>
      <c r="AC2640">
        <v>2.03</v>
      </c>
      <c r="AD2640" t="s">
        <v>13312</v>
      </c>
      <c r="AE2640" t="s">
        <v>7335</v>
      </c>
      <c r="AF2640" t="s">
        <v>13312</v>
      </c>
      <c r="AG2640" t="s">
        <v>7335</v>
      </c>
      <c r="AH2640">
        <v>2.44</v>
      </c>
      <c r="AI2640">
        <v>0.75</v>
      </c>
      <c r="AJ2640">
        <v>3.83</v>
      </c>
      <c r="AK2640">
        <v>8.48</v>
      </c>
      <c r="AL2640">
        <v>1</v>
      </c>
      <c r="AM2640">
        <v>3.86</v>
      </c>
      <c r="AN2640">
        <v>15.07</v>
      </c>
      <c r="AO2640">
        <v>10.34</v>
      </c>
      <c r="AP2640">
        <v>29.98</v>
      </c>
    </row>
    <row r="2641" spans="1:42">
      <c r="A2641">
        <v>2640</v>
      </c>
      <c r="B2641" t="str">
        <f>"002991"</f>
        <v>002991</v>
      </c>
      <c r="C2641" t="s">
        <v>14065</v>
      </c>
      <c r="D2641">
        <v>77.18</v>
      </c>
      <c r="E2641">
        <v>-1.3</v>
      </c>
      <c r="F2641">
        <v>-1.02</v>
      </c>
      <c r="G2641">
        <v>8426</v>
      </c>
      <c r="H2641">
        <v>41</v>
      </c>
      <c r="I2641">
        <v>77.16</v>
      </c>
      <c r="J2641">
        <v>77.18</v>
      </c>
      <c r="K2641" t="s">
        <v>14066</v>
      </c>
      <c r="L2641">
        <v>1.7</v>
      </c>
      <c r="M2641" t="s">
        <v>46</v>
      </c>
      <c r="N2641" t="s">
        <v>4069</v>
      </c>
      <c r="O2641">
        <v>78.38</v>
      </c>
      <c r="P2641">
        <v>76.83</v>
      </c>
      <c r="Q2641">
        <v>77.81</v>
      </c>
      <c r="R2641">
        <v>78.2</v>
      </c>
      <c r="S2641">
        <v>1.98</v>
      </c>
      <c r="T2641">
        <v>1.04</v>
      </c>
      <c r="U2641">
        <v>-44.26</v>
      </c>
      <c r="V2641">
        <v>-27</v>
      </c>
      <c r="W2641">
        <v>77.56</v>
      </c>
      <c r="X2641">
        <v>3272</v>
      </c>
      <c r="Y2641">
        <v>5154</v>
      </c>
      <c r="Z2641">
        <v>0.63</v>
      </c>
      <c r="AA2641">
        <v>1</v>
      </c>
      <c r="AB2641">
        <v>10</v>
      </c>
      <c r="AC2641">
        <v>4.4</v>
      </c>
      <c r="AD2641" t="s">
        <v>11382</v>
      </c>
      <c r="AE2641" t="s">
        <v>14067</v>
      </c>
      <c r="AF2641" t="s">
        <v>14068</v>
      </c>
      <c r="AG2641" t="s">
        <v>14069</v>
      </c>
      <c r="AH2641">
        <v>0.14</v>
      </c>
      <c r="AI2641">
        <v>-0.41</v>
      </c>
      <c r="AJ2641">
        <v>4.2</v>
      </c>
      <c r="AK2641">
        <v>9.86</v>
      </c>
      <c r="AL2641">
        <v>-1</v>
      </c>
      <c r="AM2641">
        <v>-1.3</v>
      </c>
      <c r="AN2641">
        <v>2.61</v>
      </c>
      <c r="AO2641">
        <v>0.23</v>
      </c>
      <c r="AP2641">
        <v>1.69</v>
      </c>
    </row>
    <row r="2642" spans="1:42">
      <c r="A2642">
        <v>2641</v>
      </c>
      <c r="B2642" t="str">
        <f>"600012"</f>
        <v>600012</v>
      </c>
      <c r="C2642" t="s">
        <v>14070</v>
      </c>
      <c r="D2642">
        <v>10.85</v>
      </c>
      <c r="E2642">
        <v>1.88</v>
      </c>
      <c r="F2642">
        <v>0.2</v>
      </c>
      <c r="G2642" t="s">
        <v>5962</v>
      </c>
      <c r="H2642">
        <v>672</v>
      </c>
      <c r="I2642">
        <v>10.84</v>
      </c>
      <c r="J2642">
        <v>10.85</v>
      </c>
      <c r="K2642" t="s">
        <v>14071</v>
      </c>
      <c r="L2642">
        <v>0.52</v>
      </c>
      <c r="M2642" t="s">
        <v>46</v>
      </c>
      <c r="N2642" t="s">
        <v>14072</v>
      </c>
      <c r="O2642">
        <v>11</v>
      </c>
      <c r="P2642">
        <v>10.65</v>
      </c>
      <c r="Q2642">
        <v>10.65</v>
      </c>
      <c r="R2642">
        <v>10.65</v>
      </c>
      <c r="S2642">
        <v>3.29</v>
      </c>
      <c r="T2642">
        <v>1.67</v>
      </c>
      <c r="U2642">
        <v>43.35</v>
      </c>
      <c r="V2642">
        <v>1134</v>
      </c>
      <c r="W2642">
        <v>10.85</v>
      </c>
      <c r="X2642" t="s">
        <v>6395</v>
      </c>
      <c r="Y2642" t="s">
        <v>5266</v>
      </c>
      <c r="Z2642">
        <v>0.94</v>
      </c>
      <c r="AA2642">
        <v>302</v>
      </c>
      <c r="AB2642">
        <v>199</v>
      </c>
      <c r="AC2642">
        <v>1.46</v>
      </c>
      <c r="AD2642" t="s">
        <v>14073</v>
      </c>
      <c r="AE2642" t="s">
        <v>4190</v>
      </c>
      <c r="AF2642" t="s">
        <v>14074</v>
      </c>
      <c r="AG2642" t="s">
        <v>5515</v>
      </c>
      <c r="AH2642">
        <v>2.65</v>
      </c>
      <c r="AI2642">
        <v>5.85</v>
      </c>
      <c r="AJ2642">
        <v>1.21</v>
      </c>
      <c r="AK2642">
        <v>2.07</v>
      </c>
      <c r="AL2642">
        <v>2</v>
      </c>
      <c r="AM2642">
        <v>1.88</v>
      </c>
      <c r="AN2642">
        <v>60.5</v>
      </c>
      <c r="AO2642">
        <v>7.11</v>
      </c>
      <c r="AP2642">
        <v>71.14</v>
      </c>
    </row>
    <row r="2643" spans="1:42">
      <c r="A2643">
        <v>2642</v>
      </c>
      <c r="B2643" t="str">
        <f>"600558"</f>
        <v>600558</v>
      </c>
      <c r="C2643" t="s">
        <v>14075</v>
      </c>
      <c r="D2643">
        <v>4.18</v>
      </c>
      <c r="E2643">
        <v>0</v>
      </c>
      <c r="F2643">
        <v>0</v>
      </c>
      <c r="G2643" t="s">
        <v>796</v>
      </c>
      <c r="H2643">
        <v>1638</v>
      </c>
      <c r="I2643">
        <v>4.18</v>
      </c>
      <c r="J2643">
        <v>4.19</v>
      </c>
      <c r="K2643" t="s">
        <v>14071</v>
      </c>
      <c r="L2643">
        <v>1.74</v>
      </c>
      <c r="M2643" t="s">
        <v>46</v>
      </c>
      <c r="N2643" t="s">
        <v>14076</v>
      </c>
      <c r="O2643">
        <v>4.25</v>
      </c>
      <c r="P2643">
        <v>4.14</v>
      </c>
      <c r="Q2643">
        <v>4.19</v>
      </c>
      <c r="R2643">
        <v>4.18</v>
      </c>
      <c r="S2643">
        <v>2.63</v>
      </c>
      <c r="T2643">
        <v>1.74</v>
      </c>
      <c r="U2643">
        <v>30.87</v>
      </c>
      <c r="V2643">
        <v>3468</v>
      </c>
      <c r="W2643">
        <v>4.18</v>
      </c>
      <c r="X2643" t="s">
        <v>11712</v>
      </c>
      <c r="Y2643" t="s">
        <v>14077</v>
      </c>
      <c r="Z2643">
        <v>0.69</v>
      </c>
      <c r="AA2643">
        <v>1636</v>
      </c>
      <c r="AB2643">
        <v>813</v>
      </c>
      <c r="AC2643">
        <v>1.69</v>
      </c>
      <c r="AD2643" t="s">
        <v>14078</v>
      </c>
      <c r="AE2643" t="s">
        <v>14079</v>
      </c>
      <c r="AF2643" t="s">
        <v>14078</v>
      </c>
      <c r="AG2643" t="s">
        <v>14079</v>
      </c>
      <c r="AH2643">
        <v>-0.24</v>
      </c>
      <c r="AI2643">
        <v>0.24</v>
      </c>
      <c r="AJ2643">
        <v>3.54</v>
      </c>
      <c r="AK2643">
        <v>6.75</v>
      </c>
      <c r="AL2643">
        <v>0</v>
      </c>
      <c r="AM2643">
        <v>0</v>
      </c>
      <c r="AN2643">
        <v>33.97</v>
      </c>
      <c r="AO2643">
        <v>8.01</v>
      </c>
      <c r="AP2643">
        <v>24.04</v>
      </c>
    </row>
    <row r="2644" spans="1:42">
      <c r="A2644">
        <v>2643</v>
      </c>
      <c r="B2644" t="str">
        <f>"300966"</f>
        <v>300966</v>
      </c>
      <c r="C2644" t="s">
        <v>14080</v>
      </c>
      <c r="D2644">
        <v>24.8</v>
      </c>
      <c r="E2644">
        <v>0.16</v>
      </c>
      <c r="F2644">
        <v>0.04</v>
      </c>
      <c r="G2644" t="s">
        <v>4012</v>
      </c>
      <c r="H2644">
        <v>392</v>
      </c>
      <c r="I2644">
        <v>24.79</v>
      </c>
      <c r="J2644">
        <v>24.8</v>
      </c>
      <c r="K2644" t="s">
        <v>14081</v>
      </c>
      <c r="L2644">
        <v>4.41</v>
      </c>
      <c r="M2644" t="s">
        <v>46</v>
      </c>
      <c r="N2644" t="s">
        <v>7829</v>
      </c>
      <c r="O2644">
        <v>25.44</v>
      </c>
      <c r="P2644">
        <v>24.71</v>
      </c>
      <c r="Q2644">
        <v>24.79</v>
      </c>
      <c r="R2644">
        <v>24.76</v>
      </c>
      <c r="S2644">
        <v>2.95</v>
      </c>
      <c r="T2644">
        <v>0.83</v>
      </c>
      <c r="U2644">
        <v>38.89</v>
      </c>
      <c r="V2644">
        <v>76</v>
      </c>
      <c r="W2644">
        <v>25.04</v>
      </c>
      <c r="X2644" t="s">
        <v>5900</v>
      </c>
      <c r="Y2644" t="s">
        <v>1083</v>
      </c>
      <c r="Z2644">
        <v>1.21</v>
      </c>
      <c r="AA2644">
        <v>18</v>
      </c>
      <c r="AB2644">
        <v>0</v>
      </c>
      <c r="AC2644">
        <v>3.34</v>
      </c>
      <c r="AD2644" t="s">
        <v>14082</v>
      </c>
      <c r="AE2644" t="s">
        <v>11635</v>
      </c>
      <c r="AF2644" t="s">
        <v>14083</v>
      </c>
      <c r="AG2644" t="s">
        <v>619</v>
      </c>
      <c r="AH2644">
        <v>-1.39</v>
      </c>
      <c r="AI2644">
        <v>-2.94</v>
      </c>
      <c r="AJ2644">
        <v>10.54</v>
      </c>
      <c r="AK2644">
        <v>31.08</v>
      </c>
      <c r="AL2644">
        <v>2</v>
      </c>
      <c r="AM2644">
        <v>0.16</v>
      </c>
      <c r="AN2644">
        <v>-8.15</v>
      </c>
      <c r="AO2644">
        <v>-4.17</v>
      </c>
      <c r="AP2644">
        <v>-9.46</v>
      </c>
    </row>
    <row r="2645" spans="1:42">
      <c r="A2645">
        <v>2644</v>
      </c>
      <c r="B2645" t="str">
        <f>"603617"</f>
        <v>603617</v>
      </c>
      <c r="C2645" t="s">
        <v>14084</v>
      </c>
      <c r="D2645">
        <v>9.63</v>
      </c>
      <c r="E2645">
        <v>1.9</v>
      </c>
      <c r="F2645">
        <v>0.18</v>
      </c>
      <c r="G2645" t="s">
        <v>1892</v>
      </c>
      <c r="H2645">
        <v>486</v>
      </c>
      <c r="I2645">
        <v>9.62</v>
      </c>
      <c r="J2645">
        <v>9.63</v>
      </c>
      <c r="K2645" t="s">
        <v>14085</v>
      </c>
      <c r="L2645">
        <v>1.75</v>
      </c>
      <c r="M2645" t="s">
        <v>46</v>
      </c>
      <c r="N2645" t="s">
        <v>2825</v>
      </c>
      <c r="O2645">
        <v>9.65</v>
      </c>
      <c r="P2645">
        <v>9.38</v>
      </c>
      <c r="Q2645">
        <v>9.44</v>
      </c>
      <c r="R2645">
        <v>9.45</v>
      </c>
      <c r="S2645">
        <v>2.86</v>
      </c>
      <c r="T2645">
        <v>0.68</v>
      </c>
      <c r="U2645">
        <v>-69.55</v>
      </c>
      <c r="V2645">
        <v>-1302</v>
      </c>
      <c r="W2645">
        <v>9.54</v>
      </c>
      <c r="X2645" t="s">
        <v>7946</v>
      </c>
      <c r="Y2645" t="s">
        <v>2684</v>
      </c>
      <c r="Z2645">
        <v>0.59</v>
      </c>
      <c r="AA2645">
        <v>6</v>
      </c>
      <c r="AB2645">
        <v>205</v>
      </c>
      <c r="AC2645">
        <v>2.49</v>
      </c>
      <c r="AD2645" t="s">
        <v>14086</v>
      </c>
      <c r="AE2645" t="s">
        <v>14087</v>
      </c>
      <c r="AF2645" t="s">
        <v>14086</v>
      </c>
      <c r="AG2645" t="s">
        <v>14087</v>
      </c>
      <c r="AH2645">
        <v>1.48</v>
      </c>
      <c r="AI2645">
        <v>4</v>
      </c>
      <c r="AJ2645">
        <v>4.98</v>
      </c>
      <c r="AK2645">
        <v>14.63</v>
      </c>
      <c r="AL2645">
        <v>1</v>
      </c>
      <c r="AM2645">
        <v>1.9</v>
      </c>
      <c r="AN2645">
        <v>5.13</v>
      </c>
      <c r="AO2645">
        <v>10.31</v>
      </c>
      <c r="AP2645">
        <v>4.22</v>
      </c>
    </row>
    <row r="2646" spans="1:42">
      <c r="A2646">
        <v>2645</v>
      </c>
      <c r="B2646" t="str">
        <f>"873576"</f>
        <v>873576</v>
      </c>
      <c r="C2646" t="s">
        <v>14088</v>
      </c>
      <c r="D2646">
        <v>20.6</v>
      </c>
      <c r="E2646">
        <v>1.78</v>
      </c>
      <c r="F2646">
        <v>0.36</v>
      </c>
      <c r="G2646" t="s">
        <v>10810</v>
      </c>
      <c r="H2646">
        <v>355</v>
      </c>
      <c r="I2646">
        <v>20.6</v>
      </c>
      <c r="J2646">
        <v>20.65</v>
      </c>
      <c r="K2646" t="s">
        <v>5663</v>
      </c>
      <c r="L2646">
        <v>10.69</v>
      </c>
      <c r="M2646" t="s">
        <v>46</v>
      </c>
      <c r="N2646" t="s">
        <v>2576</v>
      </c>
      <c r="O2646">
        <v>21.38</v>
      </c>
      <c r="P2646">
        <v>19.23</v>
      </c>
      <c r="Q2646">
        <v>20.38</v>
      </c>
      <c r="R2646">
        <v>20.24</v>
      </c>
      <c r="S2646">
        <v>10.62</v>
      </c>
      <c r="T2646">
        <v>0.57</v>
      </c>
      <c r="U2646">
        <v>14.42</v>
      </c>
      <c r="V2646">
        <v>50</v>
      </c>
      <c r="W2646">
        <v>20.46</v>
      </c>
      <c r="X2646" t="s">
        <v>1177</v>
      </c>
      <c r="Y2646" t="s">
        <v>5900</v>
      </c>
      <c r="Z2646">
        <v>1.23</v>
      </c>
      <c r="AA2646">
        <v>101</v>
      </c>
      <c r="AB2646">
        <v>3</v>
      </c>
      <c r="AC2646">
        <v>4.9</v>
      </c>
      <c r="AD2646" t="s">
        <v>10218</v>
      </c>
      <c r="AE2646" t="s">
        <v>10162</v>
      </c>
      <c r="AF2646" t="s">
        <v>14089</v>
      </c>
      <c r="AG2646" t="s">
        <v>14090</v>
      </c>
      <c r="AH2646">
        <v>-20.09</v>
      </c>
      <c r="AI2646">
        <v>13.06</v>
      </c>
      <c r="AJ2646">
        <v>41.46</v>
      </c>
      <c r="AK2646">
        <v>104.81</v>
      </c>
      <c r="AL2646">
        <v>1</v>
      </c>
      <c r="AM2646">
        <v>1.78</v>
      </c>
      <c r="AN2646">
        <v>52.82</v>
      </c>
      <c r="AO2646">
        <v>46.83</v>
      </c>
      <c r="AP2646">
        <v>37.33</v>
      </c>
    </row>
    <row r="2647" spans="1:42">
      <c r="A2647">
        <v>2646</v>
      </c>
      <c r="B2647" t="str">
        <f>"603328"</f>
        <v>603328</v>
      </c>
      <c r="C2647" t="s">
        <v>14091</v>
      </c>
      <c r="D2647">
        <v>8.22</v>
      </c>
      <c r="E2647">
        <v>0.49</v>
      </c>
      <c r="F2647">
        <v>0.04</v>
      </c>
      <c r="G2647" t="s">
        <v>5564</v>
      </c>
      <c r="H2647">
        <v>380</v>
      </c>
      <c r="I2647">
        <v>8.22</v>
      </c>
      <c r="J2647">
        <v>8.23</v>
      </c>
      <c r="K2647" t="s">
        <v>14092</v>
      </c>
      <c r="L2647">
        <v>0.8</v>
      </c>
      <c r="M2647" t="s">
        <v>46</v>
      </c>
      <c r="N2647" t="s">
        <v>6051</v>
      </c>
      <c r="O2647">
        <v>8.25</v>
      </c>
      <c r="P2647">
        <v>8.08</v>
      </c>
      <c r="Q2647">
        <v>8.19</v>
      </c>
      <c r="R2647">
        <v>8.18</v>
      </c>
      <c r="S2647">
        <v>2.08</v>
      </c>
      <c r="T2647">
        <v>0.79</v>
      </c>
      <c r="U2647">
        <v>11.46</v>
      </c>
      <c r="V2647">
        <v>677</v>
      </c>
      <c r="W2647">
        <v>8.18</v>
      </c>
      <c r="X2647" t="s">
        <v>6748</v>
      </c>
      <c r="Y2647" t="s">
        <v>3318</v>
      </c>
      <c r="Z2647">
        <v>1.01</v>
      </c>
      <c r="AA2647">
        <v>1329</v>
      </c>
      <c r="AB2647">
        <v>239</v>
      </c>
      <c r="AC2647">
        <v>2.2</v>
      </c>
      <c r="AD2647" t="s">
        <v>11244</v>
      </c>
      <c r="AE2647" t="s">
        <v>14093</v>
      </c>
      <c r="AF2647" t="s">
        <v>11244</v>
      </c>
      <c r="AG2647" t="s">
        <v>14093</v>
      </c>
      <c r="AH2647">
        <v>-1.08</v>
      </c>
      <c r="AI2647">
        <v>-0.72</v>
      </c>
      <c r="AJ2647">
        <v>3.26</v>
      </c>
      <c r="AK2647">
        <v>5.82</v>
      </c>
      <c r="AL2647">
        <v>1</v>
      </c>
      <c r="AM2647">
        <v>0.49</v>
      </c>
      <c r="AN2647">
        <v>29.65</v>
      </c>
      <c r="AO2647">
        <v>1.73</v>
      </c>
      <c r="AP2647">
        <v>18.44</v>
      </c>
    </row>
    <row r="2648" spans="1:42">
      <c r="A2648">
        <v>2647</v>
      </c>
      <c r="B2648" t="str">
        <f>"831961"</f>
        <v>831961</v>
      </c>
      <c r="C2648" t="s">
        <v>14094</v>
      </c>
      <c r="D2648">
        <v>11.76</v>
      </c>
      <c r="E2648">
        <v>-6.96</v>
      </c>
      <c r="F2648">
        <v>-0.88</v>
      </c>
      <c r="G2648" t="s">
        <v>1235</v>
      </c>
      <c r="H2648">
        <v>416</v>
      </c>
      <c r="I2648">
        <v>11.76</v>
      </c>
      <c r="J2648">
        <v>11.77</v>
      </c>
      <c r="K2648" t="s">
        <v>14092</v>
      </c>
      <c r="L2648">
        <v>5.08</v>
      </c>
      <c r="M2648" t="s">
        <v>46</v>
      </c>
      <c r="N2648" t="s">
        <v>7429</v>
      </c>
      <c r="O2648">
        <v>13.17</v>
      </c>
      <c r="P2648">
        <v>11.5</v>
      </c>
      <c r="Q2648">
        <v>12.5</v>
      </c>
      <c r="R2648">
        <v>12.64</v>
      </c>
      <c r="S2648">
        <v>13.21</v>
      </c>
      <c r="T2648">
        <v>0.56</v>
      </c>
      <c r="U2648">
        <v>49.24</v>
      </c>
      <c r="V2648">
        <v>384</v>
      </c>
      <c r="W2648">
        <v>12.17</v>
      </c>
      <c r="X2648" t="s">
        <v>5454</v>
      </c>
      <c r="Y2648" t="s">
        <v>1280</v>
      </c>
      <c r="Z2648">
        <v>1.68</v>
      </c>
      <c r="AA2648">
        <v>186</v>
      </c>
      <c r="AB2648">
        <v>39</v>
      </c>
      <c r="AC2648">
        <v>2.3</v>
      </c>
      <c r="AD2648" t="s">
        <v>14095</v>
      </c>
      <c r="AE2648" t="s">
        <v>8380</v>
      </c>
      <c r="AF2648" t="s">
        <v>8201</v>
      </c>
      <c r="AG2648" t="s">
        <v>11132</v>
      </c>
      <c r="AH2648">
        <v>-11.58</v>
      </c>
      <c r="AI2648">
        <v>13.4</v>
      </c>
      <c r="AJ2648">
        <v>18.39</v>
      </c>
      <c r="AK2648">
        <v>50.36</v>
      </c>
      <c r="AL2648">
        <v>-1</v>
      </c>
      <c r="AM2648">
        <v>-6.96</v>
      </c>
      <c r="AN2648">
        <v>10.11</v>
      </c>
      <c r="AO2648">
        <v>47.55</v>
      </c>
      <c r="AP2648">
        <v>4.26</v>
      </c>
    </row>
    <row r="2649" spans="1:42">
      <c r="A2649">
        <v>2648</v>
      </c>
      <c r="B2649" t="str">
        <f>"603075"</f>
        <v>603075</v>
      </c>
      <c r="C2649" t="s">
        <v>14096</v>
      </c>
      <c r="D2649">
        <v>25.32</v>
      </c>
      <c r="E2649">
        <v>-1.36</v>
      </c>
      <c r="F2649">
        <v>-0.35</v>
      </c>
      <c r="G2649" t="s">
        <v>4036</v>
      </c>
      <c r="H2649">
        <v>241</v>
      </c>
      <c r="I2649">
        <v>25.32</v>
      </c>
      <c r="J2649">
        <v>25.33</v>
      </c>
      <c r="K2649" t="s">
        <v>14097</v>
      </c>
      <c r="L2649">
        <v>6.66</v>
      </c>
      <c r="M2649" t="s">
        <v>46</v>
      </c>
      <c r="N2649" t="s">
        <v>4796</v>
      </c>
      <c r="O2649">
        <v>25.89</v>
      </c>
      <c r="P2649">
        <v>24.77</v>
      </c>
      <c r="Q2649">
        <v>25.68</v>
      </c>
      <c r="R2649">
        <v>25.67</v>
      </c>
      <c r="S2649">
        <v>4.36</v>
      </c>
      <c r="T2649">
        <v>1</v>
      </c>
      <c r="U2649">
        <v>13.57</v>
      </c>
      <c r="V2649">
        <v>66</v>
      </c>
      <c r="W2649">
        <v>25.16</v>
      </c>
      <c r="X2649" t="s">
        <v>7178</v>
      </c>
      <c r="Y2649" t="s">
        <v>1400</v>
      </c>
      <c r="Z2649">
        <v>1.47</v>
      </c>
      <c r="AA2649">
        <v>38</v>
      </c>
      <c r="AB2649">
        <v>77</v>
      </c>
      <c r="AC2649">
        <v>5.25</v>
      </c>
      <c r="AD2649" t="s">
        <v>7381</v>
      </c>
      <c r="AE2649" t="s">
        <v>4030</v>
      </c>
      <c r="AF2649" t="s">
        <v>14098</v>
      </c>
      <c r="AG2649" t="s">
        <v>14099</v>
      </c>
      <c r="AH2649">
        <v>-3.76</v>
      </c>
      <c r="AI2649">
        <v>-4.78</v>
      </c>
      <c r="AJ2649">
        <v>20.06</v>
      </c>
      <c r="AK2649">
        <v>40.08</v>
      </c>
      <c r="AL2649">
        <v>-3</v>
      </c>
      <c r="AM2649">
        <v>-1.36</v>
      </c>
      <c r="AN2649">
        <v>9.61</v>
      </c>
      <c r="AO2649">
        <v>-1.4</v>
      </c>
      <c r="AP2649">
        <v>9.61</v>
      </c>
    </row>
    <row r="2650" spans="1:42">
      <c r="A2650">
        <v>2649</v>
      </c>
      <c r="B2650" t="str">
        <f>"000627"</f>
        <v>000627</v>
      </c>
      <c r="C2650" t="s">
        <v>14100</v>
      </c>
      <c r="D2650">
        <v>3.05</v>
      </c>
      <c r="E2650">
        <v>1.33</v>
      </c>
      <c r="F2650">
        <v>0.04</v>
      </c>
      <c r="G2650" t="s">
        <v>2893</v>
      </c>
      <c r="H2650">
        <v>3417</v>
      </c>
      <c r="I2650">
        <v>3.04</v>
      </c>
      <c r="J2650">
        <v>3.05</v>
      </c>
      <c r="K2650" t="s">
        <v>14101</v>
      </c>
      <c r="L2650">
        <v>0.47</v>
      </c>
      <c r="M2650" t="s">
        <v>46</v>
      </c>
      <c r="N2650" t="s">
        <v>14102</v>
      </c>
      <c r="O2650">
        <v>3.05</v>
      </c>
      <c r="P2650">
        <v>2.99</v>
      </c>
      <c r="Q2650">
        <v>3.01</v>
      </c>
      <c r="R2650">
        <v>3.01</v>
      </c>
      <c r="S2650">
        <v>1.99</v>
      </c>
      <c r="T2650">
        <v>0.98</v>
      </c>
      <c r="U2650">
        <v>-22.95</v>
      </c>
      <c r="V2650" t="s">
        <v>14045</v>
      </c>
      <c r="W2650">
        <v>3.03</v>
      </c>
      <c r="X2650" t="s">
        <v>5780</v>
      </c>
      <c r="Y2650" t="s">
        <v>1207</v>
      </c>
      <c r="Z2650">
        <v>0.54</v>
      </c>
      <c r="AA2650">
        <v>7077</v>
      </c>
      <c r="AB2650">
        <v>4024</v>
      </c>
      <c r="AC2650">
        <v>0.73</v>
      </c>
      <c r="AD2650" t="s">
        <v>9042</v>
      </c>
      <c r="AE2650" t="s">
        <v>10766</v>
      </c>
      <c r="AF2650" t="s">
        <v>3763</v>
      </c>
      <c r="AG2650" t="s">
        <v>14103</v>
      </c>
      <c r="AH2650">
        <v>0</v>
      </c>
      <c r="AI2650">
        <v>-2.87</v>
      </c>
      <c r="AJ2650">
        <v>1.49</v>
      </c>
      <c r="AK2650">
        <v>2.88</v>
      </c>
      <c r="AL2650">
        <v>1</v>
      </c>
      <c r="AM2650">
        <v>1.33</v>
      </c>
      <c r="AN2650">
        <v>0</v>
      </c>
      <c r="AO2650">
        <v>0</v>
      </c>
      <c r="AP2650">
        <v>1.33</v>
      </c>
    </row>
    <row r="2651" spans="1:42">
      <c r="A2651">
        <v>2650</v>
      </c>
      <c r="B2651" t="str">
        <f>"603121"</f>
        <v>603121</v>
      </c>
      <c r="C2651" t="s">
        <v>14104</v>
      </c>
      <c r="D2651">
        <v>9.31</v>
      </c>
      <c r="E2651">
        <v>0.87</v>
      </c>
      <c r="F2651">
        <v>0.08</v>
      </c>
      <c r="G2651" t="s">
        <v>4169</v>
      </c>
      <c r="H2651">
        <v>459</v>
      </c>
      <c r="I2651">
        <v>9.3</v>
      </c>
      <c r="J2651">
        <v>9.31</v>
      </c>
      <c r="K2651" t="s">
        <v>14105</v>
      </c>
      <c r="L2651">
        <v>2.08</v>
      </c>
      <c r="M2651" t="s">
        <v>46</v>
      </c>
      <c r="N2651" t="s">
        <v>14106</v>
      </c>
      <c r="O2651">
        <v>9.39</v>
      </c>
      <c r="P2651">
        <v>9.13</v>
      </c>
      <c r="Q2651">
        <v>9.25</v>
      </c>
      <c r="R2651">
        <v>9.23</v>
      </c>
      <c r="S2651">
        <v>2.82</v>
      </c>
      <c r="T2651">
        <v>1.06</v>
      </c>
      <c r="U2651">
        <v>-3.86</v>
      </c>
      <c r="V2651">
        <v>-81</v>
      </c>
      <c r="W2651">
        <v>9.25</v>
      </c>
      <c r="X2651" t="s">
        <v>4915</v>
      </c>
      <c r="Y2651" t="s">
        <v>1313</v>
      </c>
      <c r="Z2651">
        <v>0.92</v>
      </c>
      <c r="AA2651">
        <v>338</v>
      </c>
      <c r="AB2651">
        <v>200</v>
      </c>
      <c r="AC2651">
        <v>2.6</v>
      </c>
      <c r="AD2651" t="s">
        <v>14107</v>
      </c>
      <c r="AE2651" t="s">
        <v>6939</v>
      </c>
      <c r="AF2651" t="s">
        <v>14107</v>
      </c>
      <c r="AG2651" t="s">
        <v>6939</v>
      </c>
      <c r="AH2651">
        <v>-0.85</v>
      </c>
      <c r="AI2651">
        <v>0.43</v>
      </c>
      <c r="AJ2651">
        <v>6.16</v>
      </c>
      <c r="AK2651">
        <v>11.91</v>
      </c>
      <c r="AL2651">
        <v>1</v>
      </c>
      <c r="AM2651">
        <v>0.87</v>
      </c>
      <c r="AN2651">
        <v>44.12</v>
      </c>
      <c r="AO2651">
        <v>8</v>
      </c>
      <c r="AP2651">
        <v>34.34</v>
      </c>
    </row>
    <row r="2652" spans="1:42">
      <c r="A2652">
        <v>2651</v>
      </c>
      <c r="B2652" t="str">
        <f>"300497"</f>
        <v>300497</v>
      </c>
      <c r="C2652" t="s">
        <v>14108</v>
      </c>
      <c r="D2652">
        <v>10.33</v>
      </c>
      <c r="E2652">
        <v>-1.53</v>
      </c>
      <c r="F2652">
        <v>-0.16</v>
      </c>
      <c r="G2652" t="s">
        <v>6953</v>
      </c>
      <c r="H2652">
        <v>460</v>
      </c>
      <c r="I2652">
        <v>10.33</v>
      </c>
      <c r="J2652">
        <v>10.34</v>
      </c>
      <c r="K2652" t="s">
        <v>14109</v>
      </c>
      <c r="L2652">
        <v>1.4</v>
      </c>
      <c r="M2652" t="s">
        <v>46</v>
      </c>
      <c r="N2652" t="s">
        <v>2636</v>
      </c>
      <c r="O2652">
        <v>10.51</v>
      </c>
      <c r="P2652">
        <v>10.25</v>
      </c>
      <c r="Q2652">
        <v>10.48</v>
      </c>
      <c r="R2652">
        <v>10.49</v>
      </c>
      <c r="S2652">
        <v>2.48</v>
      </c>
      <c r="T2652">
        <v>1.12</v>
      </c>
      <c r="U2652">
        <v>0.84</v>
      </c>
      <c r="V2652">
        <v>21</v>
      </c>
      <c r="W2652">
        <v>10.36</v>
      </c>
      <c r="X2652" t="s">
        <v>2628</v>
      </c>
      <c r="Y2652" t="s">
        <v>206</v>
      </c>
      <c r="Z2652">
        <v>1</v>
      </c>
      <c r="AA2652">
        <v>85</v>
      </c>
      <c r="AB2652">
        <v>47</v>
      </c>
      <c r="AC2652">
        <v>2.19</v>
      </c>
      <c r="AD2652" t="s">
        <v>3607</v>
      </c>
      <c r="AE2652" t="s">
        <v>14110</v>
      </c>
      <c r="AF2652" t="s">
        <v>7211</v>
      </c>
      <c r="AG2652" t="s">
        <v>13823</v>
      </c>
      <c r="AH2652">
        <v>-4.09</v>
      </c>
      <c r="AI2652">
        <v>-6.09</v>
      </c>
      <c r="AJ2652">
        <v>3.8</v>
      </c>
      <c r="AK2652">
        <v>7.64</v>
      </c>
      <c r="AL2652">
        <v>-3</v>
      </c>
      <c r="AM2652">
        <v>-1.53</v>
      </c>
      <c r="AN2652">
        <v>-21.74</v>
      </c>
      <c r="AO2652">
        <v>-2.18</v>
      </c>
      <c r="AP2652">
        <v>-28.91</v>
      </c>
    </row>
    <row r="2653" spans="1:42">
      <c r="A2653">
        <v>2652</v>
      </c>
      <c r="B2653" t="str">
        <f>"002144"</f>
        <v>002144</v>
      </c>
      <c r="C2653" t="s">
        <v>14111</v>
      </c>
      <c r="D2653">
        <v>11.87</v>
      </c>
      <c r="E2653">
        <v>1.02</v>
      </c>
      <c r="F2653">
        <v>0.12</v>
      </c>
      <c r="G2653" t="s">
        <v>7374</v>
      </c>
      <c r="H2653">
        <v>585</v>
      </c>
      <c r="I2653">
        <v>11.86</v>
      </c>
      <c r="J2653">
        <v>11.87</v>
      </c>
      <c r="K2653" t="s">
        <v>14112</v>
      </c>
      <c r="L2653">
        <v>3.96</v>
      </c>
      <c r="M2653" t="s">
        <v>46</v>
      </c>
      <c r="N2653" t="s">
        <v>2975</v>
      </c>
      <c r="O2653">
        <v>12.02</v>
      </c>
      <c r="P2653">
        <v>11.79</v>
      </c>
      <c r="Q2653">
        <v>11.87</v>
      </c>
      <c r="R2653">
        <v>11.75</v>
      </c>
      <c r="S2653">
        <v>1.96</v>
      </c>
      <c r="T2653">
        <v>2.24</v>
      </c>
      <c r="U2653">
        <v>-23.04</v>
      </c>
      <c r="V2653">
        <v>-342</v>
      </c>
      <c r="W2653">
        <v>11.91</v>
      </c>
      <c r="X2653" t="s">
        <v>688</v>
      </c>
      <c r="Y2653" t="s">
        <v>8966</v>
      </c>
      <c r="Z2653">
        <v>0.93</v>
      </c>
      <c r="AA2653">
        <v>14</v>
      </c>
      <c r="AB2653">
        <v>0</v>
      </c>
      <c r="AC2653">
        <v>1.05</v>
      </c>
      <c r="AD2653" t="s">
        <v>14113</v>
      </c>
      <c r="AE2653" t="s">
        <v>10090</v>
      </c>
      <c r="AF2653" t="s">
        <v>14114</v>
      </c>
      <c r="AG2653" t="s">
        <v>14115</v>
      </c>
      <c r="AH2653">
        <v>0.42</v>
      </c>
      <c r="AI2653">
        <v>0.51</v>
      </c>
      <c r="AJ2653">
        <v>6.96</v>
      </c>
      <c r="AK2653">
        <v>12.8</v>
      </c>
      <c r="AL2653">
        <v>2</v>
      </c>
      <c r="AM2653">
        <v>1.02</v>
      </c>
      <c r="AN2653">
        <v>18.7</v>
      </c>
      <c r="AO2653">
        <v>4.12</v>
      </c>
      <c r="AP2653">
        <v>13.16</v>
      </c>
    </row>
    <row r="2654" spans="1:42">
      <c r="A2654">
        <v>2653</v>
      </c>
      <c r="B2654" t="str">
        <f>"300277"</f>
        <v>300277</v>
      </c>
      <c r="C2654" t="s">
        <v>14116</v>
      </c>
      <c r="D2654">
        <v>9.29</v>
      </c>
      <c r="E2654">
        <v>1.86</v>
      </c>
      <c r="F2654">
        <v>0.17</v>
      </c>
      <c r="G2654" t="s">
        <v>4228</v>
      </c>
      <c r="H2654">
        <v>1258</v>
      </c>
      <c r="I2654">
        <v>9.28</v>
      </c>
      <c r="J2654">
        <v>9.29</v>
      </c>
      <c r="K2654" t="s">
        <v>14117</v>
      </c>
      <c r="L2654">
        <v>2.11</v>
      </c>
      <c r="M2654" t="s">
        <v>46</v>
      </c>
      <c r="N2654" t="s">
        <v>10951</v>
      </c>
      <c r="O2654">
        <v>9.3</v>
      </c>
      <c r="P2654">
        <v>9.08</v>
      </c>
      <c r="Q2654">
        <v>9.18</v>
      </c>
      <c r="R2654">
        <v>9.12</v>
      </c>
      <c r="S2654">
        <v>2.41</v>
      </c>
      <c r="T2654">
        <v>0.94</v>
      </c>
      <c r="U2654">
        <v>-22.67</v>
      </c>
      <c r="V2654">
        <v>-1336</v>
      </c>
      <c r="W2654">
        <v>9.21</v>
      </c>
      <c r="X2654" t="s">
        <v>8966</v>
      </c>
      <c r="Y2654" t="s">
        <v>5205</v>
      </c>
      <c r="Z2654">
        <v>0.67</v>
      </c>
      <c r="AA2654">
        <v>224</v>
      </c>
      <c r="AB2654">
        <v>122</v>
      </c>
      <c r="AC2654">
        <v>6.41</v>
      </c>
      <c r="AD2654" t="s">
        <v>11341</v>
      </c>
      <c r="AE2654" t="s">
        <v>14118</v>
      </c>
      <c r="AF2654" t="s">
        <v>14119</v>
      </c>
      <c r="AG2654" t="s">
        <v>11343</v>
      </c>
      <c r="AH2654">
        <v>0.11</v>
      </c>
      <c r="AI2654">
        <v>-2.82</v>
      </c>
      <c r="AJ2654">
        <v>6.61</v>
      </c>
      <c r="AK2654">
        <v>13.36</v>
      </c>
      <c r="AL2654">
        <v>1</v>
      </c>
      <c r="AM2654">
        <v>1.86</v>
      </c>
      <c r="AN2654">
        <v>40.76</v>
      </c>
      <c r="AO2654">
        <v>11.26</v>
      </c>
      <c r="AP2654">
        <v>28.31</v>
      </c>
    </row>
    <row r="2655" spans="1:42">
      <c r="A2655">
        <v>2654</v>
      </c>
      <c r="B2655" t="str">
        <f>"831087"</f>
        <v>831087</v>
      </c>
      <c r="C2655" t="s">
        <v>14120</v>
      </c>
      <c r="D2655">
        <v>8.43</v>
      </c>
      <c r="E2655">
        <v>-4.1</v>
      </c>
      <c r="F2655">
        <v>-0.36</v>
      </c>
      <c r="G2655" t="s">
        <v>3539</v>
      </c>
      <c r="H2655">
        <v>717</v>
      </c>
      <c r="I2655">
        <v>8.41</v>
      </c>
      <c r="J2655">
        <v>8.43</v>
      </c>
      <c r="K2655" t="s">
        <v>14121</v>
      </c>
      <c r="L2655">
        <v>10.53</v>
      </c>
      <c r="M2655" t="s">
        <v>46</v>
      </c>
      <c r="N2655" t="s">
        <v>6165</v>
      </c>
      <c r="O2655">
        <v>9.1</v>
      </c>
      <c r="P2655">
        <v>8.26</v>
      </c>
      <c r="Q2655">
        <v>8.9</v>
      </c>
      <c r="R2655">
        <v>8.79</v>
      </c>
      <c r="S2655">
        <v>9.56</v>
      </c>
      <c r="T2655">
        <v>0.61</v>
      </c>
      <c r="U2655">
        <v>60.93</v>
      </c>
      <c r="V2655">
        <v>410</v>
      </c>
      <c r="W2655">
        <v>8.66</v>
      </c>
      <c r="X2655" t="s">
        <v>2299</v>
      </c>
      <c r="Y2655" t="s">
        <v>6768</v>
      </c>
      <c r="Z2655">
        <v>1.62</v>
      </c>
      <c r="AA2655">
        <v>20</v>
      </c>
      <c r="AB2655">
        <v>9</v>
      </c>
      <c r="AC2655">
        <v>2.89</v>
      </c>
      <c r="AD2655" t="s">
        <v>14122</v>
      </c>
      <c r="AE2655" t="s">
        <v>7633</v>
      </c>
      <c r="AF2655" t="s">
        <v>14123</v>
      </c>
      <c r="AG2655" t="s">
        <v>14124</v>
      </c>
      <c r="AH2655">
        <v>-11.45</v>
      </c>
      <c r="AI2655">
        <v>13.92</v>
      </c>
      <c r="AJ2655">
        <v>46.32</v>
      </c>
      <c r="AK2655">
        <v>97.19</v>
      </c>
      <c r="AL2655">
        <v>-2</v>
      </c>
      <c r="AM2655">
        <v>-4.1</v>
      </c>
      <c r="AN2655">
        <v>54.4</v>
      </c>
      <c r="AO2655">
        <v>29.69</v>
      </c>
      <c r="AP2655">
        <v>25.82</v>
      </c>
    </row>
    <row r="2656" spans="1:42">
      <c r="A2656">
        <v>2655</v>
      </c>
      <c r="B2656" t="str">
        <f>"601011"</f>
        <v>601011</v>
      </c>
      <c r="C2656" t="s">
        <v>14125</v>
      </c>
      <c r="D2656">
        <v>3.72</v>
      </c>
      <c r="E2656">
        <v>0.81</v>
      </c>
      <c r="F2656">
        <v>0.03</v>
      </c>
      <c r="G2656" t="s">
        <v>842</v>
      </c>
      <c r="H2656">
        <v>2731</v>
      </c>
      <c r="I2656">
        <v>3.71</v>
      </c>
      <c r="J2656">
        <v>3.72</v>
      </c>
      <c r="K2656" t="s">
        <v>14126</v>
      </c>
      <c r="L2656">
        <v>0.91</v>
      </c>
      <c r="M2656" t="s">
        <v>46</v>
      </c>
      <c r="N2656" t="s">
        <v>10041</v>
      </c>
      <c r="O2656">
        <v>3.74</v>
      </c>
      <c r="P2656">
        <v>3.67</v>
      </c>
      <c r="Q2656">
        <v>3.69</v>
      </c>
      <c r="R2656">
        <v>3.69</v>
      </c>
      <c r="S2656">
        <v>1.9</v>
      </c>
      <c r="T2656">
        <v>0.64</v>
      </c>
      <c r="U2656">
        <v>-41.87</v>
      </c>
      <c r="V2656" t="s">
        <v>14127</v>
      </c>
      <c r="W2656">
        <v>3.71</v>
      </c>
      <c r="X2656" t="s">
        <v>646</v>
      </c>
      <c r="Y2656" t="s">
        <v>1199</v>
      </c>
      <c r="Z2656">
        <v>1.04</v>
      </c>
      <c r="AA2656">
        <v>3796</v>
      </c>
      <c r="AB2656">
        <v>3213</v>
      </c>
      <c r="AC2656">
        <v>0.92</v>
      </c>
      <c r="AD2656" t="s">
        <v>7680</v>
      </c>
      <c r="AE2656" t="s">
        <v>14128</v>
      </c>
      <c r="AF2656" t="s">
        <v>7680</v>
      </c>
      <c r="AG2656" t="s">
        <v>14128</v>
      </c>
      <c r="AH2656">
        <v>-1.33</v>
      </c>
      <c r="AI2656">
        <v>-1.59</v>
      </c>
      <c r="AJ2656">
        <v>3.61</v>
      </c>
      <c r="AK2656">
        <v>8</v>
      </c>
      <c r="AL2656">
        <v>1</v>
      </c>
      <c r="AM2656">
        <v>0.81</v>
      </c>
      <c r="AN2656">
        <v>7.2</v>
      </c>
      <c r="AO2656">
        <v>-0.27</v>
      </c>
      <c r="AP2656">
        <v>2.2</v>
      </c>
    </row>
    <row r="2657" spans="1:42">
      <c r="A2657">
        <v>2656</v>
      </c>
      <c r="B2657" t="str">
        <f>"000638"</f>
        <v>000638</v>
      </c>
      <c r="C2657" t="s">
        <v>14129</v>
      </c>
      <c r="D2657">
        <v>6.87</v>
      </c>
      <c r="E2657">
        <v>0.59</v>
      </c>
      <c r="F2657">
        <v>0.04</v>
      </c>
      <c r="G2657" t="s">
        <v>6635</v>
      </c>
      <c r="H2657">
        <v>810</v>
      </c>
      <c r="I2657">
        <v>6.87</v>
      </c>
      <c r="J2657">
        <v>6.88</v>
      </c>
      <c r="K2657" t="s">
        <v>14130</v>
      </c>
      <c r="L2657">
        <v>3.04</v>
      </c>
      <c r="M2657" t="s">
        <v>46</v>
      </c>
      <c r="N2657" t="s">
        <v>9735</v>
      </c>
      <c r="O2657">
        <v>6.94</v>
      </c>
      <c r="P2657">
        <v>6.78</v>
      </c>
      <c r="Q2657">
        <v>6.85</v>
      </c>
      <c r="R2657">
        <v>6.83</v>
      </c>
      <c r="S2657">
        <v>2.34</v>
      </c>
      <c r="T2657">
        <v>0.58</v>
      </c>
      <c r="U2657">
        <v>-13.45</v>
      </c>
      <c r="V2657">
        <v>-660</v>
      </c>
      <c r="W2657">
        <v>6.88</v>
      </c>
      <c r="X2657" t="s">
        <v>843</v>
      </c>
      <c r="Y2657" t="s">
        <v>4264</v>
      </c>
      <c r="Z2657">
        <v>0.91</v>
      </c>
      <c r="AA2657">
        <v>191</v>
      </c>
      <c r="AB2657">
        <v>561</v>
      </c>
      <c r="AC2657">
        <v>12.12</v>
      </c>
      <c r="AD2657" t="s">
        <v>14131</v>
      </c>
      <c r="AE2657" t="s">
        <v>14132</v>
      </c>
      <c r="AF2657" t="s">
        <v>14133</v>
      </c>
      <c r="AG2657" t="s">
        <v>14134</v>
      </c>
      <c r="AH2657">
        <v>0.44</v>
      </c>
      <c r="AI2657">
        <v>-1.72</v>
      </c>
      <c r="AJ2657">
        <v>9.99</v>
      </c>
      <c r="AK2657">
        <v>29.09</v>
      </c>
      <c r="AL2657">
        <v>2</v>
      </c>
      <c r="AM2657">
        <v>0.59</v>
      </c>
      <c r="AN2657">
        <v>-2.83</v>
      </c>
      <c r="AO2657">
        <v>7.18</v>
      </c>
      <c r="AP2657">
        <v>-8.03</v>
      </c>
    </row>
    <row r="2658" spans="1:42">
      <c r="A2658">
        <v>2657</v>
      </c>
      <c r="B2658" t="str">
        <f>"003022"</f>
        <v>003022</v>
      </c>
      <c r="C2658" t="s">
        <v>14135</v>
      </c>
      <c r="D2658">
        <v>18.63</v>
      </c>
      <c r="E2658">
        <v>-0.64</v>
      </c>
      <c r="F2658">
        <v>-0.12</v>
      </c>
      <c r="G2658" t="s">
        <v>6025</v>
      </c>
      <c r="H2658">
        <v>323</v>
      </c>
      <c r="I2658">
        <v>18.62</v>
      </c>
      <c r="J2658">
        <v>18.63</v>
      </c>
      <c r="K2658" t="s">
        <v>14136</v>
      </c>
      <c r="L2658">
        <v>1.14</v>
      </c>
      <c r="M2658" t="s">
        <v>46</v>
      </c>
      <c r="N2658" t="s">
        <v>14137</v>
      </c>
      <c r="O2658">
        <v>18.85</v>
      </c>
      <c r="P2658">
        <v>18.42</v>
      </c>
      <c r="Q2658">
        <v>18.7</v>
      </c>
      <c r="R2658">
        <v>18.75</v>
      </c>
      <c r="S2658">
        <v>2.29</v>
      </c>
      <c r="T2658">
        <v>1.24</v>
      </c>
      <c r="U2658">
        <v>13.73</v>
      </c>
      <c r="V2658">
        <v>114</v>
      </c>
      <c r="W2658">
        <v>18.57</v>
      </c>
      <c r="X2658" t="s">
        <v>882</v>
      </c>
      <c r="Y2658" t="s">
        <v>8212</v>
      </c>
      <c r="Z2658">
        <v>1.23</v>
      </c>
      <c r="AA2658">
        <v>26</v>
      </c>
      <c r="AB2658">
        <v>22</v>
      </c>
      <c r="AC2658">
        <v>3.51</v>
      </c>
      <c r="AD2658" t="s">
        <v>14138</v>
      </c>
      <c r="AE2658" t="s">
        <v>14139</v>
      </c>
      <c r="AF2658" t="s">
        <v>14140</v>
      </c>
      <c r="AG2658" t="s">
        <v>10054</v>
      </c>
      <c r="AH2658">
        <v>-2.87</v>
      </c>
      <c r="AI2658">
        <v>-4.36</v>
      </c>
      <c r="AJ2658">
        <v>2.57</v>
      </c>
      <c r="AK2658">
        <v>5.71</v>
      </c>
      <c r="AL2658">
        <v>-3</v>
      </c>
      <c r="AM2658">
        <v>-0.64</v>
      </c>
      <c r="AN2658">
        <v>-38.21</v>
      </c>
      <c r="AO2658">
        <v>-2.77</v>
      </c>
      <c r="AP2658">
        <v>-38.43</v>
      </c>
    </row>
    <row r="2659" spans="1:42">
      <c r="A2659">
        <v>2658</v>
      </c>
      <c r="B2659" t="str">
        <f>"002474"</f>
        <v>002474</v>
      </c>
      <c r="C2659" t="s">
        <v>14141</v>
      </c>
      <c r="D2659">
        <v>7.13</v>
      </c>
      <c r="E2659">
        <v>2.59</v>
      </c>
      <c r="F2659">
        <v>0.18</v>
      </c>
      <c r="G2659" t="s">
        <v>4497</v>
      </c>
      <c r="H2659">
        <v>1922</v>
      </c>
      <c r="I2659">
        <v>7.12</v>
      </c>
      <c r="J2659">
        <v>7.13</v>
      </c>
      <c r="K2659" t="s">
        <v>14142</v>
      </c>
      <c r="L2659">
        <v>1.73</v>
      </c>
      <c r="M2659" t="s">
        <v>46</v>
      </c>
      <c r="N2659" t="s">
        <v>14143</v>
      </c>
      <c r="O2659">
        <v>7.16</v>
      </c>
      <c r="P2659">
        <v>6.92</v>
      </c>
      <c r="Q2659">
        <v>6.96</v>
      </c>
      <c r="R2659">
        <v>6.95</v>
      </c>
      <c r="S2659">
        <v>3.45</v>
      </c>
      <c r="T2659">
        <v>1.06</v>
      </c>
      <c r="U2659">
        <v>-42.9</v>
      </c>
      <c r="V2659">
        <v>-5155</v>
      </c>
      <c r="W2659">
        <v>7.07</v>
      </c>
      <c r="X2659" t="s">
        <v>7781</v>
      </c>
      <c r="Y2659" t="s">
        <v>787</v>
      </c>
      <c r="Z2659">
        <v>0.64</v>
      </c>
      <c r="AA2659">
        <v>1596</v>
      </c>
      <c r="AB2659">
        <v>624</v>
      </c>
      <c r="AC2659">
        <v>2.83</v>
      </c>
      <c r="AD2659" t="s">
        <v>14144</v>
      </c>
      <c r="AE2659" t="s">
        <v>14145</v>
      </c>
      <c r="AF2659" t="s">
        <v>14146</v>
      </c>
      <c r="AG2659" t="s">
        <v>12050</v>
      </c>
      <c r="AH2659">
        <v>0.14</v>
      </c>
      <c r="AI2659">
        <v>-2.46</v>
      </c>
      <c r="AJ2659">
        <v>4.98</v>
      </c>
      <c r="AK2659">
        <v>9.91</v>
      </c>
      <c r="AL2659">
        <v>1</v>
      </c>
      <c r="AM2659">
        <v>2.59</v>
      </c>
      <c r="AN2659">
        <v>-15.42</v>
      </c>
      <c r="AO2659">
        <v>3.18</v>
      </c>
      <c r="AP2659">
        <v>-33.05</v>
      </c>
    </row>
    <row r="2660" spans="1:42">
      <c r="A2660">
        <v>2659</v>
      </c>
      <c r="B2660" t="str">
        <f>"430425"</f>
        <v>430425</v>
      </c>
      <c r="C2660" t="s">
        <v>14147</v>
      </c>
      <c r="D2660">
        <v>18.69</v>
      </c>
      <c r="E2660">
        <v>-6.32</v>
      </c>
      <c r="F2660">
        <v>-1.26</v>
      </c>
      <c r="G2660" t="s">
        <v>1687</v>
      </c>
      <c r="H2660">
        <v>421</v>
      </c>
      <c r="I2660">
        <v>18.68</v>
      </c>
      <c r="J2660">
        <v>18.69</v>
      </c>
      <c r="K2660" t="s">
        <v>14148</v>
      </c>
      <c r="L2660">
        <v>17.64</v>
      </c>
      <c r="M2660" t="s">
        <v>46</v>
      </c>
      <c r="N2660" t="s">
        <v>14149</v>
      </c>
      <c r="O2660">
        <v>20.58</v>
      </c>
      <c r="P2660">
        <v>18.42</v>
      </c>
      <c r="Q2660">
        <v>20.37</v>
      </c>
      <c r="R2660">
        <v>19.95</v>
      </c>
      <c r="S2660">
        <v>10.83</v>
      </c>
      <c r="T2660">
        <v>0.5</v>
      </c>
      <c r="U2660">
        <v>24.75</v>
      </c>
      <c r="V2660">
        <v>121</v>
      </c>
      <c r="W2660">
        <v>19.34</v>
      </c>
      <c r="X2660" t="s">
        <v>5237</v>
      </c>
      <c r="Y2660" t="s">
        <v>9445</v>
      </c>
      <c r="Z2660">
        <v>1.57</v>
      </c>
      <c r="AA2660">
        <v>29</v>
      </c>
      <c r="AB2660">
        <v>13</v>
      </c>
      <c r="AC2660">
        <v>2.86</v>
      </c>
      <c r="AD2660" t="s">
        <v>14150</v>
      </c>
      <c r="AE2660" t="s">
        <v>14151</v>
      </c>
      <c r="AF2660" t="s">
        <v>14152</v>
      </c>
      <c r="AG2660" t="s">
        <v>14153</v>
      </c>
      <c r="AH2660">
        <v>-31.16</v>
      </c>
      <c r="AI2660">
        <v>13.82</v>
      </c>
      <c r="AJ2660">
        <v>92.71</v>
      </c>
      <c r="AK2660">
        <v>195.44</v>
      </c>
      <c r="AL2660">
        <v>-3</v>
      </c>
      <c r="AM2660">
        <v>-6.32</v>
      </c>
      <c r="AN2660">
        <v>-1.63</v>
      </c>
      <c r="AO2660">
        <v>54.46</v>
      </c>
      <c r="AP2660">
        <v>-1.63</v>
      </c>
    </row>
    <row r="2661" spans="1:42">
      <c r="A2661">
        <v>2660</v>
      </c>
      <c r="B2661" t="str">
        <f>"000025"</f>
        <v>000025</v>
      </c>
      <c r="C2661" t="s">
        <v>14154</v>
      </c>
      <c r="D2661">
        <v>16.7</v>
      </c>
      <c r="E2661">
        <v>1.15</v>
      </c>
      <c r="F2661">
        <v>0.19</v>
      </c>
      <c r="G2661" t="s">
        <v>4811</v>
      </c>
      <c r="H2661">
        <v>636</v>
      </c>
      <c r="I2661">
        <v>16.69</v>
      </c>
      <c r="J2661">
        <v>16.7</v>
      </c>
      <c r="K2661" t="s">
        <v>14155</v>
      </c>
      <c r="L2661">
        <v>0.99</v>
      </c>
      <c r="M2661" t="s">
        <v>46</v>
      </c>
      <c r="N2661" t="s">
        <v>1190</v>
      </c>
      <c r="O2661">
        <v>16.81</v>
      </c>
      <c r="P2661">
        <v>16.53</v>
      </c>
      <c r="Q2661">
        <v>16.63</v>
      </c>
      <c r="R2661">
        <v>16.51</v>
      </c>
      <c r="S2661">
        <v>1.7</v>
      </c>
      <c r="T2661">
        <v>0.81</v>
      </c>
      <c r="U2661">
        <v>-62.07</v>
      </c>
      <c r="V2661">
        <v>-1221</v>
      </c>
      <c r="W2661">
        <v>16.68</v>
      </c>
      <c r="X2661" t="s">
        <v>2723</v>
      </c>
      <c r="Y2661" t="s">
        <v>4976</v>
      </c>
      <c r="Z2661">
        <v>0.93</v>
      </c>
      <c r="AA2661">
        <v>54</v>
      </c>
      <c r="AB2661">
        <v>806</v>
      </c>
      <c r="AC2661">
        <v>4.59</v>
      </c>
      <c r="AD2661" t="s">
        <v>14156</v>
      </c>
      <c r="AE2661" t="s">
        <v>14157</v>
      </c>
      <c r="AF2661" t="s">
        <v>14158</v>
      </c>
      <c r="AG2661" t="s">
        <v>14159</v>
      </c>
      <c r="AH2661">
        <v>-1.01</v>
      </c>
      <c r="AI2661">
        <v>-1.53</v>
      </c>
      <c r="AJ2661">
        <v>3.05</v>
      </c>
      <c r="AK2661">
        <v>7.12</v>
      </c>
      <c r="AL2661">
        <v>1</v>
      </c>
      <c r="AM2661">
        <v>1.15</v>
      </c>
      <c r="AN2661">
        <v>-2.45</v>
      </c>
      <c r="AO2661">
        <v>3.28</v>
      </c>
      <c r="AP2661">
        <v>-13.52</v>
      </c>
    </row>
    <row r="2662" spans="1:42">
      <c r="A2662">
        <v>2661</v>
      </c>
      <c r="B2662" t="str">
        <f>"300300"</f>
        <v>300300</v>
      </c>
      <c r="C2662" t="s">
        <v>14160</v>
      </c>
      <c r="D2662">
        <v>4.48</v>
      </c>
      <c r="E2662">
        <v>3.46</v>
      </c>
      <c r="F2662">
        <v>0.15</v>
      </c>
      <c r="G2662" t="s">
        <v>1493</v>
      </c>
      <c r="H2662">
        <v>4298</v>
      </c>
      <c r="I2662">
        <v>4.47</v>
      </c>
      <c r="J2662">
        <v>4.48</v>
      </c>
      <c r="K2662" t="s">
        <v>14161</v>
      </c>
      <c r="L2662">
        <v>2.18</v>
      </c>
      <c r="M2662" t="s">
        <v>46</v>
      </c>
      <c r="N2662" t="s">
        <v>14162</v>
      </c>
      <c r="O2662">
        <v>4.48</v>
      </c>
      <c r="P2662">
        <v>4.3</v>
      </c>
      <c r="Q2662">
        <v>4.33</v>
      </c>
      <c r="R2662">
        <v>4.33</v>
      </c>
      <c r="S2662">
        <v>4.16</v>
      </c>
      <c r="T2662">
        <v>0.8</v>
      </c>
      <c r="U2662">
        <v>25.21</v>
      </c>
      <c r="V2662">
        <v>3855</v>
      </c>
      <c r="W2662">
        <v>4.41</v>
      </c>
      <c r="X2662" t="s">
        <v>5612</v>
      </c>
      <c r="Y2662" t="s">
        <v>10000</v>
      </c>
      <c r="Z2662">
        <v>0.5</v>
      </c>
      <c r="AA2662">
        <v>877</v>
      </c>
      <c r="AB2662">
        <v>1282</v>
      </c>
      <c r="AC2662">
        <v>8.63</v>
      </c>
      <c r="AD2662" t="s">
        <v>14163</v>
      </c>
      <c r="AE2662" t="s">
        <v>14164</v>
      </c>
      <c r="AF2662" t="s">
        <v>14165</v>
      </c>
      <c r="AG2662" t="s">
        <v>11675</v>
      </c>
      <c r="AH2662">
        <v>0.9</v>
      </c>
      <c r="AI2662">
        <v>-1.75</v>
      </c>
      <c r="AJ2662">
        <v>7.02</v>
      </c>
      <c r="AK2662">
        <v>15.82</v>
      </c>
      <c r="AL2662">
        <v>1</v>
      </c>
      <c r="AM2662">
        <v>3.46</v>
      </c>
      <c r="AN2662">
        <v>14.58</v>
      </c>
      <c r="AO2662">
        <v>3.23</v>
      </c>
      <c r="AP2662">
        <v>6.41</v>
      </c>
    </row>
    <row r="2663" spans="1:42">
      <c r="A2663">
        <v>2662</v>
      </c>
      <c r="B2663" t="str">
        <f>"600993"</f>
        <v>600993</v>
      </c>
      <c r="C2663" t="s">
        <v>14166</v>
      </c>
      <c r="D2663">
        <v>25.11</v>
      </c>
      <c r="E2663">
        <v>-0.32</v>
      </c>
      <c r="F2663">
        <v>-0.08</v>
      </c>
      <c r="G2663" t="s">
        <v>4422</v>
      </c>
      <c r="H2663">
        <v>234</v>
      </c>
      <c r="I2663">
        <v>25.11</v>
      </c>
      <c r="J2663">
        <v>25.15</v>
      </c>
      <c r="K2663" t="s">
        <v>14167</v>
      </c>
      <c r="L2663">
        <v>0.59</v>
      </c>
      <c r="M2663" t="s">
        <v>46</v>
      </c>
      <c r="N2663" t="s">
        <v>7574</v>
      </c>
      <c r="O2663">
        <v>25.64</v>
      </c>
      <c r="P2663">
        <v>25</v>
      </c>
      <c r="Q2663">
        <v>25.1</v>
      </c>
      <c r="R2663">
        <v>25.19</v>
      </c>
      <c r="S2663">
        <v>2.54</v>
      </c>
      <c r="T2663">
        <v>0.79</v>
      </c>
      <c r="U2663">
        <v>-79.26</v>
      </c>
      <c r="V2663">
        <v>-665</v>
      </c>
      <c r="W2663">
        <v>25.24</v>
      </c>
      <c r="X2663" t="s">
        <v>7656</v>
      </c>
      <c r="Y2663" t="s">
        <v>7974</v>
      </c>
      <c r="Z2663">
        <v>1.38</v>
      </c>
      <c r="AA2663">
        <v>26</v>
      </c>
      <c r="AB2663">
        <v>50</v>
      </c>
      <c r="AC2663">
        <v>2.91</v>
      </c>
      <c r="AD2663" t="s">
        <v>14156</v>
      </c>
      <c r="AE2663" t="s">
        <v>1739</v>
      </c>
      <c r="AF2663" t="s">
        <v>1901</v>
      </c>
      <c r="AG2663" t="s">
        <v>8422</v>
      </c>
      <c r="AH2663">
        <v>-0.12</v>
      </c>
      <c r="AI2663">
        <v>-1.49</v>
      </c>
      <c r="AJ2663">
        <v>2.02</v>
      </c>
      <c r="AK2663">
        <v>4.38</v>
      </c>
      <c r="AL2663">
        <v>-1</v>
      </c>
      <c r="AM2663">
        <v>-0.32</v>
      </c>
      <c r="AN2663">
        <v>12.85</v>
      </c>
      <c r="AO2663">
        <v>7.26</v>
      </c>
      <c r="AP2663">
        <v>7.03</v>
      </c>
    </row>
    <row r="2664" spans="1:42">
      <c r="A2664">
        <v>2663</v>
      </c>
      <c r="B2664" t="str">
        <f>"603588"</f>
        <v>603588</v>
      </c>
      <c r="C2664" t="s">
        <v>14168</v>
      </c>
      <c r="D2664">
        <v>7.41</v>
      </c>
      <c r="E2664">
        <v>-1.98</v>
      </c>
      <c r="F2664">
        <v>-0.15</v>
      </c>
      <c r="G2664" t="s">
        <v>5203</v>
      </c>
      <c r="H2664">
        <v>1336</v>
      </c>
      <c r="I2664">
        <v>7.4</v>
      </c>
      <c r="J2664">
        <v>7.41</v>
      </c>
      <c r="K2664" t="s">
        <v>14169</v>
      </c>
      <c r="L2664">
        <v>0.57</v>
      </c>
      <c r="M2664" t="s">
        <v>46</v>
      </c>
      <c r="N2664" t="s">
        <v>6225</v>
      </c>
      <c r="O2664">
        <v>7.56</v>
      </c>
      <c r="P2664">
        <v>7.38</v>
      </c>
      <c r="Q2664">
        <v>7.56</v>
      </c>
      <c r="R2664">
        <v>7.56</v>
      </c>
      <c r="S2664">
        <v>2.38</v>
      </c>
      <c r="T2664">
        <v>1.58</v>
      </c>
      <c r="U2664">
        <v>15.76</v>
      </c>
      <c r="V2664">
        <v>391</v>
      </c>
      <c r="W2664">
        <v>7.46</v>
      </c>
      <c r="X2664" t="s">
        <v>2337</v>
      </c>
      <c r="Y2664" t="s">
        <v>2559</v>
      </c>
      <c r="Z2664">
        <v>0.94</v>
      </c>
      <c r="AA2664">
        <v>145</v>
      </c>
      <c r="AB2664">
        <v>276</v>
      </c>
      <c r="AC2664">
        <v>1.19</v>
      </c>
      <c r="AD2664" t="s">
        <v>14170</v>
      </c>
      <c r="AE2664" t="s">
        <v>14171</v>
      </c>
      <c r="AF2664" t="s">
        <v>14172</v>
      </c>
      <c r="AG2664" t="s">
        <v>14173</v>
      </c>
      <c r="AH2664">
        <v>-4.51</v>
      </c>
      <c r="AI2664">
        <v>-5.61</v>
      </c>
      <c r="AJ2664">
        <v>1.33</v>
      </c>
      <c r="AK2664">
        <v>2.39</v>
      </c>
      <c r="AL2664">
        <v>-3</v>
      </c>
      <c r="AM2664">
        <v>-1.98</v>
      </c>
      <c r="AN2664">
        <v>-24.31</v>
      </c>
      <c r="AO2664">
        <v>-5.61</v>
      </c>
      <c r="AP2664">
        <v>-30.29</v>
      </c>
    </row>
    <row r="2665" spans="1:42">
      <c r="A2665">
        <v>2664</v>
      </c>
      <c r="B2665" t="str">
        <f>"300791"</f>
        <v>300791</v>
      </c>
      <c r="C2665" t="s">
        <v>14174</v>
      </c>
      <c r="D2665">
        <v>35.4</v>
      </c>
      <c r="E2665">
        <v>0.77</v>
      </c>
      <c r="F2665">
        <v>0.27</v>
      </c>
      <c r="G2665" t="s">
        <v>6012</v>
      </c>
      <c r="H2665">
        <v>299</v>
      </c>
      <c r="I2665">
        <v>35.39</v>
      </c>
      <c r="J2665">
        <v>35.4</v>
      </c>
      <c r="K2665" t="s">
        <v>14169</v>
      </c>
      <c r="L2665">
        <v>1.23</v>
      </c>
      <c r="M2665" t="s">
        <v>46</v>
      </c>
      <c r="N2665" t="s">
        <v>12941</v>
      </c>
      <c r="O2665">
        <v>35.47</v>
      </c>
      <c r="P2665">
        <v>34.64</v>
      </c>
      <c r="Q2665">
        <v>35.28</v>
      </c>
      <c r="R2665">
        <v>35.13</v>
      </c>
      <c r="S2665">
        <v>2.36</v>
      </c>
      <c r="T2665">
        <v>0.68</v>
      </c>
      <c r="U2665">
        <v>17.98</v>
      </c>
      <c r="V2665">
        <v>32</v>
      </c>
      <c r="W2665">
        <v>35.09</v>
      </c>
      <c r="X2665">
        <v>8691</v>
      </c>
      <c r="Y2665">
        <v>9697</v>
      </c>
      <c r="Z2665">
        <v>0.9</v>
      </c>
      <c r="AA2665">
        <v>34</v>
      </c>
      <c r="AB2665">
        <v>1</v>
      </c>
      <c r="AC2665">
        <v>2.4</v>
      </c>
      <c r="AD2665" t="s">
        <v>14175</v>
      </c>
      <c r="AE2665" t="s">
        <v>14176</v>
      </c>
      <c r="AF2665" t="s">
        <v>3403</v>
      </c>
      <c r="AG2665" t="s">
        <v>14177</v>
      </c>
      <c r="AH2665">
        <v>-3.44</v>
      </c>
      <c r="AI2665">
        <v>4.95</v>
      </c>
      <c r="AJ2665">
        <v>4.46</v>
      </c>
      <c r="AK2665">
        <v>10.29</v>
      </c>
      <c r="AL2665">
        <v>1</v>
      </c>
      <c r="AM2665">
        <v>0.77</v>
      </c>
      <c r="AN2665">
        <v>-2.8</v>
      </c>
      <c r="AO2665">
        <v>8.03</v>
      </c>
      <c r="AP2665">
        <v>12.92</v>
      </c>
    </row>
    <row r="2666" spans="1:42">
      <c r="A2666">
        <v>2665</v>
      </c>
      <c r="B2666" t="str">
        <f>"300266"</f>
        <v>300266</v>
      </c>
      <c r="C2666" t="s">
        <v>14178</v>
      </c>
      <c r="D2666">
        <v>3.18</v>
      </c>
      <c r="E2666">
        <v>2.58</v>
      </c>
      <c r="F2666">
        <v>0.08</v>
      </c>
      <c r="G2666" t="s">
        <v>509</v>
      </c>
      <c r="H2666">
        <v>2946</v>
      </c>
      <c r="I2666">
        <v>3.17</v>
      </c>
      <c r="J2666">
        <v>3.18</v>
      </c>
      <c r="K2666" t="s">
        <v>14179</v>
      </c>
      <c r="L2666">
        <v>1.32</v>
      </c>
      <c r="M2666" t="s">
        <v>46</v>
      </c>
      <c r="N2666" t="s">
        <v>14180</v>
      </c>
      <c r="O2666">
        <v>3.19</v>
      </c>
      <c r="P2666">
        <v>3.09</v>
      </c>
      <c r="Q2666">
        <v>3.11</v>
      </c>
      <c r="R2666">
        <v>3.1</v>
      </c>
      <c r="S2666">
        <v>3.23</v>
      </c>
      <c r="T2666">
        <v>1.28</v>
      </c>
      <c r="U2666">
        <v>-21.07</v>
      </c>
      <c r="V2666">
        <v>-9178</v>
      </c>
      <c r="W2666">
        <v>3.15</v>
      </c>
      <c r="X2666" t="s">
        <v>2629</v>
      </c>
      <c r="Y2666" t="s">
        <v>1493</v>
      </c>
      <c r="Z2666">
        <v>0.4</v>
      </c>
      <c r="AA2666">
        <v>3441</v>
      </c>
      <c r="AB2666">
        <v>7980</v>
      </c>
      <c r="AC2666">
        <v>5.03</v>
      </c>
      <c r="AD2666" t="s">
        <v>14181</v>
      </c>
      <c r="AE2666" t="s">
        <v>9042</v>
      </c>
      <c r="AF2666" t="s">
        <v>14181</v>
      </c>
      <c r="AG2666" t="s">
        <v>9042</v>
      </c>
      <c r="AH2666">
        <v>1.27</v>
      </c>
      <c r="AI2666">
        <v>0.95</v>
      </c>
      <c r="AJ2666">
        <v>3.48</v>
      </c>
      <c r="AK2666">
        <v>6.47</v>
      </c>
      <c r="AL2666">
        <v>1</v>
      </c>
      <c r="AM2666">
        <v>2.58</v>
      </c>
      <c r="AN2666">
        <v>-0.63</v>
      </c>
      <c r="AO2666">
        <v>-2.45</v>
      </c>
      <c r="AP2666">
        <v>3.58</v>
      </c>
    </row>
    <row r="2667" spans="1:42">
      <c r="A2667">
        <v>2666</v>
      </c>
      <c r="B2667" t="str">
        <f>"600022"</f>
        <v>600022</v>
      </c>
      <c r="C2667" t="s">
        <v>14182</v>
      </c>
      <c r="D2667">
        <v>1.43</v>
      </c>
      <c r="E2667">
        <v>0.7</v>
      </c>
      <c r="F2667">
        <v>0.01</v>
      </c>
      <c r="G2667" t="s">
        <v>14183</v>
      </c>
      <c r="H2667" t="s">
        <v>2389</v>
      </c>
      <c r="I2667">
        <v>1.42</v>
      </c>
      <c r="J2667">
        <v>1.43</v>
      </c>
      <c r="K2667" t="s">
        <v>14184</v>
      </c>
      <c r="L2667">
        <v>0.42</v>
      </c>
      <c r="M2667" t="s">
        <v>46</v>
      </c>
      <c r="N2667" t="s">
        <v>14185</v>
      </c>
      <c r="O2667">
        <v>1.43</v>
      </c>
      <c r="P2667">
        <v>1.41</v>
      </c>
      <c r="Q2667">
        <v>1.42</v>
      </c>
      <c r="R2667">
        <v>1.42</v>
      </c>
      <c r="S2667">
        <v>1.41</v>
      </c>
      <c r="T2667">
        <v>1.08</v>
      </c>
      <c r="U2667">
        <v>19.25</v>
      </c>
      <c r="V2667" t="s">
        <v>7806</v>
      </c>
      <c r="W2667">
        <v>1.42</v>
      </c>
      <c r="X2667" t="s">
        <v>4194</v>
      </c>
      <c r="Y2667" t="s">
        <v>7980</v>
      </c>
      <c r="Z2667">
        <v>0.47</v>
      </c>
      <c r="AA2667" t="s">
        <v>4819</v>
      </c>
      <c r="AB2667" t="s">
        <v>9550</v>
      </c>
      <c r="AC2667">
        <v>0.72</v>
      </c>
      <c r="AD2667" t="s">
        <v>14186</v>
      </c>
      <c r="AE2667" t="s">
        <v>14187</v>
      </c>
      <c r="AF2667" t="s">
        <v>14186</v>
      </c>
      <c r="AG2667" t="s">
        <v>14187</v>
      </c>
      <c r="AH2667">
        <v>0</v>
      </c>
      <c r="AI2667">
        <v>0.7</v>
      </c>
      <c r="AJ2667">
        <v>0.96</v>
      </c>
      <c r="AK2667">
        <v>2.39</v>
      </c>
      <c r="AL2667">
        <v>2</v>
      </c>
      <c r="AM2667">
        <v>0.7</v>
      </c>
      <c r="AN2667">
        <v>-1.38</v>
      </c>
      <c r="AO2667">
        <v>0.7</v>
      </c>
      <c r="AP2667">
        <v>-3.38</v>
      </c>
    </row>
    <row r="2668" spans="1:42">
      <c r="A2668">
        <v>2667</v>
      </c>
      <c r="B2668" t="str">
        <f>"002345"</f>
        <v>002345</v>
      </c>
      <c r="C2668" t="s">
        <v>14188</v>
      </c>
      <c r="D2668">
        <v>6.53</v>
      </c>
      <c r="E2668">
        <v>1.4</v>
      </c>
      <c r="F2668">
        <v>0.09</v>
      </c>
      <c r="G2668" t="s">
        <v>5306</v>
      </c>
      <c r="H2668">
        <v>1146</v>
      </c>
      <c r="I2668">
        <v>6.52</v>
      </c>
      <c r="J2668">
        <v>6.53</v>
      </c>
      <c r="K2668" t="s">
        <v>14189</v>
      </c>
      <c r="L2668">
        <v>1.14</v>
      </c>
      <c r="M2668" t="s">
        <v>46</v>
      </c>
      <c r="N2668" t="s">
        <v>14190</v>
      </c>
      <c r="O2668">
        <v>6.57</v>
      </c>
      <c r="P2668">
        <v>6.4</v>
      </c>
      <c r="Q2668">
        <v>6.44</v>
      </c>
      <c r="R2668">
        <v>6.44</v>
      </c>
      <c r="S2668">
        <v>2.64</v>
      </c>
      <c r="T2668">
        <v>0.97</v>
      </c>
      <c r="U2668">
        <v>-36.29</v>
      </c>
      <c r="V2668">
        <v>-3685</v>
      </c>
      <c r="W2668">
        <v>6.5</v>
      </c>
      <c r="X2668" t="s">
        <v>1312</v>
      </c>
      <c r="Y2668" t="s">
        <v>3102</v>
      </c>
      <c r="Z2668">
        <v>0.6</v>
      </c>
      <c r="AA2668">
        <v>172</v>
      </c>
      <c r="AB2668">
        <v>397</v>
      </c>
      <c r="AC2668">
        <v>1.57</v>
      </c>
      <c r="AD2668" t="s">
        <v>14191</v>
      </c>
      <c r="AE2668" t="s">
        <v>14192</v>
      </c>
      <c r="AF2668" t="s">
        <v>14193</v>
      </c>
      <c r="AG2668" t="s">
        <v>14194</v>
      </c>
      <c r="AH2668">
        <v>2.83</v>
      </c>
      <c r="AI2668">
        <v>3.82</v>
      </c>
      <c r="AJ2668">
        <v>4.44</v>
      </c>
      <c r="AK2668">
        <v>7.01</v>
      </c>
      <c r="AL2668">
        <v>1</v>
      </c>
      <c r="AM2668">
        <v>1.4</v>
      </c>
      <c r="AN2668">
        <v>29.05</v>
      </c>
      <c r="AO2668">
        <v>2.83</v>
      </c>
      <c r="AP2668">
        <v>58.88</v>
      </c>
    </row>
    <row r="2669" spans="1:42">
      <c r="A2669">
        <v>2668</v>
      </c>
      <c r="B2669" t="str">
        <f>"600800"</f>
        <v>600800</v>
      </c>
      <c r="C2669" t="s">
        <v>14195</v>
      </c>
      <c r="D2669">
        <v>3.78</v>
      </c>
      <c r="E2669">
        <v>0.53</v>
      </c>
      <c r="F2669">
        <v>0.02</v>
      </c>
      <c r="G2669" t="s">
        <v>172</v>
      </c>
      <c r="H2669">
        <v>2952</v>
      </c>
      <c r="I2669">
        <v>3.77</v>
      </c>
      <c r="J2669">
        <v>3.78</v>
      </c>
      <c r="K2669" t="s">
        <v>14196</v>
      </c>
      <c r="L2669">
        <v>2.14</v>
      </c>
      <c r="M2669" t="s">
        <v>46</v>
      </c>
      <c r="N2669" t="s">
        <v>7574</v>
      </c>
      <c r="O2669">
        <v>3.81</v>
      </c>
      <c r="P2669">
        <v>3.72</v>
      </c>
      <c r="Q2669">
        <v>3.74</v>
      </c>
      <c r="R2669">
        <v>3.76</v>
      </c>
      <c r="S2669">
        <v>2.39</v>
      </c>
      <c r="T2669">
        <v>0.82</v>
      </c>
      <c r="U2669">
        <v>26.68</v>
      </c>
      <c r="V2669">
        <v>3070</v>
      </c>
      <c r="W2669">
        <v>3.78</v>
      </c>
      <c r="X2669" t="s">
        <v>6231</v>
      </c>
      <c r="Y2669" t="s">
        <v>4722</v>
      </c>
      <c r="Z2669">
        <v>0.85</v>
      </c>
      <c r="AA2669">
        <v>4399</v>
      </c>
      <c r="AB2669">
        <v>162</v>
      </c>
      <c r="AC2669">
        <v>1.78</v>
      </c>
      <c r="AD2669" t="s">
        <v>849</v>
      </c>
      <c r="AE2669" t="s">
        <v>14197</v>
      </c>
      <c r="AF2669" t="s">
        <v>14198</v>
      </c>
      <c r="AG2669" t="s">
        <v>2662</v>
      </c>
      <c r="AH2669">
        <v>-2.58</v>
      </c>
      <c r="AI2669">
        <v>2.16</v>
      </c>
      <c r="AJ2669">
        <v>8.02</v>
      </c>
      <c r="AK2669">
        <v>15.26</v>
      </c>
      <c r="AL2669">
        <v>1</v>
      </c>
      <c r="AM2669">
        <v>0.53</v>
      </c>
      <c r="AN2669">
        <v>4.13</v>
      </c>
      <c r="AO2669">
        <v>4.71</v>
      </c>
      <c r="AP2669">
        <v>-3.57</v>
      </c>
    </row>
    <row r="2670" spans="1:42">
      <c r="A2670">
        <v>2669</v>
      </c>
      <c r="B2670" t="str">
        <f>"601860"</f>
        <v>601860</v>
      </c>
      <c r="C2670" t="s">
        <v>14199</v>
      </c>
      <c r="D2670">
        <v>2.59</v>
      </c>
      <c r="E2670">
        <v>1.17</v>
      </c>
      <c r="F2670">
        <v>0.03</v>
      </c>
      <c r="G2670" t="s">
        <v>1644</v>
      </c>
      <c r="H2670">
        <v>3356</v>
      </c>
      <c r="I2670">
        <v>2.58</v>
      </c>
      <c r="J2670">
        <v>2.59</v>
      </c>
      <c r="K2670" t="s">
        <v>14200</v>
      </c>
      <c r="L2670">
        <v>0.71</v>
      </c>
      <c r="M2670" t="s">
        <v>46</v>
      </c>
      <c r="N2670" t="s">
        <v>13959</v>
      </c>
      <c r="O2670">
        <v>2.59</v>
      </c>
      <c r="P2670">
        <v>2.56</v>
      </c>
      <c r="Q2670">
        <v>2.56</v>
      </c>
      <c r="R2670">
        <v>2.56</v>
      </c>
      <c r="S2670">
        <v>1.17</v>
      </c>
      <c r="T2670">
        <v>0.9</v>
      </c>
      <c r="U2670">
        <v>-24.22</v>
      </c>
      <c r="V2670" t="s">
        <v>14201</v>
      </c>
      <c r="W2670">
        <v>2.58</v>
      </c>
      <c r="X2670" t="s">
        <v>3159</v>
      </c>
      <c r="Y2670" t="s">
        <v>3584</v>
      </c>
      <c r="Z2670">
        <v>0.57</v>
      </c>
      <c r="AA2670">
        <v>5901</v>
      </c>
      <c r="AB2670" t="s">
        <v>3558</v>
      </c>
      <c r="AC2670">
        <v>0.53</v>
      </c>
      <c r="AD2670" t="s">
        <v>14202</v>
      </c>
      <c r="AE2670" t="s">
        <v>14203</v>
      </c>
      <c r="AF2670" t="s">
        <v>2077</v>
      </c>
      <c r="AG2670" t="s">
        <v>12215</v>
      </c>
      <c r="AH2670">
        <v>0</v>
      </c>
      <c r="AI2670">
        <v>-1.15</v>
      </c>
      <c r="AJ2670">
        <v>2.21</v>
      </c>
      <c r="AK2670">
        <v>4.66</v>
      </c>
      <c r="AL2670">
        <v>1</v>
      </c>
      <c r="AM2670">
        <v>1.17</v>
      </c>
      <c r="AN2670">
        <v>4.02</v>
      </c>
      <c r="AO2670">
        <v>0</v>
      </c>
      <c r="AP2670">
        <v>1.97</v>
      </c>
    </row>
    <row r="2671" spans="1:42">
      <c r="A2671">
        <v>2670</v>
      </c>
      <c r="B2671" t="str">
        <f>"002646"</f>
        <v>002646</v>
      </c>
      <c r="C2671" t="s">
        <v>14204</v>
      </c>
      <c r="D2671">
        <v>14.58</v>
      </c>
      <c r="E2671">
        <v>-1.02</v>
      </c>
      <c r="F2671">
        <v>-0.15</v>
      </c>
      <c r="G2671" t="s">
        <v>456</v>
      </c>
      <c r="H2671">
        <v>372</v>
      </c>
      <c r="I2671">
        <v>14.58</v>
      </c>
      <c r="J2671">
        <v>14.59</v>
      </c>
      <c r="K2671" t="s">
        <v>14205</v>
      </c>
      <c r="L2671">
        <v>0.93</v>
      </c>
      <c r="M2671" t="s">
        <v>46</v>
      </c>
      <c r="N2671" t="s">
        <v>1233</v>
      </c>
      <c r="O2671">
        <v>14.84</v>
      </c>
      <c r="P2671">
        <v>14.53</v>
      </c>
      <c r="Q2671">
        <v>14.74</v>
      </c>
      <c r="R2671">
        <v>14.73</v>
      </c>
      <c r="S2671">
        <v>2.1</v>
      </c>
      <c r="T2671">
        <v>1.42</v>
      </c>
      <c r="U2671">
        <v>14.24</v>
      </c>
      <c r="V2671">
        <v>95</v>
      </c>
      <c r="W2671">
        <v>14.66</v>
      </c>
      <c r="X2671" t="s">
        <v>5237</v>
      </c>
      <c r="Y2671" t="s">
        <v>3151</v>
      </c>
      <c r="Z2671">
        <v>0.87</v>
      </c>
      <c r="AA2671">
        <v>79</v>
      </c>
      <c r="AB2671">
        <v>20</v>
      </c>
      <c r="AC2671">
        <v>2.43</v>
      </c>
      <c r="AD2671" t="s">
        <v>14206</v>
      </c>
      <c r="AE2671" t="s">
        <v>14207</v>
      </c>
      <c r="AF2671" t="s">
        <v>4396</v>
      </c>
      <c r="AG2671" t="s">
        <v>14208</v>
      </c>
      <c r="AH2671">
        <v>-0.48</v>
      </c>
      <c r="AI2671">
        <v>-1.49</v>
      </c>
      <c r="AJ2671">
        <v>1.95</v>
      </c>
      <c r="AK2671">
        <v>4.19</v>
      </c>
      <c r="AL2671">
        <v>-1</v>
      </c>
      <c r="AM2671">
        <v>-1.02</v>
      </c>
      <c r="AN2671">
        <v>-4.33</v>
      </c>
      <c r="AO2671">
        <v>-1.29</v>
      </c>
      <c r="AP2671">
        <v>1.89</v>
      </c>
    </row>
    <row r="2672" spans="1:42">
      <c r="A2672">
        <v>2671</v>
      </c>
      <c r="B2672" t="str">
        <f>"300527"</f>
        <v>300527</v>
      </c>
      <c r="C2672" t="s">
        <v>14209</v>
      </c>
      <c r="D2672">
        <v>7.81</v>
      </c>
      <c r="E2672">
        <v>0</v>
      </c>
      <c r="F2672">
        <v>0</v>
      </c>
      <c r="G2672" t="s">
        <v>5741</v>
      </c>
      <c r="H2672">
        <v>471</v>
      </c>
      <c r="I2672">
        <v>7.81</v>
      </c>
      <c r="J2672">
        <v>7.82</v>
      </c>
      <c r="K2672" t="s">
        <v>14210</v>
      </c>
      <c r="L2672">
        <v>0.86</v>
      </c>
      <c r="M2672" t="s">
        <v>46</v>
      </c>
      <c r="N2672" t="s">
        <v>4277</v>
      </c>
      <c r="O2672">
        <v>7.84</v>
      </c>
      <c r="P2672">
        <v>7.65</v>
      </c>
      <c r="Q2672">
        <v>7.82</v>
      </c>
      <c r="R2672">
        <v>7.81</v>
      </c>
      <c r="S2672">
        <v>2.43</v>
      </c>
      <c r="T2672">
        <v>1.28</v>
      </c>
      <c r="U2672">
        <v>-27.08</v>
      </c>
      <c r="V2672">
        <v>-1384</v>
      </c>
      <c r="W2672">
        <v>7.74</v>
      </c>
      <c r="X2672" t="s">
        <v>11158</v>
      </c>
      <c r="Y2672" t="s">
        <v>8009</v>
      </c>
      <c r="Z2672">
        <v>1.2</v>
      </c>
      <c r="AA2672">
        <v>190</v>
      </c>
      <c r="AB2672">
        <v>343</v>
      </c>
      <c r="AC2672">
        <v>3.07</v>
      </c>
      <c r="AD2672" t="s">
        <v>14047</v>
      </c>
      <c r="AE2672" t="s">
        <v>14211</v>
      </c>
      <c r="AF2672" t="s">
        <v>14047</v>
      </c>
      <c r="AG2672" t="s">
        <v>14211</v>
      </c>
      <c r="AH2672">
        <v>-0.13</v>
      </c>
      <c r="AI2672">
        <v>-0.38</v>
      </c>
      <c r="AJ2672">
        <v>2.5</v>
      </c>
      <c r="AK2672">
        <v>4.23</v>
      </c>
      <c r="AL2672">
        <v>0</v>
      </c>
      <c r="AM2672">
        <v>0</v>
      </c>
      <c r="AN2672">
        <v>17.8</v>
      </c>
      <c r="AO2672">
        <v>2.76</v>
      </c>
      <c r="AP2672">
        <v>5.11</v>
      </c>
    </row>
    <row r="2673" spans="1:42">
      <c r="A2673">
        <v>2672</v>
      </c>
      <c r="B2673" t="str">
        <f>"600376"</f>
        <v>600376</v>
      </c>
      <c r="C2673" t="s">
        <v>14212</v>
      </c>
      <c r="D2673">
        <v>3.55</v>
      </c>
      <c r="E2673">
        <v>0.85</v>
      </c>
      <c r="F2673">
        <v>0.03</v>
      </c>
      <c r="G2673" t="s">
        <v>1092</v>
      </c>
      <c r="H2673">
        <v>2172</v>
      </c>
      <c r="I2673">
        <v>3.54</v>
      </c>
      <c r="J2673">
        <v>3.55</v>
      </c>
      <c r="K2673" t="s">
        <v>14213</v>
      </c>
      <c r="L2673">
        <v>0.7</v>
      </c>
      <c r="M2673" t="s">
        <v>46</v>
      </c>
      <c r="N2673" t="s">
        <v>14214</v>
      </c>
      <c r="O2673">
        <v>3.59</v>
      </c>
      <c r="P2673">
        <v>3.49</v>
      </c>
      <c r="Q2673">
        <v>3.52</v>
      </c>
      <c r="R2673">
        <v>3.52</v>
      </c>
      <c r="S2673">
        <v>2.84</v>
      </c>
      <c r="T2673">
        <v>0.87</v>
      </c>
      <c r="U2673">
        <v>-1.4</v>
      </c>
      <c r="V2673">
        <v>-255</v>
      </c>
      <c r="W2673">
        <v>3.55</v>
      </c>
      <c r="X2673" t="s">
        <v>4547</v>
      </c>
      <c r="Y2673" t="s">
        <v>3463</v>
      </c>
      <c r="Z2673">
        <v>0.9</v>
      </c>
      <c r="AA2673">
        <v>1570</v>
      </c>
      <c r="AB2673">
        <v>1389</v>
      </c>
      <c r="AC2673">
        <v>0.43</v>
      </c>
      <c r="AD2673" t="s">
        <v>11465</v>
      </c>
      <c r="AE2673" t="s">
        <v>2581</v>
      </c>
      <c r="AF2673" t="s">
        <v>11465</v>
      </c>
      <c r="AG2673" t="s">
        <v>2581</v>
      </c>
      <c r="AH2673">
        <v>-3.27</v>
      </c>
      <c r="AI2673">
        <v>-8.51</v>
      </c>
      <c r="AJ2673">
        <v>2.47</v>
      </c>
      <c r="AK2673">
        <v>4.71</v>
      </c>
      <c r="AL2673">
        <v>1</v>
      </c>
      <c r="AM2673">
        <v>0.85</v>
      </c>
      <c r="AN2673">
        <v>-36.49</v>
      </c>
      <c r="AO2673">
        <v>-3.01</v>
      </c>
      <c r="AP2673">
        <v>-35.22</v>
      </c>
    </row>
    <row r="2674" spans="1:42">
      <c r="A2674">
        <v>2673</v>
      </c>
      <c r="B2674" t="str">
        <f>"600229"</f>
        <v>600229</v>
      </c>
      <c r="C2674" t="s">
        <v>14215</v>
      </c>
      <c r="D2674">
        <v>8.03</v>
      </c>
      <c r="E2674">
        <v>3.75</v>
      </c>
      <c r="F2674">
        <v>0.29</v>
      </c>
      <c r="G2674" t="s">
        <v>371</v>
      </c>
      <c r="H2674">
        <v>590</v>
      </c>
      <c r="I2674">
        <v>8.02</v>
      </c>
      <c r="J2674">
        <v>8.03</v>
      </c>
      <c r="K2674" t="s">
        <v>14216</v>
      </c>
      <c r="L2674">
        <v>1.21</v>
      </c>
      <c r="M2674" t="s">
        <v>46</v>
      </c>
      <c r="N2674" t="s">
        <v>360</v>
      </c>
      <c r="O2674">
        <v>8.05</v>
      </c>
      <c r="P2674">
        <v>7.71</v>
      </c>
      <c r="Q2674">
        <v>7.71</v>
      </c>
      <c r="R2674">
        <v>7.74</v>
      </c>
      <c r="S2674">
        <v>4.39</v>
      </c>
      <c r="T2674">
        <v>1.6</v>
      </c>
      <c r="U2674">
        <v>-42.23</v>
      </c>
      <c r="V2674">
        <v>-1731</v>
      </c>
      <c r="W2674">
        <v>7.91</v>
      </c>
      <c r="X2674" t="s">
        <v>1687</v>
      </c>
      <c r="Y2674" t="s">
        <v>4399</v>
      </c>
      <c r="Z2674">
        <v>0.7</v>
      </c>
      <c r="AA2674">
        <v>299</v>
      </c>
      <c r="AB2674">
        <v>687</v>
      </c>
      <c r="AC2674">
        <v>1.73</v>
      </c>
      <c r="AD2674" t="s">
        <v>14217</v>
      </c>
      <c r="AE2674" t="s">
        <v>14218</v>
      </c>
      <c r="AF2674" t="s">
        <v>14217</v>
      </c>
      <c r="AG2674" t="s">
        <v>14218</v>
      </c>
      <c r="AH2674">
        <v>2.29</v>
      </c>
      <c r="AI2674">
        <v>-0.25</v>
      </c>
      <c r="AJ2674">
        <v>2.48</v>
      </c>
      <c r="AK2674">
        <v>4.97</v>
      </c>
      <c r="AL2674">
        <v>2</v>
      </c>
      <c r="AM2674">
        <v>3.75</v>
      </c>
      <c r="AN2674">
        <v>16.89</v>
      </c>
      <c r="AO2674">
        <v>8.22</v>
      </c>
      <c r="AP2674">
        <v>22.78</v>
      </c>
    </row>
    <row r="2675" spans="1:42">
      <c r="A2675">
        <v>2674</v>
      </c>
      <c r="B2675" t="str">
        <f>"603758"</f>
        <v>603758</v>
      </c>
      <c r="C2675" t="s">
        <v>14219</v>
      </c>
      <c r="D2675">
        <v>11.74</v>
      </c>
      <c r="E2675">
        <v>-1.84</v>
      </c>
      <c r="F2675">
        <v>-0.22</v>
      </c>
      <c r="G2675" t="s">
        <v>14220</v>
      </c>
      <c r="H2675">
        <v>650</v>
      </c>
      <c r="I2675">
        <v>11.74</v>
      </c>
      <c r="J2675">
        <v>11.75</v>
      </c>
      <c r="K2675" t="s">
        <v>14221</v>
      </c>
      <c r="L2675">
        <v>1.24</v>
      </c>
      <c r="M2675" t="s">
        <v>46</v>
      </c>
      <c r="N2675" t="s">
        <v>654</v>
      </c>
      <c r="O2675">
        <v>12.12</v>
      </c>
      <c r="P2675">
        <v>11.62</v>
      </c>
      <c r="Q2675">
        <v>12.1</v>
      </c>
      <c r="R2675">
        <v>11.96</v>
      </c>
      <c r="S2675">
        <v>4.18</v>
      </c>
      <c r="T2675">
        <v>0.73</v>
      </c>
      <c r="U2675">
        <v>17.71</v>
      </c>
      <c r="V2675">
        <v>201</v>
      </c>
      <c r="W2675">
        <v>11.76</v>
      </c>
      <c r="X2675" t="s">
        <v>2727</v>
      </c>
      <c r="Y2675" t="s">
        <v>6954</v>
      </c>
      <c r="Z2675">
        <v>1.12</v>
      </c>
      <c r="AA2675">
        <v>60</v>
      </c>
      <c r="AB2675">
        <v>45</v>
      </c>
      <c r="AC2675">
        <v>2.04</v>
      </c>
      <c r="AD2675" t="s">
        <v>4112</v>
      </c>
      <c r="AE2675" t="s">
        <v>14222</v>
      </c>
      <c r="AF2675" t="s">
        <v>4112</v>
      </c>
      <c r="AG2675" t="s">
        <v>14222</v>
      </c>
      <c r="AH2675">
        <v>-2.65</v>
      </c>
      <c r="AI2675">
        <v>-1.18</v>
      </c>
      <c r="AJ2675">
        <v>5.62</v>
      </c>
      <c r="AK2675">
        <v>9.77</v>
      </c>
      <c r="AL2675">
        <v>-2</v>
      </c>
      <c r="AM2675">
        <v>-1.84</v>
      </c>
      <c r="AN2675">
        <v>72.65</v>
      </c>
      <c r="AO2675">
        <v>6.63</v>
      </c>
      <c r="AP2675">
        <v>56.32</v>
      </c>
    </row>
    <row r="2676" spans="1:42">
      <c r="A2676">
        <v>2675</v>
      </c>
      <c r="B2676" t="str">
        <f>"002069"</f>
        <v>002069</v>
      </c>
      <c r="C2676" t="s">
        <v>14223</v>
      </c>
      <c r="D2676">
        <v>4.58</v>
      </c>
      <c r="E2676">
        <v>0.22</v>
      </c>
      <c r="F2676">
        <v>0.01</v>
      </c>
      <c r="G2676" t="s">
        <v>1207</v>
      </c>
      <c r="H2676">
        <v>2033</v>
      </c>
      <c r="I2676">
        <v>4.58</v>
      </c>
      <c r="J2676">
        <v>4.59</v>
      </c>
      <c r="K2676" t="s">
        <v>14224</v>
      </c>
      <c r="L2676">
        <v>1.96</v>
      </c>
      <c r="M2676" t="s">
        <v>46</v>
      </c>
      <c r="N2676" t="s">
        <v>5022</v>
      </c>
      <c r="O2676">
        <v>4.64</v>
      </c>
      <c r="P2676">
        <v>4.51</v>
      </c>
      <c r="Q2676">
        <v>4.53</v>
      </c>
      <c r="R2676">
        <v>4.57</v>
      </c>
      <c r="S2676">
        <v>2.84</v>
      </c>
      <c r="T2676">
        <v>0.86</v>
      </c>
      <c r="U2676">
        <v>15.08</v>
      </c>
      <c r="V2676">
        <v>1834</v>
      </c>
      <c r="W2676">
        <v>4.59</v>
      </c>
      <c r="X2676" t="s">
        <v>426</v>
      </c>
      <c r="Y2676" t="s">
        <v>183</v>
      </c>
      <c r="Z2676">
        <v>0.91</v>
      </c>
      <c r="AA2676">
        <v>970</v>
      </c>
      <c r="AB2676">
        <v>1165</v>
      </c>
      <c r="AC2676">
        <v>34.3</v>
      </c>
      <c r="AD2676" t="s">
        <v>14225</v>
      </c>
      <c r="AE2676" t="s">
        <v>13617</v>
      </c>
      <c r="AF2676" t="s">
        <v>14226</v>
      </c>
      <c r="AG2676" t="s">
        <v>9691</v>
      </c>
      <c r="AH2676">
        <v>2.23</v>
      </c>
      <c r="AI2676">
        <v>3.62</v>
      </c>
      <c r="AJ2676">
        <v>6.23</v>
      </c>
      <c r="AK2676">
        <v>13.37</v>
      </c>
      <c r="AL2676">
        <v>3</v>
      </c>
      <c r="AM2676">
        <v>0.22</v>
      </c>
      <c r="AN2676">
        <v>27.22</v>
      </c>
      <c r="AO2676">
        <v>4.81</v>
      </c>
      <c r="AP2676">
        <v>15.37</v>
      </c>
    </row>
    <row r="2677" spans="1:42">
      <c r="A2677">
        <v>2676</v>
      </c>
      <c r="B2677" t="str">
        <f>"603861"</f>
        <v>603861</v>
      </c>
      <c r="C2677" t="s">
        <v>14227</v>
      </c>
      <c r="D2677">
        <v>10.16</v>
      </c>
      <c r="E2677">
        <v>0.69</v>
      </c>
      <c r="F2677">
        <v>0.07</v>
      </c>
      <c r="G2677" t="s">
        <v>8539</v>
      </c>
      <c r="H2677">
        <v>1770</v>
      </c>
      <c r="I2677">
        <v>10.16</v>
      </c>
      <c r="J2677">
        <v>10.17</v>
      </c>
      <c r="K2677" t="s">
        <v>14228</v>
      </c>
      <c r="L2677">
        <v>1.49</v>
      </c>
      <c r="M2677" t="s">
        <v>46</v>
      </c>
      <c r="N2677" t="s">
        <v>6721</v>
      </c>
      <c r="O2677">
        <v>10.21</v>
      </c>
      <c r="P2677">
        <v>10</v>
      </c>
      <c r="Q2677">
        <v>10.08</v>
      </c>
      <c r="R2677">
        <v>10.09</v>
      </c>
      <c r="S2677">
        <v>2.08</v>
      </c>
      <c r="T2677">
        <v>0.63</v>
      </c>
      <c r="U2677">
        <v>-24.62</v>
      </c>
      <c r="V2677">
        <v>-618</v>
      </c>
      <c r="W2677">
        <v>10.11</v>
      </c>
      <c r="X2677" t="s">
        <v>4761</v>
      </c>
      <c r="Y2677" t="s">
        <v>7205</v>
      </c>
      <c r="Z2677">
        <v>1.06</v>
      </c>
      <c r="AA2677">
        <v>37</v>
      </c>
      <c r="AB2677">
        <v>596</v>
      </c>
      <c r="AC2677">
        <v>1.62</v>
      </c>
      <c r="AD2677" t="s">
        <v>14229</v>
      </c>
      <c r="AE2677" t="s">
        <v>12619</v>
      </c>
      <c r="AF2677" t="s">
        <v>14230</v>
      </c>
      <c r="AG2677" t="s">
        <v>14231</v>
      </c>
      <c r="AH2677">
        <v>-1.74</v>
      </c>
      <c r="AI2677">
        <v>-1.26</v>
      </c>
      <c r="AJ2677">
        <v>5.85</v>
      </c>
      <c r="AK2677">
        <v>13.28</v>
      </c>
      <c r="AL2677">
        <v>1</v>
      </c>
      <c r="AM2677">
        <v>0.69</v>
      </c>
      <c r="AN2677">
        <v>36.56</v>
      </c>
      <c r="AO2677">
        <v>3.99</v>
      </c>
      <c r="AP2677">
        <v>24.21</v>
      </c>
    </row>
    <row r="2678" spans="1:42">
      <c r="A2678">
        <v>2677</v>
      </c>
      <c r="B2678" t="str">
        <f>"300183"</f>
        <v>300183</v>
      </c>
      <c r="C2678" t="s">
        <v>14232</v>
      </c>
      <c r="D2678">
        <v>15.98</v>
      </c>
      <c r="E2678">
        <v>2.17</v>
      </c>
      <c r="F2678">
        <v>0.34</v>
      </c>
      <c r="G2678" t="s">
        <v>3227</v>
      </c>
      <c r="H2678">
        <v>961</v>
      </c>
      <c r="I2678">
        <v>15.97</v>
      </c>
      <c r="J2678">
        <v>15.98</v>
      </c>
      <c r="K2678" t="s">
        <v>14233</v>
      </c>
      <c r="L2678">
        <v>1.2</v>
      </c>
      <c r="M2678" t="s">
        <v>46</v>
      </c>
      <c r="N2678" t="s">
        <v>14234</v>
      </c>
      <c r="O2678">
        <v>16</v>
      </c>
      <c r="P2678">
        <v>15.53</v>
      </c>
      <c r="Q2678">
        <v>15.73</v>
      </c>
      <c r="R2678">
        <v>15.64</v>
      </c>
      <c r="S2678">
        <v>3.01</v>
      </c>
      <c r="T2678">
        <v>0.7</v>
      </c>
      <c r="U2678">
        <v>-40.55</v>
      </c>
      <c r="V2678">
        <v>-577</v>
      </c>
      <c r="W2678">
        <v>15.79</v>
      </c>
      <c r="X2678" t="s">
        <v>3165</v>
      </c>
      <c r="Y2678" t="s">
        <v>1335</v>
      </c>
      <c r="Z2678">
        <v>0.78</v>
      </c>
      <c r="AA2678">
        <v>68</v>
      </c>
      <c r="AB2678">
        <v>47</v>
      </c>
      <c r="AC2678">
        <v>2.35</v>
      </c>
      <c r="AD2678" t="s">
        <v>14235</v>
      </c>
      <c r="AE2678" t="s">
        <v>10337</v>
      </c>
      <c r="AF2678" t="s">
        <v>2961</v>
      </c>
      <c r="AG2678" t="s">
        <v>14236</v>
      </c>
      <c r="AH2678">
        <v>-0.56</v>
      </c>
      <c r="AI2678">
        <v>0.82</v>
      </c>
      <c r="AJ2678">
        <v>3.84</v>
      </c>
      <c r="AK2678">
        <v>9.86</v>
      </c>
      <c r="AL2678">
        <v>1</v>
      </c>
      <c r="AM2678">
        <v>2.17</v>
      </c>
      <c r="AN2678">
        <v>34.29</v>
      </c>
      <c r="AO2678">
        <v>4.04</v>
      </c>
      <c r="AP2678">
        <v>16.9</v>
      </c>
    </row>
    <row r="2679" spans="1:42">
      <c r="A2679">
        <v>2678</v>
      </c>
      <c r="B2679" t="str">
        <f>"002305"</f>
        <v>002305</v>
      </c>
      <c r="C2679" t="s">
        <v>14237</v>
      </c>
      <c r="D2679">
        <v>2.19</v>
      </c>
      <c r="E2679">
        <v>1.39</v>
      </c>
      <c r="F2679">
        <v>0.03</v>
      </c>
      <c r="G2679" t="s">
        <v>3126</v>
      </c>
      <c r="H2679">
        <v>5307</v>
      </c>
      <c r="I2679">
        <v>2.18</v>
      </c>
      <c r="J2679">
        <v>2.19</v>
      </c>
      <c r="K2679" t="s">
        <v>14238</v>
      </c>
      <c r="L2679">
        <v>1.69</v>
      </c>
      <c r="M2679" t="s">
        <v>46</v>
      </c>
      <c r="N2679" t="s">
        <v>2245</v>
      </c>
      <c r="O2679">
        <v>2.2</v>
      </c>
      <c r="P2679">
        <v>2.15</v>
      </c>
      <c r="Q2679">
        <v>2.16</v>
      </c>
      <c r="R2679">
        <v>2.16</v>
      </c>
      <c r="S2679">
        <v>2.31</v>
      </c>
      <c r="T2679">
        <v>0.64</v>
      </c>
      <c r="U2679">
        <v>-16.13</v>
      </c>
      <c r="V2679" t="s">
        <v>14239</v>
      </c>
      <c r="W2679">
        <v>2.18</v>
      </c>
      <c r="X2679" t="s">
        <v>960</v>
      </c>
      <c r="Y2679" t="s">
        <v>978</v>
      </c>
      <c r="Z2679">
        <v>0.92</v>
      </c>
      <c r="AA2679" t="s">
        <v>209</v>
      </c>
      <c r="AB2679" t="s">
        <v>299</v>
      </c>
      <c r="AC2679">
        <v>3.25</v>
      </c>
      <c r="AD2679" t="s">
        <v>14240</v>
      </c>
      <c r="AE2679" t="s">
        <v>14241</v>
      </c>
      <c r="AF2679" t="s">
        <v>14240</v>
      </c>
      <c r="AG2679" t="s">
        <v>14241</v>
      </c>
      <c r="AH2679">
        <v>0</v>
      </c>
      <c r="AI2679">
        <v>-4.78</v>
      </c>
      <c r="AJ2679">
        <v>5.36</v>
      </c>
      <c r="AK2679">
        <v>14.95</v>
      </c>
      <c r="AL2679">
        <v>2</v>
      </c>
      <c r="AM2679">
        <v>1.39</v>
      </c>
      <c r="AN2679">
        <v>-24.74</v>
      </c>
      <c r="AO2679">
        <v>4.29</v>
      </c>
      <c r="AP2679">
        <v>-8.75</v>
      </c>
    </row>
    <row r="2680" spans="1:42">
      <c r="A2680">
        <v>2679</v>
      </c>
      <c r="B2680" t="str">
        <f>"603555"</f>
        <v>603555</v>
      </c>
      <c r="C2680" t="s">
        <v>14242</v>
      </c>
      <c r="D2680">
        <v>1.67</v>
      </c>
      <c r="E2680">
        <v>3.09</v>
      </c>
      <c r="F2680">
        <v>0.05</v>
      </c>
      <c r="G2680" t="s">
        <v>14243</v>
      </c>
      <c r="H2680" t="s">
        <v>1646</v>
      </c>
      <c r="I2680">
        <v>1.66</v>
      </c>
      <c r="J2680">
        <v>1.67</v>
      </c>
      <c r="K2680" t="s">
        <v>14244</v>
      </c>
      <c r="L2680">
        <v>2.44</v>
      </c>
      <c r="M2680" t="s">
        <v>46</v>
      </c>
      <c r="N2680" t="s">
        <v>7120</v>
      </c>
      <c r="O2680">
        <v>1.69</v>
      </c>
      <c r="P2680">
        <v>1.62</v>
      </c>
      <c r="Q2680">
        <v>1.63</v>
      </c>
      <c r="R2680">
        <v>1.62</v>
      </c>
      <c r="S2680">
        <v>4.32</v>
      </c>
      <c r="T2680">
        <v>1.17</v>
      </c>
      <c r="U2680">
        <v>-45.78</v>
      </c>
      <c r="V2680" t="s">
        <v>14245</v>
      </c>
      <c r="W2680">
        <v>1.66</v>
      </c>
      <c r="X2680" t="s">
        <v>2081</v>
      </c>
      <c r="Y2680" t="s">
        <v>1537</v>
      </c>
      <c r="Z2680">
        <v>0.59</v>
      </c>
      <c r="AA2680" t="s">
        <v>1110</v>
      </c>
      <c r="AB2680" t="s">
        <v>876</v>
      </c>
      <c r="AC2680">
        <v>1.6</v>
      </c>
      <c r="AD2680" t="s">
        <v>10492</v>
      </c>
      <c r="AE2680" t="s">
        <v>8853</v>
      </c>
      <c r="AF2680" t="s">
        <v>10492</v>
      </c>
      <c r="AG2680" t="s">
        <v>8853</v>
      </c>
      <c r="AH2680">
        <v>-2.34</v>
      </c>
      <c r="AI2680">
        <v>-4.02</v>
      </c>
      <c r="AJ2680">
        <v>7.81</v>
      </c>
      <c r="AK2680">
        <v>12.92</v>
      </c>
      <c r="AL2680">
        <v>1</v>
      </c>
      <c r="AM2680">
        <v>3.09</v>
      </c>
      <c r="AN2680">
        <v>-53.99</v>
      </c>
      <c r="AO2680">
        <v>-5.65</v>
      </c>
      <c r="AP2680">
        <v>-53.09</v>
      </c>
    </row>
    <row r="2681" spans="1:42">
      <c r="A2681">
        <v>2680</v>
      </c>
      <c r="B2681" t="str">
        <f>"603638"</f>
        <v>603638</v>
      </c>
      <c r="C2681" t="s">
        <v>14246</v>
      </c>
      <c r="D2681">
        <v>16.36</v>
      </c>
      <c r="E2681">
        <v>-0.67</v>
      </c>
      <c r="F2681">
        <v>-0.11</v>
      </c>
      <c r="G2681" t="s">
        <v>5871</v>
      </c>
      <c r="H2681">
        <v>184</v>
      </c>
      <c r="I2681">
        <v>16.36</v>
      </c>
      <c r="J2681">
        <v>16.39</v>
      </c>
      <c r="K2681" t="s">
        <v>14244</v>
      </c>
      <c r="L2681">
        <v>0.47</v>
      </c>
      <c r="M2681" t="s">
        <v>46</v>
      </c>
      <c r="N2681" t="s">
        <v>3673</v>
      </c>
      <c r="O2681">
        <v>16.49</v>
      </c>
      <c r="P2681">
        <v>16.01</v>
      </c>
      <c r="Q2681">
        <v>16.45</v>
      </c>
      <c r="R2681">
        <v>16.47</v>
      </c>
      <c r="S2681">
        <v>2.91</v>
      </c>
      <c r="T2681">
        <v>1.31</v>
      </c>
      <c r="U2681">
        <v>58.97</v>
      </c>
      <c r="V2681">
        <v>595</v>
      </c>
      <c r="W2681">
        <v>16.22</v>
      </c>
      <c r="X2681" t="s">
        <v>3116</v>
      </c>
      <c r="Y2681" t="s">
        <v>3069</v>
      </c>
      <c r="Z2681">
        <v>1.17</v>
      </c>
      <c r="AA2681">
        <v>57</v>
      </c>
      <c r="AB2681">
        <v>68</v>
      </c>
      <c r="AC2681">
        <v>4.43</v>
      </c>
      <c r="AD2681" t="s">
        <v>14247</v>
      </c>
      <c r="AE2681" t="s">
        <v>11755</v>
      </c>
      <c r="AF2681" t="s">
        <v>14247</v>
      </c>
      <c r="AG2681" t="s">
        <v>11755</v>
      </c>
      <c r="AH2681">
        <v>-1.8</v>
      </c>
      <c r="AI2681">
        <v>-3.37</v>
      </c>
      <c r="AJ2681">
        <v>1.01</v>
      </c>
      <c r="AK2681">
        <v>2.26</v>
      </c>
      <c r="AL2681">
        <v>-3</v>
      </c>
      <c r="AM2681">
        <v>-0.67</v>
      </c>
      <c r="AN2681">
        <v>10.39</v>
      </c>
      <c r="AO2681">
        <v>-1.39</v>
      </c>
      <c r="AP2681">
        <v>4.74</v>
      </c>
    </row>
    <row r="2682" spans="1:42">
      <c r="A2682">
        <v>2681</v>
      </c>
      <c r="B2682" t="str">
        <f>"002158"</f>
        <v>002158</v>
      </c>
      <c r="C2682" t="s">
        <v>14248</v>
      </c>
      <c r="D2682">
        <v>22.55</v>
      </c>
      <c r="E2682">
        <v>-0.4</v>
      </c>
      <c r="F2682">
        <v>-0.09</v>
      </c>
      <c r="G2682" t="s">
        <v>8966</v>
      </c>
      <c r="H2682">
        <v>172</v>
      </c>
      <c r="I2682">
        <v>22.55</v>
      </c>
      <c r="J2682">
        <v>22.59</v>
      </c>
      <c r="K2682" t="s">
        <v>14249</v>
      </c>
      <c r="L2682">
        <v>0.53</v>
      </c>
      <c r="M2682" t="s">
        <v>46</v>
      </c>
      <c r="N2682" t="s">
        <v>4508</v>
      </c>
      <c r="O2682">
        <v>22.7</v>
      </c>
      <c r="P2682">
        <v>22.39</v>
      </c>
      <c r="Q2682">
        <v>22.64</v>
      </c>
      <c r="R2682">
        <v>22.64</v>
      </c>
      <c r="S2682">
        <v>1.37</v>
      </c>
      <c r="T2682">
        <v>1.29</v>
      </c>
      <c r="U2682">
        <v>47.88</v>
      </c>
      <c r="V2682">
        <v>215</v>
      </c>
      <c r="W2682">
        <v>22.54</v>
      </c>
      <c r="X2682" t="s">
        <v>4977</v>
      </c>
      <c r="Y2682" t="s">
        <v>905</v>
      </c>
      <c r="Z2682">
        <v>1.28</v>
      </c>
      <c r="AA2682">
        <v>59</v>
      </c>
      <c r="AB2682">
        <v>20</v>
      </c>
      <c r="AC2682">
        <v>3.45</v>
      </c>
      <c r="AD2682" t="s">
        <v>14250</v>
      </c>
      <c r="AE2682" t="s">
        <v>285</v>
      </c>
      <c r="AF2682" t="s">
        <v>14251</v>
      </c>
      <c r="AG2682" t="s">
        <v>14252</v>
      </c>
      <c r="AH2682">
        <v>-1.31</v>
      </c>
      <c r="AI2682">
        <v>-1.79</v>
      </c>
      <c r="AJ2682">
        <v>1.33</v>
      </c>
      <c r="AK2682">
        <v>2.59</v>
      </c>
      <c r="AL2682">
        <v>-3</v>
      </c>
      <c r="AM2682">
        <v>-0.4</v>
      </c>
      <c r="AN2682">
        <v>-4.08</v>
      </c>
      <c r="AO2682">
        <v>-1.79</v>
      </c>
      <c r="AP2682">
        <v>-12.39</v>
      </c>
    </row>
    <row r="2683" spans="1:42">
      <c r="A2683">
        <v>2682</v>
      </c>
      <c r="B2683" t="str">
        <f>"300894"</f>
        <v>300894</v>
      </c>
      <c r="C2683" t="s">
        <v>14253</v>
      </c>
      <c r="D2683">
        <v>17.05</v>
      </c>
      <c r="E2683">
        <v>-1.45</v>
      </c>
      <c r="F2683">
        <v>-0.25</v>
      </c>
      <c r="G2683" t="s">
        <v>3210</v>
      </c>
      <c r="H2683">
        <v>327</v>
      </c>
      <c r="I2683">
        <v>17.05</v>
      </c>
      <c r="J2683">
        <v>17.06</v>
      </c>
      <c r="K2683" t="s">
        <v>14254</v>
      </c>
      <c r="L2683">
        <v>2.67</v>
      </c>
      <c r="M2683" t="s">
        <v>46</v>
      </c>
      <c r="N2683" t="s">
        <v>4531</v>
      </c>
      <c r="O2683">
        <v>17.36</v>
      </c>
      <c r="P2683">
        <v>16.85</v>
      </c>
      <c r="Q2683">
        <v>17.36</v>
      </c>
      <c r="R2683">
        <v>17.3</v>
      </c>
      <c r="S2683">
        <v>2.95</v>
      </c>
      <c r="T2683">
        <v>1.13</v>
      </c>
      <c r="U2683">
        <v>-48.97</v>
      </c>
      <c r="V2683">
        <v>-595</v>
      </c>
      <c r="W2683">
        <v>17</v>
      </c>
      <c r="X2683" t="s">
        <v>1212</v>
      </c>
      <c r="Y2683" t="s">
        <v>3793</v>
      </c>
      <c r="Z2683">
        <v>1.5</v>
      </c>
      <c r="AA2683">
        <v>48</v>
      </c>
      <c r="AB2683">
        <v>143</v>
      </c>
      <c r="AC2683">
        <v>4.49</v>
      </c>
      <c r="AD2683" t="s">
        <v>14255</v>
      </c>
      <c r="AE2683" t="s">
        <v>14256</v>
      </c>
      <c r="AF2683" t="s">
        <v>12199</v>
      </c>
      <c r="AG2683" t="s">
        <v>14257</v>
      </c>
      <c r="AH2683">
        <v>-5.75</v>
      </c>
      <c r="AI2683">
        <v>-6.32</v>
      </c>
      <c r="AJ2683">
        <v>7.9</v>
      </c>
      <c r="AK2683">
        <v>14.46</v>
      </c>
      <c r="AL2683">
        <v>-3</v>
      </c>
      <c r="AM2683">
        <v>-1.45</v>
      </c>
      <c r="AN2683">
        <v>-30.92</v>
      </c>
      <c r="AO2683">
        <v>-4.8</v>
      </c>
      <c r="AP2683">
        <v>-27.91</v>
      </c>
    </row>
    <row r="2684" spans="1:42">
      <c r="A2684">
        <v>2683</v>
      </c>
      <c r="B2684" t="str">
        <f>"000883"</f>
        <v>000883</v>
      </c>
      <c r="C2684" t="s">
        <v>14258</v>
      </c>
      <c r="D2684">
        <v>4.17</v>
      </c>
      <c r="E2684">
        <v>0.24</v>
      </c>
      <c r="F2684">
        <v>0.01</v>
      </c>
      <c r="G2684" t="s">
        <v>978</v>
      </c>
      <c r="H2684">
        <v>309</v>
      </c>
      <c r="I2684">
        <v>4.17</v>
      </c>
      <c r="J2684">
        <v>4.18</v>
      </c>
      <c r="K2684" t="s">
        <v>14259</v>
      </c>
      <c r="L2684">
        <v>0.24</v>
      </c>
      <c r="M2684" t="s">
        <v>46</v>
      </c>
      <c r="N2684" t="s">
        <v>4088</v>
      </c>
      <c r="O2684">
        <v>4.19</v>
      </c>
      <c r="P2684">
        <v>4.14</v>
      </c>
      <c r="Q2684">
        <v>4.16</v>
      </c>
      <c r="R2684">
        <v>4.16</v>
      </c>
      <c r="S2684">
        <v>1.2</v>
      </c>
      <c r="T2684">
        <v>1.11</v>
      </c>
      <c r="U2684">
        <v>-50.94</v>
      </c>
      <c r="V2684" t="s">
        <v>14260</v>
      </c>
      <c r="W2684">
        <v>4.17</v>
      </c>
      <c r="X2684" t="s">
        <v>5472</v>
      </c>
      <c r="Y2684" t="s">
        <v>6159</v>
      </c>
      <c r="Z2684">
        <v>0.63</v>
      </c>
      <c r="AA2684">
        <v>1487</v>
      </c>
      <c r="AB2684">
        <v>6385</v>
      </c>
      <c r="AC2684">
        <v>0.84</v>
      </c>
      <c r="AD2684" t="s">
        <v>1563</v>
      </c>
      <c r="AE2684" t="s">
        <v>14261</v>
      </c>
      <c r="AF2684" t="s">
        <v>14262</v>
      </c>
      <c r="AG2684" t="s">
        <v>14263</v>
      </c>
      <c r="AH2684">
        <v>0</v>
      </c>
      <c r="AI2684">
        <v>-0.24</v>
      </c>
      <c r="AJ2684">
        <v>0.61</v>
      </c>
      <c r="AK2684">
        <v>1.3</v>
      </c>
      <c r="AL2684">
        <v>2</v>
      </c>
      <c r="AM2684">
        <v>0.24</v>
      </c>
      <c r="AN2684">
        <v>0.72</v>
      </c>
      <c r="AO2684">
        <v>-2.34</v>
      </c>
      <c r="AP2684">
        <v>-1.65</v>
      </c>
    </row>
    <row r="2685" spans="1:42">
      <c r="A2685">
        <v>2684</v>
      </c>
      <c r="B2685" t="str">
        <f>"601208"</f>
        <v>601208</v>
      </c>
      <c r="C2685" t="s">
        <v>14264</v>
      </c>
      <c r="D2685">
        <v>11.9</v>
      </c>
      <c r="E2685">
        <v>-0.17</v>
      </c>
      <c r="F2685">
        <v>-0.02</v>
      </c>
      <c r="G2685" t="s">
        <v>1235</v>
      </c>
      <c r="H2685">
        <v>327</v>
      </c>
      <c r="I2685">
        <v>11.9</v>
      </c>
      <c r="J2685">
        <v>11.91</v>
      </c>
      <c r="K2685" t="s">
        <v>14265</v>
      </c>
      <c r="L2685">
        <v>0.6</v>
      </c>
      <c r="M2685" t="s">
        <v>46</v>
      </c>
      <c r="N2685" t="s">
        <v>3138</v>
      </c>
      <c r="O2685">
        <v>12</v>
      </c>
      <c r="P2685">
        <v>11.83</v>
      </c>
      <c r="Q2685">
        <v>11.94</v>
      </c>
      <c r="R2685">
        <v>11.92</v>
      </c>
      <c r="S2685">
        <v>1.43</v>
      </c>
      <c r="T2685">
        <v>0.77</v>
      </c>
      <c r="U2685">
        <v>28.37</v>
      </c>
      <c r="V2685">
        <v>527</v>
      </c>
      <c r="W2685">
        <v>11.91</v>
      </c>
      <c r="X2685" t="s">
        <v>7781</v>
      </c>
      <c r="Y2685" t="s">
        <v>3165</v>
      </c>
      <c r="Z2685">
        <v>2.03</v>
      </c>
      <c r="AA2685">
        <v>45</v>
      </c>
      <c r="AB2685">
        <v>205</v>
      </c>
      <c r="AC2685">
        <v>2.53</v>
      </c>
      <c r="AD2685" t="s">
        <v>14266</v>
      </c>
      <c r="AE2685" t="s">
        <v>14267</v>
      </c>
      <c r="AF2685" t="s">
        <v>14268</v>
      </c>
      <c r="AG2685" t="s">
        <v>3676</v>
      </c>
      <c r="AH2685">
        <v>-2.94</v>
      </c>
      <c r="AI2685">
        <v>-5.03</v>
      </c>
      <c r="AJ2685">
        <v>1.85</v>
      </c>
      <c r="AK2685">
        <v>4.47</v>
      </c>
      <c r="AL2685">
        <v>-3</v>
      </c>
      <c r="AM2685">
        <v>-0.17</v>
      </c>
      <c r="AN2685">
        <v>5.03</v>
      </c>
      <c r="AO2685">
        <v>-1.9</v>
      </c>
      <c r="AP2685">
        <v>-6.74</v>
      </c>
    </row>
    <row r="2686" spans="1:42">
      <c r="A2686">
        <v>2685</v>
      </c>
      <c r="B2686" t="str">
        <f>"300694"</f>
        <v>300694</v>
      </c>
      <c r="C2686" t="s">
        <v>14269</v>
      </c>
      <c r="D2686">
        <v>12.63</v>
      </c>
      <c r="E2686">
        <v>-0.55</v>
      </c>
      <c r="F2686">
        <v>-0.07</v>
      </c>
      <c r="G2686" t="s">
        <v>4953</v>
      </c>
      <c r="H2686">
        <v>557</v>
      </c>
      <c r="I2686">
        <v>12.62</v>
      </c>
      <c r="J2686">
        <v>12.63</v>
      </c>
      <c r="K2686" t="s">
        <v>14270</v>
      </c>
      <c r="L2686">
        <v>2.41</v>
      </c>
      <c r="M2686" t="s">
        <v>46</v>
      </c>
      <c r="N2686" t="s">
        <v>1568</v>
      </c>
      <c r="O2686">
        <v>12.75</v>
      </c>
      <c r="P2686">
        <v>12.55</v>
      </c>
      <c r="Q2686">
        <v>12.7</v>
      </c>
      <c r="R2686">
        <v>12.7</v>
      </c>
      <c r="S2686">
        <v>1.57</v>
      </c>
      <c r="T2686">
        <v>0.6</v>
      </c>
      <c r="U2686">
        <v>77.63</v>
      </c>
      <c r="V2686">
        <v>1687</v>
      </c>
      <c r="W2686">
        <v>12.64</v>
      </c>
      <c r="X2686" t="s">
        <v>3328</v>
      </c>
      <c r="Y2686" t="s">
        <v>5746</v>
      </c>
      <c r="Z2686">
        <v>0.9</v>
      </c>
      <c r="AA2686">
        <v>362</v>
      </c>
      <c r="AB2686">
        <v>8</v>
      </c>
      <c r="AC2686">
        <v>2.07</v>
      </c>
      <c r="AD2686" t="s">
        <v>14271</v>
      </c>
      <c r="AE2686" t="s">
        <v>8105</v>
      </c>
      <c r="AF2686" t="s">
        <v>12740</v>
      </c>
      <c r="AG2686" t="s">
        <v>14272</v>
      </c>
      <c r="AH2686">
        <v>-3.07</v>
      </c>
      <c r="AI2686">
        <v>-1.17</v>
      </c>
      <c r="AJ2686">
        <v>9.13</v>
      </c>
      <c r="AK2686">
        <v>22.41</v>
      </c>
      <c r="AL2686">
        <v>-3</v>
      </c>
      <c r="AM2686">
        <v>-0.55</v>
      </c>
      <c r="AN2686">
        <v>34.22</v>
      </c>
      <c r="AO2686">
        <v>6.85</v>
      </c>
      <c r="AP2686">
        <v>19.26</v>
      </c>
    </row>
    <row r="2687" spans="1:42">
      <c r="A2687">
        <v>2686</v>
      </c>
      <c r="B2687" t="str">
        <f>"300986"</f>
        <v>300986</v>
      </c>
      <c r="C2687" t="s">
        <v>14273</v>
      </c>
      <c r="D2687">
        <v>13.16</v>
      </c>
      <c r="E2687">
        <v>1.62</v>
      </c>
      <c r="F2687">
        <v>0.21</v>
      </c>
      <c r="G2687" t="s">
        <v>4421</v>
      </c>
      <c r="H2687">
        <v>778</v>
      </c>
      <c r="I2687">
        <v>13.15</v>
      </c>
      <c r="J2687">
        <v>13.16</v>
      </c>
      <c r="K2687" t="s">
        <v>14274</v>
      </c>
      <c r="L2687">
        <v>4.66</v>
      </c>
      <c r="M2687" t="s">
        <v>46</v>
      </c>
      <c r="N2687" t="s">
        <v>5929</v>
      </c>
      <c r="O2687">
        <v>13.28</v>
      </c>
      <c r="P2687">
        <v>12.68</v>
      </c>
      <c r="Q2687">
        <v>12.95</v>
      </c>
      <c r="R2687">
        <v>12.95</v>
      </c>
      <c r="S2687">
        <v>4.63</v>
      </c>
      <c r="T2687">
        <v>0.63</v>
      </c>
      <c r="U2687">
        <v>-26.4</v>
      </c>
      <c r="V2687">
        <v>-221</v>
      </c>
      <c r="W2687">
        <v>12.96</v>
      </c>
      <c r="X2687" t="s">
        <v>6266</v>
      </c>
      <c r="Y2687" t="s">
        <v>117</v>
      </c>
      <c r="Z2687">
        <v>0.89</v>
      </c>
      <c r="AA2687">
        <v>51</v>
      </c>
      <c r="AB2687">
        <v>157</v>
      </c>
      <c r="AC2687">
        <v>2.34</v>
      </c>
      <c r="AD2687" t="s">
        <v>1910</v>
      </c>
      <c r="AE2687" t="s">
        <v>9402</v>
      </c>
      <c r="AF2687" t="s">
        <v>14275</v>
      </c>
      <c r="AG2687" t="s">
        <v>7559</v>
      </c>
      <c r="AH2687">
        <v>-4.08</v>
      </c>
      <c r="AI2687">
        <v>-13.08</v>
      </c>
      <c r="AJ2687">
        <v>20.63</v>
      </c>
      <c r="AK2687">
        <v>41.75</v>
      </c>
      <c r="AL2687">
        <v>1</v>
      </c>
      <c r="AM2687">
        <v>1.62</v>
      </c>
      <c r="AN2687">
        <v>-48.85</v>
      </c>
      <c r="AO2687">
        <v>-10.17</v>
      </c>
      <c r="AP2687">
        <v>-42.81</v>
      </c>
    </row>
    <row r="2688" spans="1:42">
      <c r="A2688">
        <v>2687</v>
      </c>
      <c r="B2688" t="str">
        <f>"600688"</f>
        <v>600688</v>
      </c>
      <c r="C2688" t="s">
        <v>14276</v>
      </c>
      <c r="D2688">
        <v>2.93</v>
      </c>
      <c r="E2688">
        <v>0.34</v>
      </c>
      <c r="F2688">
        <v>0.01</v>
      </c>
      <c r="G2688" t="s">
        <v>1225</v>
      </c>
      <c r="H2688">
        <v>3857</v>
      </c>
      <c r="I2688">
        <v>2.92</v>
      </c>
      <c r="J2688">
        <v>2.93</v>
      </c>
      <c r="K2688" t="s">
        <v>14277</v>
      </c>
      <c r="L2688">
        <v>0.3</v>
      </c>
      <c r="M2688" t="s">
        <v>46</v>
      </c>
      <c r="N2688" t="s">
        <v>14278</v>
      </c>
      <c r="O2688">
        <v>2.94</v>
      </c>
      <c r="P2688">
        <v>2.9</v>
      </c>
      <c r="Q2688">
        <v>2.92</v>
      </c>
      <c r="R2688">
        <v>2.92</v>
      </c>
      <c r="S2688">
        <v>1.37</v>
      </c>
      <c r="T2688">
        <v>1.27</v>
      </c>
      <c r="U2688">
        <v>-10.16</v>
      </c>
      <c r="V2688">
        <v>-6385</v>
      </c>
      <c r="W2688">
        <v>2.92</v>
      </c>
      <c r="X2688" t="s">
        <v>2960</v>
      </c>
      <c r="Y2688" t="s">
        <v>1499</v>
      </c>
      <c r="Z2688">
        <v>1.14</v>
      </c>
      <c r="AA2688">
        <v>2261</v>
      </c>
      <c r="AB2688">
        <v>5213</v>
      </c>
      <c r="AC2688">
        <v>1.24</v>
      </c>
      <c r="AD2688" t="s">
        <v>14279</v>
      </c>
      <c r="AE2688" t="s">
        <v>5110</v>
      </c>
      <c r="AF2688" t="s">
        <v>14280</v>
      </c>
      <c r="AG2688" t="s">
        <v>3005</v>
      </c>
      <c r="AH2688">
        <v>-1.01</v>
      </c>
      <c r="AI2688">
        <v>-1.01</v>
      </c>
      <c r="AJ2688">
        <v>0.78</v>
      </c>
      <c r="AK2688">
        <v>1.46</v>
      </c>
      <c r="AL2688">
        <v>2</v>
      </c>
      <c r="AM2688">
        <v>0.34</v>
      </c>
      <c r="AN2688">
        <v>-5.79</v>
      </c>
      <c r="AO2688">
        <v>-2.33</v>
      </c>
      <c r="AP2688">
        <v>-7.57</v>
      </c>
    </row>
    <row r="2689" spans="1:42">
      <c r="A2689">
        <v>2688</v>
      </c>
      <c r="B2689" t="str">
        <f>"000898"</f>
        <v>000898</v>
      </c>
      <c r="C2689" t="s">
        <v>14281</v>
      </c>
      <c r="D2689">
        <v>2.6</v>
      </c>
      <c r="E2689">
        <v>1.56</v>
      </c>
      <c r="F2689">
        <v>0.04</v>
      </c>
      <c r="G2689" t="s">
        <v>851</v>
      </c>
      <c r="H2689">
        <v>1346</v>
      </c>
      <c r="I2689">
        <v>2.59</v>
      </c>
      <c r="J2689">
        <v>2.6</v>
      </c>
      <c r="K2689" t="s">
        <v>14282</v>
      </c>
      <c r="L2689">
        <v>0.31</v>
      </c>
      <c r="M2689" t="s">
        <v>46</v>
      </c>
      <c r="N2689" t="s">
        <v>14283</v>
      </c>
      <c r="O2689">
        <v>2.6</v>
      </c>
      <c r="P2689">
        <v>2.56</v>
      </c>
      <c r="Q2689">
        <v>2.57</v>
      </c>
      <c r="R2689">
        <v>2.56</v>
      </c>
      <c r="S2689">
        <v>1.56</v>
      </c>
      <c r="T2689">
        <v>0.98</v>
      </c>
      <c r="U2689">
        <v>-12.41</v>
      </c>
      <c r="V2689" t="s">
        <v>14284</v>
      </c>
      <c r="W2689">
        <v>2.59</v>
      </c>
      <c r="X2689" t="s">
        <v>6635</v>
      </c>
      <c r="Y2689" t="s">
        <v>1412</v>
      </c>
      <c r="Z2689">
        <v>0.62</v>
      </c>
      <c r="AA2689" t="s">
        <v>2667</v>
      </c>
      <c r="AB2689">
        <v>6612</v>
      </c>
      <c r="AC2689">
        <v>0.44</v>
      </c>
      <c r="AD2689" t="s">
        <v>14285</v>
      </c>
      <c r="AE2689" t="s">
        <v>14286</v>
      </c>
      <c r="AF2689" t="s">
        <v>14287</v>
      </c>
      <c r="AG2689" t="s">
        <v>14288</v>
      </c>
      <c r="AH2689">
        <v>-1.14</v>
      </c>
      <c r="AI2689">
        <v>-2.26</v>
      </c>
      <c r="AJ2689">
        <v>1.05</v>
      </c>
      <c r="AK2689">
        <v>1.89</v>
      </c>
      <c r="AL2689">
        <v>1</v>
      </c>
      <c r="AM2689">
        <v>1.56</v>
      </c>
      <c r="AN2689">
        <v>-2.26</v>
      </c>
      <c r="AO2689">
        <v>0</v>
      </c>
      <c r="AP2689">
        <v>-3.35</v>
      </c>
    </row>
    <row r="2690" spans="1:42">
      <c r="A2690">
        <v>2689</v>
      </c>
      <c r="B2690" t="str">
        <f>"600720"</f>
        <v>600720</v>
      </c>
      <c r="C2690" t="s">
        <v>14289</v>
      </c>
      <c r="D2690">
        <v>10.49</v>
      </c>
      <c r="E2690">
        <v>1.55</v>
      </c>
      <c r="F2690">
        <v>0.16</v>
      </c>
      <c r="G2690" t="s">
        <v>6801</v>
      </c>
      <c r="H2690">
        <v>475</v>
      </c>
      <c r="I2690">
        <v>10.49</v>
      </c>
      <c r="J2690">
        <v>10.5</v>
      </c>
      <c r="K2690" t="s">
        <v>14290</v>
      </c>
      <c r="L2690">
        <v>0.78</v>
      </c>
      <c r="M2690" t="s">
        <v>46</v>
      </c>
      <c r="N2690" t="s">
        <v>3174</v>
      </c>
      <c r="O2690">
        <v>10.54</v>
      </c>
      <c r="P2690">
        <v>10.28</v>
      </c>
      <c r="Q2690">
        <v>10.42</v>
      </c>
      <c r="R2690">
        <v>10.33</v>
      </c>
      <c r="S2690">
        <v>2.52</v>
      </c>
      <c r="T2690">
        <v>1.24</v>
      </c>
      <c r="U2690">
        <v>-18.33</v>
      </c>
      <c r="V2690">
        <v>-914</v>
      </c>
      <c r="W2690">
        <v>10.45</v>
      </c>
      <c r="X2690" t="s">
        <v>9251</v>
      </c>
      <c r="Y2690" t="s">
        <v>2327</v>
      </c>
      <c r="Z2690">
        <v>0.71</v>
      </c>
      <c r="AA2690">
        <v>65</v>
      </c>
      <c r="AB2690">
        <v>273</v>
      </c>
      <c r="AC2690">
        <v>0.97</v>
      </c>
      <c r="AD2690" t="s">
        <v>7554</v>
      </c>
      <c r="AE2690" t="s">
        <v>7791</v>
      </c>
      <c r="AF2690" t="s">
        <v>14291</v>
      </c>
      <c r="AG2690" t="s">
        <v>9110</v>
      </c>
      <c r="AH2690">
        <v>-0.76</v>
      </c>
      <c r="AI2690">
        <v>-0.94</v>
      </c>
      <c r="AJ2690">
        <v>1.65</v>
      </c>
      <c r="AK2690">
        <v>3.96</v>
      </c>
      <c r="AL2690">
        <v>1</v>
      </c>
      <c r="AM2690">
        <v>1.55</v>
      </c>
      <c r="AN2690">
        <v>5.64</v>
      </c>
      <c r="AO2690">
        <v>-1.59</v>
      </c>
      <c r="AP2690">
        <v>-2.69</v>
      </c>
    </row>
    <row r="2691" spans="1:42">
      <c r="A2691">
        <v>2690</v>
      </c>
      <c r="B2691" t="str">
        <f>"688630"</f>
        <v>688630</v>
      </c>
      <c r="C2691" t="s">
        <v>14292</v>
      </c>
      <c r="D2691">
        <v>82.35</v>
      </c>
      <c r="E2691">
        <v>-1.38</v>
      </c>
      <c r="F2691">
        <v>-1.15</v>
      </c>
      <c r="G2691">
        <v>7675</v>
      </c>
      <c r="H2691">
        <v>57</v>
      </c>
      <c r="I2691">
        <v>82.32</v>
      </c>
      <c r="J2691">
        <v>82.35</v>
      </c>
      <c r="K2691" t="s">
        <v>14293</v>
      </c>
      <c r="L2691">
        <v>1.1</v>
      </c>
      <c r="M2691" t="s">
        <v>46</v>
      </c>
      <c r="N2691" t="s">
        <v>597</v>
      </c>
      <c r="O2691">
        <v>83.98</v>
      </c>
      <c r="P2691">
        <v>82.02</v>
      </c>
      <c r="Q2691">
        <v>83.5</v>
      </c>
      <c r="R2691">
        <v>83.5</v>
      </c>
      <c r="S2691">
        <v>2.35</v>
      </c>
      <c r="T2691">
        <v>0.66</v>
      </c>
      <c r="U2691">
        <v>-20.49</v>
      </c>
      <c r="V2691">
        <v>-10</v>
      </c>
      <c r="W2691">
        <v>82.8</v>
      </c>
      <c r="X2691">
        <v>3923</v>
      </c>
      <c r="Y2691">
        <v>3752</v>
      </c>
      <c r="Z2691">
        <v>1.05</v>
      </c>
      <c r="AA2691">
        <v>2</v>
      </c>
      <c r="AB2691">
        <v>4</v>
      </c>
      <c r="AC2691">
        <v>5.51</v>
      </c>
      <c r="AD2691" t="s">
        <v>11390</v>
      </c>
      <c r="AE2691" t="s">
        <v>1739</v>
      </c>
      <c r="AF2691" t="s">
        <v>14294</v>
      </c>
      <c r="AG2691" t="s">
        <v>14295</v>
      </c>
      <c r="AH2691">
        <v>-5.97</v>
      </c>
      <c r="AI2691">
        <v>-4.8</v>
      </c>
      <c r="AJ2691">
        <v>5.24</v>
      </c>
      <c r="AK2691">
        <v>9.48</v>
      </c>
      <c r="AL2691">
        <v>-3</v>
      </c>
      <c r="AM2691">
        <v>-1.38</v>
      </c>
      <c r="AN2691">
        <v>-1.31</v>
      </c>
      <c r="AO2691">
        <v>1.32</v>
      </c>
      <c r="AP2691">
        <v>18.37</v>
      </c>
    </row>
    <row r="2692" spans="1:42">
      <c r="A2692">
        <v>2691</v>
      </c>
      <c r="B2692" t="str">
        <f>"603809"</f>
        <v>603809</v>
      </c>
      <c r="C2692" t="s">
        <v>14296</v>
      </c>
      <c r="D2692">
        <v>12.24</v>
      </c>
      <c r="E2692">
        <v>0.58</v>
      </c>
      <c r="F2692">
        <v>0.07</v>
      </c>
      <c r="G2692" t="s">
        <v>1988</v>
      </c>
      <c r="H2692">
        <v>510</v>
      </c>
      <c r="I2692">
        <v>12.23</v>
      </c>
      <c r="J2692">
        <v>12.24</v>
      </c>
      <c r="K2692" t="s">
        <v>14297</v>
      </c>
      <c r="L2692">
        <v>1.33</v>
      </c>
      <c r="M2692" t="s">
        <v>46</v>
      </c>
      <c r="N2692" t="s">
        <v>6443</v>
      </c>
      <c r="O2692">
        <v>12.25</v>
      </c>
      <c r="P2692">
        <v>11.96</v>
      </c>
      <c r="Q2692">
        <v>12.17</v>
      </c>
      <c r="R2692">
        <v>12.17</v>
      </c>
      <c r="S2692">
        <v>2.38</v>
      </c>
      <c r="T2692">
        <v>1.01</v>
      </c>
      <c r="U2692">
        <v>-63.7</v>
      </c>
      <c r="V2692">
        <v>-1310</v>
      </c>
      <c r="W2692">
        <v>12.11</v>
      </c>
      <c r="X2692" t="s">
        <v>5746</v>
      </c>
      <c r="Y2692" t="s">
        <v>117</v>
      </c>
      <c r="Z2692">
        <v>1.02</v>
      </c>
      <c r="AA2692">
        <v>13</v>
      </c>
      <c r="AB2692">
        <v>90</v>
      </c>
      <c r="AC2692">
        <v>2.27</v>
      </c>
      <c r="AD2692" t="s">
        <v>14298</v>
      </c>
      <c r="AE2692" t="s">
        <v>5714</v>
      </c>
      <c r="AF2692" t="s">
        <v>14298</v>
      </c>
      <c r="AG2692" t="s">
        <v>5714</v>
      </c>
      <c r="AH2692">
        <v>-2.78</v>
      </c>
      <c r="AI2692">
        <v>-3.16</v>
      </c>
      <c r="AJ2692">
        <v>4.1</v>
      </c>
      <c r="AK2692">
        <v>7.93</v>
      </c>
      <c r="AL2692">
        <v>1</v>
      </c>
      <c r="AM2692">
        <v>0.58</v>
      </c>
      <c r="AN2692">
        <v>17.02</v>
      </c>
      <c r="AO2692">
        <v>-0.73</v>
      </c>
      <c r="AP2692">
        <v>3.9</v>
      </c>
    </row>
    <row r="2693" spans="1:42">
      <c r="A2693">
        <v>2692</v>
      </c>
      <c r="B2693" t="str">
        <f>"002685"</f>
        <v>002685</v>
      </c>
      <c r="C2693" t="s">
        <v>14299</v>
      </c>
      <c r="D2693">
        <v>3.84</v>
      </c>
      <c r="E2693">
        <v>0</v>
      </c>
      <c r="F2693">
        <v>0</v>
      </c>
      <c r="G2693" t="s">
        <v>2778</v>
      </c>
      <c r="H2693">
        <v>2072</v>
      </c>
      <c r="I2693">
        <v>3.83</v>
      </c>
      <c r="J2693">
        <v>3.84</v>
      </c>
      <c r="K2693" t="s">
        <v>14300</v>
      </c>
      <c r="L2693">
        <v>2.04</v>
      </c>
      <c r="M2693" t="s">
        <v>46</v>
      </c>
      <c r="N2693" t="s">
        <v>9420</v>
      </c>
      <c r="O2693">
        <v>3.85</v>
      </c>
      <c r="P2693">
        <v>3.79</v>
      </c>
      <c r="Q2693">
        <v>3.82</v>
      </c>
      <c r="R2693">
        <v>3.84</v>
      </c>
      <c r="S2693">
        <v>1.56</v>
      </c>
      <c r="T2693">
        <v>0.79</v>
      </c>
      <c r="U2693">
        <v>-39.53</v>
      </c>
      <c r="V2693" t="s">
        <v>13602</v>
      </c>
      <c r="W2693">
        <v>3.82</v>
      </c>
      <c r="X2693" t="s">
        <v>9123</v>
      </c>
      <c r="Y2693" t="s">
        <v>9098</v>
      </c>
      <c r="Z2693">
        <v>1.45</v>
      </c>
      <c r="AA2693">
        <v>2365</v>
      </c>
      <c r="AB2693">
        <v>2364</v>
      </c>
      <c r="AC2693">
        <v>1.79</v>
      </c>
      <c r="AD2693" t="s">
        <v>3449</v>
      </c>
      <c r="AE2693" t="s">
        <v>14301</v>
      </c>
      <c r="AF2693" t="s">
        <v>10398</v>
      </c>
      <c r="AG2693" t="s">
        <v>14302</v>
      </c>
      <c r="AH2693">
        <v>-2.29</v>
      </c>
      <c r="AI2693">
        <v>-2.29</v>
      </c>
      <c r="AJ2693">
        <v>7.15</v>
      </c>
      <c r="AK2693">
        <v>15.03</v>
      </c>
      <c r="AL2693">
        <v>0</v>
      </c>
      <c r="AM2693">
        <v>0</v>
      </c>
      <c r="AN2693">
        <v>2.95</v>
      </c>
      <c r="AO2693">
        <v>5.21</v>
      </c>
      <c r="AP2693">
        <v>-11.52</v>
      </c>
    </row>
    <row r="2694" spans="1:42">
      <c r="A2694">
        <v>2693</v>
      </c>
      <c r="B2694" t="str">
        <f>"301180"</f>
        <v>301180</v>
      </c>
      <c r="C2694" t="s">
        <v>14303</v>
      </c>
      <c r="D2694">
        <v>18.18</v>
      </c>
      <c r="E2694">
        <v>0.17</v>
      </c>
      <c r="F2694">
        <v>0.03</v>
      </c>
      <c r="G2694" t="s">
        <v>5693</v>
      </c>
      <c r="H2694">
        <v>408</v>
      </c>
      <c r="I2694">
        <v>18.17</v>
      </c>
      <c r="J2694">
        <v>18.18</v>
      </c>
      <c r="K2694" t="s">
        <v>14304</v>
      </c>
      <c r="L2694">
        <v>6.15</v>
      </c>
      <c r="M2694" t="s">
        <v>46</v>
      </c>
      <c r="N2694" t="s">
        <v>2112</v>
      </c>
      <c r="O2694">
        <v>18.23</v>
      </c>
      <c r="P2694">
        <v>17.24</v>
      </c>
      <c r="Q2694">
        <v>18.1</v>
      </c>
      <c r="R2694">
        <v>18.15</v>
      </c>
      <c r="S2694">
        <v>5.45</v>
      </c>
      <c r="T2694">
        <v>0.54</v>
      </c>
      <c r="U2694">
        <v>29.43</v>
      </c>
      <c r="V2694">
        <v>161</v>
      </c>
      <c r="W2694">
        <v>17.82</v>
      </c>
      <c r="X2694" t="s">
        <v>1118</v>
      </c>
      <c r="Y2694" t="s">
        <v>6425</v>
      </c>
      <c r="Z2694">
        <v>0.84</v>
      </c>
      <c r="AA2694">
        <v>9</v>
      </c>
      <c r="AB2694">
        <v>1</v>
      </c>
      <c r="AC2694">
        <v>5.46</v>
      </c>
      <c r="AD2694" t="s">
        <v>7381</v>
      </c>
      <c r="AE2694" t="s">
        <v>13097</v>
      </c>
      <c r="AF2694" t="s">
        <v>14305</v>
      </c>
      <c r="AG2694" t="s">
        <v>5332</v>
      </c>
      <c r="AH2694">
        <v>-1.3</v>
      </c>
      <c r="AI2694">
        <v>-0.55</v>
      </c>
      <c r="AJ2694">
        <v>28.59</v>
      </c>
      <c r="AK2694">
        <v>62.85</v>
      </c>
      <c r="AL2694">
        <v>1</v>
      </c>
      <c r="AM2694">
        <v>0.17</v>
      </c>
      <c r="AN2694">
        <v>10.85</v>
      </c>
      <c r="AO2694">
        <v>3.24</v>
      </c>
      <c r="AP2694">
        <v>-5.71</v>
      </c>
    </row>
    <row r="2695" spans="1:42">
      <c r="A2695">
        <v>2694</v>
      </c>
      <c r="B2695" t="str">
        <f>"600143"</f>
        <v>600143</v>
      </c>
      <c r="C2695" t="s">
        <v>14306</v>
      </c>
      <c r="D2695">
        <v>7.52</v>
      </c>
      <c r="E2695">
        <v>-0.66</v>
      </c>
      <c r="F2695">
        <v>-0.05</v>
      </c>
      <c r="G2695" t="s">
        <v>10609</v>
      </c>
      <c r="H2695">
        <v>963</v>
      </c>
      <c r="I2695">
        <v>7.52</v>
      </c>
      <c r="J2695">
        <v>7.53</v>
      </c>
      <c r="K2695" t="s">
        <v>14304</v>
      </c>
      <c r="L2695">
        <v>0.33</v>
      </c>
      <c r="M2695" t="s">
        <v>46</v>
      </c>
      <c r="N2695" t="s">
        <v>5967</v>
      </c>
      <c r="O2695">
        <v>7.62</v>
      </c>
      <c r="P2695">
        <v>7.51</v>
      </c>
      <c r="Q2695">
        <v>7.55</v>
      </c>
      <c r="R2695">
        <v>7.57</v>
      </c>
      <c r="S2695">
        <v>1.45</v>
      </c>
      <c r="T2695">
        <v>1.12</v>
      </c>
      <c r="U2695">
        <v>72.61</v>
      </c>
      <c r="V2695" t="s">
        <v>1154</v>
      </c>
      <c r="W2695">
        <v>7.54</v>
      </c>
      <c r="X2695" t="s">
        <v>2299</v>
      </c>
      <c r="Y2695" t="s">
        <v>8156</v>
      </c>
      <c r="Z2695">
        <v>1.23</v>
      </c>
      <c r="AA2695">
        <v>2218</v>
      </c>
      <c r="AB2695">
        <v>240</v>
      </c>
      <c r="AC2695">
        <v>1.21</v>
      </c>
      <c r="AD2695" t="s">
        <v>5646</v>
      </c>
      <c r="AE2695" t="s">
        <v>4384</v>
      </c>
      <c r="AF2695" t="s">
        <v>14307</v>
      </c>
      <c r="AG2695" t="s">
        <v>3098</v>
      </c>
      <c r="AH2695">
        <v>-2.72</v>
      </c>
      <c r="AI2695">
        <v>-4.08</v>
      </c>
      <c r="AJ2695">
        <v>0.83</v>
      </c>
      <c r="AK2695">
        <v>1.78</v>
      </c>
      <c r="AL2695">
        <v>-3</v>
      </c>
      <c r="AM2695">
        <v>-0.66</v>
      </c>
      <c r="AN2695">
        <v>-20.51</v>
      </c>
      <c r="AO2695">
        <v>-2.21</v>
      </c>
      <c r="AP2695">
        <v>-23.34</v>
      </c>
    </row>
    <row r="2696" spans="1:42">
      <c r="A2696">
        <v>2695</v>
      </c>
      <c r="B2696" t="str">
        <f>"873726"</f>
        <v>873726</v>
      </c>
      <c r="C2696" t="s">
        <v>14308</v>
      </c>
      <c r="D2696">
        <v>29.05</v>
      </c>
      <c r="E2696">
        <v>-0.34</v>
      </c>
      <c r="F2696">
        <v>-0.1</v>
      </c>
      <c r="G2696" t="s">
        <v>1335</v>
      </c>
      <c r="H2696">
        <v>633</v>
      </c>
      <c r="I2696">
        <v>29</v>
      </c>
      <c r="J2696">
        <v>29.05</v>
      </c>
      <c r="K2696" t="s">
        <v>14309</v>
      </c>
      <c r="L2696">
        <v>13</v>
      </c>
      <c r="M2696" t="s">
        <v>46</v>
      </c>
      <c r="N2696" t="s">
        <v>6137</v>
      </c>
      <c r="O2696">
        <v>30.1</v>
      </c>
      <c r="P2696">
        <v>27.02</v>
      </c>
      <c r="Q2696">
        <v>29.28</v>
      </c>
      <c r="R2696">
        <v>29.15</v>
      </c>
      <c r="S2696">
        <v>10.57</v>
      </c>
      <c r="T2696">
        <v>0.6</v>
      </c>
      <c r="U2696">
        <v>75.01</v>
      </c>
      <c r="V2696">
        <v>415</v>
      </c>
      <c r="W2696">
        <v>27.98</v>
      </c>
      <c r="X2696" t="s">
        <v>6595</v>
      </c>
      <c r="Y2696">
        <v>7806</v>
      </c>
      <c r="Z2696">
        <v>1.9</v>
      </c>
      <c r="AA2696">
        <v>180</v>
      </c>
      <c r="AB2696">
        <v>7</v>
      </c>
      <c r="AC2696">
        <v>3.97</v>
      </c>
      <c r="AD2696" t="s">
        <v>14310</v>
      </c>
      <c r="AE2696" t="s">
        <v>14311</v>
      </c>
      <c r="AF2696" t="s">
        <v>14312</v>
      </c>
      <c r="AG2696" t="s">
        <v>14313</v>
      </c>
      <c r="AH2696">
        <v>-16.5</v>
      </c>
      <c r="AI2696">
        <v>13.52</v>
      </c>
      <c r="AJ2696">
        <v>46.99</v>
      </c>
      <c r="AK2696">
        <v>121.75</v>
      </c>
      <c r="AL2696">
        <v>-3</v>
      </c>
      <c r="AM2696">
        <v>-0.34</v>
      </c>
      <c r="AN2696">
        <v>18.81</v>
      </c>
      <c r="AO2696">
        <v>33.56</v>
      </c>
      <c r="AP2696">
        <v>18.81</v>
      </c>
    </row>
    <row r="2697" spans="1:42">
      <c r="A2697">
        <v>2696</v>
      </c>
      <c r="B2697" t="str">
        <f>"603713"</f>
        <v>603713</v>
      </c>
      <c r="C2697" t="s">
        <v>14314</v>
      </c>
      <c r="D2697">
        <v>57.21</v>
      </c>
      <c r="E2697">
        <v>-0.64</v>
      </c>
      <c r="F2697">
        <v>-0.37</v>
      </c>
      <c r="G2697" t="s">
        <v>2807</v>
      </c>
      <c r="H2697">
        <v>63</v>
      </c>
      <c r="I2697">
        <v>57.21</v>
      </c>
      <c r="J2697">
        <v>57.22</v>
      </c>
      <c r="K2697" t="s">
        <v>14315</v>
      </c>
      <c r="L2697">
        <v>0.68</v>
      </c>
      <c r="M2697" t="s">
        <v>46</v>
      </c>
      <c r="N2697" t="s">
        <v>1539</v>
      </c>
      <c r="O2697">
        <v>57.77</v>
      </c>
      <c r="P2697">
        <v>56.2</v>
      </c>
      <c r="Q2697">
        <v>57.77</v>
      </c>
      <c r="R2697">
        <v>57.58</v>
      </c>
      <c r="S2697">
        <v>2.73</v>
      </c>
      <c r="T2697">
        <v>1.04</v>
      </c>
      <c r="U2697">
        <v>26.76</v>
      </c>
      <c r="V2697">
        <v>19</v>
      </c>
      <c r="W2697">
        <v>56.84</v>
      </c>
      <c r="X2697">
        <v>5092</v>
      </c>
      <c r="Y2697">
        <v>6041</v>
      </c>
      <c r="Z2697">
        <v>0.84</v>
      </c>
      <c r="AA2697">
        <v>32</v>
      </c>
      <c r="AB2697">
        <v>1</v>
      </c>
      <c r="AC2697">
        <v>2.35</v>
      </c>
      <c r="AD2697" t="s">
        <v>14316</v>
      </c>
      <c r="AE2697" t="s">
        <v>14317</v>
      </c>
      <c r="AF2697" t="s">
        <v>14318</v>
      </c>
      <c r="AG2697" t="s">
        <v>14319</v>
      </c>
      <c r="AH2697">
        <v>-2.94</v>
      </c>
      <c r="AI2697">
        <v>-6.66</v>
      </c>
      <c r="AJ2697">
        <v>1.82</v>
      </c>
      <c r="AK2697">
        <v>3.94</v>
      </c>
      <c r="AL2697">
        <v>-9</v>
      </c>
      <c r="AM2697">
        <v>-0.64</v>
      </c>
      <c r="AN2697">
        <v>-50.73</v>
      </c>
      <c r="AO2697">
        <v>-6.66</v>
      </c>
      <c r="AP2697">
        <v>-49.59</v>
      </c>
    </row>
    <row r="2698" spans="1:42">
      <c r="A2698">
        <v>2697</v>
      </c>
      <c r="B2698" t="str">
        <f>"300885"</f>
        <v>300885</v>
      </c>
      <c r="C2698" t="s">
        <v>14320</v>
      </c>
      <c r="D2698">
        <v>10.26</v>
      </c>
      <c r="E2698">
        <v>-0.97</v>
      </c>
      <c r="F2698">
        <v>-0.1</v>
      </c>
      <c r="G2698" t="s">
        <v>8310</v>
      </c>
      <c r="H2698">
        <v>988</v>
      </c>
      <c r="I2698">
        <v>10.26</v>
      </c>
      <c r="J2698">
        <v>10.27</v>
      </c>
      <c r="K2698" t="s">
        <v>14315</v>
      </c>
      <c r="L2698">
        <v>2.46</v>
      </c>
      <c r="M2698" t="s">
        <v>46</v>
      </c>
      <c r="N2698" t="s">
        <v>8220</v>
      </c>
      <c r="O2698">
        <v>10.39</v>
      </c>
      <c r="P2698">
        <v>10.16</v>
      </c>
      <c r="Q2698">
        <v>10.37</v>
      </c>
      <c r="R2698">
        <v>10.36</v>
      </c>
      <c r="S2698">
        <v>2.22</v>
      </c>
      <c r="T2698">
        <v>0.6</v>
      </c>
      <c r="U2698">
        <v>3.91</v>
      </c>
      <c r="V2698">
        <v>84</v>
      </c>
      <c r="W2698">
        <v>10.26</v>
      </c>
      <c r="X2698" t="s">
        <v>7531</v>
      </c>
      <c r="Y2698" t="s">
        <v>688</v>
      </c>
      <c r="Z2698">
        <v>1.34</v>
      </c>
      <c r="AA2698">
        <v>506</v>
      </c>
      <c r="AB2698">
        <v>72</v>
      </c>
      <c r="AC2698">
        <v>3.15</v>
      </c>
      <c r="AD2698" t="s">
        <v>14321</v>
      </c>
      <c r="AE2698" t="s">
        <v>12121</v>
      </c>
      <c r="AF2698" t="s">
        <v>14321</v>
      </c>
      <c r="AG2698" t="s">
        <v>12121</v>
      </c>
      <c r="AH2698">
        <v>-4.65</v>
      </c>
      <c r="AI2698">
        <v>-1.16</v>
      </c>
      <c r="AJ2698">
        <v>12.37</v>
      </c>
      <c r="AK2698">
        <v>22.96</v>
      </c>
      <c r="AL2698">
        <v>-3</v>
      </c>
      <c r="AM2698">
        <v>-0.97</v>
      </c>
      <c r="AN2698">
        <v>19.72</v>
      </c>
      <c r="AO2698">
        <v>2.91</v>
      </c>
      <c r="AP2698">
        <v>7.32</v>
      </c>
    </row>
    <row r="2699" spans="1:42">
      <c r="A2699">
        <v>2698</v>
      </c>
      <c r="B2699" t="str">
        <f>"002716"</f>
        <v>002716</v>
      </c>
      <c r="C2699" t="s">
        <v>14322</v>
      </c>
      <c r="D2699">
        <v>2.84</v>
      </c>
      <c r="E2699">
        <v>-1.05</v>
      </c>
      <c r="F2699">
        <v>-0.03</v>
      </c>
      <c r="G2699" t="s">
        <v>508</v>
      </c>
      <c r="H2699">
        <v>1114</v>
      </c>
      <c r="I2699">
        <v>2.84</v>
      </c>
      <c r="J2699">
        <v>2.85</v>
      </c>
      <c r="K2699" t="s">
        <v>14323</v>
      </c>
      <c r="L2699">
        <v>1.01</v>
      </c>
      <c r="M2699" t="s">
        <v>46</v>
      </c>
      <c r="N2699" t="s">
        <v>14324</v>
      </c>
      <c r="O2699">
        <v>2.87</v>
      </c>
      <c r="P2699">
        <v>2.83</v>
      </c>
      <c r="Q2699">
        <v>2.86</v>
      </c>
      <c r="R2699">
        <v>2.87</v>
      </c>
      <c r="S2699">
        <v>1.39</v>
      </c>
      <c r="T2699">
        <v>0.99</v>
      </c>
      <c r="U2699">
        <v>13.4</v>
      </c>
      <c r="V2699">
        <v>8186</v>
      </c>
      <c r="W2699">
        <v>2.85</v>
      </c>
      <c r="X2699" t="s">
        <v>446</v>
      </c>
      <c r="Y2699" t="s">
        <v>7806</v>
      </c>
      <c r="Z2699">
        <v>1.35</v>
      </c>
      <c r="AA2699">
        <v>1837</v>
      </c>
      <c r="AB2699">
        <v>3047</v>
      </c>
      <c r="AC2699">
        <v>3.46</v>
      </c>
      <c r="AD2699" t="s">
        <v>14325</v>
      </c>
      <c r="AE2699" t="s">
        <v>14326</v>
      </c>
      <c r="AF2699" t="s">
        <v>14327</v>
      </c>
      <c r="AG2699" t="s">
        <v>14328</v>
      </c>
      <c r="AH2699">
        <v>0.71</v>
      </c>
      <c r="AI2699">
        <v>1.79</v>
      </c>
      <c r="AJ2699">
        <v>3.93</v>
      </c>
      <c r="AK2699">
        <v>6.12</v>
      </c>
      <c r="AL2699">
        <v>-1</v>
      </c>
      <c r="AM2699">
        <v>-1.05</v>
      </c>
      <c r="AN2699">
        <v>-5.65</v>
      </c>
      <c r="AO2699">
        <v>4.41</v>
      </c>
      <c r="AP2699">
        <v>-15.48</v>
      </c>
    </row>
    <row r="2700" spans="1:42">
      <c r="A2700">
        <v>2699</v>
      </c>
      <c r="B2700" t="str">
        <f>"300236"</f>
        <v>300236</v>
      </c>
      <c r="C2700" t="s">
        <v>14329</v>
      </c>
      <c r="D2700">
        <v>36.83</v>
      </c>
      <c r="E2700">
        <v>0.68</v>
      </c>
      <c r="F2700">
        <v>0.25</v>
      </c>
      <c r="G2700" t="s">
        <v>6656</v>
      </c>
      <c r="H2700">
        <v>293</v>
      </c>
      <c r="I2700">
        <v>36.83</v>
      </c>
      <c r="J2700">
        <v>36.84</v>
      </c>
      <c r="K2700" t="s">
        <v>14330</v>
      </c>
      <c r="L2700">
        <v>0.62</v>
      </c>
      <c r="M2700" t="s">
        <v>46</v>
      </c>
      <c r="N2700" t="s">
        <v>14331</v>
      </c>
      <c r="O2700">
        <v>36.97</v>
      </c>
      <c r="P2700">
        <v>36.22</v>
      </c>
      <c r="Q2700">
        <v>36.47</v>
      </c>
      <c r="R2700">
        <v>36.58</v>
      </c>
      <c r="S2700">
        <v>2.05</v>
      </c>
      <c r="T2700">
        <v>0.76</v>
      </c>
      <c r="U2700">
        <v>31.25</v>
      </c>
      <c r="V2700">
        <v>120</v>
      </c>
      <c r="W2700">
        <v>36.59</v>
      </c>
      <c r="X2700">
        <v>9906</v>
      </c>
      <c r="Y2700">
        <v>7367</v>
      </c>
      <c r="Z2700">
        <v>1.34</v>
      </c>
      <c r="AA2700">
        <v>10</v>
      </c>
      <c r="AB2700">
        <v>12</v>
      </c>
      <c r="AC2700">
        <v>2.62</v>
      </c>
      <c r="AD2700" t="s">
        <v>14332</v>
      </c>
      <c r="AE2700" t="s">
        <v>11970</v>
      </c>
      <c r="AF2700" t="s">
        <v>947</v>
      </c>
      <c r="AG2700" t="s">
        <v>2998</v>
      </c>
      <c r="AH2700">
        <v>-1.34</v>
      </c>
      <c r="AI2700">
        <v>-2.31</v>
      </c>
      <c r="AJ2700">
        <v>1.99</v>
      </c>
      <c r="AK2700">
        <v>4.73</v>
      </c>
      <c r="AL2700">
        <v>1</v>
      </c>
      <c r="AM2700">
        <v>0.68</v>
      </c>
      <c r="AN2700">
        <v>33.25</v>
      </c>
      <c r="AO2700">
        <v>0.6</v>
      </c>
      <c r="AP2700">
        <v>18.35</v>
      </c>
    </row>
    <row r="2701" spans="1:42">
      <c r="A2701">
        <v>2700</v>
      </c>
      <c r="B2701" t="str">
        <f>"601298"</f>
        <v>601298</v>
      </c>
      <c r="C2701" t="s">
        <v>14333</v>
      </c>
      <c r="D2701">
        <v>6.19</v>
      </c>
      <c r="E2701">
        <v>0.49</v>
      </c>
      <c r="F2701">
        <v>0.03</v>
      </c>
      <c r="G2701" t="s">
        <v>1499</v>
      </c>
      <c r="H2701">
        <v>497</v>
      </c>
      <c r="I2701">
        <v>6.19</v>
      </c>
      <c r="J2701">
        <v>6.2</v>
      </c>
      <c r="K2701" t="s">
        <v>14334</v>
      </c>
      <c r="L2701">
        <v>0.19</v>
      </c>
      <c r="M2701" t="s">
        <v>46</v>
      </c>
      <c r="N2701" t="s">
        <v>4969</v>
      </c>
      <c r="O2701">
        <v>6.22</v>
      </c>
      <c r="P2701">
        <v>6.13</v>
      </c>
      <c r="Q2701">
        <v>6.16</v>
      </c>
      <c r="R2701">
        <v>6.16</v>
      </c>
      <c r="S2701">
        <v>1.46</v>
      </c>
      <c r="T2701">
        <v>1.27</v>
      </c>
      <c r="U2701">
        <v>-36.53</v>
      </c>
      <c r="V2701">
        <v>-4700</v>
      </c>
      <c r="W2701">
        <v>6.19</v>
      </c>
      <c r="X2701" t="s">
        <v>3356</v>
      </c>
      <c r="Y2701" t="s">
        <v>7763</v>
      </c>
      <c r="Z2701">
        <v>0.95</v>
      </c>
      <c r="AA2701">
        <v>16</v>
      </c>
      <c r="AB2701">
        <v>570</v>
      </c>
      <c r="AC2701">
        <v>1.02</v>
      </c>
      <c r="AD2701" t="s">
        <v>14335</v>
      </c>
      <c r="AE2701" t="s">
        <v>14336</v>
      </c>
      <c r="AF2701" t="s">
        <v>14337</v>
      </c>
      <c r="AG2701" t="s">
        <v>4085</v>
      </c>
      <c r="AH2701">
        <v>1.64</v>
      </c>
      <c r="AI2701">
        <v>2.48</v>
      </c>
      <c r="AJ2701">
        <v>0.51</v>
      </c>
      <c r="AK2701">
        <v>0.93</v>
      </c>
      <c r="AL2701">
        <v>4</v>
      </c>
      <c r="AM2701">
        <v>0.49</v>
      </c>
      <c r="AN2701">
        <v>15.92</v>
      </c>
      <c r="AO2701">
        <v>3.86</v>
      </c>
      <c r="AP2701">
        <v>18.58</v>
      </c>
    </row>
    <row r="2702" spans="1:42">
      <c r="A2702">
        <v>2701</v>
      </c>
      <c r="B2702" t="str">
        <f>"600787"</f>
        <v>600787</v>
      </c>
      <c r="C2702" t="s">
        <v>14338</v>
      </c>
      <c r="D2702">
        <v>5.25</v>
      </c>
      <c r="E2702">
        <v>1.16</v>
      </c>
      <c r="F2702">
        <v>0.06</v>
      </c>
      <c r="G2702" t="s">
        <v>1790</v>
      </c>
      <c r="H2702">
        <v>2306</v>
      </c>
      <c r="I2702">
        <v>5.25</v>
      </c>
      <c r="J2702">
        <v>5.26</v>
      </c>
      <c r="K2702" t="s">
        <v>14334</v>
      </c>
      <c r="L2702">
        <v>0.56</v>
      </c>
      <c r="M2702" t="s">
        <v>46</v>
      </c>
      <c r="N2702" t="s">
        <v>14339</v>
      </c>
      <c r="O2702">
        <v>5.26</v>
      </c>
      <c r="P2702">
        <v>5.16</v>
      </c>
      <c r="Q2702">
        <v>5.18</v>
      </c>
      <c r="R2702">
        <v>5.19</v>
      </c>
      <c r="S2702">
        <v>1.93</v>
      </c>
      <c r="T2702">
        <v>1.59</v>
      </c>
      <c r="U2702">
        <v>-28.76</v>
      </c>
      <c r="V2702">
        <v>-8485</v>
      </c>
      <c r="W2702">
        <v>5.23</v>
      </c>
      <c r="X2702" t="s">
        <v>4168</v>
      </c>
      <c r="Y2702" t="s">
        <v>970</v>
      </c>
      <c r="Z2702">
        <v>0.63</v>
      </c>
      <c r="AA2702">
        <v>434</v>
      </c>
      <c r="AB2702">
        <v>2293</v>
      </c>
      <c r="AC2702">
        <v>0.87</v>
      </c>
      <c r="AD2702" t="s">
        <v>14340</v>
      </c>
      <c r="AE2702" t="s">
        <v>7759</v>
      </c>
      <c r="AF2702" t="s">
        <v>13498</v>
      </c>
      <c r="AG2702" t="s">
        <v>14171</v>
      </c>
      <c r="AH2702">
        <v>0.57</v>
      </c>
      <c r="AI2702">
        <v>0.77</v>
      </c>
      <c r="AJ2702">
        <v>1.32</v>
      </c>
      <c r="AK2702">
        <v>2.31</v>
      </c>
      <c r="AL2702">
        <v>2</v>
      </c>
      <c r="AM2702">
        <v>1.16</v>
      </c>
      <c r="AN2702">
        <v>7.8</v>
      </c>
      <c r="AO2702">
        <v>2.54</v>
      </c>
      <c r="AP2702">
        <v>7.14</v>
      </c>
    </row>
    <row r="2703" spans="1:42">
      <c r="A2703">
        <v>2702</v>
      </c>
      <c r="B2703" t="str">
        <f>"600773"</f>
        <v>600773</v>
      </c>
      <c r="C2703" t="s">
        <v>14341</v>
      </c>
      <c r="D2703">
        <v>10.97</v>
      </c>
      <c r="E2703">
        <v>0.73</v>
      </c>
      <c r="F2703">
        <v>0.08</v>
      </c>
      <c r="G2703" t="s">
        <v>1919</v>
      </c>
      <c r="H2703">
        <v>711</v>
      </c>
      <c r="I2703">
        <v>10.97</v>
      </c>
      <c r="J2703">
        <v>10.98</v>
      </c>
      <c r="K2703" t="s">
        <v>14342</v>
      </c>
      <c r="L2703">
        <v>0.7</v>
      </c>
      <c r="M2703" t="s">
        <v>46</v>
      </c>
      <c r="N2703" t="s">
        <v>11419</v>
      </c>
      <c r="O2703">
        <v>11.13</v>
      </c>
      <c r="P2703">
        <v>10.78</v>
      </c>
      <c r="Q2703">
        <v>10.89</v>
      </c>
      <c r="R2703">
        <v>10.89</v>
      </c>
      <c r="S2703">
        <v>3.21</v>
      </c>
      <c r="T2703">
        <v>1.19</v>
      </c>
      <c r="U2703">
        <v>39.07</v>
      </c>
      <c r="V2703">
        <v>1208</v>
      </c>
      <c r="W2703">
        <v>10.94</v>
      </c>
      <c r="X2703" t="s">
        <v>617</v>
      </c>
      <c r="Y2703" t="s">
        <v>1711</v>
      </c>
      <c r="Z2703">
        <v>1.09</v>
      </c>
      <c r="AA2703">
        <v>822</v>
      </c>
      <c r="AB2703">
        <v>255</v>
      </c>
      <c r="AC2703">
        <v>2.35</v>
      </c>
      <c r="AD2703" t="s">
        <v>14343</v>
      </c>
      <c r="AE2703" t="s">
        <v>8431</v>
      </c>
      <c r="AF2703" t="s">
        <v>14343</v>
      </c>
      <c r="AG2703" t="s">
        <v>8431</v>
      </c>
      <c r="AH2703">
        <v>-2.14</v>
      </c>
      <c r="AI2703">
        <v>-7.35</v>
      </c>
      <c r="AJ2703">
        <v>1.69</v>
      </c>
      <c r="AK2703">
        <v>3.66</v>
      </c>
      <c r="AL2703">
        <v>1</v>
      </c>
      <c r="AM2703">
        <v>0.73</v>
      </c>
      <c r="AN2703">
        <v>-39.49</v>
      </c>
      <c r="AO2703">
        <v>-4.94</v>
      </c>
      <c r="AP2703">
        <v>-46.64</v>
      </c>
    </row>
    <row r="2704" spans="1:42">
      <c r="A2704">
        <v>2703</v>
      </c>
      <c r="B2704" t="str">
        <f>"688022"</f>
        <v>688022</v>
      </c>
      <c r="C2704" t="s">
        <v>14344</v>
      </c>
      <c r="D2704">
        <v>24.02</v>
      </c>
      <c r="E2704">
        <v>-0.7</v>
      </c>
      <c r="F2704">
        <v>-0.17</v>
      </c>
      <c r="G2704" t="s">
        <v>7160</v>
      </c>
      <c r="H2704">
        <v>465</v>
      </c>
      <c r="I2704">
        <v>24.01</v>
      </c>
      <c r="J2704">
        <v>24.02</v>
      </c>
      <c r="K2704" t="s">
        <v>11296</v>
      </c>
      <c r="L2704">
        <v>1.51</v>
      </c>
      <c r="M2704" t="s">
        <v>46</v>
      </c>
      <c r="N2704" t="s">
        <v>1568</v>
      </c>
      <c r="O2704">
        <v>24.34</v>
      </c>
      <c r="P2704">
        <v>23.56</v>
      </c>
      <c r="Q2704">
        <v>24.25</v>
      </c>
      <c r="R2704">
        <v>24.19</v>
      </c>
      <c r="S2704">
        <v>3.22</v>
      </c>
      <c r="T2704">
        <v>0.7</v>
      </c>
      <c r="U2704">
        <v>62.54</v>
      </c>
      <c r="V2704">
        <v>378</v>
      </c>
      <c r="W2704">
        <v>23.86</v>
      </c>
      <c r="X2704" t="s">
        <v>1769</v>
      </c>
      <c r="Y2704" t="s">
        <v>718</v>
      </c>
      <c r="Z2704">
        <v>1.22</v>
      </c>
      <c r="AA2704">
        <v>35</v>
      </c>
      <c r="AB2704">
        <v>17</v>
      </c>
      <c r="AC2704">
        <v>2.17</v>
      </c>
      <c r="AD2704" t="s">
        <v>14345</v>
      </c>
      <c r="AE2704" t="s">
        <v>14346</v>
      </c>
      <c r="AF2704" t="s">
        <v>14345</v>
      </c>
      <c r="AG2704" t="s">
        <v>14346</v>
      </c>
      <c r="AH2704">
        <v>-1.88</v>
      </c>
      <c r="AI2704">
        <v>-0.91</v>
      </c>
      <c r="AJ2704">
        <v>6.56</v>
      </c>
      <c r="AK2704">
        <v>12.27</v>
      </c>
      <c r="AL2704">
        <v>-2</v>
      </c>
      <c r="AM2704">
        <v>-0.7</v>
      </c>
      <c r="AN2704">
        <v>-30.34</v>
      </c>
      <c r="AO2704">
        <v>4.89</v>
      </c>
      <c r="AP2704">
        <v>-35.67</v>
      </c>
    </row>
    <row r="2705" spans="1:42">
      <c r="A2705">
        <v>2704</v>
      </c>
      <c r="B2705" t="str">
        <f>"603021"</f>
        <v>603021</v>
      </c>
      <c r="C2705" t="s">
        <v>14347</v>
      </c>
      <c r="D2705">
        <v>6.17</v>
      </c>
      <c r="E2705">
        <v>1.98</v>
      </c>
      <c r="F2705">
        <v>0.12</v>
      </c>
      <c r="G2705" t="s">
        <v>3402</v>
      </c>
      <c r="H2705">
        <v>2479</v>
      </c>
      <c r="I2705">
        <v>6.16</v>
      </c>
      <c r="J2705">
        <v>6.17</v>
      </c>
      <c r="K2705" t="s">
        <v>14348</v>
      </c>
      <c r="L2705">
        <v>3.22</v>
      </c>
      <c r="M2705" t="s">
        <v>46</v>
      </c>
      <c r="N2705" t="s">
        <v>3575</v>
      </c>
      <c r="O2705">
        <v>6.2</v>
      </c>
      <c r="P2705">
        <v>6.02</v>
      </c>
      <c r="Q2705">
        <v>6.05</v>
      </c>
      <c r="R2705">
        <v>6.05</v>
      </c>
      <c r="S2705">
        <v>2.98</v>
      </c>
      <c r="T2705">
        <v>0.44</v>
      </c>
      <c r="U2705">
        <v>-66.58</v>
      </c>
      <c r="V2705">
        <v>-4686</v>
      </c>
      <c r="W2705">
        <v>6.13</v>
      </c>
      <c r="X2705" t="s">
        <v>7299</v>
      </c>
      <c r="Y2705" t="s">
        <v>4929</v>
      </c>
      <c r="Z2705">
        <v>0.83</v>
      </c>
      <c r="AA2705">
        <v>461</v>
      </c>
      <c r="AB2705">
        <v>1338</v>
      </c>
      <c r="AC2705">
        <v>5.34</v>
      </c>
      <c r="AD2705" t="s">
        <v>10865</v>
      </c>
      <c r="AE2705" t="s">
        <v>1202</v>
      </c>
      <c r="AF2705" t="s">
        <v>10865</v>
      </c>
      <c r="AG2705" t="s">
        <v>1202</v>
      </c>
      <c r="AH2705">
        <v>2.49</v>
      </c>
      <c r="AI2705">
        <v>1.15</v>
      </c>
      <c r="AJ2705">
        <v>13.65</v>
      </c>
      <c r="AK2705">
        <v>39.48</v>
      </c>
      <c r="AL2705">
        <v>1</v>
      </c>
      <c r="AM2705">
        <v>1.98</v>
      </c>
      <c r="AN2705">
        <v>3.18</v>
      </c>
      <c r="AO2705">
        <v>10.18</v>
      </c>
      <c r="AP2705">
        <v>-10.58</v>
      </c>
    </row>
    <row r="2706" spans="1:42">
      <c r="A2706">
        <v>2705</v>
      </c>
      <c r="B2706" t="str">
        <f>"603926"</f>
        <v>603926</v>
      </c>
      <c r="C2706" t="s">
        <v>14349</v>
      </c>
      <c r="D2706">
        <v>12.13</v>
      </c>
      <c r="E2706">
        <v>-0.98</v>
      </c>
      <c r="F2706">
        <v>-0.12</v>
      </c>
      <c r="G2706" t="s">
        <v>7340</v>
      </c>
      <c r="H2706">
        <v>905</v>
      </c>
      <c r="I2706">
        <v>12.12</v>
      </c>
      <c r="J2706">
        <v>12.13</v>
      </c>
      <c r="K2706" t="s">
        <v>14350</v>
      </c>
      <c r="L2706">
        <v>2.51</v>
      </c>
      <c r="M2706" t="s">
        <v>46</v>
      </c>
      <c r="N2706" t="s">
        <v>3673</v>
      </c>
      <c r="O2706">
        <v>12.34</v>
      </c>
      <c r="P2706">
        <v>11.81</v>
      </c>
      <c r="Q2706">
        <v>12.34</v>
      </c>
      <c r="R2706">
        <v>12.25</v>
      </c>
      <c r="S2706">
        <v>4.33</v>
      </c>
      <c r="T2706">
        <v>0.67</v>
      </c>
      <c r="U2706">
        <v>-31.99</v>
      </c>
      <c r="V2706">
        <v>-727</v>
      </c>
      <c r="W2706">
        <v>12.05</v>
      </c>
      <c r="X2706" t="s">
        <v>9211</v>
      </c>
      <c r="Y2706" t="s">
        <v>3456</v>
      </c>
      <c r="Z2706">
        <v>0.93</v>
      </c>
      <c r="AA2706">
        <v>117</v>
      </c>
      <c r="AB2706">
        <v>317</v>
      </c>
      <c r="AC2706">
        <v>1.69</v>
      </c>
      <c r="AD2706" t="s">
        <v>8317</v>
      </c>
      <c r="AE2706" t="s">
        <v>14351</v>
      </c>
      <c r="AF2706" t="s">
        <v>14352</v>
      </c>
      <c r="AG2706" t="s">
        <v>9737</v>
      </c>
      <c r="AH2706">
        <v>-4.41</v>
      </c>
      <c r="AI2706">
        <v>-4.86</v>
      </c>
      <c r="AJ2706">
        <v>10.37</v>
      </c>
      <c r="AK2706">
        <v>21.26</v>
      </c>
      <c r="AL2706">
        <v>-3</v>
      </c>
      <c r="AM2706">
        <v>-0.98</v>
      </c>
      <c r="AN2706">
        <v>35.53</v>
      </c>
      <c r="AO2706">
        <v>3.68</v>
      </c>
      <c r="AP2706">
        <v>24.28</v>
      </c>
    </row>
    <row r="2707" spans="1:42">
      <c r="A2707">
        <v>2706</v>
      </c>
      <c r="B2707" t="str">
        <f>"688218"</f>
        <v>688218</v>
      </c>
      <c r="C2707" t="s">
        <v>14353</v>
      </c>
      <c r="D2707">
        <v>20.28</v>
      </c>
      <c r="E2707">
        <v>-0.78</v>
      </c>
      <c r="F2707">
        <v>-0.16</v>
      </c>
      <c r="G2707" t="s">
        <v>3260</v>
      </c>
      <c r="H2707">
        <v>333</v>
      </c>
      <c r="I2707">
        <v>20.27</v>
      </c>
      <c r="J2707">
        <v>20.28</v>
      </c>
      <c r="K2707" t="s">
        <v>14354</v>
      </c>
      <c r="L2707">
        <v>2.64</v>
      </c>
      <c r="M2707" t="s">
        <v>46</v>
      </c>
      <c r="N2707" t="s">
        <v>2613</v>
      </c>
      <c r="O2707">
        <v>20.5</v>
      </c>
      <c r="P2707">
        <v>19.98</v>
      </c>
      <c r="Q2707">
        <v>20.48</v>
      </c>
      <c r="R2707">
        <v>20.44</v>
      </c>
      <c r="S2707">
        <v>2.54</v>
      </c>
      <c r="T2707">
        <v>0.83</v>
      </c>
      <c r="U2707">
        <v>17.12</v>
      </c>
      <c r="V2707">
        <v>56</v>
      </c>
      <c r="W2707">
        <v>20.18</v>
      </c>
      <c r="X2707" t="s">
        <v>6656</v>
      </c>
      <c r="Y2707" t="s">
        <v>10542</v>
      </c>
      <c r="Z2707">
        <v>1.24</v>
      </c>
      <c r="AA2707">
        <v>116</v>
      </c>
      <c r="AB2707">
        <v>48</v>
      </c>
      <c r="AC2707">
        <v>2.67</v>
      </c>
      <c r="AD2707" t="s">
        <v>9248</v>
      </c>
      <c r="AE2707" t="s">
        <v>14355</v>
      </c>
      <c r="AF2707" t="s">
        <v>9248</v>
      </c>
      <c r="AG2707" t="s">
        <v>14355</v>
      </c>
      <c r="AH2707">
        <v>-2.12</v>
      </c>
      <c r="AI2707">
        <v>-4.16</v>
      </c>
      <c r="AJ2707">
        <v>8.89</v>
      </c>
      <c r="AK2707">
        <v>18.5</v>
      </c>
      <c r="AL2707">
        <v>-3</v>
      </c>
      <c r="AM2707">
        <v>-0.78</v>
      </c>
      <c r="AN2707">
        <v>37.12</v>
      </c>
      <c r="AO2707">
        <v>1.6</v>
      </c>
      <c r="AP2707">
        <v>13.23</v>
      </c>
    </row>
    <row r="2708" spans="1:42">
      <c r="A2708">
        <v>2707</v>
      </c>
      <c r="B2708" t="str">
        <f>"600933"</f>
        <v>600933</v>
      </c>
      <c r="C2708" t="s">
        <v>14356</v>
      </c>
      <c r="D2708">
        <v>22.87</v>
      </c>
      <c r="E2708">
        <v>-0.91</v>
      </c>
      <c r="F2708">
        <v>-0.21</v>
      </c>
      <c r="G2708" t="s">
        <v>1711</v>
      </c>
      <c r="H2708">
        <v>537</v>
      </c>
      <c r="I2708">
        <v>22.87</v>
      </c>
      <c r="J2708">
        <v>22.88</v>
      </c>
      <c r="K2708" t="s">
        <v>14357</v>
      </c>
      <c r="L2708">
        <v>0.31</v>
      </c>
      <c r="M2708" t="s">
        <v>46</v>
      </c>
      <c r="N2708" t="s">
        <v>9719</v>
      </c>
      <c r="O2708">
        <v>23.31</v>
      </c>
      <c r="P2708">
        <v>22.58</v>
      </c>
      <c r="Q2708">
        <v>23.08</v>
      </c>
      <c r="R2708">
        <v>23.08</v>
      </c>
      <c r="S2708">
        <v>3.16</v>
      </c>
      <c r="T2708">
        <v>0.63</v>
      </c>
      <c r="U2708">
        <v>89.3</v>
      </c>
      <c r="V2708">
        <v>434</v>
      </c>
      <c r="W2708">
        <v>22.82</v>
      </c>
      <c r="X2708" t="s">
        <v>682</v>
      </c>
      <c r="Y2708" t="s">
        <v>3793</v>
      </c>
      <c r="Z2708">
        <v>0.84</v>
      </c>
      <c r="AA2708">
        <v>48</v>
      </c>
      <c r="AB2708">
        <v>2</v>
      </c>
      <c r="AC2708">
        <v>3.5</v>
      </c>
      <c r="AD2708" t="s">
        <v>14358</v>
      </c>
      <c r="AE2708" t="s">
        <v>5463</v>
      </c>
      <c r="AF2708" t="s">
        <v>14358</v>
      </c>
      <c r="AG2708" t="s">
        <v>5463</v>
      </c>
      <c r="AH2708">
        <v>-1.85</v>
      </c>
      <c r="AI2708">
        <v>-0.26</v>
      </c>
      <c r="AJ2708">
        <v>1.03</v>
      </c>
      <c r="AK2708">
        <v>2.75</v>
      </c>
      <c r="AL2708">
        <v>-2</v>
      </c>
      <c r="AM2708">
        <v>-0.91</v>
      </c>
      <c r="AN2708">
        <v>27.2</v>
      </c>
      <c r="AO2708">
        <v>4.57</v>
      </c>
      <c r="AP2708">
        <v>16.15</v>
      </c>
    </row>
    <row r="2709" spans="1:42">
      <c r="A2709">
        <v>2708</v>
      </c>
      <c r="B2709" t="str">
        <f>"002762"</f>
        <v>002762</v>
      </c>
      <c r="C2709" t="s">
        <v>14359</v>
      </c>
      <c r="D2709">
        <v>9.36</v>
      </c>
      <c r="E2709">
        <v>1.85</v>
      </c>
      <c r="F2709">
        <v>0.17</v>
      </c>
      <c r="G2709" t="s">
        <v>6113</v>
      </c>
      <c r="H2709">
        <v>1785</v>
      </c>
      <c r="I2709">
        <v>9.36</v>
      </c>
      <c r="J2709">
        <v>9.38</v>
      </c>
      <c r="K2709" t="s">
        <v>14360</v>
      </c>
      <c r="L2709">
        <v>3.24</v>
      </c>
      <c r="M2709" t="s">
        <v>46</v>
      </c>
      <c r="N2709" t="s">
        <v>8531</v>
      </c>
      <c r="O2709">
        <v>9.43</v>
      </c>
      <c r="P2709">
        <v>9.18</v>
      </c>
      <c r="Q2709">
        <v>9.18</v>
      </c>
      <c r="R2709">
        <v>9.19</v>
      </c>
      <c r="S2709">
        <v>2.72</v>
      </c>
      <c r="T2709">
        <v>0.81</v>
      </c>
      <c r="U2709">
        <v>-42.31</v>
      </c>
      <c r="V2709">
        <v>-1533</v>
      </c>
      <c r="W2709">
        <v>9.34</v>
      </c>
      <c r="X2709" t="s">
        <v>6675</v>
      </c>
      <c r="Y2709" t="s">
        <v>6748</v>
      </c>
      <c r="Z2709">
        <v>0.68</v>
      </c>
      <c r="AA2709">
        <v>12</v>
      </c>
      <c r="AB2709">
        <v>182</v>
      </c>
      <c r="AC2709">
        <v>3.85</v>
      </c>
      <c r="AD2709" t="s">
        <v>7478</v>
      </c>
      <c r="AE2709" t="s">
        <v>14361</v>
      </c>
      <c r="AF2709" t="s">
        <v>14362</v>
      </c>
      <c r="AG2709" t="s">
        <v>2524</v>
      </c>
      <c r="AH2709">
        <v>0.21</v>
      </c>
      <c r="AI2709">
        <v>-0.95</v>
      </c>
      <c r="AJ2709">
        <v>11.21</v>
      </c>
      <c r="AK2709">
        <v>23.25</v>
      </c>
      <c r="AL2709">
        <v>1</v>
      </c>
      <c r="AM2709">
        <v>1.85</v>
      </c>
      <c r="AN2709">
        <v>0.43</v>
      </c>
      <c r="AO2709">
        <v>2.07</v>
      </c>
      <c r="AP2709">
        <v>28.4</v>
      </c>
    </row>
    <row r="2710" spans="1:42">
      <c r="A2710">
        <v>2709</v>
      </c>
      <c r="B2710" t="str">
        <f>"688033"</f>
        <v>688033</v>
      </c>
      <c r="C2710" t="s">
        <v>14363</v>
      </c>
      <c r="D2710">
        <v>17.03</v>
      </c>
      <c r="E2710">
        <v>-0.82</v>
      </c>
      <c r="F2710">
        <v>-0.14</v>
      </c>
      <c r="G2710" t="s">
        <v>2189</v>
      </c>
      <c r="H2710">
        <v>443</v>
      </c>
      <c r="I2710">
        <v>17.03</v>
      </c>
      <c r="J2710">
        <v>17.04</v>
      </c>
      <c r="K2710" t="s">
        <v>14364</v>
      </c>
      <c r="L2710">
        <v>0.66</v>
      </c>
      <c r="M2710" t="s">
        <v>46</v>
      </c>
      <c r="N2710" t="s">
        <v>4602</v>
      </c>
      <c r="O2710">
        <v>17.2</v>
      </c>
      <c r="P2710">
        <v>16.93</v>
      </c>
      <c r="Q2710">
        <v>17</v>
      </c>
      <c r="R2710">
        <v>17.17</v>
      </c>
      <c r="S2710">
        <v>1.57</v>
      </c>
      <c r="T2710">
        <v>0.51</v>
      </c>
      <c r="U2710">
        <v>23.5</v>
      </c>
      <c r="V2710">
        <v>193</v>
      </c>
      <c r="W2710">
        <v>17.04</v>
      </c>
      <c r="X2710" t="s">
        <v>1455</v>
      </c>
      <c r="Y2710" t="s">
        <v>6656</v>
      </c>
      <c r="Z2710">
        <v>1.14</v>
      </c>
      <c r="AA2710">
        <v>6</v>
      </c>
      <c r="AB2710">
        <v>30</v>
      </c>
      <c r="AC2710">
        <v>1.79</v>
      </c>
      <c r="AD2710" t="s">
        <v>14365</v>
      </c>
      <c r="AE2710" t="s">
        <v>14366</v>
      </c>
      <c r="AF2710" t="s">
        <v>14365</v>
      </c>
      <c r="AG2710" t="s">
        <v>14366</v>
      </c>
      <c r="AH2710">
        <v>-0.87</v>
      </c>
      <c r="AI2710">
        <v>-5.91</v>
      </c>
      <c r="AJ2710">
        <v>2.37</v>
      </c>
      <c r="AK2710">
        <v>7.12</v>
      </c>
      <c r="AL2710">
        <v>-2</v>
      </c>
      <c r="AM2710">
        <v>-0.82</v>
      </c>
      <c r="AN2710">
        <v>-21.63</v>
      </c>
      <c r="AO2710">
        <v>-5.39</v>
      </c>
      <c r="AP2710">
        <v>-22.66</v>
      </c>
    </row>
    <row r="2711" spans="1:42">
      <c r="A2711">
        <v>2710</v>
      </c>
      <c r="B2711" t="str">
        <f>"002347"</f>
        <v>002347</v>
      </c>
      <c r="C2711" t="s">
        <v>14367</v>
      </c>
      <c r="D2711">
        <v>5.58</v>
      </c>
      <c r="E2711">
        <v>-0.36</v>
      </c>
      <c r="F2711">
        <v>-0.02</v>
      </c>
      <c r="G2711" t="s">
        <v>262</v>
      </c>
      <c r="H2711">
        <v>647</v>
      </c>
      <c r="I2711">
        <v>5.58</v>
      </c>
      <c r="J2711">
        <v>5.59</v>
      </c>
      <c r="K2711" t="s">
        <v>14368</v>
      </c>
      <c r="L2711">
        <v>2.3</v>
      </c>
      <c r="M2711" t="s">
        <v>46</v>
      </c>
      <c r="N2711" t="s">
        <v>1661</v>
      </c>
      <c r="O2711">
        <v>5.6</v>
      </c>
      <c r="P2711">
        <v>5.48</v>
      </c>
      <c r="Q2711">
        <v>5.58</v>
      </c>
      <c r="R2711">
        <v>5.6</v>
      </c>
      <c r="S2711">
        <v>2.14</v>
      </c>
      <c r="T2711">
        <v>1.31</v>
      </c>
      <c r="U2711">
        <v>-41.46</v>
      </c>
      <c r="V2711">
        <v>-2241</v>
      </c>
      <c r="W2711">
        <v>5.54</v>
      </c>
      <c r="X2711" t="s">
        <v>2405</v>
      </c>
      <c r="Y2711" t="s">
        <v>525</v>
      </c>
      <c r="Z2711">
        <v>0.94</v>
      </c>
      <c r="AA2711">
        <v>148</v>
      </c>
      <c r="AB2711">
        <v>680</v>
      </c>
      <c r="AC2711">
        <v>2.28</v>
      </c>
      <c r="AD2711" t="s">
        <v>14369</v>
      </c>
      <c r="AE2711" t="s">
        <v>173</v>
      </c>
      <c r="AF2711" t="s">
        <v>14370</v>
      </c>
      <c r="AG2711" t="s">
        <v>6074</v>
      </c>
      <c r="AH2711">
        <v>0.9</v>
      </c>
      <c r="AI2711">
        <v>1.64</v>
      </c>
      <c r="AJ2711">
        <v>6.25</v>
      </c>
      <c r="AK2711">
        <v>11.06</v>
      </c>
      <c r="AL2711">
        <v>-1</v>
      </c>
      <c r="AM2711">
        <v>-0.36</v>
      </c>
      <c r="AN2711">
        <v>24</v>
      </c>
      <c r="AO2711">
        <v>3.91</v>
      </c>
      <c r="AP2711">
        <v>8.98</v>
      </c>
    </row>
    <row r="2712" spans="1:42">
      <c r="A2712">
        <v>2711</v>
      </c>
      <c r="B2712" t="str">
        <f>"301031"</f>
        <v>301031</v>
      </c>
      <c r="C2712" t="s">
        <v>14371</v>
      </c>
      <c r="D2712">
        <v>132.1</v>
      </c>
      <c r="E2712">
        <v>-1.78</v>
      </c>
      <c r="F2712">
        <v>-2.4</v>
      </c>
      <c r="G2712">
        <v>4748</v>
      </c>
      <c r="H2712">
        <v>174</v>
      </c>
      <c r="I2712">
        <v>132.08</v>
      </c>
      <c r="J2712">
        <v>132.1</v>
      </c>
      <c r="K2712" t="s">
        <v>12927</v>
      </c>
      <c r="L2712">
        <v>1.3</v>
      </c>
      <c r="M2712" t="s">
        <v>46</v>
      </c>
      <c r="N2712" t="s">
        <v>5162</v>
      </c>
      <c r="O2712">
        <v>134.89</v>
      </c>
      <c r="P2712">
        <v>131.2</v>
      </c>
      <c r="Q2712">
        <v>134.5</v>
      </c>
      <c r="R2712">
        <v>134.5</v>
      </c>
      <c r="S2712">
        <v>2.74</v>
      </c>
      <c r="T2712">
        <v>0.62</v>
      </c>
      <c r="U2712">
        <v>35.48</v>
      </c>
      <c r="V2712">
        <v>11</v>
      </c>
      <c r="W2712">
        <v>132.38</v>
      </c>
      <c r="X2712">
        <v>2433</v>
      </c>
      <c r="Y2712">
        <v>2314</v>
      </c>
      <c r="Z2712">
        <v>1.05</v>
      </c>
      <c r="AA2712">
        <v>3</v>
      </c>
      <c r="AB2712">
        <v>2</v>
      </c>
      <c r="AC2712">
        <v>9.33</v>
      </c>
      <c r="AD2712" t="s">
        <v>14372</v>
      </c>
      <c r="AE2712" t="s">
        <v>10879</v>
      </c>
      <c r="AF2712" t="s">
        <v>14373</v>
      </c>
      <c r="AG2712" t="s">
        <v>14374</v>
      </c>
      <c r="AH2712">
        <v>-3.53</v>
      </c>
      <c r="AI2712">
        <v>-1.14</v>
      </c>
      <c r="AJ2712">
        <v>7.12</v>
      </c>
      <c r="AK2712">
        <v>11.88</v>
      </c>
      <c r="AL2712">
        <v>-2</v>
      </c>
      <c r="AM2712">
        <v>-1.78</v>
      </c>
      <c r="AN2712">
        <v>-18.65</v>
      </c>
      <c r="AO2712">
        <v>10.01</v>
      </c>
      <c r="AP2712">
        <v>-10.38</v>
      </c>
    </row>
    <row r="2713" spans="1:42">
      <c r="A2713">
        <v>2712</v>
      </c>
      <c r="B2713" t="str">
        <f>"600216"</f>
        <v>600216</v>
      </c>
      <c r="C2713" t="s">
        <v>14375</v>
      </c>
      <c r="D2713">
        <v>11.35</v>
      </c>
      <c r="E2713">
        <v>0.27</v>
      </c>
      <c r="F2713">
        <v>0.03</v>
      </c>
      <c r="G2713" t="s">
        <v>4145</v>
      </c>
      <c r="H2713">
        <v>797</v>
      </c>
      <c r="I2713">
        <v>11.34</v>
      </c>
      <c r="J2713">
        <v>11.35</v>
      </c>
      <c r="K2713" t="s">
        <v>12927</v>
      </c>
      <c r="L2713">
        <v>0.58</v>
      </c>
      <c r="M2713" t="s">
        <v>46</v>
      </c>
      <c r="N2713" t="s">
        <v>6084</v>
      </c>
      <c r="O2713">
        <v>11.35</v>
      </c>
      <c r="P2713">
        <v>11.25</v>
      </c>
      <c r="Q2713">
        <v>11.3</v>
      </c>
      <c r="R2713">
        <v>11.32</v>
      </c>
      <c r="S2713">
        <v>0.88</v>
      </c>
      <c r="T2713">
        <v>0.65</v>
      </c>
      <c r="U2713">
        <v>-75.33</v>
      </c>
      <c r="V2713">
        <v>-3749</v>
      </c>
      <c r="W2713">
        <v>11.3</v>
      </c>
      <c r="X2713" t="s">
        <v>3121</v>
      </c>
      <c r="Y2713" t="s">
        <v>6418</v>
      </c>
      <c r="Z2713">
        <v>0.97</v>
      </c>
      <c r="AA2713">
        <v>169</v>
      </c>
      <c r="AB2713">
        <v>529</v>
      </c>
      <c r="AC2713">
        <v>1.15</v>
      </c>
      <c r="AD2713" t="s">
        <v>14376</v>
      </c>
      <c r="AE2713" t="s">
        <v>5587</v>
      </c>
      <c r="AF2713" t="s">
        <v>14377</v>
      </c>
      <c r="AG2713" t="s">
        <v>921</v>
      </c>
      <c r="AH2713">
        <v>0.8</v>
      </c>
      <c r="AI2713">
        <v>0.35</v>
      </c>
      <c r="AJ2713">
        <v>2</v>
      </c>
      <c r="AK2713">
        <v>5.02</v>
      </c>
      <c r="AL2713">
        <v>4</v>
      </c>
      <c r="AM2713">
        <v>0.27</v>
      </c>
      <c r="AN2713">
        <v>-1.48</v>
      </c>
      <c r="AO2713">
        <v>4.03</v>
      </c>
      <c r="AP2713">
        <v>-10.56</v>
      </c>
    </row>
    <row r="2714" spans="1:42">
      <c r="A2714">
        <v>2713</v>
      </c>
      <c r="B2714" t="str">
        <f>"002433"</f>
        <v>002433</v>
      </c>
      <c r="C2714" t="s">
        <v>14378</v>
      </c>
      <c r="D2714">
        <v>3.01</v>
      </c>
      <c r="E2714">
        <v>-1.31</v>
      </c>
      <c r="F2714">
        <v>-0.04</v>
      </c>
      <c r="G2714" t="s">
        <v>3217</v>
      </c>
      <c r="H2714">
        <v>3540</v>
      </c>
      <c r="I2714">
        <v>3</v>
      </c>
      <c r="J2714">
        <v>3.01</v>
      </c>
      <c r="K2714" t="s">
        <v>14379</v>
      </c>
      <c r="L2714">
        <v>2.82</v>
      </c>
      <c r="M2714" t="s">
        <v>46</v>
      </c>
      <c r="N2714" t="s">
        <v>3881</v>
      </c>
      <c r="O2714">
        <v>3.05</v>
      </c>
      <c r="P2714">
        <v>2.94</v>
      </c>
      <c r="Q2714">
        <v>3.01</v>
      </c>
      <c r="R2714">
        <v>3.05</v>
      </c>
      <c r="S2714">
        <v>3.61</v>
      </c>
      <c r="T2714">
        <v>0.79</v>
      </c>
      <c r="U2714">
        <v>-28.01</v>
      </c>
      <c r="V2714">
        <v>-7224</v>
      </c>
      <c r="W2714">
        <v>2.99</v>
      </c>
      <c r="X2714" t="s">
        <v>1261</v>
      </c>
      <c r="Y2714" t="s">
        <v>3311</v>
      </c>
      <c r="Z2714">
        <v>1.44</v>
      </c>
      <c r="AA2714">
        <v>6166</v>
      </c>
      <c r="AB2714">
        <v>1074</v>
      </c>
      <c r="AC2714">
        <v>0.69</v>
      </c>
      <c r="AD2714" t="s">
        <v>14380</v>
      </c>
      <c r="AE2714" t="s">
        <v>13058</v>
      </c>
      <c r="AF2714" t="s">
        <v>14381</v>
      </c>
      <c r="AG2714" t="s">
        <v>14382</v>
      </c>
      <c r="AH2714">
        <v>0</v>
      </c>
      <c r="AI2714">
        <v>9.45</v>
      </c>
      <c r="AJ2714">
        <v>12.82</v>
      </c>
      <c r="AK2714">
        <v>20.7</v>
      </c>
      <c r="AL2714">
        <v>-1</v>
      </c>
      <c r="AM2714">
        <v>-1.31</v>
      </c>
      <c r="AN2714">
        <v>-31.12</v>
      </c>
      <c r="AO2714">
        <v>5.24</v>
      </c>
      <c r="AP2714">
        <v>-20.58</v>
      </c>
    </row>
    <row r="2715" spans="1:42">
      <c r="A2715">
        <v>2714</v>
      </c>
      <c r="B2715" t="str">
        <f>"603906"</f>
        <v>603906</v>
      </c>
      <c r="C2715" t="s">
        <v>14383</v>
      </c>
      <c r="D2715">
        <v>12.06</v>
      </c>
      <c r="E2715">
        <v>-0.41</v>
      </c>
      <c r="F2715">
        <v>-0.05</v>
      </c>
      <c r="G2715" t="s">
        <v>4616</v>
      </c>
      <c r="H2715">
        <v>487</v>
      </c>
      <c r="I2715">
        <v>12.06</v>
      </c>
      <c r="J2715">
        <v>12.07</v>
      </c>
      <c r="K2715" t="s">
        <v>14379</v>
      </c>
      <c r="L2715">
        <v>0.92</v>
      </c>
      <c r="M2715" t="s">
        <v>46</v>
      </c>
      <c r="N2715" t="s">
        <v>14384</v>
      </c>
      <c r="O2715">
        <v>12.19</v>
      </c>
      <c r="P2715">
        <v>11.9</v>
      </c>
      <c r="Q2715">
        <v>12.11</v>
      </c>
      <c r="R2715">
        <v>12.11</v>
      </c>
      <c r="S2715">
        <v>2.39</v>
      </c>
      <c r="T2715">
        <v>1.04</v>
      </c>
      <c r="U2715">
        <v>-13.89</v>
      </c>
      <c r="V2715">
        <v>-182</v>
      </c>
      <c r="W2715">
        <v>12.03</v>
      </c>
      <c r="X2715" t="s">
        <v>8622</v>
      </c>
      <c r="Y2715" t="s">
        <v>3611</v>
      </c>
      <c r="Z2715">
        <v>1.29</v>
      </c>
      <c r="AA2715">
        <v>73</v>
      </c>
      <c r="AB2715">
        <v>233</v>
      </c>
      <c r="AC2715">
        <v>1.72</v>
      </c>
      <c r="AD2715" t="s">
        <v>6590</v>
      </c>
      <c r="AE2715" t="s">
        <v>14385</v>
      </c>
      <c r="AF2715" t="s">
        <v>6590</v>
      </c>
      <c r="AG2715" t="s">
        <v>14385</v>
      </c>
      <c r="AH2715">
        <v>-1.63</v>
      </c>
      <c r="AI2715">
        <v>-4.13</v>
      </c>
      <c r="AJ2715">
        <v>2.84</v>
      </c>
      <c r="AK2715">
        <v>5.36</v>
      </c>
      <c r="AL2715">
        <v>-3</v>
      </c>
      <c r="AM2715">
        <v>-0.41</v>
      </c>
      <c r="AN2715">
        <v>-47.9</v>
      </c>
      <c r="AO2715">
        <v>-4.13</v>
      </c>
      <c r="AP2715">
        <v>-55.65</v>
      </c>
    </row>
    <row r="2716" spans="1:42">
      <c r="A2716">
        <v>2715</v>
      </c>
      <c r="B2716" t="str">
        <f>"832982"</f>
        <v>832982</v>
      </c>
      <c r="C2716" t="s">
        <v>14386</v>
      </c>
      <c r="D2716">
        <v>274</v>
      </c>
      <c r="E2716">
        <v>-0.96</v>
      </c>
      <c r="F2716">
        <v>-2.66</v>
      </c>
      <c r="G2716">
        <v>2294</v>
      </c>
      <c r="H2716">
        <v>83</v>
      </c>
      <c r="I2716">
        <v>273.99</v>
      </c>
      <c r="J2716">
        <v>274</v>
      </c>
      <c r="K2716" t="s">
        <v>14387</v>
      </c>
      <c r="L2716">
        <v>0.97</v>
      </c>
      <c r="M2716" t="s">
        <v>46</v>
      </c>
      <c r="N2716" t="s">
        <v>2665</v>
      </c>
      <c r="O2716">
        <v>277.9</v>
      </c>
      <c r="P2716">
        <v>271</v>
      </c>
      <c r="Q2716">
        <v>274</v>
      </c>
      <c r="R2716">
        <v>276.66</v>
      </c>
      <c r="S2716">
        <v>2.49</v>
      </c>
      <c r="T2716">
        <v>0.43</v>
      </c>
      <c r="U2716">
        <v>10.57</v>
      </c>
      <c r="V2716">
        <v>2</v>
      </c>
      <c r="W2716">
        <v>273.51</v>
      </c>
      <c r="X2716">
        <v>1429</v>
      </c>
      <c r="Y2716">
        <v>865</v>
      </c>
      <c r="Z2716">
        <v>1.65</v>
      </c>
      <c r="AA2716">
        <v>3</v>
      </c>
      <c r="AB2716">
        <v>4</v>
      </c>
      <c r="AC2716">
        <v>22.05</v>
      </c>
      <c r="AD2716" t="s">
        <v>14388</v>
      </c>
      <c r="AE2716" t="s">
        <v>9027</v>
      </c>
      <c r="AF2716" t="s">
        <v>14389</v>
      </c>
      <c r="AG2716" t="s">
        <v>11698</v>
      </c>
      <c r="AH2716">
        <v>-3.79</v>
      </c>
      <c r="AI2716">
        <v>1.14</v>
      </c>
      <c r="AJ2716">
        <v>6.17</v>
      </c>
      <c r="AK2716">
        <v>12.1</v>
      </c>
      <c r="AL2716">
        <v>-2</v>
      </c>
      <c r="AM2716">
        <v>-0.96</v>
      </c>
      <c r="AN2716">
        <v>144.42</v>
      </c>
      <c r="AO2716">
        <v>20.38</v>
      </c>
      <c r="AP2716">
        <v>144.42</v>
      </c>
    </row>
    <row r="2717" spans="1:42">
      <c r="A2717">
        <v>2716</v>
      </c>
      <c r="B2717" t="str">
        <f>"300011"</f>
        <v>300011</v>
      </c>
      <c r="C2717" t="s">
        <v>14390</v>
      </c>
      <c r="D2717">
        <v>7.64</v>
      </c>
      <c r="E2717">
        <v>0.79</v>
      </c>
      <c r="F2717">
        <v>0.06</v>
      </c>
      <c r="G2717" t="s">
        <v>3884</v>
      </c>
      <c r="H2717">
        <v>1221</v>
      </c>
      <c r="I2717">
        <v>7.64</v>
      </c>
      <c r="J2717">
        <v>7.65</v>
      </c>
      <c r="K2717" t="s">
        <v>14391</v>
      </c>
      <c r="L2717">
        <v>1.64</v>
      </c>
      <c r="M2717" t="s">
        <v>46</v>
      </c>
      <c r="N2717" t="s">
        <v>11954</v>
      </c>
      <c r="O2717">
        <v>7.68</v>
      </c>
      <c r="P2717">
        <v>7.5</v>
      </c>
      <c r="Q2717">
        <v>7.59</v>
      </c>
      <c r="R2717">
        <v>7.58</v>
      </c>
      <c r="S2717">
        <v>2.37</v>
      </c>
      <c r="T2717">
        <v>0.93</v>
      </c>
      <c r="U2717">
        <v>7</v>
      </c>
      <c r="V2717">
        <v>359</v>
      </c>
      <c r="W2717">
        <v>7.62</v>
      </c>
      <c r="X2717" t="s">
        <v>6256</v>
      </c>
      <c r="Y2717" t="s">
        <v>3925</v>
      </c>
      <c r="Z2717">
        <v>1</v>
      </c>
      <c r="AA2717">
        <v>731</v>
      </c>
      <c r="AB2717">
        <v>214</v>
      </c>
      <c r="AC2717">
        <v>3.28</v>
      </c>
      <c r="AD2717" t="s">
        <v>14392</v>
      </c>
      <c r="AE2717" t="s">
        <v>4829</v>
      </c>
      <c r="AF2717" t="s">
        <v>14393</v>
      </c>
      <c r="AG2717" t="s">
        <v>6328</v>
      </c>
      <c r="AH2717">
        <v>0.39</v>
      </c>
      <c r="AI2717">
        <v>1.46</v>
      </c>
      <c r="AJ2717">
        <v>5.56</v>
      </c>
      <c r="AK2717">
        <v>10.47</v>
      </c>
      <c r="AL2717">
        <v>1</v>
      </c>
      <c r="AM2717">
        <v>0.79</v>
      </c>
      <c r="AN2717">
        <v>40.44</v>
      </c>
      <c r="AO2717">
        <v>9.14</v>
      </c>
      <c r="AP2717">
        <v>32.18</v>
      </c>
    </row>
    <row r="2718" spans="1:42">
      <c r="A2718">
        <v>2717</v>
      </c>
      <c r="B2718" t="str">
        <f>"001314"</f>
        <v>001314</v>
      </c>
      <c r="C2718" t="s">
        <v>14394</v>
      </c>
      <c r="D2718">
        <v>40.3</v>
      </c>
      <c r="E2718">
        <v>0.25</v>
      </c>
      <c r="F2718">
        <v>0.1</v>
      </c>
      <c r="G2718" t="s">
        <v>144</v>
      </c>
      <c r="H2718">
        <v>388</v>
      </c>
      <c r="I2718">
        <v>40.28</v>
      </c>
      <c r="J2718">
        <v>40.3</v>
      </c>
      <c r="K2718" t="s">
        <v>14395</v>
      </c>
      <c r="L2718">
        <v>4.47</v>
      </c>
      <c r="M2718" t="s">
        <v>46</v>
      </c>
      <c r="N2718" t="s">
        <v>1206</v>
      </c>
      <c r="O2718">
        <v>40.34</v>
      </c>
      <c r="P2718">
        <v>39.57</v>
      </c>
      <c r="Q2718">
        <v>40.19</v>
      </c>
      <c r="R2718">
        <v>40.2</v>
      </c>
      <c r="S2718">
        <v>1.92</v>
      </c>
      <c r="T2718">
        <v>0.67</v>
      </c>
      <c r="U2718">
        <v>80.42</v>
      </c>
      <c r="V2718">
        <v>230</v>
      </c>
      <c r="W2718">
        <v>39.94</v>
      </c>
      <c r="X2718">
        <v>6893</v>
      </c>
      <c r="Y2718">
        <v>8795</v>
      </c>
      <c r="Z2718">
        <v>0.78</v>
      </c>
      <c r="AA2718">
        <v>135</v>
      </c>
      <c r="AB2718">
        <v>5</v>
      </c>
      <c r="AC2718">
        <v>2.82</v>
      </c>
      <c r="AD2718" t="s">
        <v>12942</v>
      </c>
      <c r="AE2718" t="s">
        <v>14396</v>
      </c>
      <c r="AF2718" t="s">
        <v>14397</v>
      </c>
      <c r="AG2718" t="s">
        <v>1741</v>
      </c>
      <c r="AH2718">
        <v>-2.37</v>
      </c>
      <c r="AI2718">
        <v>-1.56</v>
      </c>
      <c r="AJ2718">
        <v>17.39</v>
      </c>
      <c r="AK2718">
        <v>37.94</v>
      </c>
      <c r="AL2718">
        <v>1</v>
      </c>
      <c r="AM2718">
        <v>0.25</v>
      </c>
      <c r="AN2718">
        <v>16.81</v>
      </c>
      <c r="AO2718">
        <v>5.36</v>
      </c>
      <c r="AP2718">
        <v>16.81</v>
      </c>
    </row>
    <row r="2719" spans="1:42">
      <c r="A2719">
        <v>2718</v>
      </c>
      <c r="B2719" t="str">
        <f>"300802"</f>
        <v>300802</v>
      </c>
      <c r="C2719" t="s">
        <v>14398</v>
      </c>
      <c r="D2719">
        <v>20</v>
      </c>
      <c r="E2719">
        <v>1.06</v>
      </c>
      <c r="F2719">
        <v>0.21</v>
      </c>
      <c r="G2719" t="s">
        <v>4733</v>
      </c>
      <c r="H2719">
        <v>556</v>
      </c>
      <c r="I2719">
        <v>19.99</v>
      </c>
      <c r="J2719">
        <v>20</v>
      </c>
      <c r="K2719" t="s">
        <v>14399</v>
      </c>
      <c r="L2719">
        <v>1.65</v>
      </c>
      <c r="M2719" t="s">
        <v>46</v>
      </c>
      <c r="N2719" t="s">
        <v>9363</v>
      </c>
      <c r="O2719">
        <v>20.1</v>
      </c>
      <c r="P2719">
        <v>19.56</v>
      </c>
      <c r="Q2719">
        <v>19.79</v>
      </c>
      <c r="R2719">
        <v>19.79</v>
      </c>
      <c r="S2719">
        <v>2.73</v>
      </c>
      <c r="T2719">
        <v>0.64</v>
      </c>
      <c r="U2719">
        <v>70.94</v>
      </c>
      <c r="V2719">
        <v>1817</v>
      </c>
      <c r="W2719">
        <v>19.88</v>
      </c>
      <c r="X2719" t="s">
        <v>4525</v>
      </c>
      <c r="Y2719" t="s">
        <v>3165</v>
      </c>
      <c r="Z2719">
        <v>0.78</v>
      </c>
      <c r="AA2719">
        <v>51</v>
      </c>
      <c r="AB2719">
        <v>164</v>
      </c>
      <c r="AC2719">
        <v>3.46</v>
      </c>
      <c r="AD2719" t="s">
        <v>14400</v>
      </c>
      <c r="AE2719" t="s">
        <v>14401</v>
      </c>
      <c r="AF2719" t="s">
        <v>6332</v>
      </c>
      <c r="AG2719" t="s">
        <v>14402</v>
      </c>
      <c r="AH2719">
        <v>-1.67</v>
      </c>
      <c r="AI2719">
        <v>-1.33</v>
      </c>
      <c r="AJ2719">
        <v>6.42</v>
      </c>
      <c r="AK2719">
        <v>14.59</v>
      </c>
      <c r="AL2719">
        <v>1</v>
      </c>
      <c r="AM2719">
        <v>1.06</v>
      </c>
      <c r="AN2719">
        <v>9.77</v>
      </c>
      <c r="AO2719">
        <v>11.92</v>
      </c>
      <c r="AP2719">
        <v>-6.72</v>
      </c>
    </row>
    <row r="2720" spans="1:42">
      <c r="A2720">
        <v>2719</v>
      </c>
      <c r="B2720" t="str">
        <f>"301208"</f>
        <v>301208</v>
      </c>
      <c r="C2720" t="s">
        <v>14403</v>
      </c>
      <c r="D2720">
        <v>40.99</v>
      </c>
      <c r="E2720">
        <v>2.5</v>
      </c>
      <c r="F2720">
        <v>1</v>
      </c>
      <c r="G2720" t="s">
        <v>5951</v>
      </c>
      <c r="H2720">
        <v>135</v>
      </c>
      <c r="I2720">
        <v>40.99</v>
      </c>
      <c r="J2720">
        <v>41</v>
      </c>
      <c r="K2720" t="s">
        <v>14404</v>
      </c>
      <c r="L2720">
        <v>4.36</v>
      </c>
      <c r="M2720" t="s">
        <v>46</v>
      </c>
      <c r="N2720" t="s">
        <v>1619</v>
      </c>
      <c r="O2720">
        <v>41.35</v>
      </c>
      <c r="P2720">
        <v>39.7</v>
      </c>
      <c r="Q2720">
        <v>39.99</v>
      </c>
      <c r="R2720">
        <v>39.99</v>
      </c>
      <c r="S2720">
        <v>4.13</v>
      </c>
      <c r="T2720">
        <v>1.04</v>
      </c>
      <c r="U2720">
        <v>44.53</v>
      </c>
      <c r="V2720">
        <v>114</v>
      </c>
      <c r="W2720">
        <v>40.45</v>
      </c>
      <c r="X2720">
        <v>7212</v>
      </c>
      <c r="Y2720">
        <v>8258</v>
      </c>
      <c r="Z2720">
        <v>0.87</v>
      </c>
      <c r="AA2720">
        <v>47</v>
      </c>
      <c r="AB2720">
        <v>23</v>
      </c>
      <c r="AC2720">
        <v>2.9</v>
      </c>
      <c r="AD2720" t="s">
        <v>5976</v>
      </c>
      <c r="AE2720" t="s">
        <v>14405</v>
      </c>
      <c r="AF2720" t="s">
        <v>14406</v>
      </c>
      <c r="AG2720" t="s">
        <v>1617</v>
      </c>
      <c r="AH2720">
        <v>-0.65</v>
      </c>
      <c r="AI2720">
        <v>-3.3</v>
      </c>
      <c r="AJ2720">
        <v>11.77</v>
      </c>
      <c r="AK2720">
        <v>25.29</v>
      </c>
      <c r="AL2720">
        <v>1</v>
      </c>
      <c r="AM2720">
        <v>2.5</v>
      </c>
      <c r="AN2720">
        <v>21.67</v>
      </c>
      <c r="AO2720">
        <v>7.64</v>
      </c>
      <c r="AP2720">
        <v>0.94</v>
      </c>
    </row>
    <row r="2721" spans="1:42">
      <c r="A2721">
        <v>2720</v>
      </c>
      <c r="B2721" t="str">
        <f>"605333"</f>
        <v>605333</v>
      </c>
      <c r="C2721" t="s">
        <v>14407</v>
      </c>
      <c r="D2721">
        <v>19.68</v>
      </c>
      <c r="E2721">
        <v>-0.66</v>
      </c>
      <c r="F2721">
        <v>-0.13</v>
      </c>
      <c r="G2721" t="s">
        <v>10810</v>
      </c>
      <c r="H2721">
        <v>364</v>
      </c>
      <c r="I2721">
        <v>19.67</v>
      </c>
      <c r="J2721">
        <v>19.68</v>
      </c>
      <c r="K2721" t="s">
        <v>14408</v>
      </c>
      <c r="L2721">
        <v>0.73</v>
      </c>
      <c r="M2721" t="s">
        <v>46</v>
      </c>
      <c r="N2721" t="s">
        <v>761</v>
      </c>
      <c r="O2721">
        <v>19.89</v>
      </c>
      <c r="P2721">
        <v>19.39</v>
      </c>
      <c r="Q2721">
        <v>19.76</v>
      </c>
      <c r="R2721">
        <v>19.81</v>
      </c>
      <c r="S2721">
        <v>2.52</v>
      </c>
      <c r="T2721">
        <v>0.63</v>
      </c>
      <c r="U2721">
        <v>7.13</v>
      </c>
      <c r="V2721">
        <v>61</v>
      </c>
      <c r="W2721">
        <v>19.62</v>
      </c>
      <c r="X2721" t="s">
        <v>1255</v>
      </c>
      <c r="Y2721" t="s">
        <v>5446</v>
      </c>
      <c r="Z2721">
        <v>1.27</v>
      </c>
      <c r="AA2721">
        <v>263</v>
      </c>
      <c r="AB2721">
        <v>134</v>
      </c>
      <c r="AC2721">
        <v>5.87</v>
      </c>
      <c r="AD2721" t="s">
        <v>1388</v>
      </c>
      <c r="AE2721" t="s">
        <v>14409</v>
      </c>
      <c r="AF2721" t="s">
        <v>1388</v>
      </c>
      <c r="AG2721" t="s">
        <v>14409</v>
      </c>
      <c r="AH2721">
        <v>-3.67</v>
      </c>
      <c r="AI2721">
        <v>-8.25</v>
      </c>
      <c r="AJ2721">
        <v>2.37</v>
      </c>
      <c r="AK2721">
        <v>6.49</v>
      </c>
      <c r="AL2721">
        <v>-4</v>
      </c>
      <c r="AM2721">
        <v>-0.66</v>
      </c>
      <c r="AN2721">
        <v>-7.69</v>
      </c>
      <c r="AO2721">
        <v>2.13</v>
      </c>
      <c r="AP2721">
        <v>-17.66</v>
      </c>
    </row>
    <row r="2722" spans="1:42">
      <c r="A2722">
        <v>2721</v>
      </c>
      <c r="B2722" t="str">
        <f>"603730"</f>
        <v>603730</v>
      </c>
      <c r="C2722" t="s">
        <v>14410</v>
      </c>
      <c r="D2722">
        <v>15.59</v>
      </c>
      <c r="E2722">
        <v>-2.68</v>
      </c>
      <c r="F2722">
        <v>-0.43</v>
      </c>
      <c r="G2722" t="s">
        <v>5692</v>
      </c>
      <c r="H2722">
        <v>116</v>
      </c>
      <c r="I2722">
        <v>15.59</v>
      </c>
      <c r="J2722">
        <v>15.6</v>
      </c>
      <c r="K2722" t="s">
        <v>14411</v>
      </c>
      <c r="L2722">
        <v>0.31</v>
      </c>
      <c r="M2722" t="s">
        <v>46</v>
      </c>
      <c r="N2722" t="s">
        <v>14412</v>
      </c>
      <c r="O2722">
        <v>16.2</v>
      </c>
      <c r="P2722">
        <v>15.49</v>
      </c>
      <c r="Q2722">
        <v>15.99</v>
      </c>
      <c r="R2722">
        <v>16.02</v>
      </c>
      <c r="S2722">
        <v>4.43</v>
      </c>
      <c r="T2722">
        <v>1.6</v>
      </c>
      <c r="U2722">
        <v>52.06</v>
      </c>
      <c r="V2722">
        <v>467</v>
      </c>
      <c r="W2722">
        <v>15.66</v>
      </c>
      <c r="X2722" t="s">
        <v>9251</v>
      </c>
      <c r="Y2722" t="s">
        <v>7836</v>
      </c>
      <c r="Z2722">
        <v>1.74</v>
      </c>
      <c r="AA2722">
        <v>19</v>
      </c>
      <c r="AB2722">
        <v>46</v>
      </c>
      <c r="AC2722">
        <v>4.56</v>
      </c>
      <c r="AD2722" t="s">
        <v>14413</v>
      </c>
      <c r="AE2722" t="s">
        <v>14414</v>
      </c>
      <c r="AF2722" t="s">
        <v>14413</v>
      </c>
      <c r="AG2722" t="s">
        <v>14414</v>
      </c>
      <c r="AH2722">
        <v>-3.88</v>
      </c>
      <c r="AI2722">
        <v>-4.71</v>
      </c>
      <c r="AJ2722">
        <v>0.76</v>
      </c>
      <c r="AK2722">
        <v>1.29</v>
      </c>
      <c r="AL2722">
        <v>-2</v>
      </c>
      <c r="AM2722">
        <v>-2.68</v>
      </c>
      <c r="AN2722">
        <v>35.1</v>
      </c>
      <c r="AO2722">
        <v>-5.57</v>
      </c>
      <c r="AP2722">
        <v>28.95</v>
      </c>
    </row>
    <row r="2723" spans="1:42">
      <c r="A2723">
        <v>2722</v>
      </c>
      <c r="B2723" t="str">
        <f>"002091"</f>
        <v>002091</v>
      </c>
      <c r="C2723" t="s">
        <v>14415</v>
      </c>
      <c r="D2723">
        <v>7.87</v>
      </c>
      <c r="E2723">
        <v>0.51</v>
      </c>
      <c r="F2723">
        <v>0.04</v>
      </c>
      <c r="G2723" t="s">
        <v>11500</v>
      </c>
      <c r="H2723">
        <v>721</v>
      </c>
      <c r="I2723">
        <v>7.85</v>
      </c>
      <c r="J2723">
        <v>7.87</v>
      </c>
      <c r="K2723" t="s">
        <v>14416</v>
      </c>
      <c r="L2723">
        <v>0.5</v>
      </c>
      <c r="M2723" t="s">
        <v>46</v>
      </c>
      <c r="N2723" t="s">
        <v>10192</v>
      </c>
      <c r="O2723">
        <v>7.87</v>
      </c>
      <c r="P2723">
        <v>7.78</v>
      </c>
      <c r="Q2723">
        <v>7.83</v>
      </c>
      <c r="R2723">
        <v>7.83</v>
      </c>
      <c r="S2723">
        <v>1.15</v>
      </c>
      <c r="T2723">
        <v>0.89</v>
      </c>
      <c r="U2723">
        <v>-44.43</v>
      </c>
      <c r="V2723">
        <v>-4826</v>
      </c>
      <c r="W2723">
        <v>7.84</v>
      </c>
      <c r="X2723" t="s">
        <v>5831</v>
      </c>
      <c r="Y2723" t="s">
        <v>2559</v>
      </c>
      <c r="Z2723">
        <v>0.79</v>
      </c>
      <c r="AA2723">
        <v>981</v>
      </c>
      <c r="AB2723">
        <v>2328</v>
      </c>
      <c r="AC2723">
        <v>0.88</v>
      </c>
      <c r="AD2723" t="s">
        <v>1597</v>
      </c>
      <c r="AE2723" t="s">
        <v>14417</v>
      </c>
      <c r="AF2723" t="s">
        <v>14418</v>
      </c>
      <c r="AG2723" t="s">
        <v>9368</v>
      </c>
      <c r="AH2723">
        <v>0.13</v>
      </c>
      <c r="AI2723">
        <v>0.38</v>
      </c>
      <c r="AJ2723">
        <v>1.4</v>
      </c>
      <c r="AK2723">
        <v>3.29</v>
      </c>
      <c r="AL2723">
        <v>1</v>
      </c>
      <c r="AM2723">
        <v>0.51</v>
      </c>
      <c r="AN2723">
        <v>-4.61</v>
      </c>
      <c r="AO2723">
        <v>3.83</v>
      </c>
      <c r="AP2723">
        <v>-5.86</v>
      </c>
    </row>
    <row r="2724" spans="1:42">
      <c r="A2724">
        <v>2723</v>
      </c>
      <c r="B2724" t="str">
        <f>"601588"</f>
        <v>601588</v>
      </c>
      <c r="C2724" t="s">
        <v>14419</v>
      </c>
      <c r="D2724">
        <v>2.02</v>
      </c>
      <c r="E2724">
        <v>2.02</v>
      </c>
      <c r="F2724">
        <v>0.04</v>
      </c>
      <c r="G2724" t="s">
        <v>3576</v>
      </c>
      <c r="H2724">
        <v>1627</v>
      </c>
      <c r="I2724">
        <v>2.02</v>
      </c>
      <c r="J2724">
        <v>2.03</v>
      </c>
      <c r="K2724" t="s">
        <v>14420</v>
      </c>
      <c r="L2724">
        <v>1.17</v>
      </c>
      <c r="M2724" t="s">
        <v>46</v>
      </c>
      <c r="N2724" t="s">
        <v>916</v>
      </c>
      <c r="O2724">
        <v>2.03</v>
      </c>
      <c r="P2724">
        <v>1.98</v>
      </c>
      <c r="Q2724">
        <v>1.98</v>
      </c>
      <c r="R2724">
        <v>1.98</v>
      </c>
      <c r="S2724">
        <v>2.53</v>
      </c>
      <c r="T2724">
        <v>0.91</v>
      </c>
      <c r="U2724">
        <v>-16.85</v>
      </c>
      <c r="V2724" t="s">
        <v>14421</v>
      </c>
      <c r="W2724">
        <v>2.01</v>
      </c>
      <c r="X2724" t="s">
        <v>1909</v>
      </c>
      <c r="Y2724" t="s">
        <v>2160</v>
      </c>
      <c r="Z2724">
        <v>0.52</v>
      </c>
      <c r="AA2724">
        <v>3168</v>
      </c>
      <c r="AB2724" t="s">
        <v>4525</v>
      </c>
      <c r="AC2724">
        <v>0.53</v>
      </c>
      <c r="AD2724" t="s">
        <v>14422</v>
      </c>
      <c r="AE2724" t="s">
        <v>14423</v>
      </c>
      <c r="AF2724" t="s">
        <v>14424</v>
      </c>
      <c r="AG2724" t="s">
        <v>14425</v>
      </c>
      <c r="AH2724">
        <v>-0.49</v>
      </c>
      <c r="AI2724">
        <v>-5.16</v>
      </c>
      <c r="AJ2724">
        <v>3.24</v>
      </c>
      <c r="AK2724">
        <v>7.55</v>
      </c>
      <c r="AL2724">
        <v>1</v>
      </c>
      <c r="AM2724">
        <v>2.02</v>
      </c>
      <c r="AN2724">
        <v>-0.98</v>
      </c>
      <c r="AO2724">
        <v>1</v>
      </c>
      <c r="AP2724">
        <v>-1.46</v>
      </c>
    </row>
    <row r="2725" spans="1:42">
      <c r="A2725">
        <v>2724</v>
      </c>
      <c r="B2725" t="str">
        <f>"000795"</f>
        <v>000795</v>
      </c>
      <c r="C2725" t="s">
        <v>14426</v>
      </c>
      <c r="D2725">
        <v>6.2</v>
      </c>
      <c r="E2725">
        <v>-1.27</v>
      </c>
      <c r="F2725">
        <v>-0.08</v>
      </c>
      <c r="G2725" t="s">
        <v>1232</v>
      </c>
      <c r="H2725">
        <v>1448</v>
      </c>
      <c r="I2725">
        <v>6.2</v>
      </c>
      <c r="J2725">
        <v>6.22</v>
      </c>
      <c r="K2725" t="s">
        <v>14427</v>
      </c>
      <c r="L2725">
        <v>0.89</v>
      </c>
      <c r="M2725" t="s">
        <v>46</v>
      </c>
      <c r="N2725" t="s">
        <v>5034</v>
      </c>
      <c r="O2725">
        <v>6.28</v>
      </c>
      <c r="P2725">
        <v>6.18</v>
      </c>
      <c r="Q2725">
        <v>6.27</v>
      </c>
      <c r="R2725">
        <v>6.28</v>
      </c>
      <c r="S2725">
        <v>1.59</v>
      </c>
      <c r="T2725">
        <v>0.67</v>
      </c>
      <c r="U2725">
        <v>-23.24</v>
      </c>
      <c r="V2725">
        <v>-2948</v>
      </c>
      <c r="W2725">
        <v>6.22</v>
      </c>
      <c r="X2725" t="s">
        <v>9787</v>
      </c>
      <c r="Y2725" t="s">
        <v>6302</v>
      </c>
      <c r="Z2725">
        <v>1.62</v>
      </c>
      <c r="AA2725">
        <v>1162</v>
      </c>
      <c r="AB2725">
        <v>822</v>
      </c>
      <c r="AC2725">
        <v>2.66</v>
      </c>
      <c r="AD2725" t="s">
        <v>6808</v>
      </c>
      <c r="AE2725" t="s">
        <v>14428</v>
      </c>
      <c r="AF2725" t="s">
        <v>6808</v>
      </c>
      <c r="AG2725" t="s">
        <v>14428</v>
      </c>
      <c r="AH2725">
        <v>-1.74</v>
      </c>
      <c r="AI2725">
        <v>-5.34</v>
      </c>
      <c r="AJ2725">
        <v>2.7</v>
      </c>
      <c r="AK2725">
        <v>7.46</v>
      </c>
      <c r="AL2725">
        <v>-2</v>
      </c>
      <c r="AM2725">
        <v>-1.27</v>
      </c>
      <c r="AN2725">
        <v>-3.28</v>
      </c>
      <c r="AO2725">
        <v>-2.36</v>
      </c>
      <c r="AP2725">
        <v>-6.63</v>
      </c>
    </row>
    <row r="2726" spans="1:42">
      <c r="A2726">
        <v>2725</v>
      </c>
      <c r="B2726" t="str">
        <f>"002913"</f>
        <v>002913</v>
      </c>
      <c r="C2726" t="s">
        <v>14429</v>
      </c>
      <c r="D2726">
        <v>30.62</v>
      </c>
      <c r="E2726">
        <v>-0.13</v>
      </c>
      <c r="F2726">
        <v>-0.04</v>
      </c>
      <c r="G2726" t="s">
        <v>3372</v>
      </c>
      <c r="H2726">
        <v>48</v>
      </c>
      <c r="I2726">
        <v>30.61</v>
      </c>
      <c r="J2726">
        <v>30.62</v>
      </c>
      <c r="K2726" t="s">
        <v>14430</v>
      </c>
      <c r="L2726">
        <v>0.77</v>
      </c>
      <c r="M2726" t="s">
        <v>46</v>
      </c>
      <c r="N2726" t="s">
        <v>10862</v>
      </c>
      <c r="O2726">
        <v>30.71</v>
      </c>
      <c r="P2726">
        <v>30.01</v>
      </c>
      <c r="Q2726">
        <v>30.65</v>
      </c>
      <c r="R2726">
        <v>30.66</v>
      </c>
      <c r="S2726">
        <v>2.28</v>
      </c>
      <c r="T2726">
        <v>0.71</v>
      </c>
      <c r="U2726">
        <v>21.25</v>
      </c>
      <c r="V2726">
        <v>61</v>
      </c>
      <c r="W2726">
        <v>30.4</v>
      </c>
      <c r="X2726" t="s">
        <v>4792</v>
      </c>
      <c r="Y2726">
        <v>8266</v>
      </c>
      <c r="Z2726">
        <v>1.48</v>
      </c>
      <c r="AA2726">
        <v>32</v>
      </c>
      <c r="AB2726">
        <v>6</v>
      </c>
      <c r="AC2726">
        <v>2.42</v>
      </c>
      <c r="AD2726" t="s">
        <v>14431</v>
      </c>
      <c r="AE2726" t="s">
        <v>14432</v>
      </c>
      <c r="AF2726" t="s">
        <v>14433</v>
      </c>
      <c r="AG2726" t="s">
        <v>9200</v>
      </c>
      <c r="AH2726">
        <v>-2.76</v>
      </c>
      <c r="AI2726">
        <v>-0.59</v>
      </c>
      <c r="AJ2726">
        <v>2.69</v>
      </c>
      <c r="AK2726">
        <v>6.2</v>
      </c>
      <c r="AL2726">
        <v>-2</v>
      </c>
      <c r="AM2726">
        <v>-0.13</v>
      </c>
      <c r="AN2726">
        <v>29.25</v>
      </c>
      <c r="AO2726">
        <v>-4.7</v>
      </c>
      <c r="AP2726">
        <v>15.81</v>
      </c>
    </row>
    <row r="2727" spans="1:42">
      <c r="A2727">
        <v>2726</v>
      </c>
      <c r="B2727" t="str">
        <f>"000680"</f>
        <v>000680</v>
      </c>
      <c r="C2727" t="s">
        <v>14434</v>
      </c>
      <c r="D2727">
        <v>5.16</v>
      </c>
      <c r="E2727">
        <v>0.58</v>
      </c>
      <c r="F2727">
        <v>0.03</v>
      </c>
      <c r="G2727" t="s">
        <v>1790</v>
      </c>
      <c r="H2727">
        <v>1222</v>
      </c>
      <c r="I2727">
        <v>5.15</v>
      </c>
      <c r="J2727">
        <v>5.16</v>
      </c>
      <c r="K2727" t="s">
        <v>14435</v>
      </c>
      <c r="L2727">
        <v>1.14</v>
      </c>
      <c r="M2727" t="s">
        <v>46</v>
      </c>
      <c r="N2727" t="s">
        <v>6802</v>
      </c>
      <c r="O2727">
        <v>5.2</v>
      </c>
      <c r="P2727">
        <v>5.11</v>
      </c>
      <c r="Q2727">
        <v>5.17</v>
      </c>
      <c r="R2727">
        <v>5.13</v>
      </c>
      <c r="S2727">
        <v>1.75</v>
      </c>
      <c r="T2727">
        <v>0.92</v>
      </c>
      <c r="U2727">
        <v>-34.17</v>
      </c>
      <c r="V2727">
        <v>-6090</v>
      </c>
      <c r="W2727">
        <v>5.15</v>
      </c>
      <c r="X2727" t="s">
        <v>5513</v>
      </c>
      <c r="Y2727" t="s">
        <v>9519</v>
      </c>
      <c r="Z2727">
        <v>1.2</v>
      </c>
      <c r="AA2727">
        <v>122</v>
      </c>
      <c r="AB2727">
        <v>2912</v>
      </c>
      <c r="AC2727">
        <v>1.46</v>
      </c>
      <c r="AD2727" t="s">
        <v>588</v>
      </c>
      <c r="AE2727" t="s">
        <v>14436</v>
      </c>
      <c r="AF2727" t="s">
        <v>9677</v>
      </c>
      <c r="AG2727" t="s">
        <v>14437</v>
      </c>
      <c r="AH2727">
        <v>-2.27</v>
      </c>
      <c r="AI2727">
        <v>-0.96</v>
      </c>
      <c r="AJ2727">
        <v>3.54</v>
      </c>
      <c r="AK2727">
        <v>7.31</v>
      </c>
      <c r="AL2727">
        <v>1</v>
      </c>
      <c r="AM2727">
        <v>0.58</v>
      </c>
      <c r="AN2727">
        <v>27.41</v>
      </c>
      <c r="AO2727">
        <v>-2.09</v>
      </c>
      <c r="AP2727">
        <v>17.27</v>
      </c>
    </row>
    <row r="2728" spans="1:42">
      <c r="A2728">
        <v>2727</v>
      </c>
      <c r="B2728" t="str">
        <f>"603139"</f>
        <v>603139</v>
      </c>
      <c r="C2728" t="s">
        <v>14438</v>
      </c>
      <c r="D2728">
        <v>20.29</v>
      </c>
      <c r="E2728">
        <v>-1.65</v>
      </c>
      <c r="F2728">
        <v>-0.34</v>
      </c>
      <c r="G2728" t="s">
        <v>7205</v>
      </c>
      <c r="H2728">
        <v>265</v>
      </c>
      <c r="I2728">
        <v>20.28</v>
      </c>
      <c r="J2728">
        <v>20.29</v>
      </c>
      <c r="K2728" t="s">
        <v>14439</v>
      </c>
      <c r="L2728">
        <v>3.07</v>
      </c>
      <c r="M2728" t="s">
        <v>46</v>
      </c>
      <c r="N2728" t="s">
        <v>14440</v>
      </c>
      <c r="O2728">
        <v>20.7</v>
      </c>
      <c r="P2728">
        <v>20.08</v>
      </c>
      <c r="Q2728">
        <v>20.64</v>
      </c>
      <c r="R2728">
        <v>20.63</v>
      </c>
      <c r="S2728">
        <v>3.01</v>
      </c>
      <c r="T2728">
        <v>1.14</v>
      </c>
      <c r="U2728">
        <v>-23.22</v>
      </c>
      <c r="V2728">
        <v>-75</v>
      </c>
      <c r="W2728">
        <v>20.29</v>
      </c>
      <c r="X2728" t="s">
        <v>4105</v>
      </c>
      <c r="Y2728" t="s">
        <v>8137</v>
      </c>
      <c r="Z2728">
        <v>0.87</v>
      </c>
      <c r="AA2728">
        <v>4</v>
      </c>
      <c r="AB2728">
        <v>5</v>
      </c>
      <c r="AC2728">
        <v>2.06</v>
      </c>
      <c r="AD2728" t="s">
        <v>14441</v>
      </c>
      <c r="AE2728" t="s">
        <v>14442</v>
      </c>
      <c r="AF2728" t="s">
        <v>14441</v>
      </c>
      <c r="AG2728" t="s">
        <v>14442</v>
      </c>
      <c r="AH2728">
        <v>-3.43</v>
      </c>
      <c r="AI2728">
        <v>-0.34</v>
      </c>
      <c r="AJ2728">
        <v>8.56</v>
      </c>
      <c r="AK2728">
        <v>16.55</v>
      </c>
      <c r="AL2728">
        <v>-3</v>
      </c>
      <c r="AM2728">
        <v>-1.65</v>
      </c>
      <c r="AN2728">
        <v>14.31</v>
      </c>
      <c r="AO2728">
        <v>1.4</v>
      </c>
      <c r="AP2728">
        <v>-4.74</v>
      </c>
    </row>
    <row r="2729" spans="1:42">
      <c r="A2729">
        <v>2728</v>
      </c>
      <c r="B2729" t="str">
        <f>"002901"</f>
        <v>002901</v>
      </c>
      <c r="C2729" t="s">
        <v>14443</v>
      </c>
      <c r="D2729">
        <v>40.62</v>
      </c>
      <c r="E2729">
        <v>0.2</v>
      </c>
      <c r="F2729">
        <v>0.08</v>
      </c>
      <c r="G2729" t="s">
        <v>7178</v>
      </c>
      <c r="H2729">
        <v>146</v>
      </c>
      <c r="I2729">
        <v>40.61</v>
      </c>
      <c r="J2729">
        <v>40.62</v>
      </c>
      <c r="K2729" t="s">
        <v>14444</v>
      </c>
      <c r="L2729">
        <v>0.44</v>
      </c>
      <c r="M2729" t="s">
        <v>46</v>
      </c>
      <c r="N2729" t="s">
        <v>1778</v>
      </c>
      <c r="O2729">
        <v>41</v>
      </c>
      <c r="P2729">
        <v>40.02</v>
      </c>
      <c r="Q2729">
        <v>40.42</v>
      </c>
      <c r="R2729">
        <v>40.54</v>
      </c>
      <c r="S2729">
        <v>2.42</v>
      </c>
      <c r="T2729">
        <v>0.59</v>
      </c>
      <c r="U2729">
        <v>-12.3</v>
      </c>
      <c r="V2729">
        <v>-23</v>
      </c>
      <c r="W2729">
        <v>40.54</v>
      </c>
      <c r="X2729">
        <v>7752</v>
      </c>
      <c r="Y2729">
        <v>7602</v>
      </c>
      <c r="Z2729">
        <v>1.02</v>
      </c>
      <c r="AA2729">
        <v>9</v>
      </c>
      <c r="AB2729">
        <v>12</v>
      </c>
      <c r="AC2729">
        <v>5.43</v>
      </c>
      <c r="AD2729" t="s">
        <v>14445</v>
      </c>
      <c r="AE2729" t="s">
        <v>8381</v>
      </c>
      <c r="AF2729" t="s">
        <v>14446</v>
      </c>
      <c r="AG2729" t="s">
        <v>14447</v>
      </c>
      <c r="AH2729">
        <v>0.25</v>
      </c>
      <c r="AI2729">
        <v>10.14</v>
      </c>
      <c r="AJ2729">
        <v>1.3</v>
      </c>
      <c r="AK2729">
        <v>4.15</v>
      </c>
      <c r="AL2729">
        <v>2</v>
      </c>
      <c r="AM2729">
        <v>0.2</v>
      </c>
      <c r="AN2729">
        <v>19.37</v>
      </c>
      <c r="AO2729">
        <v>5.78</v>
      </c>
      <c r="AP2729">
        <v>5.7</v>
      </c>
    </row>
    <row r="2730" spans="1:42">
      <c r="A2730">
        <v>2729</v>
      </c>
      <c r="B2730" t="str">
        <f>"600597"</f>
        <v>600597</v>
      </c>
      <c r="C2730" t="s">
        <v>14448</v>
      </c>
      <c r="D2730">
        <v>9.31</v>
      </c>
      <c r="E2730">
        <v>0</v>
      </c>
      <c r="F2730">
        <v>0</v>
      </c>
      <c r="G2730" t="s">
        <v>5270</v>
      </c>
      <c r="H2730">
        <v>569</v>
      </c>
      <c r="I2730">
        <v>9.3</v>
      </c>
      <c r="J2730">
        <v>9.31</v>
      </c>
      <c r="K2730" t="s">
        <v>14449</v>
      </c>
      <c r="L2730">
        <v>0.48</v>
      </c>
      <c r="M2730" t="s">
        <v>46</v>
      </c>
      <c r="N2730" t="s">
        <v>7933</v>
      </c>
      <c r="O2730">
        <v>9.36</v>
      </c>
      <c r="P2730">
        <v>9.26</v>
      </c>
      <c r="Q2730">
        <v>9.31</v>
      </c>
      <c r="R2730">
        <v>9.31</v>
      </c>
      <c r="S2730">
        <v>1.07</v>
      </c>
      <c r="T2730">
        <v>0.92</v>
      </c>
      <c r="U2730">
        <v>23.25</v>
      </c>
      <c r="V2730">
        <v>2619</v>
      </c>
      <c r="W2730">
        <v>9.31</v>
      </c>
      <c r="X2730" t="s">
        <v>5454</v>
      </c>
      <c r="Y2730" t="s">
        <v>7338</v>
      </c>
      <c r="Z2730">
        <v>1.01</v>
      </c>
      <c r="AA2730">
        <v>1713</v>
      </c>
      <c r="AB2730">
        <v>159</v>
      </c>
      <c r="AC2730">
        <v>1.58</v>
      </c>
      <c r="AD2730" t="s">
        <v>14450</v>
      </c>
      <c r="AE2730" t="s">
        <v>4704</v>
      </c>
      <c r="AF2730" t="s">
        <v>14450</v>
      </c>
      <c r="AG2730" t="s">
        <v>4704</v>
      </c>
      <c r="AH2730">
        <v>-0.43</v>
      </c>
      <c r="AI2730">
        <v>-0.64</v>
      </c>
      <c r="AJ2730">
        <v>1.31</v>
      </c>
      <c r="AK2730">
        <v>3.12</v>
      </c>
      <c r="AL2730">
        <v>0</v>
      </c>
      <c r="AM2730">
        <v>0</v>
      </c>
      <c r="AN2730">
        <v>-12.83</v>
      </c>
      <c r="AO2730">
        <v>-1.06</v>
      </c>
      <c r="AP2730">
        <v>-6.81</v>
      </c>
    </row>
    <row r="2731" spans="1:42">
      <c r="A2731">
        <v>2730</v>
      </c>
      <c r="B2731" t="str">
        <f>"000897"</f>
        <v>000897</v>
      </c>
      <c r="C2731" t="s">
        <v>14451</v>
      </c>
      <c r="D2731">
        <v>2.31</v>
      </c>
      <c r="E2731">
        <v>1.32</v>
      </c>
      <c r="F2731">
        <v>0.03</v>
      </c>
      <c r="G2731" t="s">
        <v>2381</v>
      </c>
      <c r="H2731">
        <v>2461</v>
      </c>
      <c r="I2731">
        <v>2.31</v>
      </c>
      <c r="J2731">
        <v>2.32</v>
      </c>
      <c r="K2731" t="s">
        <v>14452</v>
      </c>
      <c r="L2731">
        <v>1.67</v>
      </c>
      <c r="M2731" t="s">
        <v>46</v>
      </c>
      <c r="N2731" t="s">
        <v>4975</v>
      </c>
      <c r="O2731">
        <v>2.32</v>
      </c>
      <c r="P2731">
        <v>2.26</v>
      </c>
      <c r="Q2731">
        <v>2.27</v>
      </c>
      <c r="R2731">
        <v>2.28</v>
      </c>
      <c r="S2731">
        <v>2.63</v>
      </c>
      <c r="T2731">
        <v>0.8</v>
      </c>
      <c r="U2731">
        <v>-21.37</v>
      </c>
      <c r="V2731" t="s">
        <v>3795</v>
      </c>
      <c r="W2731">
        <v>2.3</v>
      </c>
      <c r="X2731" t="s">
        <v>2402</v>
      </c>
      <c r="Y2731" t="s">
        <v>665</v>
      </c>
      <c r="Z2731">
        <v>0.67</v>
      </c>
      <c r="AA2731">
        <v>869</v>
      </c>
      <c r="AB2731" t="s">
        <v>1072</v>
      </c>
      <c r="AC2731">
        <v>1.4</v>
      </c>
      <c r="AD2731" t="s">
        <v>1371</v>
      </c>
      <c r="AE2731" t="s">
        <v>14453</v>
      </c>
      <c r="AF2731" t="s">
        <v>1371</v>
      </c>
      <c r="AG2731" t="s">
        <v>14453</v>
      </c>
      <c r="AH2731">
        <v>-0.86</v>
      </c>
      <c r="AI2731">
        <v>-5.71</v>
      </c>
      <c r="AJ2731">
        <v>4.83</v>
      </c>
      <c r="AK2731">
        <v>12.11</v>
      </c>
      <c r="AL2731">
        <v>1</v>
      </c>
      <c r="AM2731">
        <v>1.32</v>
      </c>
      <c r="AN2731">
        <v>-1.7</v>
      </c>
      <c r="AO2731">
        <v>3.59</v>
      </c>
      <c r="AP2731">
        <v>-0.86</v>
      </c>
    </row>
    <row r="2732" spans="1:42">
      <c r="A2732">
        <v>2731</v>
      </c>
      <c r="B2732" t="str">
        <f>"002314"</f>
        <v>002314</v>
      </c>
      <c r="C2732" t="s">
        <v>14454</v>
      </c>
      <c r="D2732">
        <v>3.11</v>
      </c>
      <c r="E2732">
        <v>1.97</v>
      </c>
      <c r="F2732">
        <v>0.06</v>
      </c>
      <c r="G2732" t="s">
        <v>2011</v>
      </c>
      <c r="H2732">
        <v>2195</v>
      </c>
      <c r="I2732">
        <v>3.1</v>
      </c>
      <c r="J2732">
        <v>3.11</v>
      </c>
      <c r="K2732" t="s">
        <v>14455</v>
      </c>
      <c r="L2732">
        <v>1.5</v>
      </c>
      <c r="M2732" t="s">
        <v>46</v>
      </c>
      <c r="N2732" t="s">
        <v>14456</v>
      </c>
      <c r="O2732">
        <v>3.11</v>
      </c>
      <c r="P2732">
        <v>3.04</v>
      </c>
      <c r="Q2732">
        <v>3.05</v>
      </c>
      <c r="R2732">
        <v>3.05</v>
      </c>
      <c r="S2732">
        <v>2.3</v>
      </c>
      <c r="T2732">
        <v>0.89</v>
      </c>
      <c r="U2732">
        <v>-14.41</v>
      </c>
      <c r="V2732">
        <v>-5380</v>
      </c>
      <c r="W2732">
        <v>3.09</v>
      </c>
      <c r="X2732" t="s">
        <v>4740</v>
      </c>
      <c r="Y2732" t="s">
        <v>1986</v>
      </c>
      <c r="Z2732">
        <v>0.62</v>
      </c>
      <c r="AA2732">
        <v>1171</v>
      </c>
      <c r="AB2732">
        <v>8250</v>
      </c>
      <c r="AC2732">
        <v>0.83</v>
      </c>
      <c r="AD2732" t="s">
        <v>14457</v>
      </c>
      <c r="AE2732" t="s">
        <v>14458</v>
      </c>
      <c r="AF2732" t="s">
        <v>14459</v>
      </c>
      <c r="AG2732" t="s">
        <v>14460</v>
      </c>
      <c r="AH2732">
        <v>-0.96</v>
      </c>
      <c r="AI2732">
        <v>-5.76</v>
      </c>
      <c r="AJ2732">
        <v>4.4</v>
      </c>
      <c r="AK2732">
        <v>9.96</v>
      </c>
      <c r="AL2732">
        <v>1</v>
      </c>
      <c r="AM2732">
        <v>1.97</v>
      </c>
      <c r="AN2732">
        <v>-17.72</v>
      </c>
      <c r="AO2732">
        <v>0.65</v>
      </c>
      <c r="AP2732">
        <v>-6.04</v>
      </c>
    </row>
    <row r="2733" spans="1:42">
      <c r="A2733">
        <v>2732</v>
      </c>
      <c r="B2733" t="str">
        <f>"300006"</f>
        <v>300006</v>
      </c>
      <c r="C2733" t="s">
        <v>14461</v>
      </c>
      <c r="D2733">
        <v>4.1</v>
      </c>
      <c r="E2733">
        <v>-0.24</v>
      </c>
      <c r="F2733">
        <v>-0.01</v>
      </c>
      <c r="G2733" t="s">
        <v>1377</v>
      </c>
      <c r="H2733">
        <v>2630</v>
      </c>
      <c r="I2733">
        <v>4.1</v>
      </c>
      <c r="J2733">
        <v>4.11</v>
      </c>
      <c r="K2733" t="s">
        <v>14462</v>
      </c>
      <c r="L2733">
        <v>1.86</v>
      </c>
      <c r="M2733" t="s">
        <v>46</v>
      </c>
      <c r="N2733" t="s">
        <v>2129</v>
      </c>
      <c r="O2733">
        <v>4.18</v>
      </c>
      <c r="P2733">
        <v>4.08</v>
      </c>
      <c r="Q2733">
        <v>4.11</v>
      </c>
      <c r="R2733">
        <v>4.11</v>
      </c>
      <c r="S2733">
        <v>2.43</v>
      </c>
      <c r="T2733">
        <v>0.45</v>
      </c>
      <c r="U2733">
        <v>18.83</v>
      </c>
      <c r="V2733">
        <v>2953</v>
      </c>
      <c r="W2733">
        <v>4.12</v>
      </c>
      <c r="X2733" t="s">
        <v>4464</v>
      </c>
      <c r="Y2733" t="s">
        <v>9741</v>
      </c>
      <c r="Z2733">
        <v>1.26</v>
      </c>
      <c r="AA2733">
        <v>2681</v>
      </c>
      <c r="AB2733">
        <v>154</v>
      </c>
      <c r="AC2733">
        <v>2.09</v>
      </c>
      <c r="AD2733" t="s">
        <v>7450</v>
      </c>
      <c r="AE2733" t="s">
        <v>14463</v>
      </c>
      <c r="AF2733" t="s">
        <v>14464</v>
      </c>
      <c r="AG2733" t="s">
        <v>14465</v>
      </c>
      <c r="AH2733">
        <v>-3.07</v>
      </c>
      <c r="AI2733">
        <v>-5.31</v>
      </c>
      <c r="AJ2733">
        <v>5.94</v>
      </c>
      <c r="AK2733">
        <v>22.43</v>
      </c>
      <c r="AL2733">
        <v>-3</v>
      </c>
      <c r="AM2733">
        <v>-0.24</v>
      </c>
      <c r="AN2733">
        <v>7.61</v>
      </c>
      <c r="AO2733">
        <v>3.02</v>
      </c>
      <c r="AP2733">
        <v>-3.53</v>
      </c>
    </row>
    <row r="2734" spans="1:42">
      <c r="A2734">
        <v>2733</v>
      </c>
      <c r="B2734" t="str">
        <f>"300830"</f>
        <v>300830</v>
      </c>
      <c r="C2734" t="s">
        <v>14466</v>
      </c>
      <c r="D2734">
        <v>9.22</v>
      </c>
      <c r="E2734">
        <v>3.25</v>
      </c>
      <c r="F2734">
        <v>0.29</v>
      </c>
      <c r="G2734" t="s">
        <v>3002</v>
      </c>
      <c r="H2734">
        <v>3344</v>
      </c>
      <c r="I2734">
        <v>9.22</v>
      </c>
      <c r="J2734">
        <v>9.23</v>
      </c>
      <c r="K2734" t="s">
        <v>14467</v>
      </c>
      <c r="L2734">
        <v>2.21</v>
      </c>
      <c r="M2734" t="s">
        <v>46</v>
      </c>
      <c r="N2734" t="s">
        <v>5496</v>
      </c>
      <c r="O2734">
        <v>9.22</v>
      </c>
      <c r="P2734">
        <v>8.86</v>
      </c>
      <c r="Q2734">
        <v>8.91</v>
      </c>
      <c r="R2734">
        <v>8.93</v>
      </c>
      <c r="S2734">
        <v>4.03</v>
      </c>
      <c r="T2734">
        <v>0.64</v>
      </c>
      <c r="U2734">
        <v>-8.79</v>
      </c>
      <c r="V2734">
        <v>-225</v>
      </c>
      <c r="W2734">
        <v>9.06</v>
      </c>
      <c r="X2734" t="s">
        <v>4269</v>
      </c>
      <c r="Y2734" t="s">
        <v>4358</v>
      </c>
      <c r="Z2734">
        <v>0.55</v>
      </c>
      <c r="AA2734">
        <v>285</v>
      </c>
      <c r="AB2734">
        <v>386</v>
      </c>
      <c r="AC2734">
        <v>3.48</v>
      </c>
      <c r="AD2734" t="s">
        <v>5669</v>
      </c>
      <c r="AE2734" t="s">
        <v>5846</v>
      </c>
      <c r="AF2734" t="s">
        <v>14468</v>
      </c>
      <c r="AG2734" t="s">
        <v>14469</v>
      </c>
      <c r="AH2734">
        <v>1.21</v>
      </c>
      <c r="AI2734">
        <v>-2.02</v>
      </c>
      <c r="AJ2734">
        <v>6.15</v>
      </c>
      <c r="AK2734">
        <v>19.54</v>
      </c>
      <c r="AL2734">
        <v>1</v>
      </c>
      <c r="AM2734">
        <v>3.25</v>
      </c>
      <c r="AN2734">
        <v>19.58</v>
      </c>
      <c r="AO2734">
        <v>8.09</v>
      </c>
      <c r="AP2734">
        <v>12.17</v>
      </c>
    </row>
    <row r="2735" spans="1:42">
      <c r="A2735">
        <v>2734</v>
      </c>
      <c r="B2735" t="str">
        <f>"002645"</f>
        <v>002645</v>
      </c>
      <c r="C2735" t="s">
        <v>14470</v>
      </c>
      <c r="D2735">
        <v>10.85</v>
      </c>
      <c r="E2735">
        <v>0.65</v>
      </c>
      <c r="F2735">
        <v>0.07</v>
      </c>
      <c r="G2735" t="s">
        <v>3055</v>
      </c>
      <c r="H2735">
        <v>377</v>
      </c>
      <c r="I2735">
        <v>10.84</v>
      </c>
      <c r="J2735">
        <v>10.85</v>
      </c>
      <c r="K2735" t="s">
        <v>12852</v>
      </c>
      <c r="L2735">
        <v>1.15</v>
      </c>
      <c r="M2735" t="s">
        <v>46</v>
      </c>
      <c r="N2735" t="s">
        <v>14471</v>
      </c>
      <c r="O2735">
        <v>11.02</v>
      </c>
      <c r="P2735">
        <v>10.65</v>
      </c>
      <c r="Q2735">
        <v>10.75</v>
      </c>
      <c r="R2735">
        <v>10.78</v>
      </c>
      <c r="S2735">
        <v>3.43</v>
      </c>
      <c r="T2735">
        <v>1.15</v>
      </c>
      <c r="U2735">
        <v>26.98</v>
      </c>
      <c r="V2735">
        <v>310</v>
      </c>
      <c r="W2735">
        <v>10.81</v>
      </c>
      <c r="X2735" t="s">
        <v>688</v>
      </c>
      <c r="Y2735" t="s">
        <v>5266</v>
      </c>
      <c r="Z2735">
        <v>0.85</v>
      </c>
      <c r="AA2735">
        <v>75</v>
      </c>
      <c r="AB2735">
        <v>27</v>
      </c>
      <c r="AC2735">
        <v>1.75</v>
      </c>
      <c r="AD2735" t="s">
        <v>11760</v>
      </c>
      <c r="AE2735" t="s">
        <v>14472</v>
      </c>
      <c r="AF2735" t="s">
        <v>14473</v>
      </c>
      <c r="AG2735" t="s">
        <v>14474</v>
      </c>
      <c r="AH2735">
        <v>0.56</v>
      </c>
      <c r="AI2735">
        <v>0.46</v>
      </c>
      <c r="AJ2735">
        <v>3.09</v>
      </c>
      <c r="AK2735">
        <v>6.16</v>
      </c>
      <c r="AL2735">
        <v>1</v>
      </c>
      <c r="AM2735">
        <v>0.65</v>
      </c>
      <c r="AN2735">
        <v>-26.24</v>
      </c>
      <c r="AO2735">
        <v>8.5</v>
      </c>
      <c r="AP2735">
        <v>-26.74</v>
      </c>
    </row>
    <row r="2736" spans="1:42">
      <c r="A2736">
        <v>2735</v>
      </c>
      <c r="B2736" t="str">
        <f>"002393"</f>
        <v>002393</v>
      </c>
      <c r="C2736" t="s">
        <v>14475</v>
      </c>
      <c r="D2736">
        <v>27.58</v>
      </c>
      <c r="E2736">
        <v>-1.08</v>
      </c>
      <c r="F2736">
        <v>-0.3</v>
      </c>
      <c r="G2736" t="s">
        <v>7195</v>
      </c>
      <c r="H2736">
        <v>345</v>
      </c>
      <c r="I2736">
        <v>27.57</v>
      </c>
      <c r="J2736">
        <v>27.58</v>
      </c>
      <c r="K2736" t="s">
        <v>14476</v>
      </c>
      <c r="L2736">
        <v>1.23</v>
      </c>
      <c r="M2736" t="s">
        <v>46</v>
      </c>
      <c r="N2736" t="s">
        <v>14477</v>
      </c>
      <c r="O2736">
        <v>28.07</v>
      </c>
      <c r="P2736">
        <v>27.47</v>
      </c>
      <c r="Q2736">
        <v>27.8</v>
      </c>
      <c r="R2736">
        <v>27.88</v>
      </c>
      <c r="S2736">
        <v>2.15</v>
      </c>
      <c r="T2736">
        <v>0.96</v>
      </c>
      <c r="U2736">
        <v>-63.29</v>
      </c>
      <c r="V2736">
        <v>-469</v>
      </c>
      <c r="W2736">
        <v>27.66</v>
      </c>
      <c r="X2736" t="s">
        <v>1052</v>
      </c>
      <c r="Y2736" t="s">
        <v>1154</v>
      </c>
      <c r="Z2736">
        <v>1.17</v>
      </c>
      <c r="AA2736">
        <v>14</v>
      </c>
      <c r="AB2736">
        <v>118</v>
      </c>
      <c r="AC2736">
        <v>1.09</v>
      </c>
      <c r="AD2736" t="s">
        <v>14478</v>
      </c>
      <c r="AE2736" t="s">
        <v>12806</v>
      </c>
      <c r="AF2736" t="s">
        <v>14479</v>
      </c>
      <c r="AG2736" t="s">
        <v>10580</v>
      </c>
      <c r="AH2736">
        <v>0.36</v>
      </c>
      <c r="AI2736">
        <v>1.03</v>
      </c>
      <c r="AJ2736">
        <v>3.14</v>
      </c>
      <c r="AK2736">
        <v>7.61</v>
      </c>
      <c r="AL2736">
        <v>-1</v>
      </c>
      <c r="AM2736">
        <v>-1.08</v>
      </c>
      <c r="AN2736">
        <v>31.4</v>
      </c>
      <c r="AO2736">
        <v>5.35</v>
      </c>
      <c r="AP2736">
        <v>15.79</v>
      </c>
    </row>
    <row r="2737" spans="1:42">
      <c r="A2737">
        <v>2736</v>
      </c>
      <c r="B2737" t="str">
        <f>"000913"</f>
        <v>000913</v>
      </c>
      <c r="C2737" t="s">
        <v>14480</v>
      </c>
      <c r="D2737">
        <v>13.4</v>
      </c>
      <c r="E2737">
        <v>-0.96</v>
      </c>
      <c r="F2737">
        <v>-0.13</v>
      </c>
      <c r="G2737" t="s">
        <v>2299</v>
      </c>
      <c r="H2737">
        <v>729</v>
      </c>
      <c r="I2737">
        <v>13.4</v>
      </c>
      <c r="J2737">
        <v>13.41</v>
      </c>
      <c r="K2737" t="s">
        <v>14481</v>
      </c>
      <c r="L2737">
        <v>1.01</v>
      </c>
      <c r="M2737" t="s">
        <v>46</v>
      </c>
      <c r="N2737" t="s">
        <v>12348</v>
      </c>
      <c r="O2737">
        <v>13.62</v>
      </c>
      <c r="P2737">
        <v>13.27</v>
      </c>
      <c r="Q2737">
        <v>13.52</v>
      </c>
      <c r="R2737">
        <v>13.53</v>
      </c>
      <c r="S2737">
        <v>2.59</v>
      </c>
      <c r="T2737">
        <v>1</v>
      </c>
      <c r="U2737">
        <v>-30.66</v>
      </c>
      <c r="V2737">
        <v>-461</v>
      </c>
      <c r="W2737">
        <v>13.38</v>
      </c>
      <c r="X2737" t="s">
        <v>5444</v>
      </c>
      <c r="Y2737" t="s">
        <v>5585</v>
      </c>
      <c r="Z2737">
        <v>1.37</v>
      </c>
      <c r="AA2737">
        <v>117</v>
      </c>
      <c r="AB2737">
        <v>29</v>
      </c>
      <c r="AC2737">
        <v>1.62</v>
      </c>
      <c r="AD2737" t="s">
        <v>14482</v>
      </c>
      <c r="AE2737" t="s">
        <v>13344</v>
      </c>
      <c r="AF2737" t="s">
        <v>12820</v>
      </c>
      <c r="AG2737" t="s">
        <v>14483</v>
      </c>
      <c r="AH2737">
        <v>-4.22</v>
      </c>
      <c r="AI2737">
        <v>-5.43</v>
      </c>
      <c r="AJ2737">
        <v>2.8</v>
      </c>
      <c r="AK2737">
        <v>6.08</v>
      </c>
      <c r="AL2737">
        <v>-3</v>
      </c>
      <c r="AM2737">
        <v>-0.96</v>
      </c>
      <c r="AN2737">
        <v>-26.54</v>
      </c>
      <c r="AO2737">
        <v>-0.59</v>
      </c>
      <c r="AP2737">
        <v>-36.37</v>
      </c>
    </row>
    <row r="2738" spans="1:42">
      <c r="A2738">
        <v>2737</v>
      </c>
      <c r="B2738" t="str">
        <f>"003012"</f>
        <v>003012</v>
      </c>
      <c r="C2738" t="s">
        <v>14484</v>
      </c>
      <c r="D2738">
        <v>8.5</v>
      </c>
      <c r="E2738">
        <v>0</v>
      </c>
      <c r="F2738">
        <v>0</v>
      </c>
      <c r="G2738" t="s">
        <v>4542</v>
      </c>
      <c r="H2738">
        <v>319</v>
      </c>
      <c r="I2738">
        <v>8.5</v>
      </c>
      <c r="J2738">
        <v>8.52</v>
      </c>
      <c r="K2738" t="s">
        <v>14485</v>
      </c>
      <c r="L2738">
        <v>0.63</v>
      </c>
      <c r="M2738" t="s">
        <v>46</v>
      </c>
      <c r="N2738" t="s">
        <v>10100</v>
      </c>
      <c r="O2738">
        <v>8.58</v>
      </c>
      <c r="P2738">
        <v>8.38</v>
      </c>
      <c r="Q2738">
        <v>8.55</v>
      </c>
      <c r="R2738">
        <v>8.5</v>
      </c>
      <c r="S2738">
        <v>2.35</v>
      </c>
      <c r="T2738">
        <v>0.81</v>
      </c>
      <c r="U2738">
        <v>-2.98</v>
      </c>
      <c r="V2738">
        <v>-52</v>
      </c>
      <c r="W2738">
        <v>8.48</v>
      </c>
      <c r="X2738" t="s">
        <v>401</v>
      </c>
      <c r="Y2738" t="s">
        <v>4569</v>
      </c>
      <c r="Z2738">
        <v>0.72</v>
      </c>
      <c r="AA2738">
        <v>206</v>
      </c>
      <c r="AB2738">
        <v>102</v>
      </c>
      <c r="AC2738">
        <v>1.29</v>
      </c>
      <c r="AD2738" t="s">
        <v>14486</v>
      </c>
      <c r="AE2738" t="s">
        <v>14487</v>
      </c>
      <c r="AF2738" t="s">
        <v>10535</v>
      </c>
      <c r="AG2738" t="s">
        <v>14488</v>
      </c>
      <c r="AH2738">
        <v>-2.63</v>
      </c>
      <c r="AI2738">
        <v>-5.24</v>
      </c>
      <c r="AJ2738">
        <v>2.54</v>
      </c>
      <c r="AK2738">
        <v>4.52</v>
      </c>
      <c r="AL2738">
        <v>0</v>
      </c>
      <c r="AM2738">
        <v>0</v>
      </c>
      <c r="AN2738">
        <v>9.54</v>
      </c>
      <c r="AO2738">
        <v>-5.45</v>
      </c>
      <c r="AP2738">
        <v>6.92</v>
      </c>
    </row>
    <row r="2739" spans="1:42">
      <c r="A2739">
        <v>2738</v>
      </c>
      <c r="B2739" t="str">
        <f>"600173"</f>
        <v>600173</v>
      </c>
      <c r="C2739" t="s">
        <v>14489</v>
      </c>
      <c r="D2739">
        <v>5.16</v>
      </c>
      <c r="E2739">
        <v>3.2</v>
      </c>
      <c r="F2739">
        <v>0.16</v>
      </c>
      <c r="G2739" t="s">
        <v>1790</v>
      </c>
      <c r="H2739">
        <v>2274</v>
      </c>
      <c r="I2739">
        <v>5.15</v>
      </c>
      <c r="J2739">
        <v>5.16</v>
      </c>
      <c r="K2739" t="s">
        <v>14490</v>
      </c>
      <c r="L2739">
        <v>1.73</v>
      </c>
      <c r="M2739" t="s">
        <v>46</v>
      </c>
      <c r="N2739" t="s">
        <v>2539</v>
      </c>
      <c r="O2739">
        <v>5.18</v>
      </c>
      <c r="P2739">
        <v>4.99</v>
      </c>
      <c r="Q2739">
        <v>5</v>
      </c>
      <c r="R2739">
        <v>5</v>
      </c>
      <c r="S2739">
        <v>3.8</v>
      </c>
      <c r="T2739">
        <v>0.48</v>
      </c>
      <c r="U2739">
        <v>-12.3</v>
      </c>
      <c r="V2739">
        <v>-1280</v>
      </c>
      <c r="W2739">
        <v>5.1</v>
      </c>
      <c r="X2739" t="s">
        <v>6392</v>
      </c>
      <c r="Y2739" t="s">
        <v>4249</v>
      </c>
      <c r="Z2739">
        <v>0.75</v>
      </c>
      <c r="AA2739">
        <v>583</v>
      </c>
      <c r="AB2739">
        <v>47</v>
      </c>
      <c r="AC2739">
        <v>0.93</v>
      </c>
      <c r="AD2739" t="s">
        <v>14491</v>
      </c>
      <c r="AE2739" t="s">
        <v>4244</v>
      </c>
      <c r="AF2739" t="s">
        <v>14492</v>
      </c>
      <c r="AG2739" t="s">
        <v>2153</v>
      </c>
      <c r="AH2739">
        <v>0.39</v>
      </c>
      <c r="AI2739">
        <v>-7.19</v>
      </c>
      <c r="AJ2739">
        <v>5.38</v>
      </c>
      <c r="AK2739">
        <v>19.86</v>
      </c>
      <c r="AL2739">
        <v>1</v>
      </c>
      <c r="AM2739">
        <v>3.2</v>
      </c>
      <c r="AN2739">
        <v>1.57</v>
      </c>
      <c r="AO2739">
        <v>2.99</v>
      </c>
      <c r="AP2739">
        <v>-1.34</v>
      </c>
    </row>
    <row r="2740" spans="1:42">
      <c r="A2740">
        <v>2739</v>
      </c>
      <c r="B2740" t="str">
        <f>"001368"</f>
        <v>001368</v>
      </c>
      <c r="C2740" t="s">
        <v>14493</v>
      </c>
      <c r="D2740">
        <v>26.25</v>
      </c>
      <c r="E2740">
        <v>1.67</v>
      </c>
      <c r="F2740">
        <v>0.43</v>
      </c>
      <c r="G2740" t="s">
        <v>6419</v>
      </c>
      <c r="H2740">
        <v>495</v>
      </c>
      <c r="I2740">
        <v>26.25</v>
      </c>
      <c r="J2740">
        <v>26.26</v>
      </c>
      <c r="K2740" t="s">
        <v>14494</v>
      </c>
      <c r="L2740">
        <v>8.46</v>
      </c>
      <c r="M2740" t="s">
        <v>46</v>
      </c>
      <c r="N2740" t="s">
        <v>2451</v>
      </c>
      <c r="O2740">
        <v>26.35</v>
      </c>
      <c r="P2740">
        <v>25.65</v>
      </c>
      <c r="Q2740">
        <v>25.65</v>
      </c>
      <c r="R2740">
        <v>25.82</v>
      </c>
      <c r="S2740">
        <v>2.71</v>
      </c>
      <c r="T2740">
        <v>0.72</v>
      </c>
      <c r="U2740">
        <v>-18.72</v>
      </c>
      <c r="V2740">
        <v>-130</v>
      </c>
      <c r="W2740">
        <v>26.14</v>
      </c>
      <c r="X2740" t="s">
        <v>4959</v>
      </c>
      <c r="Y2740" t="s">
        <v>905</v>
      </c>
      <c r="Z2740">
        <v>0.91</v>
      </c>
      <c r="AA2740">
        <v>113</v>
      </c>
      <c r="AB2740">
        <v>73</v>
      </c>
      <c r="AC2740">
        <v>2.12</v>
      </c>
      <c r="AD2740" t="s">
        <v>14495</v>
      </c>
      <c r="AE2740" t="s">
        <v>14496</v>
      </c>
      <c r="AF2740" t="s">
        <v>14497</v>
      </c>
      <c r="AG2740" t="s">
        <v>14498</v>
      </c>
      <c r="AH2740">
        <v>-0.11</v>
      </c>
      <c r="AI2740">
        <v>-3.81</v>
      </c>
      <c r="AJ2740">
        <v>24.55</v>
      </c>
      <c r="AK2740">
        <v>67.62</v>
      </c>
      <c r="AL2740">
        <v>1</v>
      </c>
      <c r="AM2740">
        <v>1.67</v>
      </c>
      <c r="AN2740">
        <v>5.29</v>
      </c>
      <c r="AO2740">
        <v>6.79</v>
      </c>
      <c r="AP2740">
        <v>5.29</v>
      </c>
    </row>
    <row r="2741" spans="1:42">
      <c r="A2741">
        <v>2740</v>
      </c>
      <c r="B2741" t="str">
        <f>"600739"</f>
        <v>600739</v>
      </c>
      <c r="C2741" t="s">
        <v>14499</v>
      </c>
      <c r="D2741">
        <v>12.73</v>
      </c>
      <c r="E2741">
        <v>0.79</v>
      </c>
      <c r="F2741">
        <v>0.1</v>
      </c>
      <c r="G2741" t="s">
        <v>2560</v>
      </c>
      <c r="H2741">
        <v>311</v>
      </c>
      <c r="I2741">
        <v>12.72</v>
      </c>
      <c r="J2741">
        <v>12.73</v>
      </c>
      <c r="K2741" t="s">
        <v>14500</v>
      </c>
      <c r="L2741">
        <v>0.32</v>
      </c>
      <c r="M2741" t="s">
        <v>46</v>
      </c>
      <c r="N2741" t="s">
        <v>9174</v>
      </c>
      <c r="O2741">
        <v>12.77</v>
      </c>
      <c r="P2741">
        <v>12.61</v>
      </c>
      <c r="Q2741">
        <v>12.63</v>
      </c>
      <c r="R2741">
        <v>12.63</v>
      </c>
      <c r="S2741">
        <v>1.27</v>
      </c>
      <c r="T2741">
        <v>1.11</v>
      </c>
      <c r="U2741">
        <v>-66.39</v>
      </c>
      <c r="V2741">
        <v>-1979</v>
      </c>
      <c r="W2741">
        <v>12.71</v>
      </c>
      <c r="X2741" t="s">
        <v>5710</v>
      </c>
      <c r="Y2741" t="s">
        <v>7946</v>
      </c>
      <c r="Z2741">
        <v>0.92</v>
      </c>
      <c r="AA2741">
        <v>55</v>
      </c>
      <c r="AB2741">
        <v>198</v>
      </c>
      <c r="AC2741">
        <v>0.67</v>
      </c>
      <c r="AD2741" t="s">
        <v>11599</v>
      </c>
      <c r="AE2741" t="s">
        <v>14501</v>
      </c>
      <c r="AF2741" t="s">
        <v>11599</v>
      </c>
      <c r="AG2741" t="s">
        <v>14501</v>
      </c>
      <c r="AH2741">
        <v>0.95</v>
      </c>
      <c r="AI2741">
        <v>0.16</v>
      </c>
      <c r="AJ2741">
        <v>0.86</v>
      </c>
      <c r="AK2741">
        <v>1.75</v>
      </c>
      <c r="AL2741">
        <v>2</v>
      </c>
      <c r="AM2741">
        <v>0.79</v>
      </c>
      <c r="AN2741">
        <v>2.33</v>
      </c>
      <c r="AO2741">
        <v>3.41</v>
      </c>
      <c r="AP2741">
        <v>-2.08</v>
      </c>
    </row>
    <row r="2742" spans="1:42">
      <c r="A2742">
        <v>2741</v>
      </c>
      <c r="B2742" t="str">
        <f>"688147"</f>
        <v>688147</v>
      </c>
      <c r="C2742" t="s">
        <v>14502</v>
      </c>
      <c r="D2742">
        <v>39.51</v>
      </c>
      <c r="E2742">
        <v>-2.49</v>
      </c>
      <c r="F2742">
        <v>-1.01</v>
      </c>
      <c r="G2742" t="s">
        <v>8212</v>
      </c>
      <c r="H2742">
        <v>159</v>
      </c>
      <c r="I2742">
        <v>39.51</v>
      </c>
      <c r="J2742">
        <v>39.59</v>
      </c>
      <c r="K2742" t="s">
        <v>8977</v>
      </c>
      <c r="L2742">
        <v>3.89</v>
      </c>
      <c r="M2742" t="s">
        <v>46</v>
      </c>
      <c r="N2742" t="s">
        <v>119</v>
      </c>
      <c r="O2742">
        <v>40.47</v>
      </c>
      <c r="P2742">
        <v>39.18</v>
      </c>
      <c r="Q2742">
        <v>39.99</v>
      </c>
      <c r="R2742">
        <v>40.52</v>
      </c>
      <c r="S2742">
        <v>3.18</v>
      </c>
      <c r="T2742">
        <v>0.83</v>
      </c>
      <c r="U2742">
        <v>58.17</v>
      </c>
      <c r="V2742">
        <v>84</v>
      </c>
      <c r="W2742">
        <v>39.69</v>
      </c>
      <c r="X2742">
        <v>7827</v>
      </c>
      <c r="Y2742">
        <v>7770</v>
      </c>
      <c r="Z2742">
        <v>1.01</v>
      </c>
      <c r="AA2742">
        <v>10</v>
      </c>
      <c r="AB2742">
        <v>1</v>
      </c>
      <c r="AC2742">
        <v>8.18</v>
      </c>
      <c r="AD2742" t="s">
        <v>14503</v>
      </c>
      <c r="AE2742" t="s">
        <v>14504</v>
      </c>
      <c r="AF2742" t="s">
        <v>14505</v>
      </c>
      <c r="AG2742" t="s">
        <v>2544</v>
      </c>
      <c r="AH2742">
        <v>-2.8</v>
      </c>
      <c r="AI2742">
        <v>-5.14</v>
      </c>
      <c r="AJ2742">
        <v>18.5</v>
      </c>
      <c r="AK2742">
        <v>27.37</v>
      </c>
      <c r="AL2742">
        <v>-2</v>
      </c>
      <c r="AM2742">
        <v>-2.49</v>
      </c>
      <c r="AN2742">
        <v>57.54</v>
      </c>
      <c r="AO2742">
        <v>-3.35</v>
      </c>
      <c r="AP2742">
        <v>63.2</v>
      </c>
    </row>
    <row r="2743" spans="1:42">
      <c r="A2743">
        <v>2742</v>
      </c>
      <c r="B2743" t="str">
        <f>"000631"</f>
        <v>000631</v>
      </c>
      <c r="C2743" t="s">
        <v>14506</v>
      </c>
      <c r="D2743">
        <v>3.45</v>
      </c>
      <c r="E2743">
        <v>0.88</v>
      </c>
      <c r="F2743">
        <v>0.03</v>
      </c>
      <c r="G2743" t="s">
        <v>797</v>
      </c>
      <c r="H2743">
        <v>3127</v>
      </c>
      <c r="I2743">
        <v>3.45</v>
      </c>
      <c r="J2743">
        <v>3.46</v>
      </c>
      <c r="K2743" t="s">
        <v>14507</v>
      </c>
      <c r="L2743">
        <v>0.75</v>
      </c>
      <c r="M2743" t="s">
        <v>46</v>
      </c>
      <c r="N2743" t="s">
        <v>3355</v>
      </c>
      <c r="O2743">
        <v>3.48</v>
      </c>
      <c r="P2743">
        <v>3.39</v>
      </c>
      <c r="Q2743">
        <v>3.42</v>
      </c>
      <c r="R2743">
        <v>3.42</v>
      </c>
      <c r="S2743">
        <v>2.63</v>
      </c>
      <c r="T2743">
        <v>0.56</v>
      </c>
      <c r="U2743">
        <v>-41.42</v>
      </c>
      <c r="V2743" t="s">
        <v>14508</v>
      </c>
      <c r="W2743">
        <v>3.44</v>
      </c>
      <c r="X2743" t="s">
        <v>3827</v>
      </c>
      <c r="Y2743" t="s">
        <v>3218</v>
      </c>
      <c r="Z2743">
        <v>0.82</v>
      </c>
      <c r="AA2743">
        <v>1445</v>
      </c>
      <c r="AB2743">
        <v>4477</v>
      </c>
      <c r="AC2743">
        <v>1.42</v>
      </c>
      <c r="AD2743" t="s">
        <v>14355</v>
      </c>
      <c r="AE2743" t="s">
        <v>14509</v>
      </c>
      <c r="AF2743" t="s">
        <v>14355</v>
      </c>
      <c r="AG2743" t="s">
        <v>14509</v>
      </c>
      <c r="AH2743">
        <v>-1.15</v>
      </c>
      <c r="AI2743">
        <v>-4.43</v>
      </c>
      <c r="AJ2743">
        <v>2.85</v>
      </c>
      <c r="AK2743">
        <v>7.41</v>
      </c>
      <c r="AL2743">
        <v>1</v>
      </c>
      <c r="AM2743">
        <v>0.88</v>
      </c>
      <c r="AN2743">
        <v>9.87</v>
      </c>
      <c r="AO2743">
        <v>0</v>
      </c>
      <c r="AP2743">
        <v>-0.58</v>
      </c>
    </row>
    <row r="2744" spans="1:42">
      <c r="A2744">
        <v>2743</v>
      </c>
      <c r="B2744" t="str">
        <f>"603429"</f>
        <v>603429</v>
      </c>
      <c r="C2744" t="s">
        <v>14510</v>
      </c>
      <c r="D2744">
        <v>8.73</v>
      </c>
      <c r="E2744">
        <v>-2.57</v>
      </c>
      <c r="F2744">
        <v>-0.23</v>
      </c>
      <c r="G2744" t="s">
        <v>8262</v>
      </c>
      <c r="H2744">
        <v>470</v>
      </c>
      <c r="I2744">
        <v>8.73</v>
      </c>
      <c r="J2744">
        <v>8.74</v>
      </c>
      <c r="K2744" t="s">
        <v>14511</v>
      </c>
      <c r="L2744">
        <v>1.35</v>
      </c>
      <c r="M2744" t="s">
        <v>46</v>
      </c>
      <c r="N2744" t="s">
        <v>2724</v>
      </c>
      <c r="O2744">
        <v>8.9</v>
      </c>
      <c r="P2744">
        <v>8.67</v>
      </c>
      <c r="Q2744">
        <v>8.88</v>
      </c>
      <c r="R2744">
        <v>8.96</v>
      </c>
      <c r="S2744">
        <v>2.57</v>
      </c>
      <c r="T2744">
        <v>1.14</v>
      </c>
      <c r="U2744">
        <v>23.06</v>
      </c>
      <c r="V2744">
        <v>424</v>
      </c>
      <c r="W2744">
        <v>8.76</v>
      </c>
      <c r="X2744" t="s">
        <v>7877</v>
      </c>
      <c r="Y2744" t="s">
        <v>6768</v>
      </c>
      <c r="Z2744">
        <v>1.46</v>
      </c>
      <c r="AA2744">
        <v>338</v>
      </c>
      <c r="AB2744">
        <v>26</v>
      </c>
      <c r="AC2744">
        <v>2.96</v>
      </c>
      <c r="AD2744" t="s">
        <v>14512</v>
      </c>
      <c r="AE2744" t="s">
        <v>14513</v>
      </c>
      <c r="AF2744" t="s">
        <v>14512</v>
      </c>
      <c r="AG2744" t="s">
        <v>14513</v>
      </c>
      <c r="AH2744">
        <v>1.16</v>
      </c>
      <c r="AI2744">
        <v>0.34</v>
      </c>
      <c r="AJ2744">
        <v>5.62</v>
      </c>
      <c r="AK2744">
        <v>7.28</v>
      </c>
      <c r="AL2744">
        <v>-1</v>
      </c>
      <c r="AM2744">
        <v>-2.57</v>
      </c>
      <c r="AN2744">
        <v>-19.76</v>
      </c>
      <c r="AO2744">
        <v>0.46</v>
      </c>
      <c r="AP2744">
        <v>-24.35</v>
      </c>
    </row>
    <row r="2745" spans="1:42">
      <c r="A2745">
        <v>2744</v>
      </c>
      <c r="B2745" t="str">
        <f>"002593"</f>
        <v>002593</v>
      </c>
      <c r="C2745" t="s">
        <v>14514</v>
      </c>
      <c r="D2745">
        <v>4.23</v>
      </c>
      <c r="E2745">
        <v>0</v>
      </c>
      <c r="F2745">
        <v>0</v>
      </c>
      <c r="G2745" t="s">
        <v>1493</v>
      </c>
      <c r="H2745">
        <v>2000</v>
      </c>
      <c r="I2745">
        <v>4.22</v>
      </c>
      <c r="J2745">
        <v>4.23</v>
      </c>
      <c r="K2745" t="s">
        <v>11054</v>
      </c>
      <c r="L2745">
        <v>2.57</v>
      </c>
      <c r="M2745" t="s">
        <v>46</v>
      </c>
      <c r="N2745" t="s">
        <v>4508</v>
      </c>
      <c r="O2745">
        <v>4.27</v>
      </c>
      <c r="P2745">
        <v>4.18</v>
      </c>
      <c r="Q2745">
        <v>4.26</v>
      </c>
      <c r="R2745">
        <v>4.23</v>
      </c>
      <c r="S2745">
        <v>2.13</v>
      </c>
      <c r="T2745">
        <v>0.65</v>
      </c>
      <c r="U2745">
        <v>-22.79</v>
      </c>
      <c r="V2745">
        <v>-3637</v>
      </c>
      <c r="W2745">
        <v>4.22</v>
      </c>
      <c r="X2745" t="s">
        <v>613</v>
      </c>
      <c r="Y2745" t="s">
        <v>3091</v>
      </c>
      <c r="Z2745">
        <v>1.01</v>
      </c>
      <c r="AA2745">
        <v>568</v>
      </c>
      <c r="AB2745">
        <v>655</v>
      </c>
      <c r="AC2745">
        <v>1.42</v>
      </c>
      <c r="AD2745" t="s">
        <v>8015</v>
      </c>
      <c r="AE2745" t="s">
        <v>5537</v>
      </c>
      <c r="AF2745" t="s">
        <v>14515</v>
      </c>
      <c r="AG2745" t="s">
        <v>14516</v>
      </c>
      <c r="AH2745">
        <v>-1.4</v>
      </c>
      <c r="AI2745">
        <v>-0.24</v>
      </c>
      <c r="AJ2745">
        <v>8.93</v>
      </c>
      <c r="AK2745">
        <v>22.32</v>
      </c>
      <c r="AL2745">
        <v>0</v>
      </c>
      <c r="AM2745">
        <v>0</v>
      </c>
      <c r="AN2745">
        <v>17.5</v>
      </c>
      <c r="AO2745">
        <v>3.93</v>
      </c>
      <c r="AP2745">
        <v>5.75</v>
      </c>
    </row>
    <row r="2746" spans="1:42">
      <c r="A2746">
        <v>2745</v>
      </c>
      <c r="B2746" t="str">
        <f>"300912"</f>
        <v>300912</v>
      </c>
      <c r="C2746" t="s">
        <v>14517</v>
      </c>
      <c r="D2746">
        <v>19.27</v>
      </c>
      <c r="E2746">
        <v>-0.16</v>
      </c>
      <c r="F2746">
        <v>-0.03</v>
      </c>
      <c r="G2746" t="s">
        <v>8329</v>
      </c>
      <c r="H2746">
        <v>193</v>
      </c>
      <c r="I2746">
        <v>19.27</v>
      </c>
      <c r="J2746">
        <v>19.28</v>
      </c>
      <c r="K2746" t="s">
        <v>14518</v>
      </c>
      <c r="L2746">
        <v>5.24</v>
      </c>
      <c r="M2746" t="s">
        <v>46</v>
      </c>
      <c r="N2746" t="s">
        <v>14519</v>
      </c>
      <c r="O2746">
        <v>19.38</v>
      </c>
      <c r="P2746">
        <v>18.92</v>
      </c>
      <c r="Q2746">
        <v>19.25</v>
      </c>
      <c r="R2746">
        <v>19.3</v>
      </c>
      <c r="S2746">
        <v>2.38</v>
      </c>
      <c r="T2746">
        <v>1.09</v>
      </c>
      <c r="U2746">
        <v>5.28</v>
      </c>
      <c r="V2746">
        <v>32</v>
      </c>
      <c r="W2746">
        <v>19.12</v>
      </c>
      <c r="X2746" t="s">
        <v>3130</v>
      </c>
      <c r="Y2746" t="s">
        <v>1177</v>
      </c>
      <c r="Z2746">
        <v>0.83</v>
      </c>
      <c r="AA2746">
        <v>120</v>
      </c>
      <c r="AB2746">
        <v>13</v>
      </c>
      <c r="AC2746">
        <v>2.78</v>
      </c>
      <c r="AD2746" t="s">
        <v>9505</v>
      </c>
      <c r="AE2746" t="s">
        <v>14520</v>
      </c>
      <c r="AF2746" t="s">
        <v>14521</v>
      </c>
      <c r="AG2746" t="s">
        <v>14522</v>
      </c>
      <c r="AH2746">
        <v>-2.63</v>
      </c>
      <c r="AI2746">
        <v>-5.45</v>
      </c>
      <c r="AJ2746">
        <v>13.54</v>
      </c>
      <c r="AK2746">
        <v>29.37</v>
      </c>
      <c r="AL2746">
        <v>-3</v>
      </c>
      <c r="AM2746">
        <v>-0.16</v>
      </c>
      <c r="AN2746">
        <v>42.64</v>
      </c>
      <c r="AO2746">
        <v>-5.03</v>
      </c>
      <c r="AP2746">
        <v>13.15</v>
      </c>
    </row>
    <row r="2747" spans="1:42">
      <c r="A2747">
        <v>2746</v>
      </c>
      <c r="B2747" t="str">
        <f>"600064"</f>
        <v>600064</v>
      </c>
      <c r="C2747" t="s">
        <v>14523</v>
      </c>
      <c r="D2747">
        <v>6.11</v>
      </c>
      <c r="E2747">
        <v>0.66</v>
      </c>
      <c r="F2747">
        <v>0.04</v>
      </c>
      <c r="G2747" t="s">
        <v>110</v>
      </c>
      <c r="H2747">
        <v>227</v>
      </c>
      <c r="I2747">
        <v>6.11</v>
      </c>
      <c r="J2747">
        <v>6.12</v>
      </c>
      <c r="K2747" t="s">
        <v>14524</v>
      </c>
      <c r="L2747">
        <v>0.58</v>
      </c>
      <c r="M2747" t="s">
        <v>46</v>
      </c>
      <c r="N2747" t="s">
        <v>4144</v>
      </c>
      <c r="O2747">
        <v>6.14</v>
      </c>
      <c r="P2747">
        <v>6.06</v>
      </c>
      <c r="Q2747">
        <v>6.07</v>
      </c>
      <c r="R2747">
        <v>6.07</v>
      </c>
      <c r="S2747">
        <v>1.32</v>
      </c>
      <c r="T2747">
        <v>0.91</v>
      </c>
      <c r="U2747">
        <v>-56.92</v>
      </c>
      <c r="V2747">
        <v>-9476</v>
      </c>
      <c r="W2747">
        <v>6.12</v>
      </c>
      <c r="X2747" t="s">
        <v>6794</v>
      </c>
      <c r="Y2747" t="s">
        <v>9787</v>
      </c>
      <c r="Z2747">
        <v>0.63</v>
      </c>
      <c r="AA2747">
        <v>203</v>
      </c>
      <c r="AB2747">
        <v>972</v>
      </c>
      <c r="AC2747">
        <v>0.6</v>
      </c>
      <c r="AD2747" t="s">
        <v>495</v>
      </c>
      <c r="AE2747" t="s">
        <v>12951</v>
      </c>
      <c r="AF2747" t="s">
        <v>495</v>
      </c>
      <c r="AG2747" t="s">
        <v>12951</v>
      </c>
      <c r="AH2747">
        <v>-0.49</v>
      </c>
      <c r="AI2747">
        <v>-2.24</v>
      </c>
      <c r="AJ2747">
        <v>1.6</v>
      </c>
      <c r="AK2747">
        <v>3.79</v>
      </c>
      <c r="AL2747">
        <v>1</v>
      </c>
      <c r="AM2747">
        <v>0.66</v>
      </c>
      <c r="AN2747">
        <v>-1.29</v>
      </c>
      <c r="AO2747">
        <v>0.16</v>
      </c>
      <c r="AP2747">
        <v>-5.86</v>
      </c>
    </row>
    <row r="2748" spans="1:42">
      <c r="A2748">
        <v>2747</v>
      </c>
      <c r="B2748" t="str">
        <f>"002234"</f>
        <v>002234</v>
      </c>
      <c r="C2748" t="s">
        <v>14525</v>
      </c>
      <c r="D2748">
        <v>12.92</v>
      </c>
      <c r="E2748">
        <v>-0.84</v>
      </c>
      <c r="F2748">
        <v>-0.11</v>
      </c>
      <c r="G2748" t="s">
        <v>7817</v>
      </c>
      <c r="H2748">
        <v>563</v>
      </c>
      <c r="I2748">
        <v>12.91</v>
      </c>
      <c r="J2748">
        <v>12.92</v>
      </c>
      <c r="K2748" t="s">
        <v>14526</v>
      </c>
      <c r="L2748">
        <v>1.57</v>
      </c>
      <c r="M2748" t="s">
        <v>46</v>
      </c>
      <c r="N2748" t="s">
        <v>6370</v>
      </c>
      <c r="O2748">
        <v>13.16</v>
      </c>
      <c r="P2748">
        <v>12.89</v>
      </c>
      <c r="Q2748">
        <v>12.97</v>
      </c>
      <c r="R2748">
        <v>13.03</v>
      </c>
      <c r="S2748">
        <v>2.07</v>
      </c>
      <c r="T2748">
        <v>0.68</v>
      </c>
      <c r="U2748">
        <v>52.8</v>
      </c>
      <c r="V2748">
        <v>765</v>
      </c>
      <c r="W2748">
        <v>12.99</v>
      </c>
      <c r="X2748" t="s">
        <v>1711</v>
      </c>
      <c r="Y2748" t="s">
        <v>1280</v>
      </c>
      <c r="Z2748">
        <v>1.38</v>
      </c>
      <c r="AA2748">
        <v>259</v>
      </c>
      <c r="AB2748">
        <v>11</v>
      </c>
      <c r="AC2748">
        <v>1.76</v>
      </c>
      <c r="AD2748" t="s">
        <v>14527</v>
      </c>
      <c r="AE2748" t="s">
        <v>14528</v>
      </c>
      <c r="AF2748" t="s">
        <v>14529</v>
      </c>
      <c r="AG2748" t="s">
        <v>14530</v>
      </c>
      <c r="AH2748">
        <v>-3.08</v>
      </c>
      <c r="AI2748">
        <v>-4.01</v>
      </c>
      <c r="AJ2748">
        <v>6.5</v>
      </c>
      <c r="AK2748">
        <v>13.08</v>
      </c>
      <c r="AL2748">
        <v>-1</v>
      </c>
      <c r="AM2748">
        <v>-0.84</v>
      </c>
      <c r="AN2748">
        <v>-33.2</v>
      </c>
      <c r="AO2748">
        <v>-3.08</v>
      </c>
      <c r="AP2748">
        <v>-33.57</v>
      </c>
    </row>
    <row r="2749" spans="1:42">
      <c r="A2749">
        <v>2748</v>
      </c>
      <c r="B2749" t="str">
        <f>"688680"</f>
        <v>688680</v>
      </c>
      <c r="C2749" t="s">
        <v>14531</v>
      </c>
      <c r="D2749">
        <v>61.33</v>
      </c>
      <c r="E2749">
        <v>-1.84</v>
      </c>
      <c r="F2749">
        <v>-1.15</v>
      </c>
      <c r="G2749">
        <v>9982</v>
      </c>
      <c r="H2749">
        <v>322</v>
      </c>
      <c r="I2749">
        <v>61.33</v>
      </c>
      <c r="J2749">
        <v>61.38</v>
      </c>
      <c r="K2749" t="s">
        <v>14532</v>
      </c>
      <c r="L2749">
        <v>1.92</v>
      </c>
      <c r="M2749" t="s">
        <v>46</v>
      </c>
      <c r="N2749" t="s">
        <v>5204</v>
      </c>
      <c r="O2749">
        <v>62.52</v>
      </c>
      <c r="P2749">
        <v>61.2</v>
      </c>
      <c r="Q2749">
        <v>62.48</v>
      </c>
      <c r="R2749">
        <v>62.48</v>
      </c>
      <c r="S2749">
        <v>2.11</v>
      </c>
      <c r="T2749">
        <v>0.91</v>
      </c>
      <c r="U2749">
        <v>-56.56</v>
      </c>
      <c r="V2749">
        <v>-156</v>
      </c>
      <c r="W2749">
        <v>61.83</v>
      </c>
      <c r="X2749">
        <v>5417</v>
      </c>
      <c r="Y2749">
        <v>4565</v>
      </c>
      <c r="Z2749">
        <v>1.19</v>
      </c>
      <c r="AA2749">
        <v>1</v>
      </c>
      <c r="AB2749">
        <v>15</v>
      </c>
      <c r="AC2749">
        <v>2.34</v>
      </c>
      <c r="AD2749" t="s">
        <v>12213</v>
      </c>
      <c r="AE2749" t="s">
        <v>14533</v>
      </c>
      <c r="AF2749" t="s">
        <v>14534</v>
      </c>
      <c r="AG2749" t="s">
        <v>14535</v>
      </c>
      <c r="AH2749">
        <v>-6.07</v>
      </c>
      <c r="AI2749">
        <v>-11</v>
      </c>
      <c r="AJ2749">
        <v>6.28</v>
      </c>
      <c r="AK2749">
        <v>12.51</v>
      </c>
      <c r="AL2749">
        <v>-9</v>
      </c>
      <c r="AM2749">
        <v>-1.84</v>
      </c>
      <c r="AN2749">
        <v>-66.88</v>
      </c>
      <c r="AO2749">
        <v>-11.19</v>
      </c>
      <c r="AP2749">
        <v>-57.08</v>
      </c>
    </row>
    <row r="2750" spans="1:42">
      <c r="A2750">
        <v>2749</v>
      </c>
      <c r="B2750" t="str">
        <f>"300407"</f>
        <v>300407</v>
      </c>
      <c r="C2750" t="s">
        <v>14536</v>
      </c>
      <c r="D2750">
        <v>9.05</v>
      </c>
      <c r="E2750">
        <v>-1.31</v>
      </c>
      <c r="F2750">
        <v>-0.12</v>
      </c>
      <c r="G2750" t="s">
        <v>2567</v>
      </c>
      <c r="H2750">
        <v>934</v>
      </c>
      <c r="I2750">
        <v>9.04</v>
      </c>
      <c r="J2750">
        <v>9.05</v>
      </c>
      <c r="K2750" t="s">
        <v>14537</v>
      </c>
      <c r="L2750">
        <v>3.02</v>
      </c>
      <c r="M2750" t="s">
        <v>46</v>
      </c>
      <c r="N2750" t="s">
        <v>7742</v>
      </c>
      <c r="O2750">
        <v>9.14</v>
      </c>
      <c r="P2750">
        <v>8.97</v>
      </c>
      <c r="Q2750">
        <v>9.13</v>
      </c>
      <c r="R2750">
        <v>9.17</v>
      </c>
      <c r="S2750">
        <v>1.85</v>
      </c>
      <c r="T2750">
        <v>1.19</v>
      </c>
      <c r="U2750">
        <v>27.85</v>
      </c>
      <c r="V2750">
        <v>454</v>
      </c>
      <c r="W2750">
        <v>9.03</v>
      </c>
      <c r="X2750" t="s">
        <v>3291</v>
      </c>
      <c r="Y2750" t="s">
        <v>7649</v>
      </c>
      <c r="Z2750">
        <v>1.32</v>
      </c>
      <c r="AA2750">
        <v>204</v>
      </c>
      <c r="AB2750">
        <v>203</v>
      </c>
      <c r="AC2750">
        <v>1.66</v>
      </c>
      <c r="AD2750" t="s">
        <v>14538</v>
      </c>
      <c r="AE2750" t="s">
        <v>14539</v>
      </c>
      <c r="AF2750" t="s">
        <v>14540</v>
      </c>
      <c r="AG2750" t="s">
        <v>280</v>
      </c>
      <c r="AH2750">
        <v>-1.2</v>
      </c>
      <c r="AI2750">
        <v>0.89</v>
      </c>
      <c r="AJ2750">
        <v>7.65</v>
      </c>
      <c r="AK2750">
        <v>15.76</v>
      </c>
      <c r="AL2750">
        <v>-1</v>
      </c>
      <c r="AM2750">
        <v>-1.31</v>
      </c>
      <c r="AN2750">
        <v>26.93</v>
      </c>
      <c r="AO2750">
        <v>4.5</v>
      </c>
      <c r="AP2750">
        <v>12.7</v>
      </c>
    </row>
    <row r="2751" spans="1:42">
      <c r="A2751">
        <v>2750</v>
      </c>
      <c r="B2751" t="str">
        <f>"600225"</f>
        <v>600225</v>
      </c>
      <c r="C2751" t="s">
        <v>14541</v>
      </c>
      <c r="D2751">
        <v>4.35</v>
      </c>
      <c r="E2751">
        <v>2.84</v>
      </c>
      <c r="F2751">
        <v>0.12</v>
      </c>
      <c r="G2751" t="s">
        <v>2081</v>
      </c>
      <c r="H2751">
        <v>1014</v>
      </c>
      <c r="I2751">
        <v>4.34</v>
      </c>
      <c r="J2751">
        <v>4.35</v>
      </c>
      <c r="K2751" t="s">
        <v>14542</v>
      </c>
      <c r="L2751">
        <v>0.42</v>
      </c>
      <c r="M2751" t="s">
        <v>46</v>
      </c>
      <c r="N2751" t="s">
        <v>14543</v>
      </c>
      <c r="O2751">
        <v>4.35</v>
      </c>
      <c r="P2751">
        <v>4.23</v>
      </c>
      <c r="Q2751">
        <v>4.25</v>
      </c>
      <c r="R2751">
        <v>4.23</v>
      </c>
      <c r="S2751">
        <v>2.84</v>
      </c>
      <c r="T2751">
        <v>0.88</v>
      </c>
      <c r="U2751">
        <v>-14.07</v>
      </c>
      <c r="V2751">
        <v>-1837</v>
      </c>
      <c r="W2751">
        <v>4.3</v>
      </c>
      <c r="X2751" t="s">
        <v>9204</v>
      </c>
      <c r="Y2751" t="s">
        <v>3759</v>
      </c>
      <c r="Z2751">
        <v>0.8</v>
      </c>
      <c r="AA2751">
        <v>1246</v>
      </c>
      <c r="AB2751">
        <v>1794</v>
      </c>
      <c r="AC2751">
        <v>6.5</v>
      </c>
      <c r="AD2751" t="s">
        <v>139</v>
      </c>
      <c r="AE2751" t="s">
        <v>9599</v>
      </c>
      <c r="AF2751" t="s">
        <v>14544</v>
      </c>
      <c r="AG2751" t="s">
        <v>9709</v>
      </c>
      <c r="AH2751">
        <v>0.23</v>
      </c>
      <c r="AI2751">
        <v>-3.55</v>
      </c>
      <c r="AJ2751">
        <v>1.2</v>
      </c>
      <c r="AK2751">
        <v>2.82</v>
      </c>
      <c r="AL2751">
        <v>1</v>
      </c>
      <c r="AM2751">
        <v>2.84</v>
      </c>
      <c r="AN2751">
        <v>-31.71</v>
      </c>
      <c r="AO2751">
        <v>3.82</v>
      </c>
      <c r="AP2751">
        <v>24.64</v>
      </c>
    </row>
    <row r="2752" spans="1:42">
      <c r="A2752">
        <v>2751</v>
      </c>
      <c r="B2752" t="str">
        <f>"301229"</f>
        <v>301229</v>
      </c>
      <c r="C2752" t="s">
        <v>14545</v>
      </c>
      <c r="D2752">
        <v>35.44</v>
      </c>
      <c r="E2752">
        <v>-0.98</v>
      </c>
      <c r="F2752">
        <v>-0.35</v>
      </c>
      <c r="G2752" t="s">
        <v>876</v>
      </c>
      <c r="H2752">
        <v>364</v>
      </c>
      <c r="I2752">
        <v>35.43</v>
      </c>
      <c r="J2752">
        <v>35.44</v>
      </c>
      <c r="K2752" t="s">
        <v>14521</v>
      </c>
      <c r="L2752">
        <v>5.21</v>
      </c>
      <c r="M2752" t="s">
        <v>46</v>
      </c>
      <c r="N2752" t="s">
        <v>12772</v>
      </c>
      <c r="O2752">
        <v>35.98</v>
      </c>
      <c r="P2752">
        <v>34.9</v>
      </c>
      <c r="Q2752">
        <v>35.79</v>
      </c>
      <c r="R2752">
        <v>35.79</v>
      </c>
      <c r="S2752">
        <v>3.02</v>
      </c>
      <c r="T2752">
        <v>0.82</v>
      </c>
      <c r="U2752">
        <v>-55.1</v>
      </c>
      <c r="V2752">
        <v>-135</v>
      </c>
      <c r="W2752">
        <v>35.39</v>
      </c>
      <c r="X2752">
        <v>9395</v>
      </c>
      <c r="Y2752">
        <v>8006</v>
      </c>
      <c r="Z2752">
        <v>1.17</v>
      </c>
      <c r="AA2752">
        <v>17</v>
      </c>
      <c r="AB2752">
        <v>86</v>
      </c>
      <c r="AC2752">
        <v>3.43</v>
      </c>
      <c r="AD2752" t="s">
        <v>3612</v>
      </c>
      <c r="AE2752" t="s">
        <v>11932</v>
      </c>
      <c r="AF2752" t="s">
        <v>14546</v>
      </c>
      <c r="AG2752" t="s">
        <v>857</v>
      </c>
      <c r="AH2752">
        <v>-5.11</v>
      </c>
      <c r="AI2752">
        <v>-4.16</v>
      </c>
      <c r="AJ2752">
        <v>18</v>
      </c>
      <c r="AK2752">
        <v>36.86</v>
      </c>
      <c r="AL2752">
        <v>-3</v>
      </c>
      <c r="AM2752">
        <v>-0.98</v>
      </c>
      <c r="AN2752">
        <v>25.9</v>
      </c>
      <c r="AO2752">
        <v>0.54</v>
      </c>
      <c r="AP2752">
        <v>15.4</v>
      </c>
    </row>
    <row r="2753" spans="1:42">
      <c r="A2753">
        <v>2752</v>
      </c>
      <c r="B2753" t="str">
        <f>"688611"</f>
        <v>688611</v>
      </c>
      <c r="C2753" t="s">
        <v>14547</v>
      </c>
      <c r="D2753">
        <v>32.56</v>
      </c>
      <c r="E2753">
        <v>-6.25</v>
      </c>
      <c r="F2753">
        <v>-2.17</v>
      </c>
      <c r="G2753" t="s">
        <v>1072</v>
      </c>
      <c r="H2753">
        <v>113</v>
      </c>
      <c r="I2753">
        <v>32.55</v>
      </c>
      <c r="J2753">
        <v>32.56</v>
      </c>
      <c r="K2753" t="s">
        <v>14548</v>
      </c>
      <c r="L2753">
        <v>9.55</v>
      </c>
      <c r="M2753" t="s">
        <v>46</v>
      </c>
      <c r="N2753" t="s">
        <v>14549</v>
      </c>
      <c r="O2753">
        <v>34.36</v>
      </c>
      <c r="P2753">
        <v>32.06</v>
      </c>
      <c r="Q2753">
        <v>34.36</v>
      </c>
      <c r="R2753">
        <v>34.73</v>
      </c>
      <c r="S2753">
        <v>6.62</v>
      </c>
      <c r="T2753">
        <v>2.21</v>
      </c>
      <c r="U2753">
        <v>11.15</v>
      </c>
      <c r="V2753">
        <v>25</v>
      </c>
      <c r="W2753">
        <v>32.91</v>
      </c>
      <c r="X2753" t="s">
        <v>2284</v>
      </c>
      <c r="Y2753">
        <v>7180</v>
      </c>
      <c r="Z2753">
        <v>1.6</v>
      </c>
      <c r="AA2753">
        <v>8</v>
      </c>
      <c r="AB2753">
        <v>1</v>
      </c>
      <c r="AC2753">
        <v>3.12</v>
      </c>
      <c r="AD2753" t="s">
        <v>14550</v>
      </c>
      <c r="AE2753" t="s">
        <v>14551</v>
      </c>
      <c r="AF2753" t="s">
        <v>14552</v>
      </c>
      <c r="AG2753" t="s">
        <v>14553</v>
      </c>
      <c r="AH2753">
        <v>-2.05</v>
      </c>
      <c r="AI2753">
        <v>-1.39</v>
      </c>
      <c r="AJ2753">
        <v>22.27</v>
      </c>
      <c r="AK2753">
        <v>31.22</v>
      </c>
      <c r="AL2753">
        <v>-1</v>
      </c>
      <c r="AM2753">
        <v>-6.25</v>
      </c>
      <c r="AN2753">
        <v>5.99</v>
      </c>
      <c r="AO2753">
        <v>3.2</v>
      </c>
      <c r="AP2753">
        <v>-13.86</v>
      </c>
    </row>
    <row r="2754" spans="1:42">
      <c r="A2754">
        <v>2753</v>
      </c>
      <c r="B2754" t="str">
        <f>"603228"</f>
        <v>603228</v>
      </c>
      <c r="C2754" t="s">
        <v>14554</v>
      </c>
      <c r="D2754">
        <v>22.57</v>
      </c>
      <c r="E2754">
        <v>-0.13</v>
      </c>
      <c r="F2754">
        <v>-0.03</v>
      </c>
      <c r="G2754" t="s">
        <v>5420</v>
      </c>
      <c r="H2754">
        <v>392</v>
      </c>
      <c r="I2754">
        <v>22.57</v>
      </c>
      <c r="J2754">
        <v>22.58</v>
      </c>
      <c r="K2754" t="s">
        <v>14555</v>
      </c>
      <c r="L2754">
        <v>0.32</v>
      </c>
      <c r="M2754" t="s">
        <v>46</v>
      </c>
      <c r="N2754" t="s">
        <v>14556</v>
      </c>
      <c r="O2754">
        <v>22.72</v>
      </c>
      <c r="P2754">
        <v>22.34</v>
      </c>
      <c r="Q2754">
        <v>22.5</v>
      </c>
      <c r="R2754">
        <v>22.6</v>
      </c>
      <c r="S2754">
        <v>1.68</v>
      </c>
      <c r="T2754">
        <v>0.78</v>
      </c>
      <c r="U2754">
        <v>-38.44</v>
      </c>
      <c r="V2754">
        <v>-271</v>
      </c>
      <c r="W2754">
        <v>22.53</v>
      </c>
      <c r="X2754" t="s">
        <v>1427</v>
      </c>
      <c r="Y2754" t="s">
        <v>6867</v>
      </c>
      <c r="Z2754">
        <v>0.89</v>
      </c>
      <c r="AA2754">
        <v>170</v>
      </c>
      <c r="AB2754">
        <v>8</v>
      </c>
      <c r="AC2754">
        <v>2.36</v>
      </c>
      <c r="AD2754" t="s">
        <v>14557</v>
      </c>
      <c r="AE2754" t="s">
        <v>1230</v>
      </c>
      <c r="AF2754" t="s">
        <v>14557</v>
      </c>
      <c r="AG2754" t="s">
        <v>1230</v>
      </c>
      <c r="AH2754">
        <v>-0.97</v>
      </c>
      <c r="AI2754">
        <v>-1.48</v>
      </c>
      <c r="AJ2754">
        <v>1.03</v>
      </c>
      <c r="AK2754">
        <v>2.41</v>
      </c>
      <c r="AL2754">
        <v>-2</v>
      </c>
      <c r="AM2754">
        <v>-0.13</v>
      </c>
      <c r="AN2754">
        <v>14.34</v>
      </c>
      <c r="AO2754">
        <v>1.85</v>
      </c>
      <c r="AP2754">
        <v>9.99</v>
      </c>
    </row>
    <row r="2755" spans="1:42">
      <c r="A2755">
        <v>2754</v>
      </c>
      <c r="B2755" t="str">
        <f>"688484"</f>
        <v>688484</v>
      </c>
      <c r="C2755" t="s">
        <v>14558</v>
      </c>
      <c r="D2755">
        <v>42.91</v>
      </c>
      <c r="E2755">
        <v>-0.39</v>
      </c>
      <c r="F2755">
        <v>-0.17</v>
      </c>
      <c r="G2755" t="s">
        <v>5900</v>
      </c>
      <c r="H2755">
        <v>324</v>
      </c>
      <c r="I2755">
        <v>42.91</v>
      </c>
      <c r="J2755">
        <v>42.99</v>
      </c>
      <c r="K2755" t="s">
        <v>14555</v>
      </c>
      <c r="L2755">
        <v>2.43</v>
      </c>
      <c r="M2755" t="s">
        <v>46</v>
      </c>
      <c r="N2755" t="s">
        <v>654</v>
      </c>
      <c r="O2755">
        <v>43.26</v>
      </c>
      <c r="P2755">
        <v>42.5</v>
      </c>
      <c r="Q2755">
        <v>43.11</v>
      </c>
      <c r="R2755">
        <v>43.08</v>
      </c>
      <c r="S2755">
        <v>1.76</v>
      </c>
      <c r="T2755">
        <v>0.87</v>
      </c>
      <c r="U2755">
        <v>-41.12</v>
      </c>
      <c r="V2755">
        <v>-184</v>
      </c>
      <c r="W2755">
        <v>42.91</v>
      </c>
      <c r="X2755">
        <v>7274</v>
      </c>
      <c r="Y2755">
        <v>7046</v>
      </c>
      <c r="Z2755">
        <v>1.03</v>
      </c>
      <c r="AA2755">
        <v>31</v>
      </c>
      <c r="AB2755">
        <v>2</v>
      </c>
      <c r="AC2755">
        <v>5.07</v>
      </c>
      <c r="AD2755" t="s">
        <v>14559</v>
      </c>
      <c r="AE2755" t="s">
        <v>9357</v>
      </c>
      <c r="AF2755" t="s">
        <v>14560</v>
      </c>
      <c r="AG2755" t="s">
        <v>14561</v>
      </c>
      <c r="AH2755">
        <v>-0.23</v>
      </c>
      <c r="AI2755">
        <v>-2.54</v>
      </c>
      <c r="AJ2755">
        <v>7.44</v>
      </c>
      <c r="AK2755">
        <v>16.42</v>
      </c>
      <c r="AL2755">
        <v>-1</v>
      </c>
      <c r="AM2755">
        <v>-0.39</v>
      </c>
      <c r="AN2755">
        <v>7.84</v>
      </c>
      <c r="AO2755">
        <v>-8.7</v>
      </c>
      <c r="AP2755">
        <v>7.84</v>
      </c>
    </row>
    <row r="2756" spans="1:42">
      <c r="A2756">
        <v>2755</v>
      </c>
      <c r="B2756" t="str">
        <f>"600121"</f>
        <v>600121</v>
      </c>
      <c r="C2756" t="s">
        <v>14562</v>
      </c>
      <c r="D2756">
        <v>4.41</v>
      </c>
      <c r="E2756">
        <v>1.61</v>
      </c>
      <c r="F2756">
        <v>0.07</v>
      </c>
      <c r="G2756" t="s">
        <v>960</v>
      </c>
      <c r="H2756">
        <v>5893</v>
      </c>
      <c r="I2756">
        <v>4.4</v>
      </c>
      <c r="J2756">
        <v>4.41</v>
      </c>
      <c r="K2756" t="s">
        <v>14563</v>
      </c>
      <c r="L2756">
        <v>1.15</v>
      </c>
      <c r="M2756" t="s">
        <v>46</v>
      </c>
      <c r="N2756" t="s">
        <v>14564</v>
      </c>
      <c r="O2756">
        <v>4.41</v>
      </c>
      <c r="P2756">
        <v>4.33</v>
      </c>
      <c r="Q2756">
        <v>4.35</v>
      </c>
      <c r="R2756">
        <v>4.34</v>
      </c>
      <c r="S2756">
        <v>1.84</v>
      </c>
      <c r="T2756">
        <v>0.76</v>
      </c>
      <c r="U2756">
        <v>-34.73</v>
      </c>
      <c r="V2756" t="s">
        <v>4694</v>
      </c>
      <c r="W2756">
        <v>4.39</v>
      </c>
      <c r="X2756" t="s">
        <v>3103</v>
      </c>
      <c r="Y2756" t="s">
        <v>3018</v>
      </c>
      <c r="Z2756">
        <v>0.46</v>
      </c>
      <c r="AA2756">
        <v>5767</v>
      </c>
      <c r="AB2756">
        <v>681</v>
      </c>
      <c r="AC2756">
        <v>3.46</v>
      </c>
      <c r="AD2756" t="s">
        <v>13263</v>
      </c>
      <c r="AE2756" t="s">
        <v>14425</v>
      </c>
      <c r="AF2756" t="s">
        <v>13263</v>
      </c>
      <c r="AG2756" t="s">
        <v>14425</v>
      </c>
      <c r="AH2756">
        <v>0.68</v>
      </c>
      <c r="AI2756">
        <v>0.23</v>
      </c>
      <c r="AJ2756">
        <v>3.6</v>
      </c>
      <c r="AK2756">
        <v>8.67</v>
      </c>
      <c r="AL2756">
        <v>1</v>
      </c>
      <c r="AM2756">
        <v>1.61</v>
      </c>
      <c r="AN2756">
        <v>-12.5</v>
      </c>
      <c r="AO2756">
        <v>5.5</v>
      </c>
      <c r="AP2756">
        <v>-13.02</v>
      </c>
    </row>
    <row r="2757" spans="1:42">
      <c r="A2757">
        <v>2756</v>
      </c>
      <c r="B2757" t="str">
        <f>"300368"</f>
        <v>300368</v>
      </c>
      <c r="C2757" t="s">
        <v>14565</v>
      </c>
      <c r="D2757">
        <v>7.54</v>
      </c>
      <c r="E2757">
        <v>2.31</v>
      </c>
      <c r="F2757">
        <v>0.17</v>
      </c>
      <c r="G2757" t="s">
        <v>4670</v>
      </c>
      <c r="H2757">
        <v>693</v>
      </c>
      <c r="I2757">
        <v>7.54</v>
      </c>
      <c r="J2757">
        <v>7.55</v>
      </c>
      <c r="K2757" t="s">
        <v>14566</v>
      </c>
      <c r="L2757">
        <v>1.55</v>
      </c>
      <c r="M2757" t="s">
        <v>46</v>
      </c>
      <c r="N2757" t="s">
        <v>4608</v>
      </c>
      <c r="O2757">
        <v>7.57</v>
      </c>
      <c r="P2757">
        <v>7.35</v>
      </c>
      <c r="Q2757">
        <v>7.4</v>
      </c>
      <c r="R2757">
        <v>7.37</v>
      </c>
      <c r="S2757">
        <v>2.99</v>
      </c>
      <c r="T2757">
        <v>1.12</v>
      </c>
      <c r="U2757">
        <v>1.83</v>
      </c>
      <c r="V2757">
        <v>138</v>
      </c>
      <c r="W2757">
        <v>7.47</v>
      </c>
      <c r="X2757" t="s">
        <v>7781</v>
      </c>
      <c r="Y2757" t="s">
        <v>5644</v>
      </c>
      <c r="Z2757">
        <v>0.77</v>
      </c>
      <c r="AA2757">
        <v>724</v>
      </c>
      <c r="AB2757">
        <v>1119</v>
      </c>
      <c r="AC2757">
        <v>7.31</v>
      </c>
      <c r="AD2757" t="s">
        <v>14567</v>
      </c>
      <c r="AE2757" t="s">
        <v>14568</v>
      </c>
      <c r="AF2757" t="s">
        <v>14567</v>
      </c>
      <c r="AG2757" t="s">
        <v>14568</v>
      </c>
      <c r="AH2757">
        <v>-0.13</v>
      </c>
      <c r="AI2757">
        <v>-2.71</v>
      </c>
      <c r="AJ2757">
        <v>4.15</v>
      </c>
      <c r="AK2757">
        <v>8.43</v>
      </c>
      <c r="AL2757">
        <v>1</v>
      </c>
      <c r="AM2757">
        <v>2.31</v>
      </c>
      <c r="AN2757">
        <v>30</v>
      </c>
      <c r="AO2757">
        <v>3.29</v>
      </c>
      <c r="AP2757">
        <v>15.64</v>
      </c>
    </row>
    <row r="2758" spans="1:42">
      <c r="A2758">
        <v>2757</v>
      </c>
      <c r="B2758" t="str">
        <f>"601311"</f>
        <v>601311</v>
      </c>
      <c r="C2758" t="s">
        <v>14569</v>
      </c>
      <c r="D2758">
        <v>8.16</v>
      </c>
      <c r="E2758">
        <v>-0.12</v>
      </c>
      <c r="F2758">
        <v>-0.01</v>
      </c>
      <c r="G2758" t="s">
        <v>6691</v>
      </c>
      <c r="H2758">
        <v>1542</v>
      </c>
      <c r="I2758">
        <v>8.16</v>
      </c>
      <c r="J2758">
        <v>8.17</v>
      </c>
      <c r="K2758" t="s">
        <v>14570</v>
      </c>
      <c r="L2758">
        <v>0.64</v>
      </c>
      <c r="M2758" t="s">
        <v>46</v>
      </c>
      <c r="N2758" t="s">
        <v>3150</v>
      </c>
      <c r="O2758">
        <v>8.21</v>
      </c>
      <c r="P2758">
        <v>8.09</v>
      </c>
      <c r="Q2758">
        <v>8.15</v>
      </c>
      <c r="R2758">
        <v>8.17</v>
      </c>
      <c r="S2758">
        <v>1.47</v>
      </c>
      <c r="T2758">
        <v>1.09</v>
      </c>
      <c r="U2758">
        <v>-1.07</v>
      </c>
      <c r="V2758">
        <v>-59</v>
      </c>
      <c r="W2758">
        <v>8.15</v>
      </c>
      <c r="X2758" t="s">
        <v>5975</v>
      </c>
      <c r="Y2758" t="s">
        <v>2691</v>
      </c>
      <c r="Z2758">
        <v>1.02</v>
      </c>
      <c r="AA2758">
        <v>258</v>
      </c>
      <c r="AB2758">
        <v>121</v>
      </c>
      <c r="AC2758">
        <v>1.05</v>
      </c>
      <c r="AD2758" t="s">
        <v>14486</v>
      </c>
      <c r="AE2758" t="s">
        <v>14571</v>
      </c>
      <c r="AF2758" t="s">
        <v>14486</v>
      </c>
      <c r="AG2758" t="s">
        <v>14571</v>
      </c>
      <c r="AH2758">
        <v>-1.69</v>
      </c>
      <c r="AI2758">
        <v>-1.33</v>
      </c>
      <c r="AJ2758">
        <v>1.89</v>
      </c>
      <c r="AK2758">
        <v>3.59</v>
      </c>
      <c r="AL2758">
        <v>-3</v>
      </c>
      <c r="AM2758">
        <v>-0.12</v>
      </c>
      <c r="AN2758">
        <v>2.51</v>
      </c>
      <c r="AO2758">
        <v>-0.37</v>
      </c>
      <c r="AP2758">
        <v>-5.99</v>
      </c>
    </row>
    <row r="2759" spans="1:42">
      <c r="A2759">
        <v>2758</v>
      </c>
      <c r="B2759" t="str">
        <f>"600816"</f>
        <v>600816</v>
      </c>
      <c r="C2759" t="s">
        <v>14572</v>
      </c>
      <c r="D2759">
        <v>3.21</v>
      </c>
      <c r="E2759">
        <v>0.31</v>
      </c>
      <c r="F2759">
        <v>0.01</v>
      </c>
      <c r="G2759" t="s">
        <v>1960</v>
      </c>
      <c r="H2759">
        <v>1998</v>
      </c>
      <c r="I2759">
        <v>3.21</v>
      </c>
      <c r="J2759">
        <v>3.22</v>
      </c>
      <c r="K2759" t="s">
        <v>14573</v>
      </c>
      <c r="L2759">
        <v>0.36</v>
      </c>
      <c r="M2759" t="s">
        <v>46</v>
      </c>
      <c r="N2759" t="s">
        <v>14574</v>
      </c>
      <c r="O2759">
        <v>3.24</v>
      </c>
      <c r="P2759">
        <v>3.17</v>
      </c>
      <c r="Q2759">
        <v>3.21</v>
      </c>
      <c r="R2759">
        <v>3.2</v>
      </c>
      <c r="S2759">
        <v>2.19</v>
      </c>
      <c r="T2759">
        <v>0.76</v>
      </c>
      <c r="U2759">
        <v>-24.04</v>
      </c>
      <c r="V2759" t="s">
        <v>4189</v>
      </c>
      <c r="W2759">
        <v>3.21</v>
      </c>
      <c r="X2759" t="s">
        <v>7941</v>
      </c>
      <c r="Y2759" t="s">
        <v>3402</v>
      </c>
      <c r="Z2759">
        <v>0.85</v>
      </c>
      <c r="AA2759">
        <v>539</v>
      </c>
      <c r="AB2759">
        <v>4257</v>
      </c>
      <c r="AC2759">
        <v>2.45</v>
      </c>
      <c r="AD2759" t="s">
        <v>14575</v>
      </c>
      <c r="AE2759" t="s">
        <v>1902</v>
      </c>
      <c r="AF2759" t="s">
        <v>3199</v>
      </c>
      <c r="AG2759" t="s">
        <v>14576</v>
      </c>
      <c r="AH2759">
        <v>-0.62</v>
      </c>
      <c r="AI2759">
        <v>-6.14</v>
      </c>
      <c r="AJ2759">
        <v>1.29</v>
      </c>
      <c r="AK2759">
        <v>2.75</v>
      </c>
      <c r="AL2759">
        <v>2</v>
      </c>
      <c r="AM2759">
        <v>0.31</v>
      </c>
      <c r="AN2759">
        <v>-11.81</v>
      </c>
      <c r="AO2759">
        <v>-6.14</v>
      </c>
      <c r="AP2759">
        <v>-15.3</v>
      </c>
    </row>
    <row r="2760" spans="1:42">
      <c r="A2760">
        <v>2759</v>
      </c>
      <c r="B2760" t="str">
        <f>"601665"</f>
        <v>601665</v>
      </c>
      <c r="C2760" t="s">
        <v>14577</v>
      </c>
      <c r="D2760">
        <v>3.86</v>
      </c>
      <c r="E2760">
        <v>0.52</v>
      </c>
      <c r="F2760">
        <v>0.02</v>
      </c>
      <c r="G2760" t="s">
        <v>3584</v>
      </c>
      <c r="H2760">
        <v>638</v>
      </c>
      <c r="I2760">
        <v>3.86</v>
      </c>
      <c r="J2760">
        <v>3.87</v>
      </c>
      <c r="K2760" t="s">
        <v>14573</v>
      </c>
      <c r="L2760">
        <v>0.68</v>
      </c>
      <c r="M2760" t="s">
        <v>46</v>
      </c>
      <c r="N2760" t="s">
        <v>14578</v>
      </c>
      <c r="O2760">
        <v>3.9</v>
      </c>
      <c r="P2760">
        <v>3.84</v>
      </c>
      <c r="Q2760">
        <v>3.85</v>
      </c>
      <c r="R2760">
        <v>3.84</v>
      </c>
      <c r="S2760">
        <v>1.56</v>
      </c>
      <c r="T2760">
        <v>1.37</v>
      </c>
      <c r="U2760">
        <v>-52.9</v>
      </c>
      <c r="V2760" t="s">
        <v>14579</v>
      </c>
      <c r="W2760">
        <v>3.87</v>
      </c>
      <c r="X2760" t="s">
        <v>4759</v>
      </c>
      <c r="Y2760" t="s">
        <v>2366</v>
      </c>
      <c r="Z2760">
        <v>0.75</v>
      </c>
      <c r="AA2760">
        <v>1395</v>
      </c>
      <c r="AB2760">
        <v>876</v>
      </c>
      <c r="AC2760">
        <v>0.57</v>
      </c>
      <c r="AD2760" t="s">
        <v>14580</v>
      </c>
      <c r="AE2760" t="s">
        <v>14581</v>
      </c>
      <c r="AF2760" t="s">
        <v>2303</v>
      </c>
      <c r="AG2760" t="s">
        <v>14582</v>
      </c>
      <c r="AH2760">
        <v>0</v>
      </c>
      <c r="AI2760">
        <v>-0.77</v>
      </c>
      <c r="AJ2760">
        <v>1.57</v>
      </c>
      <c r="AK2760">
        <v>3.17</v>
      </c>
      <c r="AL2760">
        <v>2</v>
      </c>
      <c r="AM2760">
        <v>0.52</v>
      </c>
      <c r="AN2760">
        <v>-3.02</v>
      </c>
      <c r="AO2760">
        <v>-3.74</v>
      </c>
      <c r="AP2760">
        <v>-4.46</v>
      </c>
    </row>
    <row r="2761" spans="1:42">
      <c r="A2761">
        <v>2760</v>
      </c>
      <c r="B2761" t="str">
        <f>"300013"</f>
        <v>300013</v>
      </c>
      <c r="C2761" t="s">
        <v>14583</v>
      </c>
      <c r="D2761">
        <v>4.14</v>
      </c>
      <c r="E2761">
        <v>2.99</v>
      </c>
      <c r="F2761">
        <v>0.12</v>
      </c>
      <c r="G2761" t="s">
        <v>959</v>
      </c>
      <c r="H2761">
        <v>1721</v>
      </c>
      <c r="I2761">
        <v>4.13</v>
      </c>
      <c r="J2761">
        <v>4.14</v>
      </c>
      <c r="K2761" t="s">
        <v>14584</v>
      </c>
      <c r="L2761">
        <v>3.35</v>
      </c>
      <c r="M2761" t="s">
        <v>46</v>
      </c>
      <c r="N2761" t="s">
        <v>4608</v>
      </c>
      <c r="O2761">
        <v>4.14</v>
      </c>
      <c r="P2761">
        <v>4.03</v>
      </c>
      <c r="Q2761">
        <v>4.03</v>
      </c>
      <c r="R2761">
        <v>4.02</v>
      </c>
      <c r="S2761">
        <v>2.74</v>
      </c>
      <c r="T2761">
        <v>2.02</v>
      </c>
      <c r="U2761">
        <v>-60.39</v>
      </c>
      <c r="V2761">
        <v>-7759</v>
      </c>
      <c r="W2761">
        <v>4.1</v>
      </c>
      <c r="X2761" t="s">
        <v>6257</v>
      </c>
      <c r="Y2761" t="s">
        <v>1499</v>
      </c>
      <c r="Z2761">
        <v>0.46</v>
      </c>
      <c r="AA2761">
        <v>390</v>
      </c>
      <c r="AB2761">
        <v>1733</v>
      </c>
      <c r="AC2761">
        <v>-73</v>
      </c>
      <c r="AD2761" t="s">
        <v>14585</v>
      </c>
      <c r="AE2761" t="s">
        <v>7599</v>
      </c>
      <c r="AF2761" t="s">
        <v>14586</v>
      </c>
      <c r="AG2761" t="s">
        <v>14587</v>
      </c>
      <c r="AH2761">
        <v>1.47</v>
      </c>
      <c r="AI2761">
        <v>1.47</v>
      </c>
      <c r="AJ2761">
        <v>6.82</v>
      </c>
      <c r="AK2761">
        <v>11.67</v>
      </c>
      <c r="AL2761">
        <v>1</v>
      </c>
      <c r="AM2761">
        <v>2.99</v>
      </c>
      <c r="AN2761">
        <v>-15.85</v>
      </c>
      <c r="AO2761">
        <v>4.81</v>
      </c>
      <c r="AP2761">
        <v>-14.64</v>
      </c>
    </row>
    <row r="2762" spans="1:42">
      <c r="A2762">
        <v>2761</v>
      </c>
      <c r="B2762" t="str">
        <f>"301511"</f>
        <v>301511</v>
      </c>
      <c r="C2762" t="s">
        <v>14588</v>
      </c>
      <c r="D2762">
        <v>25.15</v>
      </c>
      <c r="E2762">
        <v>-0.44</v>
      </c>
      <c r="F2762">
        <v>-0.11</v>
      </c>
      <c r="G2762" t="s">
        <v>9766</v>
      </c>
      <c r="H2762">
        <v>435</v>
      </c>
      <c r="I2762">
        <v>25.15</v>
      </c>
      <c r="J2762">
        <v>25.16</v>
      </c>
      <c r="K2762" t="s">
        <v>14584</v>
      </c>
      <c r="L2762">
        <v>4.22</v>
      </c>
      <c r="M2762" t="s">
        <v>46</v>
      </c>
      <c r="N2762" t="s">
        <v>5483</v>
      </c>
      <c r="O2762">
        <v>25.35</v>
      </c>
      <c r="P2762">
        <v>24.73</v>
      </c>
      <c r="Q2762">
        <v>25.13</v>
      </c>
      <c r="R2762">
        <v>25.26</v>
      </c>
      <c r="S2762">
        <v>2.45</v>
      </c>
      <c r="T2762">
        <v>0.82</v>
      </c>
      <c r="U2762">
        <v>49.49</v>
      </c>
      <c r="V2762">
        <v>292</v>
      </c>
      <c r="W2762">
        <v>24.98</v>
      </c>
      <c r="X2762" t="s">
        <v>1427</v>
      </c>
      <c r="Y2762" t="s">
        <v>189</v>
      </c>
      <c r="Z2762">
        <v>1.1</v>
      </c>
      <c r="AA2762">
        <v>219</v>
      </c>
      <c r="AB2762">
        <v>8</v>
      </c>
      <c r="AC2762">
        <v>2.69</v>
      </c>
      <c r="AD2762" t="s">
        <v>14589</v>
      </c>
      <c r="AE2762" t="s">
        <v>8442</v>
      </c>
      <c r="AF2762" t="s">
        <v>14590</v>
      </c>
      <c r="AG2762" t="s">
        <v>14591</v>
      </c>
      <c r="AH2762">
        <v>-4.91</v>
      </c>
      <c r="AI2762">
        <v>-7.6</v>
      </c>
      <c r="AJ2762">
        <v>13.88</v>
      </c>
      <c r="AK2762">
        <v>30.1</v>
      </c>
      <c r="AL2762">
        <v>-3</v>
      </c>
      <c r="AM2762">
        <v>-0.44</v>
      </c>
      <c r="AN2762">
        <v>-10.18</v>
      </c>
      <c r="AO2762">
        <v>-6.89</v>
      </c>
      <c r="AP2762">
        <v>-10.18</v>
      </c>
    </row>
    <row r="2763" spans="1:42">
      <c r="A2763">
        <v>2762</v>
      </c>
      <c r="B2763" t="str">
        <f>"301075"</f>
        <v>301075</v>
      </c>
      <c r="C2763" t="s">
        <v>14592</v>
      </c>
      <c r="D2763">
        <v>29.25</v>
      </c>
      <c r="E2763">
        <v>0.97</v>
      </c>
      <c r="F2763">
        <v>0.28</v>
      </c>
      <c r="G2763" t="s">
        <v>6580</v>
      </c>
      <c r="H2763">
        <v>219</v>
      </c>
      <c r="I2763">
        <v>29.22</v>
      </c>
      <c r="J2763">
        <v>29.25</v>
      </c>
      <c r="K2763" t="s">
        <v>14593</v>
      </c>
      <c r="L2763">
        <v>7.6</v>
      </c>
      <c r="M2763" t="s">
        <v>46</v>
      </c>
      <c r="N2763" t="s">
        <v>5854</v>
      </c>
      <c r="O2763">
        <v>29.9</v>
      </c>
      <c r="P2763">
        <v>28.66</v>
      </c>
      <c r="Q2763">
        <v>28.81</v>
      </c>
      <c r="R2763">
        <v>28.97</v>
      </c>
      <c r="S2763">
        <v>4.28</v>
      </c>
      <c r="T2763">
        <v>0.65</v>
      </c>
      <c r="U2763">
        <v>-58.88</v>
      </c>
      <c r="V2763">
        <v>-192</v>
      </c>
      <c r="W2763">
        <v>29.43</v>
      </c>
      <c r="X2763" t="s">
        <v>218</v>
      </c>
      <c r="Y2763" t="s">
        <v>1154</v>
      </c>
      <c r="Z2763">
        <v>1.03</v>
      </c>
      <c r="AA2763">
        <v>12</v>
      </c>
      <c r="AB2763">
        <v>88</v>
      </c>
      <c r="AC2763">
        <v>3.01</v>
      </c>
      <c r="AD2763" t="s">
        <v>3612</v>
      </c>
      <c r="AE2763" t="s">
        <v>11799</v>
      </c>
      <c r="AF2763" t="s">
        <v>14594</v>
      </c>
      <c r="AG2763" t="s">
        <v>8259</v>
      </c>
      <c r="AH2763">
        <v>-0.65</v>
      </c>
      <c r="AI2763">
        <v>-0.54</v>
      </c>
      <c r="AJ2763">
        <v>22.22</v>
      </c>
      <c r="AK2763">
        <v>65.98</v>
      </c>
      <c r="AL2763">
        <v>2</v>
      </c>
      <c r="AM2763">
        <v>0.97</v>
      </c>
      <c r="AN2763">
        <v>-9.55</v>
      </c>
      <c r="AO2763">
        <v>2.92</v>
      </c>
      <c r="AP2763">
        <v>17.61</v>
      </c>
    </row>
    <row r="2764" spans="1:42">
      <c r="A2764">
        <v>2763</v>
      </c>
      <c r="B2764" t="str">
        <f>"603089"</f>
        <v>603089</v>
      </c>
      <c r="C2764" t="s">
        <v>14595</v>
      </c>
      <c r="D2764">
        <v>11.89</v>
      </c>
      <c r="E2764">
        <v>0.42</v>
      </c>
      <c r="F2764">
        <v>0.05</v>
      </c>
      <c r="G2764" t="s">
        <v>3659</v>
      </c>
      <c r="H2764">
        <v>589</v>
      </c>
      <c r="I2764">
        <v>11.88</v>
      </c>
      <c r="J2764">
        <v>11.89</v>
      </c>
      <c r="K2764" t="s">
        <v>14593</v>
      </c>
      <c r="L2764">
        <v>2.32</v>
      </c>
      <c r="M2764" t="s">
        <v>46</v>
      </c>
      <c r="N2764" t="s">
        <v>4796</v>
      </c>
      <c r="O2764">
        <v>11.98</v>
      </c>
      <c r="P2764">
        <v>11.7</v>
      </c>
      <c r="Q2764">
        <v>11.77</v>
      </c>
      <c r="R2764">
        <v>11.84</v>
      </c>
      <c r="S2764">
        <v>2.36</v>
      </c>
      <c r="T2764">
        <v>0.82</v>
      </c>
      <c r="U2764">
        <v>-31.09</v>
      </c>
      <c r="V2764">
        <v>-358</v>
      </c>
      <c r="W2764">
        <v>11.86</v>
      </c>
      <c r="X2764" t="s">
        <v>3110</v>
      </c>
      <c r="Y2764" t="s">
        <v>914</v>
      </c>
      <c r="Z2764">
        <v>0.95</v>
      </c>
      <c r="AA2764">
        <v>269</v>
      </c>
      <c r="AB2764">
        <v>19</v>
      </c>
      <c r="AC2764">
        <v>2.32</v>
      </c>
      <c r="AD2764" t="s">
        <v>14596</v>
      </c>
      <c r="AE2764" t="s">
        <v>14597</v>
      </c>
      <c r="AF2764" t="s">
        <v>14596</v>
      </c>
      <c r="AG2764" t="s">
        <v>14597</v>
      </c>
      <c r="AH2764">
        <v>-1</v>
      </c>
      <c r="AI2764">
        <v>-1.16</v>
      </c>
      <c r="AJ2764">
        <v>7.92</v>
      </c>
      <c r="AK2764">
        <v>16.57</v>
      </c>
      <c r="AL2764">
        <v>1</v>
      </c>
      <c r="AM2764">
        <v>0.42</v>
      </c>
      <c r="AN2764">
        <v>45.71</v>
      </c>
      <c r="AO2764">
        <v>-15.13</v>
      </c>
      <c r="AP2764">
        <v>30.8</v>
      </c>
    </row>
    <row r="2765" spans="1:42">
      <c r="A2765">
        <v>2764</v>
      </c>
      <c r="B2765" t="str">
        <f>"000791"</f>
        <v>000791</v>
      </c>
      <c r="C2765" t="s">
        <v>14598</v>
      </c>
      <c r="D2765">
        <v>5.82</v>
      </c>
      <c r="E2765">
        <v>0.34</v>
      </c>
      <c r="F2765">
        <v>0.02</v>
      </c>
      <c r="G2765" t="s">
        <v>881</v>
      </c>
      <c r="H2765">
        <v>839</v>
      </c>
      <c r="I2765">
        <v>5.82</v>
      </c>
      <c r="J2765">
        <v>5.83</v>
      </c>
      <c r="K2765" t="s">
        <v>14599</v>
      </c>
      <c r="L2765">
        <v>0.66</v>
      </c>
      <c r="M2765" t="s">
        <v>46</v>
      </c>
      <c r="N2765" t="s">
        <v>2027</v>
      </c>
      <c r="O2765">
        <v>5.88</v>
      </c>
      <c r="P2765">
        <v>5.78</v>
      </c>
      <c r="Q2765">
        <v>5.79</v>
      </c>
      <c r="R2765">
        <v>5.8</v>
      </c>
      <c r="S2765">
        <v>1.72</v>
      </c>
      <c r="T2765">
        <v>1.14</v>
      </c>
      <c r="U2765">
        <v>-43.35</v>
      </c>
      <c r="V2765">
        <v>-6310</v>
      </c>
      <c r="W2765">
        <v>5.84</v>
      </c>
      <c r="X2765" t="s">
        <v>7035</v>
      </c>
      <c r="Y2765" t="s">
        <v>5472</v>
      </c>
      <c r="Z2765">
        <v>0.77</v>
      </c>
      <c r="AA2765">
        <v>578</v>
      </c>
      <c r="AB2765">
        <v>1452</v>
      </c>
      <c r="AC2765">
        <v>1.07</v>
      </c>
      <c r="AD2765" t="s">
        <v>10450</v>
      </c>
      <c r="AE2765" t="s">
        <v>14600</v>
      </c>
      <c r="AF2765" t="s">
        <v>10450</v>
      </c>
      <c r="AG2765" t="s">
        <v>14600</v>
      </c>
      <c r="AH2765">
        <v>1.22</v>
      </c>
      <c r="AI2765">
        <v>2.28</v>
      </c>
      <c r="AJ2765">
        <v>2.07</v>
      </c>
      <c r="AK2765">
        <v>3.54</v>
      </c>
      <c r="AL2765">
        <v>5</v>
      </c>
      <c r="AM2765">
        <v>0.34</v>
      </c>
      <c r="AN2765">
        <v>11.49</v>
      </c>
      <c r="AO2765">
        <v>3.74</v>
      </c>
      <c r="AP2765">
        <v>9.19</v>
      </c>
    </row>
    <row r="2766" spans="1:42">
      <c r="A2766">
        <v>2765</v>
      </c>
      <c r="B2766" t="str">
        <f>"002196"</f>
        <v>002196</v>
      </c>
      <c r="C2766" t="s">
        <v>14601</v>
      </c>
      <c r="D2766">
        <v>7.33</v>
      </c>
      <c r="E2766">
        <v>-1.35</v>
      </c>
      <c r="F2766">
        <v>-0.1</v>
      </c>
      <c r="G2766" t="s">
        <v>3743</v>
      </c>
      <c r="H2766">
        <v>1188</v>
      </c>
      <c r="I2766">
        <v>7.33</v>
      </c>
      <c r="J2766">
        <v>7.34</v>
      </c>
      <c r="K2766" t="s">
        <v>14602</v>
      </c>
      <c r="L2766">
        <v>1.74</v>
      </c>
      <c r="M2766" t="s">
        <v>46</v>
      </c>
      <c r="N2766" t="s">
        <v>6370</v>
      </c>
      <c r="O2766">
        <v>7.45</v>
      </c>
      <c r="P2766">
        <v>7.27</v>
      </c>
      <c r="Q2766">
        <v>7.45</v>
      </c>
      <c r="R2766">
        <v>7.43</v>
      </c>
      <c r="S2766">
        <v>2.42</v>
      </c>
      <c r="T2766">
        <v>0.81</v>
      </c>
      <c r="U2766">
        <v>2.65</v>
      </c>
      <c r="V2766">
        <v>126</v>
      </c>
      <c r="W2766">
        <v>7.32</v>
      </c>
      <c r="X2766" t="s">
        <v>5435</v>
      </c>
      <c r="Y2766" t="s">
        <v>2189</v>
      </c>
      <c r="Z2766">
        <v>1.27</v>
      </c>
      <c r="AA2766">
        <v>688</v>
      </c>
      <c r="AB2766">
        <v>411</v>
      </c>
      <c r="AC2766">
        <v>2.66</v>
      </c>
      <c r="AD2766" t="s">
        <v>14473</v>
      </c>
      <c r="AE2766" t="s">
        <v>10009</v>
      </c>
      <c r="AF2766" t="s">
        <v>14603</v>
      </c>
      <c r="AG2766" t="s">
        <v>14604</v>
      </c>
      <c r="AH2766">
        <v>-2.4</v>
      </c>
      <c r="AI2766">
        <v>-2.14</v>
      </c>
      <c r="AJ2766">
        <v>6.05</v>
      </c>
      <c r="AK2766">
        <v>12.49</v>
      </c>
      <c r="AL2766">
        <v>-3</v>
      </c>
      <c r="AM2766">
        <v>-1.35</v>
      </c>
      <c r="AN2766">
        <v>0.96</v>
      </c>
      <c r="AO2766">
        <v>2.52</v>
      </c>
      <c r="AP2766">
        <v>-4.56</v>
      </c>
    </row>
    <row r="2767" spans="1:42">
      <c r="A2767">
        <v>2766</v>
      </c>
      <c r="B2767" t="str">
        <f>"002826"</f>
        <v>002826</v>
      </c>
      <c r="C2767" t="s">
        <v>14605</v>
      </c>
      <c r="D2767">
        <v>12.58</v>
      </c>
      <c r="E2767">
        <v>-0.4</v>
      </c>
      <c r="F2767">
        <v>-0.05</v>
      </c>
      <c r="G2767" t="s">
        <v>7441</v>
      </c>
      <c r="H2767">
        <v>471</v>
      </c>
      <c r="I2767">
        <v>12.58</v>
      </c>
      <c r="J2767">
        <v>12.59</v>
      </c>
      <c r="K2767" t="s">
        <v>14606</v>
      </c>
      <c r="L2767">
        <v>2.74</v>
      </c>
      <c r="M2767" t="s">
        <v>46</v>
      </c>
      <c r="N2767" t="s">
        <v>11881</v>
      </c>
      <c r="O2767">
        <v>12.92</v>
      </c>
      <c r="P2767">
        <v>12.53</v>
      </c>
      <c r="Q2767">
        <v>12.7</v>
      </c>
      <c r="R2767">
        <v>12.63</v>
      </c>
      <c r="S2767">
        <v>3.09</v>
      </c>
      <c r="T2767">
        <v>0.51</v>
      </c>
      <c r="U2767">
        <v>19.55</v>
      </c>
      <c r="V2767">
        <v>122</v>
      </c>
      <c r="W2767">
        <v>12.67</v>
      </c>
      <c r="X2767" t="s">
        <v>914</v>
      </c>
      <c r="Y2767" t="s">
        <v>4963</v>
      </c>
      <c r="Z2767">
        <v>1.22</v>
      </c>
      <c r="AA2767">
        <v>5</v>
      </c>
      <c r="AB2767">
        <v>7</v>
      </c>
      <c r="AC2767">
        <v>3.18</v>
      </c>
      <c r="AD2767" t="s">
        <v>14607</v>
      </c>
      <c r="AE2767" t="s">
        <v>14608</v>
      </c>
      <c r="AF2767" t="s">
        <v>12987</v>
      </c>
      <c r="AG2767" t="s">
        <v>7069</v>
      </c>
      <c r="AH2767">
        <v>-1.33</v>
      </c>
      <c r="AI2767">
        <v>-0.32</v>
      </c>
      <c r="AJ2767">
        <v>8.64</v>
      </c>
      <c r="AK2767">
        <v>29.63</v>
      </c>
      <c r="AL2767">
        <v>-1</v>
      </c>
      <c r="AM2767">
        <v>-0.4</v>
      </c>
      <c r="AN2767">
        <v>24.68</v>
      </c>
      <c r="AO2767">
        <v>5.54</v>
      </c>
      <c r="AP2767">
        <v>-2.71</v>
      </c>
    </row>
    <row r="2768" spans="1:42">
      <c r="A2768">
        <v>2767</v>
      </c>
      <c r="B2768" t="str">
        <f>"603378"</f>
        <v>603378</v>
      </c>
      <c r="C2768" t="s">
        <v>14609</v>
      </c>
      <c r="D2768">
        <v>9.44</v>
      </c>
      <c r="E2768">
        <v>2.16</v>
      </c>
      <c r="F2768">
        <v>0.2</v>
      </c>
      <c r="G2768" t="s">
        <v>10018</v>
      </c>
      <c r="H2768">
        <v>586</v>
      </c>
      <c r="I2768">
        <v>9.43</v>
      </c>
      <c r="J2768">
        <v>9.44</v>
      </c>
      <c r="K2768" t="s">
        <v>14610</v>
      </c>
      <c r="L2768">
        <v>1.52</v>
      </c>
      <c r="M2768" t="s">
        <v>46</v>
      </c>
      <c r="N2768" t="s">
        <v>8146</v>
      </c>
      <c r="O2768">
        <v>9.47</v>
      </c>
      <c r="P2768">
        <v>9.14</v>
      </c>
      <c r="Q2768">
        <v>9.23</v>
      </c>
      <c r="R2768">
        <v>9.24</v>
      </c>
      <c r="S2768">
        <v>3.57</v>
      </c>
      <c r="T2768">
        <v>0.9</v>
      </c>
      <c r="U2768">
        <v>-36.95</v>
      </c>
      <c r="V2768">
        <v>-973</v>
      </c>
      <c r="W2768">
        <v>9.36</v>
      </c>
      <c r="X2768" t="s">
        <v>4914</v>
      </c>
      <c r="Y2768" t="s">
        <v>4780</v>
      </c>
      <c r="Z2768">
        <v>0.91</v>
      </c>
      <c r="AA2768">
        <v>206</v>
      </c>
      <c r="AB2768">
        <v>490</v>
      </c>
      <c r="AC2768">
        <v>2.29</v>
      </c>
      <c r="AD2768" t="s">
        <v>8850</v>
      </c>
      <c r="AE2768" t="s">
        <v>9802</v>
      </c>
      <c r="AF2768" t="s">
        <v>14611</v>
      </c>
      <c r="AG2768" t="s">
        <v>14612</v>
      </c>
      <c r="AH2768">
        <v>-1.26</v>
      </c>
      <c r="AI2768">
        <v>-4.65</v>
      </c>
      <c r="AJ2768">
        <v>4.37</v>
      </c>
      <c r="AK2768">
        <v>9.97</v>
      </c>
      <c r="AL2768">
        <v>1</v>
      </c>
      <c r="AM2768">
        <v>2.16</v>
      </c>
      <c r="AN2768">
        <v>-17.55</v>
      </c>
      <c r="AO2768">
        <v>7.27</v>
      </c>
      <c r="AP2768">
        <v>-4.84</v>
      </c>
    </row>
    <row r="2769" spans="1:42">
      <c r="A2769">
        <v>2768</v>
      </c>
      <c r="B2769" t="str">
        <f>"603979"</f>
        <v>603979</v>
      </c>
      <c r="C2769" t="s">
        <v>14613</v>
      </c>
      <c r="D2769">
        <v>35.12</v>
      </c>
      <c r="E2769">
        <v>0.09</v>
      </c>
      <c r="F2769">
        <v>0.03</v>
      </c>
      <c r="G2769" t="s">
        <v>876</v>
      </c>
      <c r="H2769">
        <v>42</v>
      </c>
      <c r="I2769">
        <v>35.12</v>
      </c>
      <c r="J2769">
        <v>35.13</v>
      </c>
      <c r="K2769" t="s">
        <v>14614</v>
      </c>
      <c r="L2769">
        <v>0.29</v>
      </c>
      <c r="M2769" t="s">
        <v>46</v>
      </c>
      <c r="N2769" t="s">
        <v>14615</v>
      </c>
      <c r="O2769">
        <v>35.25</v>
      </c>
      <c r="P2769">
        <v>34.8</v>
      </c>
      <c r="Q2769">
        <v>35.04</v>
      </c>
      <c r="R2769">
        <v>35.09</v>
      </c>
      <c r="S2769">
        <v>1.28</v>
      </c>
      <c r="T2769">
        <v>0.97</v>
      </c>
      <c r="U2769">
        <v>-86.71</v>
      </c>
      <c r="V2769">
        <v>-343</v>
      </c>
      <c r="W2769">
        <v>35.04</v>
      </c>
      <c r="X2769">
        <v>6598</v>
      </c>
      <c r="Y2769" t="s">
        <v>7974</v>
      </c>
      <c r="Z2769">
        <v>0.61</v>
      </c>
      <c r="AA2769">
        <v>1</v>
      </c>
      <c r="AB2769">
        <v>253</v>
      </c>
      <c r="AC2769">
        <v>3.12</v>
      </c>
      <c r="AD2769" t="s">
        <v>14616</v>
      </c>
      <c r="AE2769" t="s">
        <v>14617</v>
      </c>
      <c r="AF2769" t="s">
        <v>14616</v>
      </c>
      <c r="AG2769" t="s">
        <v>14617</v>
      </c>
      <c r="AH2769">
        <v>-0.09</v>
      </c>
      <c r="AI2769">
        <v>-1.07</v>
      </c>
      <c r="AJ2769">
        <v>0.81</v>
      </c>
      <c r="AK2769">
        <v>1.78</v>
      </c>
      <c r="AL2769">
        <v>1</v>
      </c>
      <c r="AM2769">
        <v>0.09</v>
      </c>
      <c r="AN2769">
        <v>37.78</v>
      </c>
      <c r="AO2769">
        <v>0.75</v>
      </c>
      <c r="AP2769">
        <v>50.34</v>
      </c>
    </row>
    <row r="2770" spans="1:42">
      <c r="A2770">
        <v>2769</v>
      </c>
      <c r="B2770" t="str">
        <f>"002961"</f>
        <v>002961</v>
      </c>
      <c r="C2770" t="s">
        <v>14618</v>
      </c>
      <c r="D2770">
        <v>15.82</v>
      </c>
      <c r="E2770">
        <v>0.06</v>
      </c>
      <c r="F2770">
        <v>0.01</v>
      </c>
      <c r="G2770" t="s">
        <v>4811</v>
      </c>
      <c r="H2770">
        <v>824</v>
      </c>
      <c r="I2770">
        <v>15.82</v>
      </c>
      <c r="J2770">
        <v>15.83</v>
      </c>
      <c r="K2770" t="s">
        <v>14619</v>
      </c>
      <c r="L2770">
        <v>0.87</v>
      </c>
      <c r="M2770" t="s">
        <v>46</v>
      </c>
      <c r="N2770" t="s">
        <v>14620</v>
      </c>
      <c r="O2770">
        <v>15.95</v>
      </c>
      <c r="P2770">
        <v>15.57</v>
      </c>
      <c r="Q2770">
        <v>15.72</v>
      </c>
      <c r="R2770">
        <v>15.81</v>
      </c>
      <c r="S2770">
        <v>2.4</v>
      </c>
      <c r="T2770">
        <v>0.72</v>
      </c>
      <c r="U2770">
        <v>-22.8</v>
      </c>
      <c r="V2770">
        <v>-309</v>
      </c>
      <c r="W2770">
        <v>15.74</v>
      </c>
      <c r="X2770" t="s">
        <v>2694</v>
      </c>
      <c r="Y2770" t="s">
        <v>2924</v>
      </c>
      <c r="Z2770">
        <v>0.97</v>
      </c>
      <c r="AA2770">
        <v>94</v>
      </c>
      <c r="AB2770">
        <v>338</v>
      </c>
      <c r="AC2770">
        <v>2.83</v>
      </c>
      <c r="AD2770" t="s">
        <v>10824</v>
      </c>
      <c r="AE2770" t="s">
        <v>993</v>
      </c>
      <c r="AF2770" t="s">
        <v>10824</v>
      </c>
      <c r="AG2770" t="s">
        <v>993</v>
      </c>
      <c r="AH2770">
        <v>-0.75</v>
      </c>
      <c r="AI2770">
        <v>-0.5</v>
      </c>
      <c r="AJ2770">
        <v>4.51</v>
      </c>
      <c r="AK2770">
        <v>6.87</v>
      </c>
      <c r="AL2770">
        <v>1</v>
      </c>
      <c r="AM2770">
        <v>0.06</v>
      </c>
      <c r="AN2770">
        <v>20.67</v>
      </c>
      <c r="AO2770">
        <v>3.06</v>
      </c>
      <c r="AP2770">
        <v>11.72</v>
      </c>
    </row>
    <row r="2771" spans="1:42">
      <c r="A2771">
        <v>2770</v>
      </c>
      <c r="B2771" t="str">
        <f>"688006"</f>
        <v>688006</v>
      </c>
      <c r="C2771" t="s">
        <v>14621</v>
      </c>
      <c r="D2771">
        <v>23.6</v>
      </c>
      <c r="E2771">
        <v>-1.01</v>
      </c>
      <c r="F2771">
        <v>-0.24</v>
      </c>
      <c r="G2771" t="s">
        <v>4036</v>
      </c>
      <c r="H2771">
        <v>219</v>
      </c>
      <c r="I2771">
        <v>23.6</v>
      </c>
      <c r="J2771">
        <v>23.63</v>
      </c>
      <c r="K2771" t="s">
        <v>14619</v>
      </c>
      <c r="L2771">
        <v>0.43</v>
      </c>
      <c r="M2771" t="s">
        <v>46</v>
      </c>
      <c r="N2771" t="s">
        <v>3096</v>
      </c>
      <c r="O2771">
        <v>23.9</v>
      </c>
      <c r="P2771">
        <v>23.36</v>
      </c>
      <c r="Q2771">
        <v>23.48</v>
      </c>
      <c r="R2771">
        <v>23.84</v>
      </c>
      <c r="S2771">
        <v>2.27</v>
      </c>
      <c r="T2771">
        <v>0.83</v>
      </c>
      <c r="U2771">
        <v>28.39</v>
      </c>
      <c r="V2771">
        <v>173</v>
      </c>
      <c r="W2771">
        <v>23.53</v>
      </c>
      <c r="X2771" t="s">
        <v>4717</v>
      </c>
      <c r="Y2771" t="s">
        <v>189</v>
      </c>
      <c r="Z2771">
        <v>1.2</v>
      </c>
      <c r="AA2771">
        <v>50</v>
      </c>
      <c r="AB2771">
        <v>3</v>
      </c>
      <c r="AC2771">
        <v>2.81</v>
      </c>
      <c r="AD2771" t="s">
        <v>13816</v>
      </c>
      <c r="AE2771" t="s">
        <v>14622</v>
      </c>
      <c r="AF2771" t="s">
        <v>13816</v>
      </c>
      <c r="AG2771" t="s">
        <v>14622</v>
      </c>
      <c r="AH2771">
        <v>-2.24</v>
      </c>
      <c r="AI2771">
        <v>-2.84</v>
      </c>
      <c r="AJ2771">
        <v>1.4</v>
      </c>
      <c r="AK2771">
        <v>3.01</v>
      </c>
      <c r="AL2771">
        <v>-2</v>
      </c>
      <c r="AM2771">
        <v>-1.01</v>
      </c>
      <c r="AN2771">
        <v>-23.9</v>
      </c>
      <c r="AO2771">
        <v>-3.12</v>
      </c>
      <c r="AP2771">
        <v>-28.25</v>
      </c>
    </row>
    <row r="2772" spans="1:42">
      <c r="A2772">
        <v>2771</v>
      </c>
      <c r="B2772" t="str">
        <f>"002746"</f>
        <v>002746</v>
      </c>
      <c r="C2772" t="s">
        <v>14623</v>
      </c>
      <c r="D2772">
        <v>7.25</v>
      </c>
      <c r="E2772">
        <v>-0.14</v>
      </c>
      <c r="F2772">
        <v>-0.01</v>
      </c>
      <c r="G2772" t="s">
        <v>3743</v>
      </c>
      <c r="H2772">
        <v>1035</v>
      </c>
      <c r="I2772">
        <v>7.24</v>
      </c>
      <c r="J2772">
        <v>7.25</v>
      </c>
      <c r="K2772" t="s">
        <v>14624</v>
      </c>
      <c r="L2772">
        <v>1.18</v>
      </c>
      <c r="M2772" t="s">
        <v>46</v>
      </c>
      <c r="N2772" t="s">
        <v>14072</v>
      </c>
      <c r="O2772">
        <v>7.34</v>
      </c>
      <c r="P2772">
        <v>7.23</v>
      </c>
      <c r="Q2772">
        <v>7.23</v>
      </c>
      <c r="R2772">
        <v>7.26</v>
      </c>
      <c r="S2772">
        <v>1.52</v>
      </c>
      <c r="T2772">
        <v>0.82</v>
      </c>
      <c r="U2772">
        <v>18.39</v>
      </c>
      <c r="V2772">
        <v>1341</v>
      </c>
      <c r="W2772">
        <v>7.27</v>
      </c>
      <c r="X2772" t="s">
        <v>2300</v>
      </c>
      <c r="Y2772" t="s">
        <v>8156</v>
      </c>
      <c r="Z2772">
        <v>1.22</v>
      </c>
      <c r="AA2772">
        <v>431</v>
      </c>
      <c r="AB2772">
        <v>156</v>
      </c>
      <c r="AC2772">
        <v>1.35</v>
      </c>
      <c r="AD2772" t="s">
        <v>14625</v>
      </c>
      <c r="AE2772" t="s">
        <v>6809</v>
      </c>
      <c r="AF2772" t="s">
        <v>14626</v>
      </c>
      <c r="AG2772" t="s">
        <v>14627</v>
      </c>
      <c r="AH2772">
        <v>-1.23</v>
      </c>
      <c r="AI2772">
        <v>-1.49</v>
      </c>
      <c r="AJ2772">
        <v>4.04</v>
      </c>
      <c r="AK2772">
        <v>8.4</v>
      </c>
      <c r="AL2772">
        <v>-1</v>
      </c>
      <c r="AM2772">
        <v>-0.14</v>
      </c>
      <c r="AN2772">
        <v>-19.98</v>
      </c>
      <c r="AO2772">
        <v>-2.03</v>
      </c>
      <c r="AP2772">
        <v>-28.22</v>
      </c>
    </row>
    <row r="2773" spans="1:42">
      <c r="A2773">
        <v>2772</v>
      </c>
      <c r="B2773" t="str">
        <f>"002320"</f>
        <v>002320</v>
      </c>
      <c r="C2773" t="s">
        <v>14628</v>
      </c>
      <c r="D2773">
        <v>5.97</v>
      </c>
      <c r="E2773">
        <v>1.19</v>
      </c>
      <c r="F2773">
        <v>0.07</v>
      </c>
      <c r="G2773" t="s">
        <v>1499</v>
      </c>
      <c r="H2773">
        <v>1038</v>
      </c>
      <c r="I2773">
        <v>5.96</v>
      </c>
      <c r="J2773">
        <v>5.97</v>
      </c>
      <c r="K2773" t="s">
        <v>14629</v>
      </c>
      <c r="L2773">
        <v>0.46</v>
      </c>
      <c r="M2773" t="s">
        <v>46</v>
      </c>
      <c r="N2773" t="s">
        <v>14630</v>
      </c>
      <c r="O2773">
        <v>6</v>
      </c>
      <c r="P2773">
        <v>5.88</v>
      </c>
      <c r="Q2773">
        <v>5.9</v>
      </c>
      <c r="R2773">
        <v>5.9</v>
      </c>
      <c r="S2773">
        <v>2.03</v>
      </c>
      <c r="T2773">
        <v>1.29</v>
      </c>
      <c r="U2773">
        <v>-46.99</v>
      </c>
      <c r="V2773">
        <v>-8166</v>
      </c>
      <c r="W2773">
        <v>5.95</v>
      </c>
      <c r="X2773" t="s">
        <v>5235</v>
      </c>
      <c r="Y2773" t="s">
        <v>9326</v>
      </c>
      <c r="Z2773">
        <v>0.73</v>
      </c>
      <c r="AA2773">
        <v>153</v>
      </c>
      <c r="AB2773">
        <v>893</v>
      </c>
      <c r="AC2773">
        <v>3.16</v>
      </c>
      <c r="AD2773" t="s">
        <v>13405</v>
      </c>
      <c r="AE2773" t="s">
        <v>8200</v>
      </c>
      <c r="AF2773" t="s">
        <v>13405</v>
      </c>
      <c r="AG2773" t="s">
        <v>8200</v>
      </c>
      <c r="AH2773">
        <v>1.36</v>
      </c>
      <c r="AI2773">
        <v>2.05</v>
      </c>
      <c r="AJ2773">
        <v>1.15</v>
      </c>
      <c r="AK2773">
        <v>2.24</v>
      </c>
      <c r="AL2773">
        <v>1</v>
      </c>
      <c r="AM2773">
        <v>1.19</v>
      </c>
      <c r="AN2773">
        <v>9.54</v>
      </c>
      <c r="AO2773">
        <v>7.18</v>
      </c>
      <c r="AP2773">
        <v>21.84</v>
      </c>
    </row>
    <row r="2774" spans="1:42">
      <c r="A2774">
        <v>2773</v>
      </c>
      <c r="B2774" t="str">
        <f>"300217"</f>
        <v>300217</v>
      </c>
      <c r="C2774" t="s">
        <v>14631</v>
      </c>
      <c r="D2774">
        <v>5.74</v>
      </c>
      <c r="E2774">
        <v>-0.52</v>
      </c>
      <c r="F2774">
        <v>-0.03</v>
      </c>
      <c r="G2774" t="s">
        <v>1128</v>
      </c>
      <c r="H2774">
        <v>1692</v>
      </c>
      <c r="I2774">
        <v>5.73</v>
      </c>
      <c r="J2774">
        <v>5.74</v>
      </c>
      <c r="K2774" t="s">
        <v>14629</v>
      </c>
      <c r="L2774">
        <v>0.86</v>
      </c>
      <c r="M2774" t="s">
        <v>46</v>
      </c>
      <c r="N2774" t="s">
        <v>3390</v>
      </c>
      <c r="O2774">
        <v>5.77</v>
      </c>
      <c r="P2774">
        <v>5.71</v>
      </c>
      <c r="Q2774">
        <v>5.74</v>
      </c>
      <c r="R2774">
        <v>5.77</v>
      </c>
      <c r="S2774">
        <v>1.04</v>
      </c>
      <c r="T2774">
        <v>0.66</v>
      </c>
      <c r="U2774">
        <v>20.4</v>
      </c>
      <c r="V2774">
        <v>3312</v>
      </c>
      <c r="W2774">
        <v>5.74</v>
      </c>
      <c r="X2774" t="s">
        <v>9741</v>
      </c>
      <c r="Y2774" t="s">
        <v>6645</v>
      </c>
      <c r="Z2774">
        <v>1.7</v>
      </c>
      <c r="AA2774">
        <v>2555</v>
      </c>
      <c r="AB2774">
        <v>300</v>
      </c>
      <c r="AC2774">
        <v>2.22</v>
      </c>
      <c r="AD2774" t="s">
        <v>14632</v>
      </c>
      <c r="AE2774" t="s">
        <v>14633</v>
      </c>
      <c r="AF2774" t="s">
        <v>12916</v>
      </c>
      <c r="AG2774" t="s">
        <v>9169</v>
      </c>
      <c r="AH2774">
        <v>-1.71</v>
      </c>
      <c r="AI2774">
        <v>-3.69</v>
      </c>
      <c r="AJ2774">
        <v>3</v>
      </c>
      <c r="AK2774">
        <v>7.31</v>
      </c>
      <c r="AL2774">
        <v>-3</v>
      </c>
      <c r="AM2774">
        <v>-0.52</v>
      </c>
      <c r="AN2774">
        <v>1.59</v>
      </c>
      <c r="AO2774">
        <v>1.41</v>
      </c>
      <c r="AP2774">
        <v>-8.89</v>
      </c>
    </row>
    <row r="2775" spans="1:42">
      <c r="A2775">
        <v>2774</v>
      </c>
      <c r="B2775" t="str">
        <f>"688676"</f>
        <v>688676</v>
      </c>
      <c r="C2775" t="s">
        <v>14634</v>
      </c>
      <c r="D2775">
        <v>31.5</v>
      </c>
      <c r="E2775">
        <v>-0.57</v>
      </c>
      <c r="F2775">
        <v>-0.18</v>
      </c>
      <c r="G2775" t="s">
        <v>10934</v>
      </c>
      <c r="H2775">
        <v>99</v>
      </c>
      <c r="I2775">
        <v>31.5</v>
      </c>
      <c r="J2775">
        <v>31.52</v>
      </c>
      <c r="K2775" t="s">
        <v>14635</v>
      </c>
      <c r="L2775">
        <v>1.01</v>
      </c>
      <c r="M2775" t="s">
        <v>46</v>
      </c>
      <c r="N2775" t="s">
        <v>14636</v>
      </c>
      <c r="O2775">
        <v>31.85</v>
      </c>
      <c r="P2775">
        <v>31.18</v>
      </c>
      <c r="Q2775">
        <v>31.85</v>
      </c>
      <c r="R2775">
        <v>31.68</v>
      </c>
      <c r="S2775">
        <v>2.11</v>
      </c>
      <c r="T2775">
        <v>0.62</v>
      </c>
      <c r="U2775">
        <v>62.34</v>
      </c>
      <c r="V2775">
        <v>159</v>
      </c>
      <c r="W2775">
        <v>31.49</v>
      </c>
      <c r="X2775">
        <v>9792</v>
      </c>
      <c r="Y2775">
        <v>9512</v>
      </c>
      <c r="Z2775">
        <v>1.03</v>
      </c>
      <c r="AA2775">
        <v>99</v>
      </c>
      <c r="AB2775">
        <v>10</v>
      </c>
      <c r="AC2775">
        <v>4.55</v>
      </c>
      <c r="AD2775" t="s">
        <v>14637</v>
      </c>
      <c r="AE2775" t="s">
        <v>6836</v>
      </c>
      <c r="AF2775" t="s">
        <v>4603</v>
      </c>
      <c r="AG2775" t="s">
        <v>14638</v>
      </c>
      <c r="AH2775">
        <v>-3.76</v>
      </c>
      <c r="AI2775">
        <v>-1.44</v>
      </c>
      <c r="AJ2775">
        <v>4.56</v>
      </c>
      <c r="AK2775">
        <v>9.07</v>
      </c>
      <c r="AL2775">
        <v>-4</v>
      </c>
      <c r="AM2775">
        <v>-0.57</v>
      </c>
      <c r="AN2775">
        <v>-12.33</v>
      </c>
      <c r="AO2775">
        <v>-2.51</v>
      </c>
      <c r="AP2775">
        <v>-12.89</v>
      </c>
    </row>
    <row r="2776" spans="1:42">
      <c r="A2776">
        <v>2775</v>
      </c>
      <c r="B2776" t="str">
        <f>"301486"</f>
        <v>301486</v>
      </c>
      <c r="C2776" t="s">
        <v>14639</v>
      </c>
      <c r="D2776">
        <v>45.31</v>
      </c>
      <c r="E2776">
        <v>0.69</v>
      </c>
      <c r="F2776">
        <v>0.31</v>
      </c>
      <c r="G2776" t="s">
        <v>1384</v>
      </c>
      <c r="H2776">
        <v>130</v>
      </c>
      <c r="I2776">
        <v>45.31</v>
      </c>
      <c r="J2776">
        <v>45.37</v>
      </c>
      <c r="K2776" t="s">
        <v>14640</v>
      </c>
      <c r="L2776">
        <v>4.41</v>
      </c>
      <c r="M2776" t="s">
        <v>46</v>
      </c>
      <c r="N2776" t="s">
        <v>3939</v>
      </c>
      <c r="O2776">
        <v>45.62</v>
      </c>
      <c r="P2776">
        <v>44.76</v>
      </c>
      <c r="Q2776">
        <v>45</v>
      </c>
      <c r="R2776">
        <v>45</v>
      </c>
      <c r="S2776">
        <v>1.91</v>
      </c>
      <c r="T2776">
        <v>0.89</v>
      </c>
      <c r="U2776">
        <v>36.36</v>
      </c>
      <c r="V2776">
        <v>88</v>
      </c>
      <c r="W2776">
        <v>45.14</v>
      </c>
      <c r="X2776">
        <v>7014</v>
      </c>
      <c r="Y2776">
        <v>6450</v>
      </c>
      <c r="Z2776">
        <v>1.09</v>
      </c>
      <c r="AA2776">
        <v>89</v>
      </c>
      <c r="AB2776">
        <v>2</v>
      </c>
      <c r="AC2776">
        <v>2.33</v>
      </c>
      <c r="AD2776" t="s">
        <v>14641</v>
      </c>
      <c r="AE2776" t="s">
        <v>58</v>
      </c>
      <c r="AF2776" t="s">
        <v>14642</v>
      </c>
      <c r="AG2776" t="s">
        <v>10876</v>
      </c>
      <c r="AH2776">
        <v>-2.05</v>
      </c>
      <c r="AI2776">
        <v>-3.14</v>
      </c>
      <c r="AJ2776">
        <v>13.76</v>
      </c>
      <c r="AK2776">
        <v>29.15</v>
      </c>
      <c r="AL2776">
        <v>1</v>
      </c>
      <c r="AM2776">
        <v>0.69</v>
      </c>
      <c r="AN2776">
        <v>-21.42</v>
      </c>
      <c r="AO2776">
        <v>0.13</v>
      </c>
      <c r="AP2776">
        <v>-21.42</v>
      </c>
    </row>
    <row r="2777" spans="1:42">
      <c r="A2777">
        <v>2776</v>
      </c>
      <c r="B2777" t="str">
        <f>"603315"</f>
        <v>603315</v>
      </c>
      <c r="C2777" t="s">
        <v>14643</v>
      </c>
      <c r="D2777">
        <v>12</v>
      </c>
      <c r="E2777">
        <v>1.01</v>
      </c>
      <c r="F2777">
        <v>0.12</v>
      </c>
      <c r="G2777" t="s">
        <v>4009</v>
      </c>
      <c r="H2777">
        <v>1433</v>
      </c>
      <c r="I2777">
        <v>11.99</v>
      </c>
      <c r="J2777">
        <v>12</v>
      </c>
      <c r="K2777" t="s">
        <v>14644</v>
      </c>
      <c r="L2777">
        <v>1.66</v>
      </c>
      <c r="M2777" t="s">
        <v>46</v>
      </c>
      <c r="N2777" t="s">
        <v>1365</v>
      </c>
      <c r="O2777">
        <v>12.06</v>
      </c>
      <c r="P2777">
        <v>11.72</v>
      </c>
      <c r="Q2777">
        <v>11.85</v>
      </c>
      <c r="R2777">
        <v>11.88</v>
      </c>
      <c r="S2777">
        <v>2.86</v>
      </c>
      <c r="T2777">
        <v>1.3</v>
      </c>
      <c r="U2777">
        <v>27.04</v>
      </c>
      <c r="V2777">
        <v>531</v>
      </c>
      <c r="W2777">
        <v>11.93</v>
      </c>
      <c r="X2777" t="s">
        <v>7028</v>
      </c>
      <c r="Y2777" t="s">
        <v>1710</v>
      </c>
      <c r="Z2777">
        <v>1.22</v>
      </c>
      <c r="AA2777">
        <v>137</v>
      </c>
      <c r="AB2777">
        <v>307</v>
      </c>
      <c r="AC2777">
        <v>2.47</v>
      </c>
      <c r="AD2777" t="s">
        <v>14645</v>
      </c>
      <c r="AE2777" t="s">
        <v>14646</v>
      </c>
      <c r="AF2777" t="s">
        <v>14645</v>
      </c>
      <c r="AG2777" t="s">
        <v>14646</v>
      </c>
      <c r="AH2777">
        <v>1.01</v>
      </c>
      <c r="AI2777">
        <v>0.76</v>
      </c>
      <c r="AJ2777">
        <v>4.35</v>
      </c>
      <c r="AK2777">
        <v>8.02</v>
      </c>
      <c r="AL2777">
        <v>1</v>
      </c>
      <c r="AM2777">
        <v>1.01</v>
      </c>
      <c r="AN2777">
        <v>-29.82</v>
      </c>
      <c r="AO2777">
        <v>10.29</v>
      </c>
      <c r="AP2777">
        <v>-31.9</v>
      </c>
    </row>
    <row r="2778" spans="1:42">
      <c r="A2778">
        <v>2777</v>
      </c>
      <c r="B2778" t="str">
        <f>"830946"</f>
        <v>830946</v>
      </c>
      <c r="C2778" t="s">
        <v>14647</v>
      </c>
      <c r="D2778">
        <v>8.92</v>
      </c>
      <c r="E2778">
        <v>-5.71</v>
      </c>
      <c r="F2778">
        <v>-0.54</v>
      </c>
      <c r="G2778" t="s">
        <v>7940</v>
      </c>
      <c r="H2778">
        <v>659</v>
      </c>
      <c r="I2778">
        <v>8.92</v>
      </c>
      <c r="J2778">
        <v>8.93</v>
      </c>
      <c r="K2778" t="s">
        <v>14648</v>
      </c>
      <c r="L2778">
        <v>1.54</v>
      </c>
      <c r="M2778" t="s">
        <v>46</v>
      </c>
      <c r="N2778" t="s">
        <v>6037</v>
      </c>
      <c r="O2778">
        <v>9.74</v>
      </c>
      <c r="P2778">
        <v>8.88</v>
      </c>
      <c r="Q2778">
        <v>9.41</v>
      </c>
      <c r="R2778">
        <v>9.46</v>
      </c>
      <c r="S2778">
        <v>9.09</v>
      </c>
      <c r="T2778">
        <v>0.42</v>
      </c>
      <c r="U2778">
        <v>17.98</v>
      </c>
      <c r="V2778">
        <v>295</v>
      </c>
      <c r="W2778">
        <v>9.26</v>
      </c>
      <c r="X2778" t="s">
        <v>777</v>
      </c>
      <c r="Y2778" t="s">
        <v>1335</v>
      </c>
      <c r="Z2778">
        <v>1.89</v>
      </c>
      <c r="AA2778">
        <v>170</v>
      </c>
      <c r="AB2778">
        <v>40</v>
      </c>
      <c r="AC2778">
        <v>3.44</v>
      </c>
      <c r="AD2778" t="s">
        <v>14649</v>
      </c>
      <c r="AE2778" t="s">
        <v>14650</v>
      </c>
      <c r="AF2778" t="s">
        <v>14651</v>
      </c>
      <c r="AG2778" t="s">
        <v>6978</v>
      </c>
      <c r="AH2778">
        <v>-13.73</v>
      </c>
      <c r="AI2778">
        <v>-0.89</v>
      </c>
      <c r="AJ2778">
        <v>6.48</v>
      </c>
      <c r="AK2778">
        <v>20.05</v>
      </c>
      <c r="AL2778">
        <v>-1</v>
      </c>
      <c r="AM2778">
        <v>-5.71</v>
      </c>
      <c r="AN2778">
        <v>1.59</v>
      </c>
      <c r="AO2778">
        <v>28.72</v>
      </c>
      <c r="AP2778">
        <v>-19.78</v>
      </c>
    </row>
    <row r="2779" spans="1:42">
      <c r="A2779">
        <v>2778</v>
      </c>
      <c r="B2779" t="str">
        <f>"300035"</f>
        <v>300035</v>
      </c>
      <c r="C2779" t="s">
        <v>14652</v>
      </c>
      <c r="D2779">
        <v>11.24</v>
      </c>
      <c r="E2779">
        <v>-0.09</v>
      </c>
      <c r="F2779">
        <v>-0.01</v>
      </c>
      <c r="G2779" t="s">
        <v>2984</v>
      </c>
      <c r="H2779">
        <v>228</v>
      </c>
      <c r="I2779">
        <v>11.23</v>
      </c>
      <c r="J2779">
        <v>11.24</v>
      </c>
      <c r="K2779" t="s">
        <v>14653</v>
      </c>
      <c r="L2779">
        <v>0.87</v>
      </c>
      <c r="M2779" t="s">
        <v>46</v>
      </c>
      <c r="N2779" t="s">
        <v>4490</v>
      </c>
      <c r="O2779">
        <v>11.3</v>
      </c>
      <c r="P2779">
        <v>11.09</v>
      </c>
      <c r="Q2779">
        <v>11.25</v>
      </c>
      <c r="R2779">
        <v>11.25</v>
      </c>
      <c r="S2779">
        <v>1.87</v>
      </c>
      <c r="T2779">
        <v>0.89</v>
      </c>
      <c r="U2779">
        <v>5.85</v>
      </c>
      <c r="V2779">
        <v>116</v>
      </c>
      <c r="W2779">
        <v>11.19</v>
      </c>
      <c r="X2779" t="s">
        <v>4914</v>
      </c>
      <c r="Y2779" t="s">
        <v>5710</v>
      </c>
      <c r="Z2779">
        <v>1.33</v>
      </c>
      <c r="AA2779">
        <v>165</v>
      </c>
      <c r="AB2779">
        <v>158</v>
      </c>
      <c r="AC2779">
        <v>1.72</v>
      </c>
      <c r="AD2779" t="s">
        <v>860</v>
      </c>
      <c r="AE2779" t="s">
        <v>14654</v>
      </c>
      <c r="AF2779" t="s">
        <v>14655</v>
      </c>
      <c r="AG2779" t="s">
        <v>14656</v>
      </c>
      <c r="AH2779">
        <v>-0.79</v>
      </c>
      <c r="AI2779">
        <v>-2.43</v>
      </c>
      <c r="AJ2779">
        <v>2.83</v>
      </c>
      <c r="AK2779">
        <v>5.77</v>
      </c>
      <c r="AL2779">
        <v>-3</v>
      </c>
      <c r="AM2779">
        <v>-0.09</v>
      </c>
      <c r="AN2779">
        <v>-44.98</v>
      </c>
      <c r="AO2779">
        <v>3.79</v>
      </c>
      <c r="AP2779">
        <v>-42.8</v>
      </c>
    </row>
    <row r="2780" spans="1:42">
      <c r="A2780">
        <v>2779</v>
      </c>
      <c r="B2780" t="str">
        <f>"002159"</f>
        <v>002159</v>
      </c>
      <c r="C2780" t="s">
        <v>14657</v>
      </c>
      <c r="D2780">
        <v>15.75</v>
      </c>
      <c r="E2780">
        <v>-0.88</v>
      </c>
      <c r="F2780">
        <v>-0.14</v>
      </c>
      <c r="G2780" t="s">
        <v>8166</v>
      </c>
      <c r="H2780">
        <v>255</v>
      </c>
      <c r="I2780">
        <v>15.75</v>
      </c>
      <c r="J2780">
        <v>15.76</v>
      </c>
      <c r="K2780" t="s">
        <v>14653</v>
      </c>
      <c r="L2780">
        <v>2.77</v>
      </c>
      <c r="M2780" t="s">
        <v>46</v>
      </c>
      <c r="N2780" t="s">
        <v>2441</v>
      </c>
      <c r="O2780">
        <v>16.1</v>
      </c>
      <c r="P2780">
        <v>15.72</v>
      </c>
      <c r="Q2780">
        <v>15.9</v>
      </c>
      <c r="R2780">
        <v>15.89</v>
      </c>
      <c r="S2780">
        <v>2.39</v>
      </c>
      <c r="T2780">
        <v>0.74</v>
      </c>
      <c r="U2780">
        <v>19.2</v>
      </c>
      <c r="V2780">
        <v>67</v>
      </c>
      <c r="W2780">
        <v>15.89</v>
      </c>
      <c r="X2780" t="s">
        <v>2575</v>
      </c>
      <c r="Y2780" t="s">
        <v>8073</v>
      </c>
      <c r="Z2780">
        <v>0.85</v>
      </c>
      <c r="AA2780">
        <v>82</v>
      </c>
      <c r="AB2780">
        <v>7</v>
      </c>
      <c r="AC2780">
        <v>2.21</v>
      </c>
      <c r="AD2780" t="s">
        <v>14658</v>
      </c>
      <c r="AE2780" t="s">
        <v>6758</v>
      </c>
      <c r="AF2780" t="s">
        <v>9812</v>
      </c>
      <c r="AG2780" t="s">
        <v>4538</v>
      </c>
      <c r="AH2780">
        <v>0.77</v>
      </c>
      <c r="AI2780">
        <v>-1.07</v>
      </c>
      <c r="AJ2780">
        <v>8.08</v>
      </c>
      <c r="AK2780">
        <v>21.4</v>
      </c>
      <c r="AL2780">
        <v>-1</v>
      </c>
      <c r="AM2780">
        <v>-0.88</v>
      </c>
      <c r="AN2780">
        <v>-10</v>
      </c>
      <c r="AO2780">
        <v>5.21</v>
      </c>
      <c r="AP2780">
        <v>23.34</v>
      </c>
    </row>
    <row r="2781" spans="1:42">
      <c r="A2781">
        <v>2780</v>
      </c>
      <c r="B2781" t="str">
        <f>"688392"</f>
        <v>688392</v>
      </c>
      <c r="C2781" t="s">
        <v>14659</v>
      </c>
      <c r="D2781">
        <v>87.72</v>
      </c>
      <c r="E2781">
        <v>-0.71</v>
      </c>
      <c r="F2781">
        <v>-0.63</v>
      </c>
      <c r="G2781">
        <v>6973</v>
      </c>
      <c r="H2781">
        <v>86</v>
      </c>
      <c r="I2781">
        <v>87.39</v>
      </c>
      <c r="J2781">
        <v>87.72</v>
      </c>
      <c r="K2781" t="s">
        <v>14660</v>
      </c>
      <c r="L2781">
        <v>1.49</v>
      </c>
      <c r="M2781" t="s">
        <v>46</v>
      </c>
      <c r="N2781" t="s">
        <v>3156</v>
      </c>
      <c r="O2781">
        <v>88.8</v>
      </c>
      <c r="P2781">
        <v>86.15</v>
      </c>
      <c r="Q2781">
        <v>88.06</v>
      </c>
      <c r="R2781">
        <v>88.35</v>
      </c>
      <c r="S2781">
        <v>3</v>
      </c>
      <c r="T2781">
        <v>0.91</v>
      </c>
      <c r="U2781">
        <v>22.4</v>
      </c>
      <c r="V2781">
        <v>20</v>
      </c>
      <c r="W2781">
        <v>87.02</v>
      </c>
      <c r="X2781">
        <v>3969</v>
      </c>
      <c r="Y2781">
        <v>3004</v>
      </c>
      <c r="Z2781">
        <v>1.32</v>
      </c>
      <c r="AA2781">
        <v>30</v>
      </c>
      <c r="AB2781">
        <v>2</v>
      </c>
      <c r="AC2781">
        <v>5.72</v>
      </c>
      <c r="AD2781" t="s">
        <v>10126</v>
      </c>
      <c r="AE2781" t="s">
        <v>3439</v>
      </c>
      <c r="AF2781" t="s">
        <v>14661</v>
      </c>
      <c r="AG2781" t="s">
        <v>6799</v>
      </c>
      <c r="AH2781">
        <v>0.24</v>
      </c>
      <c r="AI2781">
        <v>-1.66</v>
      </c>
      <c r="AJ2781">
        <v>4.96</v>
      </c>
      <c r="AK2781">
        <v>9.65</v>
      </c>
      <c r="AL2781">
        <v>-2</v>
      </c>
      <c r="AM2781">
        <v>-0.71</v>
      </c>
      <c r="AN2781">
        <v>-14.54</v>
      </c>
      <c r="AO2781">
        <v>10.15</v>
      </c>
      <c r="AP2781">
        <v>-28.62</v>
      </c>
    </row>
    <row r="2782" spans="1:42">
      <c r="A2782">
        <v>2781</v>
      </c>
      <c r="B2782" t="str">
        <f>"600675"</f>
        <v>600675</v>
      </c>
      <c r="C2782" t="s">
        <v>14662</v>
      </c>
      <c r="D2782">
        <v>3.32</v>
      </c>
      <c r="E2782">
        <v>2.15</v>
      </c>
      <c r="F2782">
        <v>0.07</v>
      </c>
      <c r="G2782" t="s">
        <v>1402</v>
      </c>
      <c r="H2782">
        <v>1058</v>
      </c>
      <c r="I2782">
        <v>3.32</v>
      </c>
      <c r="J2782">
        <v>3.33</v>
      </c>
      <c r="K2782" t="s">
        <v>14663</v>
      </c>
      <c r="L2782">
        <v>0.3</v>
      </c>
      <c r="M2782" t="s">
        <v>46</v>
      </c>
      <c r="N2782" t="s">
        <v>5329</v>
      </c>
      <c r="O2782">
        <v>3.34</v>
      </c>
      <c r="P2782">
        <v>3.26</v>
      </c>
      <c r="Q2782">
        <v>3.27</v>
      </c>
      <c r="R2782">
        <v>3.25</v>
      </c>
      <c r="S2782">
        <v>2.46</v>
      </c>
      <c r="T2782">
        <v>0.85</v>
      </c>
      <c r="U2782">
        <v>-13.79</v>
      </c>
      <c r="V2782">
        <v>-3330</v>
      </c>
      <c r="W2782">
        <v>3.31</v>
      </c>
      <c r="X2782" t="s">
        <v>7395</v>
      </c>
      <c r="Y2782" t="s">
        <v>881</v>
      </c>
      <c r="Z2782">
        <v>0.74</v>
      </c>
      <c r="AA2782">
        <v>4184</v>
      </c>
      <c r="AB2782">
        <v>787</v>
      </c>
      <c r="AC2782">
        <v>1.34</v>
      </c>
      <c r="AD2782" t="s">
        <v>14664</v>
      </c>
      <c r="AE2782" t="s">
        <v>4643</v>
      </c>
      <c r="AF2782" t="s">
        <v>14664</v>
      </c>
      <c r="AG2782" t="s">
        <v>4643</v>
      </c>
      <c r="AH2782">
        <v>-3.49</v>
      </c>
      <c r="AI2782">
        <v>-6.74</v>
      </c>
      <c r="AJ2782">
        <v>1.06</v>
      </c>
      <c r="AK2782">
        <v>2.07</v>
      </c>
      <c r="AL2782">
        <v>1</v>
      </c>
      <c r="AM2782">
        <v>2.15</v>
      </c>
      <c r="AN2782">
        <v>7.79</v>
      </c>
      <c r="AO2782">
        <v>-0.3</v>
      </c>
      <c r="AP2782">
        <v>25.76</v>
      </c>
    </row>
    <row r="2783" spans="1:42">
      <c r="A2783">
        <v>2782</v>
      </c>
      <c r="B2783" t="str">
        <f>"688150"</f>
        <v>688150</v>
      </c>
      <c r="C2783" t="s">
        <v>14665</v>
      </c>
      <c r="D2783">
        <v>23.74</v>
      </c>
      <c r="E2783">
        <v>0.04</v>
      </c>
      <c r="F2783">
        <v>0.01</v>
      </c>
      <c r="G2783" t="s">
        <v>6954</v>
      </c>
      <c r="H2783">
        <v>152</v>
      </c>
      <c r="I2783">
        <v>23.71</v>
      </c>
      <c r="J2783">
        <v>23.74</v>
      </c>
      <c r="K2783" t="s">
        <v>14666</v>
      </c>
      <c r="L2783">
        <v>1.45</v>
      </c>
      <c r="M2783" t="s">
        <v>46</v>
      </c>
      <c r="N2783" t="s">
        <v>4095</v>
      </c>
      <c r="O2783">
        <v>23.97</v>
      </c>
      <c r="P2783">
        <v>23.2</v>
      </c>
      <c r="Q2783">
        <v>23.59</v>
      </c>
      <c r="R2783">
        <v>23.73</v>
      </c>
      <c r="S2783">
        <v>3.24</v>
      </c>
      <c r="T2783">
        <v>0.45</v>
      </c>
      <c r="U2783">
        <v>42.63</v>
      </c>
      <c r="V2783">
        <v>73</v>
      </c>
      <c r="W2783">
        <v>23.57</v>
      </c>
      <c r="X2783" t="s">
        <v>5446</v>
      </c>
      <c r="Y2783" t="s">
        <v>189</v>
      </c>
      <c r="Z2783">
        <v>1.2</v>
      </c>
      <c r="AA2783">
        <v>2</v>
      </c>
      <c r="AB2783">
        <v>1</v>
      </c>
      <c r="AC2783">
        <v>5.7</v>
      </c>
      <c r="AD2783" t="s">
        <v>1349</v>
      </c>
      <c r="AE2783" t="s">
        <v>14667</v>
      </c>
      <c r="AF2783" t="s">
        <v>14668</v>
      </c>
      <c r="AG2783" t="s">
        <v>4990</v>
      </c>
      <c r="AH2783">
        <v>-3.18</v>
      </c>
      <c r="AI2783">
        <v>9.35</v>
      </c>
      <c r="AJ2783">
        <v>6.69</v>
      </c>
      <c r="AK2783">
        <v>17.56</v>
      </c>
      <c r="AL2783">
        <v>1</v>
      </c>
      <c r="AM2783">
        <v>0.04</v>
      </c>
      <c r="AN2783">
        <v>23.32</v>
      </c>
      <c r="AO2783">
        <v>18.7</v>
      </c>
      <c r="AP2783">
        <v>2.77</v>
      </c>
    </row>
    <row r="2784" spans="1:42">
      <c r="A2784">
        <v>2783</v>
      </c>
      <c r="B2784" t="str">
        <f>"688589"</f>
        <v>688589</v>
      </c>
      <c r="C2784" t="s">
        <v>14669</v>
      </c>
      <c r="D2784">
        <v>40.3</v>
      </c>
      <c r="E2784">
        <v>-0.2</v>
      </c>
      <c r="F2784">
        <v>-0.08</v>
      </c>
      <c r="G2784" t="s">
        <v>2371</v>
      </c>
      <c r="H2784">
        <v>163</v>
      </c>
      <c r="I2784">
        <v>40.3</v>
      </c>
      <c r="J2784">
        <v>40.35</v>
      </c>
      <c r="K2784" t="s">
        <v>14670</v>
      </c>
      <c r="L2784">
        <v>1.5</v>
      </c>
      <c r="M2784" t="s">
        <v>46</v>
      </c>
      <c r="N2784" t="s">
        <v>3208</v>
      </c>
      <c r="O2784">
        <v>40.55</v>
      </c>
      <c r="P2784">
        <v>39.5</v>
      </c>
      <c r="Q2784">
        <v>40.28</v>
      </c>
      <c r="R2784">
        <v>40.38</v>
      </c>
      <c r="S2784">
        <v>2.6</v>
      </c>
      <c r="T2784">
        <v>1.03</v>
      </c>
      <c r="U2784">
        <v>39.29</v>
      </c>
      <c r="V2784">
        <v>57</v>
      </c>
      <c r="W2784">
        <v>40.01</v>
      </c>
      <c r="X2784">
        <v>8342</v>
      </c>
      <c r="Y2784">
        <v>6791</v>
      </c>
      <c r="Z2784">
        <v>1.23</v>
      </c>
      <c r="AA2784">
        <v>3</v>
      </c>
      <c r="AB2784">
        <v>3</v>
      </c>
      <c r="AC2784">
        <v>4.57</v>
      </c>
      <c r="AD2784" t="s">
        <v>13082</v>
      </c>
      <c r="AE2784" t="s">
        <v>11193</v>
      </c>
      <c r="AF2784" t="s">
        <v>13082</v>
      </c>
      <c r="AG2784" t="s">
        <v>11193</v>
      </c>
      <c r="AH2784">
        <v>-1.3</v>
      </c>
      <c r="AI2784">
        <v>-1.23</v>
      </c>
      <c r="AJ2784">
        <v>4.33</v>
      </c>
      <c r="AK2784">
        <v>8.8</v>
      </c>
      <c r="AL2784">
        <v>-2</v>
      </c>
      <c r="AM2784">
        <v>-0.2</v>
      </c>
      <c r="AN2784">
        <v>20.05</v>
      </c>
      <c r="AO2784">
        <v>-3.43</v>
      </c>
      <c r="AP2784">
        <v>5.69</v>
      </c>
    </row>
    <row r="2785" spans="1:42">
      <c r="A2785">
        <v>2784</v>
      </c>
      <c r="B2785" t="str">
        <f>"605338"</f>
        <v>605338</v>
      </c>
      <c r="C2785" t="s">
        <v>14671</v>
      </c>
      <c r="D2785">
        <v>23.65</v>
      </c>
      <c r="E2785">
        <v>0.6</v>
      </c>
      <c r="F2785">
        <v>0.14</v>
      </c>
      <c r="G2785" t="s">
        <v>4422</v>
      </c>
      <c r="H2785">
        <v>74</v>
      </c>
      <c r="I2785">
        <v>23.64</v>
      </c>
      <c r="J2785">
        <v>23.65</v>
      </c>
      <c r="K2785" t="s">
        <v>14672</v>
      </c>
      <c r="L2785">
        <v>1.03</v>
      </c>
      <c r="M2785" t="s">
        <v>46</v>
      </c>
      <c r="N2785" t="s">
        <v>517</v>
      </c>
      <c r="O2785">
        <v>23.83</v>
      </c>
      <c r="P2785">
        <v>23.3</v>
      </c>
      <c r="Q2785">
        <v>23.35</v>
      </c>
      <c r="R2785">
        <v>23.51</v>
      </c>
      <c r="S2785">
        <v>2.25</v>
      </c>
      <c r="T2785">
        <v>2.33</v>
      </c>
      <c r="U2785">
        <v>33.72</v>
      </c>
      <c r="V2785">
        <v>115</v>
      </c>
      <c r="W2785">
        <v>23.62</v>
      </c>
      <c r="X2785" t="s">
        <v>3793</v>
      </c>
      <c r="Y2785" t="s">
        <v>218</v>
      </c>
      <c r="Z2785">
        <v>1.41</v>
      </c>
      <c r="AA2785">
        <v>137</v>
      </c>
      <c r="AB2785">
        <v>60</v>
      </c>
      <c r="AC2785">
        <v>2.75</v>
      </c>
      <c r="AD2785" t="s">
        <v>14673</v>
      </c>
      <c r="AE2785" t="s">
        <v>14674</v>
      </c>
      <c r="AF2785" t="s">
        <v>14675</v>
      </c>
      <c r="AG2785" t="s">
        <v>14676</v>
      </c>
      <c r="AH2785">
        <v>1.76</v>
      </c>
      <c r="AI2785">
        <v>0.68</v>
      </c>
      <c r="AJ2785">
        <v>1.89</v>
      </c>
      <c r="AK2785">
        <v>3.26</v>
      </c>
      <c r="AL2785">
        <v>4</v>
      </c>
      <c r="AM2785">
        <v>0.6</v>
      </c>
      <c r="AN2785">
        <v>-24.71</v>
      </c>
      <c r="AO2785">
        <v>4.23</v>
      </c>
      <c r="AP2785">
        <v>-10.55</v>
      </c>
    </row>
    <row r="2786" spans="1:42">
      <c r="A2786">
        <v>2785</v>
      </c>
      <c r="B2786" t="str">
        <f>"002985"</f>
        <v>002985</v>
      </c>
      <c r="C2786" t="s">
        <v>14677</v>
      </c>
      <c r="D2786">
        <v>36.9</v>
      </c>
      <c r="E2786">
        <v>1.21</v>
      </c>
      <c r="F2786">
        <v>0.44</v>
      </c>
      <c r="G2786" t="s">
        <v>8137</v>
      </c>
      <c r="H2786">
        <v>196</v>
      </c>
      <c r="I2786">
        <v>36.89</v>
      </c>
      <c r="J2786">
        <v>36.9</v>
      </c>
      <c r="K2786" t="s">
        <v>14678</v>
      </c>
      <c r="L2786">
        <v>0.79</v>
      </c>
      <c r="M2786" t="s">
        <v>46</v>
      </c>
      <c r="N2786" t="s">
        <v>1744</v>
      </c>
      <c r="O2786">
        <v>37.13</v>
      </c>
      <c r="P2786">
        <v>36.2</v>
      </c>
      <c r="Q2786">
        <v>36.36</v>
      </c>
      <c r="R2786">
        <v>36.46</v>
      </c>
      <c r="S2786">
        <v>2.55</v>
      </c>
      <c r="T2786">
        <v>0.94</v>
      </c>
      <c r="U2786">
        <v>-40.84</v>
      </c>
      <c r="V2786">
        <v>-72</v>
      </c>
      <c r="W2786">
        <v>36.65</v>
      </c>
      <c r="X2786">
        <v>7992</v>
      </c>
      <c r="Y2786">
        <v>8511</v>
      </c>
      <c r="Z2786">
        <v>0.94</v>
      </c>
      <c r="AA2786">
        <v>10</v>
      </c>
      <c r="AB2786">
        <v>9</v>
      </c>
      <c r="AC2786">
        <v>3.7</v>
      </c>
      <c r="AD2786" t="s">
        <v>3113</v>
      </c>
      <c r="AE2786" t="s">
        <v>9926</v>
      </c>
      <c r="AF2786" t="s">
        <v>14679</v>
      </c>
      <c r="AG2786" t="s">
        <v>14680</v>
      </c>
      <c r="AH2786">
        <v>0.52</v>
      </c>
      <c r="AI2786">
        <v>-2.38</v>
      </c>
      <c r="AJ2786">
        <v>2.34</v>
      </c>
      <c r="AK2786">
        <v>4.96</v>
      </c>
      <c r="AL2786">
        <v>1</v>
      </c>
      <c r="AM2786">
        <v>1.21</v>
      </c>
      <c r="AN2786">
        <v>-18.18</v>
      </c>
      <c r="AO2786">
        <v>5.37</v>
      </c>
      <c r="AP2786">
        <v>-23.41</v>
      </c>
    </row>
    <row r="2787" spans="1:42">
      <c r="A2787">
        <v>2786</v>
      </c>
      <c r="B2787" t="str">
        <f>"600469"</f>
        <v>600469</v>
      </c>
      <c r="C2787" t="s">
        <v>14681</v>
      </c>
      <c r="D2787">
        <v>6.15</v>
      </c>
      <c r="E2787">
        <v>0.65</v>
      </c>
      <c r="F2787">
        <v>0.04</v>
      </c>
      <c r="G2787" t="s">
        <v>6550</v>
      </c>
      <c r="H2787">
        <v>559</v>
      </c>
      <c r="I2787">
        <v>6.14</v>
      </c>
      <c r="J2787">
        <v>6.15</v>
      </c>
      <c r="K2787" t="s">
        <v>14149</v>
      </c>
      <c r="L2787">
        <v>1.36</v>
      </c>
      <c r="M2787" t="s">
        <v>46</v>
      </c>
      <c r="N2787" t="s">
        <v>14682</v>
      </c>
      <c r="O2787">
        <v>6.18</v>
      </c>
      <c r="P2787">
        <v>5.97</v>
      </c>
      <c r="Q2787">
        <v>6.11</v>
      </c>
      <c r="R2787">
        <v>6.11</v>
      </c>
      <c r="S2787">
        <v>3.44</v>
      </c>
      <c r="T2787">
        <v>1.11</v>
      </c>
      <c r="U2787">
        <v>-9.53</v>
      </c>
      <c r="V2787">
        <v>-402</v>
      </c>
      <c r="W2787">
        <v>6.1</v>
      </c>
      <c r="X2787" t="s">
        <v>3304</v>
      </c>
      <c r="Y2787" t="s">
        <v>6237</v>
      </c>
      <c r="Z2787">
        <v>0.85</v>
      </c>
      <c r="AA2787">
        <v>34</v>
      </c>
      <c r="AB2787">
        <v>742</v>
      </c>
      <c r="AC2787">
        <v>1.4</v>
      </c>
      <c r="AD2787" t="s">
        <v>14683</v>
      </c>
      <c r="AE2787" t="s">
        <v>14684</v>
      </c>
      <c r="AF2787" t="s">
        <v>14683</v>
      </c>
      <c r="AG2787" t="s">
        <v>14684</v>
      </c>
      <c r="AH2787">
        <v>-1.13</v>
      </c>
      <c r="AI2787">
        <v>0.82</v>
      </c>
      <c r="AJ2787">
        <v>3.81</v>
      </c>
      <c r="AK2787">
        <v>7.49</v>
      </c>
      <c r="AL2787">
        <v>1</v>
      </c>
      <c r="AM2787">
        <v>0.65</v>
      </c>
      <c r="AN2787">
        <v>32.54</v>
      </c>
      <c r="AO2787">
        <v>5.67</v>
      </c>
      <c r="AP2787">
        <v>18.73</v>
      </c>
    </row>
    <row r="2788" spans="1:42">
      <c r="A2788">
        <v>2787</v>
      </c>
      <c r="B2788" t="str">
        <f>"002632"</f>
        <v>002632</v>
      </c>
      <c r="C2788" t="s">
        <v>14685</v>
      </c>
      <c r="D2788">
        <v>7.59</v>
      </c>
      <c r="E2788">
        <v>-0.13</v>
      </c>
      <c r="F2788">
        <v>-0.01</v>
      </c>
      <c r="G2788" t="s">
        <v>11500</v>
      </c>
      <c r="H2788">
        <v>1875</v>
      </c>
      <c r="I2788">
        <v>7.59</v>
      </c>
      <c r="J2788">
        <v>7.6</v>
      </c>
      <c r="K2788" t="s">
        <v>14686</v>
      </c>
      <c r="L2788">
        <v>1.37</v>
      </c>
      <c r="M2788" t="s">
        <v>46</v>
      </c>
      <c r="N2788" t="s">
        <v>10518</v>
      </c>
      <c r="O2788">
        <v>7.65</v>
      </c>
      <c r="P2788">
        <v>7.52</v>
      </c>
      <c r="Q2788">
        <v>7.59</v>
      </c>
      <c r="R2788">
        <v>7.6</v>
      </c>
      <c r="S2788">
        <v>1.71</v>
      </c>
      <c r="T2788">
        <v>0.55</v>
      </c>
      <c r="U2788">
        <v>-14.22</v>
      </c>
      <c r="V2788">
        <v>-602</v>
      </c>
      <c r="W2788">
        <v>7.58</v>
      </c>
      <c r="X2788" t="s">
        <v>459</v>
      </c>
      <c r="Y2788" t="s">
        <v>6314</v>
      </c>
      <c r="Z2788">
        <v>1.2</v>
      </c>
      <c r="AA2788">
        <v>66</v>
      </c>
      <c r="AB2788">
        <v>392</v>
      </c>
      <c r="AC2788">
        <v>2.16</v>
      </c>
      <c r="AD2788" t="s">
        <v>14687</v>
      </c>
      <c r="AE2788" t="s">
        <v>14688</v>
      </c>
      <c r="AF2788" t="s">
        <v>12573</v>
      </c>
      <c r="AG2788" t="s">
        <v>11721</v>
      </c>
      <c r="AH2788">
        <v>-1.43</v>
      </c>
      <c r="AI2788">
        <v>0.8</v>
      </c>
      <c r="AJ2788">
        <v>5.57</v>
      </c>
      <c r="AK2788">
        <v>13.78</v>
      </c>
      <c r="AL2788">
        <v>-2</v>
      </c>
      <c r="AM2788">
        <v>-0.13</v>
      </c>
      <c r="AN2788">
        <v>27.99</v>
      </c>
      <c r="AO2788">
        <v>6.75</v>
      </c>
      <c r="AP2788">
        <v>19.72</v>
      </c>
    </row>
    <row r="2789" spans="1:42">
      <c r="A2789">
        <v>2788</v>
      </c>
      <c r="B2789" t="str">
        <f>"832662"</f>
        <v>832662</v>
      </c>
      <c r="C2789" t="s">
        <v>14689</v>
      </c>
      <c r="D2789">
        <v>11.71</v>
      </c>
      <c r="E2789">
        <v>-10.54</v>
      </c>
      <c r="F2789">
        <v>-1.38</v>
      </c>
      <c r="G2789" t="s">
        <v>4988</v>
      </c>
      <c r="H2789">
        <v>248</v>
      </c>
      <c r="I2789">
        <v>11.71</v>
      </c>
      <c r="J2789">
        <v>11.75</v>
      </c>
      <c r="K2789" t="s">
        <v>14690</v>
      </c>
      <c r="L2789">
        <v>20.02</v>
      </c>
      <c r="M2789" t="s">
        <v>46</v>
      </c>
      <c r="N2789" t="s">
        <v>5382</v>
      </c>
      <c r="O2789">
        <v>13.25</v>
      </c>
      <c r="P2789">
        <v>11.66</v>
      </c>
      <c r="Q2789">
        <v>13.24</v>
      </c>
      <c r="R2789">
        <v>13.09</v>
      </c>
      <c r="S2789">
        <v>12.15</v>
      </c>
      <c r="T2789">
        <v>0.57</v>
      </c>
      <c r="U2789">
        <v>12.17</v>
      </c>
      <c r="V2789">
        <v>110</v>
      </c>
      <c r="W2789">
        <v>12.47</v>
      </c>
      <c r="X2789" t="s">
        <v>2628</v>
      </c>
      <c r="Y2789" t="s">
        <v>1456</v>
      </c>
      <c r="Z2789">
        <v>1.82</v>
      </c>
      <c r="AA2789">
        <v>78</v>
      </c>
      <c r="AB2789">
        <v>30</v>
      </c>
      <c r="AC2789">
        <v>2.35</v>
      </c>
      <c r="AD2789" t="s">
        <v>14691</v>
      </c>
      <c r="AE2789" t="s">
        <v>608</v>
      </c>
      <c r="AF2789" t="s">
        <v>14692</v>
      </c>
      <c r="AG2789" t="s">
        <v>14693</v>
      </c>
      <c r="AH2789">
        <v>-16</v>
      </c>
      <c r="AI2789">
        <v>9.44</v>
      </c>
      <c r="AJ2789">
        <v>97.32</v>
      </c>
      <c r="AK2789">
        <v>194.75</v>
      </c>
      <c r="AL2789">
        <v>-2</v>
      </c>
      <c r="AM2789">
        <v>-10.54</v>
      </c>
      <c r="AN2789">
        <v>79.33</v>
      </c>
      <c r="AO2789">
        <v>46.38</v>
      </c>
      <c r="AP2789">
        <v>92.92</v>
      </c>
    </row>
    <row r="2790" spans="1:42">
      <c r="A2790">
        <v>2789</v>
      </c>
      <c r="B2790" t="str">
        <f>"688222"</f>
        <v>688222</v>
      </c>
      <c r="C2790" t="s">
        <v>14694</v>
      </c>
      <c r="D2790">
        <v>16.7</v>
      </c>
      <c r="E2790">
        <v>1.4</v>
      </c>
      <c r="F2790">
        <v>0.23</v>
      </c>
      <c r="G2790" t="s">
        <v>1899</v>
      </c>
      <c r="H2790">
        <v>1864</v>
      </c>
      <c r="I2790">
        <v>16.7</v>
      </c>
      <c r="J2790">
        <v>16.71</v>
      </c>
      <c r="K2790" t="s">
        <v>14690</v>
      </c>
      <c r="L2790">
        <v>0.91</v>
      </c>
      <c r="M2790" t="s">
        <v>46</v>
      </c>
      <c r="N2790" t="s">
        <v>5854</v>
      </c>
      <c r="O2790">
        <v>16.79</v>
      </c>
      <c r="P2790">
        <v>16.35</v>
      </c>
      <c r="Q2790">
        <v>16.43</v>
      </c>
      <c r="R2790">
        <v>16.47</v>
      </c>
      <c r="S2790">
        <v>2.67</v>
      </c>
      <c r="T2790">
        <v>1.09</v>
      </c>
      <c r="U2790">
        <v>40.63</v>
      </c>
      <c r="V2790">
        <v>435</v>
      </c>
      <c r="W2790">
        <v>16.6</v>
      </c>
      <c r="X2790" t="s">
        <v>2575</v>
      </c>
      <c r="Y2790" t="s">
        <v>5578</v>
      </c>
      <c r="Z2790">
        <v>0.93</v>
      </c>
      <c r="AA2790">
        <v>360</v>
      </c>
      <c r="AB2790">
        <v>56</v>
      </c>
      <c r="AC2790">
        <v>5.02</v>
      </c>
      <c r="AD2790" t="s">
        <v>14695</v>
      </c>
      <c r="AE2790" t="s">
        <v>10775</v>
      </c>
      <c r="AF2790" t="s">
        <v>14695</v>
      </c>
      <c r="AG2790" t="s">
        <v>10775</v>
      </c>
      <c r="AH2790">
        <v>0.24</v>
      </c>
      <c r="AI2790">
        <v>1.03</v>
      </c>
      <c r="AJ2790">
        <v>2.32</v>
      </c>
      <c r="AK2790">
        <v>5.07</v>
      </c>
      <c r="AL2790">
        <v>2</v>
      </c>
      <c r="AM2790">
        <v>1.4</v>
      </c>
      <c r="AN2790">
        <v>23.89</v>
      </c>
      <c r="AO2790">
        <v>6.64</v>
      </c>
      <c r="AP2790">
        <v>4.57</v>
      </c>
    </row>
    <row r="2791" spans="1:42">
      <c r="A2791">
        <v>2790</v>
      </c>
      <c r="B2791" t="str">
        <f>"002907"</f>
        <v>002907</v>
      </c>
      <c r="C2791" t="s">
        <v>14696</v>
      </c>
      <c r="D2791">
        <v>16.62</v>
      </c>
      <c r="E2791">
        <v>-0.95</v>
      </c>
      <c r="F2791">
        <v>-0.16</v>
      </c>
      <c r="G2791" t="s">
        <v>6314</v>
      </c>
      <c r="H2791">
        <v>626</v>
      </c>
      <c r="I2791">
        <v>16.62</v>
      </c>
      <c r="J2791">
        <v>16.63</v>
      </c>
      <c r="K2791" t="s">
        <v>14697</v>
      </c>
      <c r="L2791">
        <v>1.17</v>
      </c>
      <c r="M2791" t="s">
        <v>46</v>
      </c>
      <c r="N2791" t="s">
        <v>7945</v>
      </c>
      <c r="O2791">
        <v>16.91</v>
      </c>
      <c r="P2791">
        <v>16.52</v>
      </c>
      <c r="Q2791">
        <v>16.81</v>
      </c>
      <c r="R2791">
        <v>16.78</v>
      </c>
      <c r="S2791">
        <v>2.32</v>
      </c>
      <c r="T2791">
        <v>0.46</v>
      </c>
      <c r="U2791">
        <v>14.39</v>
      </c>
      <c r="V2791">
        <v>206</v>
      </c>
      <c r="W2791">
        <v>16.69</v>
      </c>
      <c r="X2791" t="s">
        <v>985</v>
      </c>
      <c r="Y2791" t="s">
        <v>4977</v>
      </c>
      <c r="Z2791">
        <v>1.28</v>
      </c>
      <c r="AA2791">
        <v>114</v>
      </c>
      <c r="AB2791">
        <v>250</v>
      </c>
      <c r="AC2791">
        <v>4.26</v>
      </c>
      <c r="AD2791" t="s">
        <v>14698</v>
      </c>
      <c r="AE2791" t="s">
        <v>14699</v>
      </c>
      <c r="AF2791" t="s">
        <v>14700</v>
      </c>
      <c r="AG2791" t="s">
        <v>14701</v>
      </c>
      <c r="AH2791">
        <v>-3.03</v>
      </c>
      <c r="AI2791">
        <v>-5.94</v>
      </c>
      <c r="AJ2791">
        <v>4.88</v>
      </c>
      <c r="AK2791">
        <v>13.97</v>
      </c>
      <c r="AL2791">
        <v>-1</v>
      </c>
      <c r="AM2791">
        <v>-0.95</v>
      </c>
      <c r="AN2791">
        <v>-18.09</v>
      </c>
      <c r="AO2791">
        <v>-0.24</v>
      </c>
      <c r="AP2791">
        <v>-45.49</v>
      </c>
    </row>
    <row r="2792" spans="1:42">
      <c r="A2792">
        <v>2791</v>
      </c>
      <c r="B2792" t="str">
        <f>"688601"</f>
        <v>688601</v>
      </c>
      <c r="C2792" t="s">
        <v>14702</v>
      </c>
      <c r="D2792">
        <v>54.3</v>
      </c>
      <c r="E2792">
        <v>0.35</v>
      </c>
      <c r="F2792">
        <v>0.19</v>
      </c>
      <c r="G2792" t="s">
        <v>734</v>
      </c>
      <c r="H2792">
        <v>124</v>
      </c>
      <c r="I2792">
        <v>54.24</v>
      </c>
      <c r="J2792">
        <v>54.3</v>
      </c>
      <c r="K2792" t="s">
        <v>14703</v>
      </c>
      <c r="L2792">
        <v>1.57</v>
      </c>
      <c r="M2792" t="s">
        <v>46</v>
      </c>
      <c r="N2792" t="s">
        <v>3513</v>
      </c>
      <c r="O2792">
        <v>54.44</v>
      </c>
      <c r="P2792">
        <v>53.28</v>
      </c>
      <c r="Q2792">
        <v>53.98</v>
      </c>
      <c r="R2792">
        <v>54.11</v>
      </c>
      <c r="S2792">
        <v>2.14</v>
      </c>
      <c r="T2792">
        <v>0.67</v>
      </c>
      <c r="U2792">
        <v>11.18</v>
      </c>
      <c r="V2792">
        <v>10</v>
      </c>
      <c r="W2792">
        <v>53.94</v>
      </c>
      <c r="X2792">
        <v>6255</v>
      </c>
      <c r="Y2792">
        <v>4934</v>
      </c>
      <c r="Z2792">
        <v>1.27</v>
      </c>
      <c r="AA2792">
        <v>9</v>
      </c>
      <c r="AB2792">
        <v>9</v>
      </c>
      <c r="AC2792">
        <v>6.07</v>
      </c>
      <c r="AD2792" t="s">
        <v>14704</v>
      </c>
      <c r="AE2792" t="s">
        <v>11397</v>
      </c>
      <c r="AF2792" t="s">
        <v>14705</v>
      </c>
      <c r="AG2792" t="s">
        <v>13613</v>
      </c>
      <c r="AH2792">
        <v>-0.53</v>
      </c>
      <c r="AI2792">
        <v>-3.89</v>
      </c>
      <c r="AJ2792">
        <v>6.25</v>
      </c>
      <c r="AK2792">
        <v>13.28</v>
      </c>
      <c r="AL2792">
        <v>1</v>
      </c>
      <c r="AM2792">
        <v>0.35</v>
      </c>
      <c r="AN2792">
        <v>44.76</v>
      </c>
      <c r="AO2792">
        <v>-10.16</v>
      </c>
      <c r="AP2792">
        <v>16.67</v>
      </c>
    </row>
    <row r="2793" spans="1:42">
      <c r="A2793">
        <v>2792</v>
      </c>
      <c r="B2793" t="str">
        <f>"837663"</f>
        <v>837663</v>
      </c>
      <c r="C2793" t="s">
        <v>14706</v>
      </c>
      <c r="D2793">
        <v>11.14</v>
      </c>
      <c r="E2793">
        <v>-7.17</v>
      </c>
      <c r="F2793">
        <v>-0.86</v>
      </c>
      <c r="G2793" t="s">
        <v>5957</v>
      </c>
      <c r="H2793">
        <v>645</v>
      </c>
      <c r="I2793">
        <v>11.13</v>
      </c>
      <c r="J2793">
        <v>11.14</v>
      </c>
      <c r="K2793" t="s">
        <v>14707</v>
      </c>
      <c r="L2793">
        <v>17.47</v>
      </c>
      <c r="M2793" t="s">
        <v>46</v>
      </c>
      <c r="N2793" t="s">
        <v>3757</v>
      </c>
      <c r="O2793">
        <v>12.2</v>
      </c>
      <c r="P2793">
        <v>10.63</v>
      </c>
      <c r="Q2793">
        <v>12</v>
      </c>
      <c r="R2793">
        <v>12</v>
      </c>
      <c r="S2793">
        <v>13.08</v>
      </c>
      <c r="T2793">
        <v>0.54</v>
      </c>
      <c r="U2793">
        <v>14.05</v>
      </c>
      <c r="V2793">
        <v>159</v>
      </c>
      <c r="W2793">
        <v>11.35</v>
      </c>
      <c r="X2793" t="s">
        <v>1080</v>
      </c>
      <c r="Y2793" t="s">
        <v>4017</v>
      </c>
      <c r="Z2793">
        <v>1.22</v>
      </c>
      <c r="AA2793">
        <v>180</v>
      </c>
      <c r="AB2793">
        <v>136</v>
      </c>
      <c r="AC2793">
        <v>3.46</v>
      </c>
      <c r="AD2793" t="s">
        <v>6576</v>
      </c>
      <c r="AE2793" t="s">
        <v>915</v>
      </c>
      <c r="AF2793" t="s">
        <v>14708</v>
      </c>
      <c r="AG2793" t="s">
        <v>14107</v>
      </c>
      <c r="AH2793">
        <v>-19.57</v>
      </c>
      <c r="AI2793">
        <v>1.64</v>
      </c>
      <c r="AJ2793">
        <v>64.48</v>
      </c>
      <c r="AK2793">
        <v>179.15</v>
      </c>
      <c r="AL2793">
        <v>-4</v>
      </c>
      <c r="AM2793">
        <v>-7.17</v>
      </c>
      <c r="AN2793">
        <v>39.6</v>
      </c>
      <c r="AO2793">
        <v>29.69</v>
      </c>
      <c r="AP2793">
        <v>39.6</v>
      </c>
    </row>
    <row r="2794" spans="1:42">
      <c r="A2794">
        <v>2793</v>
      </c>
      <c r="B2794" t="str">
        <f>"301199"</f>
        <v>301199</v>
      </c>
      <c r="C2794" t="s">
        <v>14709</v>
      </c>
      <c r="D2794">
        <v>26.54</v>
      </c>
      <c r="E2794">
        <v>-1.08</v>
      </c>
      <c r="F2794">
        <v>-0.29</v>
      </c>
      <c r="G2794" t="s">
        <v>587</v>
      </c>
      <c r="H2794">
        <v>285</v>
      </c>
      <c r="I2794">
        <v>26.51</v>
      </c>
      <c r="J2794">
        <v>26.55</v>
      </c>
      <c r="K2794" t="s">
        <v>14710</v>
      </c>
      <c r="L2794">
        <v>4.93</v>
      </c>
      <c r="M2794" t="s">
        <v>46</v>
      </c>
      <c r="N2794" t="s">
        <v>14711</v>
      </c>
      <c r="O2794">
        <v>26.89</v>
      </c>
      <c r="P2794">
        <v>25.57</v>
      </c>
      <c r="Q2794">
        <v>26.32</v>
      </c>
      <c r="R2794">
        <v>26.83</v>
      </c>
      <c r="S2794">
        <v>4.92</v>
      </c>
      <c r="T2794">
        <v>1.04</v>
      </c>
      <c r="U2794">
        <v>81.88</v>
      </c>
      <c r="V2794">
        <v>235</v>
      </c>
      <c r="W2794">
        <v>26.34</v>
      </c>
      <c r="X2794" t="s">
        <v>2807</v>
      </c>
      <c r="Y2794" t="s">
        <v>1083</v>
      </c>
      <c r="Z2794">
        <v>0.94</v>
      </c>
      <c r="AA2794">
        <v>183</v>
      </c>
      <c r="AB2794">
        <v>8</v>
      </c>
      <c r="AC2794">
        <v>2.01</v>
      </c>
      <c r="AD2794" t="s">
        <v>9334</v>
      </c>
      <c r="AE2794" t="s">
        <v>1094</v>
      </c>
      <c r="AF2794" t="s">
        <v>14712</v>
      </c>
      <c r="AG2794" t="s">
        <v>13872</v>
      </c>
      <c r="AH2794">
        <v>-1.34</v>
      </c>
      <c r="AI2794">
        <v>0.15</v>
      </c>
      <c r="AJ2794">
        <v>18.34</v>
      </c>
      <c r="AK2794">
        <v>28.61</v>
      </c>
      <c r="AL2794">
        <v>-2</v>
      </c>
      <c r="AM2794">
        <v>-1.08</v>
      </c>
      <c r="AN2794">
        <v>33.77</v>
      </c>
      <c r="AO2794">
        <v>3.47</v>
      </c>
      <c r="AP2794">
        <v>18.27</v>
      </c>
    </row>
    <row r="2795" spans="1:42">
      <c r="A2795">
        <v>2794</v>
      </c>
      <c r="B2795" t="str">
        <f>"000422"</f>
        <v>000422</v>
      </c>
      <c r="C2795" t="s">
        <v>14713</v>
      </c>
      <c r="D2795">
        <v>9.64</v>
      </c>
      <c r="E2795">
        <v>-0.72</v>
      </c>
      <c r="F2795">
        <v>-0.07</v>
      </c>
      <c r="G2795" t="s">
        <v>4746</v>
      </c>
      <c r="H2795">
        <v>2155</v>
      </c>
      <c r="I2795">
        <v>9.64</v>
      </c>
      <c r="J2795">
        <v>9.65</v>
      </c>
      <c r="K2795" t="s">
        <v>14714</v>
      </c>
      <c r="L2795">
        <v>0.69</v>
      </c>
      <c r="M2795" t="s">
        <v>46</v>
      </c>
      <c r="N2795" t="s">
        <v>4969</v>
      </c>
      <c r="O2795">
        <v>9.75</v>
      </c>
      <c r="P2795">
        <v>9.63</v>
      </c>
      <c r="Q2795">
        <v>9.72</v>
      </c>
      <c r="R2795">
        <v>9.71</v>
      </c>
      <c r="S2795">
        <v>1.24</v>
      </c>
      <c r="T2795">
        <v>1.25</v>
      </c>
      <c r="U2795">
        <v>44.33</v>
      </c>
      <c r="V2795">
        <v>1408</v>
      </c>
      <c r="W2795">
        <v>9.67</v>
      </c>
      <c r="X2795" t="s">
        <v>762</v>
      </c>
      <c r="Y2795" t="s">
        <v>5420</v>
      </c>
      <c r="Z2795">
        <v>1.28</v>
      </c>
      <c r="AA2795">
        <v>190</v>
      </c>
      <c r="AB2795">
        <v>107</v>
      </c>
      <c r="AC2795">
        <v>1.55</v>
      </c>
      <c r="AD2795" t="s">
        <v>9679</v>
      </c>
      <c r="AE2795" t="s">
        <v>14715</v>
      </c>
      <c r="AF2795" t="s">
        <v>14716</v>
      </c>
      <c r="AG2795" t="s">
        <v>14717</v>
      </c>
      <c r="AH2795">
        <v>-3.31</v>
      </c>
      <c r="AI2795">
        <v>-4.84</v>
      </c>
      <c r="AJ2795">
        <v>1.7</v>
      </c>
      <c r="AK2795">
        <v>3.48</v>
      </c>
      <c r="AL2795">
        <v>-3</v>
      </c>
      <c r="AM2795">
        <v>-0.72</v>
      </c>
      <c r="AN2795">
        <v>-34.02</v>
      </c>
      <c r="AO2795">
        <v>-5.3</v>
      </c>
      <c r="AP2795">
        <v>-35.22</v>
      </c>
    </row>
    <row r="2796" spans="1:42">
      <c r="A2796">
        <v>2795</v>
      </c>
      <c r="B2796" t="str">
        <f>"002023"</f>
        <v>002023</v>
      </c>
      <c r="C2796" t="s">
        <v>14718</v>
      </c>
      <c r="D2796">
        <v>9.54</v>
      </c>
      <c r="E2796">
        <v>0.74</v>
      </c>
      <c r="F2796">
        <v>0.07</v>
      </c>
      <c r="G2796" t="s">
        <v>3642</v>
      </c>
      <c r="H2796">
        <v>281</v>
      </c>
      <c r="I2796">
        <v>9.53</v>
      </c>
      <c r="J2796">
        <v>9.54</v>
      </c>
      <c r="K2796" t="s">
        <v>14714</v>
      </c>
      <c r="L2796">
        <v>0.86</v>
      </c>
      <c r="M2796" t="s">
        <v>46</v>
      </c>
      <c r="N2796" t="s">
        <v>7655</v>
      </c>
      <c r="O2796">
        <v>9.58</v>
      </c>
      <c r="P2796">
        <v>9.35</v>
      </c>
      <c r="Q2796">
        <v>9.47</v>
      </c>
      <c r="R2796">
        <v>9.47</v>
      </c>
      <c r="S2796">
        <v>2.43</v>
      </c>
      <c r="T2796">
        <v>0.91</v>
      </c>
      <c r="U2796">
        <v>-58.94</v>
      </c>
      <c r="V2796">
        <v>-5972</v>
      </c>
      <c r="W2796">
        <v>9.49</v>
      </c>
      <c r="X2796" t="s">
        <v>6581</v>
      </c>
      <c r="Y2796" t="s">
        <v>2550</v>
      </c>
      <c r="Z2796">
        <v>0.83</v>
      </c>
      <c r="AA2796">
        <v>339</v>
      </c>
      <c r="AB2796">
        <v>329</v>
      </c>
      <c r="AC2796">
        <v>1.67</v>
      </c>
      <c r="AD2796" t="s">
        <v>14719</v>
      </c>
      <c r="AE2796" t="s">
        <v>14720</v>
      </c>
      <c r="AF2796" t="s">
        <v>14719</v>
      </c>
      <c r="AG2796" t="s">
        <v>14720</v>
      </c>
      <c r="AH2796">
        <v>-0.63</v>
      </c>
      <c r="AI2796">
        <v>-1.14</v>
      </c>
      <c r="AJ2796">
        <v>3.07</v>
      </c>
      <c r="AK2796">
        <v>5.59</v>
      </c>
      <c r="AL2796">
        <v>1</v>
      </c>
      <c r="AM2796">
        <v>0.74</v>
      </c>
      <c r="AN2796">
        <v>15.36</v>
      </c>
      <c r="AO2796">
        <v>-0.73</v>
      </c>
      <c r="AP2796">
        <v>6.71</v>
      </c>
    </row>
    <row r="2797" spans="1:42">
      <c r="A2797">
        <v>2796</v>
      </c>
      <c r="B2797" t="str">
        <f>"002852"</f>
        <v>002852</v>
      </c>
      <c r="C2797" t="s">
        <v>14721</v>
      </c>
      <c r="D2797">
        <v>11.29</v>
      </c>
      <c r="E2797">
        <v>0.18</v>
      </c>
      <c r="F2797">
        <v>0.02</v>
      </c>
      <c r="G2797" t="s">
        <v>7068</v>
      </c>
      <c r="H2797">
        <v>486</v>
      </c>
      <c r="I2797">
        <v>11.28</v>
      </c>
      <c r="J2797">
        <v>11.29</v>
      </c>
      <c r="K2797" t="s">
        <v>14722</v>
      </c>
      <c r="L2797">
        <v>1.92</v>
      </c>
      <c r="M2797" t="s">
        <v>46</v>
      </c>
      <c r="N2797" t="s">
        <v>3109</v>
      </c>
      <c r="O2797">
        <v>11.49</v>
      </c>
      <c r="P2797">
        <v>11.18</v>
      </c>
      <c r="Q2797">
        <v>11.24</v>
      </c>
      <c r="R2797">
        <v>11.27</v>
      </c>
      <c r="S2797">
        <v>2.75</v>
      </c>
      <c r="T2797">
        <v>0.85</v>
      </c>
      <c r="U2797">
        <v>57.69</v>
      </c>
      <c r="V2797">
        <v>1776</v>
      </c>
      <c r="W2797">
        <v>11.32</v>
      </c>
      <c r="X2797" t="s">
        <v>7485</v>
      </c>
      <c r="Y2797" t="s">
        <v>4257</v>
      </c>
      <c r="Z2797">
        <v>1.09</v>
      </c>
      <c r="AA2797">
        <v>163</v>
      </c>
      <c r="AB2797">
        <v>51</v>
      </c>
      <c r="AC2797">
        <v>1.91</v>
      </c>
      <c r="AD2797" t="s">
        <v>14723</v>
      </c>
      <c r="AE2797" t="s">
        <v>13177</v>
      </c>
      <c r="AF2797" t="s">
        <v>14724</v>
      </c>
      <c r="AG2797" t="s">
        <v>4955</v>
      </c>
      <c r="AH2797">
        <v>-0.62</v>
      </c>
      <c r="AI2797">
        <v>0.36</v>
      </c>
      <c r="AJ2797">
        <v>4.88</v>
      </c>
      <c r="AK2797">
        <v>13.21</v>
      </c>
      <c r="AL2797">
        <v>2</v>
      </c>
      <c r="AM2797">
        <v>0.18</v>
      </c>
      <c r="AN2797">
        <v>-17.11</v>
      </c>
      <c r="AO2797">
        <v>4.25</v>
      </c>
      <c r="AP2797">
        <v>-3.75</v>
      </c>
    </row>
    <row r="2798" spans="1:42">
      <c r="A2798">
        <v>2797</v>
      </c>
      <c r="B2798" t="str">
        <f>"002611"</f>
        <v>002611</v>
      </c>
      <c r="C2798" t="s">
        <v>14725</v>
      </c>
      <c r="D2798">
        <v>5</v>
      </c>
      <c r="E2798">
        <v>0.4</v>
      </c>
      <c r="F2798">
        <v>0.02</v>
      </c>
      <c r="G2798" t="s">
        <v>1790</v>
      </c>
      <c r="H2798">
        <v>675</v>
      </c>
      <c r="I2798">
        <v>5</v>
      </c>
      <c r="J2798">
        <v>5.01</v>
      </c>
      <c r="K2798" t="s">
        <v>14726</v>
      </c>
      <c r="L2798">
        <v>1.19</v>
      </c>
      <c r="M2798" t="s">
        <v>46</v>
      </c>
      <c r="N2798" t="s">
        <v>4899</v>
      </c>
      <c r="O2798">
        <v>5.03</v>
      </c>
      <c r="P2798">
        <v>4.94</v>
      </c>
      <c r="Q2798">
        <v>4.97</v>
      </c>
      <c r="R2798">
        <v>4.98</v>
      </c>
      <c r="S2798">
        <v>1.81</v>
      </c>
      <c r="T2798">
        <v>1</v>
      </c>
      <c r="U2798">
        <v>-35.87</v>
      </c>
      <c r="V2798">
        <v>-4486</v>
      </c>
      <c r="W2798">
        <v>4.98</v>
      </c>
      <c r="X2798" t="s">
        <v>8972</v>
      </c>
      <c r="Y2798" t="s">
        <v>2629</v>
      </c>
      <c r="Z2798">
        <v>1.07</v>
      </c>
      <c r="AA2798">
        <v>413</v>
      </c>
      <c r="AB2798">
        <v>1508</v>
      </c>
      <c r="AC2798">
        <v>1.43</v>
      </c>
      <c r="AD2798" t="s">
        <v>14727</v>
      </c>
      <c r="AE2798" t="s">
        <v>3277</v>
      </c>
      <c r="AF2798" t="s">
        <v>1108</v>
      </c>
      <c r="AG2798" t="s">
        <v>14728</v>
      </c>
      <c r="AH2798">
        <v>-1.19</v>
      </c>
      <c r="AI2798">
        <v>-0.6</v>
      </c>
      <c r="AJ2798">
        <v>3.59</v>
      </c>
      <c r="AK2798">
        <v>7.17</v>
      </c>
      <c r="AL2798">
        <v>1</v>
      </c>
      <c r="AM2798">
        <v>0.4</v>
      </c>
      <c r="AN2798">
        <v>23.15</v>
      </c>
      <c r="AO2798">
        <v>5.49</v>
      </c>
      <c r="AP2798">
        <v>16.82</v>
      </c>
    </row>
    <row r="2799" spans="1:42">
      <c r="A2799">
        <v>2798</v>
      </c>
      <c r="B2799" t="str">
        <f>"605337"</f>
        <v>605337</v>
      </c>
      <c r="C2799" t="s">
        <v>14729</v>
      </c>
      <c r="D2799">
        <v>16</v>
      </c>
      <c r="E2799">
        <v>0.88</v>
      </c>
      <c r="F2799">
        <v>0.14</v>
      </c>
      <c r="G2799" t="s">
        <v>3210</v>
      </c>
      <c r="H2799">
        <v>272</v>
      </c>
      <c r="I2799">
        <v>15.99</v>
      </c>
      <c r="J2799">
        <v>16</v>
      </c>
      <c r="K2799" t="s">
        <v>14730</v>
      </c>
      <c r="L2799">
        <v>2.43</v>
      </c>
      <c r="M2799" t="s">
        <v>46</v>
      </c>
      <c r="N2799" t="s">
        <v>7120</v>
      </c>
      <c r="O2799">
        <v>16.24</v>
      </c>
      <c r="P2799">
        <v>15.79</v>
      </c>
      <c r="Q2799">
        <v>15.8</v>
      </c>
      <c r="R2799">
        <v>15.86</v>
      </c>
      <c r="S2799">
        <v>2.84</v>
      </c>
      <c r="T2799">
        <v>1.6</v>
      </c>
      <c r="U2799">
        <v>-46.32</v>
      </c>
      <c r="V2799">
        <v>-807</v>
      </c>
      <c r="W2799">
        <v>16.02</v>
      </c>
      <c r="X2799" t="s">
        <v>10934</v>
      </c>
      <c r="Y2799" t="s">
        <v>2878</v>
      </c>
      <c r="Z2799">
        <v>1.06</v>
      </c>
      <c r="AA2799">
        <v>120</v>
      </c>
      <c r="AB2799">
        <v>347</v>
      </c>
      <c r="AC2799">
        <v>3.45</v>
      </c>
      <c r="AD2799" t="s">
        <v>9808</v>
      </c>
      <c r="AE2799" t="s">
        <v>14731</v>
      </c>
      <c r="AF2799" t="s">
        <v>14732</v>
      </c>
      <c r="AG2799" t="s">
        <v>14733</v>
      </c>
      <c r="AH2799">
        <v>0.25</v>
      </c>
      <c r="AI2799">
        <v>1.46</v>
      </c>
      <c r="AJ2799">
        <v>4.97</v>
      </c>
      <c r="AK2799">
        <v>10.02</v>
      </c>
      <c r="AL2799">
        <v>2</v>
      </c>
      <c r="AM2799">
        <v>0.88</v>
      </c>
      <c r="AN2799">
        <v>-10.06</v>
      </c>
      <c r="AO2799">
        <v>2.43</v>
      </c>
      <c r="AP2799">
        <v>2.56</v>
      </c>
    </row>
    <row r="2800" spans="1:42">
      <c r="A2800">
        <v>2799</v>
      </c>
      <c r="B2800" t="str">
        <f>"600259"</f>
        <v>600259</v>
      </c>
      <c r="C2800" t="s">
        <v>14734</v>
      </c>
      <c r="D2800">
        <v>33.78</v>
      </c>
      <c r="E2800">
        <v>-0.85</v>
      </c>
      <c r="F2800">
        <v>-0.29</v>
      </c>
      <c r="G2800" t="s">
        <v>60</v>
      </c>
      <c r="H2800">
        <v>305</v>
      </c>
      <c r="I2800">
        <v>33.77</v>
      </c>
      <c r="J2800">
        <v>33.78</v>
      </c>
      <c r="K2800" t="s">
        <v>14735</v>
      </c>
      <c r="L2800">
        <v>0.54</v>
      </c>
      <c r="M2800" t="s">
        <v>46</v>
      </c>
      <c r="N2800" t="s">
        <v>10591</v>
      </c>
      <c r="O2800">
        <v>34.2</v>
      </c>
      <c r="P2800">
        <v>33.6</v>
      </c>
      <c r="Q2800">
        <v>34</v>
      </c>
      <c r="R2800">
        <v>34.07</v>
      </c>
      <c r="S2800">
        <v>1.76</v>
      </c>
      <c r="T2800">
        <v>0.99</v>
      </c>
      <c r="U2800">
        <v>-22.08</v>
      </c>
      <c r="V2800">
        <v>-110</v>
      </c>
      <c r="W2800">
        <v>33.8</v>
      </c>
      <c r="X2800" t="s">
        <v>4443</v>
      </c>
      <c r="Y2800">
        <v>6805</v>
      </c>
      <c r="Z2800">
        <v>1.61</v>
      </c>
      <c r="AA2800">
        <v>13</v>
      </c>
      <c r="AB2800">
        <v>19</v>
      </c>
      <c r="AC2800">
        <v>3.15</v>
      </c>
      <c r="AD2800" t="s">
        <v>510</v>
      </c>
      <c r="AE2800" t="s">
        <v>7565</v>
      </c>
      <c r="AF2800" t="s">
        <v>1810</v>
      </c>
      <c r="AG2800" t="s">
        <v>9863</v>
      </c>
      <c r="AH2800">
        <v>-0.76</v>
      </c>
      <c r="AI2800">
        <v>-2.06</v>
      </c>
      <c r="AJ2800">
        <v>1.72</v>
      </c>
      <c r="AK2800">
        <v>3.27</v>
      </c>
      <c r="AL2800">
        <v>-1</v>
      </c>
      <c r="AM2800">
        <v>-0.85</v>
      </c>
      <c r="AN2800">
        <v>-15.97</v>
      </c>
      <c r="AO2800">
        <v>-7.4</v>
      </c>
      <c r="AP2800">
        <v>-21.26</v>
      </c>
    </row>
    <row r="2801" spans="1:42">
      <c r="A2801">
        <v>2800</v>
      </c>
      <c r="B2801" t="str">
        <f>"300343"</f>
        <v>300343</v>
      </c>
      <c r="C2801" t="s">
        <v>14736</v>
      </c>
      <c r="D2801">
        <v>6.83</v>
      </c>
      <c r="E2801">
        <v>1.34</v>
      </c>
      <c r="F2801">
        <v>0.09</v>
      </c>
      <c r="G2801" t="s">
        <v>10375</v>
      </c>
      <c r="H2801">
        <v>2197</v>
      </c>
      <c r="I2801">
        <v>6.82</v>
      </c>
      <c r="J2801">
        <v>6.83</v>
      </c>
      <c r="K2801" t="s">
        <v>14737</v>
      </c>
      <c r="L2801">
        <v>0.83</v>
      </c>
      <c r="M2801" t="s">
        <v>46</v>
      </c>
      <c r="N2801" t="s">
        <v>5768</v>
      </c>
      <c r="O2801">
        <v>6.86</v>
      </c>
      <c r="P2801">
        <v>6.7</v>
      </c>
      <c r="Q2801">
        <v>6.72</v>
      </c>
      <c r="R2801">
        <v>6.74</v>
      </c>
      <c r="S2801">
        <v>2.37</v>
      </c>
      <c r="T2801">
        <v>0.74</v>
      </c>
      <c r="U2801">
        <v>0.28</v>
      </c>
      <c r="V2801">
        <v>29</v>
      </c>
      <c r="W2801">
        <v>6.77</v>
      </c>
      <c r="X2801" t="s">
        <v>3758</v>
      </c>
      <c r="Y2801" t="s">
        <v>3304</v>
      </c>
      <c r="Z2801">
        <v>0.95</v>
      </c>
      <c r="AA2801">
        <v>1068</v>
      </c>
      <c r="AB2801">
        <v>232</v>
      </c>
      <c r="AC2801">
        <v>4.31</v>
      </c>
      <c r="AD2801" t="s">
        <v>11350</v>
      </c>
      <c r="AE2801" t="s">
        <v>14738</v>
      </c>
      <c r="AF2801" t="s">
        <v>14739</v>
      </c>
      <c r="AG2801" t="s">
        <v>10231</v>
      </c>
      <c r="AH2801">
        <v>-1.3</v>
      </c>
      <c r="AI2801">
        <v>-5.01</v>
      </c>
      <c r="AJ2801">
        <v>2.6</v>
      </c>
      <c r="AK2801">
        <v>6.45</v>
      </c>
      <c r="AL2801">
        <v>1</v>
      </c>
      <c r="AM2801">
        <v>1.34</v>
      </c>
      <c r="AN2801">
        <v>-29.95</v>
      </c>
      <c r="AO2801">
        <v>-0.58</v>
      </c>
      <c r="AP2801">
        <v>-38.02</v>
      </c>
    </row>
    <row r="2802" spans="1:42">
      <c r="A2802">
        <v>2801</v>
      </c>
      <c r="B2802" t="str">
        <f>"002717"</f>
        <v>002717</v>
      </c>
      <c r="C2802" t="s">
        <v>14740</v>
      </c>
      <c r="D2802">
        <v>3.03</v>
      </c>
      <c r="E2802">
        <v>2.36</v>
      </c>
      <c r="F2802">
        <v>0.07</v>
      </c>
      <c r="G2802" t="s">
        <v>2012</v>
      </c>
      <c r="H2802">
        <v>3390</v>
      </c>
      <c r="I2802">
        <v>3.02</v>
      </c>
      <c r="J2802">
        <v>3.03</v>
      </c>
      <c r="K2802" t="s">
        <v>14737</v>
      </c>
      <c r="L2802">
        <v>1.37</v>
      </c>
      <c r="M2802" t="s">
        <v>46</v>
      </c>
      <c r="N2802" t="s">
        <v>2751</v>
      </c>
      <c r="O2802">
        <v>3.03</v>
      </c>
      <c r="P2802">
        <v>2.95</v>
      </c>
      <c r="Q2802">
        <v>2.95</v>
      </c>
      <c r="R2802">
        <v>2.96</v>
      </c>
      <c r="S2802">
        <v>2.7</v>
      </c>
      <c r="T2802">
        <v>0.92</v>
      </c>
      <c r="U2802">
        <v>-27</v>
      </c>
      <c r="V2802" t="s">
        <v>7012</v>
      </c>
      <c r="W2802">
        <v>3.01</v>
      </c>
      <c r="X2802" t="s">
        <v>9098</v>
      </c>
      <c r="Y2802" t="s">
        <v>263</v>
      </c>
      <c r="Z2802">
        <v>0.51</v>
      </c>
      <c r="AA2802">
        <v>6221</v>
      </c>
      <c r="AB2802" t="s">
        <v>6867</v>
      </c>
      <c r="AC2802">
        <v>1.77</v>
      </c>
      <c r="AD2802" t="s">
        <v>2564</v>
      </c>
      <c r="AE2802" t="s">
        <v>13355</v>
      </c>
      <c r="AF2802" t="s">
        <v>8780</v>
      </c>
      <c r="AG2802" t="s">
        <v>8763</v>
      </c>
      <c r="AH2802">
        <v>0.66</v>
      </c>
      <c r="AI2802">
        <v>-1.62</v>
      </c>
      <c r="AJ2802">
        <v>3.84</v>
      </c>
      <c r="AK2802">
        <v>8.83</v>
      </c>
      <c r="AL2802">
        <v>1</v>
      </c>
      <c r="AM2802">
        <v>2.36</v>
      </c>
      <c r="AN2802">
        <v>6.32</v>
      </c>
      <c r="AO2802">
        <v>3.77</v>
      </c>
      <c r="AP2802">
        <v>-1.94</v>
      </c>
    </row>
    <row r="2803" spans="1:42">
      <c r="A2803">
        <v>2802</v>
      </c>
      <c r="B2803" t="str">
        <f>"688496"</f>
        <v>688496</v>
      </c>
      <c r="C2803" t="s">
        <v>14741</v>
      </c>
      <c r="D2803">
        <v>17.19</v>
      </c>
      <c r="E2803">
        <v>1.12</v>
      </c>
      <c r="F2803">
        <v>0.19</v>
      </c>
      <c r="G2803" t="s">
        <v>7531</v>
      </c>
      <c r="H2803">
        <v>653</v>
      </c>
      <c r="I2803">
        <v>17.19</v>
      </c>
      <c r="J2803">
        <v>17.2</v>
      </c>
      <c r="K2803" t="s">
        <v>14742</v>
      </c>
      <c r="L2803">
        <v>3.92</v>
      </c>
      <c r="M2803" t="s">
        <v>46</v>
      </c>
      <c r="N2803" t="s">
        <v>2585</v>
      </c>
      <c r="O2803">
        <v>17.36</v>
      </c>
      <c r="P2803">
        <v>16.73</v>
      </c>
      <c r="Q2803">
        <v>16.85</v>
      </c>
      <c r="R2803">
        <v>17</v>
      </c>
      <c r="S2803">
        <v>3.71</v>
      </c>
      <c r="T2803">
        <v>0.44</v>
      </c>
      <c r="U2803">
        <v>69.3</v>
      </c>
      <c r="V2803">
        <v>1642</v>
      </c>
      <c r="W2803">
        <v>17.02</v>
      </c>
      <c r="X2803" t="s">
        <v>325</v>
      </c>
      <c r="Y2803" t="s">
        <v>2111</v>
      </c>
      <c r="Z2803">
        <v>1.07</v>
      </c>
      <c r="AA2803">
        <v>324</v>
      </c>
      <c r="AB2803">
        <v>2</v>
      </c>
      <c r="AC2803">
        <v>6.44</v>
      </c>
      <c r="AD2803" t="s">
        <v>6350</v>
      </c>
      <c r="AE2803" t="s">
        <v>14743</v>
      </c>
      <c r="AF2803" t="s">
        <v>14744</v>
      </c>
      <c r="AG2803" t="s">
        <v>14745</v>
      </c>
      <c r="AH2803">
        <v>-6.63</v>
      </c>
      <c r="AI2803">
        <v>-2.44</v>
      </c>
      <c r="AJ2803">
        <v>20.31</v>
      </c>
      <c r="AK2803">
        <v>48.9</v>
      </c>
      <c r="AL2803">
        <v>1</v>
      </c>
      <c r="AM2803">
        <v>1.12</v>
      </c>
      <c r="AN2803">
        <v>90.79</v>
      </c>
      <c r="AO2803">
        <v>23.94</v>
      </c>
      <c r="AP2803">
        <v>89.11</v>
      </c>
    </row>
    <row r="2804" spans="1:42">
      <c r="A2804">
        <v>2803</v>
      </c>
      <c r="B2804" t="str">
        <f>"603169"</f>
        <v>603169</v>
      </c>
      <c r="C2804" t="s">
        <v>14746</v>
      </c>
      <c r="D2804">
        <v>6.04</v>
      </c>
      <c r="E2804">
        <v>-0.49</v>
      </c>
      <c r="F2804">
        <v>-0.03</v>
      </c>
      <c r="G2804" t="s">
        <v>6550</v>
      </c>
      <c r="H2804">
        <v>6354</v>
      </c>
      <c r="I2804">
        <v>6.04</v>
      </c>
      <c r="J2804">
        <v>6.05</v>
      </c>
      <c r="K2804" t="s">
        <v>14747</v>
      </c>
      <c r="L2804">
        <v>0.76</v>
      </c>
      <c r="M2804" t="s">
        <v>46</v>
      </c>
      <c r="N2804" t="s">
        <v>5167</v>
      </c>
      <c r="O2804">
        <v>6.1</v>
      </c>
      <c r="P2804">
        <v>6.02</v>
      </c>
      <c r="Q2804">
        <v>6.08</v>
      </c>
      <c r="R2804">
        <v>6.07</v>
      </c>
      <c r="S2804">
        <v>1.32</v>
      </c>
      <c r="T2804">
        <v>0.94</v>
      </c>
      <c r="U2804">
        <v>39.91</v>
      </c>
      <c r="V2804">
        <v>6153</v>
      </c>
      <c r="W2804">
        <v>6.05</v>
      </c>
      <c r="X2804" t="s">
        <v>3453</v>
      </c>
      <c r="Y2804" t="s">
        <v>6794</v>
      </c>
      <c r="Z2804">
        <v>1.55</v>
      </c>
      <c r="AA2804">
        <v>1578</v>
      </c>
      <c r="AB2804">
        <v>31</v>
      </c>
      <c r="AC2804">
        <v>2.41</v>
      </c>
      <c r="AD2804" t="s">
        <v>10685</v>
      </c>
      <c r="AE2804" t="s">
        <v>13117</v>
      </c>
      <c r="AF2804" t="s">
        <v>10685</v>
      </c>
      <c r="AG2804" t="s">
        <v>13117</v>
      </c>
      <c r="AH2804">
        <v>-2.58</v>
      </c>
      <c r="AI2804">
        <v>-2.11</v>
      </c>
      <c r="AJ2804">
        <v>2.28</v>
      </c>
      <c r="AK2804">
        <v>4.81</v>
      </c>
      <c r="AL2804">
        <v>-3</v>
      </c>
      <c r="AM2804">
        <v>-0.49</v>
      </c>
      <c r="AN2804">
        <v>-4.73</v>
      </c>
      <c r="AO2804">
        <v>1.85</v>
      </c>
      <c r="AP2804">
        <v>-11.44</v>
      </c>
    </row>
    <row r="2805" spans="1:42">
      <c r="A2805">
        <v>2804</v>
      </c>
      <c r="B2805" t="str">
        <f>"600195"</f>
        <v>600195</v>
      </c>
      <c r="C2805" t="s">
        <v>14748</v>
      </c>
      <c r="D2805">
        <v>11.47</v>
      </c>
      <c r="E2805">
        <v>-0.52</v>
      </c>
      <c r="F2805">
        <v>-0.06</v>
      </c>
      <c r="G2805" t="s">
        <v>7340</v>
      </c>
      <c r="H2805">
        <v>143</v>
      </c>
      <c r="I2805">
        <v>11.47</v>
      </c>
      <c r="J2805">
        <v>11.48</v>
      </c>
      <c r="K2805" t="s">
        <v>10369</v>
      </c>
      <c r="L2805">
        <v>0.51</v>
      </c>
      <c r="M2805" t="s">
        <v>46</v>
      </c>
      <c r="N2805" t="s">
        <v>3089</v>
      </c>
      <c r="O2805">
        <v>11.58</v>
      </c>
      <c r="P2805">
        <v>11.4</v>
      </c>
      <c r="Q2805">
        <v>11.5</v>
      </c>
      <c r="R2805">
        <v>11.53</v>
      </c>
      <c r="S2805">
        <v>1.56</v>
      </c>
      <c r="T2805">
        <v>0.68</v>
      </c>
      <c r="U2805">
        <v>-45.32</v>
      </c>
      <c r="V2805">
        <v>-1190</v>
      </c>
      <c r="W2805">
        <v>11.48</v>
      </c>
      <c r="X2805" t="s">
        <v>6803</v>
      </c>
      <c r="Y2805" t="s">
        <v>2102</v>
      </c>
      <c r="Z2805">
        <v>1.38</v>
      </c>
      <c r="AA2805">
        <v>66</v>
      </c>
      <c r="AB2805">
        <v>366</v>
      </c>
      <c r="AC2805">
        <v>2.12</v>
      </c>
      <c r="AD2805" t="s">
        <v>1078</v>
      </c>
      <c r="AE2805" t="s">
        <v>9818</v>
      </c>
      <c r="AF2805" t="s">
        <v>1078</v>
      </c>
      <c r="AG2805" t="s">
        <v>9818</v>
      </c>
      <c r="AH2805">
        <v>-1.12</v>
      </c>
      <c r="AI2805">
        <v>1.68</v>
      </c>
      <c r="AJ2805">
        <v>1.67</v>
      </c>
      <c r="AK2805">
        <v>4.27</v>
      </c>
      <c r="AL2805">
        <v>-1</v>
      </c>
      <c r="AM2805">
        <v>-0.52</v>
      </c>
      <c r="AN2805">
        <v>0.26</v>
      </c>
      <c r="AO2805">
        <v>4.08</v>
      </c>
      <c r="AP2805">
        <v>-13.17</v>
      </c>
    </row>
    <row r="2806" spans="1:42">
      <c r="A2806">
        <v>2805</v>
      </c>
      <c r="B2806" t="str">
        <f>"000026"</f>
        <v>000026</v>
      </c>
      <c r="C2806" t="s">
        <v>14749</v>
      </c>
      <c r="D2806">
        <v>11.89</v>
      </c>
      <c r="E2806">
        <v>1.28</v>
      </c>
      <c r="F2806">
        <v>0.15</v>
      </c>
      <c r="G2806" t="s">
        <v>1708</v>
      </c>
      <c r="H2806">
        <v>625</v>
      </c>
      <c r="I2806">
        <v>11.88</v>
      </c>
      <c r="J2806">
        <v>11.89</v>
      </c>
      <c r="K2806" t="s">
        <v>14750</v>
      </c>
      <c r="L2806">
        <v>1.4</v>
      </c>
      <c r="M2806" t="s">
        <v>46</v>
      </c>
      <c r="N2806" t="s">
        <v>9178</v>
      </c>
      <c r="O2806">
        <v>11.9</v>
      </c>
      <c r="P2806">
        <v>11.67</v>
      </c>
      <c r="Q2806">
        <v>11.73</v>
      </c>
      <c r="R2806">
        <v>11.74</v>
      </c>
      <c r="S2806">
        <v>1.96</v>
      </c>
      <c r="T2806">
        <v>1.09</v>
      </c>
      <c r="U2806">
        <v>25.81</v>
      </c>
      <c r="V2806">
        <v>272</v>
      </c>
      <c r="W2806">
        <v>11.85</v>
      </c>
      <c r="X2806" t="s">
        <v>117</v>
      </c>
      <c r="Y2806" t="s">
        <v>2389</v>
      </c>
      <c r="Z2806">
        <v>1.05</v>
      </c>
      <c r="AA2806">
        <v>89</v>
      </c>
      <c r="AB2806">
        <v>46</v>
      </c>
      <c r="AC2806">
        <v>1.51</v>
      </c>
      <c r="AD2806" t="s">
        <v>11715</v>
      </c>
      <c r="AE2806" t="s">
        <v>14751</v>
      </c>
      <c r="AF2806" t="s">
        <v>14752</v>
      </c>
      <c r="AG2806" t="s">
        <v>14753</v>
      </c>
      <c r="AH2806">
        <v>-1</v>
      </c>
      <c r="AI2806">
        <v>-2.54</v>
      </c>
      <c r="AJ2806">
        <v>4.54</v>
      </c>
      <c r="AK2806">
        <v>7.81</v>
      </c>
      <c r="AL2806">
        <v>1</v>
      </c>
      <c r="AM2806">
        <v>1.28</v>
      </c>
      <c r="AN2806">
        <v>16.68</v>
      </c>
      <c r="AO2806">
        <v>11.54</v>
      </c>
      <c r="AP2806">
        <v>15.32</v>
      </c>
    </row>
    <row r="2807" spans="1:42">
      <c r="A2807">
        <v>2806</v>
      </c>
      <c r="B2807" t="str">
        <f>"002177"</f>
        <v>002177</v>
      </c>
      <c r="C2807" t="s">
        <v>14754</v>
      </c>
      <c r="D2807">
        <v>4.02</v>
      </c>
      <c r="E2807">
        <v>1.77</v>
      </c>
      <c r="F2807">
        <v>0.07</v>
      </c>
      <c r="G2807" t="s">
        <v>2222</v>
      </c>
      <c r="H2807">
        <v>1130</v>
      </c>
      <c r="I2807">
        <v>4.02</v>
      </c>
      <c r="J2807">
        <v>4.03</v>
      </c>
      <c r="K2807" t="s">
        <v>14755</v>
      </c>
      <c r="L2807">
        <v>1.97</v>
      </c>
      <c r="M2807" t="s">
        <v>46</v>
      </c>
      <c r="N2807" t="s">
        <v>14756</v>
      </c>
      <c r="O2807">
        <v>4.04</v>
      </c>
      <c r="P2807">
        <v>3.93</v>
      </c>
      <c r="Q2807">
        <v>3.96</v>
      </c>
      <c r="R2807">
        <v>3.95</v>
      </c>
      <c r="S2807">
        <v>2.78</v>
      </c>
      <c r="T2807">
        <v>0.93</v>
      </c>
      <c r="U2807">
        <v>-33.69</v>
      </c>
      <c r="V2807">
        <v>-6699</v>
      </c>
      <c r="W2807">
        <v>3.99</v>
      </c>
      <c r="X2807" t="s">
        <v>9224</v>
      </c>
      <c r="Y2807" t="s">
        <v>3275</v>
      </c>
      <c r="Z2807">
        <v>0.67</v>
      </c>
      <c r="AA2807">
        <v>2346</v>
      </c>
      <c r="AB2807">
        <v>1790</v>
      </c>
      <c r="AC2807">
        <v>1.81</v>
      </c>
      <c r="AD2807" t="s">
        <v>14757</v>
      </c>
      <c r="AE2807" t="s">
        <v>14758</v>
      </c>
      <c r="AF2807" t="s">
        <v>14757</v>
      </c>
      <c r="AG2807" t="s">
        <v>14758</v>
      </c>
      <c r="AH2807">
        <v>-0.5</v>
      </c>
      <c r="AI2807">
        <v>-4.06</v>
      </c>
      <c r="AJ2807">
        <v>5.51</v>
      </c>
      <c r="AK2807">
        <v>12.58</v>
      </c>
      <c r="AL2807">
        <v>1</v>
      </c>
      <c r="AM2807">
        <v>1.77</v>
      </c>
      <c r="AN2807">
        <v>29.26</v>
      </c>
      <c r="AO2807">
        <v>-1.23</v>
      </c>
      <c r="AP2807">
        <v>18.58</v>
      </c>
    </row>
    <row r="2808" spans="1:42">
      <c r="A2808">
        <v>2807</v>
      </c>
      <c r="B2808" t="str">
        <f>"688667"</f>
        <v>688667</v>
      </c>
      <c r="C2808" t="s">
        <v>14759</v>
      </c>
      <c r="D2808">
        <v>90.67</v>
      </c>
      <c r="E2808">
        <v>1.25</v>
      </c>
      <c r="F2808">
        <v>1.12</v>
      </c>
      <c r="G2808">
        <v>6712</v>
      </c>
      <c r="H2808">
        <v>33</v>
      </c>
      <c r="I2808">
        <v>90.67</v>
      </c>
      <c r="J2808">
        <v>90.7</v>
      </c>
      <c r="K2808" t="s">
        <v>14760</v>
      </c>
      <c r="L2808">
        <v>2.87</v>
      </c>
      <c r="M2808" t="s">
        <v>46</v>
      </c>
      <c r="N2808" t="s">
        <v>14761</v>
      </c>
      <c r="O2808">
        <v>90.74</v>
      </c>
      <c r="P2808">
        <v>87.55</v>
      </c>
      <c r="Q2808">
        <v>89.18</v>
      </c>
      <c r="R2808">
        <v>89.55</v>
      </c>
      <c r="S2808">
        <v>3.56</v>
      </c>
      <c r="T2808">
        <v>1.16</v>
      </c>
      <c r="U2808">
        <v>53.96</v>
      </c>
      <c r="V2808">
        <v>37</v>
      </c>
      <c r="W2808">
        <v>89.23</v>
      </c>
      <c r="X2808">
        <v>2625</v>
      </c>
      <c r="Y2808">
        <v>4088</v>
      </c>
      <c r="Z2808">
        <v>0.64</v>
      </c>
      <c r="AA2808">
        <v>9</v>
      </c>
      <c r="AB2808">
        <v>4</v>
      </c>
      <c r="AC2808">
        <v>2.97</v>
      </c>
      <c r="AD2808" t="s">
        <v>14762</v>
      </c>
      <c r="AE2808" t="s">
        <v>10803</v>
      </c>
      <c r="AF2808" t="s">
        <v>14763</v>
      </c>
      <c r="AG2808" t="s">
        <v>10773</v>
      </c>
      <c r="AH2808">
        <v>-2.47</v>
      </c>
      <c r="AI2808">
        <v>-1.85</v>
      </c>
      <c r="AJ2808">
        <v>8.22</v>
      </c>
      <c r="AK2808">
        <v>15.19</v>
      </c>
      <c r="AL2808">
        <v>1</v>
      </c>
      <c r="AM2808">
        <v>1.25</v>
      </c>
      <c r="AN2808">
        <v>4.37</v>
      </c>
      <c r="AO2808">
        <v>-3.73</v>
      </c>
      <c r="AP2808">
        <v>-5.88</v>
      </c>
    </row>
    <row r="2809" spans="1:42">
      <c r="A2809">
        <v>2808</v>
      </c>
      <c r="B2809" t="str">
        <f>"600756"</f>
        <v>600756</v>
      </c>
      <c r="C2809" t="s">
        <v>14764</v>
      </c>
      <c r="D2809">
        <v>14.8</v>
      </c>
      <c r="E2809">
        <v>2.64</v>
      </c>
      <c r="F2809">
        <v>0.38</v>
      </c>
      <c r="G2809" t="s">
        <v>2754</v>
      </c>
      <c r="H2809">
        <v>434</v>
      </c>
      <c r="I2809">
        <v>14.8</v>
      </c>
      <c r="J2809">
        <v>14.81</v>
      </c>
      <c r="K2809" t="s">
        <v>14765</v>
      </c>
      <c r="L2809">
        <v>1.26</v>
      </c>
      <c r="M2809" t="s">
        <v>46</v>
      </c>
      <c r="N2809" t="s">
        <v>2900</v>
      </c>
      <c r="O2809">
        <v>14.87</v>
      </c>
      <c r="P2809">
        <v>14.37</v>
      </c>
      <c r="Q2809">
        <v>14.42</v>
      </c>
      <c r="R2809">
        <v>14.42</v>
      </c>
      <c r="S2809">
        <v>3.47</v>
      </c>
      <c r="T2809">
        <v>1.05</v>
      </c>
      <c r="U2809">
        <v>-48.11</v>
      </c>
      <c r="V2809">
        <v>-701</v>
      </c>
      <c r="W2809">
        <v>14.66</v>
      </c>
      <c r="X2809" t="s">
        <v>2371</v>
      </c>
      <c r="Y2809" t="s">
        <v>6954</v>
      </c>
      <c r="Z2809">
        <v>0.59</v>
      </c>
      <c r="AA2809">
        <v>211</v>
      </c>
      <c r="AB2809">
        <v>41</v>
      </c>
      <c r="AC2809">
        <v>2.17</v>
      </c>
      <c r="AD2809" t="s">
        <v>7111</v>
      </c>
      <c r="AE2809" t="s">
        <v>9409</v>
      </c>
      <c r="AF2809" t="s">
        <v>7111</v>
      </c>
      <c r="AG2809" t="s">
        <v>9409</v>
      </c>
      <c r="AH2809">
        <v>0.82</v>
      </c>
      <c r="AI2809">
        <v>-0.94</v>
      </c>
      <c r="AJ2809">
        <v>3.41</v>
      </c>
      <c r="AK2809">
        <v>7.25</v>
      </c>
      <c r="AL2809">
        <v>1</v>
      </c>
      <c r="AM2809">
        <v>2.64</v>
      </c>
      <c r="AN2809">
        <v>9.31</v>
      </c>
      <c r="AO2809">
        <v>5.79</v>
      </c>
      <c r="AP2809">
        <v>2.49</v>
      </c>
    </row>
    <row r="2810" spans="1:42">
      <c r="A2810">
        <v>2809</v>
      </c>
      <c r="B2810" t="str">
        <f>"002787"</f>
        <v>002787</v>
      </c>
      <c r="C2810" t="s">
        <v>14766</v>
      </c>
      <c r="D2810">
        <v>9.88</v>
      </c>
      <c r="E2810">
        <v>0.61</v>
      </c>
      <c r="F2810">
        <v>0.06</v>
      </c>
      <c r="G2810" t="s">
        <v>7494</v>
      </c>
      <c r="H2810">
        <v>1229</v>
      </c>
      <c r="I2810">
        <v>9.87</v>
      </c>
      <c r="J2810">
        <v>9.88</v>
      </c>
      <c r="K2810" t="s">
        <v>14767</v>
      </c>
      <c r="L2810">
        <v>2.62</v>
      </c>
      <c r="M2810" t="s">
        <v>46</v>
      </c>
      <c r="N2810" t="s">
        <v>3355</v>
      </c>
      <c r="O2810">
        <v>9.96</v>
      </c>
      <c r="P2810">
        <v>9.71</v>
      </c>
      <c r="Q2810">
        <v>9.82</v>
      </c>
      <c r="R2810">
        <v>9.82</v>
      </c>
      <c r="S2810">
        <v>2.55</v>
      </c>
      <c r="T2810">
        <v>0.94</v>
      </c>
      <c r="U2810">
        <v>9.81</v>
      </c>
      <c r="V2810">
        <v>241</v>
      </c>
      <c r="W2810">
        <v>9.86</v>
      </c>
      <c r="X2810" t="s">
        <v>10810</v>
      </c>
      <c r="Y2810" t="s">
        <v>2727</v>
      </c>
      <c r="Z2810">
        <v>1.11</v>
      </c>
      <c r="AA2810">
        <v>37</v>
      </c>
      <c r="AB2810">
        <v>27</v>
      </c>
      <c r="AC2810">
        <v>2.2</v>
      </c>
      <c r="AD2810" t="s">
        <v>7447</v>
      </c>
      <c r="AE2810" t="s">
        <v>12683</v>
      </c>
      <c r="AF2810" t="s">
        <v>14768</v>
      </c>
      <c r="AG2810" t="s">
        <v>14769</v>
      </c>
      <c r="AH2810">
        <v>-1</v>
      </c>
      <c r="AI2810">
        <v>-3.52</v>
      </c>
      <c r="AJ2810">
        <v>7.8</v>
      </c>
      <c r="AK2810">
        <v>16.61</v>
      </c>
      <c r="AL2810">
        <v>1</v>
      </c>
      <c r="AM2810">
        <v>0.61</v>
      </c>
      <c r="AN2810">
        <v>63.85</v>
      </c>
      <c r="AO2810">
        <v>11.51</v>
      </c>
      <c r="AP2810">
        <v>48.35</v>
      </c>
    </row>
    <row r="2811" spans="1:42">
      <c r="A2811">
        <v>2810</v>
      </c>
      <c r="B2811" t="str">
        <f>"300562"</f>
        <v>300562</v>
      </c>
      <c r="C2811" t="s">
        <v>14770</v>
      </c>
      <c r="D2811">
        <v>12</v>
      </c>
      <c r="E2811">
        <v>0.42</v>
      </c>
      <c r="F2811">
        <v>0.05</v>
      </c>
      <c r="G2811" t="s">
        <v>4096</v>
      </c>
      <c r="H2811">
        <v>671</v>
      </c>
      <c r="I2811">
        <v>11.99</v>
      </c>
      <c r="J2811">
        <v>12</v>
      </c>
      <c r="K2811" t="s">
        <v>14771</v>
      </c>
      <c r="L2811">
        <v>3.15</v>
      </c>
      <c r="M2811" t="s">
        <v>46</v>
      </c>
      <c r="N2811" t="s">
        <v>10933</v>
      </c>
      <c r="O2811">
        <v>12.1</v>
      </c>
      <c r="P2811">
        <v>11.83</v>
      </c>
      <c r="Q2811">
        <v>11.95</v>
      </c>
      <c r="R2811">
        <v>11.95</v>
      </c>
      <c r="S2811">
        <v>2.26</v>
      </c>
      <c r="T2811">
        <v>1.07</v>
      </c>
      <c r="U2811">
        <v>-24.49</v>
      </c>
      <c r="V2811">
        <v>-386</v>
      </c>
      <c r="W2811">
        <v>11.99</v>
      </c>
      <c r="X2811" t="s">
        <v>48</v>
      </c>
      <c r="Y2811" t="s">
        <v>8396</v>
      </c>
      <c r="Z2811">
        <v>1</v>
      </c>
      <c r="AA2811">
        <v>193</v>
      </c>
      <c r="AB2811">
        <v>11</v>
      </c>
      <c r="AC2811">
        <v>2.54</v>
      </c>
      <c r="AD2811" t="s">
        <v>8455</v>
      </c>
      <c r="AE2811" t="s">
        <v>14033</v>
      </c>
      <c r="AF2811" t="s">
        <v>12481</v>
      </c>
      <c r="AG2811" t="s">
        <v>2503</v>
      </c>
      <c r="AH2811">
        <v>0.17</v>
      </c>
      <c r="AI2811">
        <v>-0.99</v>
      </c>
      <c r="AJ2811">
        <v>7.97</v>
      </c>
      <c r="AK2811">
        <v>17.93</v>
      </c>
      <c r="AL2811">
        <v>2</v>
      </c>
      <c r="AM2811">
        <v>0.42</v>
      </c>
      <c r="AN2811">
        <v>5.73</v>
      </c>
      <c r="AO2811">
        <v>5.82</v>
      </c>
      <c r="AP2811">
        <v>21.58</v>
      </c>
    </row>
    <row r="2812" spans="1:42">
      <c r="A2812">
        <v>2811</v>
      </c>
      <c r="B2812" t="str">
        <f>"000012"</f>
        <v>000012</v>
      </c>
      <c r="C2812" t="s">
        <v>14772</v>
      </c>
      <c r="D2812">
        <v>5.58</v>
      </c>
      <c r="E2812">
        <v>0</v>
      </c>
      <c r="F2812">
        <v>0</v>
      </c>
      <c r="G2812" t="s">
        <v>1909</v>
      </c>
      <c r="H2812">
        <v>3281</v>
      </c>
      <c r="I2812">
        <v>5.57</v>
      </c>
      <c r="J2812">
        <v>5.58</v>
      </c>
      <c r="K2812" t="s">
        <v>14773</v>
      </c>
      <c r="L2812">
        <v>0.55</v>
      </c>
      <c r="M2812" t="s">
        <v>46</v>
      </c>
      <c r="N2812" t="s">
        <v>2983</v>
      </c>
      <c r="O2812">
        <v>5.6</v>
      </c>
      <c r="P2812">
        <v>5.53</v>
      </c>
      <c r="Q2812">
        <v>5.59</v>
      </c>
      <c r="R2812">
        <v>5.58</v>
      </c>
      <c r="S2812">
        <v>1.25</v>
      </c>
      <c r="T2812">
        <v>0.89</v>
      </c>
      <c r="U2812">
        <v>-11.4</v>
      </c>
      <c r="V2812">
        <v>-2697</v>
      </c>
      <c r="W2812">
        <v>5.56</v>
      </c>
      <c r="X2812" t="s">
        <v>4517</v>
      </c>
      <c r="Y2812" t="s">
        <v>6560</v>
      </c>
      <c r="Z2812">
        <v>1.34</v>
      </c>
      <c r="AA2812">
        <v>765</v>
      </c>
      <c r="AB2812">
        <v>4045</v>
      </c>
      <c r="AC2812">
        <v>1.24</v>
      </c>
      <c r="AD2812" t="s">
        <v>9966</v>
      </c>
      <c r="AE2812" t="s">
        <v>5801</v>
      </c>
      <c r="AF2812" t="s">
        <v>14774</v>
      </c>
      <c r="AG2812" t="s">
        <v>14267</v>
      </c>
      <c r="AH2812">
        <v>0.36</v>
      </c>
      <c r="AI2812">
        <v>0.9</v>
      </c>
      <c r="AJ2812">
        <v>1.77</v>
      </c>
      <c r="AK2812">
        <v>3.62</v>
      </c>
      <c r="AL2812">
        <v>0</v>
      </c>
      <c r="AM2812">
        <v>0</v>
      </c>
      <c r="AN2812">
        <v>-14.94</v>
      </c>
      <c r="AO2812">
        <v>2.76</v>
      </c>
      <c r="AP2812">
        <v>-19.01</v>
      </c>
    </row>
    <row r="2813" spans="1:42">
      <c r="A2813">
        <v>2812</v>
      </c>
      <c r="B2813" t="str">
        <f>"002701"</f>
        <v>002701</v>
      </c>
      <c r="C2813" t="s">
        <v>14775</v>
      </c>
      <c r="D2813">
        <v>4.28</v>
      </c>
      <c r="E2813">
        <v>0.71</v>
      </c>
      <c r="F2813">
        <v>0.03</v>
      </c>
      <c r="G2813" t="s">
        <v>960</v>
      </c>
      <c r="H2813">
        <v>1736</v>
      </c>
      <c r="I2813">
        <v>4.27</v>
      </c>
      <c r="J2813">
        <v>4.28</v>
      </c>
      <c r="K2813" t="s">
        <v>14776</v>
      </c>
      <c r="L2813">
        <v>0.55</v>
      </c>
      <c r="M2813" t="s">
        <v>46</v>
      </c>
      <c r="N2813" t="s">
        <v>2466</v>
      </c>
      <c r="O2813">
        <v>4.28</v>
      </c>
      <c r="P2813">
        <v>4.22</v>
      </c>
      <c r="Q2813">
        <v>4.25</v>
      </c>
      <c r="R2813">
        <v>4.25</v>
      </c>
      <c r="S2813">
        <v>1.41</v>
      </c>
      <c r="T2813">
        <v>0.87</v>
      </c>
      <c r="U2813">
        <v>-20.78</v>
      </c>
      <c r="V2813">
        <v>-6312</v>
      </c>
      <c r="W2813">
        <v>4.26</v>
      </c>
      <c r="X2813" t="s">
        <v>1503</v>
      </c>
      <c r="Y2813" t="s">
        <v>14777</v>
      </c>
      <c r="Z2813">
        <v>0.68</v>
      </c>
      <c r="AA2813">
        <v>824</v>
      </c>
      <c r="AB2813">
        <v>3970</v>
      </c>
      <c r="AC2813">
        <v>1.28</v>
      </c>
      <c r="AD2813" t="s">
        <v>12121</v>
      </c>
      <c r="AE2813" t="s">
        <v>10888</v>
      </c>
      <c r="AF2813" t="s">
        <v>14778</v>
      </c>
      <c r="AG2813" t="s">
        <v>694</v>
      </c>
      <c r="AH2813">
        <v>-0.93</v>
      </c>
      <c r="AI2813">
        <v>-2.73</v>
      </c>
      <c r="AJ2813">
        <v>1.93</v>
      </c>
      <c r="AK2813">
        <v>3.7</v>
      </c>
      <c r="AL2813">
        <v>1</v>
      </c>
      <c r="AM2813">
        <v>0.71</v>
      </c>
      <c r="AN2813">
        <v>-13.18</v>
      </c>
      <c r="AO2813">
        <v>-2.28</v>
      </c>
      <c r="AP2813">
        <v>-13.18</v>
      </c>
    </row>
    <row r="2814" spans="1:42">
      <c r="A2814">
        <v>2813</v>
      </c>
      <c r="B2814" t="str">
        <f>"603050"</f>
        <v>603050</v>
      </c>
      <c r="C2814" t="s">
        <v>14779</v>
      </c>
      <c r="D2814">
        <v>17.76</v>
      </c>
      <c r="E2814">
        <v>-0.39</v>
      </c>
      <c r="F2814">
        <v>-0.07</v>
      </c>
      <c r="G2814" t="s">
        <v>6365</v>
      </c>
      <c r="H2814">
        <v>214</v>
      </c>
      <c r="I2814">
        <v>17.76</v>
      </c>
      <c r="J2814">
        <v>17.77</v>
      </c>
      <c r="K2814" t="s">
        <v>14780</v>
      </c>
      <c r="L2814">
        <v>1.48</v>
      </c>
      <c r="M2814" t="s">
        <v>46</v>
      </c>
      <c r="N2814" t="s">
        <v>5803</v>
      </c>
      <c r="O2814">
        <v>18.08</v>
      </c>
      <c r="P2814">
        <v>17.61</v>
      </c>
      <c r="Q2814">
        <v>17.88</v>
      </c>
      <c r="R2814">
        <v>17.83</v>
      </c>
      <c r="S2814">
        <v>2.64</v>
      </c>
      <c r="T2814">
        <v>0.77</v>
      </c>
      <c r="U2814">
        <v>16.82</v>
      </c>
      <c r="V2814">
        <v>275</v>
      </c>
      <c r="W2814">
        <v>17.79</v>
      </c>
      <c r="X2814" t="s">
        <v>6012</v>
      </c>
      <c r="Y2814" t="s">
        <v>2371</v>
      </c>
      <c r="Z2814">
        <v>1.22</v>
      </c>
      <c r="AA2814">
        <v>264</v>
      </c>
      <c r="AB2814">
        <v>112</v>
      </c>
      <c r="AC2814">
        <v>2.77</v>
      </c>
      <c r="AD2814" t="s">
        <v>14781</v>
      </c>
      <c r="AE2814" t="s">
        <v>14782</v>
      </c>
      <c r="AF2814" t="s">
        <v>14781</v>
      </c>
      <c r="AG2814" t="s">
        <v>14782</v>
      </c>
      <c r="AH2814">
        <v>-2.47</v>
      </c>
      <c r="AI2814">
        <v>-0.89</v>
      </c>
      <c r="AJ2814">
        <v>5.36</v>
      </c>
      <c r="AK2814">
        <v>11.13</v>
      </c>
      <c r="AL2814">
        <v>-3</v>
      </c>
      <c r="AM2814">
        <v>-0.39</v>
      </c>
      <c r="AN2814">
        <v>63.24</v>
      </c>
      <c r="AO2814">
        <v>8.82</v>
      </c>
      <c r="AP2814">
        <v>49.24</v>
      </c>
    </row>
    <row r="2815" spans="1:42">
      <c r="A2815">
        <v>2814</v>
      </c>
      <c r="B2815" t="str">
        <f>"301119"</f>
        <v>301119</v>
      </c>
      <c r="C2815" t="s">
        <v>14783</v>
      </c>
      <c r="D2815">
        <v>28.27</v>
      </c>
      <c r="E2815">
        <v>-1.08</v>
      </c>
      <c r="F2815">
        <v>-0.31</v>
      </c>
      <c r="G2815" t="s">
        <v>7210</v>
      </c>
      <c r="H2815">
        <v>367</v>
      </c>
      <c r="I2815">
        <v>28.27</v>
      </c>
      <c r="J2815">
        <v>28.28</v>
      </c>
      <c r="K2815" t="s">
        <v>14784</v>
      </c>
      <c r="L2815">
        <v>7.78</v>
      </c>
      <c r="M2815" t="s">
        <v>46</v>
      </c>
      <c r="N2815" t="s">
        <v>4723</v>
      </c>
      <c r="O2815">
        <v>28.77</v>
      </c>
      <c r="P2815">
        <v>27.4</v>
      </c>
      <c r="Q2815">
        <v>28.48</v>
      </c>
      <c r="R2815">
        <v>28.58</v>
      </c>
      <c r="S2815">
        <v>4.79</v>
      </c>
      <c r="T2815">
        <v>0.67</v>
      </c>
      <c r="U2815">
        <v>-5.71</v>
      </c>
      <c r="V2815">
        <v>-16</v>
      </c>
      <c r="W2815">
        <v>28.04</v>
      </c>
      <c r="X2815" t="s">
        <v>4443</v>
      </c>
      <c r="Y2815" t="s">
        <v>1646</v>
      </c>
      <c r="Z2815">
        <v>1.07</v>
      </c>
      <c r="AA2815">
        <v>6</v>
      </c>
      <c r="AB2815">
        <v>32</v>
      </c>
      <c r="AC2815">
        <v>3.15</v>
      </c>
      <c r="AD2815" t="s">
        <v>4056</v>
      </c>
      <c r="AE2815" t="s">
        <v>14496</v>
      </c>
      <c r="AF2815" t="s">
        <v>14785</v>
      </c>
      <c r="AG2815" t="s">
        <v>11362</v>
      </c>
      <c r="AH2815">
        <v>-4.23</v>
      </c>
      <c r="AI2815">
        <v>-2.04</v>
      </c>
      <c r="AJ2815">
        <v>32.04</v>
      </c>
      <c r="AK2815">
        <v>66</v>
      </c>
      <c r="AL2815">
        <v>-3</v>
      </c>
      <c r="AM2815">
        <v>-1.08</v>
      </c>
      <c r="AN2815">
        <v>40.23</v>
      </c>
      <c r="AO2815">
        <v>7.25</v>
      </c>
      <c r="AP2815">
        <v>27.46</v>
      </c>
    </row>
    <row r="2816" spans="1:42">
      <c r="A2816">
        <v>2815</v>
      </c>
      <c r="B2816" t="str">
        <f>"300586"</f>
        <v>300586</v>
      </c>
      <c r="C2816" t="s">
        <v>14786</v>
      </c>
      <c r="D2816">
        <v>8.56</v>
      </c>
      <c r="E2816">
        <v>-1.72</v>
      </c>
      <c r="F2816">
        <v>-0.15</v>
      </c>
      <c r="G2816" t="s">
        <v>6754</v>
      </c>
      <c r="H2816">
        <v>637</v>
      </c>
      <c r="I2816">
        <v>8.56</v>
      </c>
      <c r="J2816">
        <v>8.57</v>
      </c>
      <c r="K2816" t="s">
        <v>14787</v>
      </c>
      <c r="L2816">
        <v>1.3</v>
      </c>
      <c r="M2816" t="s">
        <v>46</v>
      </c>
      <c r="N2816" t="s">
        <v>5236</v>
      </c>
      <c r="O2816">
        <v>8.71</v>
      </c>
      <c r="P2816">
        <v>8.49</v>
      </c>
      <c r="Q2816">
        <v>8.71</v>
      </c>
      <c r="R2816">
        <v>8.71</v>
      </c>
      <c r="S2816">
        <v>2.53</v>
      </c>
      <c r="T2816">
        <v>1.12</v>
      </c>
      <c r="U2816">
        <v>52.67</v>
      </c>
      <c r="V2816">
        <v>1420</v>
      </c>
      <c r="W2816">
        <v>8.56</v>
      </c>
      <c r="X2816" t="s">
        <v>3304</v>
      </c>
      <c r="Y2816" t="s">
        <v>299</v>
      </c>
      <c r="Z2816">
        <v>1.89</v>
      </c>
      <c r="AA2816">
        <v>123</v>
      </c>
      <c r="AB2816">
        <v>40</v>
      </c>
      <c r="AC2816">
        <v>3.18</v>
      </c>
      <c r="AD2816" t="s">
        <v>14788</v>
      </c>
      <c r="AE2816" t="s">
        <v>14789</v>
      </c>
      <c r="AF2816" t="s">
        <v>14790</v>
      </c>
      <c r="AG2816" t="s">
        <v>14791</v>
      </c>
      <c r="AH2816">
        <v>-6.86</v>
      </c>
      <c r="AI2816">
        <v>-8.84</v>
      </c>
      <c r="AJ2816">
        <v>3.63</v>
      </c>
      <c r="AK2816">
        <v>7.13</v>
      </c>
      <c r="AL2816">
        <v>-3</v>
      </c>
      <c r="AM2816">
        <v>-1.72</v>
      </c>
      <c r="AN2816">
        <v>-36.4</v>
      </c>
      <c r="AO2816">
        <v>-7.06</v>
      </c>
      <c r="AP2816">
        <v>-47.65</v>
      </c>
    </row>
    <row r="2817" spans="1:42">
      <c r="A2817">
        <v>2816</v>
      </c>
      <c r="B2817" t="str">
        <f>"688533"</f>
        <v>688533</v>
      </c>
      <c r="C2817" t="s">
        <v>14792</v>
      </c>
      <c r="D2817">
        <v>44.9</v>
      </c>
      <c r="E2817">
        <v>-1.28</v>
      </c>
      <c r="F2817">
        <v>-0.58</v>
      </c>
      <c r="G2817" t="s">
        <v>1777</v>
      </c>
      <c r="H2817">
        <v>54</v>
      </c>
      <c r="I2817">
        <v>44.88</v>
      </c>
      <c r="J2817">
        <v>44.9</v>
      </c>
      <c r="K2817" t="s">
        <v>14793</v>
      </c>
      <c r="L2817">
        <v>3.34</v>
      </c>
      <c r="M2817" t="s">
        <v>46</v>
      </c>
      <c r="N2817" t="s">
        <v>5929</v>
      </c>
      <c r="O2817">
        <v>45.32</v>
      </c>
      <c r="P2817">
        <v>43.81</v>
      </c>
      <c r="Q2817">
        <v>45.21</v>
      </c>
      <c r="R2817">
        <v>45.48</v>
      </c>
      <c r="S2817">
        <v>3.32</v>
      </c>
      <c r="T2817">
        <v>1.01</v>
      </c>
      <c r="U2817">
        <v>-26.5</v>
      </c>
      <c r="V2817">
        <v>-29</v>
      </c>
      <c r="W2817">
        <v>44.52</v>
      </c>
      <c r="X2817">
        <v>8710</v>
      </c>
      <c r="Y2817">
        <v>4663</v>
      </c>
      <c r="Z2817">
        <v>1.87</v>
      </c>
      <c r="AA2817">
        <v>10</v>
      </c>
      <c r="AB2817">
        <v>18</v>
      </c>
      <c r="AC2817">
        <v>5.69</v>
      </c>
      <c r="AD2817" t="s">
        <v>2521</v>
      </c>
      <c r="AE2817" t="s">
        <v>8553</v>
      </c>
      <c r="AF2817" t="s">
        <v>6569</v>
      </c>
      <c r="AG2817" t="s">
        <v>7942</v>
      </c>
      <c r="AH2817">
        <v>-3</v>
      </c>
      <c r="AI2817">
        <v>-5.69</v>
      </c>
      <c r="AJ2817">
        <v>10.16</v>
      </c>
      <c r="AK2817">
        <v>19.89</v>
      </c>
      <c r="AL2817">
        <v>-2</v>
      </c>
      <c r="AM2817">
        <v>-1.28</v>
      </c>
      <c r="AN2817">
        <v>-21.53</v>
      </c>
      <c r="AO2817">
        <v>2.58</v>
      </c>
      <c r="AP2817">
        <v>-15.09</v>
      </c>
    </row>
    <row r="2818" spans="1:42">
      <c r="A2818">
        <v>2817</v>
      </c>
      <c r="B2818" t="str">
        <f>"688592"</f>
        <v>688592</v>
      </c>
      <c r="C2818" t="s">
        <v>14794</v>
      </c>
      <c r="D2818">
        <v>57.72</v>
      </c>
      <c r="E2818">
        <v>-1.15</v>
      </c>
      <c r="F2818">
        <v>-0.67</v>
      </c>
      <c r="G2818" t="s">
        <v>1154</v>
      </c>
      <c r="H2818">
        <v>197</v>
      </c>
      <c r="I2818">
        <v>57.72</v>
      </c>
      <c r="J2818">
        <v>57.79</v>
      </c>
      <c r="K2818" t="s">
        <v>14795</v>
      </c>
      <c r="L2818">
        <v>8.09</v>
      </c>
      <c r="M2818" t="s">
        <v>46</v>
      </c>
      <c r="N2818" t="s">
        <v>8184</v>
      </c>
      <c r="O2818">
        <v>58.88</v>
      </c>
      <c r="P2818">
        <v>56.98</v>
      </c>
      <c r="Q2818">
        <v>58.12</v>
      </c>
      <c r="R2818">
        <v>58.39</v>
      </c>
      <c r="S2818">
        <v>3.25</v>
      </c>
      <c r="T2818">
        <v>0.96</v>
      </c>
      <c r="U2818">
        <v>56.7</v>
      </c>
      <c r="V2818">
        <v>73</v>
      </c>
      <c r="W2818">
        <v>57.75</v>
      </c>
      <c r="X2818">
        <v>5408</v>
      </c>
      <c r="Y2818">
        <v>4898</v>
      </c>
      <c r="Z2818">
        <v>1.1</v>
      </c>
      <c r="AA2818">
        <v>43</v>
      </c>
      <c r="AB2818">
        <v>2</v>
      </c>
      <c r="AC2818">
        <v>3.63</v>
      </c>
      <c r="AD2818" t="s">
        <v>14455</v>
      </c>
      <c r="AE2818" t="s">
        <v>9618</v>
      </c>
      <c r="AF2818" t="s">
        <v>14796</v>
      </c>
      <c r="AG2818" t="s">
        <v>14797</v>
      </c>
      <c r="AH2818">
        <v>-7.37</v>
      </c>
      <c r="AI2818">
        <v>-6.33</v>
      </c>
      <c r="AJ2818">
        <v>23.2</v>
      </c>
      <c r="AK2818">
        <v>50.32</v>
      </c>
      <c r="AL2818">
        <v>-4</v>
      </c>
      <c r="AM2818">
        <v>-1.15</v>
      </c>
      <c r="AN2818">
        <v>14.57</v>
      </c>
      <c r="AO2818">
        <v>2.54</v>
      </c>
      <c r="AP2818">
        <v>14.57</v>
      </c>
    </row>
    <row r="2819" spans="1:42">
      <c r="A2819">
        <v>2818</v>
      </c>
      <c r="B2819" t="str">
        <f>"603895"</f>
        <v>603895</v>
      </c>
      <c r="C2819" t="s">
        <v>14798</v>
      </c>
      <c r="D2819">
        <v>25.77</v>
      </c>
      <c r="E2819">
        <v>-3.37</v>
      </c>
      <c r="F2819">
        <v>-0.9</v>
      </c>
      <c r="G2819" t="s">
        <v>1710</v>
      </c>
      <c r="H2819">
        <v>358</v>
      </c>
      <c r="I2819">
        <v>25.77</v>
      </c>
      <c r="J2819">
        <v>25.79</v>
      </c>
      <c r="K2819" t="s">
        <v>14799</v>
      </c>
      <c r="L2819">
        <v>2.13</v>
      </c>
      <c r="M2819" t="s">
        <v>46</v>
      </c>
      <c r="N2819" t="s">
        <v>2682</v>
      </c>
      <c r="O2819">
        <v>26.65</v>
      </c>
      <c r="P2819">
        <v>25.6</v>
      </c>
      <c r="Q2819">
        <v>26.39</v>
      </c>
      <c r="R2819">
        <v>26.67</v>
      </c>
      <c r="S2819">
        <v>3.94</v>
      </c>
      <c r="T2819">
        <v>1.87</v>
      </c>
      <c r="U2819">
        <v>48</v>
      </c>
      <c r="V2819">
        <v>120</v>
      </c>
      <c r="W2819">
        <v>25.82</v>
      </c>
      <c r="X2819" t="s">
        <v>209</v>
      </c>
      <c r="Y2819" t="s">
        <v>1154</v>
      </c>
      <c r="Z2819">
        <v>1.24</v>
      </c>
      <c r="AA2819">
        <v>142</v>
      </c>
      <c r="AB2819">
        <v>2</v>
      </c>
      <c r="AC2819">
        <v>5.8</v>
      </c>
      <c r="AD2819" t="s">
        <v>14800</v>
      </c>
      <c r="AE2819" t="s">
        <v>11145</v>
      </c>
      <c r="AF2819" t="s">
        <v>14800</v>
      </c>
      <c r="AG2819" t="s">
        <v>11145</v>
      </c>
      <c r="AH2819">
        <v>-1.26</v>
      </c>
      <c r="AI2819">
        <v>-0.66</v>
      </c>
      <c r="AJ2819">
        <v>5.23</v>
      </c>
      <c r="AK2819">
        <v>7.84</v>
      </c>
      <c r="AL2819">
        <v>-1</v>
      </c>
      <c r="AM2819">
        <v>-3.37</v>
      </c>
      <c r="AN2819">
        <v>6.75</v>
      </c>
      <c r="AO2819">
        <v>10.13</v>
      </c>
      <c r="AP2819">
        <v>10.65</v>
      </c>
    </row>
    <row r="2820" spans="1:42">
      <c r="A2820">
        <v>2819</v>
      </c>
      <c r="B2820" t="str">
        <f>"002783"</f>
        <v>002783</v>
      </c>
      <c r="C2820" t="s">
        <v>14801</v>
      </c>
      <c r="D2820">
        <v>9.44</v>
      </c>
      <c r="E2820">
        <v>-0.21</v>
      </c>
      <c r="F2820">
        <v>-0.02</v>
      </c>
      <c r="G2820" t="s">
        <v>2705</v>
      </c>
      <c r="H2820">
        <v>480</v>
      </c>
      <c r="I2820">
        <v>9.44</v>
      </c>
      <c r="J2820">
        <v>9.45</v>
      </c>
      <c r="K2820" t="s">
        <v>14802</v>
      </c>
      <c r="L2820">
        <v>1.83</v>
      </c>
      <c r="M2820" t="s">
        <v>46</v>
      </c>
      <c r="N2820" t="s">
        <v>5862</v>
      </c>
      <c r="O2820">
        <v>9.51</v>
      </c>
      <c r="P2820">
        <v>9.39</v>
      </c>
      <c r="Q2820">
        <v>9.47</v>
      </c>
      <c r="R2820">
        <v>9.46</v>
      </c>
      <c r="S2820">
        <v>1.27</v>
      </c>
      <c r="T2820">
        <v>0.72</v>
      </c>
      <c r="U2820">
        <v>28.46</v>
      </c>
      <c r="V2820">
        <v>1036</v>
      </c>
      <c r="W2820">
        <v>9.44</v>
      </c>
      <c r="X2820" t="s">
        <v>6025</v>
      </c>
      <c r="Y2820" t="s">
        <v>6418</v>
      </c>
      <c r="Z2820">
        <v>1.23</v>
      </c>
      <c r="AA2820">
        <v>842</v>
      </c>
      <c r="AB2820">
        <v>377</v>
      </c>
      <c r="AC2820">
        <v>2.37</v>
      </c>
      <c r="AD2820" t="s">
        <v>14803</v>
      </c>
      <c r="AE2820" t="s">
        <v>14804</v>
      </c>
      <c r="AF2820" t="s">
        <v>7951</v>
      </c>
      <c r="AG2820" t="s">
        <v>5575</v>
      </c>
      <c r="AH2820">
        <v>-2.18</v>
      </c>
      <c r="AI2820">
        <v>-2.78</v>
      </c>
      <c r="AJ2820">
        <v>5.73</v>
      </c>
      <c r="AK2820">
        <v>14.51</v>
      </c>
      <c r="AL2820">
        <v>-3</v>
      </c>
      <c r="AM2820">
        <v>-0.21</v>
      </c>
      <c r="AN2820">
        <v>12.51</v>
      </c>
      <c r="AO2820">
        <v>-6.81</v>
      </c>
      <c r="AP2820">
        <v>7.03</v>
      </c>
    </row>
    <row r="2821" spans="1:42">
      <c r="A2821">
        <v>2820</v>
      </c>
      <c r="B2821" t="str">
        <f>"300873"</f>
        <v>300873</v>
      </c>
      <c r="C2821" t="s">
        <v>14805</v>
      </c>
      <c r="D2821">
        <v>23.72</v>
      </c>
      <c r="E2821">
        <v>-0.84</v>
      </c>
      <c r="F2821">
        <v>-0.2</v>
      </c>
      <c r="G2821" t="s">
        <v>48</v>
      </c>
      <c r="H2821">
        <v>666</v>
      </c>
      <c r="I2821">
        <v>23.71</v>
      </c>
      <c r="J2821">
        <v>23.72</v>
      </c>
      <c r="K2821" t="s">
        <v>14806</v>
      </c>
      <c r="L2821">
        <v>1.51</v>
      </c>
      <c r="M2821" t="s">
        <v>46</v>
      </c>
      <c r="N2821" t="s">
        <v>2113</v>
      </c>
      <c r="O2821">
        <v>24.3</v>
      </c>
      <c r="P2821">
        <v>23.62</v>
      </c>
      <c r="Q2821">
        <v>24.06</v>
      </c>
      <c r="R2821">
        <v>23.92</v>
      </c>
      <c r="S2821">
        <v>2.84</v>
      </c>
      <c r="T2821">
        <v>0.42</v>
      </c>
      <c r="U2821">
        <v>38.64</v>
      </c>
      <c r="V2821">
        <v>262</v>
      </c>
      <c r="W2821">
        <v>23.85</v>
      </c>
      <c r="X2821" t="s">
        <v>4525</v>
      </c>
      <c r="Y2821" t="s">
        <v>2807</v>
      </c>
      <c r="Z2821">
        <v>1.25</v>
      </c>
      <c r="AA2821">
        <v>61</v>
      </c>
      <c r="AB2821">
        <v>36</v>
      </c>
      <c r="AC2821">
        <v>1.94</v>
      </c>
      <c r="AD2821" t="s">
        <v>13409</v>
      </c>
      <c r="AE2821" t="s">
        <v>13230</v>
      </c>
      <c r="AF2821" t="s">
        <v>14807</v>
      </c>
      <c r="AG2821" t="s">
        <v>14808</v>
      </c>
      <c r="AH2821">
        <v>-1.9</v>
      </c>
      <c r="AI2821">
        <v>7.72</v>
      </c>
      <c r="AJ2821">
        <v>8.14</v>
      </c>
      <c r="AK2821">
        <v>19.56</v>
      </c>
      <c r="AL2821">
        <v>-3</v>
      </c>
      <c r="AM2821">
        <v>-0.84</v>
      </c>
      <c r="AN2821">
        <v>-11.49</v>
      </c>
      <c r="AO2821">
        <v>7.67</v>
      </c>
      <c r="AP2821">
        <v>-14.77</v>
      </c>
    </row>
    <row r="2822" spans="1:42">
      <c r="A2822">
        <v>2821</v>
      </c>
      <c r="B2822" t="str">
        <f>"000558"</f>
        <v>000558</v>
      </c>
      <c r="C2822" t="s">
        <v>14809</v>
      </c>
      <c r="D2822">
        <v>2.89</v>
      </c>
      <c r="E2822">
        <v>1.05</v>
      </c>
      <c r="F2822">
        <v>0.03</v>
      </c>
      <c r="G2822" t="s">
        <v>3809</v>
      </c>
      <c r="H2822">
        <v>1872</v>
      </c>
      <c r="I2822">
        <v>2.89</v>
      </c>
      <c r="J2822">
        <v>2.9</v>
      </c>
      <c r="K2822" t="s">
        <v>14810</v>
      </c>
      <c r="L2822">
        <v>1.6</v>
      </c>
      <c r="M2822" t="s">
        <v>46</v>
      </c>
      <c r="N2822" t="s">
        <v>1694</v>
      </c>
      <c r="O2822">
        <v>2.91</v>
      </c>
      <c r="P2822">
        <v>2.85</v>
      </c>
      <c r="Q2822">
        <v>2.86</v>
      </c>
      <c r="R2822">
        <v>2.86</v>
      </c>
      <c r="S2822">
        <v>2.1</v>
      </c>
      <c r="T2822">
        <v>1.04</v>
      </c>
      <c r="U2822">
        <v>-32.04</v>
      </c>
      <c r="V2822" t="s">
        <v>14508</v>
      </c>
      <c r="W2822">
        <v>2.88</v>
      </c>
      <c r="X2822" t="s">
        <v>8933</v>
      </c>
      <c r="Y2822" t="s">
        <v>829</v>
      </c>
      <c r="Z2822">
        <v>0.85</v>
      </c>
      <c r="AA2822">
        <v>2321</v>
      </c>
      <c r="AB2822">
        <v>6095</v>
      </c>
      <c r="AC2822">
        <v>3.41</v>
      </c>
      <c r="AD2822" t="s">
        <v>13925</v>
      </c>
      <c r="AE2822" t="s">
        <v>14811</v>
      </c>
      <c r="AF2822" t="s">
        <v>13925</v>
      </c>
      <c r="AG2822" t="s">
        <v>5198</v>
      </c>
      <c r="AH2822">
        <v>0.35</v>
      </c>
      <c r="AI2822">
        <v>-2.69</v>
      </c>
      <c r="AJ2822">
        <v>4.57</v>
      </c>
      <c r="AK2822">
        <v>9.29</v>
      </c>
      <c r="AL2822">
        <v>2</v>
      </c>
      <c r="AM2822">
        <v>1.05</v>
      </c>
      <c r="AN2822">
        <v>0.35</v>
      </c>
      <c r="AO2822">
        <v>5.09</v>
      </c>
      <c r="AP2822">
        <v>-5.25</v>
      </c>
    </row>
    <row r="2823" spans="1:42">
      <c r="A2823">
        <v>2822</v>
      </c>
      <c r="B2823" t="str">
        <f>"300990"</f>
        <v>300990</v>
      </c>
      <c r="C2823" t="s">
        <v>14812</v>
      </c>
      <c r="D2823">
        <v>45</v>
      </c>
      <c r="E2823">
        <v>-0.42</v>
      </c>
      <c r="F2823">
        <v>-0.19</v>
      </c>
      <c r="G2823" t="s">
        <v>1967</v>
      </c>
      <c r="H2823">
        <v>95</v>
      </c>
      <c r="I2823">
        <v>44.99</v>
      </c>
      <c r="J2823">
        <v>45</v>
      </c>
      <c r="K2823" t="s">
        <v>14813</v>
      </c>
      <c r="L2823">
        <v>3.13</v>
      </c>
      <c r="M2823" t="s">
        <v>46</v>
      </c>
      <c r="N2823" t="s">
        <v>6443</v>
      </c>
      <c r="O2823">
        <v>45.45</v>
      </c>
      <c r="P2823">
        <v>44.68</v>
      </c>
      <c r="Q2823">
        <v>44.98</v>
      </c>
      <c r="R2823">
        <v>45.19</v>
      </c>
      <c r="S2823">
        <v>1.7</v>
      </c>
      <c r="T2823">
        <v>0.83</v>
      </c>
      <c r="U2823">
        <v>-7.32</v>
      </c>
      <c r="V2823">
        <v>-12</v>
      </c>
      <c r="W2823">
        <v>44.98</v>
      </c>
      <c r="X2823">
        <v>6680</v>
      </c>
      <c r="Y2823">
        <v>6525</v>
      </c>
      <c r="Z2823">
        <v>1.02</v>
      </c>
      <c r="AA2823">
        <v>22</v>
      </c>
      <c r="AB2823">
        <v>26</v>
      </c>
      <c r="AC2823">
        <v>4.43</v>
      </c>
      <c r="AD2823" t="s">
        <v>7222</v>
      </c>
      <c r="AE2823" t="s">
        <v>14814</v>
      </c>
      <c r="AF2823" t="s">
        <v>14815</v>
      </c>
      <c r="AG2823" t="s">
        <v>14816</v>
      </c>
      <c r="AH2823">
        <v>-0.99</v>
      </c>
      <c r="AI2823">
        <v>-2.15</v>
      </c>
      <c r="AJ2823">
        <v>11.23</v>
      </c>
      <c r="AK2823">
        <v>22.01</v>
      </c>
      <c r="AL2823">
        <v>-2</v>
      </c>
      <c r="AM2823">
        <v>-0.42</v>
      </c>
      <c r="AN2823">
        <v>-11.07</v>
      </c>
      <c r="AO2823">
        <v>-1.6</v>
      </c>
      <c r="AP2823">
        <v>-21</v>
      </c>
    </row>
    <row r="2824" spans="1:42">
      <c r="A2824">
        <v>2823</v>
      </c>
      <c r="B2824" t="str">
        <f>"601216"</f>
        <v>601216</v>
      </c>
      <c r="C2824" t="s">
        <v>14817</v>
      </c>
      <c r="D2824">
        <v>3.89</v>
      </c>
      <c r="E2824">
        <v>0.26</v>
      </c>
      <c r="F2824">
        <v>0.01</v>
      </c>
      <c r="G2824" t="s">
        <v>978</v>
      </c>
      <c r="H2824">
        <v>859</v>
      </c>
      <c r="I2824">
        <v>3.88</v>
      </c>
      <c r="J2824">
        <v>3.89</v>
      </c>
      <c r="K2824" t="s">
        <v>14818</v>
      </c>
      <c r="L2824">
        <v>0.18</v>
      </c>
      <c r="M2824" t="s">
        <v>46</v>
      </c>
      <c r="N2824" t="s">
        <v>2055</v>
      </c>
      <c r="O2824">
        <v>3.9</v>
      </c>
      <c r="P2824">
        <v>3.85</v>
      </c>
      <c r="Q2824">
        <v>3.88</v>
      </c>
      <c r="R2824">
        <v>3.88</v>
      </c>
      <c r="S2824">
        <v>1.29</v>
      </c>
      <c r="T2824">
        <v>0.86</v>
      </c>
      <c r="U2824">
        <v>11.02</v>
      </c>
      <c r="V2824">
        <v>5445</v>
      </c>
      <c r="W2824">
        <v>3.87</v>
      </c>
      <c r="X2824" t="s">
        <v>3302</v>
      </c>
      <c r="Y2824" t="s">
        <v>3233</v>
      </c>
      <c r="Z2824">
        <v>0.96</v>
      </c>
      <c r="AA2824">
        <v>6151</v>
      </c>
      <c r="AB2824">
        <v>40</v>
      </c>
      <c r="AC2824">
        <v>1.24</v>
      </c>
      <c r="AD2824" t="s">
        <v>14819</v>
      </c>
      <c r="AE2824" t="s">
        <v>14820</v>
      </c>
      <c r="AF2824" t="s">
        <v>14819</v>
      </c>
      <c r="AG2824" t="s">
        <v>14820</v>
      </c>
      <c r="AH2824">
        <v>-1.02</v>
      </c>
      <c r="AI2824">
        <v>-2.51</v>
      </c>
      <c r="AJ2824">
        <v>0.6</v>
      </c>
      <c r="AK2824">
        <v>1.23</v>
      </c>
      <c r="AL2824">
        <v>1</v>
      </c>
      <c r="AM2824">
        <v>0.26</v>
      </c>
      <c r="AN2824">
        <v>2.1</v>
      </c>
      <c r="AO2824">
        <v>-2.51</v>
      </c>
      <c r="AP2824">
        <v>-2.51</v>
      </c>
    </row>
    <row r="2825" spans="1:42">
      <c r="A2825">
        <v>2824</v>
      </c>
      <c r="B2825" t="str">
        <f>"002090"</f>
        <v>002090</v>
      </c>
      <c r="C2825" t="s">
        <v>14821</v>
      </c>
      <c r="D2825">
        <v>10.36</v>
      </c>
      <c r="E2825">
        <v>1.57</v>
      </c>
      <c r="F2825">
        <v>0.16</v>
      </c>
      <c r="G2825" t="s">
        <v>6732</v>
      </c>
      <c r="H2825">
        <v>347</v>
      </c>
      <c r="I2825">
        <v>10.35</v>
      </c>
      <c r="J2825">
        <v>10.36</v>
      </c>
      <c r="K2825" t="s">
        <v>14822</v>
      </c>
      <c r="L2825">
        <v>1.45</v>
      </c>
      <c r="M2825" t="s">
        <v>46</v>
      </c>
      <c r="N2825" t="s">
        <v>5105</v>
      </c>
      <c r="O2825">
        <v>10.38</v>
      </c>
      <c r="P2825">
        <v>10.15</v>
      </c>
      <c r="Q2825">
        <v>10.23</v>
      </c>
      <c r="R2825">
        <v>10.2</v>
      </c>
      <c r="S2825">
        <v>2.25</v>
      </c>
      <c r="T2825">
        <v>0.7</v>
      </c>
      <c r="U2825">
        <v>-24.41</v>
      </c>
      <c r="V2825">
        <v>-896</v>
      </c>
      <c r="W2825">
        <v>10.27</v>
      </c>
      <c r="X2825" t="s">
        <v>6954</v>
      </c>
      <c r="Y2825" t="s">
        <v>6431</v>
      </c>
      <c r="Z2825">
        <v>0.8</v>
      </c>
      <c r="AA2825">
        <v>69</v>
      </c>
      <c r="AB2825">
        <v>748</v>
      </c>
      <c r="AC2825">
        <v>2.94</v>
      </c>
      <c r="AD2825" t="s">
        <v>1560</v>
      </c>
      <c r="AE2825" t="s">
        <v>14823</v>
      </c>
      <c r="AF2825" t="s">
        <v>14824</v>
      </c>
      <c r="AG2825" t="s">
        <v>14825</v>
      </c>
      <c r="AH2825">
        <v>0.19</v>
      </c>
      <c r="AI2825">
        <v>-0.19</v>
      </c>
      <c r="AJ2825">
        <v>4.99</v>
      </c>
      <c r="AK2825">
        <v>11.71</v>
      </c>
      <c r="AL2825">
        <v>1</v>
      </c>
      <c r="AM2825">
        <v>1.57</v>
      </c>
      <c r="AN2825">
        <v>-14.59</v>
      </c>
      <c r="AO2825">
        <v>5.93</v>
      </c>
      <c r="AP2825">
        <v>-22.57</v>
      </c>
    </row>
    <row r="2826" spans="1:42">
      <c r="A2826">
        <v>2825</v>
      </c>
      <c r="B2826" t="str">
        <f>"688010"</f>
        <v>688010</v>
      </c>
      <c r="C2826" t="s">
        <v>14826</v>
      </c>
      <c r="D2826">
        <v>26.28</v>
      </c>
      <c r="E2826">
        <v>0.57</v>
      </c>
      <c r="F2826">
        <v>0.15</v>
      </c>
      <c r="G2826" t="s">
        <v>1335</v>
      </c>
      <c r="H2826">
        <v>185</v>
      </c>
      <c r="I2826">
        <v>26.28</v>
      </c>
      <c r="J2826">
        <v>26.29</v>
      </c>
      <c r="K2826" t="s">
        <v>14827</v>
      </c>
      <c r="L2826">
        <v>1.42</v>
      </c>
      <c r="M2826" t="s">
        <v>46</v>
      </c>
      <c r="N2826" t="s">
        <v>3239</v>
      </c>
      <c r="O2826">
        <v>26.37</v>
      </c>
      <c r="P2826">
        <v>25.71</v>
      </c>
      <c r="Q2826">
        <v>26.07</v>
      </c>
      <c r="R2826">
        <v>26.13</v>
      </c>
      <c r="S2826">
        <v>2.53</v>
      </c>
      <c r="T2826">
        <v>0.76</v>
      </c>
      <c r="U2826">
        <v>-6.44</v>
      </c>
      <c r="V2826">
        <v>-24</v>
      </c>
      <c r="W2826">
        <v>26.07</v>
      </c>
      <c r="X2826" t="s">
        <v>3284</v>
      </c>
      <c r="Y2826">
        <v>9078</v>
      </c>
      <c r="Z2826">
        <v>1.5</v>
      </c>
      <c r="AA2826">
        <v>37</v>
      </c>
      <c r="AB2826">
        <v>167</v>
      </c>
      <c r="AC2826">
        <v>2.42</v>
      </c>
      <c r="AD2826" t="s">
        <v>6983</v>
      </c>
      <c r="AE2826" t="s">
        <v>9434</v>
      </c>
      <c r="AF2826" t="s">
        <v>7072</v>
      </c>
      <c r="AG2826" t="s">
        <v>14828</v>
      </c>
      <c r="AH2826">
        <v>1.47</v>
      </c>
      <c r="AI2826">
        <v>-4.02</v>
      </c>
      <c r="AJ2826">
        <v>4.61</v>
      </c>
      <c r="AK2826">
        <v>10.7</v>
      </c>
      <c r="AL2826">
        <v>1</v>
      </c>
      <c r="AM2826">
        <v>0.57</v>
      </c>
      <c r="AN2826">
        <v>41.9</v>
      </c>
      <c r="AO2826">
        <v>23.61</v>
      </c>
      <c r="AP2826">
        <v>22.4</v>
      </c>
    </row>
    <row r="2827" spans="1:42">
      <c r="A2827">
        <v>2826</v>
      </c>
      <c r="B2827" t="str">
        <f>"002083"</f>
        <v>002083</v>
      </c>
      <c r="C2827" t="s">
        <v>14829</v>
      </c>
      <c r="D2827">
        <v>5.03</v>
      </c>
      <c r="E2827">
        <v>1</v>
      </c>
      <c r="F2827">
        <v>0.05</v>
      </c>
      <c r="G2827" t="s">
        <v>1807</v>
      </c>
      <c r="H2827">
        <v>397</v>
      </c>
      <c r="I2827">
        <v>5.02</v>
      </c>
      <c r="J2827">
        <v>5.03</v>
      </c>
      <c r="K2827" t="s">
        <v>14830</v>
      </c>
      <c r="L2827">
        <v>1.45</v>
      </c>
      <c r="M2827" t="s">
        <v>46</v>
      </c>
      <c r="N2827" t="s">
        <v>3478</v>
      </c>
      <c r="O2827">
        <v>5.09</v>
      </c>
      <c r="P2827">
        <v>5</v>
      </c>
      <c r="Q2827">
        <v>5.01</v>
      </c>
      <c r="R2827">
        <v>4.98</v>
      </c>
      <c r="S2827">
        <v>1.81</v>
      </c>
      <c r="T2827">
        <v>1.34</v>
      </c>
      <c r="U2827">
        <v>6.35</v>
      </c>
      <c r="V2827">
        <v>350</v>
      </c>
      <c r="W2827">
        <v>5.05</v>
      </c>
      <c r="X2827" t="s">
        <v>3373</v>
      </c>
      <c r="Y2827" t="s">
        <v>4740</v>
      </c>
      <c r="Z2827">
        <v>0.53</v>
      </c>
      <c r="AA2827">
        <v>72</v>
      </c>
      <c r="AB2827">
        <v>139</v>
      </c>
      <c r="AC2827">
        <v>1.06</v>
      </c>
      <c r="AD2827" t="s">
        <v>14831</v>
      </c>
      <c r="AE2827" t="s">
        <v>14832</v>
      </c>
      <c r="AF2827" t="s">
        <v>14833</v>
      </c>
      <c r="AG2827" t="s">
        <v>5775</v>
      </c>
      <c r="AH2827">
        <v>0</v>
      </c>
      <c r="AI2827">
        <v>-0.98</v>
      </c>
      <c r="AJ2827">
        <v>3.32</v>
      </c>
      <c r="AK2827">
        <v>6.88</v>
      </c>
      <c r="AL2827">
        <v>2</v>
      </c>
      <c r="AM2827">
        <v>1</v>
      </c>
      <c r="AN2827">
        <v>6.12</v>
      </c>
      <c r="AO2827">
        <v>3.5</v>
      </c>
      <c r="AP2827">
        <v>0.4</v>
      </c>
    </row>
    <row r="2828" spans="1:42">
      <c r="A2828">
        <v>2827</v>
      </c>
      <c r="B2828" t="str">
        <f>"301170"</f>
        <v>301170</v>
      </c>
      <c r="C2828" t="s">
        <v>14834</v>
      </c>
      <c r="D2828">
        <v>33.55</v>
      </c>
      <c r="E2828">
        <v>-0.68</v>
      </c>
      <c r="F2828">
        <v>-0.23</v>
      </c>
      <c r="G2828" t="s">
        <v>60</v>
      </c>
      <c r="H2828">
        <v>317</v>
      </c>
      <c r="I2828">
        <v>33.54</v>
      </c>
      <c r="J2828">
        <v>33.55</v>
      </c>
      <c r="K2828" t="s">
        <v>14835</v>
      </c>
      <c r="L2828">
        <v>7.5</v>
      </c>
      <c r="M2828" t="s">
        <v>46</v>
      </c>
      <c r="N2828" t="s">
        <v>14836</v>
      </c>
      <c r="O2828">
        <v>33.88</v>
      </c>
      <c r="P2828">
        <v>32.88</v>
      </c>
      <c r="Q2828">
        <v>33.79</v>
      </c>
      <c r="R2828">
        <v>33.78</v>
      </c>
      <c r="S2828">
        <v>2.96</v>
      </c>
      <c r="T2828">
        <v>0.88</v>
      </c>
      <c r="U2828">
        <v>25.87</v>
      </c>
      <c r="V2828">
        <v>67</v>
      </c>
      <c r="W2828">
        <v>33.29</v>
      </c>
      <c r="X2828" t="s">
        <v>51</v>
      </c>
      <c r="Y2828">
        <v>6841</v>
      </c>
      <c r="Z2828">
        <v>1.6</v>
      </c>
      <c r="AA2828">
        <v>46</v>
      </c>
      <c r="AB2828">
        <v>43</v>
      </c>
      <c r="AC2828">
        <v>2.09</v>
      </c>
      <c r="AD2828" t="s">
        <v>5976</v>
      </c>
      <c r="AE2828" t="s">
        <v>14837</v>
      </c>
      <c r="AF2828" t="s">
        <v>14838</v>
      </c>
      <c r="AG2828" t="s">
        <v>14839</v>
      </c>
      <c r="AH2828">
        <v>-6.23</v>
      </c>
      <c r="AI2828">
        <v>-4.69</v>
      </c>
      <c r="AJ2828">
        <v>26.54</v>
      </c>
      <c r="AK2828">
        <v>50.34</v>
      </c>
      <c r="AL2828">
        <v>-3</v>
      </c>
      <c r="AM2828">
        <v>-0.68</v>
      </c>
      <c r="AN2828">
        <v>-1.32</v>
      </c>
      <c r="AO2828">
        <v>-2.04</v>
      </c>
      <c r="AP2828">
        <v>-1.32</v>
      </c>
    </row>
    <row r="2829" spans="1:42">
      <c r="A2829">
        <v>2828</v>
      </c>
      <c r="B2829" t="str">
        <f>"688552"</f>
        <v>688552</v>
      </c>
      <c r="C2829" t="s">
        <v>14840</v>
      </c>
      <c r="D2829">
        <v>24.31</v>
      </c>
      <c r="E2829">
        <v>2.06</v>
      </c>
      <c r="F2829">
        <v>0.49</v>
      </c>
      <c r="G2829" t="s">
        <v>2389</v>
      </c>
      <c r="H2829">
        <v>192</v>
      </c>
      <c r="I2829">
        <v>24.31</v>
      </c>
      <c r="J2829">
        <v>24.32</v>
      </c>
      <c r="K2829" t="s">
        <v>14835</v>
      </c>
      <c r="L2829">
        <v>3.03</v>
      </c>
      <c r="M2829" t="s">
        <v>46</v>
      </c>
      <c r="N2829" t="s">
        <v>2724</v>
      </c>
      <c r="O2829">
        <v>24.42</v>
      </c>
      <c r="P2829">
        <v>23.64</v>
      </c>
      <c r="Q2829">
        <v>23.89</v>
      </c>
      <c r="R2829">
        <v>23.82</v>
      </c>
      <c r="S2829">
        <v>3.27</v>
      </c>
      <c r="T2829">
        <v>1.32</v>
      </c>
      <c r="U2829">
        <v>-48.38</v>
      </c>
      <c r="V2829">
        <v>-185</v>
      </c>
      <c r="W2829">
        <v>24</v>
      </c>
      <c r="X2829" t="s">
        <v>734</v>
      </c>
      <c r="Y2829" t="s">
        <v>1777</v>
      </c>
      <c r="Z2829">
        <v>0.84</v>
      </c>
      <c r="AA2829">
        <v>2</v>
      </c>
      <c r="AB2829">
        <v>38</v>
      </c>
      <c r="AC2829">
        <v>3.14</v>
      </c>
      <c r="AD2829" t="s">
        <v>14841</v>
      </c>
      <c r="AE2829" t="s">
        <v>14842</v>
      </c>
      <c r="AF2829" t="s">
        <v>14843</v>
      </c>
      <c r="AG2829" t="s">
        <v>9503</v>
      </c>
      <c r="AH2829">
        <v>0.25</v>
      </c>
      <c r="AI2829">
        <v>1.8</v>
      </c>
      <c r="AJ2829">
        <v>7.12</v>
      </c>
      <c r="AK2829">
        <v>14.47</v>
      </c>
      <c r="AL2829">
        <v>1</v>
      </c>
      <c r="AM2829">
        <v>2.06</v>
      </c>
      <c r="AN2829">
        <v>15.6</v>
      </c>
      <c r="AO2829">
        <v>4.25</v>
      </c>
      <c r="AP2829">
        <v>15.6</v>
      </c>
    </row>
    <row r="2830" spans="1:42">
      <c r="A2830">
        <v>2829</v>
      </c>
      <c r="B2830" t="str">
        <f>"603917"</f>
        <v>603917</v>
      </c>
      <c r="C2830" t="s">
        <v>14844</v>
      </c>
      <c r="D2830">
        <v>19.4</v>
      </c>
      <c r="E2830">
        <v>-1.52</v>
      </c>
      <c r="F2830">
        <v>-0.3</v>
      </c>
      <c r="G2830" t="s">
        <v>401</v>
      </c>
      <c r="H2830">
        <v>218</v>
      </c>
      <c r="I2830">
        <v>19.38</v>
      </c>
      <c r="J2830">
        <v>19.4</v>
      </c>
      <c r="K2830" t="s">
        <v>14845</v>
      </c>
      <c r="L2830">
        <v>1.95</v>
      </c>
      <c r="M2830" t="s">
        <v>46</v>
      </c>
      <c r="N2830" t="s">
        <v>3000</v>
      </c>
      <c r="O2830">
        <v>19.7</v>
      </c>
      <c r="P2830">
        <v>19.15</v>
      </c>
      <c r="Q2830">
        <v>19.69</v>
      </c>
      <c r="R2830">
        <v>19.7</v>
      </c>
      <c r="S2830">
        <v>2.79</v>
      </c>
      <c r="T2830">
        <v>0.95</v>
      </c>
      <c r="U2830">
        <v>40.21</v>
      </c>
      <c r="V2830">
        <v>273</v>
      </c>
      <c r="W2830">
        <v>19.33</v>
      </c>
      <c r="X2830" t="s">
        <v>1118</v>
      </c>
      <c r="Y2830" t="s">
        <v>1769</v>
      </c>
      <c r="Z2830">
        <v>1.12</v>
      </c>
      <c r="AA2830">
        <v>5</v>
      </c>
      <c r="AB2830">
        <v>17</v>
      </c>
      <c r="AC2830">
        <v>2.78</v>
      </c>
      <c r="AD2830" t="s">
        <v>14846</v>
      </c>
      <c r="AE2830" t="s">
        <v>14847</v>
      </c>
      <c r="AF2830" t="s">
        <v>14846</v>
      </c>
      <c r="AG2830" t="s">
        <v>14847</v>
      </c>
      <c r="AH2830">
        <v>-3.87</v>
      </c>
      <c r="AI2830">
        <v>-3</v>
      </c>
      <c r="AJ2830">
        <v>5.52</v>
      </c>
      <c r="AK2830">
        <v>12.29</v>
      </c>
      <c r="AL2830">
        <v>-3</v>
      </c>
      <c r="AM2830">
        <v>-1.52</v>
      </c>
      <c r="AN2830">
        <v>-17.52</v>
      </c>
      <c r="AO2830">
        <v>4.64</v>
      </c>
      <c r="AP2830">
        <v>-28.39</v>
      </c>
    </row>
    <row r="2831" spans="1:42">
      <c r="A2831">
        <v>2830</v>
      </c>
      <c r="B2831" t="str">
        <f>"600223"</f>
        <v>600223</v>
      </c>
      <c r="C2831" t="s">
        <v>14848</v>
      </c>
      <c r="D2831">
        <v>10.17</v>
      </c>
      <c r="E2831">
        <v>0.1</v>
      </c>
      <c r="F2831">
        <v>0.01</v>
      </c>
      <c r="G2831" t="s">
        <v>1577</v>
      </c>
      <c r="H2831">
        <v>2072</v>
      </c>
      <c r="I2831">
        <v>10.15</v>
      </c>
      <c r="J2831">
        <v>10.17</v>
      </c>
      <c r="K2831" t="s">
        <v>14849</v>
      </c>
      <c r="L2831">
        <v>0.57</v>
      </c>
      <c r="M2831" t="s">
        <v>46</v>
      </c>
      <c r="N2831" t="s">
        <v>13959</v>
      </c>
      <c r="O2831">
        <v>10.35</v>
      </c>
      <c r="P2831">
        <v>10.06</v>
      </c>
      <c r="Q2831">
        <v>10.3</v>
      </c>
      <c r="R2831">
        <v>10.16</v>
      </c>
      <c r="S2831">
        <v>2.85</v>
      </c>
      <c r="T2831">
        <v>0.78</v>
      </c>
      <c r="U2831">
        <v>-52.93</v>
      </c>
      <c r="V2831">
        <v>-641</v>
      </c>
      <c r="W2831">
        <v>10.16</v>
      </c>
      <c r="X2831" t="s">
        <v>7028</v>
      </c>
      <c r="Y2831" t="s">
        <v>8915</v>
      </c>
      <c r="Z2831">
        <v>0.93</v>
      </c>
      <c r="AA2831">
        <v>2</v>
      </c>
      <c r="AB2831">
        <v>184</v>
      </c>
      <c r="AC2831">
        <v>2.61</v>
      </c>
      <c r="AD2831" t="s">
        <v>14850</v>
      </c>
      <c r="AE2831" t="s">
        <v>2729</v>
      </c>
      <c r="AF2831" t="s">
        <v>14850</v>
      </c>
      <c r="AG2831" t="s">
        <v>2729</v>
      </c>
      <c r="AH2831">
        <v>-0.29</v>
      </c>
      <c r="AI2831">
        <v>-2.68</v>
      </c>
      <c r="AJ2831">
        <v>1.62</v>
      </c>
      <c r="AK2831">
        <v>4.25</v>
      </c>
      <c r="AL2831">
        <v>2</v>
      </c>
      <c r="AM2831">
        <v>0.1</v>
      </c>
      <c r="AN2831">
        <v>-3.97</v>
      </c>
      <c r="AO2831">
        <v>1.6</v>
      </c>
      <c r="AP2831">
        <v>-9.76</v>
      </c>
    </row>
    <row r="2832" spans="1:42">
      <c r="A2832">
        <v>2831</v>
      </c>
      <c r="B2832" t="str">
        <f>"300171"</f>
        <v>300171</v>
      </c>
      <c r="C2832" t="s">
        <v>14851</v>
      </c>
      <c r="D2832">
        <v>18.68</v>
      </c>
      <c r="E2832">
        <v>-0.27</v>
      </c>
      <c r="F2832">
        <v>-0.05</v>
      </c>
      <c r="G2832" t="s">
        <v>7966</v>
      </c>
      <c r="H2832">
        <v>761</v>
      </c>
      <c r="I2832">
        <v>18.68</v>
      </c>
      <c r="J2832">
        <v>18.69</v>
      </c>
      <c r="K2832" t="s">
        <v>14852</v>
      </c>
      <c r="L2832">
        <v>0.57</v>
      </c>
      <c r="M2832" t="s">
        <v>46</v>
      </c>
      <c r="N2832" t="s">
        <v>152</v>
      </c>
      <c r="O2832">
        <v>18.83</v>
      </c>
      <c r="P2832">
        <v>18.45</v>
      </c>
      <c r="Q2832">
        <v>18.75</v>
      </c>
      <c r="R2832">
        <v>18.73</v>
      </c>
      <c r="S2832">
        <v>2.03</v>
      </c>
      <c r="T2832">
        <v>0.81</v>
      </c>
      <c r="U2832">
        <v>81.82</v>
      </c>
      <c r="V2832">
        <v>2799</v>
      </c>
      <c r="W2832">
        <v>18.61</v>
      </c>
      <c r="X2832" t="s">
        <v>2723</v>
      </c>
      <c r="Y2832" t="s">
        <v>1967</v>
      </c>
      <c r="Z2832">
        <v>1.41</v>
      </c>
      <c r="AA2832">
        <v>2926</v>
      </c>
      <c r="AB2832">
        <v>42</v>
      </c>
      <c r="AC2832">
        <v>1.81</v>
      </c>
      <c r="AD2832" t="s">
        <v>6005</v>
      </c>
      <c r="AE2832" t="s">
        <v>7513</v>
      </c>
      <c r="AF2832" t="s">
        <v>14853</v>
      </c>
      <c r="AG2832" t="s">
        <v>10402</v>
      </c>
      <c r="AH2832">
        <v>-1.42</v>
      </c>
      <c r="AI2832">
        <v>-2.35</v>
      </c>
      <c r="AJ2832">
        <v>1.67</v>
      </c>
      <c r="AK2832">
        <v>4.09</v>
      </c>
      <c r="AL2832">
        <v>-1</v>
      </c>
      <c r="AM2832">
        <v>-0.27</v>
      </c>
      <c r="AN2832">
        <v>-20.17</v>
      </c>
      <c r="AO2832">
        <v>-1.48</v>
      </c>
      <c r="AP2832">
        <v>-28.29</v>
      </c>
    </row>
    <row r="2833" spans="1:42">
      <c r="A2833">
        <v>2832</v>
      </c>
      <c r="B2833" t="str">
        <f>"002339"</f>
        <v>002339</v>
      </c>
      <c r="C2833" t="s">
        <v>14854</v>
      </c>
      <c r="D2833">
        <v>7.61</v>
      </c>
      <c r="E2833">
        <v>0.26</v>
      </c>
      <c r="F2833">
        <v>0.02</v>
      </c>
      <c r="G2833" t="s">
        <v>3904</v>
      </c>
      <c r="H2833">
        <v>1494</v>
      </c>
      <c r="I2833">
        <v>7.61</v>
      </c>
      <c r="J2833">
        <v>7.62</v>
      </c>
      <c r="K2833" t="s">
        <v>14855</v>
      </c>
      <c r="L2833">
        <v>1.63</v>
      </c>
      <c r="M2833" t="s">
        <v>46</v>
      </c>
      <c r="N2833" t="s">
        <v>2636</v>
      </c>
      <c r="O2833">
        <v>7.65</v>
      </c>
      <c r="P2833">
        <v>7.55</v>
      </c>
      <c r="Q2833">
        <v>7.63</v>
      </c>
      <c r="R2833">
        <v>7.59</v>
      </c>
      <c r="S2833">
        <v>1.32</v>
      </c>
      <c r="T2833">
        <v>0.67</v>
      </c>
      <c r="U2833">
        <v>16.9</v>
      </c>
      <c r="V2833">
        <v>1101</v>
      </c>
      <c r="W2833">
        <v>7.59</v>
      </c>
      <c r="X2833" t="s">
        <v>5674</v>
      </c>
      <c r="Y2833" t="s">
        <v>5302</v>
      </c>
      <c r="Z2833">
        <v>1.55</v>
      </c>
      <c r="AA2833">
        <v>423</v>
      </c>
      <c r="AB2833">
        <v>413</v>
      </c>
      <c r="AC2833">
        <v>2.27</v>
      </c>
      <c r="AD2833" t="s">
        <v>14856</v>
      </c>
      <c r="AE2833" t="s">
        <v>14857</v>
      </c>
      <c r="AF2833" t="s">
        <v>9756</v>
      </c>
      <c r="AG2833" t="s">
        <v>14858</v>
      </c>
      <c r="AH2833">
        <v>-1.68</v>
      </c>
      <c r="AI2833">
        <v>-1.3</v>
      </c>
      <c r="AJ2833">
        <v>7.02</v>
      </c>
      <c r="AK2833">
        <v>13.72</v>
      </c>
      <c r="AL2833">
        <v>1</v>
      </c>
      <c r="AM2833">
        <v>0.26</v>
      </c>
      <c r="AN2833">
        <v>9.81</v>
      </c>
      <c r="AO2833">
        <v>1.47</v>
      </c>
      <c r="AP2833">
        <v>4.39</v>
      </c>
    </row>
    <row r="2834" spans="1:42">
      <c r="A2834">
        <v>2833</v>
      </c>
      <c r="B2834" t="str">
        <f>"603308"</f>
        <v>603308</v>
      </c>
      <c r="C2834" t="s">
        <v>14859</v>
      </c>
      <c r="D2834">
        <v>14.77</v>
      </c>
      <c r="E2834">
        <v>-0.34</v>
      </c>
      <c r="F2834">
        <v>-0.05</v>
      </c>
      <c r="G2834" t="s">
        <v>8404</v>
      </c>
      <c r="H2834">
        <v>332</v>
      </c>
      <c r="I2834">
        <v>14.77</v>
      </c>
      <c r="J2834">
        <v>14.78</v>
      </c>
      <c r="K2834" t="s">
        <v>5449</v>
      </c>
      <c r="L2834">
        <v>0.59</v>
      </c>
      <c r="M2834" t="s">
        <v>46</v>
      </c>
      <c r="N2834" t="s">
        <v>2488</v>
      </c>
      <c r="O2834">
        <v>14.94</v>
      </c>
      <c r="P2834">
        <v>14.62</v>
      </c>
      <c r="Q2834">
        <v>14.82</v>
      </c>
      <c r="R2834">
        <v>14.82</v>
      </c>
      <c r="S2834">
        <v>2.16</v>
      </c>
      <c r="T2834">
        <v>0.87</v>
      </c>
      <c r="U2834">
        <v>-25.53</v>
      </c>
      <c r="V2834">
        <v>-277</v>
      </c>
      <c r="W2834">
        <v>14.77</v>
      </c>
      <c r="X2834" t="s">
        <v>5710</v>
      </c>
      <c r="Y2834" t="s">
        <v>1112</v>
      </c>
      <c r="Z2834">
        <v>1.4</v>
      </c>
      <c r="AA2834">
        <v>193</v>
      </c>
      <c r="AB2834">
        <v>2</v>
      </c>
      <c r="AC2834">
        <v>2.29</v>
      </c>
      <c r="AD2834" t="s">
        <v>13368</v>
      </c>
      <c r="AE2834" t="s">
        <v>8898</v>
      </c>
      <c r="AF2834" t="s">
        <v>13368</v>
      </c>
      <c r="AG2834" t="s">
        <v>8898</v>
      </c>
      <c r="AH2834">
        <v>-1.01</v>
      </c>
      <c r="AI2834">
        <v>-0.61</v>
      </c>
      <c r="AJ2834">
        <v>2.06</v>
      </c>
      <c r="AK2834">
        <v>3.94</v>
      </c>
      <c r="AL2834">
        <v>-2</v>
      </c>
      <c r="AM2834">
        <v>-0.34</v>
      </c>
      <c r="AN2834">
        <v>-30.07</v>
      </c>
      <c r="AO2834">
        <v>6.87</v>
      </c>
      <c r="AP2834">
        <v>-26.04</v>
      </c>
    </row>
    <row r="2835" spans="1:42">
      <c r="A2835">
        <v>2834</v>
      </c>
      <c r="B2835" t="str">
        <f>"001324"</f>
        <v>001324</v>
      </c>
      <c r="C2835" t="s">
        <v>14860</v>
      </c>
      <c r="D2835">
        <v>25.68</v>
      </c>
      <c r="E2835">
        <v>-1.08</v>
      </c>
      <c r="F2835">
        <v>-0.28</v>
      </c>
      <c r="G2835" t="s">
        <v>1710</v>
      </c>
      <c r="H2835">
        <v>278</v>
      </c>
      <c r="I2835">
        <v>25.68</v>
      </c>
      <c r="J2835">
        <v>25.69</v>
      </c>
      <c r="K2835" t="s">
        <v>14861</v>
      </c>
      <c r="L2835">
        <v>6.66</v>
      </c>
      <c r="M2835" t="s">
        <v>46</v>
      </c>
      <c r="N2835" t="s">
        <v>3728</v>
      </c>
      <c r="O2835">
        <v>26.18</v>
      </c>
      <c r="P2835">
        <v>25.43</v>
      </c>
      <c r="Q2835">
        <v>25.91</v>
      </c>
      <c r="R2835">
        <v>25.96</v>
      </c>
      <c r="S2835">
        <v>2.89</v>
      </c>
      <c r="T2835">
        <v>0.72</v>
      </c>
      <c r="U2835">
        <v>56.7</v>
      </c>
      <c r="V2835">
        <v>485</v>
      </c>
      <c r="W2835">
        <v>25.66</v>
      </c>
      <c r="X2835" t="s">
        <v>3130</v>
      </c>
      <c r="Y2835">
        <v>8330</v>
      </c>
      <c r="Z2835">
        <v>1.76</v>
      </c>
      <c r="AA2835">
        <v>304</v>
      </c>
      <c r="AB2835">
        <v>49</v>
      </c>
      <c r="AC2835">
        <v>3.3</v>
      </c>
      <c r="AD2835" t="s">
        <v>9812</v>
      </c>
      <c r="AE2835" t="s">
        <v>14862</v>
      </c>
      <c r="AF2835" t="s">
        <v>14863</v>
      </c>
      <c r="AG2835" t="s">
        <v>3870</v>
      </c>
      <c r="AH2835">
        <v>-2.65</v>
      </c>
      <c r="AI2835">
        <v>-6.04</v>
      </c>
      <c r="AJ2835">
        <v>20.56</v>
      </c>
      <c r="AK2835">
        <v>53.08</v>
      </c>
      <c r="AL2835">
        <v>-3</v>
      </c>
      <c r="AM2835">
        <v>-1.08</v>
      </c>
      <c r="AN2835">
        <v>37.62</v>
      </c>
      <c r="AO2835">
        <v>-0.39</v>
      </c>
      <c r="AP2835">
        <v>37.62</v>
      </c>
    </row>
    <row r="2836" spans="1:42">
      <c r="A2836">
        <v>2835</v>
      </c>
      <c r="B2836" t="str">
        <f>"301259"</f>
        <v>301259</v>
      </c>
      <c r="C2836" t="s">
        <v>14864</v>
      </c>
      <c r="D2836">
        <v>17.31</v>
      </c>
      <c r="E2836">
        <v>-0.23</v>
      </c>
      <c r="F2836">
        <v>-0.04</v>
      </c>
      <c r="G2836" t="s">
        <v>7058</v>
      </c>
      <c r="H2836">
        <v>777</v>
      </c>
      <c r="I2836">
        <v>17.28</v>
      </c>
      <c r="J2836">
        <v>17.31</v>
      </c>
      <c r="K2836" t="s">
        <v>14865</v>
      </c>
      <c r="L2836">
        <v>4.59</v>
      </c>
      <c r="M2836" t="s">
        <v>46</v>
      </c>
      <c r="N2836" t="s">
        <v>8548</v>
      </c>
      <c r="O2836">
        <v>17.38</v>
      </c>
      <c r="P2836">
        <v>17.06</v>
      </c>
      <c r="Q2836">
        <v>17.34</v>
      </c>
      <c r="R2836">
        <v>17.35</v>
      </c>
      <c r="S2836">
        <v>1.84</v>
      </c>
      <c r="T2836">
        <v>1.34</v>
      </c>
      <c r="U2836">
        <v>-2.81</v>
      </c>
      <c r="V2836">
        <v>-31</v>
      </c>
      <c r="W2836">
        <v>17.22</v>
      </c>
      <c r="X2836" t="s">
        <v>1692</v>
      </c>
      <c r="Y2836" t="s">
        <v>3165</v>
      </c>
      <c r="Z2836">
        <v>0.93</v>
      </c>
      <c r="AA2836">
        <v>20</v>
      </c>
      <c r="AB2836">
        <v>11</v>
      </c>
      <c r="AC2836">
        <v>3.02</v>
      </c>
      <c r="AD2836" t="s">
        <v>14866</v>
      </c>
      <c r="AE2836" t="s">
        <v>7595</v>
      </c>
      <c r="AF2836" t="s">
        <v>14867</v>
      </c>
      <c r="AG2836" t="s">
        <v>13925</v>
      </c>
      <c r="AH2836">
        <v>-2.97</v>
      </c>
      <c r="AI2836">
        <v>-2.75</v>
      </c>
      <c r="AJ2836">
        <v>14.77</v>
      </c>
      <c r="AK2836">
        <v>21.8</v>
      </c>
      <c r="AL2836">
        <v>-3</v>
      </c>
      <c r="AM2836">
        <v>-0.23</v>
      </c>
      <c r="AN2836">
        <v>18.64</v>
      </c>
      <c r="AO2836">
        <v>9.21</v>
      </c>
      <c r="AP2836">
        <v>7.72</v>
      </c>
    </row>
    <row r="2837" spans="1:42">
      <c r="A2837">
        <v>2836</v>
      </c>
      <c r="B2837" t="str">
        <f>"300254"</f>
        <v>300254</v>
      </c>
      <c r="C2837" t="s">
        <v>14868</v>
      </c>
      <c r="D2837">
        <v>10.75</v>
      </c>
      <c r="E2837">
        <v>1.8</v>
      </c>
      <c r="F2837">
        <v>0.19</v>
      </c>
      <c r="G2837" t="s">
        <v>4968</v>
      </c>
      <c r="H2837">
        <v>788</v>
      </c>
      <c r="I2837">
        <v>10.75</v>
      </c>
      <c r="J2837">
        <v>10.76</v>
      </c>
      <c r="K2837" t="s">
        <v>14865</v>
      </c>
      <c r="L2837">
        <v>2.47</v>
      </c>
      <c r="M2837" t="s">
        <v>46</v>
      </c>
      <c r="N2837" t="s">
        <v>14869</v>
      </c>
      <c r="O2837">
        <v>10.79</v>
      </c>
      <c r="P2837">
        <v>10.48</v>
      </c>
      <c r="Q2837">
        <v>10.48</v>
      </c>
      <c r="R2837">
        <v>10.56</v>
      </c>
      <c r="S2837">
        <v>2.94</v>
      </c>
      <c r="T2837">
        <v>0.79</v>
      </c>
      <c r="U2837">
        <v>-55.07</v>
      </c>
      <c r="V2837">
        <v>-2042</v>
      </c>
      <c r="W2837">
        <v>10.66</v>
      </c>
      <c r="X2837" t="s">
        <v>4257</v>
      </c>
      <c r="Y2837" t="s">
        <v>8050</v>
      </c>
      <c r="Z2837">
        <v>0.86</v>
      </c>
      <c r="AA2837">
        <v>77</v>
      </c>
      <c r="AB2837">
        <v>221</v>
      </c>
      <c r="AC2837">
        <v>4.63</v>
      </c>
      <c r="AD2837" t="s">
        <v>14870</v>
      </c>
      <c r="AE2837" t="s">
        <v>8546</v>
      </c>
      <c r="AF2837" t="s">
        <v>7802</v>
      </c>
      <c r="AG2837" t="s">
        <v>14871</v>
      </c>
      <c r="AH2837">
        <v>2.38</v>
      </c>
      <c r="AI2837">
        <v>-1.74</v>
      </c>
      <c r="AJ2837">
        <v>6.69</v>
      </c>
      <c r="AK2837">
        <v>18.08</v>
      </c>
      <c r="AL2837">
        <v>2</v>
      </c>
      <c r="AM2837">
        <v>1.8</v>
      </c>
      <c r="AN2837">
        <v>58.79</v>
      </c>
      <c r="AO2837">
        <v>6.12</v>
      </c>
      <c r="AP2837">
        <v>42.01</v>
      </c>
    </row>
    <row r="2838" spans="1:42">
      <c r="A2838">
        <v>2837</v>
      </c>
      <c r="B2838" t="str">
        <f>"605196"</f>
        <v>605196</v>
      </c>
      <c r="C2838" t="s">
        <v>14872</v>
      </c>
      <c r="D2838">
        <v>7.49</v>
      </c>
      <c r="E2838">
        <v>0.4</v>
      </c>
      <c r="F2838">
        <v>0.03</v>
      </c>
      <c r="G2838" t="s">
        <v>13322</v>
      </c>
      <c r="H2838">
        <v>280</v>
      </c>
      <c r="I2838">
        <v>7.48</v>
      </c>
      <c r="J2838">
        <v>7.49</v>
      </c>
      <c r="K2838" t="s">
        <v>14873</v>
      </c>
      <c r="L2838">
        <v>2.44</v>
      </c>
      <c r="M2838" t="s">
        <v>46</v>
      </c>
      <c r="N2838" t="s">
        <v>6587</v>
      </c>
      <c r="O2838">
        <v>7.51</v>
      </c>
      <c r="P2838">
        <v>7.32</v>
      </c>
      <c r="Q2838">
        <v>7.45</v>
      </c>
      <c r="R2838">
        <v>7.46</v>
      </c>
      <c r="S2838">
        <v>2.55</v>
      </c>
      <c r="T2838">
        <v>1.07</v>
      </c>
      <c r="U2838">
        <v>20.09</v>
      </c>
      <c r="V2838">
        <v>1901</v>
      </c>
      <c r="W2838">
        <v>7.45</v>
      </c>
      <c r="X2838" t="s">
        <v>3149</v>
      </c>
      <c r="Y2838" t="s">
        <v>1566</v>
      </c>
      <c r="Z2838">
        <v>1.08</v>
      </c>
      <c r="AA2838">
        <v>1302</v>
      </c>
      <c r="AB2838">
        <v>132</v>
      </c>
      <c r="AC2838">
        <v>1.38</v>
      </c>
      <c r="AD2838" t="s">
        <v>14874</v>
      </c>
      <c r="AE2838" t="s">
        <v>6326</v>
      </c>
      <c r="AF2838" t="s">
        <v>14875</v>
      </c>
      <c r="AG2838" t="s">
        <v>14876</v>
      </c>
      <c r="AH2838">
        <v>-0.4</v>
      </c>
      <c r="AI2838">
        <v>-0.4</v>
      </c>
      <c r="AJ2838">
        <v>7.38</v>
      </c>
      <c r="AK2838">
        <v>13.82</v>
      </c>
      <c r="AL2838">
        <v>1</v>
      </c>
      <c r="AM2838">
        <v>0.4</v>
      </c>
      <c r="AN2838">
        <v>8.08</v>
      </c>
      <c r="AO2838">
        <v>3.03</v>
      </c>
      <c r="AP2838">
        <v>-1.32</v>
      </c>
    </row>
    <row r="2839" spans="1:42">
      <c r="A2839">
        <v>2838</v>
      </c>
      <c r="B2839" t="str">
        <f>"301248"</f>
        <v>301248</v>
      </c>
      <c r="C2839" t="s">
        <v>14877</v>
      </c>
      <c r="D2839">
        <v>19.26</v>
      </c>
      <c r="E2839">
        <v>3.27</v>
      </c>
      <c r="F2839">
        <v>0.61</v>
      </c>
      <c r="G2839" t="s">
        <v>6657</v>
      </c>
      <c r="H2839">
        <v>387</v>
      </c>
      <c r="I2839">
        <v>19.25</v>
      </c>
      <c r="J2839">
        <v>19.26</v>
      </c>
      <c r="K2839" t="s">
        <v>14878</v>
      </c>
      <c r="L2839">
        <v>3.03</v>
      </c>
      <c r="M2839" t="s">
        <v>46</v>
      </c>
      <c r="N2839" t="s">
        <v>13610</v>
      </c>
      <c r="O2839">
        <v>19.39</v>
      </c>
      <c r="P2839">
        <v>18.69</v>
      </c>
      <c r="Q2839">
        <v>18.71</v>
      </c>
      <c r="R2839">
        <v>18.65</v>
      </c>
      <c r="S2839">
        <v>3.75</v>
      </c>
      <c r="T2839">
        <v>1.3</v>
      </c>
      <c r="U2839">
        <v>35.84</v>
      </c>
      <c r="V2839">
        <v>319</v>
      </c>
      <c r="W2839">
        <v>19.05</v>
      </c>
      <c r="X2839" t="s">
        <v>209</v>
      </c>
      <c r="Y2839" t="s">
        <v>3069</v>
      </c>
      <c r="Z2839">
        <v>0.71</v>
      </c>
      <c r="AA2839">
        <v>47</v>
      </c>
      <c r="AB2839">
        <v>80</v>
      </c>
      <c r="AC2839">
        <v>1.86</v>
      </c>
      <c r="AD2839" t="s">
        <v>14879</v>
      </c>
      <c r="AE2839" t="s">
        <v>13774</v>
      </c>
      <c r="AF2839" t="s">
        <v>14880</v>
      </c>
      <c r="AG2839" t="s">
        <v>14881</v>
      </c>
      <c r="AH2839">
        <v>1.58</v>
      </c>
      <c r="AI2839">
        <v>-0.62</v>
      </c>
      <c r="AJ2839">
        <v>7.97</v>
      </c>
      <c r="AK2839">
        <v>14.74</v>
      </c>
      <c r="AL2839">
        <v>1</v>
      </c>
      <c r="AM2839">
        <v>3.27</v>
      </c>
      <c r="AN2839">
        <v>-4.61</v>
      </c>
      <c r="AO2839">
        <v>9.31</v>
      </c>
      <c r="AP2839">
        <v>2.94</v>
      </c>
    </row>
    <row r="2840" spans="1:42">
      <c r="A2840">
        <v>2839</v>
      </c>
      <c r="B2840" t="str">
        <f>"001202"</f>
        <v>001202</v>
      </c>
      <c r="C2840" t="s">
        <v>14882</v>
      </c>
      <c r="D2840">
        <v>17.64</v>
      </c>
      <c r="E2840">
        <v>-2.38</v>
      </c>
      <c r="F2840">
        <v>-0.43</v>
      </c>
      <c r="G2840" t="s">
        <v>9871</v>
      </c>
      <c r="H2840">
        <v>264</v>
      </c>
      <c r="I2840">
        <v>17.6</v>
      </c>
      <c r="J2840">
        <v>17.64</v>
      </c>
      <c r="K2840" t="s">
        <v>14883</v>
      </c>
      <c r="L2840">
        <v>8.18</v>
      </c>
      <c r="M2840" t="s">
        <v>46</v>
      </c>
      <c r="N2840" t="s">
        <v>12602</v>
      </c>
      <c r="O2840">
        <v>18.27</v>
      </c>
      <c r="P2840">
        <v>17.52</v>
      </c>
      <c r="Q2840">
        <v>17.9</v>
      </c>
      <c r="R2840">
        <v>18.07</v>
      </c>
      <c r="S2840">
        <v>4.15</v>
      </c>
      <c r="T2840">
        <v>1.69</v>
      </c>
      <c r="U2840">
        <v>-52.38</v>
      </c>
      <c r="V2840">
        <v>-187</v>
      </c>
      <c r="W2840">
        <v>17.87</v>
      </c>
      <c r="X2840" t="s">
        <v>6656</v>
      </c>
      <c r="Y2840" t="s">
        <v>8212</v>
      </c>
      <c r="Z2840">
        <v>1.11</v>
      </c>
      <c r="AA2840">
        <v>6</v>
      </c>
      <c r="AB2840">
        <v>31</v>
      </c>
      <c r="AC2840">
        <v>3.13</v>
      </c>
      <c r="AD2840" t="s">
        <v>10562</v>
      </c>
      <c r="AE2840" t="s">
        <v>4776</v>
      </c>
      <c r="AF2840" t="s">
        <v>14884</v>
      </c>
      <c r="AG2840" t="s">
        <v>14885</v>
      </c>
      <c r="AH2840">
        <v>-1.51</v>
      </c>
      <c r="AI2840">
        <v>-1.84</v>
      </c>
      <c r="AJ2840">
        <v>21.51</v>
      </c>
      <c r="AK2840">
        <v>32.38</v>
      </c>
      <c r="AL2840">
        <v>-1</v>
      </c>
      <c r="AM2840">
        <v>-2.38</v>
      </c>
      <c r="AN2840">
        <v>24.05</v>
      </c>
      <c r="AO2840">
        <v>3.58</v>
      </c>
      <c r="AP2840">
        <v>11.01</v>
      </c>
    </row>
    <row r="2841" spans="1:42">
      <c r="A2841">
        <v>2840</v>
      </c>
      <c r="B2841" t="str">
        <f>"300561"</f>
        <v>300561</v>
      </c>
      <c r="C2841" t="s">
        <v>14886</v>
      </c>
      <c r="D2841">
        <v>12.44</v>
      </c>
      <c r="E2841">
        <v>2.64</v>
      </c>
      <c r="F2841">
        <v>0.32</v>
      </c>
      <c r="G2841" t="s">
        <v>13012</v>
      </c>
      <c r="H2841">
        <v>884</v>
      </c>
      <c r="I2841">
        <v>12.44</v>
      </c>
      <c r="J2841">
        <v>12.45</v>
      </c>
      <c r="K2841" t="s">
        <v>14887</v>
      </c>
      <c r="L2841">
        <v>2.44</v>
      </c>
      <c r="M2841" t="s">
        <v>46</v>
      </c>
      <c r="N2841" t="s">
        <v>6902</v>
      </c>
      <c r="O2841">
        <v>12.54</v>
      </c>
      <c r="P2841">
        <v>12.09</v>
      </c>
      <c r="Q2841">
        <v>12.14</v>
      </c>
      <c r="R2841">
        <v>12.12</v>
      </c>
      <c r="S2841">
        <v>3.71</v>
      </c>
      <c r="T2841">
        <v>1.27</v>
      </c>
      <c r="U2841">
        <v>-10.14</v>
      </c>
      <c r="V2841">
        <v>-198</v>
      </c>
      <c r="W2841">
        <v>12.33</v>
      </c>
      <c r="X2841" t="s">
        <v>156</v>
      </c>
      <c r="Y2841" t="s">
        <v>10910</v>
      </c>
      <c r="Z2841">
        <v>0.78</v>
      </c>
      <c r="AA2841">
        <v>73</v>
      </c>
      <c r="AB2841">
        <v>271</v>
      </c>
      <c r="AC2841">
        <v>6.35</v>
      </c>
      <c r="AD2841" t="s">
        <v>14888</v>
      </c>
      <c r="AE2841" t="s">
        <v>11562</v>
      </c>
      <c r="AF2841" t="s">
        <v>14889</v>
      </c>
      <c r="AG2841" t="s">
        <v>7104</v>
      </c>
      <c r="AH2841">
        <v>0.24</v>
      </c>
      <c r="AI2841">
        <v>-2.35</v>
      </c>
      <c r="AJ2841">
        <v>5.85</v>
      </c>
      <c r="AK2841">
        <v>12.07</v>
      </c>
      <c r="AL2841">
        <v>1</v>
      </c>
      <c r="AM2841">
        <v>2.64</v>
      </c>
      <c r="AN2841">
        <v>38.84</v>
      </c>
      <c r="AO2841">
        <v>0.97</v>
      </c>
      <c r="AP2841">
        <v>24.65</v>
      </c>
    </row>
    <row r="2842" spans="1:42">
      <c r="A2842">
        <v>2841</v>
      </c>
      <c r="B2842" t="str">
        <f>"002780"</f>
        <v>002780</v>
      </c>
      <c r="C2842" t="s">
        <v>14890</v>
      </c>
      <c r="D2842">
        <v>13.44</v>
      </c>
      <c r="E2842">
        <v>1.74</v>
      </c>
      <c r="F2842">
        <v>0.23</v>
      </c>
      <c r="G2842" t="s">
        <v>6838</v>
      </c>
      <c r="H2842">
        <v>325</v>
      </c>
      <c r="I2842">
        <v>13.43</v>
      </c>
      <c r="J2842">
        <v>13.44</v>
      </c>
      <c r="K2842" t="s">
        <v>14891</v>
      </c>
      <c r="L2842">
        <v>3.35</v>
      </c>
      <c r="M2842" t="s">
        <v>46</v>
      </c>
      <c r="N2842" t="s">
        <v>485</v>
      </c>
      <c r="O2842">
        <v>13.53</v>
      </c>
      <c r="P2842">
        <v>13.15</v>
      </c>
      <c r="Q2842">
        <v>13.25</v>
      </c>
      <c r="R2842">
        <v>13.21</v>
      </c>
      <c r="S2842">
        <v>2.88</v>
      </c>
      <c r="T2842">
        <v>1</v>
      </c>
      <c r="U2842">
        <v>-28.44</v>
      </c>
      <c r="V2842">
        <v>-360</v>
      </c>
      <c r="W2842">
        <v>13.43</v>
      </c>
      <c r="X2842" t="s">
        <v>1212</v>
      </c>
      <c r="Y2842" t="s">
        <v>7210</v>
      </c>
      <c r="Z2842">
        <v>1.06</v>
      </c>
      <c r="AA2842">
        <v>116</v>
      </c>
      <c r="AB2842">
        <v>273</v>
      </c>
      <c r="AC2842">
        <v>3.19</v>
      </c>
      <c r="AD2842" t="s">
        <v>3162</v>
      </c>
      <c r="AE2842" t="s">
        <v>5648</v>
      </c>
      <c r="AF2842" t="s">
        <v>5480</v>
      </c>
      <c r="AG2842" t="s">
        <v>14892</v>
      </c>
      <c r="AH2842">
        <v>0.83</v>
      </c>
      <c r="AI2842">
        <v>1.36</v>
      </c>
      <c r="AJ2842">
        <v>8.37</v>
      </c>
      <c r="AK2842">
        <v>20.05</v>
      </c>
      <c r="AL2842">
        <v>2</v>
      </c>
      <c r="AM2842">
        <v>1.74</v>
      </c>
      <c r="AN2842">
        <v>-1.47</v>
      </c>
      <c r="AO2842">
        <v>10.34</v>
      </c>
      <c r="AP2842">
        <v>8.47</v>
      </c>
    </row>
    <row r="2843" spans="1:42">
      <c r="A2843">
        <v>2842</v>
      </c>
      <c r="B2843" t="str">
        <f>"603039"</f>
        <v>603039</v>
      </c>
      <c r="C2843" t="s">
        <v>14893</v>
      </c>
      <c r="D2843">
        <v>51.49</v>
      </c>
      <c r="E2843">
        <v>3.19</v>
      </c>
      <c r="F2843">
        <v>1.59</v>
      </c>
      <c r="G2843" t="s">
        <v>2284</v>
      </c>
      <c r="H2843">
        <v>80</v>
      </c>
      <c r="I2843">
        <v>51.41</v>
      </c>
      <c r="J2843">
        <v>51.49</v>
      </c>
      <c r="K2843" t="s">
        <v>14894</v>
      </c>
      <c r="L2843">
        <v>0.44</v>
      </c>
      <c r="M2843" t="s">
        <v>46</v>
      </c>
      <c r="N2843" t="s">
        <v>5236</v>
      </c>
      <c r="O2843">
        <v>51.75</v>
      </c>
      <c r="P2843">
        <v>49.43</v>
      </c>
      <c r="Q2843">
        <v>49.81</v>
      </c>
      <c r="R2843">
        <v>49.9</v>
      </c>
      <c r="S2843">
        <v>4.65</v>
      </c>
      <c r="T2843">
        <v>1.41</v>
      </c>
      <c r="U2843">
        <v>-27.27</v>
      </c>
      <c r="V2843">
        <v>-33</v>
      </c>
      <c r="W2843">
        <v>50.84</v>
      </c>
      <c r="X2843">
        <v>5717</v>
      </c>
      <c r="Y2843">
        <v>5820</v>
      </c>
      <c r="Z2843">
        <v>0.98</v>
      </c>
      <c r="AA2843">
        <v>6</v>
      </c>
      <c r="AB2843">
        <v>8</v>
      </c>
      <c r="AC2843">
        <v>6.43</v>
      </c>
      <c r="AD2843" t="s">
        <v>14895</v>
      </c>
      <c r="AE2843" t="s">
        <v>2413</v>
      </c>
      <c r="AF2843" t="s">
        <v>14895</v>
      </c>
      <c r="AG2843" t="s">
        <v>2413</v>
      </c>
      <c r="AH2843">
        <v>2.24</v>
      </c>
      <c r="AI2843">
        <v>-2.48</v>
      </c>
      <c r="AJ2843">
        <v>1.03</v>
      </c>
      <c r="AK2843">
        <v>2.01</v>
      </c>
      <c r="AL2843">
        <v>1</v>
      </c>
      <c r="AM2843">
        <v>3.19</v>
      </c>
      <c r="AN2843">
        <v>2.49</v>
      </c>
      <c r="AO2843">
        <v>0.96</v>
      </c>
      <c r="AP2843">
        <v>-0.71</v>
      </c>
    </row>
    <row r="2844" spans="1:42">
      <c r="A2844">
        <v>2843</v>
      </c>
      <c r="B2844" t="str">
        <f>"688515"</f>
        <v>688515</v>
      </c>
      <c r="C2844" t="s">
        <v>14896</v>
      </c>
      <c r="D2844">
        <v>107.37</v>
      </c>
      <c r="E2844">
        <v>-0.78</v>
      </c>
      <c r="F2844">
        <v>-0.84</v>
      </c>
      <c r="G2844">
        <v>5493</v>
      </c>
      <c r="H2844">
        <v>76</v>
      </c>
      <c r="I2844">
        <v>107.37</v>
      </c>
      <c r="J2844">
        <v>107.56</v>
      </c>
      <c r="K2844" t="s">
        <v>14894</v>
      </c>
      <c r="L2844">
        <v>2.84</v>
      </c>
      <c r="M2844" t="s">
        <v>46</v>
      </c>
      <c r="N2844" t="s">
        <v>3234</v>
      </c>
      <c r="O2844">
        <v>108.27</v>
      </c>
      <c r="P2844">
        <v>105.27</v>
      </c>
      <c r="Q2844">
        <v>108.21</v>
      </c>
      <c r="R2844">
        <v>108.21</v>
      </c>
      <c r="S2844">
        <v>2.77</v>
      </c>
      <c r="T2844">
        <v>0.72</v>
      </c>
      <c r="U2844">
        <v>17.99</v>
      </c>
      <c r="V2844">
        <v>9</v>
      </c>
      <c r="W2844">
        <v>106.78</v>
      </c>
      <c r="X2844">
        <v>3181</v>
      </c>
      <c r="Y2844">
        <v>2312</v>
      </c>
      <c r="Z2844">
        <v>1.38</v>
      </c>
      <c r="AA2844">
        <v>9</v>
      </c>
      <c r="AB2844">
        <v>2</v>
      </c>
      <c r="AC2844">
        <v>4.69</v>
      </c>
      <c r="AD2844" t="s">
        <v>3612</v>
      </c>
      <c r="AE2844" t="s">
        <v>12637</v>
      </c>
      <c r="AF2844" t="s">
        <v>14897</v>
      </c>
      <c r="AG2844" t="s">
        <v>270</v>
      </c>
      <c r="AH2844">
        <v>-5.14</v>
      </c>
      <c r="AI2844">
        <v>-5.26</v>
      </c>
      <c r="AJ2844">
        <v>11.01</v>
      </c>
      <c r="AK2844">
        <v>22.61</v>
      </c>
      <c r="AL2844">
        <v>-3</v>
      </c>
      <c r="AM2844">
        <v>-0.78</v>
      </c>
      <c r="AN2844">
        <v>16.71</v>
      </c>
      <c r="AO2844">
        <v>-0.12</v>
      </c>
      <c r="AP2844">
        <v>16.71</v>
      </c>
    </row>
    <row r="2845" spans="1:42">
      <c r="A2845">
        <v>2844</v>
      </c>
      <c r="B2845" t="str">
        <f>"600094"</f>
        <v>600094</v>
      </c>
      <c r="C2845" t="s">
        <v>14898</v>
      </c>
      <c r="D2845">
        <v>3.13</v>
      </c>
      <c r="E2845">
        <v>1.62</v>
      </c>
      <c r="F2845">
        <v>0.05</v>
      </c>
      <c r="G2845" t="s">
        <v>3785</v>
      </c>
      <c r="H2845">
        <v>1375</v>
      </c>
      <c r="I2845">
        <v>3.13</v>
      </c>
      <c r="J2845">
        <v>3.14</v>
      </c>
      <c r="K2845" t="s">
        <v>14899</v>
      </c>
      <c r="L2845">
        <v>0.83</v>
      </c>
      <c r="M2845" t="s">
        <v>46</v>
      </c>
      <c r="N2845" t="s">
        <v>2172</v>
      </c>
      <c r="O2845">
        <v>3.14</v>
      </c>
      <c r="P2845">
        <v>3.06</v>
      </c>
      <c r="Q2845">
        <v>3.08</v>
      </c>
      <c r="R2845">
        <v>3.08</v>
      </c>
      <c r="S2845">
        <v>2.6</v>
      </c>
      <c r="T2845">
        <v>1</v>
      </c>
      <c r="U2845">
        <v>-16.75</v>
      </c>
      <c r="V2845">
        <v>-6424</v>
      </c>
      <c r="W2845">
        <v>3.12</v>
      </c>
      <c r="X2845" t="s">
        <v>9139</v>
      </c>
      <c r="Y2845" t="s">
        <v>1986</v>
      </c>
      <c r="Z2845">
        <v>0.5</v>
      </c>
      <c r="AA2845">
        <v>3195</v>
      </c>
      <c r="AB2845">
        <v>2141</v>
      </c>
      <c r="AC2845">
        <v>0.6</v>
      </c>
      <c r="AD2845" t="s">
        <v>14900</v>
      </c>
      <c r="AE2845" t="s">
        <v>14901</v>
      </c>
      <c r="AF2845" t="s">
        <v>11999</v>
      </c>
      <c r="AG2845" t="s">
        <v>14128</v>
      </c>
      <c r="AH2845">
        <v>-0.95</v>
      </c>
      <c r="AI2845">
        <v>-4.57</v>
      </c>
      <c r="AJ2845">
        <v>2.3</v>
      </c>
      <c r="AK2845">
        <v>4.98</v>
      </c>
      <c r="AL2845">
        <v>2</v>
      </c>
      <c r="AM2845">
        <v>1.62</v>
      </c>
      <c r="AN2845">
        <v>0</v>
      </c>
      <c r="AO2845">
        <v>-0.63</v>
      </c>
      <c r="AP2845">
        <v>-4.57</v>
      </c>
    </row>
    <row r="2846" spans="1:42">
      <c r="A2846">
        <v>2845</v>
      </c>
      <c r="B2846" t="str">
        <f>"688307"</f>
        <v>688307</v>
      </c>
      <c r="C2846" t="s">
        <v>14902</v>
      </c>
      <c r="D2846">
        <v>31.15</v>
      </c>
      <c r="E2846">
        <v>-3.32</v>
      </c>
      <c r="F2846">
        <v>-1.07</v>
      </c>
      <c r="G2846" t="s">
        <v>5578</v>
      </c>
      <c r="H2846">
        <v>374</v>
      </c>
      <c r="I2846">
        <v>31.15</v>
      </c>
      <c r="J2846">
        <v>31.18</v>
      </c>
      <c r="K2846" t="s">
        <v>14903</v>
      </c>
      <c r="L2846">
        <v>9.86</v>
      </c>
      <c r="M2846" t="s">
        <v>46</v>
      </c>
      <c r="N2846" t="s">
        <v>6057</v>
      </c>
      <c r="O2846">
        <v>32.39</v>
      </c>
      <c r="P2846">
        <v>30.72</v>
      </c>
      <c r="Q2846">
        <v>31.89</v>
      </c>
      <c r="R2846">
        <v>32.22</v>
      </c>
      <c r="S2846">
        <v>5.18</v>
      </c>
      <c r="T2846">
        <v>0.58</v>
      </c>
      <c r="U2846">
        <v>48.06</v>
      </c>
      <c r="V2846">
        <v>467</v>
      </c>
      <c r="W2846">
        <v>31.14</v>
      </c>
      <c r="X2846" t="s">
        <v>7974</v>
      </c>
      <c r="Y2846">
        <v>7980</v>
      </c>
      <c r="Z2846">
        <v>1.36</v>
      </c>
      <c r="AA2846">
        <v>433</v>
      </c>
      <c r="AB2846">
        <v>98</v>
      </c>
      <c r="AC2846">
        <v>3.37</v>
      </c>
      <c r="AD2846" t="s">
        <v>10616</v>
      </c>
      <c r="AE2846" t="s">
        <v>10641</v>
      </c>
      <c r="AF2846" t="s">
        <v>14904</v>
      </c>
      <c r="AG2846" t="s">
        <v>6481</v>
      </c>
      <c r="AH2846">
        <v>-3.05</v>
      </c>
      <c r="AI2846">
        <v>-8.38</v>
      </c>
      <c r="AJ2846">
        <v>51.94</v>
      </c>
      <c r="AK2846">
        <v>95.4</v>
      </c>
      <c r="AL2846">
        <v>-2</v>
      </c>
      <c r="AM2846">
        <v>-3.32</v>
      </c>
      <c r="AN2846">
        <v>31.55</v>
      </c>
      <c r="AO2846">
        <v>7.23</v>
      </c>
      <c r="AP2846">
        <v>31.55</v>
      </c>
    </row>
    <row r="2847" spans="1:42">
      <c r="A2847">
        <v>2846</v>
      </c>
      <c r="B2847" t="str">
        <f>"300856"</f>
        <v>300856</v>
      </c>
      <c r="C2847" t="s">
        <v>14905</v>
      </c>
      <c r="D2847">
        <v>63.75</v>
      </c>
      <c r="E2847">
        <v>-1.16</v>
      </c>
      <c r="F2847">
        <v>-0.75</v>
      </c>
      <c r="G2847">
        <v>9119</v>
      </c>
      <c r="H2847">
        <v>74</v>
      </c>
      <c r="I2847">
        <v>63.75</v>
      </c>
      <c r="J2847">
        <v>63.8</v>
      </c>
      <c r="K2847" t="s">
        <v>14906</v>
      </c>
      <c r="L2847">
        <v>0.56</v>
      </c>
      <c r="M2847" t="s">
        <v>46</v>
      </c>
      <c r="N2847" t="s">
        <v>4602</v>
      </c>
      <c r="O2847">
        <v>64.89</v>
      </c>
      <c r="P2847">
        <v>63.7</v>
      </c>
      <c r="Q2847">
        <v>64.39</v>
      </c>
      <c r="R2847">
        <v>64.5</v>
      </c>
      <c r="S2847">
        <v>1.84</v>
      </c>
      <c r="T2847">
        <v>0.79</v>
      </c>
      <c r="U2847">
        <v>3.8</v>
      </c>
      <c r="V2847">
        <v>3</v>
      </c>
      <c r="W2847">
        <v>64.2</v>
      </c>
      <c r="X2847">
        <v>5052</v>
      </c>
      <c r="Y2847">
        <v>4067</v>
      </c>
      <c r="Z2847">
        <v>1.24</v>
      </c>
      <c r="AA2847">
        <v>10</v>
      </c>
      <c r="AB2847">
        <v>6</v>
      </c>
      <c r="AC2847">
        <v>4.63</v>
      </c>
      <c r="AD2847" t="s">
        <v>14907</v>
      </c>
      <c r="AE2847" t="s">
        <v>4863</v>
      </c>
      <c r="AF2847" t="s">
        <v>10283</v>
      </c>
      <c r="AG2847" t="s">
        <v>2729</v>
      </c>
      <c r="AH2847">
        <v>0.17</v>
      </c>
      <c r="AI2847">
        <v>-0.2</v>
      </c>
      <c r="AJ2847">
        <v>2.4</v>
      </c>
      <c r="AK2847">
        <v>4.12</v>
      </c>
      <c r="AL2847">
        <v>-2</v>
      </c>
      <c r="AM2847">
        <v>-1.16</v>
      </c>
      <c r="AN2847">
        <v>24.63</v>
      </c>
      <c r="AO2847">
        <v>1.17</v>
      </c>
      <c r="AP2847">
        <v>27.25</v>
      </c>
    </row>
    <row r="2848" spans="1:42">
      <c r="A2848">
        <v>2847</v>
      </c>
      <c r="B2848" t="str">
        <f>"603611"</f>
        <v>603611</v>
      </c>
      <c r="C2848" t="s">
        <v>14908</v>
      </c>
      <c r="D2848">
        <v>18.99</v>
      </c>
      <c r="E2848">
        <v>0.42</v>
      </c>
      <c r="F2848">
        <v>0.08</v>
      </c>
      <c r="G2848" t="s">
        <v>6657</v>
      </c>
      <c r="H2848">
        <v>59</v>
      </c>
      <c r="I2848">
        <v>18.97</v>
      </c>
      <c r="J2848">
        <v>18.99</v>
      </c>
      <c r="K2848" t="s">
        <v>14909</v>
      </c>
      <c r="L2848">
        <v>1.2</v>
      </c>
      <c r="M2848" t="s">
        <v>46</v>
      </c>
      <c r="N2848" t="s">
        <v>12237</v>
      </c>
      <c r="O2848">
        <v>19.05</v>
      </c>
      <c r="P2848">
        <v>18.71</v>
      </c>
      <c r="Q2848">
        <v>18.88</v>
      </c>
      <c r="R2848">
        <v>18.91</v>
      </c>
      <c r="S2848">
        <v>1.8</v>
      </c>
      <c r="T2848">
        <v>1</v>
      </c>
      <c r="U2848">
        <v>53.47</v>
      </c>
      <c r="V2848">
        <v>430</v>
      </c>
      <c r="W2848">
        <v>18.92</v>
      </c>
      <c r="X2848" t="s">
        <v>5951</v>
      </c>
      <c r="Y2848" t="s">
        <v>7178</v>
      </c>
      <c r="Z2848">
        <v>1.01</v>
      </c>
      <c r="AA2848">
        <v>46</v>
      </c>
      <c r="AB2848">
        <v>50</v>
      </c>
      <c r="AC2848">
        <v>1.9</v>
      </c>
      <c r="AD2848" t="s">
        <v>14910</v>
      </c>
      <c r="AE2848" t="s">
        <v>12948</v>
      </c>
      <c r="AF2848" t="s">
        <v>14910</v>
      </c>
      <c r="AG2848" t="s">
        <v>12948</v>
      </c>
      <c r="AH2848">
        <v>-2.62</v>
      </c>
      <c r="AI2848">
        <v>-2.57</v>
      </c>
      <c r="AJ2848">
        <v>3.94</v>
      </c>
      <c r="AK2848">
        <v>7.23</v>
      </c>
      <c r="AL2848">
        <v>1</v>
      </c>
      <c r="AM2848">
        <v>0.42</v>
      </c>
      <c r="AN2848">
        <v>21.42</v>
      </c>
      <c r="AO2848">
        <v>0.42</v>
      </c>
      <c r="AP2848">
        <v>7.05</v>
      </c>
    </row>
    <row r="2849" spans="1:42">
      <c r="A2849">
        <v>2848</v>
      </c>
      <c r="B2849" t="str">
        <f>"002237"</f>
        <v>002237</v>
      </c>
      <c r="C2849" t="s">
        <v>14911</v>
      </c>
      <c r="D2849">
        <v>11.19</v>
      </c>
      <c r="E2849">
        <v>0.36</v>
      </c>
      <c r="F2849">
        <v>0.04</v>
      </c>
      <c r="G2849" t="s">
        <v>1988</v>
      </c>
      <c r="H2849">
        <v>383</v>
      </c>
      <c r="I2849">
        <v>11.18</v>
      </c>
      <c r="J2849">
        <v>11.19</v>
      </c>
      <c r="K2849" t="s">
        <v>14912</v>
      </c>
      <c r="L2849">
        <v>0.58</v>
      </c>
      <c r="M2849" t="s">
        <v>46</v>
      </c>
      <c r="N2849" t="s">
        <v>14913</v>
      </c>
      <c r="O2849">
        <v>11.2</v>
      </c>
      <c r="P2849">
        <v>11.1</v>
      </c>
      <c r="Q2849">
        <v>11.13</v>
      </c>
      <c r="R2849">
        <v>11.15</v>
      </c>
      <c r="S2849">
        <v>0.9</v>
      </c>
      <c r="T2849">
        <v>0.69</v>
      </c>
      <c r="U2849">
        <v>-27.06</v>
      </c>
      <c r="V2849">
        <v>-1073</v>
      </c>
      <c r="W2849">
        <v>11.15</v>
      </c>
      <c r="X2849" t="s">
        <v>2818</v>
      </c>
      <c r="Y2849" t="s">
        <v>541</v>
      </c>
      <c r="Z2849">
        <v>0.82</v>
      </c>
      <c r="AA2849">
        <v>264</v>
      </c>
      <c r="AB2849">
        <v>331</v>
      </c>
      <c r="AC2849">
        <v>1.48</v>
      </c>
      <c r="AD2849" t="s">
        <v>14914</v>
      </c>
      <c r="AE2849" t="s">
        <v>1247</v>
      </c>
      <c r="AF2849" t="s">
        <v>14915</v>
      </c>
      <c r="AG2849" t="s">
        <v>7382</v>
      </c>
      <c r="AH2849">
        <v>0.18</v>
      </c>
      <c r="AI2849">
        <v>0.72</v>
      </c>
      <c r="AJ2849">
        <v>2.68</v>
      </c>
      <c r="AK2849">
        <v>4.78</v>
      </c>
      <c r="AL2849">
        <v>1</v>
      </c>
      <c r="AM2849">
        <v>0.36</v>
      </c>
      <c r="AN2849">
        <v>6.17</v>
      </c>
      <c r="AO2849">
        <v>-1.32</v>
      </c>
      <c r="AP2849">
        <v>5.87</v>
      </c>
    </row>
    <row r="2850" spans="1:42">
      <c r="A2850">
        <v>2849</v>
      </c>
      <c r="B2850" t="str">
        <f>"002344"</f>
        <v>002344</v>
      </c>
      <c r="C2850" t="s">
        <v>14916</v>
      </c>
      <c r="D2850">
        <v>4.36</v>
      </c>
      <c r="E2850">
        <v>-0.46</v>
      </c>
      <c r="F2850">
        <v>-0.02</v>
      </c>
      <c r="G2850" t="s">
        <v>1759</v>
      </c>
      <c r="H2850">
        <v>1218</v>
      </c>
      <c r="I2850">
        <v>4.36</v>
      </c>
      <c r="J2850">
        <v>4.37</v>
      </c>
      <c r="K2850" t="s">
        <v>14917</v>
      </c>
      <c r="L2850">
        <v>1.04</v>
      </c>
      <c r="M2850" t="s">
        <v>46</v>
      </c>
      <c r="N2850" t="s">
        <v>11558</v>
      </c>
      <c r="O2850">
        <v>4.43</v>
      </c>
      <c r="P2850">
        <v>4.34</v>
      </c>
      <c r="Q2850">
        <v>4.35</v>
      </c>
      <c r="R2850">
        <v>4.38</v>
      </c>
      <c r="S2850">
        <v>2.05</v>
      </c>
      <c r="T2850">
        <v>1.37</v>
      </c>
      <c r="U2850">
        <v>-27.9</v>
      </c>
      <c r="V2850">
        <v>-2216</v>
      </c>
      <c r="W2850">
        <v>4.38</v>
      </c>
      <c r="X2850" t="s">
        <v>9098</v>
      </c>
      <c r="Y2850" t="s">
        <v>2167</v>
      </c>
      <c r="Z2850">
        <v>1.04</v>
      </c>
      <c r="AA2850">
        <v>536</v>
      </c>
      <c r="AB2850">
        <v>583</v>
      </c>
      <c r="AC2850">
        <v>0.67</v>
      </c>
      <c r="AD2850" t="s">
        <v>14918</v>
      </c>
      <c r="AE2850" t="s">
        <v>953</v>
      </c>
      <c r="AF2850" t="s">
        <v>14919</v>
      </c>
      <c r="AG2850" t="s">
        <v>14920</v>
      </c>
      <c r="AH2850">
        <v>-2.24</v>
      </c>
      <c r="AI2850">
        <v>-1.8</v>
      </c>
      <c r="AJ2850">
        <v>2.82</v>
      </c>
      <c r="AK2850">
        <v>4.83</v>
      </c>
      <c r="AL2850">
        <v>-1</v>
      </c>
      <c r="AM2850">
        <v>-0.46</v>
      </c>
      <c r="AN2850">
        <v>-6.03</v>
      </c>
      <c r="AO2850">
        <v>5.31</v>
      </c>
      <c r="AP2850">
        <v>4.56</v>
      </c>
    </row>
    <row r="2851" spans="1:42">
      <c r="A2851">
        <v>2850</v>
      </c>
      <c r="B2851" t="str">
        <f>"002010"</f>
        <v>002010</v>
      </c>
      <c r="C2851" t="s">
        <v>14921</v>
      </c>
      <c r="D2851">
        <v>4.81</v>
      </c>
      <c r="E2851">
        <v>0</v>
      </c>
      <c r="F2851">
        <v>0</v>
      </c>
      <c r="G2851" t="s">
        <v>447</v>
      </c>
      <c r="H2851">
        <v>1293</v>
      </c>
      <c r="I2851">
        <v>4.81</v>
      </c>
      <c r="J2851">
        <v>4.82</v>
      </c>
      <c r="K2851" t="s">
        <v>14922</v>
      </c>
      <c r="L2851">
        <v>0.45</v>
      </c>
      <c r="M2851" t="s">
        <v>46</v>
      </c>
      <c r="N2851" t="s">
        <v>14923</v>
      </c>
      <c r="O2851">
        <v>4.84</v>
      </c>
      <c r="P2851">
        <v>4.79</v>
      </c>
      <c r="Q2851">
        <v>4.83</v>
      </c>
      <c r="R2851">
        <v>4.81</v>
      </c>
      <c r="S2851">
        <v>1.04</v>
      </c>
      <c r="T2851">
        <v>1.22</v>
      </c>
      <c r="U2851">
        <v>13.64</v>
      </c>
      <c r="V2851">
        <v>2957</v>
      </c>
      <c r="W2851">
        <v>4.81</v>
      </c>
      <c r="X2851" t="s">
        <v>4236</v>
      </c>
      <c r="Y2851" t="s">
        <v>3356</v>
      </c>
      <c r="Z2851">
        <v>1.45</v>
      </c>
      <c r="AA2851">
        <v>3882</v>
      </c>
      <c r="AB2851">
        <v>485</v>
      </c>
      <c r="AC2851">
        <v>0.75</v>
      </c>
      <c r="AD2851" t="s">
        <v>14924</v>
      </c>
      <c r="AE2851" t="s">
        <v>8784</v>
      </c>
      <c r="AF2851" t="s">
        <v>14925</v>
      </c>
      <c r="AG2851" t="s">
        <v>14926</v>
      </c>
      <c r="AH2851">
        <v>-1.84</v>
      </c>
      <c r="AI2851">
        <v>-2.83</v>
      </c>
      <c r="AJ2851">
        <v>1.2</v>
      </c>
      <c r="AK2851">
        <v>2.32</v>
      </c>
      <c r="AL2851">
        <v>0</v>
      </c>
      <c r="AM2851">
        <v>0</v>
      </c>
      <c r="AN2851">
        <v>-8.21</v>
      </c>
      <c r="AO2851">
        <v>-2.83</v>
      </c>
      <c r="AP2851">
        <v>-14.72</v>
      </c>
    </row>
    <row r="2852" spans="1:42">
      <c r="A2852">
        <v>2851</v>
      </c>
      <c r="B2852" t="str">
        <f>"000923"</f>
        <v>000923</v>
      </c>
      <c r="C2852" t="s">
        <v>14927</v>
      </c>
      <c r="D2852">
        <v>16.43</v>
      </c>
      <c r="E2852">
        <v>-0.54</v>
      </c>
      <c r="F2852">
        <v>-0.09</v>
      </c>
      <c r="G2852" t="s">
        <v>4148</v>
      </c>
      <c r="H2852">
        <v>388</v>
      </c>
      <c r="I2852">
        <v>16.43</v>
      </c>
      <c r="J2852">
        <v>16.44</v>
      </c>
      <c r="K2852" t="s">
        <v>14928</v>
      </c>
      <c r="L2852">
        <v>0.57</v>
      </c>
      <c r="M2852" t="s">
        <v>46</v>
      </c>
      <c r="N2852" t="s">
        <v>11785</v>
      </c>
      <c r="O2852">
        <v>16.54</v>
      </c>
      <c r="P2852">
        <v>16.29</v>
      </c>
      <c r="Q2852">
        <v>16.49</v>
      </c>
      <c r="R2852">
        <v>16.52</v>
      </c>
      <c r="S2852">
        <v>1.51</v>
      </c>
      <c r="T2852">
        <v>0.87</v>
      </c>
      <c r="U2852">
        <v>28.7</v>
      </c>
      <c r="V2852">
        <v>124</v>
      </c>
      <c r="W2852">
        <v>16.4</v>
      </c>
      <c r="X2852" t="s">
        <v>3116</v>
      </c>
      <c r="Y2852" t="s">
        <v>6867</v>
      </c>
      <c r="Z2852">
        <v>1.48</v>
      </c>
      <c r="AA2852">
        <v>10</v>
      </c>
      <c r="AB2852">
        <v>20</v>
      </c>
      <c r="AC2852">
        <v>1.18</v>
      </c>
      <c r="AD2852" t="s">
        <v>6847</v>
      </c>
      <c r="AE2852" t="s">
        <v>13524</v>
      </c>
      <c r="AF2852" t="s">
        <v>14929</v>
      </c>
      <c r="AG2852" t="s">
        <v>13655</v>
      </c>
      <c r="AH2852">
        <v>-1.08</v>
      </c>
      <c r="AI2852">
        <v>-2.84</v>
      </c>
      <c r="AJ2852">
        <v>1.77</v>
      </c>
      <c r="AK2852">
        <v>3.85</v>
      </c>
      <c r="AL2852">
        <v>-2</v>
      </c>
      <c r="AM2852">
        <v>-0.54</v>
      </c>
      <c r="AN2852">
        <v>27.86</v>
      </c>
      <c r="AO2852">
        <v>1.36</v>
      </c>
      <c r="AP2852">
        <v>57.38</v>
      </c>
    </row>
    <row r="2853" spans="1:42">
      <c r="A2853">
        <v>2852</v>
      </c>
      <c r="B2853" t="str">
        <f>"600537"</f>
        <v>600537</v>
      </c>
      <c r="C2853" t="s">
        <v>14930</v>
      </c>
      <c r="D2853">
        <v>5.12</v>
      </c>
      <c r="E2853">
        <v>0.2</v>
      </c>
      <c r="F2853">
        <v>0.01</v>
      </c>
      <c r="G2853" t="s">
        <v>4356</v>
      </c>
      <c r="H2853">
        <v>811</v>
      </c>
      <c r="I2853">
        <v>5.12</v>
      </c>
      <c r="J2853">
        <v>5.13</v>
      </c>
      <c r="K2853" t="s">
        <v>14931</v>
      </c>
      <c r="L2853">
        <v>0.97</v>
      </c>
      <c r="M2853" t="s">
        <v>46</v>
      </c>
      <c r="N2853" t="s">
        <v>14932</v>
      </c>
      <c r="O2853">
        <v>5.13</v>
      </c>
      <c r="P2853">
        <v>5.07</v>
      </c>
      <c r="Q2853">
        <v>5.11</v>
      </c>
      <c r="R2853">
        <v>5.11</v>
      </c>
      <c r="S2853">
        <v>1.17</v>
      </c>
      <c r="T2853">
        <v>0.93</v>
      </c>
      <c r="U2853">
        <v>2.09</v>
      </c>
      <c r="V2853">
        <v>476</v>
      </c>
      <c r="W2853">
        <v>5.1</v>
      </c>
      <c r="X2853" t="s">
        <v>6604</v>
      </c>
      <c r="Y2853" t="s">
        <v>6226</v>
      </c>
      <c r="Z2853">
        <v>0.95</v>
      </c>
      <c r="AA2853">
        <v>1328</v>
      </c>
      <c r="AB2853">
        <v>3413</v>
      </c>
      <c r="AC2853">
        <v>2.19</v>
      </c>
      <c r="AD2853" t="s">
        <v>14933</v>
      </c>
      <c r="AE2853" t="s">
        <v>14934</v>
      </c>
      <c r="AF2853" t="s">
        <v>14935</v>
      </c>
      <c r="AG2853" t="s">
        <v>14936</v>
      </c>
      <c r="AH2853">
        <v>-1.92</v>
      </c>
      <c r="AI2853">
        <v>-3.4</v>
      </c>
      <c r="AJ2853">
        <v>3.02</v>
      </c>
      <c r="AK2853">
        <v>6.21</v>
      </c>
      <c r="AL2853">
        <v>1</v>
      </c>
      <c r="AM2853">
        <v>0.2</v>
      </c>
      <c r="AN2853">
        <v>-8.24</v>
      </c>
      <c r="AO2853">
        <v>-1.54</v>
      </c>
      <c r="AP2853">
        <v>-18.99</v>
      </c>
    </row>
    <row r="2854" spans="1:42">
      <c r="A2854">
        <v>2853</v>
      </c>
      <c r="B2854" t="str">
        <f>"600278"</f>
        <v>600278</v>
      </c>
      <c r="C2854" t="s">
        <v>14937</v>
      </c>
      <c r="D2854">
        <v>7.19</v>
      </c>
      <c r="E2854">
        <v>1.99</v>
      </c>
      <c r="F2854">
        <v>0.14</v>
      </c>
      <c r="G2854" t="s">
        <v>11358</v>
      </c>
      <c r="H2854">
        <v>922</v>
      </c>
      <c r="I2854">
        <v>7.18</v>
      </c>
      <c r="J2854">
        <v>7.19</v>
      </c>
      <c r="K2854" t="s">
        <v>14938</v>
      </c>
      <c r="L2854">
        <v>1.2</v>
      </c>
      <c r="M2854" t="s">
        <v>46</v>
      </c>
      <c r="N2854" t="s">
        <v>6064</v>
      </c>
      <c r="O2854">
        <v>7.24</v>
      </c>
      <c r="P2854">
        <v>7.06</v>
      </c>
      <c r="Q2854">
        <v>7.06</v>
      </c>
      <c r="R2854">
        <v>7.05</v>
      </c>
      <c r="S2854">
        <v>2.55</v>
      </c>
      <c r="T2854">
        <v>1.45</v>
      </c>
      <c r="U2854">
        <v>-50.95</v>
      </c>
      <c r="V2854">
        <v>-4172</v>
      </c>
      <c r="W2854">
        <v>7.17</v>
      </c>
      <c r="X2854" t="s">
        <v>729</v>
      </c>
      <c r="Y2854" t="s">
        <v>4399</v>
      </c>
      <c r="Z2854">
        <v>0.71</v>
      </c>
      <c r="AA2854">
        <v>612</v>
      </c>
      <c r="AB2854">
        <v>1028</v>
      </c>
      <c r="AC2854">
        <v>0.88</v>
      </c>
      <c r="AD2854" t="s">
        <v>14939</v>
      </c>
      <c r="AE2854" t="s">
        <v>14940</v>
      </c>
      <c r="AF2854" t="s">
        <v>14941</v>
      </c>
      <c r="AG2854" t="s">
        <v>14942</v>
      </c>
      <c r="AH2854">
        <v>2.13</v>
      </c>
      <c r="AI2854">
        <v>0</v>
      </c>
      <c r="AJ2854">
        <v>2.63</v>
      </c>
      <c r="AK2854">
        <v>5.35</v>
      </c>
      <c r="AL2854">
        <v>1</v>
      </c>
      <c r="AM2854">
        <v>1.99</v>
      </c>
      <c r="AN2854">
        <v>6.84</v>
      </c>
      <c r="AO2854">
        <v>4.2</v>
      </c>
      <c r="AP2854">
        <v>4.66</v>
      </c>
    </row>
    <row r="2855" spans="1:42">
      <c r="A2855">
        <v>2854</v>
      </c>
      <c r="B2855" t="str">
        <f>"300061"</f>
        <v>300061</v>
      </c>
      <c r="C2855" t="s">
        <v>14943</v>
      </c>
      <c r="D2855">
        <v>6.45</v>
      </c>
      <c r="E2855">
        <v>2.87</v>
      </c>
      <c r="F2855">
        <v>0.18</v>
      </c>
      <c r="G2855" t="s">
        <v>2411</v>
      </c>
      <c r="H2855">
        <v>982</v>
      </c>
      <c r="I2855">
        <v>6.45</v>
      </c>
      <c r="J2855">
        <v>6.46</v>
      </c>
      <c r="K2855" t="s">
        <v>14944</v>
      </c>
      <c r="L2855">
        <v>1.63</v>
      </c>
      <c r="M2855" t="s">
        <v>46</v>
      </c>
      <c r="N2855" t="s">
        <v>1968</v>
      </c>
      <c r="O2855">
        <v>6.46</v>
      </c>
      <c r="P2855">
        <v>6.25</v>
      </c>
      <c r="Q2855">
        <v>6.27</v>
      </c>
      <c r="R2855">
        <v>6.27</v>
      </c>
      <c r="S2855">
        <v>3.35</v>
      </c>
      <c r="T2855">
        <v>1.09</v>
      </c>
      <c r="U2855">
        <v>-25.57</v>
      </c>
      <c r="V2855">
        <v>-3003</v>
      </c>
      <c r="W2855">
        <v>6.38</v>
      </c>
      <c r="X2855" t="s">
        <v>1559</v>
      </c>
      <c r="Y2855" t="s">
        <v>14220</v>
      </c>
      <c r="Z2855">
        <v>0.68</v>
      </c>
      <c r="AA2855">
        <v>456</v>
      </c>
      <c r="AB2855">
        <v>3080</v>
      </c>
      <c r="AC2855">
        <v>3.45</v>
      </c>
      <c r="AD2855" t="s">
        <v>14945</v>
      </c>
      <c r="AE2855" t="s">
        <v>14946</v>
      </c>
      <c r="AF2855" t="s">
        <v>14947</v>
      </c>
      <c r="AG2855" t="s">
        <v>14948</v>
      </c>
      <c r="AH2855">
        <v>0.78</v>
      </c>
      <c r="AI2855">
        <v>-1.38</v>
      </c>
      <c r="AJ2855">
        <v>4.03</v>
      </c>
      <c r="AK2855">
        <v>9.08</v>
      </c>
      <c r="AL2855">
        <v>1</v>
      </c>
      <c r="AM2855">
        <v>2.87</v>
      </c>
      <c r="AN2855">
        <v>-3.59</v>
      </c>
      <c r="AO2855">
        <v>6.44</v>
      </c>
      <c r="AP2855">
        <v>-14.23</v>
      </c>
    </row>
    <row r="2856" spans="1:42">
      <c r="A2856">
        <v>2855</v>
      </c>
      <c r="B2856" t="str">
        <f>"600844"</f>
        <v>600844</v>
      </c>
      <c r="C2856" t="s">
        <v>14949</v>
      </c>
      <c r="D2856">
        <v>3.2</v>
      </c>
      <c r="E2856">
        <v>3.56</v>
      </c>
      <c r="F2856">
        <v>0.11</v>
      </c>
      <c r="G2856" t="s">
        <v>4161</v>
      </c>
      <c r="H2856" t="s">
        <v>4792</v>
      </c>
      <c r="I2856">
        <v>3.19</v>
      </c>
      <c r="J2856">
        <v>3.2</v>
      </c>
      <c r="K2856" t="s">
        <v>14950</v>
      </c>
      <c r="L2856">
        <v>2.26</v>
      </c>
      <c r="M2856" t="s">
        <v>46</v>
      </c>
      <c r="N2856" t="s">
        <v>12849</v>
      </c>
      <c r="O2856">
        <v>3.21</v>
      </c>
      <c r="P2856">
        <v>3.08</v>
      </c>
      <c r="Q2856">
        <v>3.1</v>
      </c>
      <c r="R2856">
        <v>3.09</v>
      </c>
      <c r="S2856">
        <v>4.21</v>
      </c>
      <c r="T2856">
        <v>1.06</v>
      </c>
      <c r="U2856">
        <v>-31</v>
      </c>
      <c r="V2856">
        <v>-7016</v>
      </c>
      <c r="W2856">
        <v>3.14</v>
      </c>
      <c r="X2856" t="s">
        <v>1900</v>
      </c>
      <c r="Y2856" t="s">
        <v>447</v>
      </c>
      <c r="Z2856">
        <v>0.53</v>
      </c>
      <c r="AA2856">
        <v>1</v>
      </c>
      <c r="AB2856">
        <v>3167</v>
      </c>
      <c r="AC2856">
        <v>4.3</v>
      </c>
      <c r="AD2856" t="s">
        <v>14850</v>
      </c>
      <c r="AE2856" t="s">
        <v>9691</v>
      </c>
      <c r="AF2856" t="s">
        <v>14951</v>
      </c>
      <c r="AG2856" t="s">
        <v>14952</v>
      </c>
      <c r="AH2856">
        <v>2.89</v>
      </c>
      <c r="AI2856">
        <v>-0.62</v>
      </c>
      <c r="AJ2856">
        <v>5.4</v>
      </c>
      <c r="AK2856">
        <v>12.9</v>
      </c>
      <c r="AL2856">
        <v>2</v>
      </c>
      <c r="AM2856">
        <v>3.56</v>
      </c>
      <c r="AN2856">
        <v>0.63</v>
      </c>
      <c r="AO2856">
        <v>12.68</v>
      </c>
      <c r="AP2856">
        <v>2.56</v>
      </c>
    </row>
    <row r="2857" spans="1:42">
      <c r="A2857">
        <v>2856</v>
      </c>
      <c r="B2857" t="str">
        <f>"600255"</f>
        <v>600255</v>
      </c>
      <c r="C2857" t="s">
        <v>14953</v>
      </c>
      <c r="D2857">
        <v>2.11</v>
      </c>
      <c r="E2857">
        <v>0.48</v>
      </c>
      <c r="F2857">
        <v>0.01</v>
      </c>
      <c r="G2857" t="s">
        <v>283</v>
      </c>
      <c r="H2857">
        <v>3901</v>
      </c>
      <c r="I2857">
        <v>2.1</v>
      </c>
      <c r="J2857">
        <v>2.11</v>
      </c>
      <c r="K2857" t="s">
        <v>14954</v>
      </c>
      <c r="L2857">
        <v>1.54</v>
      </c>
      <c r="M2857" t="s">
        <v>46</v>
      </c>
      <c r="N2857" t="s">
        <v>14955</v>
      </c>
      <c r="O2857">
        <v>2.12</v>
      </c>
      <c r="P2857">
        <v>2.07</v>
      </c>
      <c r="Q2857">
        <v>2.09</v>
      </c>
      <c r="R2857">
        <v>2.1</v>
      </c>
      <c r="S2857">
        <v>2.38</v>
      </c>
      <c r="T2857">
        <v>0.89</v>
      </c>
      <c r="U2857">
        <v>-3.25</v>
      </c>
      <c r="V2857">
        <v>-3304</v>
      </c>
      <c r="W2857">
        <v>2.1</v>
      </c>
      <c r="X2857" t="s">
        <v>784</v>
      </c>
      <c r="Y2857" t="s">
        <v>960</v>
      </c>
      <c r="Z2857">
        <v>0.99</v>
      </c>
      <c r="AA2857">
        <v>5719</v>
      </c>
      <c r="AB2857">
        <v>8063</v>
      </c>
      <c r="AC2857">
        <v>2.72</v>
      </c>
      <c r="AD2857" t="s">
        <v>14956</v>
      </c>
      <c r="AE2857" t="s">
        <v>5195</v>
      </c>
      <c r="AF2857" t="s">
        <v>14956</v>
      </c>
      <c r="AG2857" t="s">
        <v>5195</v>
      </c>
      <c r="AH2857">
        <v>0.48</v>
      </c>
      <c r="AI2857">
        <v>-1.86</v>
      </c>
      <c r="AJ2857">
        <v>5.4</v>
      </c>
      <c r="AK2857">
        <v>10.19</v>
      </c>
      <c r="AL2857">
        <v>2</v>
      </c>
      <c r="AM2857">
        <v>0.48</v>
      </c>
      <c r="AN2857">
        <v>-18.22</v>
      </c>
      <c r="AO2857">
        <v>3.94</v>
      </c>
      <c r="AP2857">
        <v>-21.85</v>
      </c>
    </row>
    <row r="2858" spans="1:42">
      <c r="A2858">
        <v>2857</v>
      </c>
      <c r="B2858" t="str">
        <f>"300143"</f>
        <v>300143</v>
      </c>
      <c r="C2858" t="s">
        <v>14957</v>
      </c>
      <c r="D2858">
        <v>10.58</v>
      </c>
      <c r="E2858">
        <v>-0.94</v>
      </c>
      <c r="F2858">
        <v>-0.1</v>
      </c>
      <c r="G2858" t="s">
        <v>9519</v>
      </c>
      <c r="H2858">
        <v>262</v>
      </c>
      <c r="I2858">
        <v>10.58</v>
      </c>
      <c r="J2858">
        <v>10.6</v>
      </c>
      <c r="K2858" t="s">
        <v>14958</v>
      </c>
      <c r="L2858">
        <v>0.86</v>
      </c>
      <c r="M2858" t="s">
        <v>46</v>
      </c>
      <c r="N2858" t="s">
        <v>261</v>
      </c>
      <c r="O2858">
        <v>10.72</v>
      </c>
      <c r="P2858">
        <v>10.53</v>
      </c>
      <c r="Q2858">
        <v>10.68</v>
      </c>
      <c r="R2858">
        <v>10.68</v>
      </c>
      <c r="S2858">
        <v>1.78</v>
      </c>
      <c r="T2858">
        <v>1.05</v>
      </c>
      <c r="U2858">
        <v>-10.01</v>
      </c>
      <c r="V2858">
        <v>-292</v>
      </c>
      <c r="W2858">
        <v>10.61</v>
      </c>
      <c r="X2858" t="s">
        <v>401</v>
      </c>
      <c r="Y2858" t="s">
        <v>9272</v>
      </c>
      <c r="Z2858">
        <v>1.26</v>
      </c>
      <c r="AA2858">
        <v>15</v>
      </c>
      <c r="AB2858">
        <v>581</v>
      </c>
      <c r="AC2858">
        <v>4.96</v>
      </c>
      <c r="AD2858" t="s">
        <v>14959</v>
      </c>
      <c r="AE2858" t="s">
        <v>13494</v>
      </c>
      <c r="AF2858" t="s">
        <v>14959</v>
      </c>
      <c r="AG2858" t="s">
        <v>13494</v>
      </c>
      <c r="AH2858">
        <v>-1.4</v>
      </c>
      <c r="AI2858">
        <v>0.28</v>
      </c>
      <c r="AJ2858">
        <v>2.34</v>
      </c>
      <c r="AK2858">
        <v>4.95</v>
      </c>
      <c r="AL2858">
        <v>-1</v>
      </c>
      <c r="AM2858">
        <v>-0.94</v>
      </c>
      <c r="AN2858">
        <v>4.03</v>
      </c>
      <c r="AO2858">
        <v>3.22</v>
      </c>
      <c r="AP2858">
        <v>-5.62</v>
      </c>
    </row>
    <row r="2859" spans="1:42">
      <c r="A2859">
        <v>2858</v>
      </c>
      <c r="B2859" t="str">
        <f>"002570"</f>
        <v>002570</v>
      </c>
      <c r="C2859" t="s">
        <v>14960</v>
      </c>
      <c r="D2859">
        <v>4.31</v>
      </c>
      <c r="E2859">
        <v>0.23</v>
      </c>
      <c r="F2859">
        <v>0.01</v>
      </c>
      <c r="G2859" t="s">
        <v>4247</v>
      </c>
      <c r="H2859">
        <v>852</v>
      </c>
      <c r="I2859">
        <v>4.3</v>
      </c>
      <c r="J2859">
        <v>4.31</v>
      </c>
      <c r="K2859" t="s">
        <v>14961</v>
      </c>
      <c r="L2859">
        <v>1.25</v>
      </c>
      <c r="M2859" t="s">
        <v>46</v>
      </c>
      <c r="N2859" t="s">
        <v>4428</v>
      </c>
      <c r="O2859">
        <v>4.36</v>
      </c>
      <c r="P2859">
        <v>4.28</v>
      </c>
      <c r="Q2859">
        <v>4.29</v>
      </c>
      <c r="R2859">
        <v>4.3</v>
      </c>
      <c r="S2859">
        <v>1.86</v>
      </c>
      <c r="T2859">
        <v>1.26</v>
      </c>
      <c r="U2859">
        <v>-41.1</v>
      </c>
      <c r="V2859">
        <v>-7865</v>
      </c>
      <c r="W2859">
        <v>4.33</v>
      </c>
      <c r="X2859" t="s">
        <v>4901</v>
      </c>
      <c r="Y2859" t="s">
        <v>3691</v>
      </c>
      <c r="Z2859">
        <v>0.77</v>
      </c>
      <c r="AA2859">
        <v>563</v>
      </c>
      <c r="AB2859">
        <v>898</v>
      </c>
      <c r="AC2859">
        <v>2.91</v>
      </c>
      <c r="AD2859" t="s">
        <v>14962</v>
      </c>
      <c r="AE2859" t="s">
        <v>14963</v>
      </c>
      <c r="AF2859" t="s">
        <v>14962</v>
      </c>
      <c r="AG2859" t="s">
        <v>14963</v>
      </c>
      <c r="AH2859">
        <v>0.47</v>
      </c>
      <c r="AI2859">
        <v>1.41</v>
      </c>
      <c r="AJ2859">
        <v>3.09</v>
      </c>
      <c r="AK2859">
        <v>6.19</v>
      </c>
      <c r="AL2859">
        <v>2</v>
      </c>
      <c r="AM2859">
        <v>0.23</v>
      </c>
      <c r="AN2859">
        <v>-20.33</v>
      </c>
      <c r="AO2859">
        <v>2.62</v>
      </c>
      <c r="AP2859">
        <v>-10.95</v>
      </c>
    </row>
    <row r="2860" spans="1:42">
      <c r="A2860">
        <v>2859</v>
      </c>
      <c r="B2860" t="str">
        <f>"300370"</f>
        <v>300370</v>
      </c>
      <c r="C2860" t="s">
        <v>14964</v>
      </c>
      <c r="D2860">
        <v>2.86</v>
      </c>
      <c r="E2860">
        <v>1.06</v>
      </c>
      <c r="F2860">
        <v>0.03</v>
      </c>
      <c r="G2860" t="s">
        <v>509</v>
      </c>
      <c r="H2860">
        <v>2687</v>
      </c>
      <c r="I2860">
        <v>2.86</v>
      </c>
      <c r="J2860">
        <v>2.87</v>
      </c>
      <c r="K2860" t="s">
        <v>14965</v>
      </c>
      <c r="L2860">
        <v>1.82</v>
      </c>
      <c r="M2860" t="s">
        <v>46</v>
      </c>
      <c r="N2860" t="s">
        <v>5940</v>
      </c>
      <c r="O2860">
        <v>2.87</v>
      </c>
      <c r="P2860">
        <v>2.82</v>
      </c>
      <c r="Q2860">
        <v>2.82</v>
      </c>
      <c r="R2860">
        <v>2.83</v>
      </c>
      <c r="S2860">
        <v>1.77</v>
      </c>
      <c r="T2860">
        <v>0.94</v>
      </c>
      <c r="U2860">
        <v>-5.96</v>
      </c>
      <c r="V2860">
        <v>-2847</v>
      </c>
      <c r="W2860">
        <v>2.84</v>
      </c>
      <c r="X2860" t="s">
        <v>14966</v>
      </c>
      <c r="Y2860" t="s">
        <v>2025</v>
      </c>
      <c r="Z2860">
        <v>0.63</v>
      </c>
      <c r="AA2860">
        <v>744</v>
      </c>
      <c r="AB2860">
        <v>5020</v>
      </c>
      <c r="AC2860">
        <v>6.62</v>
      </c>
      <c r="AD2860" t="s">
        <v>9600</v>
      </c>
      <c r="AE2860" t="s">
        <v>14967</v>
      </c>
      <c r="AF2860" t="s">
        <v>6479</v>
      </c>
      <c r="AG2860" t="s">
        <v>14968</v>
      </c>
      <c r="AH2860">
        <v>0.35</v>
      </c>
      <c r="AI2860">
        <v>-1.38</v>
      </c>
      <c r="AJ2860">
        <v>4.66</v>
      </c>
      <c r="AK2860">
        <v>11.52</v>
      </c>
      <c r="AL2860">
        <v>2</v>
      </c>
      <c r="AM2860">
        <v>1.06</v>
      </c>
      <c r="AN2860">
        <v>14.86</v>
      </c>
      <c r="AO2860">
        <v>1.06</v>
      </c>
      <c r="AP2860">
        <v>7.52</v>
      </c>
    </row>
    <row r="2861" spans="1:42">
      <c r="A2861">
        <v>2860</v>
      </c>
      <c r="B2861" t="str">
        <f>"300749"</f>
        <v>300749</v>
      </c>
      <c r="C2861" t="s">
        <v>14969</v>
      </c>
      <c r="D2861">
        <v>9.64</v>
      </c>
      <c r="E2861">
        <v>2.01</v>
      </c>
      <c r="F2861">
        <v>0.19</v>
      </c>
      <c r="G2861" t="s">
        <v>7494</v>
      </c>
      <c r="H2861">
        <v>1425</v>
      </c>
      <c r="I2861">
        <v>9.63</v>
      </c>
      <c r="J2861">
        <v>9.64</v>
      </c>
      <c r="K2861" t="s">
        <v>14970</v>
      </c>
      <c r="L2861">
        <v>3.91</v>
      </c>
      <c r="M2861" t="s">
        <v>46</v>
      </c>
      <c r="N2861" t="s">
        <v>14106</v>
      </c>
      <c r="O2861">
        <v>9.71</v>
      </c>
      <c r="P2861">
        <v>9.36</v>
      </c>
      <c r="Q2861">
        <v>9.42</v>
      </c>
      <c r="R2861">
        <v>9.45</v>
      </c>
      <c r="S2861">
        <v>3.7</v>
      </c>
      <c r="T2861">
        <v>2.25</v>
      </c>
      <c r="U2861">
        <v>17.62</v>
      </c>
      <c r="V2861">
        <v>275</v>
      </c>
      <c r="W2861">
        <v>9.61</v>
      </c>
      <c r="X2861" t="s">
        <v>6247</v>
      </c>
      <c r="Y2861" t="s">
        <v>2628</v>
      </c>
      <c r="Z2861">
        <v>0.93</v>
      </c>
      <c r="AA2861">
        <v>137</v>
      </c>
      <c r="AB2861">
        <v>293</v>
      </c>
      <c r="AC2861">
        <v>2.66</v>
      </c>
      <c r="AD2861" t="s">
        <v>14971</v>
      </c>
      <c r="AE2861" t="s">
        <v>14972</v>
      </c>
      <c r="AF2861" t="s">
        <v>14973</v>
      </c>
      <c r="AG2861" t="s">
        <v>596</v>
      </c>
      <c r="AH2861">
        <v>1.15</v>
      </c>
      <c r="AI2861">
        <v>0.42</v>
      </c>
      <c r="AJ2861">
        <v>7.33</v>
      </c>
      <c r="AK2861">
        <v>12.57</v>
      </c>
      <c r="AL2861">
        <v>1</v>
      </c>
      <c r="AM2861">
        <v>2.01</v>
      </c>
      <c r="AN2861">
        <v>37.32</v>
      </c>
      <c r="AO2861">
        <v>5.36</v>
      </c>
      <c r="AP2861">
        <v>26.34</v>
      </c>
    </row>
    <row r="2862" spans="1:42">
      <c r="A2862">
        <v>2861</v>
      </c>
      <c r="B2862" t="str">
        <f>"301188"</f>
        <v>301188</v>
      </c>
      <c r="C2862" t="s">
        <v>14974</v>
      </c>
      <c r="D2862">
        <v>16.6</v>
      </c>
      <c r="E2862">
        <v>1.97</v>
      </c>
      <c r="F2862">
        <v>0.32</v>
      </c>
      <c r="G2862" t="s">
        <v>1069</v>
      </c>
      <c r="H2862">
        <v>576</v>
      </c>
      <c r="I2862">
        <v>16.6</v>
      </c>
      <c r="J2862">
        <v>16.61</v>
      </c>
      <c r="K2862" t="s">
        <v>14975</v>
      </c>
      <c r="L2862">
        <v>2.35</v>
      </c>
      <c r="M2862" t="s">
        <v>46</v>
      </c>
      <c r="N2862" t="s">
        <v>14976</v>
      </c>
      <c r="O2862">
        <v>16.72</v>
      </c>
      <c r="P2862">
        <v>16.1</v>
      </c>
      <c r="Q2862">
        <v>16.28</v>
      </c>
      <c r="R2862">
        <v>16.28</v>
      </c>
      <c r="S2862">
        <v>3.81</v>
      </c>
      <c r="T2862">
        <v>0.7</v>
      </c>
      <c r="U2862">
        <v>-33.11</v>
      </c>
      <c r="V2862">
        <v>-299</v>
      </c>
      <c r="W2862">
        <v>16.45</v>
      </c>
      <c r="X2862" t="s">
        <v>7656</v>
      </c>
      <c r="Y2862" t="s">
        <v>8073</v>
      </c>
      <c r="Z2862">
        <v>0.72</v>
      </c>
      <c r="AA2862">
        <v>96</v>
      </c>
      <c r="AB2862">
        <v>204</v>
      </c>
      <c r="AC2862">
        <v>2.68</v>
      </c>
      <c r="AD2862" t="s">
        <v>5041</v>
      </c>
      <c r="AE2862" t="s">
        <v>14977</v>
      </c>
      <c r="AF2862" t="s">
        <v>14978</v>
      </c>
      <c r="AG2862" t="s">
        <v>14979</v>
      </c>
      <c r="AH2862">
        <v>1.53</v>
      </c>
      <c r="AI2862">
        <v>-0.9</v>
      </c>
      <c r="AJ2862">
        <v>7.59</v>
      </c>
      <c r="AK2862">
        <v>19.16</v>
      </c>
      <c r="AL2862">
        <v>1</v>
      </c>
      <c r="AM2862">
        <v>1.97</v>
      </c>
      <c r="AN2862">
        <v>23.7</v>
      </c>
      <c r="AO2862">
        <v>32.27</v>
      </c>
      <c r="AP2862">
        <v>8.71</v>
      </c>
    </row>
    <row r="2863" spans="1:42">
      <c r="A2863">
        <v>2862</v>
      </c>
      <c r="B2863" t="str">
        <f>"688348"</f>
        <v>688348</v>
      </c>
      <c r="C2863" t="s">
        <v>14980</v>
      </c>
      <c r="D2863">
        <v>117.71</v>
      </c>
      <c r="E2863">
        <v>-1.08</v>
      </c>
      <c r="F2863">
        <v>-1.29</v>
      </c>
      <c r="G2863">
        <v>4921</v>
      </c>
      <c r="H2863">
        <v>83</v>
      </c>
      <c r="I2863">
        <v>117.7</v>
      </c>
      <c r="J2863">
        <v>117.71</v>
      </c>
      <c r="K2863" t="s">
        <v>14981</v>
      </c>
      <c r="L2863">
        <v>0.86</v>
      </c>
      <c r="M2863" t="s">
        <v>46</v>
      </c>
      <c r="N2863" t="s">
        <v>1100</v>
      </c>
      <c r="O2863">
        <v>119.87</v>
      </c>
      <c r="P2863">
        <v>117.39</v>
      </c>
      <c r="Q2863">
        <v>119.87</v>
      </c>
      <c r="R2863">
        <v>119</v>
      </c>
      <c r="S2863">
        <v>2.08</v>
      </c>
      <c r="T2863">
        <v>0.62</v>
      </c>
      <c r="U2863">
        <v>38.81</v>
      </c>
      <c r="V2863">
        <v>30</v>
      </c>
      <c r="W2863">
        <v>118.19</v>
      </c>
      <c r="X2863">
        <v>2867</v>
      </c>
      <c r="Y2863">
        <v>2054</v>
      </c>
      <c r="Z2863">
        <v>1.4</v>
      </c>
      <c r="AA2863">
        <v>29</v>
      </c>
      <c r="AB2863">
        <v>7</v>
      </c>
      <c r="AC2863">
        <v>3.51</v>
      </c>
      <c r="AD2863" t="s">
        <v>14495</v>
      </c>
      <c r="AE2863" t="s">
        <v>14982</v>
      </c>
      <c r="AF2863" t="s">
        <v>14983</v>
      </c>
      <c r="AG2863" t="s">
        <v>10654</v>
      </c>
      <c r="AH2863">
        <v>-3.04</v>
      </c>
      <c r="AI2863">
        <v>-4.85</v>
      </c>
      <c r="AJ2863">
        <v>4.05</v>
      </c>
      <c r="AK2863">
        <v>7.81</v>
      </c>
      <c r="AL2863">
        <v>-1</v>
      </c>
      <c r="AM2863">
        <v>-1.08</v>
      </c>
      <c r="AN2863">
        <v>-70.9</v>
      </c>
      <c r="AO2863">
        <v>-1.91</v>
      </c>
      <c r="AP2863">
        <v>-72.62</v>
      </c>
    </row>
    <row r="2864" spans="1:42">
      <c r="A2864">
        <v>2863</v>
      </c>
      <c r="B2864" t="str">
        <f>"600320"</f>
        <v>600320</v>
      </c>
      <c r="C2864" t="s">
        <v>14984</v>
      </c>
      <c r="D2864">
        <v>3.41</v>
      </c>
      <c r="E2864">
        <v>1.49</v>
      </c>
      <c r="F2864">
        <v>0.05</v>
      </c>
      <c r="G2864" t="s">
        <v>937</v>
      </c>
      <c r="H2864">
        <v>1053</v>
      </c>
      <c r="I2864">
        <v>3.4</v>
      </c>
      <c r="J2864">
        <v>3.41</v>
      </c>
      <c r="K2864" t="s">
        <v>14985</v>
      </c>
      <c r="L2864">
        <v>0.52</v>
      </c>
      <c r="M2864" t="s">
        <v>46</v>
      </c>
      <c r="N2864" t="s">
        <v>4591</v>
      </c>
      <c r="O2864">
        <v>3.41</v>
      </c>
      <c r="P2864">
        <v>3.34</v>
      </c>
      <c r="Q2864">
        <v>3.36</v>
      </c>
      <c r="R2864">
        <v>3.36</v>
      </c>
      <c r="S2864">
        <v>2.08</v>
      </c>
      <c r="T2864">
        <v>1.16</v>
      </c>
      <c r="U2864">
        <v>-35.31</v>
      </c>
      <c r="V2864" t="s">
        <v>9906</v>
      </c>
      <c r="W2864">
        <v>3.39</v>
      </c>
      <c r="X2864" t="s">
        <v>8321</v>
      </c>
      <c r="Y2864" t="s">
        <v>1909</v>
      </c>
      <c r="Z2864">
        <v>0.6</v>
      </c>
      <c r="AA2864">
        <v>2193</v>
      </c>
      <c r="AB2864">
        <v>7013</v>
      </c>
      <c r="AC2864">
        <v>1.2</v>
      </c>
      <c r="AD2864" t="s">
        <v>1697</v>
      </c>
      <c r="AE2864" t="s">
        <v>7353</v>
      </c>
      <c r="AF2864" t="s">
        <v>4316</v>
      </c>
      <c r="AG2864" t="s">
        <v>9046</v>
      </c>
      <c r="AH2864">
        <v>1.19</v>
      </c>
      <c r="AI2864">
        <v>0.29</v>
      </c>
      <c r="AJ2864">
        <v>1.37</v>
      </c>
      <c r="AK2864">
        <v>2.73</v>
      </c>
      <c r="AL2864">
        <v>2</v>
      </c>
      <c r="AM2864">
        <v>1.49</v>
      </c>
      <c r="AN2864">
        <v>6.23</v>
      </c>
      <c r="AO2864">
        <v>0.29</v>
      </c>
      <c r="AP2864">
        <v>4.28</v>
      </c>
    </row>
    <row r="2865" spans="1:42">
      <c r="A2865">
        <v>2864</v>
      </c>
      <c r="B2865" t="str">
        <f>"002665"</f>
        <v>002665</v>
      </c>
      <c r="C2865" t="s">
        <v>14986</v>
      </c>
      <c r="D2865">
        <v>2.71</v>
      </c>
      <c r="E2865">
        <v>1.5</v>
      </c>
      <c r="F2865">
        <v>0.04</v>
      </c>
      <c r="G2865" t="s">
        <v>1786</v>
      </c>
      <c r="H2865">
        <v>2792</v>
      </c>
      <c r="I2865">
        <v>2.7</v>
      </c>
      <c r="J2865">
        <v>2.71</v>
      </c>
      <c r="K2865" t="s">
        <v>14987</v>
      </c>
      <c r="L2865">
        <v>0.88</v>
      </c>
      <c r="M2865" t="s">
        <v>46</v>
      </c>
      <c r="N2865" t="s">
        <v>2148</v>
      </c>
      <c r="O2865">
        <v>2.72</v>
      </c>
      <c r="P2865">
        <v>2.65</v>
      </c>
      <c r="Q2865">
        <v>2.68</v>
      </c>
      <c r="R2865">
        <v>2.67</v>
      </c>
      <c r="S2865">
        <v>2.62</v>
      </c>
      <c r="T2865">
        <v>1.08</v>
      </c>
      <c r="U2865">
        <v>-14.11</v>
      </c>
      <c r="V2865" t="s">
        <v>5856</v>
      </c>
      <c r="W2865">
        <v>2.68</v>
      </c>
      <c r="X2865" t="s">
        <v>5564</v>
      </c>
      <c r="Y2865" t="s">
        <v>2753</v>
      </c>
      <c r="Z2865">
        <v>0.58</v>
      </c>
      <c r="AA2865" t="s">
        <v>682</v>
      </c>
      <c r="AB2865">
        <v>1441</v>
      </c>
      <c r="AC2865">
        <v>1.35</v>
      </c>
      <c r="AD2865" t="s">
        <v>14988</v>
      </c>
      <c r="AE2865" t="s">
        <v>14989</v>
      </c>
      <c r="AF2865" t="s">
        <v>10715</v>
      </c>
      <c r="AG2865" t="s">
        <v>14990</v>
      </c>
      <c r="AH2865">
        <v>-1.09</v>
      </c>
      <c r="AI2865">
        <v>-1.81</v>
      </c>
      <c r="AJ2865">
        <v>2.5</v>
      </c>
      <c r="AK2865">
        <v>4.94</v>
      </c>
      <c r="AL2865">
        <v>1</v>
      </c>
      <c r="AM2865">
        <v>1.5</v>
      </c>
      <c r="AN2865">
        <v>-24.3</v>
      </c>
      <c r="AO2865">
        <v>0.37</v>
      </c>
      <c r="AP2865">
        <v>-27.15</v>
      </c>
    </row>
    <row r="2866" spans="1:42">
      <c r="A2866">
        <v>2865</v>
      </c>
      <c r="B2866" t="str">
        <f>"301192"</f>
        <v>301192</v>
      </c>
      <c r="C2866" t="s">
        <v>14991</v>
      </c>
      <c r="D2866">
        <v>24.4</v>
      </c>
      <c r="E2866">
        <v>-2.05</v>
      </c>
      <c r="F2866">
        <v>-0.51</v>
      </c>
      <c r="G2866" t="s">
        <v>3328</v>
      </c>
      <c r="H2866">
        <v>250</v>
      </c>
      <c r="I2866">
        <v>24.4</v>
      </c>
      <c r="J2866">
        <v>24.41</v>
      </c>
      <c r="K2866" t="s">
        <v>14992</v>
      </c>
      <c r="L2866">
        <v>2.38</v>
      </c>
      <c r="M2866" t="s">
        <v>46</v>
      </c>
      <c r="N2866" t="s">
        <v>6710</v>
      </c>
      <c r="O2866">
        <v>25.17</v>
      </c>
      <c r="P2866">
        <v>22.77</v>
      </c>
      <c r="Q2866">
        <v>24.9</v>
      </c>
      <c r="R2866">
        <v>24.91</v>
      </c>
      <c r="S2866">
        <v>9.63</v>
      </c>
      <c r="T2866">
        <v>0.97</v>
      </c>
      <c r="U2866">
        <v>11.21</v>
      </c>
      <c r="V2866">
        <v>26</v>
      </c>
      <c r="W2866">
        <v>24.37</v>
      </c>
      <c r="X2866" t="s">
        <v>7974</v>
      </c>
      <c r="Y2866" t="s">
        <v>1170</v>
      </c>
      <c r="Z2866">
        <v>0.82</v>
      </c>
      <c r="AA2866">
        <v>47</v>
      </c>
      <c r="AB2866">
        <v>10</v>
      </c>
      <c r="AC2866">
        <v>4.22</v>
      </c>
      <c r="AD2866" t="s">
        <v>14993</v>
      </c>
      <c r="AE2866" t="s">
        <v>11802</v>
      </c>
      <c r="AF2866" t="s">
        <v>14993</v>
      </c>
      <c r="AG2866" t="s">
        <v>11802</v>
      </c>
      <c r="AH2866">
        <v>-3.29</v>
      </c>
      <c r="AI2866">
        <v>-2.63</v>
      </c>
      <c r="AJ2866">
        <v>10.8</v>
      </c>
      <c r="AK2866">
        <v>14.73</v>
      </c>
      <c r="AL2866">
        <v>-2</v>
      </c>
      <c r="AM2866">
        <v>-2.05</v>
      </c>
      <c r="AN2866">
        <v>32.83</v>
      </c>
      <c r="AO2866">
        <v>5.63</v>
      </c>
      <c r="AP2866">
        <v>14.23</v>
      </c>
    </row>
    <row r="2867" spans="1:42">
      <c r="A2867">
        <v>2866</v>
      </c>
      <c r="B2867" t="str">
        <f>"600378"</f>
        <v>600378</v>
      </c>
      <c r="C2867" t="s">
        <v>14994</v>
      </c>
      <c r="D2867">
        <v>28.88</v>
      </c>
      <c r="E2867">
        <v>-2.66</v>
      </c>
      <c r="F2867">
        <v>-0.79</v>
      </c>
      <c r="G2867" t="s">
        <v>1280</v>
      </c>
      <c r="H2867">
        <v>214</v>
      </c>
      <c r="I2867">
        <v>28.86</v>
      </c>
      <c r="J2867">
        <v>28.88</v>
      </c>
      <c r="K2867" t="s">
        <v>14995</v>
      </c>
      <c r="L2867">
        <v>0.22</v>
      </c>
      <c r="M2867" t="s">
        <v>46</v>
      </c>
      <c r="N2867" t="s">
        <v>5180</v>
      </c>
      <c r="O2867">
        <v>29.65</v>
      </c>
      <c r="P2867">
        <v>28.68</v>
      </c>
      <c r="Q2867">
        <v>29.65</v>
      </c>
      <c r="R2867">
        <v>29.67</v>
      </c>
      <c r="S2867">
        <v>3.27</v>
      </c>
      <c r="T2867">
        <v>1.07</v>
      </c>
      <c r="U2867">
        <v>-37.15</v>
      </c>
      <c r="V2867">
        <v>-45</v>
      </c>
      <c r="W2867">
        <v>28.97</v>
      </c>
      <c r="X2867" t="s">
        <v>2147</v>
      </c>
      <c r="Y2867">
        <v>9338</v>
      </c>
      <c r="Z2867">
        <v>1.14</v>
      </c>
      <c r="AA2867">
        <v>10</v>
      </c>
      <c r="AB2867">
        <v>36</v>
      </c>
      <c r="AC2867">
        <v>3.16</v>
      </c>
      <c r="AD2867" t="s">
        <v>13629</v>
      </c>
      <c r="AE2867" t="s">
        <v>14996</v>
      </c>
      <c r="AF2867" t="s">
        <v>14997</v>
      </c>
      <c r="AG2867" t="s">
        <v>1706</v>
      </c>
      <c r="AH2867">
        <v>-2.47</v>
      </c>
      <c r="AI2867">
        <v>-2.5</v>
      </c>
      <c r="AJ2867">
        <v>0.53</v>
      </c>
      <c r="AK2867">
        <v>1.26</v>
      </c>
      <c r="AL2867">
        <v>-1</v>
      </c>
      <c r="AM2867">
        <v>-2.66</v>
      </c>
      <c r="AN2867">
        <v>-31.68</v>
      </c>
      <c r="AO2867">
        <v>-6.96</v>
      </c>
      <c r="AP2867">
        <v>-32.96</v>
      </c>
    </row>
    <row r="2868" spans="1:42">
      <c r="A2868">
        <v>2867</v>
      </c>
      <c r="B2868" t="str">
        <f>"831832"</f>
        <v>831832</v>
      </c>
      <c r="C2868" t="s">
        <v>14998</v>
      </c>
      <c r="D2868">
        <v>14.75</v>
      </c>
      <c r="E2868">
        <v>-1.73</v>
      </c>
      <c r="F2868">
        <v>-0.26</v>
      </c>
      <c r="G2868" t="s">
        <v>4811</v>
      </c>
      <c r="H2868">
        <v>495</v>
      </c>
      <c r="I2868">
        <v>14.75</v>
      </c>
      <c r="J2868">
        <v>14.76</v>
      </c>
      <c r="K2868" t="s">
        <v>14999</v>
      </c>
      <c r="L2868">
        <v>6.27</v>
      </c>
      <c r="M2868" t="s">
        <v>46</v>
      </c>
      <c r="N2868" t="s">
        <v>4444</v>
      </c>
      <c r="O2868">
        <v>15.55</v>
      </c>
      <c r="P2868">
        <v>14.6</v>
      </c>
      <c r="Q2868">
        <v>15.01</v>
      </c>
      <c r="R2868">
        <v>15.01</v>
      </c>
      <c r="S2868">
        <v>6.33</v>
      </c>
      <c r="T2868">
        <v>0.44</v>
      </c>
      <c r="U2868">
        <v>0.2</v>
      </c>
      <c r="V2868">
        <v>1</v>
      </c>
      <c r="W2868">
        <v>14.98</v>
      </c>
      <c r="X2868" t="s">
        <v>7195</v>
      </c>
      <c r="Y2868" t="s">
        <v>4943</v>
      </c>
      <c r="Z2868">
        <v>1.37</v>
      </c>
      <c r="AA2868">
        <v>225</v>
      </c>
      <c r="AB2868">
        <v>106</v>
      </c>
      <c r="AC2868">
        <v>1.81</v>
      </c>
      <c r="AD2868" t="s">
        <v>15000</v>
      </c>
      <c r="AE2868" t="s">
        <v>6065</v>
      </c>
      <c r="AF2868" t="s">
        <v>15001</v>
      </c>
      <c r="AG2868" t="s">
        <v>15002</v>
      </c>
      <c r="AH2868">
        <v>-9.73</v>
      </c>
      <c r="AI2868">
        <v>10.07</v>
      </c>
      <c r="AJ2868">
        <v>36.63</v>
      </c>
      <c r="AK2868">
        <v>77.36</v>
      </c>
      <c r="AL2868">
        <v>-2</v>
      </c>
      <c r="AM2868">
        <v>-1.73</v>
      </c>
      <c r="AN2868">
        <v>35.32</v>
      </c>
      <c r="AO2868">
        <v>36.57</v>
      </c>
      <c r="AP2868">
        <v>33.48</v>
      </c>
    </row>
    <row r="2869" spans="1:42">
      <c r="A2869">
        <v>2868</v>
      </c>
      <c r="B2869" t="str">
        <f>"000089"</f>
        <v>000089</v>
      </c>
      <c r="C2869" t="s">
        <v>15003</v>
      </c>
      <c r="D2869">
        <v>6.8</v>
      </c>
      <c r="E2869">
        <v>-0.15</v>
      </c>
      <c r="F2869">
        <v>-0.01</v>
      </c>
      <c r="G2869" t="s">
        <v>9127</v>
      </c>
      <c r="H2869">
        <v>278</v>
      </c>
      <c r="I2869">
        <v>6.79</v>
      </c>
      <c r="J2869">
        <v>6.8</v>
      </c>
      <c r="K2869" t="s">
        <v>15004</v>
      </c>
      <c r="L2869">
        <v>0.41</v>
      </c>
      <c r="M2869" t="s">
        <v>46</v>
      </c>
      <c r="N2869" t="s">
        <v>7648</v>
      </c>
      <c r="O2869">
        <v>6.86</v>
      </c>
      <c r="P2869">
        <v>6.76</v>
      </c>
      <c r="Q2869">
        <v>6.8</v>
      </c>
      <c r="R2869">
        <v>6.81</v>
      </c>
      <c r="S2869">
        <v>1.47</v>
      </c>
      <c r="T2869">
        <v>1.33</v>
      </c>
      <c r="U2869">
        <v>18.9</v>
      </c>
      <c r="V2869">
        <v>1696</v>
      </c>
      <c r="W2869">
        <v>6.8</v>
      </c>
      <c r="X2869" t="s">
        <v>5700</v>
      </c>
      <c r="Y2869" t="s">
        <v>4168</v>
      </c>
      <c r="Z2869">
        <v>0.83</v>
      </c>
      <c r="AA2869">
        <v>81</v>
      </c>
      <c r="AB2869">
        <v>197</v>
      </c>
      <c r="AC2869">
        <v>1.29</v>
      </c>
      <c r="AD2869" t="s">
        <v>15005</v>
      </c>
      <c r="AE2869" t="s">
        <v>15006</v>
      </c>
      <c r="AF2869" t="s">
        <v>15005</v>
      </c>
      <c r="AG2869" t="s">
        <v>15006</v>
      </c>
      <c r="AH2869">
        <v>0.29</v>
      </c>
      <c r="AI2869">
        <v>-0.15</v>
      </c>
      <c r="AJ2869">
        <v>1.19</v>
      </c>
      <c r="AK2869">
        <v>1.98</v>
      </c>
      <c r="AL2869">
        <v>-1</v>
      </c>
      <c r="AM2869">
        <v>-0.15</v>
      </c>
      <c r="AN2869">
        <v>-13.49</v>
      </c>
      <c r="AO2869">
        <v>1.19</v>
      </c>
      <c r="AP2869">
        <v>-0.73</v>
      </c>
    </row>
    <row r="2870" spans="1:42">
      <c r="A2870">
        <v>2869</v>
      </c>
      <c r="B2870" t="str">
        <f>"600590"</f>
        <v>600590</v>
      </c>
      <c r="C2870" t="s">
        <v>15007</v>
      </c>
      <c r="D2870">
        <v>6.61</v>
      </c>
      <c r="E2870">
        <v>-0.45</v>
      </c>
      <c r="F2870">
        <v>-0.03</v>
      </c>
      <c r="G2870" t="s">
        <v>7941</v>
      </c>
      <c r="H2870">
        <v>526</v>
      </c>
      <c r="I2870">
        <v>6.61</v>
      </c>
      <c r="J2870">
        <v>6.62</v>
      </c>
      <c r="K2870" t="s">
        <v>15008</v>
      </c>
      <c r="L2870">
        <v>1.04</v>
      </c>
      <c r="M2870" t="s">
        <v>46</v>
      </c>
      <c r="N2870" t="s">
        <v>12133</v>
      </c>
      <c r="O2870">
        <v>6.65</v>
      </c>
      <c r="P2870">
        <v>6.55</v>
      </c>
      <c r="Q2870">
        <v>6.62</v>
      </c>
      <c r="R2870">
        <v>6.64</v>
      </c>
      <c r="S2870">
        <v>1.51</v>
      </c>
      <c r="T2870">
        <v>1.03</v>
      </c>
      <c r="U2870">
        <v>3.34</v>
      </c>
      <c r="V2870">
        <v>215</v>
      </c>
      <c r="W2870">
        <v>6.6</v>
      </c>
      <c r="X2870" t="s">
        <v>13012</v>
      </c>
      <c r="Y2870" t="s">
        <v>8404</v>
      </c>
      <c r="Z2870">
        <v>1.19</v>
      </c>
      <c r="AA2870">
        <v>147</v>
      </c>
      <c r="AB2870">
        <v>417</v>
      </c>
      <c r="AC2870">
        <v>1.55</v>
      </c>
      <c r="AD2870" t="s">
        <v>2181</v>
      </c>
      <c r="AE2870" t="s">
        <v>15009</v>
      </c>
      <c r="AF2870" t="s">
        <v>15010</v>
      </c>
      <c r="AG2870" t="s">
        <v>15011</v>
      </c>
      <c r="AH2870">
        <v>-1.93</v>
      </c>
      <c r="AI2870">
        <v>-2.36</v>
      </c>
      <c r="AJ2870">
        <v>2.87</v>
      </c>
      <c r="AK2870">
        <v>6.1</v>
      </c>
      <c r="AL2870">
        <v>-3</v>
      </c>
      <c r="AM2870">
        <v>-0.45</v>
      </c>
      <c r="AN2870">
        <v>13.77</v>
      </c>
      <c r="AO2870">
        <v>1.23</v>
      </c>
      <c r="AP2870">
        <v>-1.34</v>
      </c>
    </row>
    <row r="2871" spans="1:42">
      <c r="A2871">
        <v>2870</v>
      </c>
      <c r="B2871" t="str">
        <f>"600927"</f>
        <v>600927</v>
      </c>
      <c r="C2871" t="s">
        <v>15012</v>
      </c>
      <c r="D2871">
        <v>16.31</v>
      </c>
      <c r="E2871">
        <v>0</v>
      </c>
      <c r="F2871">
        <v>0</v>
      </c>
      <c r="G2871" t="s">
        <v>5693</v>
      </c>
      <c r="H2871">
        <v>435</v>
      </c>
      <c r="I2871">
        <v>16.3</v>
      </c>
      <c r="J2871">
        <v>16.31</v>
      </c>
      <c r="K2871" t="s">
        <v>15013</v>
      </c>
      <c r="L2871">
        <v>0.67</v>
      </c>
      <c r="M2871" t="s">
        <v>46</v>
      </c>
      <c r="N2871" t="s">
        <v>7542</v>
      </c>
      <c r="O2871">
        <v>16.36</v>
      </c>
      <c r="P2871">
        <v>16.16</v>
      </c>
      <c r="Q2871">
        <v>16.32</v>
      </c>
      <c r="R2871">
        <v>16.31</v>
      </c>
      <c r="S2871">
        <v>1.23</v>
      </c>
      <c r="T2871">
        <v>1.05</v>
      </c>
      <c r="U2871">
        <v>-33.23</v>
      </c>
      <c r="V2871">
        <v>-444</v>
      </c>
      <c r="W2871">
        <v>16.26</v>
      </c>
      <c r="X2871" t="s">
        <v>3069</v>
      </c>
      <c r="Y2871" t="s">
        <v>2575</v>
      </c>
      <c r="Z2871">
        <v>1.04</v>
      </c>
      <c r="AA2871">
        <v>55</v>
      </c>
      <c r="AB2871">
        <v>502</v>
      </c>
      <c r="AC2871">
        <v>1.94</v>
      </c>
      <c r="AD2871" t="s">
        <v>10788</v>
      </c>
      <c r="AE2871" t="s">
        <v>6528</v>
      </c>
      <c r="AF2871" t="s">
        <v>15014</v>
      </c>
      <c r="AG2871" t="s">
        <v>15015</v>
      </c>
      <c r="AH2871">
        <v>-0.49</v>
      </c>
      <c r="AI2871">
        <v>-0.55</v>
      </c>
      <c r="AJ2871">
        <v>2.11</v>
      </c>
      <c r="AK2871">
        <v>3.9</v>
      </c>
      <c r="AL2871">
        <v>0</v>
      </c>
      <c r="AM2871">
        <v>0</v>
      </c>
      <c r="AN2871">
        <v>2.07</v>
      </c>
      <c r="AO2871">
        <v>3.1</v>
      </c>
      <c r="AP2871">
        <v>-5.67</v>
      </c>
    </row>
    <row r="2872" spans="1:42">
      <c r="A2872">
        <v>2871</v>
      </c>
      <c r="B2872" t="str">
        <f>"002296"</f>
        <v>002296</v>
      </c>
      <c r="C2872" t="s">
        <v>15016</v>
      </c>
      <c r="D2872">
        <v>8.44</v>
      </c>
      <c r="E2872">
        <v>0.96</v>
      </c>
      <c r="F2872">
        <v>0.08</v>
      </c>
      <c r="G2872" t="s">
        <v>2367</v>
      </c>
      <c r="H2872">
        <v>725</v>
      </c>
      <c r="I2872">
        <v>8.44</v>
      </c>
      <c r="J2872">
        <v>8.45</v>
      </c>
      <c r="K2872" t="s">
        <v>15017</v>
      </c>
      <c r="L2872">
        <v>1.98</v>
      </c>
      <c r="M2872" t="s">
        <v>46</v>
      </c>
      <c r="N2872" t="s">
        <v>3208</v>
      </c>
      <c r="O2872">
        <v>8.49</v>
      </c>
      <c r="P2872">
        <v>8.29</v>
      </c>
      <c r="Q2872">
        <v>8.35</v>
      </c>
      <c r="R2872">
        <v>8.36</v>
      </c>
      <c r="S2872">
        <v>2.39</v>
      </c>
      <c r="T2872">
        <v>1.39</v>
      </c>
      <c r="U2872">
        <v>-25.11</v>
      </c>
      <c r="V2872">
        <v>-757</v>
      </c>
      <c r="W2872">
        <v>8.42</v>
      </c>
      <c r="X2872" t="s">
        <v>6431</v>
      </c>
      <c r="Y2872" t="s">
        <v>6912</v>
      </c>
      <c r="Z2872">
        <v>0.88</v>
      </c>
      <c r="AA2872">
        <v>213</v>
      </c>
      <c r="AB2872">
        <v>35</v>
      </c>
      <c r="AC2872">
        <v>1.7</v>
      </c>
      <c r="AD2872" t="s">
        <v>15018</v>
      </c>
      <c r="AE2872" t="s">
        <v>15019</v>
      </c>
      <c r="AF2872" t="s">
        <v>15020</v>
      </c>
      <c r="AG2872" t="s">
        <v>15021</v>
      </c>
      <c r="AH2872">
        <v>-1.29</v>
      </c>
      <c r="AI2872">
        <v>-1.06</v>
      </c>
      <c r="AJ2872">
        <v>5.25</v>
      </c>
      <c r="AK2872">
        <v>9.08</v>
      </c>
      <c r="AL2872">
        <v>1</v>
      </c>
      <c r="AM2872">
        <v>0.96</v>
      </c>
      <c r="AN2872">
        <v>8.48</v>
      </c>
      <c r="AO2872">
        <v>3.94</v>
      </c>
      <c r="AP2872">
        <v>-1.86</v>
      </c>
    </row>
    <row r="2873" spans="1:42">
      <c r="A2873">
        <v>2872</v>
      </c>
      <c r="B2873" t="str">
        <f>"002880"</f>
        <v>002880</v>
      </c>
      <c r="C2873" t="s">
        <v>15022</v>
      </c>
      <c r="D2873">
        <v>37.8</v>
      </c>
      <c r="E2873">
        <v>-1.07</v>
      </c>
      <c r="F2873">
        <v>-0.41</v>
      </c>
      <c r="G2873" t="s">
        <v>578</v>
      </c>
      <c r="H2873">
        <v>110</v>
      </c>
      <c r="I2873">
        <v>37.77</v>
      </c>
      <c r="J2873">
        <v>37.8</v>
      </c>
      <c r="K2873" t="s">
        <v>15023</v>
      </c>
      <c r="L2873">
        <v>0.67</v>
      </c>
      <c r="M2873" t="s">
        <v>46</v>
      </c>
      <c r="N2873" t="s">
        <v>12602</v>
      </c>
      <c r="O2873">
        <v>38.33</v>
      </c>
      <c r="P2873">
        <v>37.5</v>
      </c>
      <c r="Q2873">
        <v>38.16</v>
      </c>
      <c r="R2873">
        <v>38.21</v>
      </c>
      <c r="S2873">
        <v>2.17</v>
      </c>
      <c r="T2873">
        <v>1.23</v>
      </c>
      <c r="U2873">
        <v>-13.73</v>
      </c>
      <c r="V2873">
        <v>-14</v>
      </c>
      <c r="W2873">
        <v>37.79</v>
      </c>
      <c r="X2873">
        <v>6874</v>
      </c>
      <c r="Y2873">
        <v>8429</v>
      </c>
      <c r="Z2873">
        <v>0.82</v>
      </c>
      <c r="AA2873">
        <v>1</v>
      </c>
      <c r="AB2873">
        <v>6</v>
      </c>
      <c r="AC2873">
        <v>4.4</v>
      </c>
      <c r="AD2873" t="s">
        <v>15024</v>
      </c>
      <c r="AE2873" t="s">
        <v>15025</v>
      </c>
      <c r="AF2873" t="s">
        <v>15024</v>
      </c>
      <c r="AG2873" t="s">
        <v>15025</v>
      </c>
      <c r="AH2873">
        <v>1.04</v>
      </c>
      <c r="AI2873">
        <v>2.52</v>
      </c>
      <c r="AJ2873">
        <v>1.86</v>
      </c>
      <c r="AK2873">
        <v>3.43</v>
      </c>
      <c r="AL2873">
        <v>-1</v>
      </c>
      <c r="AM2873">
        <v>-1.07</v>
      </c>
      <c r="AN2873">
        <v>19.28</v>
      </c>
      <c r="AO2873">
        <v>8.06</v>
      </c>
      <c r="AP2873">
        <v>33.1</v>
      </c>
    </row>
    <row r="2874" spans="1:42">
      <c r="A2874">
        <v>2873</v>
      </c>
      <c r="B2874" t="str">
        <f>"002251"</f>
        <v>002251</v>
      </c>
      <c r="C2874" t="s">
        <v>15026</v>
      </c>
      <c r="D2874">
        <v>4.68</v>
      </c>
      <c r="E2874">
        <v>0.21</v>
      </c>
      <c r="F2874">
        <v>0.01</v>
      </c>
      <c r="G2874" t="s">
        <v>422</v>
      </c>
      <c r="H2874">
        <v>3894</v>
      </c>
      <c r="I2874">
        <v>4.68</v>
      </c>
      <c r="J2874">
        <v>4.69</v>
      </c>
      <c r="K2874" t="s">
        <v>15027</v>
      </c>
      <c r="L2874">
        <v>1.43</v>
      </c>
      <c r="M2874" t="s">
        <v>46</v>
      </c>
      <c r="N2874" t="s">
        <v>6051</v>
      </c>
      <c r="O2874">
        <v>4.73</v>
      </c>
      <c r="P2874">
        <v>4.64</v>
      </c>
      <c r="Q2874">
        <v>4.66</v>
      </c>
      <c r="R2874">
        <v>4.67</v>
      </c>
      <c r="S2874">
        <v>1.93</v>
      </c>
      <c r="T2874">
        <v>0.87</v>
      </c>
      <c r="U2874">
        <v>20.2</v>
      </c>
      <c r="V2874">
        <v>4081</v>
      </c>
      <c r="W2874">
        <v>4.69</v>
      </c>
      <c r="X2874" t="s">
        <v>1762</v>
      </c>
      <c r="Y2874" t="s">
        <v>425</v>
      </c>
      <c r="Z2874">
        <v>1.17</v>
      </c>
      <c r="AA2874">
        <v>975</v>
      </c>
      <c r="AB2874">
        <v>609</v>
      </c>
      <c r="AC2874">
        <v>0.99</v>
      </c>
      <c r="AD2874" t="s">
        <v>15028</v>
      </c>
      <c r="AE2874" t="s">
        <v>1305</v>
      </c>
      <c r="AF2874" t="s">
        <v>15028</v>
      </c>
      <c r="AG2874" t="s">
        <v>1305</v>
      </c>
      <c r="AH2874">
        <v>1.74</v>
      </c>
      <c r="AI2874">
        <v>1.3</v>
      </c>
      <c r="AJ2874">
        <v>5.54</v>
      </c>
      <c r="AK2874">
        <v>9.61</v>
      </c>
      <c r="AL2874">
        <v>1</v>
      </c>
      <c r="AM2874">
        <v>0.21</v>
      </c>
      <c r="AN2874">
        <v>-34.91</v>
      </c>
      <c r="AO2874">
        <v>1.3</v>
      </c>
      <c r="AP2874">
        <v>-20.27</v>
      </c>
    </row>
    <row r="2875" spans="1:42">
      <c r="A2875">
        <v>2874</v>
      </c>
      <c r="B2875" t="str">
        <f>"688435"</f>
        <v>688435</v>
      </c>
      <c r="C2875" t="s">
        <v>15029</v>
      </c>
      <c r="D2875">
        <v>59.94</v>
      </c>
      <c r="E2875">
        <v>3.59</v>
      </c>
      <c r="F2875">
        <v>2.08</v>
      </c>
      <c r="G2875">
        <v>9771</v>
      </c>
      <c r="H2875">
        <v>73</v>
      </c>
      <c r="I2875">
        <v>59.94</v>
      </c>
      <c r="J2875">
        <v>59.97</v>
      </c>
      <c r="K2875" t="s">
        <v>15027</v>
      </c>
      <c r="L2875">
        <v>5.31</v>
      </c>
      <c r="M2875" t="s">
        <v>46</v>
      </c>
      <c r="N2875" t="s">
        <v>9321</v>
      </c>
      <c r="O2875">
        <v>60.67</v>
      </c>
      <c r="P2875">
        <v>57.82</v>
      </c>
      <c r="Q2875">
        <v>57.95</v>
      </c>
      <c r="R2875">
        <v>57.86</v>
      </c>
      <c r="S2875">
        <v>4.93</v>
      </c>
      <c r="T2875">
        <v>1.08</v>
      </c>
      <c r="U2875">
        <v>-56.1</v>
      </c>
      <c r="V2875">
        <v>-156</v>
      </c>
      <c r="W2875">
        <v>59.09</v>
      </c>
      <c r="X2875">
        <v>4312</v>
      </c>
      <c r="Y2875">
        <v>5459</v>
      </c>
      <c r="Z2875">
        <v>0.79</v>
      </c>
      <c r="AA2875">
        <v>19</v>
      </c>
      <c r="AB2875">
        <v>20</v>
      </c>
      <c r="AC2875">
        <v>4.43</v>
      </c>
      <c r="AD2875" t="s">
        <v>12269</v>
      </c>
      <c r="AE2875" t="s">
        <v>12769</v>
      </c>
      <c r="AF2875" t="s">
        <v>15030</v>
      </c>
      <c r="AG2875" t="s">
        <v>6404</v>
      </c>
      <c r="AH2875">
        <v>-0.61</v>
      </c>
      <c r="AI2875">
        <v>-1.24</v>
      </c>
      <c r="AJ2875">
        <v>13.25</v>
      </c>
      <c r="AK2875">
        <v>29.89</v>
      </c>
      <c r="AL2875">
        <v>1</v>
      </c>
      <c r="AM2875">
        <v>3.59</v>
      </c>
      <c r="AN2875">
        <v>55.04</v>
      </c>
      <c r="AO2875">
        <v>-1.71</v>
      </c>
      <c r="AP2875">
        <v>55.04</v>
      </c>
    </row>
    <row r="2876" spans="1:42">
      <c r="A2876">
        <v>2875</v>
      </c>
      <c r="B2876" t="str">
        <f>"000566"</f>
        <v>000566</v>
      </c>
      <c r="C2876" t="s">
        <v>15031</v>
      </c>
      <c r="D2876">
        <v>4.89</v>
      </c>
      <c r="E2876">
        <v>0.2</v>
      </c>
      <c r="F2876">
        <v>0.01</v>
      </c>
      <c r="G2876" t="s">
        <v>1540</v>
      </c>
      <c r="H2876">
        <v>453</v>
      </c>
      <c r="I2876">
        <v>4.88</v>
      </c>
      <c r="J2876">
        <v>4.89</v>
      </c>
      <c r="K2876" t="s">
        <v>15032</v>
      </c>
      <c r="L2876">
        <v>1.01</v>
      </c>
      <c r="M2876" t="s">
        <v>46</v>
      </c>
      <c r="N2876" t="s">
        <v>958</v>
      </c>
      <c r="O2876">
        <v>4.92</v>
      </c>
      <c r="P2876">
        <v>4.85</v>
      </c>
      <c r="Q2876">
        <v>4.86</v>
      </c>
      <c r="R2876">
        <v>4.88</v>
      </c>
      <c r="S2876">
        <v>1.43</v>
      </c>
      <c r="T2876">
        <v>0.84</v>
      </c>
      <c r="U2876">
        <v>-6.89</v>
      </c>
      <c r="V2876">
        <v>-1133</v>
      </c>
      <c r="W2876">
        <v>4.89</v>
      </c>
      <c r="X2876" t="s">
        <v>5064</v>
      </c>
      <c r="Y2876" t="s">
        <v>5023</v>
      </c>
      <c r="Z2876">
        <v>0.91</v>
      </c>
      <c r="AA2876">
        <v>462</v>
      </c>
      <c r="AB2876">
        <v>1144</v>
      </c>
      <c r="AC2876">
        <v>2.96</v>
      </c>
      <c r="AD2876" t="s">
        <v>750</v>
      </c>
      <c r="AE2876" t="s">
        <v>15033</v>
      </c>
      <c r="AF2876" t="s">
        <v>113</v>
      </c>
      <c r="AG2876" t="s">
        <v>3306</v>
      </c>
      <c r="AH2876">
        <v>-0.41</v>
      </c>
      <c r="AI2876">
        <v>-0.2</v>
      </c>
      <c r="AJ2876">
        <v>2.82</v>
      </c>
      <c r="AK2876">
        <v>7.06</v>
      </c>
      <c r="AL2876">
        <v>2</v>
      </c>
      <c r="AM2876">
        <v>0.2</v>
      </c>
      <c r="AN2876">
        <v>14.52</v>
      </c>
      <c r="AO2876">
        <v>3.38</v>
      </c>
      <c r="AP2876">
        <v>3.16</v>
      </c>
    </row>
    <row r="2877" spans="1:42">
      <c r="A2877">
        <v>2876</v>
      </c>
      <c r="B2877" t="str">
        <f>"873679"</f>
        <v>873679</v>
      </c>
      <c r="C2877" t="s">
        <v>15034</v>
      </c>
      <c r="D2877">
        <v>21.1</v>
      </c>
      <c r="E2877">
        <v>-8.26</v>
      </c>
      <c r="F2877">
        <v>-1.9</v>
      </c>
      <c r="G2877" t="s">
        <v>7160</v>
      </c>
      <c r="H2877">
        <v>400</v>
      </c>
      <c r="I2877">
        <v>21.1</v>
      </c>
      <c r="J2877">
        <v>21.15</v>
      </c>
      <c r="K2877" t="s">
        <v>15035</v>
      </c>
      <c r="L2877">
        <v>20.67</v>
      </c>
      <c r="M2877" t="s">
        <v>11793</v>
      </c>
      <c r="N2877" t="s">
        <v>15036</v>
      </c>
      <c r="O2877">
        <v>23.49</v>
      </c>
      <c r="P2877">
        <v>20.8</v>
      </c>
      <c r="Q2877">
        <v>22.99</v>
      </c>
      <c r="R2877">
        <v>23</v>
      </c>
      <c r="S2877">
        <v>11.7</v>
      </c>
      <c r="T2877">
        <v>0.52</v>
      </c>
      <c r="U2877">
        <v>20.28</v>
      </c>
      <c r="V2877">
        <v>50</v>
      </c>
      <c r="W2877">
        <v>21.84</v>
      </c>
      <c r="X2877" t="s">
        <v>3165</v>
      </c>
      <c r="Y2877">
        <v>8713</v>
      </c>
      <c r="Z2877">
        <v>2.03</v>
      </c>
      <c r="AA2877">
        <v>55</v>
      </c>
      <c r="AB2877">
        <v>9</v>
      </c>
      <c r="AC2877">
        <v>2.22</v>
      </c>
      <c r="AD2877" t="s">
        <v>15037</v>
      </c>
      <c r="AE2877" t="s">
        <v>15038</v>
      </c>
      <c r="AF2877" t="s">
        <v>15039</v>
      </c>
      <c r="AG2877" t="s">
        <v>15040</v>
      </c>
      <c r="AH2877">
        <v>-20.17</v>
      </c>
      <c r="AI2877">
        <v>0.05</v>
      </c>
      <c r="AJ2877">
        <v>74.31</v>
      </c>
      <c r="AK2877">
        <v>220.03</v>
      </c>
      <c r="AL2877">
        <v>-3</v>
      </c>
      <c r="AM2877">
        <v>-8.26</v>
      </c>
      <c r="AN2877">
        <v>2.93</v>
      </c>
      <c r="AO2877">
        <v>2.93</v>
      </c>
      <c r="AP2877">
        <v>2.93</v>
      </c>
    </row>
    <row r="2878" spans="1:42">
      <c r="A2878">
        <v>2877</v>
      </c>
      <c r="B2878" t="str">
        <f>"002960"</f>
        <v>002960</v>
      </c>
      <c r="C2878" t="s">
        <v>15041</v>
      </c>
      <c r="D2878">
        <v>15.3</v>
      </c>
      <c r="E2878">
        <v>-0.65</v>
      </c>
      <c r="F2878">
        <v>-0.1</v>
      </c>
      <c r="G2878" t="s">
        <v>1044</v>
      </c>
      <c r="H2878">
        <v>839</v>
      </c>
      <c r="I2878">
        <v>15.29</v>
      </c>
      <c r="J2878">
        <v>15.3</v>
      </c>
      <c r="K2878" t="s">
        <v>15042</v>
      </c>
      <c r="L2878">
        <v>0.6</v>
      </c>
      <c r="M2878" t="s">
        <v>46</v>
      </c>
      <c r="N2878" t="s">
        <v>8868</v>
      </c>
      <c r="O2878">
        <v>15.49</v>
      </c>
      <c r="P2878">
        <v>15.1</v>
      </c>
      <c r="Q2878">
        <v>15.49</v>
      </c>
      <c r="R2878">
        <v>15.4</v>
      </c>
      <c r="S2878">
        <v>2.53</v>
      </c>
      <c r="T2878">
        <v>1.03</v>
      </c>
      <c r="U2878">
        <v>34.71</v>
      </c>
      <c r="V2878">
        <v>419</v>
      </c>
      <c r="W2878">
        <v>15.24</v>
      </c>
      <c r="X2878" t="s">
        <v>6580</v>
      </c>
      <c r="Y2878" t="s">
        <v>2397</v>
      </c>
      <c r="Z2878">
        <v>1.21</v>
      </c>
      <c r="AA2878">
        <v>16</v>
      </c>
      <c r="AB2878">
        <v>325</v>
      </c>
      <c r="AC2878">
        <v>1.81</v>
      </c>
      <c r="AD2878" t="s">
        <v>10060</v>
      </c>
      <c r="AE2878" t="s">
        <v>6734</v>
      </c>
      <c r="AF2878" t="s">
        <v>7217</v>
      </c>
      <c r="AG2878" t="s">
        <v>11550</v>
      </c>
      <c r="AH2878">
        <v>-3.41</v>
      </c>
      <c r="AI2878">
        <v>-4.67</v>
      </c>
      <c r="AJ2878">
        <v>2.15</v>
      </c>
      <c r="AK2878">
        <v>3.51</v>
      </c>
      <c r="AL2878">
        <v>-3</v>
      </c>
      <c r="AM2878">
        <v>-0.65</v>
      </c>
      <c r="AN2878">
        <v>-28.17</v>
      </c>
      <c r="AO2878">
        <v>-3.89</v>
      </c>
      <c r="AP2878">
        <v>-33.54</v>
      </c>
    </row>
    <row r="2879" spans="1:42">
      <c r="A2879">
        <v>2878</v>
      </c>
      <c r="B2879" t="str">
        <f>"002643"</f>
        <v>002643</v>
      </c>
      <c r="C2879" t="s">
        <v>15043</v>
      </c>
      <c r="D2879">
        <v>16.14</v>
      </c>
      <c r="E2879">
        <v>-0.06</v>
      </c>
      <c r="F2879">
        <v>-0.01</v>
      </c>
      <c r="G2879" t="s">
        <v>2124</v>
      </c>
      <c r="H2879">
        <v>526</v>
      </c>
      <c r="I2879">
        <v>16.14</v>
      </c>
      <c r="J2879">
        <v>16.15</v>
      </c>
      <c r="K2879" t="s">
        <v>15042</v>
      </c>
      <c r="L2879">
        <v>0.4</v>
      </c>
      <c r="M2879" t="s">
        <v>46</v>
      </c>
      <c r="N2879" t="s">
        <v>8925</v>
      </c>
      <c r="O2879">
        <v>16.24</v>
      </c>
      <c r="P2879">
        <v>15.94</v>
      </c>
      <c r="Q2879">
        <v>16.24</v>
      </c>
      <c r="R2879">
        <v>16.15</v>
      </c>
      <c r="S2879">
        <v>1.86</v>
      </c>
      <c r="T2879">
        <v>0.56</v>
      </c>
      <c r="U2879">
        <v>-17.93</v>
      </c>
      <c r="V2879">
        <v>-240</v>
      </c>
      <c r="W2879">
        <v>16.06</v>
      </c>
      <c r="X2879" t="s">
        <v>6425</v>
      </c>
      <c r="Y2879" t="s">
        <v>8137</v>
      </c>
      <c r="Z2879">
        <v>1.18</v>
      </c>
      <c r="AA2879">
        <v>27</v>
      </c>
      <c r="AB2879">
        <v>72</v>
      </c>
      <c r="AC2879">
        <v>2.25</v>
      </c>
      <c r="AD2879" t="s">
        <v>15044</v>
      </c>
      <c r="AE2879" t="s">
        <v>10740</v>
      </c>
      <c r="AF2879" t="s">
        <v>15045</v>
      </c>
      <c r="AG2879" t="s">
        <v>9757</v>
      </c>
      <c r="AH2879">
        <v>0</v>
      </c>
      <c r="AI2879">
        <v>-0.92</v>
      </c>
      <c r="AJ2879">
        <v>2.37</v>
      </c>
      <c r="AK2879">
        <v>3.94</v>
      </c>
      <c r="AL2879">
        <v>-2</v>
      </c>
      <c r="AM2879">
        <v>-0.06</v>
      </c>
      <c r="AN2879">
        <v>12.4</v>
      </c>
      <c r="AO2879">
        <v>-4.44</v>
      </c>
      <c r="AP2879">
        <v>-0.68</v>
      </c>
    </row>
    <row r="2880" spans="1:42">
      <c r="A2880">
        <v>2879</v>
      </c>
      <c r="B2880" t="str">
        <f>"000962"</f>
        <v>000962</v>
      </c>
      <c r="C2880" t="s">
        <v>15046</v>
      </c>
      <c r="D2880">
        <v>12.39</v>
      </c>
      <c r="E2880">
        <v>1.14</v>
      </c>
      <c r="F2880">
        <v>0.14</v>
      </c>
      <c r="G2880" t="s">
        <v>5435</v>
      </c>
      <c r="H2880">
        <v>858</v>
      </c>
      <c r="I2880">
        <v>12.39</v>
      </c>
      <c r="J2880">
        <v>12.4</v>
      </c>
      <c r="K2880" t="s">
        <v>15047</v>
      </c>
      <c r="L2880">
        <v>1.06</v>
      </c>
      <c r="M2880" t="s">
        <v>46</v>
      </c>
      <c r="N2880" t="s">
        <v>8713</v>
      </c>
      <c r="O2880">
        <v>12.41</v>
      </c>
      <c r="P2880">
        <v>12.15</v>
      </c>
      <c r="Q2880">
        <v>12.29</v>
      </c>
      <c r="R2880">
        <v>12.25</v>
      </c>
      <c r="S2880">
        <v>2.12</v>
      </c>
      <c r="T2880">
        <v>0.75</v>
      </c>
      <c r="U2880">
        <v>-14.06</v>
      </c>
      <c r="V2880">
        <v>-290</v>
      </c>
      <c r="W2880">
        <v>12.31</v>
      </c>
      <c r="X2880" t="s">
        <v>2877</v>
      </c>
      <c r="Y2880" t="s">
        <v>3456</v>
      </c>
      <c r="Z2880">
        <v>0.73</v>
      </c>
      <c r="AA2880">
        <v>229</v>
      </c>
      <c r="AB2880">
        <v>48</v>
      </c>
      <c r="AC2880">
        <v>2.7</v>
      </c>
      <c r="AD2880" t="s">
        <v>8299</v>
      </c>
      <c r="AE2880" t="s">
        <v>15048</v>
      </c>
      <c r="AF2880" t="s">
        <v>15049</v>
      </c>
      <c r="AG2880" t="s">
        <v>6336</v>
      </c>
      <c r="AH2880">
        <v>0.41</v>
      </c>
      <c r="AI2880">
        <v>-1.67</v>
      </c>
      <c r="AJ2880">
        <v>4.07</v>
      </c>
      <c r="AK2880">
        <v>8.16</v>
      </c>
      <c r="AL2880">
        <v>1</v>
      </c>
      <c r="AM2880">
        <v>1.14</v>
      </c>
      <c r="AN2880">
        <v>39.37</v>
      </c>
      <c r="AO2880">
        <v>-0.64</v>
      </c>
      <c r="AP2880">
        <v>36.15</v>
      </c>
    </row>
    <row r="2881" spans="1:42">
      <c r="A2881">
        <v>2880</v>
      </c>
      <c r="B2881" t="str">
        <f>"300005"</f>
        <v>300005</v>
      </c>
      <c r="C2881" t="s">
        <v>15050</v>
      </c>
      <c r="D2881">
        <v>7.37</v>
      </c>
      <c r="E2881">
        <v>0.27</v>
      </c>
      <c r="F2881">
        <v>0.02</v>
      </c>
      <c r="G2881" t="s">
        <v>6231</v>
      </c>
      <c r="H2881">
        <v>2006</v>
      </c>
      <c r="I2881">
        <v>7.36</v>
      </c>
      <c r="J2881">
        <v>7.38</v>
      </c>
      <c r="K2881" t="s">
        <v>15051</v>
      </c>
      <c r="L2881">
        <v>0.89</v>
      </c>
      <c r="M2881" t="s">
        <v>46</v>
      </c>
      <c r="N2881" t="s">
        <v>1054</v>
      </c>
      <c r="O2881">
        <v>7.45</v>
      </c>
      <c r="P2881">
        <v>7.28</v>
      </c>
      <c r="Q2881">
        <v>7.35</v>
      </c>
      <c r="R2881">
        <v>7.35</v>
      </c>
      <c r="S2881">
        <v>2.31</v>
      </c>
      <c r="T2881">
        <v>0.85</v>
      </c>
      <c r="U2881">
        <v>56.17</v>
      </c>
      <c r="V2881">
        <v>3534</v>
      </c>
      <c r="W2881">
        <v>7.35</v>
      </c>
      <c r="X2881" t="s">
        <v>4724</v>
      </c>
      <c r="Y2881" t="s">
        <v>1566</v>
      </c>
      <c r="Z2881">
        <v>1.06</v>
      </c>
      <c r="AA2881">
        <v>2558</v>
      </c>
      <c r="AB2881">
        <v>344</v>
      </c>
      <c r="AC2881">
        <v>3.05</v>
      </c>
      <c r="AD2881" t="s">
        <v>15052</v>
      </c>
      <c r="AE2881" t="s">
        <v>15053</v>
      </c>
      <c r="AF2881" t="s">
        <v>15052</v>
      </c>
      <c r="AG2881" t="s">
        <v>15053</v>
      </c>
      <c r="AH2881">
        <v>-3.03</v>
      </c>
      <c r="AI2881">
        <v>-3.28</v>
      </c>
      <c r="AJ2881">
        <v>2.58</v>
      </c>
      <c r="AK2881">
        <v>6.09</v>
      </c>
      <c r="AL2881">
        <v>1</v>
      </c>
      <c r="AM2881">
        <v>0.27</v>
      </c>
      <c r="AN2881">
        <v>-2.77</v>
      </c>
      <c r="AO2881">
        <v>-5.63</v>
      </c>
      <c r="AP2881">
        <v>-9.01</v>
      </c>
    </row>
    <row r="2882" spans="1:42">
      <c r="A2882">
        <v>2881</v>
      </c>
      <c r="B2882" t="str">
        <f>"688028"</f>
        <v>688028</v>
      </c>
      <c r="C2882" t="s">
        <v>15054</v>
      </c>
      <c r="D2882">
        <v>26</v>
      </c>
      <c r="E2882">
        <v>-0.61</v>
      </c>
      <c r="F2882">
        <v>-0.16</v>
      </c>
      <c r="G2882" t="s">
        <v>2102</v>
      </c>
      <c r="H2882">
        <v>264</v>
      </c>
      <c r="I2882">
        <v>25.99</v>
      </c>
      <c r="J2882">
        <v>26</v>
      </c>
      <c r="K2882" t="s">
        <v>15055</v>
      </c>
      <c r="L2882">
        <v>1.6</v>
      </c>
      <c r="M2882" t="s">
        <v>46</v>
      </c>
      <c r="N2882" t="s">
        <v>15056</v>
      </c>
      <c r="O2882">
        <v>26.85</v>
      </c>
      <c r="P2882">
        <v>25.8</v>
      </c>
      <c r="Q2882">
        <v>26.16</v>
      </c>
      <c r="R2882">
        <v>26.16</v>
      </c>
      <c r="S2882">
        <v>4.01</v>
      </c>
      <c r="T2882">
        <v>0.85</v>
      </c>
      <c r="U2882">
        <v>-1.24</v>
      </c>
      <c r="V2882">
        <v>-5</v>
      </c>
      <c r="W2882">
        <v>26.25</v>
      </c>
      <c r="X2882" t="s">
        <v>6212</v>
      </c>
      <c r="Y2882">
        <v>9229</v>
      </c>
      <c r="Z2882">
        <v>1.37</v>
      </c>
      <c r="AA2882">
        <v>61</v>
      </c>
      <c r="AB2882">
        <v>84</v>
      </c>
      <c r="AC2882">
        <v>2.11</v>
      </c>
      <c r="AD2882" t="s">
        <v>11113</v>
      </c>
      <c r="AE2882" t="s">
        <v>10676</v>
      </c>
      <c r="AF2882" t="s">
        <v>15057</v>
      </c>
      <c r="AG2882" t="s">
        <v>8628</v>
      </c>
      <c r="AH2882">
        <v>-0.76</v>
      </c>
      <c r="AI2882">
        <v>-1.18</v>
      </c>
      <c r="AJ2882">
        <v>5.78</v>
      </c>
      <c r="AK2882">
        <v>11.04</v>
      </c>
      <c r="AL2882">
        <v>-2</v>
      </c>
      <c r="AM2882">
        <v>-0.61</v>
      </c>
      <c r="AN2882">
        <v>17.54</v>
      </c>
      <c r="AO2882">
        <v>7.62</v>
      </c>
      <c r="AP2882">
        <v>5.48</v>
      </c>
    </row>
    <row r="2883" spans="1:42">
      <c r="A2883">
        <v>2882</v>
      </c>
      <c r="B2883" t="str">
        <f>"000822"</f>
        <v>000822</v>
      </c>
      <c r="C2883" t="s">
        <v>15058</v>
      </c>
      <c r="D2883">
        <v>6.85</v>
      </c>
      <c r="E2883">
        <v>1.03</v>
      </c>
      <c r="F2883">
        <v>0.07</v>
      </c>
      <c r="G2883" t="s">
        <v>2224</v>
      </c>
      <c r="H2883">
        <v>2323</v>
      </c>
      <c r="I2883">
        <v>6.84</v>
      </c>
      <c r="J2883">
        <v>6.85</v>
      </c>
      <c r="K2883" t="s">
        <v>15059</v>
      </c>
      <c r="L2883">
        <v>0.94</v>
      </c>
      <c r="M2883" t="s">
        <v>46</v>
      </c>
      <c r="N2883" t="s">
        <v>7486</v>
      </c>
      <c r="O2883">
        <v>6.85</v>
      </c>
      <c r="P2883">
        <v>6.76</v>
      </c>
      <c r="Q2883">
        <v>6.77</v>
      </c>
      <c r="R2883">
        <v>6.78</v>
      </c>
      <c r="S2883">
        <v>1.33</v>
      </c>
      <c r="T2883">
        <v>0.8</v>
      </c>
      <c r="U2883">
        <v>-41.63</v>
      </c>
      <c r="V2883">
        <v>-5851</v>
      </c>
      <c r="W2883">
        <v>6.81</v>
      </c>
      <c r="X2883" t="s">
        <v>5302</v>
      </c>
      <c r="Y2883" t="s">
        <v>2649</v>
      </c>
      <c r="Z2883">
        <v>0.57</v>
      </c>
      <c r="AA2883">
        <v>455</v>
      </c>
      <c r="AB2883">
        <v>949</v>
      </c>
      <c r="AC2883">
        <v>1.29</v>
      </c>
      <c r="AD2883" t="s">
        <v>15060</v>
      </c>
      <c r="AE2883" t="s">
        <v>15061</v>
      </c>
      <c r="AF2883" t="s">
        <v>15060</v>
      </c>
      <c r="AG2883" t="s">
        <v>15061</v>
      </c>
      <c r="AH2883">
        <v>0.88</v>
      </c>
      <c r="AI2883">
        <v>1.78</v>
      </c>
      <c r="AJ2883">
        <v>2.6</v>
      </c>
      <c r="AK2883">
        <v>6.85</v>
      </c>
      <c r="AL2883">
        <v>2</v>
      </c>
      <c r="AM2883">
        <v>1.03</v>
      </c>
      <c r="AN2883">
        <v>-12.07</v>
      </c>
      <c r="AO2883">
        <v>6.86</v>
      </c>
      <c r="AP2883">
        <v>-14.05</v>
      </c>
    </row>
    <row r="2884" spans="1:42">
      <c r="A2884">
        <v>2883</v>
      </c>
      <c r="B2884" t="str">
        <f>"603725"</f>
        <v>603725</v>
      </c>
      <c r="C2884" t="s">
        <v>15062</v>
      </c>
      <c r="D2884">
        <v>10.6</v>
      </c>
      <c r="E2884">
        <v>0.66</v>
      </c>
      <c r="F2884">
        <v>0.07</v>
      </c>
      <c r="G2884" t="s">
        <v>14220</v>
      </c>
      <c r="H2884">
        <v>803</v>
      </c>
      <c r="I2884">
        <v>10.59</v>
      </c>
      <c r="J2884">
        <v>10.6</v>
      </c>
      <c r="K2884" t="s">
        <v>15063</v>
      </c>
      <c r="L2884">
        <v>2.65</v>
      </c>
      <c r="M2884" t="s">
        <v>46</v>
      </c>
      <c r="N2884" t="s">
        <v>9676</v>
      </c>
      <c r="O2884">
        <v>10.63</v>
      </c>
      <c r="P2884">
        <v>10.44</v>
      </c>
      <c r="Q2884">
        <v>10.5</v>
      </c>
      <c r="R2884">
        <v>10.53</v>
      </c>
      <c r="S2884">
        <v>1.8</v>
      </c>
      <c r="T2884">
        <v>0.84</v>
      </c>
      <c r="U2884">
        <v>-13.7</v>
      </c>
      <c r="V2884">
        <v>-279</v>
      </c>
      <c r="W2884">
        <v>10.54</v>
      </c>
      <c r="X2884" t="s">
        <v>4610</v>
      </c>
      <c r="Y2884" t="s">
        <v>117</v>
      </c>
      <c r="Z2884">
        <v>1.1</v>
      </c>
      <c r="AA2884">
        <v>7</v>
      </c>
      <c r="AB2884">
        <v>237</v>
      </c>
      <c r="AC2884">
        <v>3.44</v>
      </c>
      <c r="AD2884" t="s">
        <v>15064</v>
      </c>
      <c r="AE2884" t="s">
        <v>11330</v>
      </c>
      <c r="AF2884" t="s">
        <v>15065</v>
      </c>
      <c r="AG2884" t="s">
        <v>7137</v>
      </c>
      <c r="AH2884">
        <v>-2.03</v>
      </c>
      <c r="AI2884">
        <v>-1.94</v>
      </c>
      <c r="AJ2884">
        <v>8.01</v>
      </c>
      <c r="AK2884">
        <v>18.45</v>
      </c>
      <c r="AL2884">
        <v>1</v>
      </c>
      <c r="AM2884">
        <v>0.66</v>
      </c>
      <c r="AN2884">
        <v>53.4</v>
      </c>
      <c r="AO2884">
        <v>6.21</v>
      </c>
      <c r="AP2884">
        <v>39.29</v>
      </c>
    </row>
    <row r="2885" spans="1:42">
      <c r="A2885">
        <v>2884</v>
      </c>
      <c r="B2885" t="str">
        <f>"603025"</f>
        <v>603025</v>
      </c>
      <c r="C2885" t="s">
        <v>15066</v>
      </c>
      <c r="D2885">
        <v>12.91</v>
      </c>
      <c r="E2885">
        <v>1.18</v>
      </c>
      <c r="F2885">
        <v>0.15</v>
      </c>
      <c r="G2885" t="s">
        <v>2559</v>
      </c>
      <c r="H2885">
        <v>289</v>
      </c>
      <c r="I2885">
        <v>12.9</v>
      </c>
      <c r="J2885">
        <v>12.91</v>
      </c>
      <c r="K2885" t="s">
        <v>15067</v>
      </c>
      <c r="L2885">
        <v>0.4</v>
      </c>
      <c r="M2885" t="s">
        <v>46</v>
      </c>
      <c r="N2885" t="s">
        <v>4927</v>
      </c>
      <c r="O2885">
        <v>12.97</v>
      </c>
      <c r="P2885">
        <v>12.71</v>
      </c>
      <c r="Q2885">
        <v>12.74</v>
      </c>
      <c r="R2885">
        <v>12.76</v>
      </c>
      <c r="S2885">
        <v>2.04</v>
      </c>
      <c r="T2885">
        <v>1.41</v>
      </c>
      <c r="U2885">
        <v>-33.71</v>
      </c>
      <c r="V2885">
        <v>-1013</v>
      </c>
      <c r="W2885">
        <v>12.86</v>
      </c>
      <c r="X2885" t="s">
        <v>8073</v>
      </c>
      <c r="Y2885" t="s">
        <v>8211</v>
      </c>
      <c r="Z2885">
        <v>0.85</v>
      </c>
      <c r="AA2885">
        <v>258</v>
      </c>
      <c r="AB2885">
        <v>732</v>
      </c>
      <c r="AC2885">
        <v>6.48</v>
      </c>
      <c r="AD2885" t="s">
        <v>15068</v>
      </c>
      <c r="AE2885" t="s">
        <v>11345</v>
      </c>
      <c r="AF2885" t="s">
        <v>15068</v>
      </c>
      <c r="AG2885" t="s">
        <v>11345</v>
      </c>
      <c r="AH2885">
        <v>0.47</v>
      </c>
      <c r="AI2885">
        <v>-0.15</v>
      </c>
      <c r="AJ2885">
        <v>0.94</v>
      </c>
      <c r="AK2885">
        <v>1.83</v>
      </c>
      <c r="AL2885">
        <v>1</v>
      </c>
      <c r="AM2885">
        <v>1.18</v>
      </c>
      <c r="AN2885">
        <v>-17.61</v>
      </c>
      <c r="AO2885">
        <v>6.17</v>
      </c>
      <c r="AP2885">
        <v>-7.59</v>
      </c>
    </row>
    <row r="2886" spans="1:42">
      <c r="A2886">
        <v>2885</v>
      </c>
      <c r="B2886" t="str">
        <f>"600753"</f>
        <v>600753</v>
      </c>
      <c r="C2886" t="s">
        <v>15069</v>
      </c>
      <c r="D2886">
        <v>11.5</v>
      </c>
      <c r="E2886">
        <v>0.44</v>
      </c>
      <c r="F2886">
        <v>0.05</v>
      </c>
      <c r="G2886" t="s">
        <v>4096</v>
      </c>
      <c r="H2886">
        <v>714</v>
      </c>
      <c r="I2886">
        <v>11.49</v>
      </c>
      <c r="J2886">
        <v>11.5</v>
      </c>
      <c r="K2886" t="s">
        <v>15070</v>
      </c>
      <c r="L2886">
        <v>2.32</v>
      </c>
      <c r="M2886" t="s">
        <v>46</v>
      </c>
      <c r="N2886" t="s">
        <v>2908</v>
      </c>
      <c r="O2886">
        <v>11.7</v>
      </c>
      <c r="P2886">
        <v>11.38</v>
      </c>
      <c r="Q2886">
        <v>11.54</v>
      </c>
      <c r="R2886">
        <v>11.45</v>
      </c>
      <c r="S2886">
        <v>2.79</v>
      </c>
      <c r="T2886">
        <v>0.9</v>
      </c>
      <c r="U2886">
        <v>-49.19</v>
      </c>
      <c r="V2886">
        <v>-817</v>
      </c>
      <c r="W2886">
        <v>11.5</v>
      </c>
      <c r="X2886" t="s">
        <v>4013</v>
      </c>
      <c r="Y2886" t="s">
        <v>3110</v>
      </c>
      <c r="Z2886">
        <v>0.99</v>
      </c>
      <c r="AA2886">
        <v>28</v>
      </c>
      <c r="AB2886">
        <v>15</v>
      </c>
      <c r="AC2886">
        <v>10.43</v>
      </c>
      <c r="AD2886" t="s">
        <v>15071</v>
      </c>
      <c r="AE2886" t="s">
        <v>15072</v>
      </c>
      <c r="AF2886" t="s">
        <v>4266</v>
      </c>
      <c r="AG2886" t="s">
        <v>15073</v>
      </c>
      <c r="AH2886">
        <v>0</v>
      </c>
      <c r="AI2886">
        <v>-0.35</v>
      </c>
      <c r="AJ2886">
        <v>6.75</v>
      </c>
      <c r="AK2886">
        <v>15.16</v>
      </c>
      <c r="AL2886">
        <v>1</v>
      </c>
      <c r="AM2886">
        <v>0.44</v>
      </c>
      <c r="AN2886">
        <v>-18.38</v>
      </c>
      <c r="AO2886">
        <v>13.64</v>
      </c>
      <c r="AP2886">
        <v>-12.75</v>
      </c>
    </row>
    <row r="2887" spans="1:42">
      <c r="A2887">
        <v>2886</v>
      </c>
      <c r="B2887" t="str">
        <f>"600110"</f>
        <v>600110</v>
      </c>
      <c r="C2887" t="s">
        <v>15074</v>
      </c>
      <c r="D2887">
        <v>5.86</v>
      </c>
      <c r="E2887">
        <v>-0.68</v>
      </c>
      <c r="F2887">
        <v>-0.04</v>
      </c>
      <c r="G2887" t="s">
        <v>10000</v>
      </c>
      <c r="H2887">
        <v>1040</v>
      </c>
      <c r="I2887">
        <v>5.86</v>
      </c>
      <c r="J2887">
        <v>5.87</v>
      </c>
      <c r="K2887" t="s">
        <v>15075</v>
      </c>
      <c r="L2887">
        <v>0.56</v>
      </c>
      <c r="M2887" t="s">
        <v>46</v>
      </c>
      <c r="N2887" t="s">
        <v>78</v>
      </c>
      <c r="O2887">
        <v>5.93</v>
      </c>
      <c r="P2887">
        <v>5.83</v>
      </c>
      <c r="Q2887">
        <v>5.93</v>
      </c>
      <c r="R2887">
        <v>5.9</v>
      </c>
      <c r="S2887">
        <v>1.69</v>
      </c>
      <c r="T2887">
        <v>1.08</v>
      </c>
      <c r="U2887">
        <v>41.87</v>
      </c>
      <c r="V2887">
        <v>4808</v>
      </c>
      <c r="W2887">
        <v>5.86</v>
      </c>
      <c r="X2887" t="s">
        <v>7642</v>
      </c>
      <c r="Y2887" t="s">
        <v>2299</v>
      </c>
      <c r="Z2887">
        <v>1.11</v>
      </c>
      <c r="AA2887">
        <v>1063</v>
      </c>
      <c r="AB2887">
        <v>404</v>
      </c>
      <c r="AC2887">
        <v>1.64</v>
      </c>
      <c r="AD2887" t="s">
        <v>15076</v>
      </c>
      <c r="AE2887" t="s">
        <v>3798</v>
      </c>
      <c r="AF2887" t="s">
        <v>15076</v>
      </c>
      <c r="AG2887" t="s">
        <v>3798</v>
      </c>
      <c r="AH2887">
        <v>-2.17</v>
      </c>
      <c r="AI2887">
        <v>-3.78</v>
      </c>
      <c r="AJ2887">
        <v>1.57</v>
      </c>
      <c r="AK2887">
        <v>3.16</v>
      </c>
      <c r="AL2887">
        <v>-3</v>
      </c>
      <c r="AM2887">
        <v>-0.68</v>
      </c>
      <c r="AN2887">
        <v>-25.35</v>
      </c>
      <c r="AO2887">
        <v>-2.17</v>
      </c>
      <c r="AP2887">
        <v>-34.3</v>
      </c>
    </row>
    <row r="2888" spans="1:42">
      <c r="A2888">
        <v>2887</v>
      </c>
      <c r="B2888" t="str">
        <f>"601515"</f>
        <v>601515</v>
      </c>
      <c r="C2888" t="s">
        <v>15077</v>
      </c>
      <c r="D2888">
        <v>4.13</v>
      </c>
      <c r="E2888">
        <v>1.23</v>
      </c>
      <c r="F2888">
        <v>0.05</v>
      </c>
      <c r="G2888" t="s">
        <v>960</v>
      </c>
      <c r="H2888">
        <v>1466</v>
      </c>
      <c r="I2888">
        <v>4.12</v>
      </c>
      <c r="J2888">
        <v>4.13</v>
      </c>
      <c r="K2888" t="s">
        <v>15075</v>
      </c>
      <c r="L2888">
        <v>0.76</v>
      </c>
      <c r="M2888" t="s">
        <v>46</v>
      </c>
      <c r="N2888" t="s">
        <v>1898</v>
      </c>
      <c r="O2888">
        <v>4.13</v>
      </c>
      <c r="P2888">
        <v>4.06</v>
      </c>
      <c r="Q2888">
        <v>4.08</v>
      </c>
      <c r="R2888">
        <v>4.08</v>
      </c>
      <c r="S2888">
        <v>1.72</v>
      </c>
      <c r="T2888">
        <v>1.01</v>
      </c>
      <c r="U2888">
        <v>8.46</v>
      </c>
      <c r="V2888">
        <v>2906</v>
      </c>
      <c r="W2888">
        <v>4.1</v>
      </c>
      <c r="X2888" t="s">
        <v>2028</v>
      </c>
      <c r="Y2888" t="s">
        <v>13322</v>
      </c>
      <c r="Z2888">
        <v>0.77</v>
      </c>
      <c r="AA2888">
        <v>4721</v>
      </c>
      <c r="AB2888">
        <v>5446</v>
      </c>
      <c r="AC2888">
        <v>1.33</v>
      </c>
      <c r="AD2888" t="s">
        <v>15078</v>
      </c>
      <c r="AE2888" t="s">
        <v>15079</v>
      </c>
      <c r="AF2888" t="s">
        <v>15078</v>
      </c>
      <c r="AG2888" t="s">
        <v>15079</v>
      </c>
      <c r="AH2888">
        <v>0</v>
      </c>
      <c r="AI2888">
        <v>0</v>
      </c>
      <c r="AJ2888">
        <v>2.25</v>
      </c>
      <c r="AK2888">
        <v>4.51</v>
      </c>
      <c r="AL2888">
        <v>2</v>
      </c>
      <c r="AM2888">
        <v>1.23</v>
      </c>
      <c r="AN2888">
        <v>-3.95</v>
      </c>
      <c r="AO2888">
        <v>3.51</v>
      </c>
      <c r="AP2888">
        <v>-8.43</v>
      </c>
    </row>
    <row r="2889" spans="1:42">
      <c r="A2889">
        <v>2888</v>
      </c>
      <c r="B2889" t="str">
        <f>"301151"</f>
        <v>301151</v>
      </c>
      <c r="C2889" t="s">
        <v>15080</v>
      </c>
      <c r="D2889">
        <v>20.95</v>
      </c>
      <c r="E2889">
        <v>0.67</v>
      </c>
      <c r="F2889">
        <v>0.14</v>
      </c>
      <c r="G2889" t="s">
        <v>1711</v>
      </c>
      <c r="H2889">
        <v>435</v>
      </c>
      <c r="I2889">
        <v>20.94</v>
      </c>
      <c r="J2889">
        <v>20.95</v>
      </c>
      <c r="K2889" t="s">
        <v>15081</v>
      </c>
      <c r="L2889">
        <v>5.06</v>
      </c>
      <c r="M2889" t="s">
        <v>46</v>
      </c>
      <c r="N2889" t="s">
        <v>1797</v>
      </c>
      <c r="O2889">
        <v>21.03</v>
      </c>
      <c r="P2889">
        <v>20.53</v>
      </c>
      <c r="Q2889">
        <v>20.82</v>
      </c>
      <c r="R2889">
        <v>20.81</v>
      </c>
      <c r="S2889">
        <v>2.4</v>
      </c>
      <c r="T2889">
        <v>0.88</v>
      </c>
      <c r="U2889">
        <v>-6.8</v>
      </c>
      <c r="V2889">
        <v>-50</v>
      </c>
      <c r="W2889">
        <v>20.76</v>
      </c>
      <c r="X2889" t="s">
        <v>5900</v>
      </c>
      <c r="Y2889" t="s">
        <v>383</v>
      </c>
      <c r="Z2889">
        <v>1.07</v>
      </c>
      <c r="AA2889">
        <v>1</v>
      </c>
      <c r="AB2889">
        <v>51</v>
      </c>
      <c r="AC2889">
        <v>1.73</v>
      </c>
      <c r="AD2889" t="s">
        <v>15082</v>
      </c>
      <c r="AE2889" t="s">
        <v>10010</v>
      </c>
      <c r="AF2889" t="s">
        <v>15083</v>
      </c>
      <c r="AG2889" t="s">
        <v>15084</v>
      </c>
      <c r="AH2889">
        <v>-2.1</v>
      </c>
      <c r="AI2889">
        <v>-4.9</v>
      </c>
      <c r="AJ2889">
        <v>14.74</v>
      </c>
      <c r="AK2889">
        <v>33.88</v>
      </c>
      <c r="AL2889">
        <v>1</v>
      </c>
      <c r="AM2889">
        <v>0.67</v>
      </c>
      <c r="AN2889">
        <v>24.63</v>
      </c>
      <c r="AO2889">
        <v>-5.55</v>
      </c>
      <c r="AP2889">
        <v>15.11</v>
      </c>
    </row>
    <row r="2890" spans="1:42">
      <c r="A2890">
        <v>2889</v>
      </c>
      <c r="B2890" t="str">
        <f>"688107"</f>
        <v>688107</v>
      </c>
      <c r="C2890" t="s">
        <v>15085</v>
      </c>
      <c r="D2890">
        <v>39.55</v>
      </c>
      <c r="E2890">
        <v>-0.48</v>
      </c>
      <c r="F2890">
        <v>-0.19</v>
      </c>
      <c r="G2890" t="s">
        <v>1769</v>
      </c>
      <c r="H2890">
        <v>168</v>
      </c>
      <c r="I2890">
        <v>39.55</v>
      </c>
      <c r="J2890">
        <v>39.59</v>
      </c>
      <c r="K2890" t="s">
        <v>15086</v>
      </c>
      <c r="L2890">
        <v>0.75</v>
      </c>
      <c r="M2890" t="s">
        <v>46</v>
      </c>
      <c r="N2890" t="s">
        <v>2656</v>
      </c>
      <c r="O2890">
        <v>39.9</v>
      </c>
      <c r="P2890">
        <v>38.8</v>
      </c>
      <c r="Q2890">
        <v>39.68</v>
      </c>
      <c r="R2890">
        <v>39.74</v>
      </c>
      <c r="S2890">
        <v>2.77</v>
      </c>
      <c r="T2890">
        <v>0.69</v>
      </c>
      <c r="U2890">
        <v>-60.25</v>
      </c>
      <c r="V2890">
        <v>-248</v>
      </c>
      <c r="W2890">
        <v>39.38</v>
      </c>
      <c r="X2890">
        <v>7272</v>
      </c>
      <c r="Y2890">
        <v>7273</v>
      </c>
      <c r="Z2890">
        <v>1</v>
      </c>
      <c r="AA2890">
        <v>38</v>
      </c>
      <c r="AB2890">
        <v>5</v>
      </c>
      <c r="AC2890">
        <v>10.45</v>
      </c>
      <c r="AD2890" t="s">
        <v>4258</v>
      </c>
      <c r="AE2890" t="s">
        <v>9678</v>
      </c>
      <c r="AF2890" t="s">
        <v>8249</v>
      </c>
      <c r="AG2890" t="s">
        <v>15087</v>
      </c>
      <c r="AH2890">
        <v>-2.32</v>
      </c>
      <c r="AI2890">
        <v>2.89</v>
      </c>
      <c r="AJ2890">
        <v>2.37</v>
      </c>
      <c r="AK2890">
        <v>6.24</v>
      </c>
      <c r="AL2890">
        <v>-2</v>
      </c>
      <c r="AM2890">
        <v>-0.48</v>
      </c>
      <c r="AN2890">
        <v>-38.4</v>
      </c>
      <c r="AO2890">
        <v>-1.84</v>
      </c>
      <c r="AP2890">
        <v>-42.6</v>
      </c>
    </row>
    <row r="2891" spans="1:42">
      <c r="A2891">
        <v>2890</v>
      </c>
      <c r="B2891" t="str">
        <f>"688296"</f>
        <v>688296</v>
      </c>
      <c r="C2891" t="s">
        <v>15088</v>
      </c>
      <c r="D2891">
        <v>19.98</v>
      </c>
      <c r="E2891">
        <v>4.66</v>
      </c>
      <c r="F2891">
        <v>0.89</v>
      </c>
      <c r="G2891" t="s">
        <v>1080</v>
      </c>
      <c r="H2891">
        <v>490</v>
      </c>
      <c r="I2891">
        <v>19.96</v>
      </c>
      <c r="J2891">
        <v>19.98</v>
      </c>
      <c r="K2891" t="s">
        <v>15089</v>
      </c>
      <c r="L2891">
        <v>4.86</v>
      </c>
      <c r="M2891" t="s">
        <v>46</v>
      </c>
      <c r="N2891" t="s">
        <v>6882</v>
      </c>
      <c r="O2891">
        <v>20.02</v>
      </c>
      <c r="P2891">
        <v>18.91</v>
      </c>
      <c r="Q2891">
        <v>19.08</v>
      </c>
      <c r="R2891">
        <v>19.09</v>
      </c>
      <c r="S2891">
        <v>5.81</v>
      </c>
      <c r="T2891">
        <v>0.95</v>
      </c>
      <c r="U2891">
        <v>-44.07</v>
      </c>
      <c r="V2891">
        <v>-364</v>
      </c>
      <c r="W2891">
        <v>19.65</v>
      </c>
      <c r="X2891" t="s">
        <v>905</v>
      </c>
      <c r="Y2891" t="s">
        <v>1112</v>
      </c>
      <c r="Z2891">
        <v>0.74</v>
      </c>
      <c r="AA2891">
        <v>92</v>
      </c>
      <c r="AB2891">
        <v>152</v>
      </c>
      <c r="AC2891">
        <v>3.02</v>
      </c>
      <c r="AD2891" t="s">
        <v>15090</v>
      </c>
      <c r="AE2891" t="s">
        <v>15091</v>
      </c>
      <c r="AF2891" t="s">
        <v>15092</v>
      </c>
      <c r="AG2891" t="s">
        <v>5410</v>
      </c>
      <c r="AH2891">
        <v>6.79</v>
      </c>
      <c r="AI2891">
        <v>7.83</v>
      </c>
      <c r="AJ2891">
        <v>17.52</v>
      </c>
      <c r="AK2891">
        <v>30.56</v>
      </c>
      <c r="AL2891">
        <v>1</v>
      </c>
      <c r="AM2891">
        <v>4.66</v>
      </c>
      <c r="AN2891">
        <v>-22.32</v>
      </c>
      <c r="AO2891">
        <v>35.92</v>
      </c>
      <c r="AP2891">
        <v>-14.51</v>
      </c>
    </row>
    <row r="2892" spans="1:42">
      <c r="A2892">
        <v>2891</v>
      </c>
      <c r="B2892" t="str">
        <f>"000612"</f>
        <v>000612</v>
      </c>
      <c r="C2892" t="s">
        <v>15093</v>
      </c>
      <c r="D2892">
        <v>5.75</v>
      </c>
      <c r="E2892">
        <v>0.88</v>
      </c>
      <c r="F2892">
        <v>0.05</v>
      </c>
      <c r="G2892" t="s">
        <v>4706</v>
      </c>
      <c r="H2892">
        <v>551</v>
      </c>
      <c r="I2892">
        <v>5.74</v>
      </c>
      <c r="J2892">
        <v>5.75</v>
      </c>
      <c r="K2892" t="s">
        <v>15094</v>
      </c>
      <c r="L2892">
        <v>0.84</v>
      </c>
      <c r="M2892" t="s">
        <v>46</v>
      </c>
      <c r="N2892" t="s">
        <v>15095</v>
      </c>
      <c r="O2892">
        <v>5.76</v>
      </c>
      <c r="P2892">
        <v>5.66</v>
      </c>
      <c r="Q2892">
        <v>5.74</v>
      </c>
      <c r="R2892">
        <v>5.7</v>
      </c>
      <c r="S2892">
        <v>1.75</v>
      </c>
      <c r="T2892">
        <v>1.14</v>
      </c>
      <c r="U2892">
        <v>-18.36</v>
      </c>
      <c r="V2892">
        <v>-938</v>
      </c>
      <c r="W2892">
        <v>5.73</v>
      </c>
      <c r="X2892" t="s">
        <v>6794</v>
      </c>
      <c r="Y2892" t="s">
        <v>6801</v>
      </c>
      <c r="Z2892">
        <v>0.64</v>
      </c>
      <c r="AA2892">
        <v>127</v>
      </c>
      <c r="AB2892">
        <v>833</v>
      </c>
      <c r="AC2892">
        <v>1.23</v>
      </c>
      <c r="AD2892" t="s">
        <v>7275</v>
      </c>
      <c r="AE2892" t="s">
        <v>726</v>
      </c>
      <c r="AF2892" t="s">
        <v>15096</v>
      </c>
      <c r="AG2892" t="s">
        <v>8467</v>
      </c>
      <c r="AH2892">
        <v>-0.69</v>
      </c>
      <c r="AI2892">
        <v>-0.52</v>
      </c>
      <c r="AJ2892">
        <v>2.15</v>
      </c>
      <c r="AK2892">
        <v>4.53</v>
      </c>
      <c r="AL2892">
        <v>1</v>
      </c>
      <c r="AM2892">
        <v>0.88</v>
      </c>
      <c r="AN2892">
        <v>11.65</v>
      </c>
      <c r="AO2892">
        <v>3.05</v>
      </c>
      <c r="AP2892">
        <v>5.5</v>
      </c>
    </row>
    <row r="2893" spans="1:42">
      <c r="A2893">
        <v>2892</v>
      </c>
      <c r="B2893" t="str">
        <f>"300778"</f>
        <v>300778</v>
      </c>
      <c r="C2893" t="s">
        <v>15097</v>
      </c>
      <c r="D2893">
        <v>14.53</v>
      </c>
      <c r="E2893">
        <v>2.54</v>
      </c>
      <c r="F2893">
        <v>0.36</v>
      </c>
      <c r="G2893" t="s">
        <v>4941</v>
      </c>
      <c r="H2893">
        <v>473</v>
      </c>
      <c r="I2893">
        <v>14.52</v>
      </c>
      <c r="J2893">
        <v>14.54</v>
      </c>
      <c r="K2893" t="s">
        <v>15098</v>
      </c>
      <c r="L2893">
        <v>1.95</v>
      </c>
      <c r="M2893" t="s">
        <v>46</v>
      </c>
      <c r="N2893" t="s">
        <v>5445</v>
      </c>
      <c r="O2893">
        <v>14.62</v>
      </c>
      <c r="P2893">
        <v>14.15</v>
      </c>
      <c r="Q2893">
        <v>14.29</v>
      </c>
      <c r="R2893">
        <v>14.17</v>
      </c>
      <c r="S2893">
        <v>3.32</v>
      </c>
      <c r="T2893">
        <v>0.79</v>
      </c>
      <c r="U2893">
        <v>23.14</v>
      </c>
      <c r="V2893">
        <v>106</v>
      </c>
      <c r="W2893">
        <v>14.4</v>
      </c>
      <c r="X2893" t="s">
        <v>2878</v>
      </c>
      <c r="Y2893" t="s">
        <v>7053</v>
      </c>
      <c r="Z2893">
        <v>0.85</v>
      </c>
      <c r="AA2893">
        <v>18</v>
      </c>
      <c r="AB2893">
        <v>7</v>
      </c>
      <c r="AC2893">
        <v>1.95</v>
      </c>
      <c r="AD2893" t="s">
        <v>15099</v>
      </c>
      <c r="AE2893" t="s">
        <v>4113</v>
      </c>
      <c r="AF2893" t="s">
        <v>15100</v>
      </c>
      <c r="AG2893" t="s">
        <v>15101</v>
      </c>
      <c r="AH2893">
        <v>-0.48</v>
      </c>
      <c r="AI2893">
        <v>-6.8</v>
      </c>
      <c r="AJ2893">
        <v>5.51</v>
      </c>
      <c r="AK2893">
        <v>14.25</v>
      </c>
      <c r="AL2893">
        <v>1</v>
      </c>
      <c r="AM2893">
        <v>2.54</v>
      </c>
      <c r="AN2893">
        <v>35.04</v>
      </c>
      <c r="AO2893">
        <v>-2.87</v>
      </c>
      <c r="AP2893">
        <v>20.48</v>
      </c>
    </row>
    <row r="2894" spans="1:42">
      <c r="A2894">
        <v>2893</v>
      </c>
      <c r="B2894" t="str">
        <f>"002081"</f>
        <v>002081</v>
      </c>
      <c r="C2894" t="s">
        <v>15102</v>
      </c>
      <c r="D2894">
        <v>3.96</v>
      </c>
      <c r="E2894">
        <v>1.02</v>
      </c>
      <c r="F2894">
        <v>0.04</v>
      </c>
      <c r="G2894" t="s">
        <v>4194</v>
      </c>
      <c r="H2894">
        <v>1744</v>
      </c>
      <c r="I2894">
        <v>3.95</v>
      </c>
      <c r="J2894">
        <v>3.96</v>
      </c>
      <c r="K2894" t="s">
        <v>15103</v>
      </c>
      <c r="L2894">
        <v>0.55</v>
      </c>
      <c r="M2894" t="s">
        <v>46</v>
      </c>
      <c r="N2894" t="s">
        <v>7686</v>
      </c>
      <c r="O2894">
        <v>3.97</v>
      </c>
      <c r="P2894">
        <v>3.9</v>
      </c>
      <c r="Q2894">
        <v>3.91</v>
      </c>
      <c r="R2894">
        <v>3.92</v>
      </c>
      <c r="S2894">
        <v>1.79</v>
      </c>
      <c r="T2894">
        <v>0.88</v>
      </c>
      <c r="U2894">
        <v>-13.2</v>
      </c>
      <c r="V2894">
        <v>-4818</v>
      </c>
      <c r="W2894">
        <v>3.94</v>
      </c>
      <c r="X2894" t="s">
        <v>7763</v>
      </c>
      <c r="Y2894" t="s">
        <v>14077</v>
      </c>
      <c r="Z2894">
        <v>0.56</v>
      </c>
      <c r="AA2894">
        <v>6226</v>
      </c>
      <c r="AB2894">
        <v>256</v>
      </c>
      <c r="AC2894">
        <v>0.8</v>
      </c>
      <c r="AD2894" t="s">
        <v>15104</v>
      </c>
      <c r="AE2894" t="s">
        <v>6296</v>
      </c>
      <c r="AF2894" t="s">
        <v>11848</v>
      </c>
      <c r="AG2894" t="s">
        <v>4521</v>
      </c>
      <c r="AH2894">
        <v>-1</v>
      </c>
      <c r="AI2894">
        <v>-4.12</v>
      </c>
      <c r="AJ2894">
        <v>1.82</v>
      </c>
      <c r="AK2894">
        <v>3.66</v>
      </c>
      <c r="AL2894">
        <v>1</v>
      </c>
      <c r="AM2894">
        <v>1.02</v>
      </c>
      <c r="AN2894">
        <v>-16.63</v>
      </c>
      <c r="AO2894">
        <v>-2.22</v>
      </c>
      <c r="AP2894">
        <v>-16.28</v>
      </c>
    </row>
    <row r="2895" spans="1:42">
      <c r="A2895">
        <v>2894</v>
      </c>
      <c r="B2895" t="str">
        <f>"002403"</f>
        <v>002403</v>
      </c>
      <c r="C2895" t="s">
        <v>15105</v>
      </c>
      <c r="D2895">
        <v>8.79</v>
      </c>
      <c r="E2895">
        <v>-0.23</v>
      </c>
      <c r="F2895">
        <v>-0.02</v>
      </c>
      <c r="G2895" t="s">
        <v>2132</v>
      </c>
      <c r="H2895">
        <v>798</v>
      </c>
      <c r="I2895">
        <v>8.79</v>
      </c>
      <c r="J2895">
        <v>8.8</v>
      </c>
      <c r="K2895" t="s">
        <v>15106</v>
      </c>
      <c r="L2895">
        <v>2.13</v>
      </c>
      <c r="M2895" t="s">
        <v>46</v>
      </c>
      <c r="N2895" t="s">
        <v>5088</v>
      </c>
      <c r="O2895">
        <v>8.83</v>
      </c>
      <c r="P2895">
        <v>8.63</v>
      </c>
      <c r="Q2895">
        <v>8.81</v>
      </c>
      <c r="R2895">
        <v>8.81</v>
      </c>
      <c r="S2895">
        <v>2.27</v>
      </c>
      <c r="T2895">
        <v>1.46</v>
      </c>
      <c r="U2895">
        <v>-51.61</v>
      </c>
      <c r="V2895">
        <v>-1152</v>
      </c>
      <c r="W2895">
        <v>8.76</v>
      </c>
      <c r="X2895" t="s">
        <v>4733</v>
      </c>
      <c r="Y2895" t="s">
        <v>4915</v>
      </c>
      <c r="Z2895">
        <v>0.93</v>
      </c>
      <c r="AA2895">
        <v>103</v>
      </c>
      <c r="AB2895">
        <v>368</v>
      </c>
      <c r="AC2895">
        <v>1.57</v>
      </c>
      <c r="AD2895" t="s">
        <v>15107</v>
      </c>
      <c r="AE2895" t="s">
        <v>12383</v>
      </c>
      <c r="AF2895" t="s">
        <v>15108</v>
      </c>
      <c r="AG2895" t="s">
        <v>15109</v>
      </c>
      <c r="AH2895">
        <v>-0.57</v>
      </c>
      <c r="AI2895">
        <v>-0.79</v>
      </c>
      <c r="AJ2895">
        <v>6.59</v>
      </c>
      <c r="AK2895">
        <v>9.44</v>
      </c>
      <c r="AL2895">
        <v>-2</v>
      </c>
      <c r="AM2895">
        <v>-0.23</v>
      </c>
      <c r="AN2895">
        <v>13.42</v>
      </c>
      <c r="AO2895">
        <v>4.27</v>
      </c>
      <c r="AP2895">
        <v>5.14</v>
      </c>
    </row>
    <row r="2896" spans="1:42">
      <c r="A2896">
        <v>2895</v>
      </c>
      <c r="B2896" t="str">
        <f>"603706"</f>
        <v>603706</v>
      </c>
      <c r="C2896" t="s">
        <v>15110</v>
      </c>
      <c r="D2896">
        <v>17.37</v>
      </c>
      <c r="E2896">
        <v>0.12</v>
      </c>
      <c r="F2896">
        <v>0.02</v>
      </c>
      <c r="G2896" t="s">
        <v>7679</v>
      </c>
      <c r="H2896">
        <v>329</v>
      </c>
      <c r="I2896">
        <v>17.36</v>
      </c>
      <c r="J2896">
        <v>17.37</v>
      </c>
      <c r="K2896" t="s">
        <v>15111</v>
      </c>
      <c r="L2896">
        <v>1.73</v>
      </c>
      <c r="M2896" t="s">
        <v>46</v>
      </c>
      <c r="N2896" t="s">
        <v>15112</v>
      </c>
      <c r="O2896">
        <v>17.72</v>
      </c>
      <c r="P2896">
        <v>17.17</v>
      </c>
      <c r="Q2896">
        <v>17.23</v>
      </c>
      <c r="R2896">
        <v>17.35</v>
      </c>
      <c r="S2896">
        <v>3.17</v>
      </c>
      <c r="T2896">
        <v>0.63</v>
      </c>
      <c r="U2896">
        <v>18.36</v>
      </c>
      <c r="V2896">
        <v>130</v>
      </c>
      <c r="W2896">
        <v>17.4</v>
      </c>
      <c r="X2896" t="s">
        <v>8137</v>
      </c>
      <c r="Y2896" t="s">
        <v>4943</v>
      </c>
      <c r="Z2896">
        <v>1.01</v>
      </c>
      <c r="AA2896">
        <v>121</v>
      </c>
      <c r="AB2896">
        <v>111</v>
      </c>
      <c r="AC2896">
        <v>2.12</v>
      </c>
      <c r="AD2896" t="s">
        <v>5145</v>
      </c>
      <c r="AE2896" t="s">
        <v>15113</v>
      </c>
      <c r="AF2896" t="s">
        <v>5145</v>
      </c>
      <c r="AG2896" t="s">
        <v>15113</v>
      </c>
      <c r="AH2896">
        <v>0.17</v>
      </c>
      <c r="AI2896">
        <v>-1.92</v>
      </c>
      <c r="AJ2896">
        <v>4.9</v>
      </c>
      <c r="AK2896">
        <v>15.4</v>
      </c>
      <c r="AL2896">
        <v>2</v>
      </c>
      <c r="AM2896">
        <v>0.12</v>
      </c>
      <c r="AN2896">
        <v>32.8</v>
      </c>
      <c r="AO2896">
        <v>3.58</v>
      </c>
      <c r="AP2896">
        <v>21.98</v>
      </c>
    </row>
    <row r="2897" spans="1:42">
      <c r="A2897">
        <v>2896</v>
      </c>
      <c r="B2897" t="str">
        <f>"002166"</f>
        <v>002166</v>
      </c>
      <c r="C2897" t="s">
        <v>15114</v>
      </c>
      <c r="D2897">
        <v>7.98</v>
      </c>
      <c r="E2897">
        <v>-0.99</v>
      </c>
      <c r="F2897">
        <v>-0.08</v>
      </c>
      <c r="G2897" t="s">
        <v>3207</v>
      </c>
      <c r="H2897">
        <v>1174</v>
      </c>
      <c r="I2897">
        <v>7.98</v>
      </c>
      <c r="J2897">
        <v>7.99</v>
      </c>
      <c r="K2897" t="s">
        <v>15115</v>
      </c>
      <c r="L2897">
        <v>1.39</v>
      </c>
      <c r="M2897" t="s">
        <v>46</v>
      </c>
      <c r="N2897" t="s">
        <v>5718</v>
      </c>
      <c r="O2897">
        <v>8.09</v>
      </c>
      <c r="P2897">
        <v>7.95</v>
      </c>
      <c r="Q2897">
        <v>8.04</v>
      </c>
      <c r="R2897">
        <v>8.06</v>
      </c>
      <c r="S2897">
        <v>1.74</v>
      </c>
      <c r="T2897">
        <v>0.55</v>
      </c>
      <c r="U2897">
        <v>32.32</v>
      </c>
      <c r="V2897">
        <v>1879</v>
      </c>
      <c r="W2897">
        <v>8.01</v>
      </c>
      <c r="X2897" t="s">
        <v>6645</v>
      </c>
      <c r="Y2897" t="s">
        <v>6431</v>
      </c>
      <c r="Z2897">
        <v>1.22</v>
      </c>
      <c r="AA2897">
        <v>214</v>
      </c>
      <c r="AB2897">
        <v>644</v>
      </c>
      <c r="AC2897">
        <v>1.93</v>
      </c>
      <c r="AD2897" t="s">
        <v>15116</v>
      </c>
      <c r="AE2897" t="s">
        <v>15117</v>
      </c>
      <c r="AF2897" t="s">
        <v>13621</v>
      </c>
      <c r="AG2897" t="s">
        <v>15118</v>
      </c>
      <c r="AH2897">
        <v>-2.33</v>
      </c>
      <c r="AI2897">
        <v>-0.75</v>
      </c>
      <c r="AJ2897">
        <v>4.34</v>
      </c>
      <c r="AK2897">
        <v>13.98</v>
      </c>
      <c r="AL2897">
        <v>-3</v>
      </c>
      <c r="AM2897">
        <v>-0.99</v>
      </c>
      <c r="AN2897">
        <v>-15.11</v>
      </c>
      <c r="AO2897">
        <v>7.11</v>
      </c>
      <c r="AP2897">
        <v>-26.25</v>
      </c>
    </row>
    <row r="2898" spans="1:42">
      <c r="A2898">
        <v>2897</v>
      </c>
      <c r="B2898" t="str">
        <f>"002515"</f>
        <v>002515</v>
      </c>
      <c r="C2898" t="s">
        <v>15119</v>
      </c>
      <c r="D2898">
        <v>5.65</v>
      </c>
      <c r="E2898">
        <v>-0.7</v>
      </c>
      <c r="F2898">
        <v>-0.04</v>
      </c>
      <c r="G2898" t="s">
        <v>110</v>
      </c>
      <c r="H2898">
        <v>336</v>
      </c>
      <c r="I2898">
        <v>5.65</v>
      </c>
      <c r="J2898">
        <v>5.66</v>
      </c>
      <c r="K2898" t="s">
        <v>15120</v>
      </c>
      <c r="L2898">
        <v>1.13</v>
      </c>
      <c r="M2898" t="s">
        <v>46</v>
      </c>
      <c r="N2898" t="s">
        <v>6070</v>
      </c>
      <c r="O2898">
        <v>5.72</v>
      </c>
      <c r="P2898">
        <v>5.62</v>
      </c>
      <c r="Q2898">
        <v>5.63</v>
      </c>
      <c r="R2898">
        <v>5.69</v>
      </c>
      <c r="S2898">
        <v>1.76</v>
      </c>
      <c r="T2898">
        <v>0.64</v>
      </c>
      <c r="U2898">
        <v>15.53</v>
      </c>
      <c r="V2898">
        <v>1849</v>
      </c>
      <c r="W2898">
        <v>5.66</v>
      </c>
      <c r="X2898" t="s">
        <v>3090</v>
      </c>
      <c r="Y2898" t="s">
        <v>10547</v>
      </c>
      <c r="Z2898">
        <v>1.44</v>
      </c>
      <c r="AA2898">
        <v>380</v>
      </c>
      <c r="AB2898">
        <v>682</v>
      </c>
      <c r="AC2898">
        <v>2.66</v>
      </c>
      <c r="AD2898" t="s">
        <v>13207</v>
      </c>
      <c r="AE2898" t="s">
        <v>15121</v>
      </c>
      <c r="AF2898" t="s">
        <v>15122</v>
      </c>
      <c r="AG2898" t="s">
        <v>235</v>
      </c>
      <c r="AH2898">
        <v>-1.4</v>
      </c>
      <c r="AI2898">
        <v>0.36</v>
      </c>
      <c r="AJ2898">
        <v>4.7</v>
      </c>
      <c r="AK2898">
        <v>10.01</v>
      </c>
      <c r="AL2898">
        <v>-3</v>
      </c>
      <c r="AM2898">
        <v>-0.7</v>
      </c>
      <c r="AN2898">
        <v>17.95</v>
      </c>
      <c r="AO2898">
        <v>9.71</v>
      </c>
      <c r="AP2898">
        <v>39.85</v>
      </c>
    </row>
    <row r="2899" spans="1:42">
      <c r="A2899">
        <v>2898</v>
      </c>
      <c r="B2899" t="str">
        <f>"603859"</f>
        <v>603859</v>
      </c>
      <c r="C2899" t="s">
        <v>15123</v>
      </c>
      <c r="D2899">
        <v>38.77</v>
      </c>
      <c r="E2899">
        <v>2.3</v>
      </c>
      <c r="F2899">
        <v>0.87</v>
      </c>
      <c r="G2899" t="s">
        <v>6595</v>
      </c>
      <c r="H2899">
        <v>223</v>
      </c>
      <c r="I2899">
        <v>38.77</v>
      </c>
      <c r="J2899">
        <v>38.78</v>
      </c>
      <c r="K2899" t="s">
        <v>15124</v>
      </c>
      <c r="L2899">
        <v>0.89</v>
      </c>
      <c r="M2899" t="s">
        <v>46</v>
      </c>
      <c r="N2899" t="s">
        <v>522</v>
      </c>
      <c r="O2899">
        <v>38.89</v>
      </c>
      <c r="P2899">
        <v>37.56</v>
      </c>
      <c r="Q2899">
        <v>37.72</v>
      </c>
      <c r="R2899">
        <v>37.9</v>
      </c>
      <c r="S2899">
        <v>3.51</v>
      </c>
      <c r="T2899">
        <v>0.64</v>
      </c>
      <c r="U2899">
        <v>16.62</v>
      </c>
      <c r="V2899">
        <v>59</v>
      </c>
      <c r="W2899">
        <v>38.33</v>
      </c>
      <c r="X2899">
        <v>6077</v>
      </c>
      <c r="Y2899">
        <v>8796</v>
      </c>
      <c r="Z2899">
        <v>0.69</v>
      </c>
      <c r="AA2899">
        <v>171</v>
      </c>
      <c r="AB2899">
        <v>25</v>
      </c>
      <c r="AC2899">
        <v>2.42</v>
      </c>
      <c r="AD2899" t="s">
        <v>15125</v>
      </c>
      <c r="AE2899" t="s">
        <v>2261</v>
      </c>
      <c r="AF2899" t="s">
        <v>15125</v>
      </c>
      <c r="AG2899" t="s">
        <v>2261</v>
      </c>
      <c r="AH2899">
        <v>0.39</v>
      </c>
      <c r="AI2899">
        <v>-3.53</v>
      </c>
      <c r="AJ2899">
        <v>2.66</v>
      </c>
      <c r="AK2899">
        <v>7.82</v>
      </c>
      <c r="AL2899">
        <v>1</v>
      </c>
      <c r="AM2899">
        <v>2.3</v>
      </c>
      <c r="AN2899">
        <v>48.37</v>
      </c>
      <c r="AO2899">
        <v>-2.22</v>
      </c>
      <c r="AP2899">
        <v>23.12</v>
      </c>
    </row>
    <row r="2900" spans="1:42">
      <c r="A2900">
        <v>2899</v>
      </c>
      <c r="B2900" t="str">
        <f>"601606"</f>
        <v>601606</v>
      </c>
      <c r="C2900" t="s">
        <v>15126</v>
      </c>
      <c r="D2900">
        <v>12.34</v>
      </c>
      <c r="E2900">
        <v>-0.16</v>
      </c>
      <c r="F2900">
        <v>-0.02</v>
      </c>
      <c r="G2900" t="s">
        <v>944</v>
      </c>
      <c r="H2900">
        <v>381</v>
      </c>
      <c r="I2900">
        <v>12.34</v>
      </c>
      <c r="J2900">
        <v>12.35</v>
      </c>
      <c r="K2900" t="s">
        <v>15127</v>
      </c>
      <c r="L2900">
        <v>0.64</v>
      </c>
      <c r="M2900" t="s">
        <v>46</v>
      </c>
      <c r="N2900" t="s">
        <v>1233</v>
      </c>
      <c r="O2900">
        <v>12.41</v>
      </c>
      <c r="P2900">
        <v>12.25</v>
      </c>
      <c r="Q2900">
        <v>12.39</v>
      </c>
      <c r="R2900">
        <v>12.36</v>
      </c>
      <c r="S2900">
        <v>1.29</v>
      </c>
      <c r="T2900">
        <v>0.82</v>
      </c>
      <c r="U2900">
        <v>26.95</v>
      </c>
      <c r="V2900">
        <v>860</v>
      </c>
      <c r="W2900">
        <v>12.32</v>
      </c>
      <c r="X2900" t="s">
        <v>3456</v>
      </c>
      <c r="Y2900" t="s">
        <v>10934</v>
      </c>
      <c r="Z2900">
        <v>1.4</v>
      </c>
      <c r="AA2900">
        <v>670</v>
      </c>
      <c r="AB2900">
        <v>96</v>
      </c>
      <c r="AC2900">
        <v>3.44</v>
      </c>
      <c r="AD2900" t="s">
        <v>15128</v>
      </c>
      <c r="AE2900" t="s">
        <v>15129</v>
      </c>
      <c r="AF2900" t="s">
        <v>15128</v>
      </c>
      <c r="AG2900" t="s">
        <v>15129</v>
      </c>
      <c r="AH2900">
        <v>-1.83</v>
      </c>
      <c r="AI2900">
        <v>-3.22</v>
      </c>
      <c r="AJ2900">
        <v>2.16</v>
      </c>
      <c r="AK2900">
        <v>4.52</v>
      </c>
      <c r="AL2900">
        <v>-3</v>
      </c>
      <c r="AM2900">
        <v>-0.16</v>
      </c>
      <c r="AN2900">
        <v>18.88</v>
      </c>
      <c r="AO2900">
        <v>0</v>
      </c>
      <c r="AP2900">
        <v>12.69</v>
      </c>
    </row>
    <row r="2901" spans="1:42">
      <c r="A2901">
        <v>2900</v>
      </c>
      <c r="B2901" t="str">
        <f>"002298"</f>
        <v>002298</v>
      </c>
      <c r="C2901" t="s">
        <v>15130</v>
      </c>
      <c r="D2901">
        <v>6.23</v>
      </c>
      <c r="E2901">
        <v>1.63</v>
      </c>
      <c r="F2901">
        <v>0.1</v>
      </c>
      <c r="G2901" t="s">
        <v>6175</v>
      </c>
      <c r="H2901">
        <v>475</v>
      </c>
      <c r="I2901">
        <v>6.23</v>
      </c>
      <c r="J2901">
        <v>6.24</v>
      </c>
      <c r="K2901" t="s">
        <v>15131</v>
      </c>
      <c r="L2901">
        <v>1.44</v>
      </c>
      <c r="M2901" t="s">
        <v>46</v>
      </c>
      <c r="N2901" t="s">
        <v>3590</v>
      </c>
      <c r="O2901">
        <v>6.24</v>
      </c>
      <c r="P2901">
        <v>6.09</v>
      </c>
      <c r="Q2901">
        <v>6.13</v>
      </c>
      <c r="R2901">
        <v>6.13</v>
      </c>
      <c r="S2901">
        <v>2.45</v>
      </c>
      <c r="T2901">
        <v>1.04</v>
      </c>
      <c r="U2901">
        <v>4.61</v>
      </c>
      <c r="V2901">
        <v>462</v>
      </c>
      <c r="W2901">
        <v>6.19</v>
      </c>
      <c r="X2901" t="s">
        <v>2684</v>
      </c>
      <c r="Y2901" t="s">
        <v>4888</v>
      </c>
      <c r="Z2901">
        <v>0.88</v>
      </c>
      <c r="AA2901">
        <v>113</v>
      </c>
      <c r="AB2901">
        <v>1622</v>
      </c>
      <c r="AC2901">
        <v>1.12</v>
      </c>
      <c r="AD2901" t="s">
        <v>15132</v>
      </c>
      <c r="AE2901" t="s">
        <v>4370</v>
      </c>
      <c r="AF2901" t="s">
        <v>15133</v>
      </c>
      <c r="AG2901" t="s">
        <v>15134</v>
      </c>
      <c r="AH2901">
        <v>0.32</v>
      </c>
      <c r="AI2901">
        <v>-0.8</v>
      </c>
      <c r="AJ2901">
        <v>3.98</v>
      </c>
      <c r="AK2901">
        <v>8.34</v>
      </c>
      <c r="AL2901">
        <v>1</v>
      </c>
      <c r="AM2901">
        <v>1.63</v>
      </c>
      <c r="AN2901">
        <v>0.65</v>
      </c>
      <c r="AO2901">
        <v>4.18</v>
      </c>
      <c r="AP2901">
        <v>-8.65</v>
      </c>
    </row>
    <row r="2902" spans="1:42">
      <c r="A2902">
        <v>2901</v>
      </c>
      <c r="B2902" t="str">
        <f>"600936"</f>
        <v>600936</v>
      </c>
      <c r="C2902" t="s">
        <v>15135</v>
      </c>
      <c r="D2902">
        <v>4.12</v>
      </c>
      <c r="E2902">
        <v>4.3</v>
      </c>
      <c r="F2902">
        <v>0.17</v>
      </c>
      <c r="G2902" t="s">
        <v>1296</v>
      </c>
      <c r="H2902">
        <v>2475</v>
      </c>
      <c r="I2902">
        <v>4.11</v>
      </c>
      <c r="J2902">
        <v>4.12</v>
      </c>
      <c r="K2902" t="s">
        <v>15136</v>
      </c>
      <c r="L2902">
        <v>0.84</v>
      </c>
      <c r="M2902" t="s">
        <v>46</v>
      </c>
      <c r="N2902" t="s">
        <v>3436</v>
      </c>
      <c r="O2902">
        <v>4.12</v>
      </c>
      <c r="P2902">
        <v>3.93</v>
      </c>
      <c r="Q2902">
        <v>3.93</v>
      </c>
      <c r="R2902">
        <v>3.95</v>
      </c>
      <c r="S2902">
        <v>4.81</v>
      </c>
      <c r="T2902">
        <v>1.23</v>
      </c>
      <c r="U2902">
        <v>-31.97</v>
      </c>
      <c r="V2902">
        <v>-5051</v>
      </c>
      <c r="W2902">
        <v>4.05</v>
      </c>
      <c r="X2902" t="s">
        <v>5055</v>
      </c>
      <c r="Y2902" t="s">
        <v>3463</v>
      </c>
      <c r="Z2902">
        <v>0.48</v>
      </c>
      <c r="AA2902">
        <v>1788</v>
      </c>
      <c r="AB2902">
        <v>902</v>
      </c>
      <c r="AC2902">
        <v>3.74</v>
      </c>
      <c r="AD2902" t="s">
        <v>1670</v>
      </c>
      <c r="AE2902" t="s">
        <v>15137</v>
      </c>
      <c r="AF2902" t="s">
        <v>1670</v>
      </c>
      <c r="AG2902" t="s">
        <v>15137</v>
      </c>
      <c r="AH2902">
        <v>2.49</v>
      </c>
      <c r="AI2902">
        <v>-0.24</v>
      </c>
      <c r="AJ2902">
        <v>1.82</v>
      </c>
      <c r="AK2902">
        <v>4.28</v>
      </c>
      <c r="AL2902">
        <v>1</v>
      </c>
      <c r="AM2902">
        <v>4.3</v>
      </c>
      <c r="AN2902">
        <v>13.81</v>
      </c>
      <c r="AO2902">
        <v>7.85</v>
      </c>
      <c r="AP2902">
        <v>17.38</v>
      </c>
    </row>
    <row r="2903" spans="1:42">
      <c r="A2903">
        <v>2902</v>
      </c>
      <c r="B2903" t="str">
        <f>"603776"</f>
        <v>603776</v>
      </c>
      <c r="C2903" t="s">
        <v>15138</v>
      </c>
      <c r="D2903">
        <v>15.01</v>
      </c>
      <c r="E2903">
        <v>-0.66</v>
      </c>
      <c r="F2903">
        <v>-0.1</v>
      </c>
      <c r="G2903" t="s">
        <v>1566</v>
      </c>
      <c r="H2903">
        <v>346</v>
      </c>
      <c r="I2903">
        <v>15.01</v>
      </c>
      <c r="J2903">
        <v>15.03</v>
      </c>
      <c r="K2903" t="s">
        <v>15139</v>
      </c>
      <c r="L2903">
        <v>1.64</v>
      </c>
      <c r="M2903" t="s">
        <v>46</v>
      </c>
      <c r="N2903" t="s">
        <v>3517</v>
      </c>
      <c r="O2903">
        <v>15.23</v>
      </c>
      <c r="P2903">
        <v>14.82</v>
      </c>
      <c r="Q2903">
        <v>15.11</v>
      </c>
      <c r="R2903">
        <v>15.11</v>
      </c>
      <c r="S2903">
        <v>2.71</v>
      </c>
      <c r="T2903">
        <v>0.52</v>
      </c>
      <c r="U2903">
        <v>-24.18</v>
      </c>
      <c r="V2903">
        <v>-263</v>
      </c>
      <c r="W2903">
        <v>14.95</v>
      </c>
      <c r="X2903" t="s">
        <v>153</v>
      </c>
      <c r="Y2903" t="s">
        <v>1110</v>
      </c>
      <c r="Z2903">
        <v>1.25</v>
      </c>
      <c r="AA2903">
        <v>133</v>
      </c>
      <c r="AB2903">
        <v>4</v>
      </c>
      <c r="AC2903">
        <v>1.12</v>
      </c>
      <c r="AD2903" t="s">
        <v>15140</v>
      </c>
      <c r="AE2903" t="s">
        <v>15141</v>
      </c>
      <c r="AF2903" t="s">
        <v>15140</v>
      </c>
      <c r="AG2903" t="s">
        <v>15141</v>
      </c>
      <c r="AH2903">
        <v>-4.39</v>
      </c>
      <c r="AI2903">
        <v>-3.04</v>
      </c>
      <c r="AJ2903">
        <v>6.38</v>
      </c>
      <c r="AK2903">
        <v>17.45</v>
      </c>
      <c r="AL2903">
        <v>-3</v>
      </c>
      <c r="AM2903">
        <v>-0.66</v>
      </c>
      <c r="AN2903">
        <v>20.56</v>
      </c>
      <c r="AO2903">
        <v>12.35</v>
      </c>
      <c r="AP2903">
        <v>4.53</v>
      </c>
    </row>
    <row r="2904" spans="1:42">
      <c r="A2904">
        <v>2903</v>
      </c>
      <c r="B2904" t="str">
        <f>"001318"</f>
        <v>001318</v>
      </c>
      <c r="C2904" t="s">
        <v>15142</v>
      </c>
      <c r="D2904">
        <v>13.64</v>
      </c>
      <c r="E2904">
        <v>0.74</v>
      </c>
      <c r="F2904">
        <v>0.1</v>
      </c>
      <c r="G2904" t="s">
        <v>5767</v>
      </c>
      <c r="H2904">
        <v>191</v>
      </c>
      <c r="I2904">
        <v>13.64</v>
      </c>
      <c r="J2904">
        <v>13.65</v>
      </c>
      <c r="K2904" t="s">
        <v>15139</v>
      </c>
      <c r="L2904">
        <v>5.39</v>
      </c>
      <c r="M2904" t="s">
        <v>46</v>
      </c>
      <c r="N2904" t="s">
        <v>3396</v>
      </c>
      <c r="O2904">
        <v>13.86</v>
      </c>
      <c r="P2904">
        <v>13.44</v>
      </c>
      <c r="Q2904">
        <v>13.54</v>
      </c>
      <c r="R2904">
        <v>13.54</v>
      </c>
      <c r="S2904">
        <v>3.1</v>
      </c>
      <c r="T2904">
        <v>2.41</v>
      </c>
      <c r="U2904">
        <v>67.32</v>
      </c>
      <c r="V2904">
        <v>614</v>
      </c>
      <c r="W2904">
        <v>13.69</v>
      </c>
      <c r="X2904" t="s">
        <v>4976</v>
      </c>
      <c r="Y2904" t="s">
        <v>2716</v>
      </c>
      <c r="Z2904">
        <v>0.94</v>
      </c>
      <c r="AA2904">
        <v>11</v>
      </c>
      <c r="AB2904">
        <v>8</v>
      </c>
      <c r="AC2904">
        <v>2.93</v>
      </c>
      <c r="AD2904" t="s">
        <v>15143</v>
      </c>
      <c r="AE2904" t="s">
        <v>8935</v>
      </c>
      <c r="AF2904" t="s">
        <v>15144</v>
      </c>
      <c r="AG2904" t="s">
        <v>8897</v>
      </c>
      <c r="AH2904">
        <v>1.26</v>
      </c>
      <c r="AI2904">
        <v>1.94</v>
      </c>
      <c r="AJ2904">
        <v>10.62</v>
      </c>
      <c r="AK2904">
        <v>16.56</v>
      </c>
      <c r="AL2904">
        <v>4</v>
      </c>
      <c r="AM2904">
        <v>0.74</v>
      </c>
      <c r="AN2904">
        <v>-28.4</v>
      </c>
      <c r="AO2904">
        <v>2.71</v>
      </c>
      <c r="AP2904">
        <v>-1.66</v>
      </c>
    </row>
    <row r="2905" spans="1:42">
      <c r="A2905">
        <v>2904</v>
      </c>
      <c r="B2905" t="str">
        <f>"688190"</f>
        <v>688190</v>
      </c>
      <c r="C2905" t="s">
        <v>15145</v>
      </c>
      <c r="D2905">
        <v>69.22</v>
      </c>
      <c r="E2905">
        <v>0.13</v>
      </c>
      <c r="F2905">
        <v>0.09</v>
      </c>
      <c r="G2905">
        <v>8274</v>
      </c>
      <c r="H2905">
        <v>11</v>
      </c>
      <c r="I2905">
        <v>69.22</v>
      </c>
      <c r="J2905">
        <v>69.31</v>
      </c>
      <c r="K2905" t="s">
        <v>15146</v>
      </c>
      <c r="L2905">
        <v>1.47</v>
      </c>
      <c r="M2905" t="s">
        <v>46</v>
      </c>
      <c r="N2905" t="s">
        <v>1638</v>
      </c>
      <c r="O2905">
        <v>69.96</v>
      </c>
      <c r="P2905">
        <v>67.12</v>
      </c>
      <c r="Q2905">
        <v>68.58</v>
      </c>
      <c r="R2905">
        <v>69.13</v>
      </c>
      <c r="S2905">
        <v>4.11</v>
      </c>
      <c r="T2905">
        <v>1.41</v>
      </c>
      <c r="U2905">
        <v>-71.59</v>
      </c>
      <c r="V2905">
        <v>-161</v>
      </c>
      <c r="W2905">
        <v>68.67</v>
      </c>
      <c r="X2905">
        <v>4628</v>
      </c>
      <c r="Y2905">
        <v>3646</v>
      </c>
      <c r="Z2905">
        <v>1.27</v>
      </c>
      <c r="AA2905">
        <v>0</v>
      </c>
      <c r="AB2905">
        <v>7</v>
      </c>
      <c r="AC2905">
        <v>3.8</v>
      </c>
      <c r="AD2905" t="s">
        <v>5210</v>
      </c>
      <c r="AE2905" t="s">
        <v>15147</v>
      </c>
      <c r="AF2905" t="s">
        <v>15148</v>
      </c>
      <c r="AG2905" t="s">
        <v>8456</v>
      </c>
      <c r="AH2905">
        <v>-3.07</v>
      </c>
      <c r="AI2905">
        <v>-2.13</v>
      </c>
      <c r="AJ2905">
        <v>3.58</v>
      </c>
      <c r="AK2905">
        <v>6.67</v>
      </c>
      <c r="AL2905">
        <v>1</v>
      </c>
      <c r="AM2905">
        <v>0.13</v>
      </c>
      <c r="AN2905">
        <v>-20.72</v>
      </c>
      <c r="AO2905">
        <v>3.55</v>
      </c>
      <c r="AP2905">
        <v>-22.45</v>
      </c>
    </row>
    <row r="2906" spans="1:42">
      <c r="A2906">
        <v>2905</v>
      </c>
      <c r="B2906" t="str">
        <f>"600693"</f>
        <v>600693</v>
      </c>
      <c r="C2906" t="s">
        <v>15149</v>
      </c>
      <c r="D2906">
        <v>4.28</v>
      </c>
      <c r="E2906">
        <v>-0.23</v>
      </c>
      <c r="F2906">
        <v>-0.01</v>
      </c>
      <c r="G2906" t="s">
        <v>263</v>
      </c>
      <c r="H2906">
        <v>1025</v>
      </c>
      <c r="I2906">
        <v>4.27</v>
      </c>
      <c r="J2906">
        <v>4.28</v>
      </c>
      <c r="K2906" t="s">
        <v>15150</v>
      </c>
      <c r="L2906">
        <v>1.52</v>
      </c>
      <c r="M2906" t="s">
        <v>46</v>
      </c>
      <c r="N2906" t="s">
        <v>4927</v>
      </c>
      <c r="O2906">
        <v>4.35</v>
      </c>
      <c r="P2906">
        <v>4.25</v>
      </c>
      <c r="Q2906">
        <v>4.3</v>
      </c>
      <c r="R2906">
        <v>4.29</v>
      </c>
      <c r="S2906">
        <v>2.33</v>
      </c>
      <c r="T2906">
        <v>1.17</v>
      </c>
      <c r="U2906">
        <v>-18.21</v>
      </c>
      <c r="V2906">
        <v>-2297</v>
      </c>
      <c r="W2906">
        <v>4.3</v>
      </c>
      <c r="X2906" t="s">
        <v>5918</v>
      </c>
      <c r="Y2906" t="s">
        <v>7743</v>
      </c>
      <c r="Z2906">
        <v>1.02</v>
      </c>
      <c r="AA2906">
        <v>195</v>
      </c>
      <c r="AB2906">
        <v>920</v>
      </c>
      <c r="AC2906">
        <v>1.06</v>
      </c>
      <c r="AD2906" t="s">
        <v>15151</v>
      </c>
      <c r="AE2906" t="s">
        <v>2431</v>
      </c>
      <c r="AF2906" t="s">
        <v>15152</v>
      </c>
      <c r="AG2906" t="s">
        <v>15153</v>
      </c>
      <c r="AH2906">
        <v>1.9</v>
      </c>
      <c r="AI2906">
        <v>2.15</v>
      </c>
      <c r="AJ2906">
        <v>3.77</v>
      </c>
      <c r="AK2906">
        <v>7.99</v>
      </c>
      <c r="AL2906">
        <v>-1</v>
      </c>
      <c r="AM2906">
        <v>-0.23</v>
      </c>
      <c r="AN2906">
        <v>-11.57</v>
      </c>
      <c r="AO2906">
        <v>10.31</v>
      </c>
      <c r="AP2906">
        <v>10.88</v>
      </c>
    </row>
    <row r="2907" spans="1:42">
      <c r="A2907">
        <v>2906</v>
      </c>
      <c r="B2907" t="str">
        <f>"002172"</f>
        <v>002172</v>
      </c>
      <c r="C2907" t="s">
        <v>15154</v>
      </c>
      <c r="D2907">
        <v>4.12</v>
      </c>
      <c r="E2907">
        <v>0.98</v>
      </c>
      <c r="F2907">
        <v>0.04</v>
      </c>
      <c r="G2907" t="s">
        <v>2753</v>
      </c>
      <c r="H2907">
        <v>402</v>
      </c>
      <c r="I2907">
        <v>4.11</v>
      </c>
      <c r="J2907">
        <v>4.12</v>
      </c>
      <c r="K2907" t="s">
        <v>15155</v>
      </c>
      <c r="L2907">
        <v>1.8</v>
      </c>
      <c r="M2907" t="s">
        <v>46</v>
      </c>
      <c r="N2907" t="s">
        <v>5941</v>
      </c>
      <c r="O2907">
        <v>4.17</v>
      </c>
      <c r="P2907">
        <v>4.08</v>
      </c>
      <c r="Q2907">
        <v>4.08</v>
      </c>
      <c r="R2907">
        <v>4.08</v>
      </c>
      <c r="S2907">
        <v>2.21</v>
      </c>
      <c r="T2907">
        <v>0.91</v>
      </c>
      <c r="U2907">
        <v>-43.52</v>
      </c>
      <c r="V2907">
        <v>-7764</v>
      </c>
      <c r="W2907">
        <v>4.13</v>
      </c>
      <c r="X2907" t="s">
        <v>10064</v>
      </c>
      <c r="Y2907" t="s">
        <v>4855</v>
      </c>
      <c r="Z2907">
        <v>0.86</v>
      </c>
      <c r="AA2907">
        <v>630</v>
      </c>
      <c r="AB2907">
        <v>1246</v>
      </c>
      <c r="AC2907">
        <v>37.59</v>
      </c>
      <c r="AD2907" t="s">
        <v>15156</v>
      </c>
      <c r="AE2907" t="s">
        <v>15157</v>
      </c>
      <c r="AF2907" t="s">
        <v>15158</v>
      </c>
      <c r="AG2907" t="s">
        <v>7878</v>
      </c>
      <c r="AH2907">
        <v>1.23</v>
      </c>
      <c r="AI2907">
        <v>0.24</v>
      </c>
      <c r="AJ2907">
        <v>5.25</v>
      </c>
      <c r="AK2907">
        <v>11.68</v>
      </c>
      <c r="AL2907">
        <v>2</v>
      </c>
      <c r="AM2907">
        <v>0.98</v>
      </c>
      <c r="AN2907">
        <v>-0.24</v>
      </c>
      <c r="AO2907">
        <v>6.74</v>
      </c>
      <c r="AP2907">
        <v>8.14</v>
      </c>
    </row>
    <row r="2908" spans="1:42">
      <c r="A2908">
        <v>2907</v>
      </c>
      <c r="B2908" t="str">
        <f>"301419"</f>
        <v>301419</v>
      </c>
      <c r="C2908" t="s">
        <v>15159</v>
      </c>
      <c r="D2908">
        <v>39.68</v>
      </c>
      <c r="E2908">
        <v>1.74</v>
      </c>
      <c r="F2908">
        <v>0.68</v>
      </c>
      <c r="G2908" t="s">
        <v>6867</v>
      </c>
      <c r="H2908">
        <v>122</v>
      </c>
      <c r="I2908">
        <v>39.67</v>
      </c>
      <c r="J2908">
        <v>39.68</v>
      </c>
      <c r="K2908" t="s">
        <v>15160</v>
      </c>
      <c r="L2908">
        <v>5.76</v>
      </c>
      <c r="M2908" t="s">
        <v>46</v>
      </c>
      <c r="N2908" t="s">
        <v>3583</v>
      </c>
      <c r="O2908">
        <v>39.85</v>
      </c>
      <c r="P2908">
        <v>38.68</v>
      </c>
      <c r="Q2908">
        <v>39</v>
      </c>
      <c r="R2908">
        <v>39</v>
      </c>
      <c r="S2908">
        <v>3</v>
      </c>
      <c r="T2908">
        <v>0.94</v>
      </c>
      <c r="U2908">
        <v>-78.85</v>
      </c>
      <c r="V2908">
        <v>-313</v>
      </c>
      <c r="W2908">
        <v>39.37</v>
      </c>
      <c r="X2908">
        <v>6769</v>
      </c>
      <c r="Y2908">
        <v>7642</v>
      </c>
      <c r="Z2908">
        <v>0.89</v>
      </c>
      <c r="AA2908">
        <v>7</v>
      </c>
      <c r="AB2908">
        <v>53</v>
      </c>
      <c r="AC2908">
        <v>4.16</v>
      </c>
      <c r="AD2908" t="s">
        <v>5976</v>
      </c>
      <c r="AE2908" t="s">
        <v>15161</v>
      </c>
      <c r="AF2908" t="s">
        <v>15162</v>
      </c>
      <c r="AG2908" t="s">
        <v>9667</v>
      </c>
      <c r="AH2908">
        <v>-0.92</v>
      </c>
      <c r="AI2908">
        <v>-2.67</v>
      </c>
      <c r="AJ2908">
        <v>17.56</v>
      </c>
      <c r="AK2908">
        <v>36.59</v>
      </c>
      <c r="AL2908">
        <v>1</v>
      </c>
      <c r="AM2908">
        <v>1.74</v>
      </c>
      <c r="AN2908">
        <v>63.29</v>
      </c>
      <c r="AO2908">
        <v>0.28</v>
      </c>
      <c r="AP2908">
        <v>63.29</v>
      </c>
    </row>
    <row r="2909" spans="1:42">
      <c r="A2909">
        <v>2908</v>
      </c>
      <c r="B2909" t="str">
        <f>"600350"</f>
        <v>600350</v>
      </c>
      <c r="C2909" t="s">
        <v>15163</v>
      </c>
      <c r="D2909">
        <v>6.76</v>
      </c>
      <c r="E2909">
        <v>-0.15</v>
      </c>
      <c r="F2909">
        <v>-0.01</v>
      </c>
      <c r="G2909" t="s">
        <v>6586</v>
      </c>
      <c r="H2909">
        <v>599</v>
      </c>
      <c r="I2909">
        <v>6.75</v>
      </c>
      <c r="J2909">
        <v>6.76</v>
      </c>
      <c r="K2909" t="s">
        <v>15164</v>
      </c>
      <c r="L2909">
        <v>0.17</v>
      </c>
      <c r="M2909" t="s">
        <v>46</v>
      </c>
      <c r="N2909" t="s">
        <v>8179</v>
      </c>
      <c r="O2909">
        <v>6.85</v>
      </c>
      <c r="P2909">
        <v>6.74</v>
      </c>
      <c r="Q2909">
        <v>6.77</v>
      </c>
      <c r="R2909">
        <v>6.77</v>
      </c>
      <c r="S2909">
        <v>1.62</v>
      </c>
      <c r="T2909">
        <v>1.25</v>
      </c>
      <c r="U2909">
        <v>31.54</v>
      </c>
      <c r="V2909">
        <v>987</v>
      </c>
      <c r="W2909">
        <v>6.79</v>
      </c>
      <c r="X2909" t="s">
        <v>4053</v>
      </c>
      <c r="Y2909" t="s">
        <v>4148</v>
      </c>
      <c r="Z2909">
        <v>1.34</v>
      </c>
      <c r="AA2909">
        <v>812</v>
      </c>
      <c r="AB2909">
        <v>57</v>
      </c>
      <c r="AC2909">
        <v>1.11</v>
      </c>
      <c r="AD2909" t="s">
        <v>15165</v>
      </c>
      <c r="AE2909" t="s">
        <v>15166</v>
      </c>
      <c r="AF2909" t="s">
        <v>15165</v>
      </c>
      <c r="AG2909" t="s">
        <v>15166</v>
      </c>
      <c r="AH2909">
        <v>0.75</v>
      </c>
      <c r="AI2909">
        <v>0.75</v>
      </c>
      <c r="AJ2909">
        <v>0.42</v>
      </c>
      <c r="AK2909">
        <v>0.86</v>
      </c>
      <c r="AL2909">
        <v>-1</v>
      </c>
      <c r="AM2909">
        <v>-0.15</v>
      </c>
      <c r="AN2909">
        <v>27.79</v>
      </c>
      <c r="AO2909">
        <v>2.89</v>
      </c>
      <c r="AP2909">
        <v>30</v>
      </c>
    </row>
    <row r="2910" spans="1:42">
      <c r="A2910">
        <v>2909</v>
      </c>
      <c r="B2910" t="str">
        <f>"000520"</f>
        <v>000520</v>
      </c>
      <c r="C2910" t="s">
        <v>15167</v>
      </c>
      <c r="D2910">
        <v>3.05</v>
      </c>
      <c r="E2910">
        <v>0.66</v>
      </c>
      <c r="F2910">
        <v>0.02</v>
      </c>
      <c r="G2910" t="s">
        <v>4161</v>
      </c>
      <c r="H2910">
        <v>2425</v>
      </c>
      <c r="I2910">
        <v>3.05</v>
      </c>
      <c r="J2910">
        <v>3.06</v>
      </c>
      <c r="K2910" t="s">
        <v>15168</v>
      </c>
      <c r="L2910">
        <v>1.83</v>
      </c>
      <c r="M2910" t="s">
        <v>46</v>
      </c>
      <c r="N2910" t="s">
        <v>6760</v>
      </c>
      <c r="O2910">
        <v>3.09</v>
      </c>
      <c r="P2910">
        <v>3.02</v>
      </c>
      <c r="Q2910">
        <v>3.03</v>
      </c>
      <c r="R2910">
        <v>3.03</v>
      </c>
      <c r="S2910">
        <v>2.31</v>
      </c>
      <c r="T2910">
        <v>1.67</v>
      </c>
      <c r="U2910">
        <v>-21.9</v>
      </c>
      <c r="V2910" t="s">
        <v>8591</v>
      </c>
      <c r="W2910">
        <v>3.05</v>
      </c>
      <c r="X2910" t="s">
        <v>5844</v>
      </c>
      <c r="Y2910" t="s">
        <v>4356</v>
      </c>
      <c r="Z2910">
        <v>0.62</v>
      </c>
      <c r="AA2910">
        <v>1709</v>
      </c>
      <c r="AB2910">
        <v>2096</v>
      </c>
      <c r="AC2910">
        <v>5.75</v>
      </c>
      <c r="AD2910" t="s">
        <v>1108</v>
      </c>
      <c r="AE2910" t="s">
        <v>15169</v>
      </c>
      <c r="AF2910" t="s">
        <v>1108</v>
      </c>
      <c r="AG2910" t="s">
        <v>15169</v>
      </c>
      <c r="AH2910">
        <v>0.66</v>
      </c>
      <c r="AI2910">
        <v>0.33</v>
      </c>
      <c r="AJ2910">
        <v>4</v>
      </c>
      <c r="AK2910">
        <v>7.33</v>
      </c>
      <c r="AL2910">
        <v>2</v>
      </c>
      <c r="AM2910">
        <v>0.66</v>
      </c>
      <c r="AN2910">
        <v>-6.44</v>
      </c>
      <c r="AO2910">
        <v>4.45</v>
      </c>
      <c r="AP2910">
        <v>-8.96</v>
      </c>
    </row>
    <row r="2911" spans="1:42">
      <c r="A2911">
        <v>2910</v>
      </c>
      <c r="B2911" t="str">
        <f>"300796"</f>
        <v>300796</v>
      </c>
      <c r="C2911" t="s">
        <v>15170</v>
      </c>
      <c r="D2911">
        <v>15.84</v>
      </c>
      <c r="E2911">
        <v>3.06</v>
      </c>
      <c r="F2911">
        <v>0.47</v>
      </c>
      <c r="G2911" t="s">
        <v>5323</v>
      </c>
      <c r="H2911">
        <v>94</v>
      </c>
      <c r="I2911">
        <v>15.84</v>
      </c>
      <c r="J2911">
        <v>15.85</v>
      </c>
      <c r="K2911" t="s">
        <v>15171</v>
      </c>
      <c r="L2911">
        <v>1</v>
      </c>
      <c r="M2911" t="s">
        <v>46</v>
      </c>
      <c r="N2911" t="s">
        <v>3067</v>
      </c>
      <c r="O2911">
        <v>15.89</v>
      </c>
      <c r="P2911">
        <v>15.35</v>
      </c>
      <c r="Q2911">
        <v>15.6</v>
      </c>
      <c r="R2911">
        <v>15.37</v>
      </c>
      <c r="S2911">
        <v>3.51</v>
      </c>
      <c r="T2911">
        <v>1.32</v>
      </c>
      <c r="U2911">
        <v>-82.3</v>
      </c>
      <c r="V2911">
        <v>-865</v>
      </c>
      <c r="W2911">
        <v>15.66</v>
      </c>
      <c r="X2911" t="s">
        <v>1170</v>
      </c>
      <c r="Y2911" t="s">
        <v>6266</v>
      </c>
      <c r="Z2911">
        <v>0.57</v>
      </c>
      <c r="AA2911">
        <v>6</v>
      </c>
      <c r="AB2911">
        <v>101</v>
      </c>
      <c r="AC2911">
        <v>3.44</v>
      </c>
      <c r="AD2911" t="s">
        <v>15172</v>
      </c>
      <c r="AE2911" t="s">
        <v>15173</v>
      </c>
      <c r="AF2911" t="s">
        <v>15172</v>
      </c>
      <c r="AG2911" t="s">
        <v>15173</v>
      </c>
      <c r="AH2911">
        <v>1.41</v>
      </c>
      <c r="AI2911">
        <v>0.76</v>
      </c>
      <c r="AJ2911">
        <v>2.25</v>
      </c>
      <c r="AK2911">
        <v>4.78</v>
      </c>
      <c r="AL2911">
        <v>1</v>
      </c>
      <c r="AM2911">
        <v>3.06</v>
      </c>
      <c r="AN2911">
        <v>41.94</v>
      </c>
      <c r="AO2911">
        <v>9.39</v>
      </c>
      <c r="AP2911">
        <v>36.67</v>
      </c>
    </row>
    <row r="2912" spans="1:42">
      <c r="A2912">
        <v>2911</v>
      </c>
      <c r="B2912" t="str">
        <f>"600807"</f>
        <v>600807</v>
      </c>
      <c r="C2912" t="s">
        <v>15174</v>
      </c>
      <c r="D2912">
        <v>3.45</v>
      </c>
      <c r="E2912">
        <v>5.5</v>
      </c>
      <c r="F2912">
        <v>0.18</v>
      </c>
      <c r="G2912" t="s">
        <v>2778</v>
      </c>
      <c r="H2912">
        <v>1840</v>
      </c>
      <c r="I2912">
        <v>3.44</v>
      </c>
      <c r="J2912">
        <v>3.45</v>
      </c>
      <c r="K2912" t="s">
        <v>15175</v>
      </c>
      <c r="L2912">
        <v>2.11</v>
      </c>
      <c r="M2912" t="s">
        <v>46</v>
      </c>
      <c r="N2912" t="s">
        <v>2739</v>
      </c>
      <c r="O2912">
        <v>3.52</v>
      </c>
      <c r="P2912">
        <v>3.25</v>
      </c>
      <c r="Q2912">
        <v>3.27</v>
      </c>
      <c r="R2912">
        <v>3.27</v>
      </c>
      <c r="S2912">
        <v>8.26</v>
      </c>
      <c r="T2912">
        <v>1.77</v>
      </c>
      <c r="U2912">
        <v>19.63</v>
      </c>
      <c r="V2912">
        <v>1545</v>
      </c>
      <c r="W2912">
        <v>3.4</v>
      </c>
      <c r="X2912" t="s">
        <v>3091</v>
      </c>
      <c r="Y2912" t="s">
        <v>15176</v>
      </c>
      <c r="Z2912">
        <v>0.78</v>
      </c>
      <c r="AA2912">
        <v>1610</v>
      </c>
      <c r="AB2912">
        <v>668</v>
      </c>
      <c r="AC2912">
        <v>10.93</v>
      </c>
      <c r="AD2912" t="s">
        <v>15177</v>
      </c>
      <c r="AE2912" t="s">
        <v>5091</v>
      </c>
      <c r="AF2912" t="s">
        <v>15178</v>
      </c>
      <c r="AG2912" t="s">
        <v>8586</v>
      </c>
      <c r="AH2912">
        <v>3.6</v>
      </c>
      <c r="AI2912">
        <v>-0.29</v>
      </c>
      <c r="AJ2912">
        <v>5.15</v>
      </c>
      <c r="AK2912">
        <v>8.1</v>
      </c>
      <c r="AL2912">
        <v>1</v>
      </c>
      <c r="AM2912">
        <v>5.5</v>
      </c>
      <c r="AN2912">
        <v>1.47</v>
      </c>
      <c r="AO2912">
        <v>12.38</v>
      </c>
      <c r="AP2912">
        <v>-3.9</v>
      </c>
    </row>
    <row r="2913" spans="1:42">
      <c r="A2913">
        <v>2912</v>
      </c>
      <c r="B2913" t="str">
        <f>"002233"</f>
        <v>002233</v>
      </c>
      <c r="C2913" t="s">
        <v>15179</v>
      </c>
      <c r="D2913">
        <v>7.27</v>
      </c>
      <c r="E2913">
        <v>0.97</v>
      </c>
      <c r="F2913">
        <v>0.07</v>
      </c>
      <c r="G2913" t="s">
        <v>7395</v>
      </c>
      <c r="H2913">
        <v>805</v>
      </c>
      <c r="I2913">
        <v>7.26</v>
      </c>
      <c r="J2913">
        <v>7.27</v>
      </c>
      <c r="K2913" t="s">
        <v>15180</v>
      </c>
      <c r="L2913">
        <v>0.65</v>
      </c>
      <c r="M2913" t="s">
        <v>46</v>
      </c>
      <c r="N2913" t="s">
        <v>8261</v>
      </c>
      <c r="O2913">
        <v>7.28</v>
      </c>
      <c r="P2913">
        <v>7.18</v>
      </c>
      <c r="Q2913">
        <v>7.21</v>
      </c>
      <c r="R2913">
        <v>7.2</v>
      </c>
      <c r="S2913">
        <v>1.39</v>
      </c>
      <c r="T2913">
        <v>0.92</v>
      </c>
      <c r="U2913">
        <v>-27.56</v>
      </c>
      <c r="V2913">
        <v>-3352</v>
      </c>
      <c r="W2913">
        <v>7.24</v>
      </c>
      <c r="X2913" t="s">
        <v>7338</v>
      </c>
      <c r="Y2913" t="s">
        <v>843</v>
      </c>
      <c r="Z2913">
        <v>0.74</v>
      </c>
      <c r="AA2913">
        <v>1034</v>
      </c>
      <c r="AB2913">
        <v>169</v>
      </c>
      <c r="AC2913">
        <v>0.73</v>
      </c>
      <c r="AD2913" t="s">
        <v>7275</v>
      </c>
      <c r="AE2913" t="s">
        <v>15181</v>
      </c>
      <c r="AF2913" t="s">
        <v>15096</v>
      </c>
      <c r="AG2913" t="s">
        <v>15182</v>
      </c>
      <c r="AH2913">
        <v>-0.55</v>
      </c>
      <c r="AI2913">
        <v>-0.95</v>
      </c>
      <c r="AJ2913">
        <v>2.34</v>
      </c>
      <c r="AK2913">
        <v>4.23</v>
      </c>
      <c r="AL2913">
        <v>1</v>
      </c>
      <c r="AM2913">
        <v>0.97</v>
      </c>
      <c r="AN2913">
        <v>4.15</v>
      </c>
      <c r="AO2913">
        <v>-2.68</v>
      </c>
      <c r="AP2913">
        <v>-1.22</v>
      </c>
    </row>
    <row r="2914" spans="1:42">
      <c r="A2914">
        <v>2913</v>
      </c>
      <c r="B2914" t="str">
        <f>"300566"</f>
        <v>300566</v>
      </c>
      <c r="C2914" t="s">
        <v>15183</v>
      </c>
      <c r="D2914">
        <v>17.47</v>
      </c>
      <c r="E2914">
        <v>0.4</v>
      </c>
      <c r="F2914">
        <v>0.07</v>
      </c>
      <c r="G2914" t="s">
        <v>4761</v>
      </c>
      <c r="H2914">
        <v>221</v>
      </c>
      <c r="I2914">
        <v>17.46</v>
      </c>
      <c r="J2914">
        <v>17.47</v>
      </c>
      <c r="K2914" t="s">
        <v>15184</v>
      </c>
      <c r="L2914">
        <v>1.42</v>
      </c>
      <c r="M2914" t="s">
        <v>46</v>
      </c>
      <c r="N2914" t="s">
        <v>2751</v>
      </c>
      <c r="O2914">
        <v>17.58</v>
      </c>
      <c r="P2914">
        <v>17.2</v>
      </c>
      <c r="Q2914">
        <v>17.41</v>
      </c>
      <c r="R2914">
        <v>17.4</v>
      </c>
      <c r="S2914">
        <v>2.18</v>
      </c>
      <c r="T2914">
        <v>0.77</v>
      </c>
      <c r="U2914">
        <v>14.65</v>
      </c>
      <c r="V2914">
        <v>150</v>
      </c>
      <c r="W2914">
        <v>17.4</v>
      </c>
      <c r="X2914" t="s">
        <v>1110</v>
      </c>
      <c r="Y2914" t="s">
        <v>8212</v>
      </c>
      <c r="Z2914">
        <v>1.09</v>
      </c>
      <c r="AA2914">
        <v>357</v>
      </c>
      <c r="AB2914">
        <v>104</v>
      </c>
      <c r="AC2914">
        <v>2.68</v>
      </c>
      <c r="AD2914" t="s">
        <v>15185</v>
      </c>
      <c r="AE2914" t="s">
        <v>15186</v>
      </c>
      <c r="AF2914" t="s">
        <v>15187</v>
      </c>
      <c r="AG2914" t="s">
        <v>11958</v>
      </c>
      <c r="AH2914">
        <v>-2.24</v>
      </c>
      <c r="AI2914">
        <v>-2.4</v>
      </c>
      <c r="AJ2914">
        <v>5.03</v>
      </c>
      <c r="AK2914">
        <v>10.72</v>
      </c>
      <c r="AL2914">
        <v>1</v>
      </c>
      <c r="AM2914">
        <v>0.4</v>
      </c>
      <c r="AN2914">
        <v>-34.45</v>
      </c>
      <c r="AO2914">
        <v>0.75</v>
      </c>
      <c r="AP2914">
        <v>-34.2</v>
      </c>
    </row>
    <row r="2915" spans="1:42">
      <c r="A2915">
        <v>2914</v>
      </c>
      <c r="B2915" t="str">
        <f>"002799"</f>
        <v>002799</v>
      </c>
      <c r="C2915" t="s">
        <v>15188</v>
      </c>
      <c r="D2915">
        <v>11.08</v>
      </c>
      <c r="E2915">
        <v>1.65</v>
      </c>
      <c r="F2915">
        <v>0.18</v>
      </c>
      <c r="G2915" t="s">
        <v>9332</v>
      </c>
      <c r="H2915">
        <v>616</v>
      </c>
      <c r="I2915">
        <v>11.07</v>
      </c>
      <c r="J2915">
        <v>11.08</v>
      </c>
      <c r="K2915" t="s">
        <v>15189</v>
      </c>
      <c r="L2915">
        <v>1.6</v>
      </c>
      <c r="M2915" t="s">
        <v>46</v>
      </c>
      <c r="N2915" t="s">
        <v>2586</v>
      </c>
      <c r="O2915">
        <v>11.11</v>
      </c>
      <c r="P2915">
        <v>10.82</v>
      </c>
      <c r="Q2915">
        <v>10.82</v>
      </c>
      <c r="R2915">
        <v>10.9</v>
      </c>
      <c r="S2915">
        <v>2.66</v>
      </c>
      <c r="T2915">
        <v>0.97</v>
      </c>
      <c r="U2915">
        <v>12.79</v>
      </c>
      <c r="V2915">
        <v>389</v>
      </c>
      <c r="W2915">
        <v>11.04</v>
      </c>
      <c r="X2915" t="s">
        <v>377</v>
      </c>
      <c r="Y2915" t="s">
        <v>1080</v>
      </c>
      <c r="Z2915">
        <v>0.75</v>
      </c>
      <c r="AA2915">
        <v>341</v>
      </c>
      <c r="AB2915">
        <v>100</v>
      </c>
      <c r="AC2915">
        <v>2.18</v>
      </c>
      <c r="AD2915" t="s">
        <v>10577</v>
      </c>
      <c r="AE2915" t="s">
        <v>15190</v>
      </c>
      <c r="AF2915" t="s">
        <v>10577</v>
      </c>
      <c r="AG2915" t="s">
        <v>15190</v>
      </c>
      <c r="AH2915">
        <v>1</v>
      </c>
      <c r="AI2915">
        <v>-2.46</v>
      </c>
      <c r="AJ2915">
        <v>4.98</v>
      </c>
      <c r="AK2915">
        <v>9.82</v>
      </c>
      <c r="AL2915">
        <v>1</v>
      </c>
      <c r="AM2915">
        <v>1.65</v>
      </c>
      <c r="AN2915">
        <v>-23.64</v>
      </c>
      <c r="AO2915">
        <v>5.22</v>
      </c>
      <c r="AP2915">
        <v>-16.94</v>
      </c>
    </row>
    <row r="2916" spans="1:42">
      <c r="A2916">
        <v>2915</v>
      </c>
      <c r="B2916" t="str">
        <f>"601139"</f>
        <v>601139</v>
      </c>
      <c r="C2916" t="s">
        <v>15191</v>
      </c>
      <c r="D2916">
        <v>6.76</v>
      </c>
      <c r="E2916">
        <v>0</v>
      </c>
      <c r="F2916">
        <v>0</v>
      </c>
      <c r="G2916" t="s">
        <v>14777</v>
      </c>
      <c r="H2916">
        <v>361</v>
      </c>
      <c r="I2916">
        <v>6.75</v>
      </c>
      <c r="J2916">
        <v>6.76</v>
      </c>
      <c r="K2916" t="s">
        <v>15192</v>
      </c>
      <c r="L2916">
        <v>0.29</v>
      </c>
      <c r="M2916" t="s">
        <v>46</v>
      </c>
      <c r="N2916" t="s">
        <v>12426</v>
      </c>
      <c r="O2916">
        <v>6.79</v>
      </c>
      <c r="P2916">
        <v>6.73</v>
      </c>
      <c r="Q2916">
        <v>6.76</v>
      </c>
      <c r="R2916">
        <v>6.76</v>
      </c>
      <c r="S2916">
        <v>0.89</v>
      </c>
      <c r="T2916">
        <v>1.2</v>
      </c>
      <c r="U2916">
        <v>-15.44</v>
      </c>
      <c r="V2916">
        <v>-2304</v>
      </c>
      <c r="W2916">
        <v>6.77</v>
      </c>
      <c r="X2916" t="s">
        <v>2464</v>
      </c>
      <c r="Y2916" t="s">
        <v>6257</v>
      </c>
      <c r="Z2916">
        <v>0.77</v>
      </c>
      <c r="AA2916">
        <v>1452</v>
      </c>
      <c r="AB2916">
        <v>385</v>
      </c>
      <c r="AC2916">
        <v>1.4</v>
      </c>
      <c r="AD2916" t="s">
        <v>15193</v>
      </c>
      <c r="AE2916" t="s">
        <v>12672</v>
      </c>
      <c r="AF2916" t="s">
        <v>15193</v>
      </c>
      <c r="AG2916" t="s">
        <v>12672</v>
      </c>
      <c r="AH2916">
        <v>0.15</v>
      </c>
      <c r="AI2916">
        <v>0.3</v>
      </c>
      <c r="AJ2916">
        <v>0.82</v>
      </c>
      <c r="AK2916">
        <v>1.5</v>
      </c>
      <c r="AL2916">
        <v>0</v>
      </c>
      <c r="AM2916">
        <v>0</v>
      </c>
      <c r="AN2916">
        <v>5.46</v>
      </c>
      <c r="AO2916">
        <v>0</v>
      </c>
      <c r="AP2916">
        <v>2.11</v>
      </c>
    </row>
    <row r="2917" spans="1:42">
      <c r="A2917">
        <v>2916</v>
      </c>
      <c r="B2917" t="str">
        <f>"002149"</f>
        <v>002149</v>
      </c>
      <c r="C2917" t="s">
        <v>15194</v>
      </c>
      <c r="D2917">
        <v>14.75</v>
      </c>
      <c r="E2917">
        <v>0.27</v>
      </c>
      <c r="F2917">
        <v>0.04</v>
      </c>
      <c r="G2917" t="s">
        <v>4846</v>
      </c>
      <c r="H2917">
        <v>621</v>
      </c>
      <c r="I2917">
        <v>14.73</v>
      </c>
      <c r="J2917">
        <v>14.75</v>
      </c>
      <c r="K2917" t="s">
        <v>15195</v>
      </c>
      <c r="L2917">
        <v>0.79</v>
      </c>
      <c r="M2917" t="s">
        <v>46</v>
      </c>
      <c r="N2917" t="s">
        <v>10760</v>
      </c>
      <c r="O2917">
        <v>14.8</v>
      </c>
      <c r="P2917">
        <v>14.6</v>
      </c>
      <c r="Q2917">
        <v>14.7</v>
      </c>
      <c r="R2917">
        <v>14.71</v>
      </c>
      <c r="S2917">
        <v>1.36</v>
      </c>
      <c r="T2917">
        <v>0.94</v>
      </c>
      <c r="U2917">
        <v>-50.11</v>
      </c>
      <c r="V2917">
        <v>-691</v>
      </c>
      <c r="W2917">
        <v>14.69</v>
      </c>
      <c r="X2917" t="s">
        <v>2976</v>
      </c>
      <c r="Y2917" t="s">
        <v>325</v>
      </c>
      <c r="Z2917">
        <v>1.1</v>
      </c>
      <c r="AA2917">
        <v>53</v>
      </c>
      <c r="AB2917">
        <v>445</v>
      </c>
      <c r="AC2917">
        <v>2.49</v>
      </c>
      <c r="AD2917" t="s">
        <v>15196</v>
      </c>
      <c r="AE2917" t="s">
        <v>10263</v>
      </c>
      <c r="AF2917" t="s">
        <v>15197</v>
      </c>
      <c r="AG2917" t="s">
        <v>15198</v>
      </c>
      <c r="AH2917">
        <v>-2.38</v>
      </c>
      <c r="AI2917">
        <v>-3.02</v>
      </c>
      <c r="AJ2917">
        <v>2.4</v>
      </c>
      <c r="AK2917">
        <v>4.96</v>
      </c>
      <c r="AL2917">
        <v>1</v>
      </c>
      <c r="AM2917">
        <v>0.27</v>
      </c>
      <c r="AN2917">
        <v>-9.17</v>
      </c>
      <c r="AO2917">
        <v>1.51</v>
      </c>
      <c r="AP2917">
        <v>1.1</v>
      </c>
    </row>
    <row r="2918" spans="1:42">
      <c r="A2918">
        <v>2917</v>
      </c>
      <c r="B2918" t="str">
        <f>"603195"</f>
        <v>603195</v>
      </c>
      <c r="C2918" t="s">
        <v>15199</v>
      </c>
      <c r="D2918">
        <v>97.52</v>
      </c>
      <c r="E2918">
        <v>-0.26</v>
      </c>
      <c r="F2918">
        <v>-0.25</v>
      </c>
      <c r="G2918">
        <v>5801</v>
      </c>
      <c r="H2918">
        <v>95</v>
      </c>
      <c r="I2918">
        <v>97.52</v>
      </c>
      <c r="J2918">
        <v>97.53</v>
      </c>
      <c r="K2918" t="s">
        <v>15195</v>
      </c>
      <c r="L2918">
        <v>0.07</v>
      </c>
      <c r="M2918" t="s">
        <v>46</v>
      </c>
      <c r="N2918" t="s">
        <v>8858</v>
      </c>
      <c r="O2918">
        <v>98.04</v>
      </c>
      <c r="P2918">
        <v>96.42</v>
      </c>
      <c r="Q2918">
        <v>97.77</v>
      </c>
      <c r="R2918">
        <v>97.77</v>
      </c>
      <c r="S2918">
        <v>1.66</v>
      </c>
      <c r="T2918">
        <v>0.74</v>
      </c>
      <c r="U2918">
        <v>57.68</v>
      </c>
      <c r="V2918">
        <v>19</v>
      </c>
      <c r="W2918">
        <v>97.25</v>
      </c>
      <c r="X2918">
        <v>3126</v>
      </c>
      <c r="Y2918">
        <v>2675</v>
      </c>
      <c r="Z2918">
        <v>1.17</v>
      </c>
      <c r="AA2918">
        <v>1</v>
      </c>
      <c r="AB2918">
        <v>3</v>
      </c>
      <c r="AC2918">
        <v>6.51</v>
      </c>
      <c r="AD2918" t="s">
        <v>12142</v>
      </c>
      <c r="AE2918" t="s">
        <v>15200</v>
      </c>
      <c r="AF2918" t="s">
        <v>15201</v>
      </c>
      <c r="AG2918" t="s">
        <v>15202</v>
      </c>
      <c r="AH2918">
        <v>0.5</v>
      </c>
      <c r="AI2918">
        <v>-0.34</v>
      </c>
      <c r="AJ2918">
        <v>0.23</v>
      </c>
      <c r="AK2918">
        <v>0.51</v>
      </c>
      <c r="AL2918">
        <v>-1</v>
      </c>
      <c r="AM2918">
        <v>-0.26</v>
      </c>
      <c r="AN2918">
        <v>3.12</v>
      </c>
      <c r="AO2918">
        <v>-6.87</v>
      </c>
      <c r="AP2918">
        <v>12.23</v>
      </c>
    </row>
    <row r="2919" spans="1:42">
      <c r="A2919">
        <v>2918</v>
      </c>
      <c r="B2919" t="str">
        <f>"601825"</f>
        <v>601825</v>
      </c>
      <c r="C2919" t="s">
        <v>15203</v>
      </c>
      <c r="D2919">
        <v>5.69</v>
      </c>
      <c r="E2919">
        <v>-0.7</v>
      </c>
      <c r="F2919">
        <v>-0.04</v>
      </c>
      <c r="G2919" t="s">
        <v>3734</v>
      </c>
      <c r="H2919">
        <v>1032</v>
      </c>
      <c r="I2919">
        <v>5.68</v>
      </c>
      <c r="J2919">
        <v>5.69</v>
      </c>
      <c r="K2919" t="s">
        <v>15204</v>
      </c>
      <c r="L2919">
        <v>0.21</v>
      </c>
      <c r="M2919" t="s">
        <v>46</v>
      </c>
      <c r="N2919" t="s">
        <v>4047</v>
      </c>
      <c r="O2919">
        <v>5.73</v>
      </c>
      <c r="P2919">
        <v>5.67</v>
      </c>
      <c r="Q2919">
        <v>5.72</v>
      </c>
      <c r="R2919">
        <v>5.73</v>
      </c>
      <c r="S2919">
        <v>1.05</v>
      </c>
      <c r="T2919">
        <v>0.73</v>
      </c>
      <c r="U2919">
        <v>2.48</v>
      </c>
      <c r="V2919">
        <v>464</v>
      </c>
      <c r="W2919">
        <v>5.69</v>
      </c>
      <c r="X2919" t="s">
        <v>4517</v>
      </c>
      <c r="Y2919" t="s">
        <v>8009</v>
      </c>
      <c r="Z2919">
        <v>1.64</v>
      </c>
      <c r="AA2919">
        <v>82</v>
      </c>
      <c r="AB2919">
        <v>793</v>
      </c>
      <c r="AC2919">
        <v>0.5</v>
      </c>
      <c r="AD2919" t="s">
        <v>15205</v>
      </c>
      <c r="AE2919" t="s">
        <v>15206</v>
      </c>
      <c r="AF2919" t="s">
        <v>11852</v>
      </c>
      <c r="AG2919" t="s">
        <v>15207</v>
      </c>
      <c r="AH2919">
        <v>0.35</v>
      </c>
      <c r="AI2919">
        <v>-1.22</v>
      </c>
      <c r="AJ2919">
        <v>0.94</v>
      </c>
      <c r="AK2919">
        <v>1.68</v>
      </c>
      <c r="AL2919">
        <v>-1</v>
      </c>
      <c r="AM2919">
        <v>-0.7</v>
      </c>
      <c r="AN2919">
        <v>2.71</v>
      </c>
      <c r="AO2919">
        <v>-2.07</v>
      </c>
      <c r="AP2919">
        <v>5.18</v>
      </c>
    </row>
    <row r="2920" spans="1:42">
      <c r="A2920">
        <v>2919</v>
      </c>
      <c r="B2920" t="str">
        <f>"600595"</f>
        <v>600595</v>
      </c>
      <c r="C2920" t="s">
        <v>15208</v>
      </c>
      <c r="D2920">
        <v>3.36</v>
      </c>
      <c r="E2920">
        <v>0.9</v>
      </c>
      <c r="F2920">
        <v>0.03</v>
      </c>
      <c r="G2920" t="s">
        <v>1245</v>
      </c>
      <c r="H2920">
        <v>765</v>
      </c>
      <c r="I2920">
        <v>3.36</v>
      </c>
      <c r="J2920">
        <v>3.37</v>
      </c>
      <c r="K2920" t="s">
        <v>15209</v>
      </c>
      <c r="L2920">
        <v>0.42</v>
      </c>
      <c r="M2920" t="s">
        <v>46</v>
      </c>
      <c r="N2920" t="s">
        <v>15210</v>
      </c>
      <c r="O2920">
        <v>3.37</v>
      </c>
      <c r="P2920">
        <v>3.32</v>
      </c>
      <c r="Q2920">
        <v>3.33</v>
      </c>
      <c r="R2920">
        <v>3.33</v>
      </c>
      <c r="S2920">
        <v>1.5</v>
      </c>
      <c r="T2920">
        <v>0.94</v>
      </c>
      <c r="U2920">
        <v>-13.17</v>
      </c>
      <c r="V2920">
        <v>-6532</v>
      </c>
      <c r="W2920">
        <v>3.35</v>
      </c>
      <c r="X2920" t="s">
        <v>4759</v>
      </c>
      <c r="Y2920" t="s">
        <v>110</v>
      </c>
      <c r="Z2920">
        <v>0.67</v>
      </c>
      <c r="AA2920">
        <v>575</v>
      </c>
      <c r="AB2920">
        <v>7564</v>
      </c>
      <c r="AC2920">
        <v>1.02</v>
      </c>
      <c r="AD2920" t="s">
        <v>8235</v>
      </c>
      <c r="AE2920" t="s">
        <v>12937</v>
      </c>
      <c r="AF2920" t="s">
        <v>15211</v>
      </c>
      <c r="AG2920" t="s">
        <v>15212</v>
      </c>
      <c r="AH2920">
        <v>0</v>
      </c>
      <c r="AI2920">
        <v>-0.59</v>
      </c>
      <c r="AJ2920">
        <v>1.55</v>
      </c>
      <c r="AK2920">
        <v>2.7</v>
      </c>
      <c r="AL2920">
        <v>1</v>
      </c>
      <c r="AM2920">
        <v>0.9</v>
      </c>
      <c r="AN2920">
        <v>12</v>
      </c>
      <c r="AO2920">
        <v>-3.72</v>
      </c>
      <c r="AP2920">
        <v>5.66</v>
      </c>
    </row>
    <row r="2921" spans="1:42">
      <c r="A2921">
        <v>2920</v>
      </c>
      <c r="B2921" t="str">
        <f>"300399"</f>
        <v>300399</v>
      </c>
      <c r="C2921" t="s">
        <v>15213</v>
      </c>
      <c r="D2921">
        <v>13.68</v>
      </c>
      <c r="E2921">
        <v>3.17</v>
      </c>
      <c r="F2921">
        <v>0.42</v>
      </c>
      <c r="G2921" t="s">
        <v>2921</v>
      </c>
      <c r="H2921">
        <v>1020</v>
      </c>
      <c r="I2921">
        <v>13.68</v>
      </c>
      <c r="J2921">
        <v>13.69</v>
      </c>
      <c r="K2921" t="s">
        <v>15214</v>
      </c>
      <c r="L2921">
        <v>2.15</v>
      </c>
      <c r="M2921" t="s">
        <v>46</v>
      </c>
      <c r="N2921" t="s">
        <v>4149</v>
      </c>
      <c r="O2921">
        <v>13.72</v>
      </c>
      <c r="P2921">
        <v>13.17</v>
      </c>
      <c r="Q2921">
        <v>13.25</v>
      </c>
      <c r="R2921">
        <v>13.26</v>
      </c>
      <c r="S2921">
        <v>4.15</v>
      </c>
      <c r="T2921">
        <v>1.44</v>
      </c>
      <c r="U2921">
        <v>-36.34</v>
      </c>
      <c r="V2921">
        <v>-596</v>
      </c>
      <c r="W2921">
        <v>13.51</v>
      </c>
      <c r="X2921" t="s">
        <v>2575</v>
      </c>
      <c r="Y2921" t="s">
        <v>4037</v>
      </c>
      <c r="Z2921">
        <v>0.72</v>
      </c>
      <c r="AA2921">
        <v>105</v>
      </c>
      <c r="AB2921">
        <v>184</v>
      </c>
      <c r="AC2921">
        <v>5.64</v>
      </c>
      <c r="AD2921" t="s">
        <v>15215</v>
      </c>
      <c r="AE2921" t="s">
        <v>15216</v>
      </c>
      <c r="AF2921" t="s">
        <v>15217</v>
      </c>
      <c r="AG2921" t="s">
        <v>15218</v>
      </c>
      <c r="AH2921">
        <v>1.33</v>
      </c>
      <c r="AI2921">
        <v>-0.8</v>
      </c>
      <c r="AJ2921">
        <v>4.87</v>
      </c>
      <c r="AK2921">
        <v>9.63</v>
      </c>
      <c r="AL2921">
        <v>1</v>
      </c>
      <c r="AM2921">
        <v>3.17</v>
      </c>
      <c r="AN2921">
        <v>34.78</v>
      </c>
      <c r="AO2921">
        <v>6.13</v>
      </c>
      <c r="AP2921">
        <v>27.73</v>
      </c>
    </row>
    <row r="2922" spans="1:42">
      <c r="A2922">
        <v>2921</v>
      </c>
      <c r="B2922" t="str">
        <f>"601999"</f>
        <v>601999</v>
      </c>
      <c r="C2922" t="s">
        <v>15219</v>
      </c>
      <c r="D2922">
        <v>7.32</v>
      </c>
      <c r="E2922">
        <v>3.1</v>
      </c>
      <c r="F2922">
        <v>0.22</v>
      </c>
      <c r="G2922" t="s">
        <v>9723</v>
      </c>
      <c r="H2922">
        <v>532</v>
      </c>
      <c r="I2922">
        <v>7.31</v>
      </c>
      <c r="J2922">
        <v>7.32</v>
      </c>
      <c r="K2922" t="s">
        <v>15220</v>
      </c>
      <c r="L2922">
        <v>1.41</v>
      </c>
      <c r="M2922" t="s">
        <v>46</v>
      </c>
      <c r="N2922" t="s">
        <v>2488</v>
      </c>
      <c r="O2922">
        <v>7.35</v>
      </c>
      <c r="P2922">
        <v>7.07</v>
      </c>
      <c r="Q2922">
        <v>7.1</v>
      </c>
      <c r="R2922">
        <v>7.1</v>
      </c>
      <c r="S2922">
        <v>3.94</v>
      </c>
      <c r="T2922">
        <v>1.05</v>
      </c>
      <c r="U2922">
        <v>-35.96</v>
      </c>
      <c r="V2922">
        <v>-2095</v>
      </c>
      <c r="W2922">
        <v>7.26</v>
      </c>
      <c r="X2922" t="s">
        <v>3211</v>
      </c>
      <c r="Y2922" t="s">
        <v>6838</v>
      </c>
      <c r="Z2922">
        <v>0.77</v>
      </c>
      <c r="AA2922">
        <v>187</v>
      </c>
      <c r="AB2922">
        <v>83</v>
      </c>
      <c r="AC2922">
        <v>1.62</v>
      </c>
      <c r="AD2922" t="s">
        <v>4951</v>
      </c>
      <c r="AE2922" t="s">
        <v>14782</v>
      </c>
      <c r="AF2922" t="s">
        <v>4951</v>
      </c>
      <c r="AG2922" t="s">
        <v>14782</v>
      </c>
      <c r="AH2922">
        <v>1.81</v>
      </c>
      <c r="AI2922">
        <v>0.97</v>
      </c>
      <c r="AJ2922">
        <v>3.35</v>
      </c>
      <c r="AK2922">
        <v>8.14</v>
      </c>
      <c r="AL2922">
        <v>1</v>
      </c>
      <c r="AM2922">
        <v>3.1</v>
      </c>
      <c r="AN2922">
        <v>12.44</v>
      </c>
      <c r="AO2922">
        <v>10.08</v>
      </c>
      <c r="AP2922">
        <v>26.64</v>
      </c>
    </row>
    <row r="2923" spans="1:42">
      <c r="A2923">
        <v>2922</v>
      </c>
      <c r="B2923" t="str">
        <f>"688146"</f>
        <v>688146</v>
      </c>
      <c r="C2923" t="s">
        <v>15221</v>
      </c>
      <c r="D2923">
        <v>34.01</v>
      </c>
      <c r="E2923">
        <v>-1.42</v>
      </c>
      <c r="F2923">
        <v>-0.49</v>
      </c>
      <c r="G2923" t="s">
        <v>390</v>
      </c>
      <c r="H2923">
        <v>107</v>
      </c>
      <c r="I2923">
        <v>34.01</v>
      </c>
      <c r="J2923">
        <v>34.06</v>
      </c>
      <c r="K2923" t="s">
        <v>15222</v>
      </c>
      <c r="L2923">
        <v>2.62</v>
      </c>
      <c r="M2923" t="s">
        <v>46</v>
      </c>
      <c r="N2923" t="s">
        <v>1568</v>
      </c>
      <c r="O2923">
        <v>34.6</v>
      </c>
      <c r="P2923">
        <v>33.55</v>
      </c>
      <c r="Q2923">
        <v>34.6</v>
      </c>
      <c r="R2923">
        <v>34.5</v>
      </c>
      <c r="S2923">
        <v>3.04</v>
      </c>
      <c r="T2923">
        <v>1.27</v>
      </c>
      <c r="U2923">
        <v>35.06</v>
      </c>
      <c r="V2923">
        <v>114</v>
      </c>
      <c r="W2923">
        <v>33.87</v>
      </c>
      <c r="X2923">
        <v>8925</v>
      </c>
      <c r="Y2923">
        <v>7695</v>
      </c>
      <c r="Z2923">
        <v>1.16</v>
      </c>
      <c r="AA2923">
        <v>32</v>
      </c>
      <c r="AB2923">
        <v>3</v>
      </c>
      <c r="AC2923">
        <v>3.44</v>
      </c>
      <c r="AD2923" t="s">
        <v>15223</v>
      </c>
      <c r="AE2923" t="s">
        <v>15224</v>
      </c>
      <c r="AF2923" t="s">
        <v>15225</v>
      </c>
      <c r="AG2923" t="s">
        <v>250</v>
      </c>
      <c r="AH2923">
        <v>-2.83</v>
      </c>
      <c r="AI2923">
        <v>-4.47</v>
      </c>
      <c r="AJ2923">
        <v>6.38</v>
      </c>
      <c r="AK2923">
        <v>12.89</v>
      </c>
      <c r="AL2923">
        <v>-3</v>
      </c>
      <c r="AM2923">
        <v>-1.42</v>
      </c>
      <c r="AN2923">
        <v>-5.34</v>
      </c>
      <c r="AO2923">
        <v>-7.33</v>
      </c>
      <c r="AP2923">
        <v>-5.34</v>
      </c>
    </row>
    <row r="2924" spans="1:42">
      <c r="A2924">
        <v>2923</v>
      </c>
      <c r="B2924" t="str">
        <f>"000915"</f>
        <v>000915</v>
      </c>
      <c r="C2924" t="s">
        <v>15226</v>
      </c>
      <c r="D2924">
        <v>34.43</v>
      </c>
      <c r="E2924">
        <v>0.12</v>
      </c>
      <c r="F2924">
        <v>0.04</v>
      </c>
      <c r="G2924" t="s">
        <v>1692</v>
      </c>
      <c r="H2924">
        <v>136</v>
      </c>
      <c r="I2924">
        <v>34.39</v>
      </c>
      <c r="J2924">
        <v>34.43</v>
      </c>
      <c r="K2924" t="s">
        <v>15227</v>
      </c>
      <c r="L2924">
        <v>0.7</v>
      </c>
      <c r="M2924" t="s">
        <v>46</v>
      </c>
      <c r="N2924" t="s">
        <v>392</v>
      </c>
      <c r="O2924">
        <v>34.73</v>
      </c>
      <c r="P2924">
        <v>33.94</v>
      </c>
      <c r="Q2924">
        <v>34.56</v>
      </c>
      <c r="R2924">
        <v>34.39</v>
      </c>
      <c r="S2924">
        <v>2.3</v>
      </c>
      <c r="T2924">
        <v>0.67</v>
      </c>
      <c r="U2924">
        <v>-68.37</v>
      </c>
      <c r="V2924">
        <v>-147</v>
      </c>
      <c r="W2924">
        <v>34.29</v>
      </c>
      <c r="X2924">
        <v>8995</v>
      </c>
      <c r="Y2924">
        <v>7414</v>
      </c>
      <c r="Z2924">
        <v>1.21</v>
      </c>
      <c r="AA2924">
        <v>4</v>
      </c>
      <c r="AB2924">
        <v>112</v>
      </c>
      <c r="AC2924">
        <v>2.82</v>
      </c>
      <c r="AD2924" t="s">
        <v>7411</v>
      </c>
      <c r="AE2924" t="s">
        <v>15228</v>
      </c>
      <c r="AF2924" t="s">
        <v>15229</v>
      </c>
      <c r="AG2924" t="s">
        <v>15230</v>
      </c>
      <c r="AH2924">
        <v>0.12</v>
      </c>
      <c r="AI2924">
        <v>3.96</v>
      </c>
      <c r="AJ2924">
        <v>2.34</v>
      </c>
      <c r="AK2924">
        <v>5.97</v>
      </c>
      <c r="AL2924">
        <v>2</v>
      </c>
      <c r="AM2924">
        <v>0.12</v>
      </c>
      <c r="AN2924">
        <v>-22.98</v>
      </c>
      <c r="AO2924">
        <v>5.58</v>
      </c>
      <c r="AP2924">
        <v>-25.78</v>
      </c>
    </row>
    <row r="2925" spans="1:42">
      <c r="A2925">
        <v>2924</v>
      </c>
      <c r="B2925" t="str">
        <f>"002327"</f>
        <v>002327</v>
      </c>
      <c r="C2925" t="s">
        <v>15231</v>
      </c>
      <c r="D2925">
        <v>9.05</v>
      </c>
      <c r="E2925">
        <v>0.22</v>
      </c>
      <c r="F2925">
        <v>0.02</v>
      </c>
      <c r="G2925" t="s">
        <v>9787</v>
      </c>
      <c r="H2925">
        <v>227</v>
      </c>
      <c r="I2925">
        <v>9.05</v>
      </c>
      <c r="J2925">
        <v>9.06</v>
      </c>
      <c r="K2925" t="s">
        <v>15227</v>
      </c>
      <c r="L2925">
        <v>1.28</v>
      </c>
      <c r="M2925" t="s">
        <v>46</v>
      </c>
      <c r="N2925" t="s">
        <v>4428</v>
      </c>
      <c r="O2925">
        <v>9.18</v>
      </c>
      <c r="P2925">
        <v>8.96</v>
      </c>
      <c r="Q2925">
        <v>9.05</v>
      </c>
      <c r="R2925">
        <v>9.03</v>
      </c>
      <c r="S2925">
        <v>2.44</v>
      </c>
      <c r="T2925">
        <v>1.25</v>
      </c>
      <c r="U2925">
        <v>-54.91</v>
      </c>
      <c r="V2925">
        <v>-1018</v>
      </c>
      <c r="W2925">
        <v>9.07</v>
      </c>
      <c r="X2925" t="s">
        <v>1711</v>
      </c>
      <c r="Y2925" t="s">
        <v>4839</v>
      </c>
      <c r="Z2925">
        <v>0.8</v>
      </c>
      <c r="AA2925">
        <v>49</v>
      </c>
      <c r="AB2925">
        <v>147</v>
      </c>
      <c r="AC2925">
        <v>2.06</v>
      </c>
      <c r="AD2925" t="s">
        <v>992</v>
      </c>
      <c r="AE2925" t="s">
        <v>15232</v>
      </c>
      <c r="AF2925" t="s">
        <v>15233</v>
      </c>
      <c r="AG2925" t="s">
        <v>3852</v>
      </c>
      <c r="AH2925">
        <v>2.38</v>
      </c>
      <c r="AI2925">
        <v>5.85</v>
      </c>
      <c r="AJ2925">
        <v>4</v>
      </c>
      <c r="AK2925">
        <v>6.38</v>
      </c>
      <c r="AL2925">
        <v>5</v>
      </c>
      <c r="AM2925">
        <v>0.22</v>
      </c>
      <c r="AN2925">
        <v>39.88</v>
      </c>
      <c r="AO2925">
        <v>3.08</v>
      </c>
      <c r="AP2925">
        <v>41.85</v>
      </c>
    </row>
    <row r="2926" spans="1:42">
      <c r="A2926">
        <v>2925</v>
      </c>
      <c r="B2926" t="str">
        <f>"603008"</f>
        <v>603008</v>
      </c>
      <c r="C2926" t="s">
        <v>15234</v>
      </c>
      <c r="D2926">
        <v>18.57</v>
      </c>
      <c r="E2926">
        <v>0</v>
      </c>
      <c r="F2926">
        <v>0</v>
      </c>
      <c r="G2926" t="s">
        <v>6803</v>
      </c>
      <c r="H2926">
        <v>230</v>
      </c>
      <c r="I2926">
        <v>18.56</v>
      </c>
      <c r="J2926">
        <v>18.57</v>
      </c>
      <c r="K2926" t="s">
        <v>15235</v>
      </c>
      <c r="L2926">
        <v>0.78</v>
      </c>
      <c r="M2926" t="s">
        <v>46</v>
      </c>
      <c r="N2926" t="s">
        <v>15236</v>
      </c>
      <c r="O2926">
        <v>18.83</v>
      </c>
      <c r="P2926">
        <v>18.42</v>
      </c>
      <c r="Q2926">
        <v>18.83</v>
      </c>
      <c r="R2926">
        <v>18.57</v>
      </c>
      <c r="S2926">
        <v>2.21</v>
      </c>
      <c r="T2926">
        <v>0.51</v>
      </c>
      <c r="U2926">
        <v>63.72</v>
      </c>
      <c r="V2926">
        <v>864</v>
      </c>
      <c r="W2926">
        <v>18.58</v>
      </c>
      <c r="X2926" t="s">
        <v>7487</v>
      </c>
      <c r="Y2926" t="s">
        <v>4717</v>
      </c>
      <c r="Z2926">
        <v>1.14</v>
      </c>
      <c r="AA2926">
        <v>228</v>
      </c>
      <c r="AB2926">
        <v>2</v>
      </c>
      <c r="AC2926">
        <v>1.95</v>
      </c>
      <c r="AD2926" t="s">
        <v>15237</v>
      </c>
      <c r="AE2926" t="s">
        <v>14067</v>
      </c>
      <c r="AF2926" t="s">
        <v>15237</v>
      </c>
      <c r="AG2926" t="s">
        <v>14067</v>
      </c>
      <c r="AH2926">
        <v>-1.9</v>
      </c>
      <c r="AI2926">
        <v>-4.87</v>
      </c>
      <c r="AJ2926">
        <v>2.25</v>
      </c>
      <c r="AK2926">
        <v>8.46</v>
      </c>
      <c r="AL2926">
        <v>0</v>
      </c>
      <c r="AM2926">
        <v>0</v>
      </c>
      <c r="AN2926">
        <v>-34.77</v>
      </c>
      <c r="AO2926">
        <v>-3.08</v>
      </c>
      <c r="AP2926">
        <v>-32.3</v>
      </c>
    </row>
    <row r="2927" spans="1:42">
      <c r="A2927">
        <v>2926</v>
      </c>
      <c r="B2927" t="str">
        <f>"300219"</f>
        <v>300219</v>
      </c>
      <c r="C2927" t="s">
        <v>15238</v>
      </c>
      <c r="D2927">
        <v>8.29</v>
      </c>
      <c r="E2927">
        <v>0.73</v>
      </c>
      <c r="F2927">
        <v>0.06</v>
      </c>
      <c r="G2927" t="s">
        <v>2568</v>
      </c>
      <c r="H2927">
        <v>625</v>
      </c>
      <c r="I2927">
        <v>8.29</v>
      </c>
      <c r="J2927">
        <v>8.3</v>
      </c>
      <c r="K2927" t="s">
        <v>15239</v>
      </c>
      <c r="L2927">
        <v>0.96</v>
      </c>
      <c r="M2927" t="s">
        <v>46</v>
      </c>
      <c r="N2927" t="s">
        <v>12572</v>
      </c>
      <c r="O2927">
        <v>8.31</v>
      </c>
      <c r="P2927">
        <v>8.18</v>
      </c>
      <c r="Q2927">
        <v>8.24</v>
      </c>
      <c r="R2927">
        <v>8.23</v>
      </c>
      <c r="S2927">
        <v>1.58</v>
      </c>
      <c r="T2927">
        <v>0.62</v>
      </c>
      <c r="U2927">
        <v>20.19</v>
      </c>
      <c r="V2927">
        <v>1141</v>
      </c>
      <c r="W2927">
        <v>8.26</v>
      </c>
      <c r="X2927" t="s">
        <v>7058</v>
      </c>
      <c r="Y2927" t="s">
        <v>729</v>
      </c>
      <c r="Z2927">
        <v>1.01</v>
      </c>
      <c r="AA2927">
        <v>9</v>
      </c>
      <c r="AB2927">
        <v>485</v>
      </c>
      <c r="AC2927">
        <v>2.3</v>
      </c>
      <c r="AD2927" t="s">
        <v>15240</v>
      </c>
      <c r="AE2927" t="s">
        <v>6492</v>
      </c>
      <c r="AF2927" t="s">
        <v>4623</v>
      </c>
      <c r="AG2927" t="s">
        <v>15241</v>
      </c>
      <c r="AH2927">
        <v>-2.36</v>
      </c>
      <c r="AI2927">
        <v>-2.13</v>
      </c>
      <c r="AJ2927">
        <v>3.94</v>
      </c>
      <c r="AK2927">
        <v>8.73</v>
      </c>
      <c r="AL2927">
        <v>1</v>
      </c>
      <c r="AM2927">
        <v>0.73</v>
      </c>
      <c r="AN2927">
        <v>24.1</v>
      </c>
      <c r="AO2927">
        <v>-0.72</v>
      </c>
      <c r="AP2927">
        <v>7.94</v>
      </c>
    </row>
    <row r="2928" spans="1:42">
      <c r="A2928">
        <v>2927</v>
      </c>
      <c r="B2928" t="str">
        <f>"601069"</f>
        <v>601069</v>
      </c>
      <c r="C2928" t="s">
        <v>15242</v>
      </c>
      <c r="D2928">
        <v>12.69</v>
      </c>
      <c r="E2928">
        <v>-0.16</v>
      </c>
      <c r="F2928">
        <v>-0.02</v>
      </c>
      <c r="G2928" t="s">
        <v>4358</v>
      </c>
      <c r="H2928">
        <v>555</v>
      </c>
      <c r="I2928">
        <v>12.69</v>
      </c>
      <c r="J2928">
        <v>12.7</v>
      </c>
      <c r="K2928" t="s">
        <v>15243</v>
      </c>
      <c r="L2928">
        <v>0.65</v>
      </c>
      <c r="M2928" t="s">
        <v>46</v>
      </c>
      <c r="N2928" t="s">
        <v>10862</v>
      </c>
      <c r="O2928">
        <v>12.78</v>
      </c>
      <c r="P2928">
        <v>12.6</v>
      </c>
      <c r="Q2928">
        <v>12.66</v>
      </c>
      <c r="R2928">
        <v>12.71</v>
      </c>
      <c r="S2928">
        <v>1.42</v>
      </c>
      <c r="T2928">
        <v>0.8</v>
      </c>
      <c r="U2928">
        <v>-40.1</v>
      </c>
      <c r="V2928">
        <v>-1540</v>
      </c>
      <c r="W2928">
        <v>12.67</v>
      </c>
      <c r="X2928" t="s">
        <v>7993</v>
      </c>
      <c r="Y2928" t="s">
        <v>1118</v>
      </c>
      <c r="Z2928">
        <v>1.73</v>
      </c>
      <c r="AA2928">
        <v>162</v>
      </c>
      <c r="AB2928">
        <v>1160</v>
      </c>
      <c r="AC2928">
        <v>2.52</v>
      </c>
      <c r="AD2928" t="s">
        <v>15244</v>
      </c>
      <c r="AE2928" t="s">
        <v>9818</v>
      </c>
      <c r="AF2928" t="s">
        <v>15245</v>
      </c>
      <c r="AG2928" t="s">
        <v>15246</v>
      </c>
      <c r="AH2928">
        <v>0.4</v>
      </c>
      <c r="AI2928">
        <v>-0.63</v>
      </c>
      <c r="AJ2928">
        <v>2.76</v>
      </c>
      <c r="AK2928">
        <v>4.71</v>
      </c>
      <c r="AL2928">
        <v>-2</v>
      </c>
      <c r="AM2928">
        <v>-0.16</v>
      </c>
      <c r="AN2928">
        <v>7.27</v>
      </c>
      <c r="AO2928">
        <v>0</v>
      </c>
      <c r="AP2928">
        <v>1.12</v>
      </c>
    </row>
    <row r="2929" spans="1:42">
      <c r="A2929">
        <v>2928</v>
      </c>
      <c r="B2929" t="str">
        <f>"002846"</f>
        <v>002846</v>
      </c>
      <c r="C2929" t="s">
        <v>15247</v>
      </c>
      <c r="D2929">
        <v>11.56</v>
      </c>
      <c r="E2929">
        <v>-0.09</v>
      </c>
      <c r="F2929">
        <v>-0.01</v>
      </c>
      <c r="G2929" t="s">
        <v>6203</v>
      </c>
      <c r="H2929">
        <v>768</v>
      </c>
      <c r="I2929">
        <v>11.56</v>
      </c>
      <c r="J2929">
        <v>11.57</v>
      </c>
      <c r="K2929" t="s">
        <v>15248</v>
      </c>
      <c r="L2929">
        <v>2</v>
      </c>
      <c r="M2929" t="s">
        <v>46</v>
      </c>
      <c r="N2929" t="s">
        <v>3538</v>
      </c>
      <c r="O2929">
        <v>11.79</v>
      </c>
      <c r="P2929">
        <v>11.5</v>
      </c>
      <c r="Q2929">
        <v>11.59</v>
      </c>
      <c r="R2929">
        <v>11.57</v>
      </c>
      <c r="S2929">
        <v>2.51</v>
      </c>
      <c r="T2929">
        <v>0.8</v>
      </c>
      <c r="U2929">
        <v>59.7</v>
      </c>
      <c r="V2929">
        <v>480</v>
      </c>
      <c r="W2929">
        <v>11.66</v>
      </c>
      <c r="X2929" t="s">
        <v>3662</v>
      </c>
      <c r="Y2929" t="s">
        <v>2818</v>
      </c>
      <c r="Z2929">
        <v>1.04</v>
      </c>
      <c r="AA2929">
        <v>29</v>
      </c>
      <c r="AB2929">
        <v>50</v>
      </c>
      <c r="AC2929">
        <v>3.39</v>
      </c>
      <c r="AD2929" t="s">
        <v>7825</v>
      </c>
      <c r="AE2929" t="s">
        <v>10825</v>
      </c>
      <c r="AF2929" t="s">
        <v>15249</v>
      </c>
      <c r="AG2929" t="s">
        <v>14924</v>
      </c>
      <c r="AH2929">
        <v>-1.03</v>
      </c>
      <c r="AI2929">
        <v>-5.17</v>
      </c>
      <c r="AJ2929">
        <v>7.32</v>
      </c>
      <c r="AK2929">
        <v>14.49</v>
      </c>
      <c r="AL2929">
        <v>-2</v>
      </c>
      <c r="AM2929">
        <v>-0.09</v>
      </c>
      <c r="AN2929">
        <v>21.56</v>
      </c>
      <c r="AO2929">
        <v>9.06</v>
      </c>
      <c r="AP2929">
        <v>7.34</v>
      </c>
    </row>
    <row r="2930" spans="1:42">
      <c r="A2930">
        <v>2929</v>
      </c>
      <c r="B2930" t="str">
        <f>"601008"</f>
        <v>601008</v>
      </c>
      <c r="C2930" t="s">
        <v>15250</v>
      </c>
      <c r="D2930">
        <v>4.26</v>
      </c>
      <c r="E2930">
        <v>0.95</v>
      </c>
      <c r="F2930">
        <v>0.04</v>
      </c>
      <c r="G2930" t="s">
        <v>263</v>
      </c>
      <c r="H2930">
        <v>869</v>
      </c>
      <c r="I2930">
        <v>4.25</v>
      </c>
      <c r="J2930">
        <v>4.26</v>
      </c>
      <c r="K2930" t="s">
        <v>15251</v>
      </c>
      <c r="L2930">
        <v>1.06</v>
      </c>
      <c r="M2930" t="s">
        <v>46</v>
      </c>
      <c r="N2930" t="s">
        <v>7965</v>
      </c>
      <c r="O2930">
        <v>4.3</v>
      </c>
      <c r="P2930">
        <v>4.22</v>
      </c>
      <c r="Q2930">
        <v>4.22</v>
      </c>
      <c r="R2930">
        <v>4.22</v>
      </c>
      <c r="S2930">
        <v>1.9</v>
      </c>
      <c r="T2930">
        <v>1.43</v>
      </c>
      <c r="U2930">
        <v>-21.12</v>
      </c>
      <c r="V2930">
        <v>-8759</v>
      </c>
      <c r="W2930">
        <v>4.26</v>
      </c>
      <c r="X2930" t="s">
        <v>6608</v>
      </c>
      <c r="Y2930" t="s">
        <v>4169</v>
      </c>
      <c r="Z2930">
        <v>0.87</v>
      </c>
      <c r="AA2930">
        <v>7374</v>
      </c>
      <c r="AB2930">
        <v>972</v>
      </c>
      <c r="AC2930">
        <v>1.26</v>
      </c>
      <c r="AD2930" t="s">
        <v>14727</v>
      </c>
      <c r="AE2930" t="s">
        <v>15252</v>
      </c>
      <c r="AF2930" t="s">
        <v>14727</v>
      </c>
      <c r="AG2930" t="s">
        <v>15252</v>
      </c>
      <c r="AH2930">
        <v>1.43</v>
      </c>
      <c r="AI2930">
        <v>1.43</v>
      </c>
      <c r="AJ2930">
        <v>2.54</v>
      </c>
      <c r="AK2930">
        <v>4.77</v>
      </c>
      <c r="AL2930">
        <v>3</v>
      </c>
      <c r="AM2930">
        <v>0.95</v>
      </c>
      <c r="AN2930">
        <v>-11.62</v>
      </c>
      <c r="AO2930">
        <v>2.65</v>
      </c>
      <c r="AP2930">
        <v>-4.48</v>
      </c>
    </row>
    <row r="2931" spans="1:42">
      <c r="A2931">
        <v>2930</v>
      </c>
      <c r="B2931" t="str">
        <f>"000919"</f>
        <v>000919</v>
      </c>
      <c r="C2931" t="s">
        <v>15253</v>
      </c>
      <c r="D2931">
        <v>8.55</v>
      </c>
      <c r="E2931">
        <v>0.35</v>
      </c>
      <c r="F2931">
        <v>0.03</v>
      </c>
      <c r="G2931" t="s">
        <v>7743</v>
      </c>
      <c r="H2931">
        <v>450</v>
      </c>
      <c r="I2931">
        <v>8.54</v>
      </c>
      <c r="J2931">
        <v>8.55</v>
      </c>
      <c r="K2931" t="s">
        <v>15254</v>
      </c>
      <c r="L2931">
        <v>1.3</v>
      </c>
      <c r="M2931" t="s">
        <v>46</v>
      </c>
      <c r="N2931" t="s">
        <v>690</v>
      </c>
      <c r="O2931">
        <v>8.68</v>
      </c>
      <c r="P2931">
        <v>8.5</v>
      </c>
      <c r="Q2931">
        <v>8.5</v>
      </c>
      <c r="R2931">
        <v>8.52</v>
      </c>
      <c r="S2931">
        <v>2.11</v>
      </c>
      <c r="T2931">
        <v>0.73</v>
      </c>
      <c r="U2931">
        <v>-1.02</v>
      </c>
      <c r="V2931">
        <v>-19</v>
      </c>
      <c r="W2931">
        <v>8.58</v>
      </c>
      <c r="X2931" t="s">
        <v>10177</v>
      </c>
      <c r="Y2931" t="s">
        <v>57</v>
      </c>
      <c r="Z2931">
        <v>0.97</v>
      </c>
      <c r="AA2931">
        <v>18</v>
      </c>
      <c r="AB2931">
        <v>18</v>
      </c>
      <c r="AC2931">
        <v>1.44</v>
      </c>
      <c r="AD2931" t="s">
        <v>15255</v>
      </c>
      <c r="AE2931" t="s">
        <v>15256</v>
      </c>
      <c r="AF2931" t="s">
        <v>15257</v>
      </c>
      <c r="AG2931" t="s">
        <v>15258</v>
      </c>
      <c r="AH2931">
        <v>-0.35</v>
      </c>
      <c r="AI2931">
        <v>-1.04</v>
      </c>
      <c r="AJ2931">
        <v>3.7</v>
      </c>
      <c r="AK2931">
        <v>10.18</v>
      </c>
      <c r="AL2931">
        <v>2</v>
      </c>
      <c r="AM2931">
        <v>0.35</v>
      </c>
      <c r="AN2931">
        <v>11.47</v>
      </c>
      <c r="AO2931">
        <v>5.3</v>
      </c>
      <c r="AP2931">
        <v>-22.62</v>
      </c>
    </row>
    <row r="2932" spans="1:42">
      <c r="A2932">
        <v>2931</v>
      </c>
      <c r="B2932" t="str">
        <f>"002203"</f>
        <v>002203</v>
      </c>
      <c r="C2932" t="s">
        <v>15259</v>
      </c>
      <c r="D2932">
        <v>11.08</v>
      </c>
      <c r="E2932">
        <v>-0.09</v>
      </c>
      <c r="F2932">
        <v>-0.01</v>
      </c>
      <c r="G2932" t="s">
        <v>7022</v>
      </c>
      <c r="H2932">
        <v>363</v>
      </c>
      <c r="I2932">
        <v>11.08</v>
      </c>
      <c r="J2932">
        <v>11.09</v>
      </c>
      <c r="K2932" t="s">
        <v>15260</v>
      </c>
      <c r="L2932">
        <v>0.26</v>
      </c>
      <c r="M2932" t="s">
        <v>46</v>
      </c>
      <c r="N2932" t="s">
        <v>5893</v>
      </c>
      <c r="O2932">
        <v>11.1</v>
      </c>
      <c r="P2932">
        <v>10.93</v>
      </c>
      <c r="Q2932">
        <v>11.07</v>
      </c>
      <c r="R2932">
        <v>11.09</v>
      </c>
      <c r="S2932">
        <v>1.53</v>
      </c>
      <c r="T2932">
        <v>0.39</v>
      </c>
      <c r="U2932">
        <v>-38.76</v>
      </c>
      <c r="V2932">
        <v>-1028</v>
      </c>
      <c r="W2932">
        <v>11.02</v>
      </c>
      <c r="X2932" t="s">
        <v>7485</v>
      </c>
      <c r="Y2932" t="s">
        <v>6266</v>
      </c>
      <c r="Z2932">
        <v>1.2</v>
      </c>
      <c r="AA2932">
        <v>69</v>
      </c>
      <c r="AB2932">
        <v>97</v>
      </c>
      <c r="AC2932">
        <v>1.68</v>
      </c>
      <c r="AD2932" t="s">
        <v>1633</v>
      </c>
      <c r="AE2932" t="s">
        <v>15261</v>
      </c>
      <c r="AF2932" t="s">
        <v>8992</v>
      </c>
      <c r="AG2932" t="s">
        <v>15262</v>
      </c>
      <c r="AH2932">
        <v>-0.63</v>
      </c>
      <c r="AI2932">
        <v>2.78</v>
      </c>
      <c r="AJ2932">
        <v>1.29</v>
      </c>
      <c r="AK2932">
        <v>3.62</v>
      </c>
      <c r="AL2932">
        <v>-3</v>
      </c>
      <c r="AM2932">
        <v>-0.09</v>
      </c>
      <c r="AN2932">
        <v>-1.25</v>
      </c>
      <c r="AO2932">
        <v>2.78</v>
      </c>
      <c r="AP2932">
        <v>-8.13</v>
      </c>
    </row>
    <row r="2933" spans="1:42">
      <c r="A2933">
        <v>2932</v>
      </c>
      <c r="B2933" t="str">
        <f>"300984"</f>
        <v>300984</v>
      </c>
      <c r="C2933" t="s">
        <v>15263</v>
      </c>
      <c r="D2933">
        <v>25.83</v>
      </c>
      <c r="E2933">
        <v>-3</v>
      </c>
      <c r="F2933">
        <v>-0.8</v>
      </c>
      <c r="G2933" t="s">
        <v>4963</v>
      </c>
      <c r="H2933">
        <v>214</v>
      </c>
      <c r="I2933">
        <v>25.83</v>
      </c>
      <c r="J2933">
        <v>25.86</v>
      </c>
      <c r="K2933" t="s">
        <v>15264</v>
      </c>
      <c r="L2933">
        <v>7.29</v>
      </c>
      <c r="M2933" t="s">
        <v>46</v>
      </c>
      <c r="N2933" t="s">
        <v>1863</v>
      </c>
      <c r="O2933">
        <v>26.66</v>
      </c>
      <c r="P2933">
        <v>25.48</v>
      </c>
      <c r="Q2933">
        <v>26.63</v>
      </c>
      <c r="R2933">
        <v>26.63</v>
      </c>
      <c r="S2933">
        <v>4.43</v>
      </c>
      <c r="T2933">
        <v>1.29</v>
      </c>
      <c r="U2933">
        <v>11.51</v>
      </c>
      <c r="V2933">
        <v>32</v>
      </c>
      <c r="W2933">
        <v>25.83</v>
      </c>
      <c r="X2933" t="s">
        <v>4959</v>
      </c>
      <c r="Y2933" t="s">
        <v>1154</v>
      </c>
      <c r="Z2933">
        <v>1.1</v>
      </c>
      <c r="AA2933">
        <v>30</v>
      </c>
      <c r="AB2933">
        <v>18</v>
      </c>
      <c r="AC2933">
        <v>3</v>
      </c>
      <c r="AD2933" t="s">
        <v>15265</v>
      </c>
      <c r="AE2933" t="s">
        <v>14972</v>
      </c>
      <c r="AF2933" t="s">
        <v>15266</v>
      </c>
      <c r="AG2933" t="s">
        <v>15267</v>
      </c>
      <c r="AH2933">
        <v>-0.23</v>
      </c>
      <c r="AI2933">
        <v>0.39</v>
      </c>
      <c r="AJ2933">
        <v>28.8</v>
      </c>
      <c r="AK2933">
        <v>35.47</v>
      </c>
      <c r="AL2933">
        <v>-2</v>
      </c>
      <c r="AM2933">
        <v>-3</v>
      </c>
      <c r="AN2933">
        <v>28.06</v>
      </c>
      <c r="AO2933">
        <v>3.78</v>
      </c>
      <c r="AP2933">
        <v>13.59</v>
      </c>
    </row>
    <row r="2934" spans="1:42">
      <c r="A2934">
        <v>2933</v>
      </c>
      <c r="B2934" t="str">
        <f>"002312"</f>
        <v>002312</v>
      </c>
      <c r="C2934" t="s">
        <v>15268</v>
      </c>
      <c r="D2934">
        <v>7.1</v>
      </c>
      <c r="E2934">
        <v>0.42</v>
      </c>
      <c r="F2934">
        <v>0.03</v>
      </c>
      <c r="G2934" t="s">
        <v>6910</v>
      </c>
      <c r="H2934">
        <v>446</v>
      </c>
      <c r="I2934">
        <v>7.09</v>
      </c>
      <c r="J2934">
        <v>7.1</v>
      </c>
      <c r="K2934" t="s">
        <v>15269</v>
      </c>
      <c r="L2934">
        <v>0.58</v>
      </c>
      <c r="M2934" t="s">
        <v>46</v>
      </c>
      <c r="N2934" t="s">
        <v>15270</v>
      </c>
      <c r="O2934">
        <v>7.13</v>
      </c>
      <c r="P2934">
        <v>7.01</v>
      </c>
      <c r="Q2934">
        <v>7.1</v>
      </c>
      <c r="R2934">
        <v>7.07</v>
      </c>
      <c r="S2934">
        <v>1.7</v>
      </c>
      <c r="T2934">
        <v>0.9</v>
      </c>
      <c r="U2934">
        <v>-34.25</v>
      </c>
      <c r="V2934">
        <v>-3175</v>
      </c>
      <c r="W2934">
        <v>7.06</v>
      </c>
      <c r="X2934" t="s">
        <v>3716</v>
      </c>
      <c r="Y2934" t="s">
        <v>1320</v>
      </c>
      <c r="Z2934">
        <v>0.95</v>
      </c>
      <c r="AA2934">
        <v>1027</v>
      </c>
      <c r="AB2934">
        <v>758</v>
      </c>
      <c r="AC2934">
        <v>1.48</v>
      </c>
      <c r="AD2934" t="s">
        <v>5960</v>
      </c>
      <c r="AE2934" t="s">
        <v>440</v>
      </c>
      <c r="AF2934" t="s">
        <v>15271</v>
      </c>
      <c r="AG2934" t="s">
        <v>15272</v>
      </c>
      <c r="AH2934">
        <v>-2.61</v>
      </c>
      <c r="AI2934">
        <v>-4.05</v>
      </c>
      <c r="AJ2934">
        <v>1.95</v>
      </c>
      <c r="AK2934">
        <v>3.82</v>
      </c>
      <c r="AL2934">
        <v>1</v>
      </c>
      <c r="AM2934">
        <v>0.42</v>
      </c>
      <c r="AN2934">
        <v>-31.07</v>
      </c>
      <c r="AO2934">
        <v>0.28</v>
      </c>
      <c r="AP2934">
        <v>-37.55</v>
      </c>
    </row>
    <row r="2935" spans="1:42">
      <c r="A2935">
        <v>2934</v>
      </c>
      <c r="B2935" t="str">
        <f>"600599"</f>
        <v>600599</v>
      </c>
      <c r="C2935" t="s">
        <v>15273</v>
      </c>
      <c r="D2935">
        <v>14.39</v>
      </c>
      <c r="E2935">
        <v>4.28</v>
      </c>
      <c r="F2935">
        <v>0.59</v>
      </c>
      <c r="G2935" t="s">
        <v>4941</v>
      </c>
      <c r="H2935">
        <v>1304</v>
      </c>
      <c r="I2935">
        <v>14.38</v>
      </c>
      <c r="J2935">
        <v>14.39</v>
      </c>
      <c r="K2935" t="s">
        <v>15274</v>
      </c>
      <c r="L2935">
        <v>2.39</v>
      </c>
      <c r="M2935" t="s">
        <v>46</v>
      </c>
      <c r="N2935" t="s">
        <v>7077</v>
      </c>
      <c r="O2935">
        <v>14.4</v>
      </c>
      <c r="P2935">
        <v>13.62</v>
      </c>
      <c r="Q2935">
        <v>13.81</v>
      </c>
      <c r="R2935">
        <v>13.8</v>
      </c>
      <c r="S2935">
        <v>5.65</v>
      </c>
      <c r="T2935">
        <v>1.22</v>
      </c>
      <c r="U2935">
        <v>-60.48</v>
      </c>
      <c r="V2935">
        <v>-753</v>
      </c>
      <c r="W2935">
        <v>14.08</v>
      </c>
      <c r="X2935" t="s">
        <v>2723</v>
      </c>
      <c r="Y2935" t="s">
        <v>7210</v>
      </c>
      <c r="Z2935">
        <v>0.88</v>
      </c>
      <c r="AA2935">
        <v>66</v>
      </c>
      <c r="AB2935">
        <v>263</v>
      </c>
      <c r="AC2935">
        <v>2.86</v>
      </c>
      <c r="AD2935" t="s">
        <v>15275</v>
      </c>
      <c r="AE2935" t="s">
        <v>3336</v>
      </c>
      <c r="AF2935" t="s">
        <v>15275</v>
      </c>
      <c r="AG2935" t="s">
        <v>3336</v>
      </c>
      <c r="AH2935">
        <v>6.67</v>
      </c>
      <c r="AI2935">
        <v>10.86</v>
      </c>
      <c r="AJ2935">
        <v>7.25</v>
      </c>
      <c r="AK2935">
        <v>12.18</v>
      </c>
      <c r="AL2935">
        <v>4</v>
      </c>
      <c r="AM2935">
        <v>4.28</v>
      </c>
      <c r="AN2935">
        <v>2.86</v>
      </c>
      <c r="AO2935">
        <v>2.71</v>
      </c>
      <c r="AP2935">
        <v>28.25</v>
      </c>
    </row>
    <row r="2936" spans="1:42">
      <c r="A2936">
        <v>2935</v>
      </c>
      <c r="B2936" t="str">
        <f>"000715"</f>
        <v>000715</v>
      </c>
      <c r="C2936" t="s">
        <v>15276</v>
      </c>
      <c r="D2936">
        <v>8.04</v>
      </c>
      <c r="E2936">
        <v>1.39</v>
      </c>
      <c r="F2936">
        <v>0.11</v>
      </c>
      <c r="G2936" t="s">
        <v>3462</v>
      </c>
      <c r="H2936">
        <v>857</v>
      </c>
      <c r="I2936">
        <v>8.03</v>
      </c>
      <c r="J2936">
        <v>8.04</v>
      </c>
      <c r="K2936" t="s">
        <v>15277</v>
      </c>
      <c r="L2936">
        <v>1.68</v>
      </c>
      <c r="M2936" t="s">
        <v>46</v>
      </c>
      <c r="N2936" t="s">
        <v>6832</v>
      </c>
      <c r="O2936">
        <v>8.07</v>
      </c>
      <c r="P2936">
        <v>7.85</v>
      </c>
      <c r="Q2936">
        <v>7.93</v>
      </c>
      <c r="R2936">
        <v>7.93</v>
      </c>
      <c r="S2936">
        <v>2.77</v>
      </c>
      <c r="T2936">
        <v>1.02</v>
      </c>
      <c r="U2936">
        <v>-39.43</v>
      </c>
      <c r="V2936">
        <v>-2881</v>
      </c>
      <c r="W2936">
        <v>8.01</v>
      </c>
      <c r="X2936" t="s">
        <v>1687</v>
      </c>
      <c r="Y2936" t="s">
        <v>6912</v>
      </c>
      <c r="Z2936">
        <v>0.92</v>
      </c>
      <c r="AA2936">
        <v>139</v>
      </c>
      <c r="AB2936">
        <v>256</v>
      </c>
      <c r="AC2936">
        <v>1.84</v>
      </c>
      <c r="AD2936" t="s">
        <v>12564</v>
      </c>
      <c r="AE2936" t="s">
        <v>15278</v>
      </c>
      <c r="AF2936" t="s">
        <v>15279</v>
      </c>
      <c r="AG2936" t="s">
        <v>15280</v>
      </c>
      <c r="AH2936">
        <v>2.29</v>
      </c>
      <c r="AI2936">
        <v>4.28</v>
      </c>
      <c r="AJ2936">
        <v>4.62</v>
      </c>
      <c r="AK2936">
        <v>9.91</v>
      </c>
      <c r="AL2936">
        <v>4</v>
      </c>
      <c r="AM2936">
        <v>1.39</v>
      </c>
      <c r="AN2936">
        <v>-9.87</v>
      </c>
      <c r="AO2936">
        <v>8.8</v>
      </c>
      <c r="AP2936">
        <v>54.32</v>
      </c>
    </row>
    <row r="2937" spans="1:42">
      <c r="A2937">
        <v>2936</v>
      </c>
      <c r="B2937" t="str">
        <f>"688499"</f>
        <v>688499</v>
      </c>
      <c r="C2937" t="s">
        <v>15281</v>
      </c>
      <c r="D2937">
        <v>40</v>
      </c>
      <c r="E2937">
        <v>-2.27</v>
      </c>
      <c r="F2937">
        <v>-0.93</v>
      </c>
      <c r="G2937" t="s">
        <v>5446</v>
      </c>
      <c r="H2937">
        <v>78</v>
      </c>
      <c r="I2937">
        <v>39.99</v>
      </c>
      <c r="J2937">
        <v>40</v>
      </c>
      <c r="K2937" t="s">
        <v>15282</v>
      </c>
      <c r="L2937">
        <v>2.41</v>
      </c>
      <c r="M2937" t="s">
        <v>46</v>
      </c>
      <c r="N2937" t="s">
        <v>4144</v>
      </c>
      <c r="O2937">
        <v>41.13</v>
      </c>
      <c r="P2937">
        <v>39.62</v>
      </c>
      <c r="Q2937">
        <v>40.77</v>
      </c>
      <c r="R2937">
        <v>40.93</v>
      </c>
      <c r="S2937">
        <v>3.69</v>
      </c>
      <c r="T2937">
        <v>1.17</v>
      </c>
      <c r="U2937">
        <v>24.76</v>
      </c>
      <c r="V2937">
        <v>65</v>
      </c>
      <c r="W2937">
        <v>39.98</v>
      </c>
      <c r="X2937">
        <v>7363</v>
      </c>
      <c r="Y2937">
        <v>6614</v>
      </c>
      <c r="Z2937">
        <v>1.11</v>
      </c>
      <c r="AA2937">
        <v>12</v>
      </c>
      <c r="AB2937">
        <v>42</v>
      </c>
      <c r="AC2937">
        <v>2.03</v>
      </c>
      <c r="AD2937" t="s">
        <v>7508</v>
      </c>
      <c r="AE2937" t="s">
        <v>15283</v>
      </c>
      <c r="AF2937" t="s">
        <v>15284</v>
      </c>
      <c r="AG2937" t="s">
        <v>448</v>
      </c>
      <c r="AH2937">
        <v>-5.08</v>
      </c>
      <c r="AI2937">
        <v>-8.19</v>
      </c>
      <c r="AJ2937">
        <v>6.3</v>
      </c>
      <c r="AK2937">
        <v>12.68</v>
      </c>
      <c r="AL2937">
        <v>-3</v>
      </c>
      <c r="AM2937">
        <v>-2.27</v>
      </c>
      <c r="AN2937">
        <v>-64.33</v>
      </c>
      <c r="AO2937">
        <v>-6.13</v>
      </c>
      <c r="AP2937">
        <v>-70.01</v>
      </c>
    </row>
    <row r="2938" spans="1:42">
      <c r="A2938">
        <v>2937</v>
      </c>
      <c r="B2938" t="str">
        <f>"600824"</f>
        <v>600824</v>
      </c>
      <c r="C2938" t="s">
        <v>15285</v>
      </c>
      <c r="D2938">
        <v>4.03</v>
      </c>
      <c r="E2938">
        <v>2.03</v>
      </c>
      <c r="F2938">
        <v>0.08</v>
      </c>
      <c r="G2938" t="s">
        <v>1207</v>
      </c>
      <c r="H2938">
        <v>3229</v>
      </c>
      <c r="I2938">
        <v>4.03</v>
      </c>
      <c r="J2938">
        <v>4.04</v>
      </c>
      <c r="K2938" t="s">
        <v>15286</v>
      </c>
      <c r="L2938">
        <v>1.32</v>
      </c>
      <c r="M2938" t="s">
        <v>46</v>
      </c>
      <c r="N2938" t="s">
        <v>15287</v>
      </c>
      <c r="O2938">
        <v>4.08</v>
      </c>
      <c r="P2938">
        <v>3.93</v>
      </c>
      <c r="Q2938">
        <v>3.95</v>
      </c>
      <c r="R2938">
        <v>3.95</v>
      </c>
      <c r="S2938">
        <v>3.8</v>
      </c>
      <c r="T2938">
        <v>1.8</v>
      </c>
      <c r="U2938">
        <v>-46.29</v>
      </c>
      <c r="V2938">
        <v>-7759</v>
      </c>
      <c r="W2938">
        <v>4.02</v>
      </c>
      <c r="X2938" t="s">
        <v>7461</v>
      </c>
      <c r="Y2938" t="s">
        <v>2239</v>
      </c>
      <c r="Z2938">
        <v>0.77</v>
      </c>
      <c r="AA2938">
        <v>809</v>
      </c>
      <c r="AB2938">
        <v>1199</v>
      </c>
      <c r="AC2938">
        <v>1.76</v>
      </c>
      <c r="AD2938" t="s">
        <v>910</v>
      </c>
      <c r="AE2938" t="s">
        <v>9479</v>
      </c>
      <c r="AF2938" t="s">
        <v>910</v>
      </c>
      <c r="AG2938" t="s">
        <v>9479</v>
      </c>
      <c r="AH2938">
        <v>2.81</v>
      </c>
      <c r="AI2938">
        <v>2.81</v>
      </c>
      <c r="AJ2938">
        <v>2.62</v>
      </c>
      <c r="AK2938">
        <v>4.97</v>
      </c>
      <c r="AL2938">
        <v>2</v>
      </c>
      <c r="AM2938">
        <v>2.03</v>
      </c>
      <c r="AN2938">
        <v>2.54</v>
      </c>
      <c r="AO2938">
        <v>8.63</v>
      </c>
      <c r="AP2938">
        <v>17.49</v>
      </c>
    </row>
    <row r="2939" spans="1:42">
      <c r="A2939">
        <v>2938</v>
      </c>
      <c r="B2939" t="str">
        <f>"300233"</f>
        <v>300233</v>
      </c>
      <c r="C2939" t="s">
        <v>15288</v>
      </c>
      <c r="D2939">
        <v>18.13</v>
      </c>
      <c r="E2939">
        <v>0.55</v>
      </c>
      <c r="F2939">
        <v>0.1</v>
      </c>
      <c r="G2939" t="s">
        <v>7205</v>
      </c>
      <c r="H2939">
        <v>361</v>
      </c>
      <c r="I2939">
        <v>18.12</v>
      </c>
      <c r="J2939">
        <v>18.13</v>
      </c>
      <c r="K2939" t="s">
        <v>15289</v>
      </c>
      <c r="L2939">
        <v>0.85</v>
      </c>
      <c r="M2939" t="s">
        <v>46</v>
      </c>
      <c r="N2939" t="s">
        <v>10041</v>
      </c>
      <c r="O2939">
        <v>18.35</v>
      </c>
      <c r="P2939">
        <v>18</v>
      </c>
      <c r="Q2939">
        <v>18</v>
      </c>
      <c r="R2939">
        <v>18.03</v>
      </c>
      <c r="S2939">
        <v>1.94</v>
      </c>
      <c r="T2939">
        <v>0.89</v>
      </c>
      <c r="U2939">
        <v>22.65</v>
      </c>
      <c r="V2939">
        <v>154</v>
      </c>
      <c r="W2939">
        <v>18.16</v>
      </c>
      <c r="X2939" t="s">
        <v>141</v>
      </c>
      <c r="Y2939" t="s">
        <v>6595</v>
      </c>
      <c r="Z2939">
        <v>1.06</v>
      </c>
      <c r="AA2939">
        <v>10</v>
      </c>
      <c r="AB2939">
        <v>20</v>
      </c>
      <c r="AC2939">
        <v>1.89</v>
      </c>
      <c r="AD2939" t="s">
        <v>15290</v>
      </c>
      <c r="AE2939" t="s">
        <v>15291</v>
      </c>
      <c r="AF2939" t="s">
        <v>659</v>
      </c>
      <c r="AG2939" t="s">
        <v>11383</v>
      </c>
      <c r="AH2939">
        <v>-0.66</v>
      </c>
      <c r="AI2939">
        <v>-2.16</v>
      </c>
      <c r="AJ2939">
        <v>2.18</v>
      </c>
      <c r="AK2939">
        <v>5.62</v>
      </c>
      <c r="AL2939">
        <v>1</v>
      </c>
      <c r="AM2939">
        <v>0.55</v>
      </c>
      <c r="AN2939">
        <v>-19.85</v>
      </c>
      <c r="AO2939">
        <v>-1.31</v>
      </c>
      <c r="AP2939">
        <v>-33.83</v>
      </c>
    </row>
    <row r="2940" spans="1:42">
      <c r="A2940">
        <v>2939</v>
      </c>
      <c r="B2940" t="str">
        <f>"301004"</f>
        <v>301004</v>
      </c>
      <c r="C2940" t="s">
        <v>15292</v>
      </c>
      <c r="D2940">
        <v>47.69</v>
      </c>
      <c r="E2940">
        <v>4.7</v>
      </c>
      <c r="F2940">
        <v>2.14</v>
      </c>
      <c r="G2940" t="s">
        <v>718</v>
      </c>
      <c r="H2940">
        <v>88</v>
      </c>
      <c r="I2940">
        <v>47.67</v>
      </c>
      <c r="J2940">
        <v>47.74</v>
      </c>
      <c r="K2940" t="s">
        <v>15289</v>
      </c>
      <c r="L2940">
        <v>4.55</v>
      </c>
      <c r="M2940" t="s">
        <v>46</v>
      </c>
      <c r="N2940" t="s">
        <v>3125</v>
      </c>
      <c r="O2940">
        <v>47.9</v>
      </c>
      <c r="P2940">
        <v>45.38</v>
      </c>
      <c r="Q2940">
        <v>45.79</v>
      </c>
      <c r="R2940">
        <v>45.55</v>
      </c>
      <c r="S2940">
        <v>5.53</v>
      </c>
      <c r="T2940">
        <v>2.12</v>
      </c>
      <c r="U2940">
        <v>30.77</v>
      </c>
      <c r="V2940">
        <v>32</v>
      </c>
      <c r="W2940">
        <v>46.88</v>
      </c>
      <c r="X2940">
        <v>5041</v>
      </c>
      <c r="Y2940">
        <v>6862</v>
      </c>
      <c r="Z2940">
        <v>0.73</v>
      </c>
      <c r="AA2940">
        <v>1</v>
      </c>
      <c r="AB2940">
        <v>5</v>
      </c>
      <c r="AC2940">
        <v>4.35</v>
      </c>
      <c r="AD2940" t="s">
        <v>4056</v>
      </c>
      <c r="AE2940" t="s">
        <v>15293</v>
      </c>
      <c r="AF2940" t="s">
        <v>15294</v>
      </c>
      <c r="AG2940" t="s">
        <v>15295</v>
      </c>
      <c r="AH2940">
        <v>5.37</v>
      </c>
      <c r="AI2940">
        <v>4.17</v>
      </c>
      <c r="AJ2940">
        <v>8.63</v>
      </c>
      <c r="AK2940">
        <v>15.29</v>
      </c>
      <c r="AL2940">
        <v>4</v>
      </c>
      <c r="AM2940">
        <v>4.7</v>
      </c>
      <c r="AN2940">
        <v>65.71</v>
      </c>
      <c r="AO2940">
        <v>5.28</v>
      </c>
      <c r="AP2940">
        <v>48.75</v>
      </c>
    </row>
    <row r="2941" spans="1:42">
      <c r="A2941">
        <v>2940</v>
      </c>
      <c r="B2941" t="str">
        <f>"688819"</f>
        <v>688819</v>
      </c>
      <c r="C2941" t="s">
        <v>15296</v>
      </c>
      <c r="D2941">
        <v>29.27</v>
      </c>
      <c r="E2941">
        <v>-1.11</v>
      </c>
      <c r="F2941">
        <v>-0.33</v>
      </c>
      <c r="G2941" t="s">
        <v>2329</v>
      </c>
      <c r="H2941">
        <v>81</v>
      </c>
      <c r="I2941">
        <v>29.26</v>
      </c>
      <c r="J2941">
        <v>29.27</v>
      </c>
      <c r="K2941" t="s">
        <v>15297</v>
      </c>
      <c r="L2941">
        <v>1.46</v>
      </c>
      <c r="M2941" t="s">
        <v>46</v>
      </c>
      <c r="N2941" t="s">
        <v>5885</v>
      </c>
      <c r="O2941">
        <v>29.6</v>
      </c>
      <c r="P2941">
        <v>29.06</v>
      </c>
      <c r="Q2941">
        <v>29.6</v>
      </c>
      <c r="R2941">
        <v>29.6</v>
      </c>
      <c r="S2941">
        <v>1.82</v>
      </c>
      <c r="T2941">
        <v>1.05</v>
      </c>
      <c r="U2941">
        <v>-64.78</v>
      </c>
      <c r="V2941">
        <v>-215</v>
      </c>
      <c r="W2941">
        <v>29.26</v>
      </c>
      <c r="X2941" t="s">
        <v>8636</v>
      </c>
      <c r="Y2941">
        <v>7049</v>
      </c>
      <c r="Z2941">
        <v>1.7</v>
      </c>
      <c r="AA2941">
        <v>2</v>
      </c>
      <c r="AB2941">
        <v>54</v>
      </c>
      <c r="AC2941">
        <v>1.92</v>
      </c>
      <c r="AD2941" t="s">
        <v>15298</v>
      </c>
      <c r="AE2941" t="s">
        <v>15299</v>
      </c>
      <c r="AF2941" t="s">
        <v>4465</v>
      </c>
      <c r="AG2941" t="s">
        <v>6326</v>
      </c>
      <c r="AH2941">
        <v>-5.49</v>
      </c>
      <c r="AI2941">
        <v>-5.97</v>
      </c>
      <c r="AJ2941">
        <v>4.79</v>
      </c>
      <c r="AK2941">
        <v>8.37</v>
      </c>
      <c r="AL2941">
        <v>-3</v>
      </c>
      <c r="AM2941">
        <v>-1.11</v>
      </c>
      <c r="AN2941">
        <v>-19.01</v>
      </c>
      <c r="AO2941">
        <v>-7.96</v>
      </c>
      <c r="AP2941">
        <v>-21.13</v>
      </c>
    </row>
    <row r="2942" spans="1:42">
      <c r="A2942">
        <v>2941</v>
      </c>
      <c r="B2942" t="str">
        <f>"002626"</f>
        <v>002626</v>
      </c>
      <c r="C2942" t="s">
        <v>15300</v>
      </c>
      <c r="D2942">
        <v>17.95</v>
      </c>
      <c r="E2942">
        <v>0.73</v>
      </c>
      <c r="F2942">
        <v>0.13</v>
      </c>
      <c r="G2942" t="s">
        <v>5266</v>
      </c>
      <c r="H2942">
        <v>278</v>
      </c>
      <c r="I2942">
        <v>17.94</v>
      </c>
      <c r="J2942">
        <v>17.95</v>
      </c>
      <c r="K2942" t="s">
        <v>15301</v>
      </c>
      <c r="L2942">
        <v>0.51</v>
      </c>
      <c r="M2942" t="s">
        <v>46</v>
      </c>
      <c r="N2942" t="s">
        <v>5803</v>
      </c>
      <c r="O2942">
        <v>18.02</v>
      </c>
      <c r="P2942">
        <v>17.78</v>
      </c>
      <c r="Q2942">
        <v>17.93</v>
      </c>
      <c r="R2942">
        <v>17.82</v>
      </c>
      <c r="S2942">
        <v>1.35</v>
      </c>
      <c r="T2942">
        <v>0.88</v>
      </c>
      <c r="U2942">
        <v>32.9</v>
      </c>
      <c r="V2942">
        <v>453</v>
      </c>
      <c r="W2942">
        <v>17.91</v>
      </c>
      <c r="X2942" t="s">
        <v>141</v>
      </c>
      <c r="Y2942" t="s">
        <v>578</v>
      </c>
      <c r="Z2942">
        <v>1.04</v>
      </c>
      <c r="AA2942">
        <v>49</v>
      </c>
      <c r="AB2942">
        <v>90</v>
      </c>
      <c r="AC2942">
        <v>2.83</v>
      </c>
      <c r="AD2942" t="s">
        <v>15302</v>
      </c>
      <c r="AE2942" t="s">
        <v>5587</v>
      </c>
      <c r="AF2942" t="s">
        <v>15303</v>
      </c>
      <c r="AG2942" t="s">
        <v>5587</v>
      </c>
      <c r="AH2942">
        <v>-1.21</v>
      </c>
      <c r="AI2942">
        <v>-2.23</v>
      </c>
      <c r="AJ2942">
        <v>1.54</v>
      </c>
      <c r="AK2942">
        <v>3.4</v>
      </c>
      <c r="AL2942">
        <v>1</v>
      </c>
      <c r="AM2942">
        <v>0.73</v>
      </c>
      <c r="AN2942">
        <v>-12.52</v>
      </c>
      <c r="AO2942">
        <v>0.06</v>
      </c>
      <c r="AP2942">
        <v>-3.44</v>
      </c>
    </row>
    <row r="2943" spans="1:42">
      <c r="A2943">
        <v>2942</v>
      </c>
      <c r="B2943" t="str">
        <f>"002772"</f>
        <v>002772</v>
      </c>
      <c r="C2943" t="s">
        <v>15304</v>
      </c>
      <c r="D2943">
        <v>8.59</v>
      </c>
      <c r="E2943">
        <v>0.82</v>
      </c>
      <c r="F2943">
        <v>0.07</v>
      </c>
      <c r="G2943" t="s">
        <v>1605</v>
      </c>
      <c r="H2943">
        <v>1493</v>
      </c>
      <c r="I2943">
        <v>8.59</v>
      </c>
      <c r="J2943">
        <v>8.6</v>
      </c>
      <c r="K2943" t="s">
        <v>15305</v>
      </c>
      <c r="L2943">
        <v>1.67</v>
      </c>
      <c r="M2943" t="s">
        <v>46</v>
      </c>
      <c r="N2943" t="s">
        <v>4326</v>
      </c>
      <c r="O2943">
        <v>8.64</v>
      </c>
      <c r="P2943">
        <v>8.49</v>
      </c>
      <c r="Q2943">
        <v>8.52</v>
      </c>
      <c r="R2943">
        <v>8.52</v>
      </c>
      <c r="S2943">
        <v>1.76</v>
      </c>
      <c r="T2943">
        <v>0.97</v>
      </c>
      <c r="U2943">
        <v>-14.18</v>
      </c>
      <c r="V2943">
        <v>-811</v>
      </c>
      <c r="W2943">
        <v>8.57</v>
      </c>
      <c r="X2943" t="s">
        <v>3558</v>
      </c>
      <c r="Y2943" t="s">
        <v>3457</v>
      </c>
      <c r="Z2943">
        <v>0.95</v>
      </c>
      <c r="AA2943">
        <v>853</v>
      </c>
      <c r="AB2943">
        <v>517</v>
      </c>
      <c r="AC2943">
        <v>1.01</v>
      </c>
      <c r="AD2943" t="s">
        <v>15306</v>
      </c>
      <c r="AE2943" t="s">
        <v>15307</v>
      </c>
      <c r="AF2943" t="s">
        <v>15308</v>
      </c>
      <c r="AG2943" t="s">
        <v>15309</v>
      </c>
      <c r="AH2943">
        <v>-0.23</v>
      </c>
      <c r="AI2943">
        <v>2.63</v>
      </c>
      <c r="AJ2943">
        <v>4.68</v>
      </c>
      <c r="AK2943">
        <v>10.35</v>
      </c>
      <c r="AL2943">
        <v>1</v>
      </c>
      <c r="AM2943">
        <v>0.82</v>
      </c>
      <c r="AN2943">
        <v>7.11</v>
      </c>
      <c r="AO2943">
        <v>5.53</v>
      </c>
      <c r="AP2943">
        <v>10.7</v>
      </c>
    </row>
    <row r="2944" spans="1:42">
      <c r="A2944">
        <v>2943</v>
      </c>
      <c r="B2944" t="str">
        <f>"600281"</f>
        <v>600281</v>
      </c>
      <c r="C2944" t="s">
        <v>15310</v>
      </c>
      <c r="D2944">
        <v>4.72</v>
      </c>
      <c r="E2944">
        <v>2.61</v>
      </c>
      <c r="F2944">
        <v>0.12</v>
      </c>
      <c r="G2944" t="s">
        <v>1908</v>
      </c>
      <c r="H2944">
        <v>2288</v>
      </c>
      <c r="I2944">
        <v>4.71</v>
      </c>
      <c r="J2944">
        <v>4.72</v>
      </c>
      <c r="K2944" t="s">
        <v>15311</v>
      </c>
      <c r="L2944">
        <v>2.31</v>
      </c>
      <c r="M2944" t="s">
        <v>46</v>
      </c>
      <c r="N2944" t="s">
        <v>5820</v>
      </c>
      <c r="O2944">
        <v>4.73</v>
      </c>
      <c r="P2944">
        <v>4.6</v>
      </c>
      <c r="Q2944">
        <v>4.61</v>
      </c>
      <c r="R2944">
        <v>4.6</v>
      </c>
      <c r="S2944">
        <v>2.83</v>
      </c>
      <c r="T2944">
        <v>0.58</v>
      </c>
      <c r="U2944">
        <v>-25.84</v>
      </c>
      <c r="V2944">
        <v>-2367</v>
      </c>
      <c r="W2944">
        <v>4.69</v>
      </c>
      <c r="X2944" t="s">
        <v>4035</v>
      </c>
      <c r="Y2944" t="s">
        <v>3002</v>
      </c>
      <c r="Z2944">
        <v>0.73</v>
      </c>
      <c r="AA2944">
        <v>590</v>
      </c>
      <c r="AB2944">
        <v>1516</v>
      </c>
      <c r="AC2944">
        <v>7.59</v>
      </c>
      <c r="AD2944" t="s">
        <v>15312</v>
      </c>
      <c r="AE2944" t="s">
        <v>15313</v>
      </c>
      <c r="AF2944" t="s">
        <v>15312</v>
      </c>
      <c r="AG2944" t="s">
        <v>15313</v>
      </c>
      <c r="AH2944">
        <v>1.72</v>
      </c>
      <c r="AI2944">
        <v>-3.08</v>
      </c>
      <c r="AJ2944">
        <v>7.28</v>
      </c>
      <c r="AK2944">
        <v>22.14</v>
      </c>
      <c r="AL2944">
        <v>1</v>
      </c>
      <c r="AM2944">
        <v>2.61</v>
      </c>
      <c r="AN2944">
        <v>6.55</v>
      </c>
      <c r="AO2944">
        <v>9.01</v>
      </c>
      <c r="AP2944">
        <v>-1.26</v>
      </c>
    </row>
    <row r="2945" spans="1:42">
      <c r="A2945">
        <v>2944</v>
      </c>
      <c r="B2945" t="str">
        <f>"300872"</f>
        <v>300872</v>
      </c>
      <c r="C2945" t="s">
        <v>15314</v>
      </c>
      <c r="D2945">
        <v>14.26</v>
      </c>
      <c r="E2945">
        <v>2.44</v>
      </c>
      <c r="F2945">
        <v>0.34</v>
      </c>
      <c r="G2945" t="s">
        <v>5871</v>
      </c>
      <c r="H2945">
        <v>704</v>
      </c>
      <c r="I2945">
        <v>14.25</v>
      </c>
      <c r="J2945">
        <v>14.26</v>
      </c>
      <c r="K2945" t="s">
        <v>15315</v>
      </c>
      <c r="L2945">
        <v>1.16</v>
      </c>
      <c r="M2945" t="s">
        <v>46</v>
      </c>
      <c r="N2945" t="s">
        <v>11419</v>
      </c>
      <c r="O2945">
        <v>14.31</v>
      </c>
      <c r="P2945">
        <v>13.83</v>
      </c>
      <c r="Q2945">
        <v>13.94</v>
      </c>
      <c r="R2945">
        <v>13.92</v>
      </c>
      <c r="S2945">
        <v>3.45</v>
      </c>
      <c r="T2945">
        <v>1.18</v>
      </c>
      <c r="U2945">
        <v>-16.92</v>
      </c>
      <c r="V2945">
        <v>-322</v>
      </c>
      <c r="W2945">
        <v>14.13</v>
      </c>
      <c r="X2945" t="s">
        <v>1112</v>
      </c>
      <c r="Y2945" t="s">
        <v>3327</v>
      </c>
      <c r="Z2945">
        <v>0.74</v>
      </c>
      <c r="AA2945">
        <v>70</v>
      </c>
      <c r="AB2945">
        <v>17</v>
      </c>
      <c r="AC2945">
        <v>2.36</v>
      </c>
      <c r="AD2945" t="s">
        <v>15316</v>
      </c>
      <c r="AE2945" t="s">
        <v>15317</v>
      </c>
      <c r="AF2945" t="s">
        <v>11620</v>
      </c>
      <c r="AG2945" t="s">
        <v>11974</v>
      </c>
      <c r="AH2945">
        <v>0.64</v>
      </c>
      <c r="AI2945">
        <v>-1.25</v>
      </c>
      <c r="AJ2945">
        <v>2.85</v>
      </c>
      <c r="AK2945">
        <v>6.07</v>
      </c>
      <c r="AL2945">
        <v>1</v>
      </c>
      <c r="AM2945">
        <v>2.44</v>
      </c>
      <c r="AN2945">
        <v>10.29</v>
      </c>
      <c r="AO2945">
        <v>3.18</v>
      </c>
      <c r="AP2945">
        <v>-1.18</v>
      </c>
    </row>
    <row r="2946" spans="1:42">
      <c r="A2946">
        <v>2945</v>
      </c>
      <c r="B2946" t="str">
        <f>"301070"</f>
        <v>301070</v>
      </c>
      <c r="C2946" t="s">
        <v>15318</v>
      </c>
      <c r="D2946">
        <v>44.3</v>
      </c>
      <c r="E2946">
        <v>-2.34</v>
      </c>
      <c r="F2946">
        <v>-1.06</v>
      </c>
      <c r="G2946" t="s">
        <v>682</v>
      </c>
      <c r="H2946">
        <v>62</v>
      </c>
      <c r="I2946">
        <v>44.26</v>
      </c>
      <c r="J2946">
        <v>44.3</v>
      </c>
      <c r="K2946" t="s">
        <v>15319</v>
      </c>
      <c r="L2946">
        <v>3.58</v>
      </c>
      <c r="M2946" t="s">
        <v>46</v>
      </c>
      <c r="N2946" t="s">
        <v>4739</v>
      </c>
      <c r="O2946">
        <v>45.78</v>
      </c>
      <c r="P2946">
        <v>43.09</v>
      </c>
      <c r="Q2946">
        <v>45.77</v>
      </c>
      <c r="R2946">
        <v>45.36</v>
      </c>
      <c r="S2946">
        <v>5.93</v>
      </c>
      <c r="T2946">
        <v>1.18</v>
      </c>
      <c r="U2946">
        <v>89.17</v>
      </c>
      <c r="V2946">
        <v>247</v>
      </c>
      <c r="W2946">
        <v>44.07</v>
      </c>
      <c r="X2946">
        <v>5943</v>
      </c>
      <c r="Y2946">
        <v>6619</v>
      </c>
      <c r="Z2946">
        <v>0.9</v>
      </c>
      <c r="AA2946">
        <v>21</v>
      </c>
      <c r="AB2946">
        <v>1</v>
      </c>
      <c r="AC2946">
        <v>3.45</v>
      </c>
      <c r="AD2946" t="s">
        <v>15320</v>
      </c>
      <c r="AE2946" t="s">
        <v>853</v>
      </c>
      <c r="AF2946" t="s">
        <v>15321</v>
      </c>
      <c r="AG2946" t="s">
        <v>15322</v>
      </c>
      <c r="AH2946">
        <v>-3.9</v>
      </c>
      <c r="AI2946">
        <v>-3.63</v>
      </c>
      <c r="AJ2946">
        <v>8.85</v>
      </c>
      <c r="AK2946">
        <v>18.79</v>
      </c>
      <c r="AL2946">
        <v>-3</v>
      </c>
      <c r="AM2946">
        <v>-2.34</v>
      </c>
      <c r="AN2946">
        <v>90.29</v>
      </c>
      <c r="AO2946">
        <v>12.75</v>
      </c>
      <c r="AP2946">
        <v>70.38</v>
      </c>
    </row>
    <row r="2947" spans="1:42">
      <c r="A2947">
        <v>2946</v>
      </c>
      <c r="B2947" t="str">
        <f>"688127"</f>
        <v>688127</v>
      </c>
      <c r="C2947" t="s">
        <v>15323</v>
      </c>
      <c r="D2947">
        <v>20.24</v>
      </c>
      <c r="E2947">
        <v>-1.36</v>
      </c>
      <c r="F2947">
        <v>-0.28</v>
      </c>
      <c r="G2947" t="s">
        <v>6675</v>
      </c>
      <c r="H2947">
        <v>265</v>
      </c>
      <c r="I2947">
        <v>20.24</v>
      </c>
      <c r="J2947">
        <v>20.26</v>
      </c>
      <c r="K2947" t="s">
        <v>15324</v>
      </c>
      <c r="L2947">
        <v>0.68</v>
      </c>
      <c r="M2947" t="s">
        <v>46</v>
      </c>
      <c r="N2947" t="s">
        <v>7424</v>
      </c>
      <c r="O2947">
        <v>20.56</v>
      </c>
      <c r="P2947">
        <v>20.13</v>
      </c>
      <c r="Q2947">
        <v>20.44</v>
      </c>
      <c r="R2947">
        <v>20.52</v>
      </c>
      <c r="S2947">
        <v>2.1</v>
      </c>
      <c r="T2947">
        <v>0.71</v>
      </c>
      <c r="U2947">
        <v>40.18</v>
      </c>
      <c r="V2947">
        <v>211</v>
      </c>
      <c r="W2947">
        <v>20.32</v>
      </c>
      <c r="X2947" t="s">
        <v>4525</v>
      </c>
      <c r="Y2947" t="s">
        <v>1777</v>
      </c>
      <c r="Z2947">
        <v>1.03</v>
      </c>
      <c r="AA2947">
        <v>17</v>
      </c>
      <c r="AB2947">
        <v>17</v>
      </c>
      <c r="AC2947">
        <v>5.09</v>
      </c>
      <c r="AD2947" t="s">
        <v>15325</v>
      </c>
      <c r="AE2947" t="s">
        <v>15326</v>
      </c>
      <c r="AF2947" t="s">
        <v>15325</v>
      </c>
      <c r="AG2947" t="s">
        <v>15326</v>
      </c>
      <c r="AH2947">
        <v>-2.27</v>
      </c>
      <c r="AI2947">
        <v>-2.46</v>
      </c>
      <c r="AJ2947">
        <v>2.62</v>
      </c>
      <c r="AK2947">
        <v>5.43</v>
      </c>
      <c r="AL2947">
        <v>-2</v>
      </c>
      <c r="AM2947">
        <v>-1.36</v>
      </c>
      <c r="AN2947">
        <v>27.06</v>
      </c>
      <c r="AO2947">
        <v>-0.15</v>
      </c>
      <c r="AP2947">
        <v>16.99</v>
      </c>
    </row>
    <row r="2948" spans="1:42">
      <c r="A2948">
        <v>2947</v>
      </c>
      <c r="B2948" t="str">
        <f>"600998"</f>
        <v>600998</v>
      </c>
      <c r="C2948" t="s">
        <v>15327</v>
      </c>
      <c r="D2948">
        <v>7.48</v>
      </c>
      <c r="E2948">
        <v>-0.4</v>
      </c>
      <c r="F2948">
        <v>-0.03</v>
      </c>
      <c r="G2948" t="s">
        <v>4881</v>
      </c>
      <c r="H2948">
        <v>587</v>
      </c>
      <c r="I2948">
        <v>7.48</v>
      </c>
      <c r="J2948">
        <v>7.49</v>
      </c>
      <c r="K2948" t="s">
        <v>15328</v>
      </c>
      <c r="L2948">
        <v>0.19</v>
      </c>
      <c r="M2948" t="s">
        <v>46</v>
      </c>
      <c r="N2948" t="s">
        <v>15329</v>
      </c>
      <c r="O2948">
        <v>7.57</v>
      </c>
      <c r="P2948">
        <v>7.43</v>
      </c>
      <c r="Q2948">
        <v>7.51</v>
      </c>
      <c r="R2948">
        <v>7.51</v>
      </c>
      <c r="S2948">
        <v>1.86</v>
      </c>
      <c r="T2948">
        <v>0.81</v>
      </c>
      <c r="U2948">
        <v>19.95</v>
      </c>
      <c r="V2948">
        <v>798</v>
      </c>
      <c r="W2948">
        <v>7.49</v>
      </c>
      <c r="X2948" t="s">
        <v>1559</v>
      </c>
      <c r="Y2948" t="s">
        <v>2189</v>
      </c>
      <c r="Z2948">
        <v>1</v>
      </c>
      <c r="AA2948">
        <v>167</v>
      </c>
      <c r="AB2948">
        <v>120</v>
      </c>
      <c r="AC2948">
        <v>1.25</v>
      </c>
      <c r="AD2948" t="s">
        <v>3854</v>
      </c>
      <c r="AE2948" t="s">
        <v>15330</v>
      </c>
      <c r="AF2948" t="s">
        <v>3854</v>
      </c>
      <c r="AG2948" t="s">
        <v>15330</v>
      </c>
      <c r="AH2948">
        <v>-0.4</v>
      </c>
      <c r="AI2948">
        <v>0.13</v>
      </c>
      <c r="AJ2948">
        <v>0.61</v>
      </c>
      <c r="AK2948">
        <v>1.36</v>
      </c>
      <c r="AL2948">
        <v>-1</v>
      </c>
      <c r="AM2948">
        <v>-0.4</v>
      </c>
      <c r="AN2948">
        <v>24.46</v>
      </c>
      <c r="AO2948">
        <v>3.31</v>
      </c>
      <c r="AP2948">
        <v>22.22</v>
      </c>
    </row>
    <row r="2949" spans="1:42">
      <c r="A2949">
        <v>2948</v>
      </c>
      <c r="B2949" t="str">
        <f>"301498"</f>
        <v>301498</v>
      </c>
      <c r="C2949" t="s">
        <v>15331</v>
      </c>
      <c r="D2949">
        <v>44.4</v>
      </c>
      <c r="E2949">
        <v>-0.22</v>
      </c>
      <c r="F2949">
        <v>-0.1</v>
      </c>
      <c r="G2949" t="s">
        <v>2547</v>
      </c>
      <c r="H2949">
        <v>142</v>
      </c>
      <c r="I2949">
        <v>44.37</v>
      </c>
      <c r="J2949">
        <v>44.4</v>
      </c>
      <c r="K2949" t="s">
        <v>15332</v>
      </c>
      <c r="L2949">
        <v>3.32</v>
      </c>
      <c r="M2949" t="s">
        <v>46</v>
      </c>
      <c r="N2949" t="s">
        <v>5167</v>
      </c>
      <c r="O2949">
        <v>44.76</v>
      </c>
      <c r="P2949">
        <v>43.84</v>
      </c>
      <c r="Q2949">
        <v>44</v>
      </c>
      <c r="R2949">
        <v>44.5</v>
      </c>
      <c r="S2949">
        <v>2.07</v>
      </c>
      <c r="T2949">
        <v>0.74</v>
      </c>
      <c r="U2949">
        <v>-36.05</v>
      </c>
      <c r="V2949">
        <v>-53</v>
      </c>
      <c r="W2949">
        <v>44.34</v>
      </c>
      <c r="X2949">
        <v>6356</v>
      </c>
      <c r="Y2949">
        <v>6118</v>
      </c>
      <c r="Z2949">
        <v>1.04</v>
      </c>
      <c r="AA2949">
        <v>3</v>
      </c>
      <c r="AB2949">
        <v>10</v>
      </c>
      <c r="AC2949">
        <v>5.01</v>
      </c>
      <c r="AD2949" t="s">
        <v>7381</v>
      </c>
      <c r="AE2949" t="s">
        <v>8901</v>
      </c>
      <c r="AF2949" t="s">
        <v>15333</v>
      </c>
      <c r="AG2949" t="s">
        <v>15334</v>
      </c>
      <c r="AH2949">
        <v>-0.78</v>
      </c>
      <c r="AI2949">
        <v>-0.67</v>
      </c>
      <c r="AJ2949">
        <v>11.81</v>
      </c>
      <c r="AK2949">
        <v>25.7</v>
      </c>
      <c r="AL2949">
        <v>-3</v>
      </c>
      <c r="AM2949">
        <v>-0.22</v>
      </c>
      <c r="AN2949">
        <v>11.03</v>
      </c>
      <c r="AO2949">
        <v>0.84</v>
      </c>
      <c r="AP2949">
        <v>11.03</v>
      </c>
    </row>
    <row r="2950" spans="1:42">
      <c r="A2950">
        <v>2949</v>
      </c>
      <c r="B2950" t="str">
        <f>"300806"</f>
        <v>300806</v>
      </c>
      <c r="C2950" t="s">
        <v>15335</v>
      </c>
      <c r="D2950">
        <v>15.52</v>
      </c>
      <c r="E2950">
        <v>-2.08</v>
      </c>
      <c r="F2950">
        <v>-0.33</v>
      </c>
      <c r="G2950" t="s">
        <v>5693</v>
      </c>
      <c r="H2950">
        <v>433</v>
      </c>
      <c r="I2950">
        <v>15.52</v>
      </c>
      <c r="J2950">
        <v>15.53</v>
      </c>
      <c r="K2950" t="s">
        <v>15336</v>
      </c>
      <c r="L2950">
        <v>1.34</v>
      </c>
      <c r="M2950" t="s">
        <v>46</v>
      </c>
      <c r="N2950" t="s">
        <v>3590</v>
      </c>
      <c r="O2950">
        <v>15.92</v>
      </c>
      <c r="P2950">
        <v>15.39</v>
      </c>
      <c r="Q2950">
        <v>15.91</v>
      </c>
      <c r="R2950">
        <v>15.85</v>
      </c>
      <c r="S2950">
        <v>3.34</v>
      </c>
      <c r="T2950">
        <v>0.88</v>
      </c>
      <c r="U2950">
        <v>26.06</v>
      </c>
      <c r="V2950">
        <v>245</v>
      </c>
      <c r="W2950">
        <v>15.52</v>
      </c>
      <c r="X2950" t="s">
        <v>9766</v>
      </c>
      <c r="Y2950" t="s">
        <v>2807</v>
      </c>
      <c r="Z2950">
        <v>2.21</v>
      </c>
      <c r="AA2950">
        <v>36</v>
      </c>
      <c r="AB2950">
        <v>32</v>
      </c>
      <c r="AC2950">
        <v>3.14</v>
      </c>
      <c r="AD2950" t="s">
        <v>9207</v>
      </c>
      <c r="AE2950" t="s">
        <v>15337</v>
      </c>
      <c r="AF2950" t="s">
        <v>7495</v>
      </c>
      <c r="AG2950" t="s">
        <v>14832</v>
      </c>
      <c r="AH2950">
        <v>-4.49</v>
      </c>
      <c r="AI2950">
        <v>-9.29</v>
      </c>
      <c r="AJ2950">
        <v>3.51</v>
      </c>
      <c r="AK2950">
        <v>8.91</v>
      </c>
      <c r="AL2950">
        <v>-3</v>
      </c>
      <c r="AM2950">
        <v>-2.08</v>
      </c>
      <c r="AN2950">
        <v>-7.12</v>
      </c>
      <c r="AO2950">
        <v>-7.07</v>
      </c>
      <c r="AP2950">
        <v>-21.1</v>
      </c>
    </row>
    <row r="2951" spans="1:42">
      <c r="A2951">
        <v>2950</v>
      </c>
      <c r="B2951" t="str">
        <f>"839371"</f>
        <v>839371</v>
      </c>
      <c r="C2951" t="s">
        <v>15338</v>
      </c>
      <c r="D2951">
        <v>5.21</v>
      </c>
      <c r="E2951">
        <v>-1.14</v>
      </c>
      <c r="F2951">
        <v>-0.06</v>
      </c>
      <c r="G2951" t="s">
        <v>110</v>
      </c>
      <c r="H2951">
        <v>554</v>
      </c>
      <c r="I2951">
        <v>5.2</v>
      </c>
      <c r="J2951">
        <v>5.21</v>
      </c>
      <c r="K2951" t="s">
        <v>15339</v>
      </c>
      <c r="L2951">
        <v>19.05</v>
      </c>
      <c r="M2951" t="s">
        <v>46</v>
      </c>
      <c r="N2951" t="s">
        <v>15340</v>
      </c>
      <c r="O2951">
        <v>5.75</v>
      </c>
      <c r="P2951">
        <v>5.16</v>
      </c>
      <c r="Q2951">
        <v>5.27</v>
      </c>
      <c r="R2951">
        <v>5.27</v>
      </c>
      <c r="S2951">
        <v>11.2</v>
      </c>
      <c r="T2951">
        <v>0.71</v>
      </c>
      <c r="U2951">
        <v>4.59</v>
      </c>
      <c r="V2951">
        <v>92</v>
      </c>
      <c r="W2951">
        <v>5.46</v>
      </c>
      <c r="X2951" t="s">
        <v>6392</v>
      </c>
      <c r="Y2951" t="s">
        <v>4421</v>
      </c>
      <c r="Z2951">
        <v>1.06</v>
      </c>
      <c r="AA2951">
        <v>75</v>
      </c>
      <c r="AB2951">
        <v>10</v>
      </c>
      <c r="AC2951">
        <v>2.05</v>
      </c>
      <c r="AD2951" t="s">
        <v>15065</v>
      </c>
      <c r="AE2951" t="s">
        <v>2837</v>
      </c>
      <c r="AF2951" t="s">
        <v>15341</v>
      </c>
      <c r="AG2951" t="s">
        <v>15342</v>
      </c>
      <c r="AH2951">
        <v>-5.96</v>
      </c>
      <c r="AI2951">
        <v>28.33</v>
      </c>
      <c r="AJ2951">
        <v>55.1</v>
      </c>
      <c r="AK2951">
        <v>153.93</v>
      </c>
      <c r="AL2951">
        <v>-1</v>
      </c>
      <c r="AM2951">
        <v>-1.14</v>
      </c>
      <c r="AN2951">
        <v>11.32</v>
      </c>
      <c r="AO2951">
        <v>56.46</v>
      </c>
      <c r="AP2951">
        <v>11.32</v>
      </c>
    </row>
    <row r="2952" spans="1:42">
      <c r="A2952">
        <v>2951</v>
      </c>
      <c r="B2952" t="str">
        <f>"000514"</f>
        <v>000514</v>
      </c>
      <c r="C2952" t="s">
        <v>15343</v>
      </c>
      <c r="D2952">
        <v>4.43</v>
      </c>
      <c r="E2952">
        <v>1.61</v>
      </c>
      <c r="F2952">
        <v>0.07</v>
      </c>
      <c r="G2952" t="s">
        <v>1986</v>
      </c>
      <c r="H2952">
        <v>1681</v>
      </c>
      <c r="I2952">
        <v>4.43</v>
      </c>
      <c r="J2952">
        <v>4.44</v>
      </c>
      <c r="K2952" t="s">
        <v>15344</v>
      </c>
      <c r="L2952">
        <v>1.48</v>
      </c>
      <c r="M2952" t="s">
        <v>46</v>
      </c>
      <c r="N2952" t="s">
        <v>4444</v>
      </c>
      <c r="O2952">
        <v>4.47</v>
      </c>
      <c r="P2952">
        <v>4.35</v>
      </c>
      <c r="Q2952">
        <v>4.37</v>
      </c>
      <c r="R2952">
        <v>4.36</v>
      </c>
      <c r="S2952">
        <v>2.75</v>
      </c>
      <c r="T2952">
        <v>0.79</v>
      </c>
      <c r="U2952">
        <v>-0.94</v>
      </c>
      <c r="V2952">
        <v>-112</v>
      </c>
      <c r="W2952">
        <v>4.43</v>
      </c>
      <c r="X2952" t="s">
        <v>6890</v>
      </c>
      <c r="Y2952" t="s">
        <v>4359</v>
      </c>
      <c r="Z2952">
        <v>0.76</v>
      </c>
      <c r="AA2952">
        <v>1936</v>
      </c>
      <c r="AB2952">
        <v>399</v>
      </c>
      <c r="AC2952">
        <v>1.03</v>
      </c>
      <c r="AD2952" t="s">
        <v>3251</v>
      </c>
      <c r="AE2952" t="s">
        <v>10447</v>
      </c>
      <c r="AF2952" t="s">
        <v>3251</v>
      </c>
      <c r="AG2952" t="s">
        <v>10447</v>
      </c>
      <c r="AH2952">
        <v>-0.89</v>
      </c>
      <c r="AI2952">
        <v>-5.94</v>
      </c>
      <c r="AJ2952">
        <v>4.11</v>
      </c>
      <c r="AK2952">
        <v>10.89</v>
      </c>
      <c r="AL2952">
        <v>1</v>
      </c>
      <c r="AM2952">
        <v>1.61</v>
      </c>
      <c r="AN2952">
        <v>3.75</v>
      </c>
      <c r="AO2952">
        <v>3.02</v>
      </c>
      <c r="AP2952">
        <v>12.44</v>
      </c>
    </row>
    <row r="2953" spans="1:42">
      <c r="A2953">
        <v>2952</v>
      </c>
      <c r="B2953" t="str">
        <f>"002201"</f>
        <v>002201</v>
      </c>
      <c r="C2953" t="s">
        <v>15345</v>
      </c>
      <c r="D2953">
        <v>7.23</v>
      </c>
      <c r="E2953">
        <v>-0.69</v>
      </c>
      <c r="F2953">
        <v>-0.05</v>
      </c>
      <c r="G2953" t="s">
        <v>6271</v>
      </c>
      <c r="H2953">
        <v>1215</v>
      </c>
      <c r="I2953">
        <v>7.22</v>
      </c>
      <c r="J2953">
        <v>7.23</v>
      </c>
      <c r="K2953" t="s">
        <v>15346</v>
      </c>
      <c r="L2953">
        <v>1.18</v>
      </c>
      <c r="M2953" t="s">
        <v>46</v>
      </c>
      <c r="N2953" t="s">
        <v>5397</v>
      </c>
      <c r="O2953">
        <v>7.31</v>
      </c>
      <c r="P2953">
        <v>7.18</v>
      </c>
      <c r="Q2953">
        <v>7.28</v>
      </c>
      <c r="R2953">
        <v>7.28</v>
      </c>
      <c r="S2953">
        <v>1.79</v>
      </c>
      <c r="T2953">
        <v>0.89</v>
      </c>
      <c r="U2953">
        <v>14.96</v>
      </c>
      <c r="V2953">
        <v>672</v>
      </c>
      <c r="W2953">
        <v>7.22</v>
      </c>
      <c r="X2953" t="s">
        <v>5205</v>
      </c>
      <c r="Y2953" t="s">
        <v>1806</v>
      </c>
      <c r="Z2953">
        <v>1.23</v>
      </c>
      <c r="AA2953">
        <v>220</v>
      </c>
      <c r="AB2953">
        <v>120</v>
      </c>
      <c r="AC2953">
        <v>4.42</v>
      </c>
      <c r="AD2953" t="s">
        <v>15347</v>
      </c>
      <c r="AE2953" t="s">
        <v>15348</v>
      </c>
      <c r="AF2953" t="s">
        <v>15349</v>
      </c>
      <c r="AG2953" t="s">
        <v>15350</v>
      </c>
      <c r="AH2953">
        <v>-3.86</v>
      </c>
      <c r="AI2953">
        <v>-4.49</v>
      </c>
      <c r="AJ2953">
        <v>3.49</v>
      </c>
      <c r="AK2953">
        <v>7.78</v>
      </c>
      <c r="AL2953">
        <v>-3</v>
      </c>
      <c r="AM2953">
        <v>-0.69</v>
      </c>
      <c r="AN2953">
        <v>-43.91</v>
      </c>
      <c r="AO2953">
        <v>-11.29</v>
      </c>
      <c r="AP2953">
        <v>-51.74</v>
      </c>
    </row>
    <row r="2954" spans="1:42">
      <c r="A2954">
        <v>2953</v>
      </c>
      <c r="B2954" t="str">
        <f>"603959"</f>
        <v>603959</v>
      </c>
      <c r="C2954" t="s">
        <v>15351</v>
      </c>
      <c r="D2954">
        <v>7.76</v>
      </c>
      <c r="E2954">
        <v>-1.4</v>
      </c>
      <c r="F2954">
        <v>-0.11</v>
      </c>
      <c r="G2954" t="s">
        <v>8262</v>
      </c>
      <c r="H2954">
        <v>778</v>
      </c>
      <c r="I2954">
        <v>7.76</v>
      </c>
      <c r="J2954">
        <v>7.77</v>
      </c>
      <c r="K2954" t="s">
        <v>15352</v>
      </c>
      <c r="L2954">
        <v>1.44</v>
      </c>
      <c r="M2954" t="s">
        <v>46</v>
      </c>
      <c r="N2954" t="s">
        <v>2959</v>
      </c>
      <c r="O2954">
        <v>7.95</v>
      </c>
      <c r="P2954">
        <v>7.75</v>
      </c>
      <c r="Q2954">
        <v>7.95</v>
      </c>
      <c r="R2954">
        <v>7.87</v>
      </c>
      <c r="S2954">
        <v>2.54</v>
      </c>
      <c r="T2954">
        <v>1.12</v>
      </c>
      <c r="U2954">
        <v>-5.03</v>
      </c>
      <c r="V2954">
        <v>-157</v>
      </c>
      <c r="W2954">
        <v>7.82</v>
      </c>
      <c r="X2954" t="s">
        <v>1566</v>
      </c>
      <c r="Y2954" t="s">
        <v>5923</v>
      </c>
      <c r="Z2954">
        <v>1.16</v>
      </c>
      <c r="AA2954">
        <v>430</v>
      </c>
      <c r="AB2954">
        <v>23</v>
      </c>
      <c r="AC2954">
        <v>5.65</v>
      </c>
      <c r="AD2954" t="s">
        <v>15353</v>
      </c>
      <c r="AE2954" t="s">
        <v>8053</v>
      </c>
      <c r="AF2954" t="s">
        <v>15353</v>
      </c>
      <c r="AG2954" t="s">
        <v>8053</v>
      </c>
      <c r="AH2954">
        <v>-4.79</v>
      </c>
      <c r="AI2954">
        <v>-7.4</v>
      </c>
      <c r="AJ2954">
        <v>4.1</v>
      </c>
      <c r="AK2954">
        <v>7.86</v>
      </c>
      <c r="AL2954">
        <v>-3</v>
      </c>
      <c r="AM2954">
        <v>-1.4</v>
      </c>
      <c r="AN2954">
        <v>-26.58</v>
      </c>
      <c r="AO2954">
        <v>-1.52</v>
      </c>
      <c r="AP2954">
        <v>-41.96</v>
      </c>
    </row>
    <row r="2955" spans="1:42">
      <c r="A2955">
        <v>2954</v>
      </c>
      <c r="B2955" t="str">
        <f>"300436"</f>
        <v>300436</v>
      </c>
      <c r="C2955" t="s">
        <v>15354</v>
      </c>
      <c r="D2955">
        <v>27.81</v>
      </c>
      <c r="E2955">
        <v>0.76</v>
      </c>
      <c r="F2955">
        <v>0.21</v>
      </c>
      <c r="G2955" t="s">
        <v>2877</v>
      </c>
      <c r="H2955">
        <v>98</v>
      </c>
      <c r="I2955">
        <v>27.81</v>
      </c>
      <c r="J2955">
        <v>27.82</v>
      </c>
      <c r="K2955" t="s">
        <v>15355</v>
      </c>
      <c r="L2955">
        <v>1.46</v>
      </c>
      <c r="M2955" t="s">
        <v>46</v>
      </c>
      <c r="N2955" t="s">
        <v>5184</v>
      </c>
      <c r="O2955">
        <v>28.28</v>
      </c>
      <c r="P2955">
        <v>27.43</v>
      </c>
      <c r="Q2955">
        <v>27.6</v>
      </c>
      <c r="R2955">
        <v>27.6</v>
      </c>
      <c r="S2955">
        <v>3.08</v>
      </c>
      <c r="T2955">
        <v>0.69</v>
      </c>
      <c r="U2955">
        <v>8.18</v>
      </c>
      <c r="V2955">
        <v>41</v>
      </c>
      <c r="W2955">
        <v>27.92</v>
      </c>
      <c r="X2955" t="s">
        <v>2074</v>
      </c>
      <c r="Y2955">
        <v>9634</v>
      </c>
      <c r="Z2955">
        <v>1.05</v>
      </c>
      <c r="AA2955">
        <v>194</v>
      </c>
      <c r="AB2955">
        <v>8</v>
      </c>
      <c r="AC2955">
        <v>6.62</v>
      </c>
      <c r="AD2955" t="s">
        <v>8426</v>
      </c>
      <c r="AE2955" t="s">
        <v>9249</v>
      </c>
      <c r="AF2955" t="s">
        <v>15356</v>
      </c>
      <c r="AG2955" t="s">
        <v>13845</v>
      </c>
      <c r="AH2955">
        <v>-2.15</v>
      </c>
      <c r="AI2955">
        <v>-2.52</v>
      </c>
      <c r="AJ2955">
        <v>4.63</v>
      </c>
      <c r="AK2955">
        <v>12.01</v>
      </c>
      <c r="AL2955">
        <v>2</v>
      </c>
      <c r="AM2955">
        <v>0.76</v>
      </c>
      <c r="AN2955">
        <v>-28.98</v>
      </c>
      <c r="AO2955">
        <v>0.76</v>
      </c>
      <c r="AP2955">
        <v>-40.46</v>
      </c>
    </row>
    <row r="2956" spans="1:42">
      <c r="A2956">
        <v>2955</v>
      </c>
      <c r="B2956" t="str">
        <f>"605266"</f>
        <v>605266</v>
      </c>
      <c r="C2956" t="s">
        <v>15357</v>
      </c>
      <c r="D2956">
        <v>60.7</v>
      </c>
      <c r="E2956">
        <v>0.96</v>
      </c>
      <c r="F2956">
        <v>0.58</v>
      </c>
      <c r="G2956">
        <v>9024</v>
      </c>
      <c r="H2956">
        <v>47</v>
      </c>
      <c r="I2956">
        <v>60.68</v>
      </c>
      <c r="J2956">
        <v>60.7</v>
      </c>
      <c r="K2956" t="s">
        <v>15358</v>
      </c>
      <c r="L2956">
        <v>0.77</v>
      </c>
      <c r="M2956" t="s">
        <v>46</v>
      </c>
      <c r="N2956" t="s">
        <v>3932</v>
      </c>
      <c r="O2956">
        <v>62.59</v>
      </c>
      <c r="P2956">
        <v>59.9</v>
      </c>
      <c r="Q2956">
        <v>60.13</v>
      </c>
      <c r="R2956">
        <v>60.12</v>
      </c>
      <c r="S2956">
        <v>4.47</v>
      </c>
      <c r="T2956">
        <v>1.01</v>
      </c>
      <c r="U2956">
        <v>-38.05</v>
      </c>
      <c r="V2956">
        <v>-17</v>
      </c>
      <c r="W2956">
        <v>61.08</v>
      </c>
      <c r="X2956">
        <v>3875</v>
      </c>
      <c r="Y2956">
        <v>5149</v>
      </c>
      <c r="Z2956">
        <v>0.75</v>
      </c>
      <c r="AA2956">
        <v>5</v>
      </c>
      <c r="AB2956">
        <v>11</v>
      </c>
      <c r="AC2956">
        <v>2.87</v>
      </c>
      <c r="AD2956" t="s">
        <v>10562</v>
      </c>
      <c r="AE2956" t="s">
        <v>10970</v>
      </c>
      <c r="AF2956" t="s">
        <v>15359</v>
      </c>
      <c r="AG2956" t="s">
        <v>10774</v>
      </c>
      <c r="AH2956">
        <v>2.02</v>
      </c>
      <c r="AI2956">
        <v>3.2</v>
      </c>
      <c r="AJ2956">
        <v>2.06</v>
      </c>
      <c r="AK2956">
        <v>4.57</v>
      </c>
      <c r="AL2956">
        <v>3</v>
      </c>
      <c r="AM2956">
        <v>0.96</v>
      </c>
      <c r="AN2956">
        <v>0.38</v>
      </c>
      <c r="AO2956">
        <v>9.76</v>
      </c>
      <c r="AP2956">
        <v>1.93</v>
      </c>
    </row>
    <row r="2957" spans="1:42">
      <c r="A2957">
        <v>2956</v>
      </c>
      <c r="B2957" t="str">
        <f>"300227"</f>
        <v>300227</v>
      </c>
      <c r="C2957" t="s">
        <v>15360</v>
      </c>
      <c r="D2957">
        <v>8.17</v>
      </c>
      <c r="E2957">
        <v>0.25</v>
      </c>
      <c r="F2957">
        <v>0.02</v>
      </c>
      <c r="G2957" t="s">
        <v>5099</v>
      </c>
      <c r="H2957">
        <v>523</v>
      </c>
      <c r="I2957">
        <v>8.17</v>
      </c>
      <c r="J2957">
        <v>8.18</v>
      </c>
      <c r="K2957" t="s">
        <v>15361</v>
      </c>
      <c r="L2957">
        <v>1.66</v>
      </c>
      <c r="M2957" t="s">
        <v>46</v>
      </c>
      <c r="N2957" t="s">
        <v>15362</v>
      </c>
      <c r="O2957">
        <v>8.19</v>
      </c>
      <c r="P2957">
        <v>8.1</v>
      </c>
      <c r="Q2957">
        <v>8.15</v>
      </c>
      <c r="R2957">
        <v>8.15</v>
      </c>
      <c r="S2957">
        <v>1.1</v>
      </c>
      <c r="T2957">
        <v>0.8</v>
      </c>
      <c r="U2957">
        <v>-33.13</v>
      </c>
      <c r="V2957">
        <v>-1543</v>
      </c>
      <c r="W2957">
        <v>8.15</v>
      </c>
      <c r="X2957" t="s">
        <v>7531</v>
      </c>
      <c r="Y2957" t="s">
        <v>8329</v>
      </c>
      <c r="Z2957">
        <v>1.09</v>
      </c>
      <c r="AA2957">
        <v>153</v>
      </c>
      <c r="AB2957">
        <v>691</v>
      </c>
      <c r="AC2957">
        <v>2.61</v>
      </c>
      <c r="AD2957" t="s">
        <v>15363</v>
      </c>
      <c r="AE2957" t="s">
        <v>11759</v>
      </c>
      <c r="AF2957" t="s">
        <v>15364</v>
      </c>
      <c r="AG2957" t="s">
        <v>2199</v>
      </c>
      <c r="AH2957">
        <v>-2.04</v>
      </c>
      <c r="AI2957">
        <v>-1.33</v>
      </c>
      <c r="AJ2957">
        <v>5.95</v>
      </c>
      <c r="AK2957">
        <v>12.06</v>
      </c>
      <c r="AL2957">
        <v>1</v>
      </c>
      <c r="AM2957">
        <v>0.25</v>
      </c>
      <c r="AN2957">
        <v>23.04</v>
      </c>
      <c r="AO2957">
        <v>0.86</v>
      </c>
      <c r="AP2957">
        <v>14.27</v>
      </c>
    </row>
    <row r="2958" spans="1:42">
      <c r="A2958">
        <v>2957</v>
      </c>
      <c r="B2958" t="str">
        <f>"300903"</f>
        <v>300903</v>
      </c>
      <c r="C2958" t="s">
        <v>15365</v>
      </c>
      <c r="D2958">
        <v>10.52</v>
      </c>
      <c r="E2958">
        <v>0.1</v>
      </c>
      <c r="F2958">
        <v>0.01</v>
      </c>
      <c r="G2958" t="s">
        <v>1988</v>
      </c>
      <c r="H2958">
        <v>433</v>
      </c>
      <c r="I2958">
        <v>10.52</v>
      </c>
      <c r="J2958">
        <v>10.53</v>
      </c>
      <c r="K2958" t="s">
        <v>15366</v>
      </c>
      <c r="L2958">
        <v>1.59</v>
      </c>
      <c r="M2958" t="s">
        <v>46</v>
      </c>
      <c r="N2958" t="s">
        <v>3039</v>
      </c>
      <c r="O2958">
        <v>10.6</v>
      </c>
      <c r="P2958">
        <v>10.4</v>
      </c>
      <c r="Q2958">
        <v>10.47</v>
      </c>
      <c r="R2958">
        <v>10.51</v>
      </c>
      <c r="S2958">
        <v>1.9</v>
      </c>
      <c r="T2958">
        <v>0.71</v>
      </c>
      <c r="U2958">
        <v>15.45</v>
      </c>
      <c r="V2958">
        <v>280</v>
      </c>
      <c r="W2958">
        <v>10.49</v>
      </c>
      <c r="X2958" t="s">
        <v>6097</v>
      </c>
      <c r="Y2958" t="s">
        <v>3151</v>
      </c>
      <c r="Z2958">
        <v>1.23</v>
      </c>
      <c r="AA2958">
        <v>736</v>
      </c>
      <c r="AB2958">
        <v>406</v>
      </c>
      <c r="AC2958">
        <v>1.9</v>
      </c>
      <c r="AD2958" t="s">
        <v>15367</v>
      </c>
      <c r="AE2958" t="s">
        <v>10981</v>
      </c>
      <c r="AF2958" t="s">
        <v>15368</v>
      </c>
      <c r="AG2958" t="s">
        <v>6253</v>
      </c>
      <c r="AH2958">
        <v>-1.96</v>
      </c>
      <c r="AI2958">
        <v>-2.05</v>
      </c>
      <c r="AJ2958">
        <v>5.45</v>
      </c>
      <c r="AK2958">
        <v>12.83</v>
      </c>
      <c r="AL2958">
        <v>1</v>
      </c>
      <c r="AM2958">
        <v>0.1</v>
      </c>
      <c r="AN2958">
        <v>-8.84</v>
      </c>
      <c r="AO2958">
        <v>4.16</v>
      </c>
      <c r="AP2958">
        <v>-13.7</v>
      </c>
    </row>
    <row r="2959" spans="1:42">
      <c r="A2959">
        <v>2958</v>
      </c>
      <c r="B2959" t="str">
        <f>"600409"</f>
        <v>600409</v>
      </c>
      <c r="C2959" t="s">
        <v>15369</v>
      </c>
      <c r="D2959">
        <v>5.57</v>
      </c>
      <c r="E2959">
        <v>0.54</v>
      </c>
      <c r="F2959">
        <v>0.03</v>
      </c>
      <c r="G2959" t="s">
        <v>3734</v>
      </c>
      <c r="H2959">
        <v>933</v>
      </c>
      <c r="I2959">
        <v>5.57</v>
      </c>
      <c r="J2959">
        <v>5.58</v>
      </c>
      <c r="K2959" t="s">
        <v>15370</v>
      </c>
      <c r="L2959">
        <v>0.48</v>
      </c>
      <c r="M2959" t="s">
        <v>46</v>
      </c>
      <c r="N2959" t="s">
        <v>9687</v>
      </c>
      <c r="O2959">
        <v>5.59</v>
      </c>
      <c r="P2959">
        <v>5.52</v>
      </c>
      <c r="Q2959">
        <v>5.57</v>
      </c>
      <c r="R2959">
        <v>5.54</v>
      </c>
      <c r="S2959">
        <v>1.26</v>
      </c>
      <c r="T2959">
        <v>0.72</v>
      </c>
      <c r="U2959">
        <v>-18.85</v>
      </c>
      <c r="V2959">
        <v>-2887</v>
      </c>
      <c r="W2959">
        <v>5.56</v>
      </c>
      <c r="X2959" t="s">
        <v>5785</v>
      </c>
      <c r="Y2959" t="s">
        <v>4929</v>
      </c>
      <c r="Z2959">
        <v>0.76</v>
      </c>
      <c r="AA2959">
        <v>281</v>
      </c>
      <c r="AB2959">
        <v>2744</v>
      </c>
      <c r="AC2959">
        <v>0.86</v>
      </c>
      <c r="AD2959" t="s">
        <v>15371</v>
      </c>
      <c r="AE2959" t="s">
        <v>2831</v>
      </c>
      <c r="AF2959" t="s">
        <v>15371</v>
      </c>
      <c r="AG2959" t="s">
        <v>2831</v>
      </c>
      <c r="AH2959">
        <v>-1.59</v>
      </c>
      <c r="AI2959">
        <v>-1.94</v>
      </c>
      <c r="AJ2959">
        <v>1.73</v>
      </c>
      <c r="AK2959">
        <v>3.79</v>
      </c>
      <c r="AL2959">
        <v>1</v>
      </c>
      <c r="AM2959">
        <v>0.54</v>
      </c>
      <c r="AN2959">
        <v>-13.78</v>
      </c>
      <c r="AO2959">
        <v>-3.47</v>
      </c>
      <c r="AP2959">
        <v>-8.69</v>
      </c>
    </row>
    <row r="2960" spans="1:42">
      <c r="A2960">
        <v>2959</v>
      </c>
      <c r="B2960" t="str">
        <f>"600871"</f>
        <v>600871</v>
      </c>
      <c r="C2960" t="s">
        <v>15372</v>
      </c>
      <c r="D2960">
        <v>1.87</v>
      </c>
      <c r="E2960">
        <v>0</v>
      </c>
      <c r="F2960">
        <v>0</v>
      </c>
      <c r="G2960" t="s">
        <v>4077</v>
      </c>
      <c r="H2960" t="s">
        <v>6595</v>
      </c>
      <c r="I2960">
        <v>1.87</v>
      </c>
      <c r="J2960">
        <v>1.88</v>
      </c>
      <c r="K2960" t="s">
        <v>15373</v>
      </c>
      <c r="L2960">
        <v>0.22</v>
      </c>
      <c r="M2960" t="s">
        <v>46</v>
      </c>
      <c r="N2960" t="s">
        <v>15374</v>
      </c>
      <c r="O2960">
        <v>1.88</v>
      </c>
      <c r="P2960">
        <v>1.86</v>
      </c>
      <c r="Q2960">
        <v>1.87</v>
      </c>
      <c r="R2960">
        <v>1.87</v>
      </c>
      <c r="S2960">
        <v>1.07</v>
      </c>
      <c r="T2960">
        <v>0.78</v>
      </c>
      <c r="U2960">
        <v>9.02</v>
      </c>
      <c r="V2960" t="s">
        <v>1559</v>
      </c>
      <c r="W2960">
        <v>1.87</v>
      </c>
      <c r="X2960" t="s">
        <v>960</v>
      </c>
      <c r="Y2960" t="s">
        <v>2291</v>
      </c>
      <c r="Z2960">
        <v>0.91</v>
      </c>
      <c r="AA2960" t="s">
        <v>296</v>
      </c>
      <c r="AB2960" t="s">
        <v>1985</v>
      </c>
      <c r="AC2960">
        <v>4.29</v>
      </c>
      <c r="AD2960" t="s">
        <v>15375</v>
      </c>
      <c r="AE2960" t="s">
        <v>825</v>
      </c>
      <c r="AF2960" t="s">
        <v>2687</v>
      </c>
      <c r="AG2960" t="s">
        <v>2889</v>
      </c>
      <c r="AH2960">
        <v>-0.53</v>
      </c>
      <c r="AI2960">
        <v>-1.06</v>
      </c>
      <c r="AJ2960">
        <v>0.8</v>
      </c>
      <c r="AK2960">
        <v>1.61</v>
      </c>
      <c r="AL2960">
        <v>0</v>
      </c>
      <c r="AM2960">
        <v>0</v>
      </c>
      <c r="AN2960">
        <v>-5.56</v>
      </c>
      <c r="AO2960">
        <v>-2.09</v>
      </c>
      <c r="AP2960">
        <v>-5.08</v>
      </c>
    </row>
    <row r="2961" spans="1:42">
      <c r="A2961">
        <v>2960</v>
      </c>
      <c r="B2961" t="str">
        <f>"002978"</f>
        <v>002978</v>
      </c>
      <c r="C2961" t="s">
        <v>15376</v>
      </c>
      <c r="D2961">
        <v>32.58</v>
      </c>
      <c r="E2961">
        <v>0.28</v>
      </c>
      <c r="F2961">
        <v>0.09</v>
      </c>
      <c r="G2961" t="s">
        <v>1110</v>
      </c>
      <c r="H2961">
        <v>84</v>
      </c>
      <c r="I2961">
        <v>32.58</v>
      </c>
      <c r="J2961">
        <v>32.62</v>
      </c>
      <c r="K2961" t="s">
        <v>15377</v>
      </c>
      <c r="L2961">
        <v>0.57</v>
      </c>
      <c r="M2961" t="s">
        <v>46</v>
      </c>
      <c r="N2961" t="s">
        <v>1907</v>
      </c>
      <c r="O2961">
        <v>32.86</v>
      </c>
      <c r="P2961">
        <v>32.24</v>
      </c>
      <c r="Q2961">
        <v>32.5</v>
      </c>
      <c r="R2961">
        <v>32.49</v>
      </c>
      <c r="S2961">
        <v>1.91</v>
      </c>
      <c r="T2961">
        <v>1.51</v>
      </c>
      <c r="U2961">
        <v>-66.2</v>
      </c>
      <c r="V2961">
        <v>-141</v>
      </c>
      <c r="W2961">
        <v>32.52</v>
      </c>
      <c r="X2961">
        <v>7813</v>
      </c>
      <c r="Y2961">
        <v>9099</v>
      </c>
      <c r="Z2961">
        <v>0.86</v>
      </c>
      <c r="AA2961">
        <v>14</v>
      </c>
      <c r="AB2961">
        <v>5</v>
      </c>
      <c r="AC2961">
        <v>2.26</v>
      </c>
      <c r="AD2961" t="s">
        <v>945</v>
      </c>
      <c r="AE2961" t="s">
        <v>6716</v>
      </c>
      <c r="AF2961" t="s">
        <v>15378</v>
      </c>
      <c r="AG2961" t="s">
        <v>15379</v>
      </c>
      <c r="AH2961">
        <v>-3.67</v>
      </c>
      <c r="AI2961">
        <v>-3.87</v>
      </c>
      <c r="AJ2961">
        <v>1.76</v>
      </c>
      <c r="AK2961">
        <v>2.44</v>
      </c>
      <c r="AL2961">
        <v>1</v>
      </c>
      <c r="AM2961">
        <v>0.28</v>
      </c>
      <c r="AN2961">
        <v>0.68</v>
      </c>
      <c r="AO2961">
        <v>-1.57</v>
      </c>
      <c r="AP2961">
        <v>-8.97</v>
      </c>
    </row>
    <row r="2962" spans="1:42">
      <c r="A2962">
        <v>2961</v>
      </c>
      <c r="B2962" t="str">
        <f>"688358"</f>
        <v>688358</v>
      </c>
      <c r="C2962" t="s">
        <v>15380</v>
      </c>
      <c r="D2962">
        <v>43.07</v>
      </c>
      <c r="E2962">
        <v>-0.53</v>
      </c>
      <c r="F2962">
        <v>-0.23</v>
      </c>
      <c r="G2962" t="s">
        <v>1427</v>
      </c>
      <c r="H2962">
        <v>66</v>
      </c>
      <c r="I2962">
        <v>43.01</v>
      </c>
      <c r="J2962">
        <v>43.07</v>
      </c>
      <c r="K2962" t="s">
        <v>15381</v>
      </c>
      <c r="L2962">
        <v>1.15</v>
      </c>
      <c r="M2962" t="s">
        <v>46</v>
      </c>
      <c r="N2962" t="s">
        <v>1677</v>
      </c>
      <c r="O2962">
        <v>43.82</v>
      </c>
      <c r="P2962">
        <v>42.24</v>
      </c>
      <c r="Q2962">
        <v>43.22</v>
      </c>
      <c r="R2962">
        <v>43.3</v>
      </c>
      <c r="S2962">
        <v>3.65</v>
      </c>
      <c r="T2962">
        <v>1.37</v>
      </c>
      <c r="U2962">
        <v>-54.03</v>
      </c>
      <c r="V2962">
        <v>-72</v>
      </c>
      <c r="W2962">
        <v>42.77</v>
      </c>
      <c r="X2962">
        <v>5241</v>
      </c>
      <c r="Y2962">
        <v>7610</v>
      </c>
      <c r="Z2962">
        <v>0.69</v>
      </c>
      <c r="AA2962">
        <v>4</v>
      </c>
      <c r="AB2962">
        <v>7</v>
      </c>
      <c r="AC2962">
        <v>3.51</v>
      </c>
      <c r="AD2962" t="s">
        <v>15382</v>
      </c>
      <c r="AE2962" t="s">
        <v>15383</v>
      </c>
      <c r="AF2962" t="s">
        <v>15382</v>
      </c>
      <c r="AG2962" t="s">
        <v>15383</v>
      </c>
      <c r="AH2962">
        <v>-4.27</v>
      </c>
      <c r="AI2962">
        <v>-2.38</v>
      </c>
      <c r="AJ2962">
        <v>3.02</v>
      </c>
      <c r="AK2962">
        <v>5.32</v>
      </c>
      <c r="AL2962">
        <v>-3</v>
      </c>
      <c r="AM2962">
        <v>-0.53</v>
      </c>
      <c r="AN2962">
        <v>27.8</v>
      </c>
      <c r="AO2962">
        <v>1.63</v>
      </c>
      <c r="AP2962">
        <v>15.28</v>
      </c>
    </row>
    <row r="2963" spans="1:42">
      <c r="A2963">
        <v>2962</v>
      </c>
      <c r="B2963" t="str">
        <f>"002357"</f>
        <v>002357</v>
      </c>
      <c r="C2963" t="s">
        <v>15384</v>
      </c>
      <c r="D2963">
        <v>8.01</v>
      </c>
      <c r="E2963">
        <v>0.38</v>
      </c>
      <c r="F2963">
        <v>0.03</v>
      </c>
      <c r="G2963" t="s">
        <v>4654</v>
      </c>
      <c r="H2963">
        <v>868</v>
      </c>
      <c r="I2963">
        <v>8</v>
      </c>
      <c r="J2963">
        <v>8.01</v>
      </c>
      <c r="K2963" t="s">
        <v>15385</v>
      </c>
      <c r="L2963">
        <v>2.19</v>
      </c>
      <c r="M2963" t="s">
        <v>46</v>
      </c>
      <c r="N2963" t="s">
        <v>15386</v>
      </c>
      <c r="O2963">
        <v>8.05</v>
      </c>
      <c r="P2963">
        <v>7.93</v>
      </c>
      <c r="Q2963">
        <v>7.97</v>
      </c>
      <c r="R2963">
        <v>7.98</v>
      </c>
      <c r="S2963">
        <v>1.5</v>
      </c>
      <c r="T2963">
        <v>0.47</v>
      </c>
      <c r="U2963">
        <v>-4.51</v>
      </c>
      <c r="V2963">
        <v>-214</v>
      </c>
      <c r="W2963">
        <v>7.99</v>
      </c>
      <c r="X2963" t="s">
        <v>1704</v>
      </c>
      <c r="Y2963" t="s">
        <v>4148</v>
      </c>
      <c r="Z2963">
        <v>0.93</v>
      </c>
      <c r="AA2963">
        <v>208</v>
      </c>
      <c r="AB2963">
        <v>50</v>
      </c>
      <c r="AC2963">
        <v>1.72</v>
      </c>
      <c r="AD2963" t="s">
        <v>12410</v>
      </c>
      <c r="AE2963" t="s">
        <v>15387</v>
      </c>
      <c r="AF2963" t="s">
        <v>12410</v>
      </c>
      <c r="AG2963" t="s">
        <v>15387</v>
      </c>
      <c r="AH2963">
        <v>-0.74</v>
      </c>
      <c r="AI2963">
        <v>1.91</v>
      </c>
      <c r="AJ2963">
        <v>9.9</v>
      </c>
      <c r="AK2963">
        <v>25.74</v>
      </c>
      <c r="AL2963">
        <v>1</v>
      </c>
      <c r="AM2963">
        <v>0.38</v>
      </c>
      <c r="AN2963">
        <v>-0.12</v>
      </c>
      <c r="AO2963">
        <v>13.78</v>
      </c>
      <c r="AP2963">
        <v>39.06</v>
      </c>
    </row>
    <row r="2964" spans="1:42">
      <c r="A2964">
        <v>2963</v>
      </c>
      <c r="B2964" t="str">
        <f>"000679"</f>
        <v>000679</v>
      </c>
      <c r="C2964" t="s">
        <v>15388</v>
      </c>
      <c r="D2964">
        <v>5.97</v>
      </c>
      <c r="E2964">
        <v>0.84</v>
      </c>
      <c r="F2964">
        <v>0.05</v>
      </c>
      <c r="G2964" t="s">
        <v>6175</v>
      </c>
      <c r="H2964">
        <v>629</v>
      </c>
      <c r="I2964">
        <v>5.97</v>
      </c>
      <c r="J2964">
        <v>5.98</v>
      </c>
      <c r="K2964" t="s">
        <v>15389</v>
      </c>
      <c r="L2964">
        <v>2.58</v>
      </c>
      <c r="M2964" t="s">
        <v>46</v>
      </c>
      <c r="N2964" t="s">
        <v>9622</v>
      </c>
      <c r="O2964">
        <v>6</v>
      </c>
      <c r="P2964">
        <v>5.88</v>
      </c>
      <c r="Q2964">
        <v>5.91</v>
      </c>
      <c r="R2964">
        <v>5.92</v>
      </c>
      <c r="S2964">
        <v>2.03</v>
      </c>
      <c r="T2964">
        <v>1.56</v>
      </c>
      <c r="U2964">
        <v>-57.67</v>
      </c>
      <c r="V2964">
        <v>-4648</v>
      </c>
      <c r="W2964">
        <v>5.97</v>
      </c>
      <c r="X2964" t="s">
        <v>5767</v>
      </c>
      <c r="Y2964" t="s">
        <v>1708</v>
      </c>
      <c r="Z2964">
        <v>0.82</v>
      </c>
      <c r="AA2964">
        <v>256</v>
      </c>
      <c r="AB2964">
        <v>1234</v>
      </c>
      <c r="AC2964">
        <v>5.98</v>
      </c>
      <c r="AD2964" t="s">
        <v>2308</v>
      </c>
      <c r="AE2964" t="s">
        <v>15390</v>
      </c>
      <c r="AF2964" t="s">
        <v>2308</v>
      </c>
      <c r="AG2964" t="s">
        <v>15390</v>
      </c>
      <c r="AH2964">
        <v>2.4</v>
      </c>
      <c r="AI2964">
        <v>2.23</v>
      </c>
      <c r="AJ2964">
        <v>5.99</v>
      </c>
      <c r="AK2964">
        <v>10.88</v>
      </c>
      <c r="AL2964">
        <v>2</v>
      </c>
      <c r="AM2964">
        <v>0.84</v>
      </c>
      <c r="AN2964">
        <v>-16.85</v>
      </c>
      <c r="AO2964">
        <v>9.74</v>
      </c>
      <c r="AP2964">
        <v>20.85</v>
      </c>
    </row>
    <row r="2965" spans="1:42">
      <c r="A2965">
        <v>2964</v>
      </c>
      <c r="B2965" t="str">
        <f>"688501"</f>
        <v>688501</v>
      </c>
      <c r="C2965" t="s">
        <v>15391</v>
      </c>
      <c r="D2965">
        <v>16.87</v>
      </c>
      <c r="E2965">
        <v>-2.2</v>
      </c>
      <c r="F2965">
        <v>-0.38</v>
      </c>
      <c r="G2965" t="s">
        <v>8255</v>
      </c>
      <c r="H2965">
        <v>94</v>
      </c>
      <c r="I2965">
        <v>16.85</v>
      </c>
      <c r="J2965">
        <v>16.87</v>
      </c>
      <c r="K2965" t="s">
        <v>15392</v>
      </c>
      <c r="L2965">
        <v>3.97</v>
      </c>
      <c r="M2965" t="s">
        <v>46</v>
      </c>
      <c r="N2965" t="s">
        <v>2692</v>
      </c>
      <c r="O2965">
        <v>17.33</v>
      </c>
      <c r="P2965">
        <v>16.71</v>
      </c>
      <c r="Q2965">
        <v>17.25</v>
      </c>
      <c r="R2965">
        <v>17.25</v>
      </c>
      <c r="S2965">
        <v>3.59</v>
      </c>
      <c r="T2965">
        <v>1.67</v>
      </c>
      <c r="U2965">
        <v>59.14</v>
      </c>
      <c r="V2965">
        <v>720</v>
      </c>
      <c r="W2965">
        <v>16.93</v>
      </c>
      <c r="X2965" t="s">
        <v>7487</v>
      </c>
      <c r="Y2965" t="s">
        <v>4943</v>
      </c>
      <c r="Z2965">
        <v>0.99</v>
      </c>
      <c r="AA2965">
        <v>20</v>
      </c>
      <c r="AB2965">
        <v>51</v>
      </c>
      <c r="AC2965">
        <v>2.56</v>
      </c>
      <c r="AD2965" t="s">
        <v>15393</v>
      </c>
      <c r="AE2965" t="s">
        <v>15394</v>
      </c>
      <c r="AF2965" t="s">
        <v>15395</v>
      </c>
      <c r="AG2965" t="s">
        <v>5414</v>
      </c>
      <c r="AH2965">
        <v>-6.12</v>
      </c>
      <c r="AI2965">
        <v>-6.59</v>
      </c>
      <c r="AJ2965">
        <v>8.7</v>
      </c>
      <c r="AK2965">
        <v>15.83</v>
      </c>
      <c r="AL2965">
        <v>-3</v>
      </c>
      <c r="AM2965">
        <v>-2.2</v>
      </c>
      <c r="AN2965">
        <v>-14.84</v>
      </c>
      <c r="AO2965">
        <v>0.48</v>
      </c>
      <c r="AP2965">
        <v>-35.49</v>
      </c>
    </row>
    <row r="2966" spans="1:42">
      <c r="A2966">
        <v>2965</v>
      </c>
      <c r="B2966" t="str">
        <f>"603396"</f>
        <v>603396</v>
      </c>
      <c r="C2966" t="s">
        <v>15396</v>
      </c>
      <c r="D2966">
        <v>47.49</v>
      </c>
      <c r="E2966">
        <v>-1.19</v>
      </c>
      <c r="F2966">
        <v>-0.57</v>
      </c>
      <c r="G2966" t="s">
        <v>1743</v>
      </c>
      <c r="H2966">
        <v>125</v>
      </c>
      <c r="I2966">
        <v>47.49</v>
      </c>
      <c r="J2966">
        <v>47.5</v>
      </c>
      <c r="K2966" t="s">
        <v>15397</v>
      </c>
      <c r="L2966">
        <v>1</v>
      </c>
      <c r="M2966" t="s">
        <v>46</v>
      </c>
      <c r="N2966" t="s">
        <v>4024</v>
      </c>
      <c r="O2966">
        <v>48.11</v>
      </c>
      <c r="P2966">
        <v>46.88</v>
      </c>
      <c r="Q2966">
        <v>48.08</v>
      </c>
      <c r="R2966">
        <v>48.06</v>
      </c>
      <c r="S2966">
        <v>2.56</v>
      </c>
      <c r="T2966">
        <v>1.2</v>
      </c>
      <c r="U2966">
        <v>-11.83</v>
      </c>
      <c r="V2966">
        <v>-11</v>
      </c>
      <c r="W2966">
        <v>47.37</v>
      </c>
      <c r="X2966">
        <v>6495</v>
      </c>
      <c r="Y2966">
        <v>5090</v>
      </c>
      <c r="Z2966">
        <v>1.28</v>
      </c>
      <c r="AA2966">
        <v>6</v>
      </c>
      <c r="AB2966">
        <v>10</v>
      </c>
      <c r="AC2966">
        <v>3.63</v>
      </c>
      <c r="AD2966" t="s">
        <v>15398</v>
      </c>
      <c r="AE2966" t="s">
        <v>15399</v>
      </c>
      <c r="AF2966" t="s">
        <v>15400</v>
      </c>
      <c r="AG2966" t="s">
        <v>15401</v>
      </c>
      <c r="AH2966">
        <v>-3.55</v>
      </c>
      <c r="AI2966">
        <v>-4.73</v>
      </c>
      <c r="AJ2966">
        <v>2.81</v>
      </c>
      <c r="AK2966">
        <v>5.17</v>
      </c>
      <c r="AL2966">
        <v>-3</v>
      </c>
      <c r="AM2966">
        <v>-1.19</v>
      </c>
      <c r="AN2966">
        <v>-42.83</v>
      </c>
      <c r="AO2966">
        <v>-1.47</v>
      </c>
      <c r="AP2966">
        <v>-52.66</v>
      </c>
    </row>
    <row r="2967" spans="1:42">
      <c r="A2967">
        <v>2966</v>
      </c>
      <c r="B2967" t="str">
        <f>"603507"</f>
        <v>603507</v>
      </c>
      <c r="C2967" t="s">
        <v>15402</v>
      </c>
      <c r="D2967">
        <v>24.87</v>
      </c>
      <c r="E2967">
        <v>-0.36</v>
      </c>
      <c r="F2967">
        <v>-0.09</v>
      </c>
      <c r="G2967" t="s">
        <v>731</v>
      </c>
      <c r="H2967">
        <v>115</v>
      </c>
      <c r="I2967">
        <v>24.87</v>
      </c>
      <c r="J2967">
        <v>24.89</v>
      </c>
      <c r="K2967" t="s">
        <v>15397</v>
      </c>
      <c r="L2967">
        <v>1.56</v>
      </c>
      <c r="M2967" t="s">
        <v>46</v>
      </c>
      <c r="N2967" t="s">
        <v>3703</v>
      </c>
      <c r="O2967">
        <v>25.1</v>
      </c>
      <c r="P2967">
        <v>24.55</v>
      </c>
      <c r="Q2967">
        <v>24.96</v>
      </c>
      <c r="R2967">
        <v>24.96</v>
      </c>
      <c r="S2967">
        <v>2.2</v>
      </c>
      <c r="T2967">
        <v>1.43</v>
      </c>
      <c r="U2967">
        <v>65.98</v>
      </c>
      <c r="V2967">
        <v>256</v>
      </c>
      <c r="W2967">
        <v>24.79</v>
      </c>
      <c r="X2967" t="s">
        <v>2547</v>
      </c>
      <c r="Y2967">
        <v>9650</v>
      </c>
      <c r="Z2967">
        <v>1.29</v>
      </c>
      <c r="AA2967">
        <v>125</v>
      </c>
      <c r="AB2967">
        <v>16</v>
      </c>
      <c r="AC2967">
        <v>1.5</v>
      </c>
      <c r="AD2967" t="s">
        <v>12942</v>
      </c>
      <c r="AE2967" t="s">
        <v>15403</v>
      </c>
      <c r="AF2967" t="s">
        <v>12942</v>
      </c>
      <c r="AG2967" t="s">
        <v>15403</v>
      </c>
      <c r="AH2967">
        <v>-3.98</v>
      </c>
      <c r="AI2967">
        <v>-4.46</v>
      </c>
      <c r="AJ2967">
        <v>4.06</v>
      </c>
      <c r="AK2967">
        <v>7</v>
      </c>
      <c r="AL2967">
        <v>-3</v>
      </c>
      <c r="AM2967">
        <v>-0.36</v>
      </c>
      <c r="AN2967">
        <v>-16.01</v>
      </c>
      <c r="AO2967">
        <v>-3.57</v>
      </c>
      <c r="AP2967">
        <v>-30.63</v>
      </c>
    </row>
    <row r="2968" spans="1:42">
      <c r="A2968">
        <v>2967</v>
      </c>
      <c r="B2968" t="str">
        <f>"600766"</f>
        <v>600766</v>
      </c>
      <c r="C2968" t="s">
        <v>15404</v>
      </c>
      <c r="D2968">
        <v>16.85</v>
      </c>
      <c r="E2968">
        <v>1.2</v>
      </c>
      <c r="F2968">
        <v>0.2</v>
      </c>
      <c r="G2968" t="s">
        <v>1704</v>
      </c>
      <c r="H2968">
        <v>533</v>
      </c>
      <c r="I2968">
        <v>16.85</v>
      </c>
      <c r="J2968">
        <v>16.87</v>
      </c>
      <c r="K2968" t="s">
        <v>15405</v>
      </c>
      <c r="L2968">
        <v>1.47</v>
      </c>
      <c r="M2968" t="s">
        <v>46</v>
      </c>
      <c r="N2968" t="s">
        <v>9457</v>
      </c>
      <c r="O2968">
        <v>17</v>
      </c>
      <c r="P2968">
        <v>15.91</v>
      </c>
      <c r="Q2968">
        <v>16.77</v>
      </c>
      <c r="R2968">
        <v>16.65</v>
      </c>
      <c r="S2968">
        <v>6.55</v>
      </c>
      <c r="T2968">
        <v>0.63</v>
      </c>
      <c r="U2968">
        <v>12.32</v>
      </c>
      <c r="V2968">
        <v>125</v>
      </c>
      <c r="W2968">
        <v>16.64</v>
      </c>
      <c r="X2968" t="s">
        <v>7656</v>
      </c>
      <c r="Y2968" t="s">
        <v>2878</v>
      </c>
      <c r="Z2968">
        <v>0.81</v>
      </c>
      <c r="AA2968">
        <v>13</v>
      </c>
      <c r="AB2968">
        <v>52</v>
      </c>
      <c r="AC2968">
        <v>59.29</v>
      </c>
      <c r="AD2968" t="s">
        <v>15406</v>
      </c>
      <c r="AE2968" t="s">
        <v>12050</v>
      </c>
      <c r="AF2968" t="s">
        <v>15407</v>
      </c>
      <c r="AG2968" t="s">
        <v>15408</v>
      </c>
      <c r="AH2968">
        <v>-3.33</v>
      </c>
      <c r="AI2968">
        <v>1.2</v>
      </c>
      <c r="AJ2968">
        <v>5.9</v>
      </c>
      <c r="AK2968">
        <v>13.15</v>
      </c>
      <c r="AL2968">
        <v>1</v>
      </c>
      <c r="AM2968">
        <v>1.2</v>
      </c>
      <c r="AN2968">
        <v>11</v>
      </c>
      <c r="AO2968">
        <v>42.31</v>
      </c>
      <c r="AP2968">
        <v>24.91</v>
      </c>
    </row>
    <row r="2969" spans="1:42">
      <c r="A2969">
        <v>2968</v>
      </c>
      <c r="B2969" t="str">
        <f>"002860"</f>
        <v>002860</v>
      </c>
      <c r="C2969" t="s">
        <v>15409</v>
      </c>
      <c r="D2969">
        <v>13.03</v>
      </c>
      <c r="E2969">
        <v>-1.21</v>
      </c>
      <c r="F2969">
        <v>-0.16</v>
      </c>
      <c r="G2969" t="s">
        <v>5205</v>
      </c>
      <c r="H2969">
        <v>453</v>
      </c>
      <c r="I2969">
        <v>13.03</v>
      </c>
      <c r="J2969">
        <v>13.05</v>
      </c>
      <c r="K2969" t="s">
        <v>15410</v>
      </c>
      <c r="L2969">
        <v>1.85</v>
      </c>
      <c r="M2969" t="s">
        <v>46</v>
      </c>
      <c r="N2969" t="s">
        <v>7267</v>
      </c>
      <c r="O2969">
        <v>13.15</v>
      </c>
      <c r="P2969">
        <v>12.93</v>
      </c>
      <c r="Q2969">
        <v>13.15</v>
      </c>
      <c r="R2969">
        <v>13.19</v>
      </c>
      <c r="S2969">
        <v>1.67</v>
      </c>
      <c r="T2969">
        <v>1.35</v>
      </c>
      <c r="U2969">
        <v>46.39</v>
      </c>
      <c r="V2969">
        <v>630</v>
      </c>
      <c r="W2969">
        <v>13.01</v>
      </c>
      <c r="X2969" t="s">
        <v>3110</v>
      </c>
      <c r="Y2969" t="s">
        <v>2397</v>
      </c>
      <c r="Z2969">
        <v>1.47</v>
      </c>
      <c r="AA2969">
        <v>252</v>
      </c>
      <c r="AB2969">
        <v>68</v>
      </c>
      <c r="AC2969">
        <v>2.58</v>
      </c>
      <c r="AD2969" t="s">
        <v>15411</v>
      </c>
      <c r="AE2969" t="s">
        <v>15412</v>
      </c>
      <c r="AF2969" t="s">
        <v>15413</v>
      </c>
      <c r="AG2969" t="s">
        <v>8756</v>
      </c>
      <c r="AH2969">
        <v>-1.44</v>
      </c>
      <c r="AI2969">
        <v>-1.66</v>
      </c>
      <c r="AJ2969">
        <v>4.71</v>
      </c>
      <c r="AK2969">
        <v>8.71</v>
      </c>
      <c r="AL2969">
        <v>-2</v>
      </c>
      <c r="AM2969">
        <v>-1.21</v>
      </c>
      <c r="AN2969">
        <v>1.01</v>
      </c>
      <c r="AO2969">
        <v>-0.15</v>
      </c>
      <c r="AP2969">
        <v>-19.67</v>
      </c>
    </row>
    <row r="2970" spans="1:42">
      <c r="A2970">
        <v>2969</v>
      </c>
      <c r="B2970" t="str">
        <f>"600594"</f>
        <v>600594</v>
      </c>
      <c r="C2970" t="s">
        <v>15414</v>
      </c>
      <c r="D2970">
        <v>6.04</v>
      </c>
      <c r="E2970">
        <v>-0.17</v>
      </c>
      <c r="F2970">
        <v>-0.01</v>
      </c>
      <c r="G2970" t="s">
        <v>2366</v>
      </c>
      <c r="H2970">
        <v>387</v>
      </c>
      <c r="I2970">
        <v>6.03</v>
      </c>
      <c r="J2970">
        <v>6.04</v>
      </c>
      <c r="K2970" t="s">
        <v>15410</v>
      </c>
      <c r="L2970">
        <v>1.15</v>
      </c>
      <c r="M2970" t="s">
        <v>46</v>
      </c>
      <c r="N2970" t="s">
        <v>5577</v>
      </c>
      <c r="O2970">
        <v>6.1</v>
      </c>
      <c r="P2970">
        <v>5.99</v>
      </c>
      <c r="Q2970">
        <v>6.02</v>
      </c>
      <c r="R2970">
        <v>6.05</v>
      </c>
      <c r="S2970">
        <v>1.82</v>
      </c>
      <c r="T2970">
        <v>0.74</v>
      </c>
      <c r="U2970">
        <v>-12.98</v>
      </c>
      <c r="V2970">
        <v>-1783</v>
      </c>
      <c r="W2970">
        <v>6.04</v>
      </c>
      <c r="X2970" t="s">
        <v>2299</v>
      </c>
      <c r="Y2970" t="s">
        <v>1165</v>
      </c>
      <c r="Z2970">
        <v>1.05</v>
      </c>
      <c r="AA2970">
        <v>387</v>
      </c>
      <c r="AB2970">
        <v>986</v>
      </c>
      <c r="AC2970">
        <v>1.49</v>
      </c>
      <c r="AD2970" t="s">
        <v>13864</v>
      </c>
      <c r="AE2970" t="s">
        <v>336</v>
      </c>
      <c r="AF2970" t="s">
        <v>13864</v>
      </c>
      <c r="AG2970" t="s">
        <v>336</v>
      </c>
      <c r="AH2970">
        <v>-0.66</v>
      </c>
      <c r="AI2970">
        <v>-0.17</v>
      </c>
      <c r="AJ2970">
        <v>3.44</v>
      </c>
      <c r="AK2970">
        <v>8.91</v>
      </c>
      <c r="AL2970">
        <v>-1</v>
      </c>
      <c r="AM2970">
        <v>-0.17</v>
      </c>
      <c r="AN2970">
        <v>9.22</v>
      </c>
      <c r="AO2970">
        <v>5.23</v>
      </c>
      <c r="AP2970">
        <v>-3.51</v>
      </c>
    </row>
    <row r="2971" spans="1:42">
      <c r="A2971">
        <v>2970</v>
      </c>
      <c r="B2971" t="str">
        <f>"603030"</f>
        <v>603030</v>
      </c>
      <c r="C2971" t="s">
        <v>15415</v>
      </c>
      <c r="D2971">
        <v>2.8</v>
      </c>
      <c r="E2971">
        <v>0</v>
      </c>
      <c r="F2971">
        <v>0</v>
      </c>
      <c r="G2971" t="s">
        <v>4628</v>
      </c>
      <c r="H2971">
        <v>2543</v>
      </c>
      <c r="I2971">
        <v>2.8</v>
      </c>
      <c r="J2971">
        <v>2.81</v>
      </c>
      <c r="K2971" t="s">
        <v>15410</v>
      </c>
      <c r="L2971">
        <v>3.11</v>
      </c>
      <c r="M2971" t="s">
        <v>46</v>
      </c>
      <c r="N2971" t="s">
        <v>11655</v>
      </c>
      <c r="O2971">
        <v>2.81</v>
      </c>
      <c r="P2971">
        <v>2.73</v>
      </c>
      <c r="Q2971">
        <v>2.76</v>
      </c>
      <c r="R2971">
        <v>2.8</v>
      </c>
      <c r="S2971">
        <v>2.86</v>
      </c>
      <c r="T2971">
        <v>1.28</v>
      </c>
      <c r="U2971">
        <v>-19.89</v>
      </c>
      <c r="V2971">
        <v>-4318</v>
      </c>
      <c r="W2971">
        <v>2.77</v>
      </c>
      <c r="X2971" t="s">
        <v>1438</v>
      </c>
      <c r="Y2971" t="s">
        <v>2335</v>
      </c>
      <c r="Z2971">
        <v>1.24</v>
      </c>
      <c r="AA2971">
        <v>21</v>
      </c>
      <c r="AB2971">
        <v>2734</v>
      </c>
      <c r="AC2971">
        <v>-11.16</v>
      </c>
      <c r="AD2971" t="s">
        <v>15416</v>
      </c>
      <c r="AE2971" t="s">
        <v>11786</v>
      </c>
      <c r="AF2971" t="s">
        <v>15416</v>
      </c>
      <c r="AG2971" t="s">
        <v>11786</v>
      </c>
      <c r="AH2971">
        <v>-9.97</v>
      </c>
      <c r="AI2971">
        <v>-13.04</v>
      </c>
      <c r="AJ2971">
        <v>7.68</v>
      </c>
      <c r="AK2971">
        <v>15.31</v>
      </c>
      <c r="AL2971">
        <v>0</v>
      </c>
      <c r="AM2971">
        <v>0</v>
      </c>
      <c r="AN2971">
        <v>6.06</v>
      </c>
      <c r="AO2971">
        <v>-16.91</v>
      </c>
      <c r="AP2971">
        <v>-0.71</v>
      </c>
    </row>
    <row r="2972" spans="1:42">
      <c r="A2972">
        <v>2971</v>
      </c>
      <c r="B2972" t="str">
        <f>"300404"</f>
        <v>300404</v>
      </c>
      <c r="C2972" t="s">
        <v>15417</v>
      </c>
      <c r="D2972">
        <v>9.76</v>
      </c>
      <c r="E2972">
        <v>0.72</v>
      </c>
      <c r="F2972">
        <v>0.07</v>
      </c>
      <c r="G2972" t="s">
        <v>5289</v>
      </c>
      <c r="H2972">
        <v>3070</v>
      </c>
      <c r="I2972">
        <v>9.75</v>
      </c>
      <c r="J2972">
        <v>9.76</v>
      </c>
      <c r="K2972" t="s">
        <v>15418</v>
      </c>
      <c r="L2972">
        <v>2.09</v>
      </c>
      <c r="M2972" t="s">
        <v>46</v>
      </c>
      <c r="N2972" t="s">
        <v>2259</v>
      </c>
      <c r="O2972">
        <v>9.79</v>
      </c>
      <c r="P2972">
        <v>9.61</v>
      </c>
      <c r="Q2972">
        <v>9.65</v>
      </c>
      <c r="R2972">
        <v>9.69</v>
      </c>
      <c r="S2972">
        <v>1.86</v>
      </c>
      <c r="T2972">
        <v>0.69</v>
      </c>
      <c r="U2972">
        <v>-62.99</v>
      </c>
      <c r="V2972">
        <v>-2312</v>
      </c>
      <c r="W2972">
        <v>9.71</v>
      </c>
      <c r="X2972" t="s">
        <v>7993</v>
      </c>
      <c r="Y2972" t="s">
        <v>8681</v>
      </c>
      <c r="Z2972">
        <v>0.99</v>
      </c>
      <c r="AA2972">
        <v>2</v>
      </c>
      <c r="AB2972">
        <v>642</v>
      </c>
      <c r="AC2972">
        <v>4.07</v>
      </c>
      <c r="AD2972" t="s">
        <v>11946</v>
      </c>
      <c r="AE2972" t="s">
        <v>15419</v>
      </c>
      <c r="AF2972" t="s">
        <v>15420</v>
      </c>
      <c r="AG2972" t="s">
        <v>15421</v>
      </c>
      <c r="AH2972">
        <v>-0.91</v>
      </c>
      <c r="AI2972">
        <v>-2.59</v>
      </c>
      <c r="AJ2972">
        <v>6.38</v>
      </c>
      <c r="AK2972">
        <v>17.24</v>
      </c>
      <c r="AL2972">
        <v>2</v>
      </c>
      <c r="AM2972">
        <v>0.72</v>
      </c>
      <c r="AN2972">
        <v>24.97</v>
      </c>
      <c r="AO2972">
        <v>3.83</v>
      </c>
      <c r="AP2972">
        <v>11.8</v>
      </c>
    </row>
    <row r="2973" spans="1:42">
      <c r="A2973">
        <v>2972</v>
      </c>
      <c r="B2973" t="str">
        <f>"300391"</f>
        <v>300391</v>
      </c>
      <c r="C2973" t="s">
        <v>15422</v>
      </c>
      <c r="D2973">
        <v>8.35</v>
      </c>
      <c r="E2973">
        <v>-0.6</v>
      </c>
      <c r="F2973">
        <v>-0.05</v>
      </c>
      <c r="G2973" t="s">
        <v>8476</v>
      </c>
      <c r="H2973">
        <v>615</v>
      </c>
      <c r="I2973">
        <v>8.34</v>
      </c>
      <c r="J2973">
        <v>8.36</v>
      </c>
      <c r="K2973" t="s">
        <v>15423</v>
      </c>
      <c r="L2973">
        <v>1.88</v>
      </c>
      <c r="M2973" t="s">
        <v>46</v>
      </c>
      <c r="N2973" t="s">
        <v>119</v>
      </c>
      <c r="O2973">
        <v>8.45</v>
      </c>
      <c r="P2973">
        <v>8.25</v>
      </c>
      <c r="Q2973">
        <v>8.45</v>
      </c>
      <c r="R2973">
        <v>8.4</v>
      </c>
      <c r="S2973">
        <v>2.38</v>
      </c>
      <c r="T2973">
        <v>0.86</v>
      </c>
      <c r="U2973">
        <v>39.96</v>
      </c>
      <c r="V2973">
        <v>1234</v>
      </c>
      <c r="W2973">
        <v>8.33</v>
      </c>
      <c r="X2973" t="s">
        <v>2550</v>
      </c>
      <c r="Y2973" t="s">
        <v>4914</v>
      </c>
      <c r="Z2973">
        <v>1.12</v>
      </c>
      <c r="AA2973">
        <v>21</v>
      </c>
      <c r="AB2973">
        <v>147</v>
      </c>
      <c r="AC2973">
        <v>4.27</v>
      </c>
      <c r="AD2973" t="s">
        <v>15424</v>
      </c>
      <c r="AE2973" t="s">
        <v>7863</v>
      </c>
      <c r="AF2973" t="s">
        <v>15424</v>
      </c>
      <c r="AG2973" t="s">
        <v>7863</v>
      </c>
      <c r="AH2973">
        <v>-1.53</v>
      </c>
      <c r="AI2973">
        <v>-0.24</v>
      </c>
      <c r="AJ2973">
        <v>6.95</v>
      </c>
      <c r="AK2973">
        <v>12.85</v>
      </c>
      <c r="AL2973">
        <v>-2</v>
      </c>
      <c r="AM2973">
        <v>-0.6</v>
      </c>
      <c r="AN2973">
        <v>-14.36</v>
      </c>
      <c r="AO2973">
        <v>16.3</v>
      </c>
      <c r="AP2973">
        <v>-23.67</v>
      </c>
    </row>
    <row r="2974" spans="1:42">
      <c r="A2974">
        <v>2973</v>
      </c>
      <c r="B2974" t="str">
        <f>"300127"</f>
        <v>300127</v>
      </c>
      <c r="C2974" t="s">
        <v>15425</v>
      </c>
      <c r="D2974">
        <v>17.6</v>
      </c>
      <c r="E2974">
        <v>-0.96</v>
      </c>
      <c r="F2974">
        <v>-0.17</v>
      </c>
      <c r="G2974" t="s">
        <v>3260</v>
      </c>
      <c r="H2974">
        <v>203</v>
      </c>
      <c r="I2974">
        <v>17.59</v>
      </c>
      <c r="J2974">
        <v>17.6</v>
      </c>
      <c r="K2974" t="s">
        <v>15426</v>
      </c>
      <c r="L2974">
        <v>1.35</v>
      </c>
      <c r="M2974" t="s">
        <v>46</v>
      </c>
      <c r="N2974" t="s">
        <v>10992</v>
      </c>
      <c r="O2974">
        <v>17.77</v>
      </c>
      <c r="P2974">
        <v>17.41</v>
      </c>
      <c r="Q2974">
        <v>17.68</v>
      </c>
      <c r="R2974">
        <v>17.77</v>
      </c>
      <c r="S2974">
        <v>2.03</v>
      </c>
      <c r="T2974">
        <v>1.05</v>
      </c>
      <c r="U2974">
        <v>41.51</v>
      </c>
      <c r="V2974">
        <v>159</v>
      </c>
      <c r="W2974">
        <v>17.55</v>
      </c>
      <c r="X2974" t="s">
        <v>2723</v>
      </c>
      <c r="Y2974" t="s">
        <v>682</v>
      </c>
      <c r="Z2974">
        <v>1.48</v>
      </c>
      <c r="AA2974">
        <v>74</v>
      </c>
      <c r="AB2974">
        <v>14</v>
      </c>
      <c r="AC2974">
        <v>4.01</v>
      </c>
      <c r="AD2974" t="s">
        <v>15427</v>
      </c>
      <c r="AE2974" t="s">
        <v>15428</v>
      </c>
      <c r="AF2974" t="s">
        <v>15429</v>
      </c>
      <c r="AG2974" t="s">
        <v>15430</v>
      </c>
      <c r="AH2974">
        <v>-1.95</v>
      </c>
      <c r="AI2974">
        <v>-3.4</v>
      </c>
      <c r="AJ2974">
        <v>4.23</v>
      </c>
      <c r="AK2974">
        <v>7.79</v>
      </c>
      <c r="AL2974">
        <v>-2</v>
      </c>
      <c r="AM2974">
        <v>-0.96</v>
      </c>
      <c r="AN2974">
        <v>19</v>
      </c>
      <c r="AO2974">
        <v>-1.51</v>
      </c>
      <c r="AP2974">
        <v>11.53</v>
      </c>
    </row>
    <row r="2975" spans="1:42">
      <c r="A2975">
        <v>2974</v>
      </c>
      <c r="B2975" t="str">
        <f>"301228"</f>
        <v>301228</v>
      </c>
      <c r="C2975" t="s">
        <v>15431</v>
      </c>
      <c r="D2975">
        <v>17.9</v>
      </c>
      <c r="E2975">
        <v>2.93</v>
      </c>
      <c r="F2975">
        <v>0.51</v>
      </c>
      <c r="G2975" t="s">
        <v>7205</v>
      </c>
      <c r="H2975">
        <v>253</v>
      </c>
      <c r="I2975">
        <v>17.9</v>
      </c>
      <c r="J2975">
        <v>17.91</v>
      </c>
      <c r="K2975" t="s">
        <v>15432</v>
      </c>
      <c r="L2975">
        <v>5.6</v>
      </c>
      <c r="M2975" t="s">
        <v>46</v>
      </c>
      <c r="N2975" t="s">
        <v>5762</v>
      </c>
      <c r="O2975">
        <v>17.98</v>
      </c>
      <c r="P2975">
        <v>17.5</v>
      </c>
      <c r="Q2975">
        <v>17.5</v>
      </c>
      <c r="R2975">
        <v>17.39</v>
      </c>
      <c r="S2975">
        <v>2.76</v>
      </c>
      <c r="T2975">
        <v>1.49</v>
      </c>
      <c r="U2975">
        <v>-49.38</v>
      </c>
      <c r="V2975">
        <v>-160</v>
      </c>
      <c r="W2975">
        <v>17.77</v>
      </c>
      <c r="X2975" t="s">
        <v>3130</v>
      </c>
      <c r="Y2975" t="s">
        <v>919</v>
      </c>
      <c r="Z2975">
        <v>0.92</v>
      </c>
      <c r="AA2975">
        <v>44</v>
      </c>
      <c r="AB2975">
        <v>27</v>
      </c>
      <c r="AC2975">
        <v>2.54</v>
      </c>
      <c r="AD2975" t="s">
        <v>5210</v>
      </c>
      <c r="AE2975" t="s">
        <v>4311</v>
      </c>
      <c r="AF2975" t="s">
        <v>15410</v>
      </c>
      <c r="AG2975" t="s">
        <v>15433</v>
      </c>
      <c r="AH2975">
        <v>0.11</v>
      </c>
      <c r="AI2975">
        <v>-1.59</v>
      </c>
      <c r="AJ2975">
        <v>12.72</v>
      </c>
      <c r="AK2975">
        <v>24.38</v>
      </c>
      <c r="AL2975">
        <v>1</v>
      </c>
      <c r="AM2975">
        <v>2.93</v>
      </c>
      <c r="AN2975">
        <v>16.08</v>
      </c>
      <c r="AO2975">
        <v>0.51</v>
      </c>
      <c r="AP2975">
        <v>-0.28</v>
      </c>
    </row>
    <row r="2976" spans="1:42">
      <c r="A2976">
        <v>2975</v>
      </c>
      <c r="B2976" t="str">
        <f>"000551"</f>
        <v>000551</v>
      </c>
      <c r="C2976" t="s">
        <v>15434</v>
      </c>
      <c r="D2976">
        <v>10.57</v>
      </c>
      <c r="E2976">
        <v>-0.09</v>
      </c>
      <c r="F2976">
        <v>-0.01</v>
      </c>
      <c r="G2976" t="s">
        <v>5191</v>
      </c>
      <c r="H2976">
        <v>317</v>
      </c>
      <c r="I2976">
        <v>10.57</v>
      </c>
      <c r="J2976">
        <v>10.58</v>
      </c>
      <c r="K2976" t="s">
        <v>15435</v>
      </c>
      <c r="L2976">
        <v>1.3</v>
      </c>
      <c r="M2976" t="s">
        <v>46</v>
      </c>
      <c r="N2976" t="s">
        <v>4011</v>
      </c>
      <c r="O2976">
        <v>10.59</v>
      </c>
      <c r="P2976">
        <v>10.44</v>
      </c>
      <c r="Q2976">
        <v>10.51</v>
      </c>
      <c r="R2976">
        <v>10.58</v>
      </c>
      <c r="S2976">
        <v>1.42</v>
      </c>
      <c r="T2976">
        <v>0.68</v>
      </c>
      <c r="U2976">
        <v>-13.92</v>
      </c>
      <c r="V2976">
        <v>-260</v>
      </c>
      <c r="W2976">
        <v>10.53</v>
      </c>
      <c r="X2976" t="s">
        <v>1639</v>
      </c>
      <c r="Y2976" t="s">
        <v>4422</v>
      </c>
      <c r="Z2976">
        <v>1.02</v>
      </c>
      <c r="AA2976">
        <v>30</v>
      </c>
      <c r="AB2976">
        <v>449</v>
      </c>
      <c r="AC2976">
        <v>1.86</v>
      </c>
      <c r="AD2976" t="s">
        <v>1562</v>
      </c>
      <c r="AE2976" t="s">
        <v>11723</v>
      </c>
      <c r="AF2976" t="s">
        <v>5024</v>
      </c>
      <c r="AG2976" t="s">
        <v>15436</v>
      </c>
      <c r="AH2976">
        <v>-1.77</v>
      </c>
      <c r="AI2976">
        <v>-1.49</v>
      </c>
      <c r="AJ2976">
        <v>6.17</v>
      </c>
      <c r="AK2976">
        <v>10.78</v>
      </c>
      <c r="AL2976">
        <v>-2</v>
      </c>
      <c r="AM2976">
        <v>-0.09</v>
      </c>
      <c r="AN2976">
        <v>24.35</v>
      </c>
      <c r="AO2976">
        <v>6.88</v>
      </c>
      <c r="AP2976">
        <v>12.57</v>
      </c>
    </row>
    <row r="2977" spans="1:42">
      <c r="A2977">
        <v>2976</v>
      </c>
      <c r="B2977" t="str">
        <f>"688381"</f>
        <v>688381</v>
      </c>
      <c r="C2977" t="s">
        <v>15437</v>
      </c>
      <c r="D2977">
        <v>25.87</v>
      </c>
      <c r="E2977">
        <v>-0.5</v>
      </c>
      <c r="F2977">
        <v>-0.13</v>
      </c>
      <c r="G2977" t="s">
        <v>3116</v>
      </c>
      <c r="H2977">
        <v>95</v>
      </c>
      <c r="I2977">
        <v>25.87</v>
      </c>
      <c r="J2977">
        <v>25.88</v>
      </c>
      <c r="K2977" t="s">
        <v>15438</v>
      </c>
      <c r="L2977">
        <v>1.14</v>
      </c>
      <c r="M2977" t="s">
        <v>46</v>
      </c>
      <c r="N2977" t="s">
        <v>4861</v>
      </c>
      <c r="O2977">
        <v>26.28</v>
      </c>
      <c r="P2977">
        <v>25.33</v>
      </c>
      <c r="Q2977">
        <v>26</v>
      </c>
      <c r="R2977">
        <v>26</v>
      </c>
      <c r="S2977">
        <v>3.65</v>
      </c>
      <c r="T2977">
        <v>1.11</v>
      </c>
      <c r="U2977">
        <v>39.52</v>
      </c>
      <c r="V2977">
        <v>72</v>
      </c>
      <c r="W2977">
        <v>25.62</v>
      </c>
      <c r="X2977" t="s">
        <v>4792</v>
      </c>
      <c r="Y2977">
        <v>8971</v>
      </c>
      <c r="Z2977">
        <v>1.37</v>
      </c>
      <c r="AA2977">
        <v>15</v>
      </c>
      <c r="AB2977">
        <v>10</v>
      </c>
      <c r="AC2977">
        <v>2.1</v>
      </c>
      <c r="AD2977" t="s">
        <v>11665</v>
      </c>
      <c r="AE2977" t="s">
        <v>1496</v>
      </c>
      <c r="AF2977" t="s">
        <v>10648</v>
      </c>
      <c r="AG2977" t="s">
        <v>15439</v>
      </c>
      <c r="AH2977">
        <v>-3.18</v>
      </c>
      <c r="AI2977">
        <v>-4.01</v>
      </c>
      <c r="AJ2977">
        <v>3.25</v>
      </c>
      <c r="AK2977">
        <v>6.27</v>
      </c>
      <c r="AL2977">
        <v>-3</v>
      </c>
      <c r="AM2977">
        <v>-0.5</v>
      </c>
      <c r="AN2977">
        <v>-34.44</v>
      </c>
      <c r="AO2977">
        <v>-2.04</v>
      </c>
      <c r="AP2977">
        <v>-44.92</v>
      </c>
    </row>
    <row r="2978" spans="1:42">
      <c r="A2978">
        <v>2977</v>
      </c>
      <c r="B2978" t="str">
        <f>"002560"</f>
        <v>002560</v>
      </c>
      <c r="C2978" t="s">
        <v>15440</v>
      </c>
      <c r="D2978">
        <v>7.53</v>
      </c>
      <c r="E2978">
        <v>-0.79</v>
      </c>
      <c r="F2978">
        <v>-0.06</v>
      </c>
      <c r="G2978" t="s">
        <v>5815</v>
      </c>
      <c r="H2978">
        <v>853</v>
      </c>
      <c r="I2978">
        <v>7.52</v>
      </c>
      <c r="J2978">
        <v>7.53</v>
      </c>
      <c r="K2978" t="s">
        <v>15441</v>
      </c>
      <c r="L2978">
        <v>1.61</v>
      </c>
      <c r="M2978" t="s">
        <v>46</v>
      </c>
      <c r="N2978" t="s">
        <v>445</v>
      </c>
      <c r="O2978">
        <v>7.59</v>
      </c>
      <c r="P2978">
        <v>7.45</v>
      </c>
      <c r="Q2978">
        <v>7.57</v>
      </c>
      <c r="R2978">
        <v>7.59</v>
      </c>
      <c r="S2978">
        <v>1.84</v>
      </c>
      <c r="T2978">
        <v>1.13</v>
      </c>
      <c r="U2978">
        <v>6.42</v>
      </c>
      <c r="V2978">
        <v>409</v>
      </c>
      <c r="W2978">
        <v>7.5</v>
      </c>
      <c r="X2978" t="s">
        <v>1578</v>
      </c>
      <c r="Y2978" t="s">
        <v>6581</v>
      </c>
      <c r="Z2978">
        <v>1.53</v>
      </c>
      <c r="AA2978">
        <v>800</v>
      </c>
      <c r="AB2978">
        <v>1403</v>
      </c>
      <c r="AC2978">
        <v>1.52</v>
      </c>
      <c r="AD2978" t="s">
        <v>15442</v>
      </c>
      <c r="AE2978" t="s">
        <v>5846</v>
      </c>
      <c r="AF2978" t="s">
        <v>15443</v>
      </c>
      <c r="AG2978" t="s">
        <v>139</v>
      </c>
      <c r="AH2978">
        <v>-2.08</v>
      </c>
      <c r="AI2978">
        <v>-1.7</v>
      </c>
      <c r="AJ2978">
        <v>4.38</v>
      </c>
      <c r="AK2978">
        <v>8.74</v>
      </c>
      <c r="AL2978">
        <v>-3</v>
      </c>
      <c r="AM2978">
        <v>-0.79</v>
      </c>
      <c r="AN2978">
        <v>10.41</v>
      </c>
      <c r="AO2978">
        <v>2.73</v>
      </c>
      <c r="AP2978">
        <v>2.59</v>
      </c>
    </row>
    <row r="2979" spans="1:42">
      <c r="A2979">
        <v>2978</v>
      </c>
      <c r="B2979" t="str">
        <f>"002054"</f>
        <v>002054</v>
      </c>
      <c r="C2979" t="s">
        <v>15444</v>
      </c>
      <c r="D2979">
        <v>7.05</v>
      </c>
      <c r="E2979">
        <v>-0.7</v>
      </c>
      <c r="F2979">
        <v>-0.05</v>
      </c>
      <c r="G2979" t="s">
        <v>6478</v>
      </c>
      <c r="H2979">
        <v>1184</v>
      </c>
      <c r="I2979">
        <v>7.05</v>
      </c>
      <c r="J2979">
        <v>7.06</v>
      </c>
      <c r="K2979" t="s">
        <v>15445</v>
      </c>
      <c r="L2979">
        <v>2.02</v>
      </c>
      <c r="M2979" t="s">
        <v>46</v>
      </c>
      <c r="N2979" t="s">
        <v>10760</v>
      </c>
      <c r="O2979">
        <v>7.15</v>
      </c>
      <c r="P2979">
        <v>7.03</v>
      </c>
      <c r="Q2979">
        <v>7.05</v>
      </c>
      <c r="R2979">
        <v>7.1</v>
      </c>
      <c r="S2979">
        <v>1.69</v>
      </c>
      <c r="T2979">
        <v>0.39</v>
      </c>
      <c r="U2979">
        <v>11.91</v>
      </c>
      <c r="V2979">
        <v>720</v>
      </c>
      <c r="W2979">
        <v>7.06</v>
      </c>
      <c r="X2979" t="s">
        <v>843</v>
      </c>
      <c r="Y2979" t="s">
        <v>4761</v>
      </c>
      <c r="Z2979">
        <v>1.38</v>
      </c>
      <c r="AA2979">
        <v>11</v>
      </c>
      <c r="AB2979">
        <v>891</v>
      </c>
      <c r="AC2979">
        <v>1.35</v>
      </c>
      <c r="AD2979" t="s">
        <v>15446</v>
      </c>
      <c r="AE2979" t="s">
        <v>15447</v>
      </c>
      <c r="AF2979" t="s">
        <v>15448</v>
      </c>
      <c r="AG2979" t="s">
        <v>5458</v>
      </c>
      <c r="AH2979">
        <v>-0.42</v>
      </c>
      <c r="AI2979">
        <v>-0.42</v>
      </c>
      <c r="AJ2979">
        <v>9.59</v>
      </c>
      <c r="AK2979">
        <v>27.88</v>
      </c>
      <c r="AL2979">
        <v>-2</v>
      </c>
      <c r="AM2979">
        <v>-0.7</v>
      </c>
      <c r="AN2979">
        <v>-5.11</v>
      </c>
      <c r="AO2979">
        <v>1.15</v>
      </c>
      <c r="AP2979">
        <v>-7.36</v>
      </c>
    </row>
    <row r="2980" spans="1:42">
      <c r="A2980">
        <v>2979</v>
      </c>
      <c r="B2980" t="str">
        <f>"300389"</f>
        <v>300389</v>
      </c>
      <c r="C2980" t="s">
        <v>15449</v>
      </c>
      <c r="D2980">
        <v>15.47</v>
      </c>
      <c r="E2980">
        <v>0.39</v>
      </c>
      <c r="F2980">
        <v>0.06</v>
      </c>
      <c r="G2980" t="s">
        <v>2327</v>
      </c>
      <c r="H2980">
        <v>254</v>
      </c>
      <c r="I2980">
        <v>15.46</v>
      </c>
      <c r="J2980">
        <v>15.47</v>
      </c>
      <c r="K2980" t="s">
        <v>15450</v>
      </c>
      <c r="L2980">
        <v>1.55</v>
      </c>
      <c r="M2980" t="s">
        <v>46</v>
      </c>
      <c r="N2980" t="s">
        <v>9900</v>
      </c>
      <c r="O2980">
        <v>15.63</v>
      </c>
      <c r="P2980">
        <v>15.1</v>
      </c>
      <c r="Q2980">
        <v>15.43</v>
      </c>
      <c r="R2980">
        <v>15.41</v>
      </c>
      <c r="S2980">
        <v>3.44</v>
      </c>
      <c r="T2980">
        <v>0.84</v>
      </c>
      <c r="U2980">
        <v>-5.63</v>
      </c>
      <c r="V2980">
        <v>-82</v>
      </c>
      <c r="W2980">
        <v>15.35</v>
      </c>
      <c r="X2980" t="s">
        <v>1072</v>
      </c>
      <c r="Y2980" t="s">
        <v>5997</v>
      </c>
      <c r="Z2980">
        <v>1.11</v>
      </c>
      <c r="AA2980">
        <v>53</v>
      </c>
      <c r="AB2980">
        <v>263</v>
      </c>
      <c r="AC2980">
        <v>4.19</v>
      </c>
      <c r="AD2980" t="s">
        <v>3851</v>
      </c>
      <c r="AE2980" t="s">
        <v>15451</v>
      </c>
      <c r="AF2980" t="s">
        <v>7657</v>
      </c>
      <c r="AG2980" t="s">
        <v>15452</v>
      </c>
      <c r="AH2980">
        <v>-1.59</v>
      </c>
      <c r="AI2980">
        <v>-0.32</v>
      </c>
      <c r="AJ2980">
        <v>4.9</v>
      </c>
      <c r="AK2980">
        <v>10.81</v>
      </c>
      <c r="AL2980">
        <v>1</v>
      </c>
      <c r="AM2980">
        <v>0.39</v>
      </c>
      <c r="AN2980">
        <v>83.51</v>
      </c>
      <c r="AO2980">
        <v>-0.32</v>
      </c>
      <c r="AP2980">
        <v>59.48</v>
      </c>
    </row>
    <row r="2981" spans="1:42">
      <c r="A2981">
        <v>2980</v>
      </c>
      <c r="B2981" t="str">
        <f>"600995"</f>
        <v>600995</v>
      </c>
      <c r="C2981" t="s">
        <v>15453</v>
      </c>
      <c r="D2981">
        <v>9.61</v>
      </c>
      <c r="E2981">
        <v>0.1</v>
      </c>
      <c r="F2981">
        <v>0.01</v>
      </c>
      <c r="G2981" t="s">
        <v>425</v>
      </c>
      <c r="H2981">
        <v>513</v>
      </c>
      <c r="I2981">
        <v>9.6</v>
      </c>
      <c r="J2981">
        <v>9.61</v>
      </c>
      <c r="K2981" t="s">
        <v>15454</v>
      </c>
      <c r="L2981">
        <v>0.51</v>
      </c>
      <c r="M2981" t="s">
        <v>46</v>
      </c>
      <c r="N2981" t="s">
        <v>6587</v>
      </c>
      <c r="O2981">
        <v>9.65</v>
      </c>
      <c r="P2981">
        <v>9.52</v>
      </c>
      <c r="Q2981">
        <v>9.6</v>
      </c>
      <c r="R2981">
        <v>9.6</v>
      </c>
      <c r="S2981">
        <v>1.35</v>
      </c>
      <c r="T2981">
        <v>0.71</v>
      </c>
      <c r="U2981">
        <v>-15.57</v>
      </c>
      <c r="V2981">
        <v>-1447</v>
      </c>
      <c r="W2981">
        <v>9.59</v>
      </c>
      <c r="X2981" t="s">
        <v>7205</v>
      </c>
      <c r="Y2981" t="s">
        <v>4012</v>
      </c>
      <c r="Z2981">
        <v>1.18</v>
      </c>
      <c r="AA2981">
        <v>120</v>
      </c>
      <c r="AB2981">
        <v>2995</v>
      </c>
      <c r="AC2981">
        <v>1.49</v>
      </c>
      <c r="AD2981" t="s">
        <v>15455</v>
      </c>
      <c r="AE2981" t="s">
        <v>15456</v>
      </c>
      <c r="AF2981" t="s">
        <v>15068</v>
      </c>
      <c r="AG2981" t="s">
        <v>1809</v>
      </c>
      <c r="AH2981">
        <v>-0.1</v>
      </c>
      <c r="AI2981">
        <v>1.16</v>
      </c>
      <c r="AJ2981">
        <v>1.94</v>
      </c>
      <c r="AK2981">
        <v>4.11</v>
      </c>
      <c r="AL2981">
        <v>1</v>
      </c>
      <c r="AM2981">
        <v>0.1</v>
      </c>
      <c r="AN2981">
        <v>-33.17</v>
      </c>
      <c r="AO2981">
        <v>4.8</v>
      </c>
      <c r="AP2981">
        <v>-36.94</v>
      </c>
    </row>
    <row r="2982" spans="1:42">
      <c r="A2982">
        <v>2981</v>
      </c>
      <c r="B2982" t="str">
        <f>"300421"</f>
        <v>300421</v>
      </c>
      <c r="C2982" t="s">
        <v>15457</v>
      </c>
      <c r="D2982">
        <v>9.98</v>
      </c>
      <c r="E2982">
        <v>-0.6</v>
      </c>
      <c r="F2982">
        <v>-0.06</v>
      </c>
      <c r="G2982" t="s">
        <v>7374</v>
      </c>
      <c r="H2982">
        <v>385</v>
      </c>
      <c r="I2982">
        <v>9.96</v>
      </c>
      <c r="J2982">
        <v>9.98</v>
      </c>
      <c r="K2982" t="s">
        <v>15458</v>
      </c>
      <c r="L2982">
        <v>2.37</v>
      </c>
      <c r="M2982" t="s">
        <v>46</v>
      </c>
      <c r="N2982" t="s">
        <v>1839</v>
      </c>
      <c r="O2982">
        <v>10.04</v>
      </c>
      <c r="P2982">
        <v>9.87</v>
      </c>
      <c r="Q2982">
        <v>10.04</v>
      </c>
      <c r="R2982">
        <v>10.04</v>
      </c>
      <c r="S2982">
        <v>1.69</v>
      </c>
      <c r="T2982">
        <v>0.75</v>
      </c>
      <c r="U2982">
        <v>15.41</v>
      </c>
      <c r="V2982">
        <v>293</v>
      </c>
      <c r="W2982">
        <v>9.95</v>
      </c>
      <c r="X2982" t="s">
        <v>914</v>
      </c>
      <c r="Y2982" t="s">
        <v>7028</v>
      </c>
      <c r="Z2982">
        <v>0.95</v>
      </c>
      <c r="AA2982">
        <v>166</v>
      </c>
      <c r="AB2982">
        <v>196</v>
      </c>
      <c r="AC2982">
        <v>2.39</v>
      </c>
      <c r="AD2982" t="s">
        <v>13140</v>
      </c>
      <c r="AE2982" t="s">
        <v>4787</v>
      </c>
      <c r="AF2982" t="s">
        <v>3782</v>
      </c>
      <c r="AG2982" t="s">
        <v>2933</v>
      </c>
      <c r="AH2982">
        <v>-2.06</v>
      </c>
      <c r="AI2982">
        <v>-1.58</v>
      </c>
      <c r="AJ2982">
        <v>8.18</v>
      </c>
      <c r="AK2982">
        <v>18.09</v>
      </c>
      <c r="AL2982">
        <v>-3</v>
      </c>
      <c r="AM2982">
        <v>-0.6</v>
      </c>
      <c r="AN2982">
        <v>7.54</v>
      </c>
      <c r="AO2982">
        <v>7.08</v>
      </c>
      <c r="AP2982">
        <v>-8.61</v>
      </c>
    </row>
    <row r="2983" spans="1:42">
      <c r="A2983">
        <v>2982</v>
      </c>
      <c r="B2983" t="str">
        <f>"000952"</f>
        <v>000952</v>
      </c>
      <c r="C2983" t="s">
        <v>15459</v>
      </c>
      <c r="D2983">
        <v>8.36</v>
      </c>
      <c r="E2983">
        <v>2.33</v>
      </c>
      <c r="F2983">
        <v>0.19</v>
      </c>
      <c r="G2983" t="s">
        <v>4250</v>
      </c>
      <c r="H2983">
        <v>266</v>
      </c>
      <c r="I2983">
        <v>8.35</v>
      </c>
      <c r="J2983">
        <v>8.36</v>
      </c>
      <c r="K2983" t="s">
        <v>15460</v>
      </c>
      <c r="L2983">
        <v>1.9</v>
      </c>
      <c r="M2983" t="s">
        <v>46</v>
      </c>
      <c r="N2983" t="s">
        <v>9012</v>
      </c>
      <c r="O2983">
        <v>8.39</v>
      </c>
      <c r="P2983">
        <v>8.14</v>
      </c>
      <c r="Q2983">
        <v>8.18</v>
      </c>
      <c r="R2983">
        <v>8.17</v>
      </c>
      <c r="S2983">
        <v>3.06</v>
      </c>
      <c r="T2983">
        <v>1.13</v>
      </c>
      <c r="U2983">
        <v>14.53</v>
      </c>
      <c r="V2983">
        <v>466</v>
      </c>
      <c r="W2983">
        <v>8.31</v>
      </c>
      <c r="X2983" t="s">
        <v>3226</v>
      </c>
      <c r="Y2983" t="s">
        <v>729</v>
      </c>
      <c r="Z2983">
        <v>0.93</v>
      </c>
      <c r="AA2983">
        <v>122</v>
      </c>
      <c r="AB2983">
        <v>314</v>
      </c>
      <c r="AC2983">
        <v>2.05</v>
      </c>
      <c r="AD2983" t="s">
        <v>7478</v>
      </c>
      <c r="AE2983" t="s">
        <v>15461</v>
      </c>
      <c r="AF2983" t="s">
        <v>14723</v>
      </c>
      <c r="AG2983" t="s">
        <v>15462</v>
      </c>
      <c r="AH2983">
        <v>1.21</v>
      </c>
      <c r="AI2983">
        <v>0.48</v>
      </c>
      <c r="AJ2983">
        <v>4.03</v>
      </c>
      <c r="AK2983">
        <v>10.33</v>
      </c>
      <c r="AL2983">
        <v>1</v>
      </c>
      <c r="AM2983">
        <v>2.33</v>
      </c>
      <c r="AN2983">
        <v>9.14</v>
      </c>
      <c r="AO2983">
        <v>4.63</v>
      </c>
      <c r="AP2983">
        <v>2.2</v>
      </c>
    </row>
    <row r="2984" spans="1:42">
      <c r="A2984">
        <v>2983</v>
      </c>
      <c r="B2984" t="str">
        <f>"600821"</f>
        <v>600821</v>
      </c>
      <c r="C2984" t="s">
        <v>15463</v>
      </c>
      <c r="D2984">
        <v>6.57</v>
      </c>
      <c r="E2984">
        <v>0.46</v>
      </c>
      <c r="F2984">
        <v>0.03</v>
      </c>
      <c r="G2984" t="s">
        <v>176</v>
      </c>
      <c r="H2984">
        <v>378</v>
      </c>
      <c r="I2984">
        <v>6.56</v>
      </c>
      <c r="J2984">
        <v>6.57</v>
      </c>
      <c r="K2984" t="s">
        <v>15464</v>
      </c>
      <c r="L2984">
        <v>0.41</v>
      </c>
      <c r="M2984" t="s">
        <v>46</v>
      </c>
      <c r="N2984" t="s">
        <v>6922</v>
      </c>
      <c r="O2984">
        <v>6.61</v>
      </c>
      <c r="P2984">
        <v>6.52</v>
      </c>
      <c r="Q2984">
        <v>6.53</v>
      </c>
      <c r="R2984">
        <v>6.54</v>
      </c>
      <c r="S2984">
        <v>1.38</v>
      </c>
      <c r="T2984">
        <v>0.48</v>
      </c>
      <c r="U2984">
        <v>-51.86</v>
      </c>
      <c r="V2984" t="s">
        <v>15465</v>
      </c>
      <c r="W2984">
        <v>6.57</v>
      </c>
      <c r="X2984" t="s">
        <v>3716</v>
      </c>
      <c r="Y2984" t="s">
        <v>1578</v>
      </c>
      <c r="Z2984">
        <v>0.88</v>
      </c>
      <c r="AA2984">
        <v>494</v>
      </c>
      <c r="AB2984">
        <v>2020</v>
      </c>
      <c r="AC2984">
        <v>1.47</v>
      </c>
      <c r="AD2984" t="s">
        <v>332</v>
      </c>
      <c r="AE2984" t="s">
        <v>15466</v>
      </c>
      <c r="AF2984" t="s">
        <v>332</v>
      </c>
      <c r="AG2984" t="s">
        <v>15466</v>
      </c>
      <c r="AH2984">
        <v>0</v>
      </c>
      <c r="AI2984">
        <v>1.7</v>
      </c>
      <c r="AJ2984">
        <v>1.35</v>
      </c>
      <c r="AK2984">
        <v>4.69</v>
      </c>
      <c r="AL2984">
        <v>2</v>
      </c>
      <c r="AM2984">
        <v>0.46</v>
      </c>
      <c r="AN2984">
        <v>-7.98</v>
      </c>
      <c r="AO2984">
        <v>-1.65</v>
      </c>
      <c r="AP2984">
        <v>-4.78</v>
      </c>
    </row>
    <row r="2985" spans="1:42">
      <c r="A2985">
        <v>2984</v>
      </c>
      <c r="B2985" t="str">
        <f>"300211"</f>
        <v>300211</v>
      </c>
      <c r="C2985" t="s">
        <v>15467</v>
      </c>
      <c r="D2985">
        <v>10.58</v>
      </c>
      <c r="E2985">
        <v>1.05</v>
      </c>
      <c r="F2985">
        <v>0.11</v>
      </c>
      <c r="G2985" t="s">
        <v>9332</v>
      </c>
      <c r="H2985">
        <v>437</v>
      </c>
      <c r="I2985">
        <v>10.57</v>
      </c>
      <c r="J2985">
        <v>10.58</v>
      </c>
      <c r="K2985" t="s">
        <v>10417</v>
      </c>
      <c r="L2985">
        <v>1.72</v>
      </c>
      <c r="M2985" t="s">
        <v>46</v>
      </c>
      <c r="N2985" t="s">
        <v>8616</v>
      </c>
      <c r="O2985">
        <v>10.68</v>
      </c>
      <c r="P2985">
        <v>10.37</v>
      </c>
      <c r="Q2985">
        <v>10.44</v>
      </c>
      <c r="R2985">
        <v>10.47</v>
      </c>
      <c r="S2985">
        <v>2.96</v>
      </c>
      <c r="T2985">
        <v>0.48</v>
      </c>
      <c r="U2985">
        <v>26.87</v>
      </c>
      <c r="V2985">
        <v>432</v>
      </c>
      <c r="W2985">
        <v>10.58</v>
      </c>
      <c r="X2985" t="s">
        <v>4013</v>
      </c>
      <c r="Y2985" t="s">
        <v>7160</v>
      </c>
      <c r="Z2985">
        <v>0.94</v>
      </c>
      <c r="AA2985">
        <v>23</v>
      </c>
      <c r="AB2985">
        <v>30</v>
      </c>
      <c r="AC2985">
        <v>6.16</v>
      </c>
      <c r="AD2985" t="s">
        <v>14529</v>
      </c>
      <c r="AE2985" t="s">
        <v>5140</v>
      </c>
      <c r="AF2985" t="s">
        <v>15468</v>
      </c>
      <c r="AG2985" t="s">
        <v>7878</v>
      </c>
      <c r="AH2985">
        <v>-0.84</v>
      </c>
      <c r="AI2985">
        <v>-2.4</v>
      </c>
      <c r="AJ2985">
        <v>5.36</v>
      </c>
      <c r="AK2985">
        <v>19.75</v>
      </c>
      <c r="AL2985">
        <v>1</v>
      </c>
      <c r="AM2985">
        <v>1.05</v>
      </c>
      <c r="AN2985">
        <v>44.73</v>
      </c>
      <c r="AO2985">
        <v>8.18</v>
      </c>
      <c r="AP2985">
        <v>33.25</v>
      </c>
    </row>
    <row r="2986" spans="1:42">
      <c r="A2986">
        <v>2985</v>
      </c>
      <c r="B2986" t="str">
        <f>"603212"</f>
        <v>603212</v>
      </c>
      <c r="C2986" t="s">
        <v>15469</v>
      </c>
      <c r="D2986">
        <v>15.55</v>
      </c>
      <c r="E2986">
        <v>-0.19</v>
      </c>
      <c r="F2986">
        <v>-0.03</v>
      </c>
      <c r="G2986" t="s">
        <v>7177</v>
      </c>
      <c r="H2986">
        <v>186</v>
      </c>
      <c r="I2986">
        <v>15.55</v>
      </c>
      <c r="J2986">
        <v>15.56</v>
      </c>
      <c r="K2986" t="s">
        <v>15470</v>
      </c>
      <c r="L2986">
        <v>0.8</v>
      </c>
      <c r="M2986" t="s">
        <v>46</v>
      </c>
      <c r="N2986" t="s">
        <v>11703</v>
      </c>
      <c r="O2986">
        <v>15.62</v>
      </c>
      <c r="P2986">
        <v>15.37</v>
      </c>
      <c r="Q2986">
        <v>15.57</v>
      </c>
      <c r="R2986">
        <v>15.58</v>
      </c>
      <c r="S2986">
        <v>1.6</v>
      </c>
      <c r="T2986">
        <v>1.03</v>
      </c>
      <c r="U2986">
        <v>42.39</v>
      </c>
      <c r="V2986">
        <v>390</v>
      </c>
      <c r="W2986">
        <v>15.49</v>
      </c>
      <c r="X2986" t="s">
        <v>432</v>
      </c>
      <c r="Y2986" t="s">
        <v>2111</v>
      </c>
      <c r="Z2986">
        <v>1.06</v>
      </c>
      <c r="AA2986">
        <v>271</v>
      </c>
      <c r="AB2986">
        <v>60</v>
      </c>
      <c r="AC2986">
        <v>2.27</v>
      </c>
      <c r="AD2986" t="s">
        <v>4678</v>
      </c>
      <c r="AE2986" t="s">
        <v>15471</v>
      </c>
      <c r="AF2986" t="s">
        <v>1836</v>
      </c>
      <c r="AG2986" t="s">
        <v>15472</v>
      </c>
      <c r="AH2986">
        <v>-2.69</v>
      </c>
      <c r="AI2986">
        <v>-4.6</v>
      </c>
      <c r="AJ2986">
        <v>2.35</v>
      </c>
      <c r="AK2986">
        <v>4.68</v>
      </c>
      <c r="AL2986">
        <v>-3</v>
      </c>
      <c r="AM2986">
        <v>-0.19</v>
      </c>
      <c r="AN2986">
        <v>-50.76</v>
      </c>
      <c r="AO2986">
        <v>-2.45</v>
      </c>
      <c r="AP2986">
        <v>-54.22</v>
      </c>
    </row>
    <row r="2987" spans="1:42">
      <c r="A2987">
        <v>2986</v>
      </c>
      <c r="B2987" t="str">
        <f>"600882"</f>
        <v>600882</v>
      </c>
      <c r="C2987" t="s">
        <v>15473</v>
      </c>
      <c r="D2987">
        <v>17.18</v>
      </c>
      <c r="E2987">
        <v>-0.81</v>
      </c>
      <c r="F2987">
        <v>-0.14</v>
      </c>
      <c r="G2987" t="s">
        <v>206</v>
      </c>
      <c r="H2987">
        <v>370</v>
      </c>
      <c r="I2987">
        <v>17.17</v>
      </c>
      <c r="J2987">
        <v>17.18</v>
      </c>
      <c r="K2987" t="s">
        <v>15474</v>
      </c>
      <c r="L2987">
        <v>0.61</v>
      </c>
      <c r="M2987" t="s">
        <v>46</v>
      </c>
      <c r="N2987" t="s">
        <v>10462</v>
      </c>
      <c r="O2987">
        <v>17.5</v>
      </c>
      <c r="P2987">
        <v>17.02</v>
      </c>
      <c r="Q2987">
        <v>17.32</v>
      </c>
      <c r="R2987">
        <v>17.32</v>
      </c>
      <c r="S2987">
        <v>2.77</v>
      </c>
      <c r="T2987">
        <v>1.18</v>
      </c>
      <c r="U2987">
        <v>-56.35</v>
      </c>
      <c r="V2987">
        <v>-346</v>
      </c>
      <c r="W2987">
        <v>17.24</v>
      </c>
      <c r="X2987" t="s">
        <v>1255</v>
      </c>
      <c r="Y2987" t="s">
        <v>1384</v>
      </c>
      <c r="Z2987">
        <v>1.32</v>
      </c>
      <c r="AA2987">
        <v>66</v>
      </c>
      <c r="AB2987">
        <v>74</v>
      </c>
      <c r="AC2987">
        <v>2.03</v>
      </c>
      <c r="AD2987" t="s">
        <v>15475</v>
      </c>
      <c r="AE2987" t="s">
        <v>15476</v>
      </c>
      <c r="AF2987" t="s">
        <v>15477</v>
      </c>
      <c r="AG2987" t="s">
        <v>15478</v>
      </c>
      <c r="AH2987">
        <v>-1.94</v>
      </c>
      <c r="AI2987">
        <v>-2.55</v>
      </c>
      <c r="AJ2987">
        <v>1.73</v>
      </c>
      <c r="AK2987">
        <v>3.21</v>
      </c>
      <c r="AL2987">
        <v>-1</v>
      </c>
      <c r="AM2987">
        <v>-0.81</v>
      </c>
      <c r="AN2987">
        <v>-46.04</v>
      </c>
      <c r="AO2987">
        <v>-3.27</v>
      </c>
      <c r="AP2987">
        <v>-43</v>
      </c>
    </row>
    <row r="2988" spans="1:42">
      <c r="A2988">
        <v>2987</v>
      </c>
      <c r="B2988" t="str">
        <f>"600780"</f>
        <v>600780</v>
      </c>
      <c r="C2988" t="s">
        <v>15479</v>
      </c>
      <c r="D2988">
        <v>11.7</v>
      </c>
      <c r="E2988">
        <v>1.21</v>
      </c>
      <c r="F2988">
        <v>0.14</v>
      </c>
      <c r="G2988" t="s">
        <v>7299</v>
      </c>
      <c r="H2988">
        <v>916</v>
      </c>
      <c r="I2988">
        <v>11.69</v>
      </c>
      <c r="J2988">
        <v>11.7</v>
      </c>
      <c r="K2988" t="s">
        <v>15480</v>
      </c>
      <c r="L2988">
        <v>0.41</v>
      </c>
      <c r="M2988" t="s">
        <v>46</v>
      </c>
      <c r="N2988" t="s">
        <v>15481</v>
      </c>
      <c r="O2988">
        <v>11.72</v>
      </c>
      <c r="P2988">
        <v>11.43</v>
      </c>
      <c r="Q2988">
        <v>11.54</v>
      </c>
      <c r="R2988">
        <v>11.56</v>
      </c>
      <c r="S2988">
        <v>2.51</v>
      </c>
      <c r="T2988">
        <v>0.63</v>
      </c>
      <c r="U2988">
        <v>-62.07</v>
      </c>
      <c r="V2988">
        <v>-1584</v>
      </c>
      <c r="W2988">
        <v>11.59</v>
      </c>
      <c r="X2988" t="s">
        <v>6827</v>
      </c>
      <c r="Y2988" t="s">
        <v>48</v>
      </c>
      <c r="Z2988">
        <v>0.88</v>
      </c>
      <c r="AA2988">
        <v>146</v>
      </c>
      <c r="AB2988">
        <v>753</v>
      </c>
      <c r="AC2988">
        <v>1.86</v>
      </c>
      <c r="AD2988" t="s">
        <v>4666</v>
      </c>
      <c r="AE2988" t="s">
        <v>8784</v>
      </c>
      <c r="AF2988" t="s">
        <v>4666</v>
      </c>
      <c r="AG2988" t="s">
        <v>8784</v>
      </c>
      <c r="AH2988">
        <v>3.17</v>
      </c>
      <c r="AI2988">
        <v>3.63</v>
      </c>
      <c r="AJ2988">
        <v>1.78</v>
      </c>
      <c r="AK2988">
        <v>3.62</v>
      </c>
      <c r="AL2988">
        <v>5</v>
      </c>
      <c r="AM2988">
        <v>1.21</v>
      </c>
      <c r="AN2988">
        <v>82.24</v>
      </c>
      <c r="AO2988">
        <v>18.54</v>
      </c>
      <c r="AP2988">
        <v>74.63</v>
      </c>
    </row>
    <row r="2989" spans="1:42">
      <c r="A2989">
        <v>2988</v>
      </c>
      <c r="B2989" t="str">
        <f>"601528"</f>
        <v>601528</v>
      </c>
      <c r="C2989" t="s">
        <v>15482</v>
      </c>
      <c r="D2989">
        <v>5.04</v>
      </c>
      <c r="E2989">
        <v>1.41</v>
      </c>
      <c r="F2989">
        <v>0.07</v>
      </c>
      <c r="G2989" t="s">
        <v>2402</v>
      </c>
      <c r="H2989">
        <v>1290</v>
      </c>
      <c r="I2989">
        <v>5.03</v>
      </c>
      <c r="J2989">
        <v>5.04</v>
      </c>
      <c r="K2989" t="s">
        <v>15483</v>
      </c>
      <c r="L2989">
        <v>1.37</v>
      </c>
      <c r="M2989" t="s">
        <v>46</v>
      </c>
      <c r="N2989" t="s">
        <v>15484</v>
      </c>
      <c r="O2989">
        <v>5.05</v>
      </c>
      <c r="P2989">
        <v>4.96</v>
      </c>
      <c r="Q2989">
        <v>4.96</v>
      </c>
      <c r="R2989">
        <v>4.97</v>
      </c>
      <c r="S2989">
        <v>1.81</v>
      </c>
      <c r="T2989">
        <v>1.02</v>
      </c>
      <c r="U2989">
        <v>-52.91</v>
      </c>
      <c r="V2989" t="s">
        <v>13602</v>
      </c>
      <c r="W2989">
        <v>5.02</v>
      </c>
      <c r="X2989" t="s">
        <v>3291</v>
      </c>
      <c r="Y2989" t="s">
        <v>2836</v>
      </c>
      <c r="Z2989">
        <v>0.56</v>
      </c>
      <c r="AA2989">
        <v>1167</v>
      </c>
      <c r="AB2989">
        <v>5552</v>
      </c>
      <c r="AC2989">
        <v>0.62</v>
      </c>
      <c r="AD2989" t="s">
        <v>15485</v>
      </c>
      <c r="AE2989" t="s">
        <v>15486</v>
      </c>
      <c r="AF2989" t="s">
        <v>15487</v>
      </c>
      <c r="AG2989" t="s">
        <v>15488</v>
      </c>
      <c r="AH2989">
        <v>0</v>
      </c>
      <c r="AI2989">
        <v>-0.4</v>
      </c>
      <c r="AJ2989">
        <v>4.4</v>
      </c>
      <c r="AK2989">
        <v>8.09</v>
      </c>
      <c r="AL2989">
        <v>2</v>
      </c>
      <c r="AM2989">
        <v>1.41</v>
      </c>
      <c r="AN2989">
        <v>6.33</v>
      </c>
      <c r="AO2989">
        <v>-2.14</v>
      </c>
      <c r="AP2989">
        <v>1.82</v>
      </c>
    </row>
    <row r="2990" spans="1:42">
      <c r="A2990">
        <v>2989</v>
      </c>
      <c r="B2990" t="str">
        <f>"300671"</f>
        <v>300671</v>
      </c>
      <c r="C2990" t="s">
        <v>15489</v>
      </c>
      <c r="D2990">
        <v>34.28</v>
      </c>
      <c r="E2990">
        <v>0.62</v>
      </c>
      <c r="F2990">
        <v>0.21</v>
      </c>
      <c r="G2990" t="s">
        <v>4977</v>
      </c>
      <c r="H2990">
        <v>372</v>
      </c>
      <c r="I2990">
        <v>34.27</v>
      </c>
      <c r="J2990">
        <v>34.28</v>
      </c>
      <c r="K2990" t="s">
        <v>15490</v>
      </c>
      <c r="L2990">
        <v>0.73</v>
      </c>
      <c r="M2990" t="s">
        <v>46</v>
      </c>
      <c r="N2990" t="s">
        <v>15491</v>
      </c>
      <c r="O2990">
        <v>34.37</v>
      </c>
      <c r="P2990">
        <v>33.66</v>
      </c>
      <c r="Q2990">
        <v>34.02</v>
      </c>
      <c r="R2990">
        <v>34.07</v>
      </c>
      <c r="S2990">
        <v>2.08</v>
      </c>
      <c r="T2990">
        <v>0.73</v>
      </c>
      <c r="U2990">
        <v>0.66</v>
      </c>
      <c r="V2990">
        <v>2</v>
      </c>
      <c r="W2990">
        <v>34.03</v>
      </c>
      <c r="X2990">
        <v>8452</v>
      </c>
      <c r="Y2990">
        <v>7464</v>
      </c>
      <c r="Z2990">
        <v>1.13</v>
      </c>
      <c r="AA2990">
        <v>10</v>
      </c>
      <c r="AB2990">
        <v>33</v>
      </c>
      <c r="AC2990">
        <v>3.64</v>
      </c>
      <c r="AD2990" t="s">
        <v>15492</v>
      </c>
      <c r="AE2990" t="s">
        <v>15493</v>
      </c>
      <c r="AF2990" t="s">
        <v>15494</v>
      </c>
      <c r="AG2990" t="s">
        <v>3711</v>
      </c>
      <c r="AH2990">
        <v>-1.35</v>
      </c>
      <c r="AI2990">
        <v>-2.17</v>
      </c>
      <c r="AJ2990">
        <v>3.27</v>
      </c>
      <c r="AK2990">
        <v>5.79</v>
      </c>
      <c r="AL2990">
        <v>1</v>
      </c>
      <c r="AM2990">
        <v>0.62</v>
      </c>
      <c r="AN2990">
        <v>-16.12</v>
      </c>
      <c r="AO2990">
        <v>-4.99</v>
      </c>
      <c r="AP2990">
        <v>-23.64</v>
      </c>
    </row>
    <row r="2991" spans="1:42">
      <c r="A2991">
        <v>2990</v>
      </c>
      <c r="B2991" t="str">
        <f>"872541"</f>
        <v>872541</v>
      </c>
      <c r="C2991" t="s">
        <v>15495</v>
      </c>
      <c r="D2991">
        <v>6.3</v>
      </c>
      <c r="E2991">
        <v>-8.3</v>
      </c>
      <c r="F2991">
        <v>-0.57</v>
      </c>
      <c r="G2991" t="s">
        <v>5741</v>
      </c>
      <c r="H2991">
        <v>745</v>
      </c>
      <c r="I2991">
        <v>6.29</v>
      </c>
      <c r="J2991">
        <v>6.3</v>
      </c>
      <c r="K2991" t="s">
        <v>15496</v>
      </c>
      <c r="L2991">
        <v>13.92</v>
      </c>
      <c r="M2991" t="s">
        <v>46</v>
      </c>
      <c r="N2991" t="s">
        <v>5956</v>
      </c>
      <c r="O2991">
        <v>7.08</v>
      </c>
      <c r="P2991">
        <v>6.24</v>
      </c>
      <c r="Q2991">
        <v>6.8</v>
      </c>
      <c r="R2991">
        <v>6.87</v>
      </c>
      <c r="S2991">
        <v>12.23</v>
      </c>
      <c r="T2991">
        <v>0.47</v>
      </c>
      <c r="U2991">
        <v>38.1</v>
      </c>
      <c r="V2991">
        <v>962</v>
      </c>
      <c r="W2991">
        <v>6.54</v>
      </c>
      <c r="X2991" t="s">
        <v>4009</v>
      </c>
      <c r="Y2991" t="s">
        <v>10810</v>
      </c>
      <c r="Z2991">
        <v>1.6</v>
      </c>
      <c r="AA2991">
        <v>16</v>
      </c>
      <c r="AB2991">
        <v>259</v>
      </c>
      <c r="AC2991">
        <v>2.34</v>
      </c>
      <c r="AD2991" t="s">
        <v>15497</v>
      </c>
      <c r="AE2991" t="s">
        <v>15498</v>
      </c>
      <c r="AF2991" t="s">
        <v>14795</v>
      </c>
      <c r="AG2991" t="s">
        <v>15499</v>
      </c>
      <c r="AH2991">
        <v>-19.02</v>
      </c>
      <c r="AI2991">
        <v>3.79</v>
      </c>
      <c r="AJ2991">
        <v>52.35</v>
      </c>
      <c r="AK2991">
        <v>163.24</v>
      </c>
      <c r="AL2991">
        <v>-1</v>
      </c>
      <c r="AM2991">
        <v>-8.3</v>
      </c>
      <c r="AN2991">
        <v>65.79</v>
      </c>
      <c r="AO2991">
        <v>93.85</v>
      </c>
      <c r="AP2991">
        <v>65.79</v>
      </c>
    </row>
    <row r="2992" spans="1:42">
      <c r="A2992">
        <v>2991</v>
      </c>
      <c r="B2992" t="str">
        <f>"601118"</f>
        <v>601118</v>
      </c>
      <c r="C2992" t="s">
        <v>15500</v>
      </c>
      <c r="D2992">
        <v>4.35</v>
      </c>
      <c r="E2992">
        <v>-0.23</v>
      </c>
      <c r="F2992">
        <v>-0.01</v>
      </c>
      <c r="G2992" t="s">
        <v>1261</v>
      </c>
      <c r="H2992">
        <v>1236</v>
      </c>
      <c r="I2992">
        <v>4.35</v>
      </c>
      <c r="J2992">
        <v>4.36</v>
      </c>
      <c r="K2992" t="s">
        <v>15501</v>
      </c>
      <c r="L2992">
        <v>0.29</v>
      </c>
      <c r="M2992" t="s">
        <v>46</v>
      </c>
      <c r="N2992" t="s">
        <v>15502</v>
      </c>
      <c r="O2992">
        <v>4.38</v>
      </c>
      <c r="P2992">
        <v>4.34</v>
      </c>
      <c r="Q2992">
        <v>4.35</v>
      </c>
      <c r="R2992">
        <v>4.36</v>
      </c>
      <c r="S2992">
        <v>0.92</v>
      </c>
      <c r="T2992">
        <v>0.89</v>
      </c>
      <c r="U2992">
        <v>-3.95</v>
      </c>
      <c r="V2992">
        <v>-2106</v>
      </c>
      <c r="W2992">
        <v>4.36</v>
      </c>
      <c r="X2992" t="s">
        <v>4250</v>
      </c>
      <c r="Y2992" t="s">
        <v>5611</v>
      </c>
      <c r="Z2992">
        <v>1.12</v>
      </c>
      <c r="AA2992" t="s">
        <v>239</v>
      </c>
      <c r="AB2992">
        <v>4556</v>
      </c>
      <c r="AC2992">
        <v>2.06</v>
      </c>
      <c r="AD2992" t="s">
        <v>15503</v>
      </c>
      <c r="AE2992" t="s">
        <v>6053</v>
      </c>
      <c r="AF2992" t="s">
        <v>15503</v>
      </c>
      <c r="AG2992" t="s">
        <v>6053</v>
      </c>
      <c r="AH2992">
        <v>-1.36</v>
      </c>
      <c r="AI2992">
        <v>-2.03</v>
      </c>
      <c r="AJ2992">
        <v>0.93</v>
      </c>
      <c r="AK2992">
        <v>1.93</v>
      </c>
      <c r="AL2992">
        <v>-3</v>
      </c>
      <c r="AM2992">
        <v>-0.23</v>
      </c>
      <c r="AN2992">
        <v>-0.68</v>
      </c>
      <c r="AO2992">
        <v>-2.9</v>
      </c>
      <c r="AP2992">
        <v>-1.81</v>
      </c>
    </row>
    <row r="2993" spans="1:42">
      <c r="A2993">
        <v>2992</v>
      </c>
      <c r="B2993" t="str">
        <f>"002002"</f>
        <v>002002</v>
      </c>
      <c r="C2993" t="s">
        <v>15504</v>
      </c>
      <c r="D2993">
        <v>1.33</v>
      </c>
      <c r="E2993">
        <v>0.76</v>
      </c>
      <c r="F2993">
        <v>0.01</v>
      </c>
      <c r="G2993" t="s">
        <v>412</v>
      </c>
      <c r="H2993">
        <v>7725</v>
      </c>
      <c r="I2993">
        <v>1.33</v>
      </c>
      <c r="J2993">
        <v>1.34</v>
      </c>
      <c r="K2993" t="s">
        <v>15505</v>
      </c>
      <c r="L2993">
        <v>1.32</v>
      </c>
      <c r="M2993" t="s">
        <v>46</v>
      </c>
      <c r="N2993" t="s">
        <v>4677</v>
      </c>
      <c r="O2993">
        <v>1.34</v>
      </c>
      <c r="P2993">
        <v>1.31</v>
      </c>
      <c r="Q2993">
        <v>1.32</v>
      </c>
      <c r="R2993">
        <v>1.32</v>
      </c>
      <c r="S2993">
        <v>2.27</v>
      </c>
      <c r="T2993">
        <v>0.83</v>
      </c>
      <c r="U2993">
        <v>-27.5</v>
      </c>
      <c r="V2993" t="s">
        <v>15506</v>
      </c>
      <c r="W2993">
        <v>1.32</v>
      </c>
      <c r="X2993" t="s">
        <v>1447</v>
      </c>
      <c r="Y2993" t="s">
        <v>3785</v>
      </c>
      <c r="Z2993">
        <v>1.18</v>
      </c>
      <c r="AA2993" t="s">
        <v>61</v>
      </c>
      <c r="AB2993" t="s">
        <v>8604</v>
      </c>
      <c r="AC2993">
        <v>0.44</v>
      </c>
      <c r="AD2993" t="s">
        <v>12683</v>
      </c>
      <c r="AE2993" t="s">
        <v>6446</v>
      </c>
      <c r="AF2993" t="s">
        <v>15507</v>
      </c>
      <c r="AG2993" t="s">
        <v>6677</v>
      </c>
      <c r="AH2993">
        <v>-1.48</v>
      </c>
      <c r="AI2993">
        <v>-0.75</v>
      </c>
      <c r="AJ2993">
        <v>3.42</v>
      </c>
      <c r="AK2993">
        <v>9.25</v>
      </c>
      <c r="AL2993">
        <v>1</v>
      </c>
      <c r="AM2993">
        <v>0.76</v>
      </c>
      <c r="AN2993">
        <v>-58.95</v>
      </c>
      <c r="AO2993">
        <v>-6.99</v>
      </c>
      <c r="AP2993">
        <v>-60.3</v>
      </c>
    </row>
    <row r="2994" spans="1:42">
      <c r="A2994">
        <v>2993</v>
      </c>
      <c r="B2994" t="str">
        <f>"603687"</f>
        <v>603687</v>
      </c>
      <c r="C2994" t="s">
        <v>15508</v>
      </c>
      <c r="D2994">
        <v>11.37</v>
      </c>
      <c r="E2994">
        <v>0.44</v>
      </c>
      <c r="F2994">
        <v>0.05</v>
      </c>
      <c r="G2994" t="s">
        <v>4053</v>
      </c>
      <c r="H2994">
        <v>1107</v>
      </c>
      <c r="I2994">
        <v>11.37</v>
      </c>
      <c r="J2994">
        <v>11.38</v>
      </c>
      <c r="K2994" t="s">
        <v>15509</v>
      </c>
      <c r="L2994">
        <v>1.14</v>
      </c>
      <c r="M2994" t="s">
        <v>46</v>
      </c>
      <c r="N2994" t="s">
        <v>5078</v>
      </c>
      <c r="O2994">
        <v>11.37</v>
      </c>
      <c r="P2994">
        <v>11.2</v>
      </c>
      <c r="Q2994">
        <v>11.23</v>
      </c>
      <c r="R2994">
        <v>11.32</v>
      </c>
      <c r="S2994">
        <v>1.5</v>
      </c>
      <c r="T2994">
        <v>0.72</v>
      </c>
      <c r="U2994">
        <v>16.88</v>
      </c>
      <c r="V2994">
        <v>802</v>
      </c>
      <c r="W2994">
        <v>11.29</v>
      </c>
      <c r="X2994" t="s">
        <v>8396</v>
      </c>
      <c r="Y2994" t="s">
        <v>3611</v>
      </c>
      <c r="Z2994">
        <v>1.1</v>
      </c>
      <c r="AA2994">
        <v>848</v>
      </c>
      <c r="AB2994">
        <v>318</v>
      </c>
      <c r="AC2994">
        <v>2.11</v>
      </c>
      <c r="AD2994" t="s">
        <v>395</v>
      </c>
      <c r="AE2994" t="s">
        <v>13576</v>
      </c>
      <c r="AF2994" t="s">
        <v>15510</v>
      </c>
      <c r="AG2994" t="s">
        <v>4446</v>
      </c>
      <c r="AH2994">
        <v>-0.96</v>
      </c>
      <c r="AI2994">
        <v>-2.49</v>
      </c>
      <c r="AJ2994">
        <v>4.34</v>
      </c>
      <c r="AK2994">
        <v>9.04</v>
      </c>
      <c r="AL2994">
        <v>1</v>
      </c>
      <c r="AM2994">
        <v>0.44</v>
      </c>
      <c r="AN2994">
        <v>33.14</v>
      </c>
      <c r="AO2994">
        <v>9.96</v>
      </c>
      <c r="AP2994">
        <v>13.13</v>
      </c>
    </row>
    <row r="2995" spans="1:42">
      <c r="A2995">
        <v>2994</v>
      </c>
      <c r="B2995" t="str">
        <f>"688698"</f>
        <v>688698</v>
      </c>
      <c r="C2995" t="s">
        <v>15511</v>
      </c>
      <c r="D2995">
        <v>38.44</v>
      </c>
      <c r="E2995">
        <v>-1.44</v>
      </c>
      <c r="F2995">
        <v>-0.56</v>
      </c>
      <c r="G2995" t="s">
        <v>4717</v>
      </c>
      <c r="H2995">
        <v>336</v>
      </c>
      <c r="I2995">
        <v>38.43</v>
      </c>
      <c r="J2995">
        <v>38.44</v>
      </c>
      <c r="K2995" t="s">
        <v>15512</v>
      </c>
      <c r="L2995">
        <v>3.08</v>
      </c>
      <c r="M2995" t="s">
        <v>46</v>
      </c>
      <c r="N2995" t="s">
        <v>13019</v>
      </c>
      <c r="O2995">
        <v>38.9</v>
      </c>
      <c r="P2995">
        <v>37.88</v>
      </c>
      <c r="Q2995">
        <v>38.9</v>
      </c>
      <c r="R2995">
        <v>39</v>
      </c>
      <c r="S2995">
        <v>2.62</v>
      </c>
      <c r="T2995">
        <v>1.38</v>
      </c>
      <c r="U2995">
        <v>-39.51</v>
      </c>
      <c r="V2995">
        <v>-94</v>
      </c>
      <c r="W2995">
        <v>38.19</v>
      </c>
      <c r="X2995">
        <v>7455</v>
      </c>
      <c r="Y2995">
        <v>6681</v>
      </c>
      <c r="Z2995">
        <v>1.12</v>
      </c>
      <c r="AA2995">
        <v>55</v>
      </c>
      <c r="AB2995">
        <v>88</v>
      </c>
      <c r="AC2995">
        <v>4.28</v>
      </c>
      <c r="AD2995" t="s">
        <v>15513</v>
      </c>
      <c r="AE2995" t="s">
        <v>15514</v>
      </c>
      <c r="AF2995" t="s">
        <v>15515</v>
      </c>
      <c r="AG2995" t="s">
        <v>15516</v>
      </c>
      <c r="AH2995">
        <v>-3.27</v>
      </c>
      <c r="AI2995">
        <v>-5.37</v>
      </c>
      <c r="AJ2995">
        <v>8.18</v>
      </c>
      <c r="AK2995">
        <v>14.22</v>
      </c>
      <c r="AL2995">
        <v>-2</v>
      </c>
      <c r="AM2995">
        <v>-1.44</v>
      </c>
      <c r="AN2995">
        <v>87.88</v>
      </c>
      <c r="AO2995">
        <v>11.65</v>
      </c>
      <c r="AP2995">
        <v>78.87</v>
      </c>
    </row>
    <row r="2996" spans="1:42">
      <c r="A2996">
        <v>2995</v>
      </c>
      <c r="B2996" t="str">
        <f>"301337"</f>
        <v>301337</v>
      </c>
      <c r="C2996" t="s">
        <v>15517</v>
      </c>
      <c r="D2996">
        <v>32.66</v>
      </c>
      <c r="E2996">
        <v>2.83</v>
      </c>
      <c r="F2996">
        <v>0.9</v>
      </c>
      <c r="G2996" t="s">
        <v>1112</v>
      </c>
      <c r="H2996">
        <v>200</v>
      </c>
      <c r="I2996">
        <v>32.66</v>
      </c>
      <c r="J2996">
        <v>32.67</v>
      </c>
      <c r="K2996" t="s">
        <v>15518</v>
      </c>
      <c r="L2996">
        <v>6.41</v>
      </c>
      <c r="M2996" t="s">
        <v>46</v>
      </c>
      <c r="N2996" t="s">
        <v>4655</v>
      </c>
      <c r="O2996">
        <v>32.75</v>
      </c>
      <c r="P2996">
        <v>31.58</v>
      </c>
      <c r="Q2996">
        <v>31.58</v>
      </c>
      <c r="R2996">
        <v>31.76</v>
      </c>
      <c r="S2996">
        <v>3.68</v>
      </c>
      <c r="T2996">
        <v>0.78</v>
      </c>
      <c r="U2996">
        <v>-15.46</v>
      </c>
      <c r="V2996">
        <v>-38</v>
      </c>
      <c r="W2996">
        <v>32.31</v>
      </c>
      <c r="X2996">
        <v>7697</v>
      </c>
      <c r="Y2996">
        <v>9009</v>
      </c>
      <c r="Z2996">
        <v>0.85</v>
      </c>
      <c r="AA2996">
        <v>10</v>
      </c>
      <c r="AB2996">
        <v>38</v>
      </c>
      <c r="AC2996">
        <v>3.02</v>
      </c>
      <c r="AD2996" t="s">
        <v>15519</v>
      </c>
      <c r="AE2996" t="s">
        <v>15520</v>
      </c>
      <c r="AF2996" t="s">
        <v>15521</v>
      </c>
      <c r="AG2996" t="s">
        <v>15522</v>
      </c>
      <c r="AH2996">
        <v>-1.86</v>
      </c>
      <c r="AI2996">
        <v>-1.3</v>
      </c>
      <c r="AJ2996">
        <v>19.33</v>
      </c>
      <c r="AK2996">
        <v>47.34</v>
      </c>
      <c r="AL2996">
        <v>1</v>
      </c>
      <c r="AM2996">
        <v>2.83</v>
      </c>
      <c r="AN2996">
        <v>0.65</v>
      </c>
      <c r="AO2996">
        <v>8.18</v>
      </c>
      <c r="AP2996">
        <v>0.65</v>
      </c>
    </row>
    <row r="2997" spans="1:42">
      <c r="A2997">
        <v>2996</v>
      </c>
      <c r="B2997" t="str">
        <f>"600963"</f>
        <v>600963</v>
      </c>
      <c r="C2997" t="s">
        <v>15523</v>
      </c>
      <c r="D2997">
        <v>6.33</v>
      </c>
      <c r="E2997">
        <v>0.48</v>
      </c>
      <c r="F2997">
        <v>0.03</v>
      </c>
      <c r="G2997" t="s">
        <v>7164</v>
      </c>
      <c r="H2997">
        <v>612</v>
      </c>
      <c r="I2997">
        <v>6.33</v>
      </c>
      <c r="J2997">
        <v>6.34</v>
      </c>
      <c r="K2997" t="s">
        <v>15524</v>
      </c>
      <c r="L2997">
        <v>0.48</v>
      </c>
      <c r="M2997" t="s">
        <v>46</v>
      </c>
      <c r="N2997" t="s">
        <v>9568</v>
      </c>
      <c r="O2997">
        <v>6.36</v>
      </c>
      <c r="P2997">
        <v>6.28</v>
      </c>
      <c r="Q2997">
        <v>6.3</v>
      </c>
      <c r="R2997">
        <v>6.3</v>
      </c>
      <c r="S2997">
        <v>1.27</v>
      </c>
      <c r="T2997">
        <v>0.75</v>
      </c>
      <c r="U2997">
        <v>-10.93</v>
      </c>
      <c r="V2997">
        <v>-1262</v>
      </c>
      <c r="W2997">
        <v>6.33</v>
      </c>
      <c r="X2997" t="s">
        <v>5383</v>
      </c>
      <c r="Y2997" t="s">
        <v>1502</v>
      </c>
      <c r="Z2997">
        <v>0.89</v>
      </c>
      <c r="AA2997">
        <v>125</v>
      </c>
      <c r="AB2997">
        <v>102</v>
      </c>
      <c r="AC2997">
        <v>1.26</v>
      </c>
      <c r="AD2997" t="s">
        <v>13867</v>
      </c>
      <c r="AE2997" t="s">
        <v>638</v>
      </c>
      <c r="AF2997" t="s">
        <v>11786</v>
      </c>
      <c r="AG2997" t="s">
        <v>15525</v>
      </c>
      <c r="AH2997">
        <v>-2.76</v>
      </c>
      <c r="AI2997">
        <v>-5.24</v>
      </c>
      <c r="AJ2997">
        <v>1.88</v>
      </c>
      <c r="AK2997">
        <v>3.7</v>
      </c>
      <c r="AL2997">
        <v>1</v>
      </c>
      <c r="AM2997">
        <v>0.48</v>
      </c>
      <c r="AN2997">
        <v>19.21</v>
      </c>
      <c r="AO2997">
        <v>-8.92</v>
      </c>
      <c r="AP2997">
        <v>12.83</v>
      </c>
    </row>
    <row r="2998" spans="1:42">
      <c r="A2998">
        <v>2997</v>
      </c>
      <c r="B2998" t="str">
        <f>"688523"</f>
        <v>688523</v>
      </c>
      <c r="C2998" t="s">
        <v>15526</v>
      </c>
      <c r="D2998">
        <v>26.76</v>
      </c>
      <c r="E2998">
        <v>0.11</v>
      </c>
      <c r="F2998">
        <v>0.03</v>
      </c>
      <c r="G2998" t="s">
        <v>985</v>
      </c>
      <c r="H2998">
        <v>135</v>
      </c>
      <c r="I2998">
        <v>26.76</v>
      </c>
      <c r="J2998">
        <v>26.79</v>
      </c>
      <c r="K2998" t="s">
        <v>15527</v>
      </c>
      <c r="L2998">
        <v>5.99</v>
      </c>
      <c r="M2998" t="s">
        <v>46</v>
      </c>
      <c r="N2998" t="s">
        <v>6710</v>
      </c>
      <c r="O2998">
        <v>26.9</v>
      </c>
      <c r="P2998">
        <v>26.2</v>
      </c>
      <c r="Q2998">
        <v>26.6</v>
      </c>
      <c r="R2998">
        <v>26.73</v>
      </c>
      <c r="S2998">
        <v>2.62</v>
      </c>
      <c r="T2998">
        <v>0.97</v>
      </c>
      <c r="U2998">
        <v>-64.38</v>
      </c>
      <c r="V2998">
        <v>-254</v>
      </c>
      <c r="W2998">
        <v>26.61</v>
      </c>
      <c r="X2998">
        <v>8651</v>
      </c>
      <c r="Y2998" t="s">
        <v>1743</v>
      </c>
      <c r="Z2998">
        <v>0.75</v>
      </c>
      <c r="AA2998">
        <v>7</v>
      </c>
      <c r="AB2998">
        <v>35</v>
      </c>
      <c r="AC2998">
        <v>6.86</v>
      </c>
      <c r="AD2998" t="s">
        <v>15528</v>
      </c>
      <c r="AE2998" t="s">
        <v>9774</v>
      </c>
      <c r="AF2998" t="s">
        <v>15529</v>
      </c>
      <c r="AG2998" t="s">
        <v>15530</v>
      </c>
      <c r="AH2998">
        <v>-1.87</v>
      </c>
      <c r="AI2998">
        <v>-7.69</v>
      </c>
      <c r="AJ2998">
        <v>17.97</v>
      </c>
      <c r="AK2998">
        <v>36.95</v>
      </c>
      <c r="AL2998">
        <v>1</v>
      </c>
      <c r="AM2998">
        <v>0.11</v>
      </c>
      <c r="AN2998">
        <v>22.42</v>
      </c>
      <c r="AO2998">
        <v>-7.79</v>
      </c>
      <c r="AP2998">
        <v>22.42</v>
      </c>
    </row>
    <row r="2999" spans="1:42">
      <c r="A2999">
        <v>2998</v>
      </c>
      <c r="B2999" t="str">
        <f>"000995"</f>
        <v>000995</v>
      </c>
      <c r="C2999" t="s">
        <v>15531</v>
      </c>
      <c r="D2999">
        <v>16.53</v>
      </c>
      <c r="E2999">
        <v>-1.02</v>
      </c>
      <c r="F2999">
        <v>-0.17</v>
      </c>
      <c r="G2999" t="s">
        <v>8255</v>
      </c>
      <c r="H2999">
        <v>685</v>
      </c>
      <c r="I2999">
        <v>16.53</v>
      </c>
      <c r="J2999">
        <v>16.54</v>
      </c>
      <c r="K2999" t="s">
        <v>15532</v>
      </c>
      <c r="L2999">
        <v>1.82</v>
      </c>
      <c r="M2999" t="s">
        <v>46</v>
      </c>
      <c r="N2999" t="s">
        <v>7752</v>
      </c>
      <c r="O2999">
        <v>16.75</v>
      </c>
      <c r="P2999">
        <v>16.5</v>
      </c>
      <c r="Q2999">
        <v>16.63</v>
      </c>
      <c r="R2999">
        <v>16.7</v>
      </c>
      <c r="S2999">
        <v>1.5</v>
      </c>
      <c r="T2999">
        <v>0.6</v>
      </c>
      <c r="U2999">
        <v>66.81</v>
      </c>
      <c r="V2999">
        <v>902</v>
      </c>
      <c r="W2999">
        <v>16.62</v>
      </c>
      <c r="X2999" t="s">
        <v>1072</v>
      </c>
      <c r="Y2999" t="s">
        <v>3284</v>
      </c>
      <c r="Z2999">
        <v>1.37</v>
      </c>
      <c r="AA2999">
        <v>600</v>
      </c>
      <c r="AB2999">
        <v>99</v>
      </c>
      <c r="AC2999">
        <v>21.1</v>
      </c>
      <c r="AD2999" t="s">
        <v>8457</v>
      </c>
      <c r="AE2999" t="s">
        <v>15533</v>
      </c>
      <c r="AF2999" t="s">
        <v>8457</v>
      </c>
      <c r="AG2999" t="s">
        <v>15533</v>
      </c>
      <c r="AH2999">
        <v>-2.76</v>
      </c>
      <c r="AI2999">
        <v>0.43</v>
      </c>
      <c r="AJ2999">
        <v>5.74</v>
      </c>
      <c r="AK2999">
        <v>17.11</v>
      </c>
      <c r="AL2999">
        <v>-3</v>
      </c>
      <c r="AM2999">
        <v>-1.02</v>
      </c>
      <c r="AN2999">
        <v>-0.12</v>
      </c>
      <c r="AO2999">
        <v>5.22</v>
      </c>
      <c r="AP2999">
        <v>0.55</v>
      </c>
    </row>
    <row r="3000" spans="1:42">
      <c r="A3000">
        <v>2999</v>
      </c>
      <c r="B3000" t="str">
        <f>"000790"</f>
        <v>000790</v>
      </c>
      <c r="C3000" t="s">
        <v>15534</v>
      </c>
      <c r="D3000">
        <v>5.45</v>
      </c>
      <c r="E3000">
        <v>0.74</v>
      </c>
      <c r="F3000">
        <v>0.04</v>
      </c>
      <c r="G3000" t="s">
        <v>4128</v>
      </c>
      <c r="H3000">
        <v>881</v>
      </c>
      <c r="I3000">
        <v>5.45</v>
      </c>
      <c r="J3000">
        <v>5.46</v>
      </c>
      <c r="K3000" t="s">
        <v>15535</v>
      </c>
      <c r="L3000">
        <v>1.59</v>
      </c>
      <c r="M3000" t="s">
        <v>46</v>
      </c>
      <c r="N3000" t="s">
        <v>2045</v>
      </c>
      <c r="O3000">
        <v>5.54</v>
      </c>
      <c r="P3000">
        <v>5.39</v>
      </c>
      <c r="Q3000">
        <v>5.42</v>
      </c>
      <c r="R3000">
        <v>5.41</v>
      </c>
      <c r="S3000">
        <v>2.77</v>
      </c>
      <c r="T3000">
        <v>0.65</v>
      </c>
      <c r="U3000">
        <v>24.31</v>
      </c>
      <c r="V3000">
        <v>2137</v>
      </c>
      <c r="W3000">
        <v>5.47</v>
      </c>
      <c r="X3000" t="s">
        <v>4421</v>
      </c>
      <c r="Y3000" t="s">
        <v>4708</v>
      </c>
      <c r="Z3000">
        <v>0.99</v>
      </c>
      <c r="AA3000">
        <v>429</v>
      </c>
      <c r="AB3000">
        <v>1152</v>
      </c>
      <c r="AC3000">
        <v>3.32</v>
      </c>
      <c r="AD3000" t="s">
        <v>15536</v>
      </c>
      <c r="AE3000" t="s">
        <v>9729</v>
      </c>
      <c r="AF3000" t="s">
        <v>15537</v>
      </c>
      <c r="AG3000" t="s">
        <v>13121</v>
      </c>
      <c r="AH3000">
        <v>-1.27</v>
      </c>
      <c r="AI3000">
        <v>-2.15</v>
      </c>
      <c r="AJ3000">
        <v>5.39</v>
      </c>
      <c r="AK3000">
        <v>13.82</v>
      </c>
      <c r="AL3000">
        <v>1</v>
      </c>
      <c r="AM3000">
        <v>0.74</v>
      </c>
      <c r="AN3000">
        <v>20.04</v>
      </c>
      <c r="AO3000">
        <v>1.11</v>
      </c>
      <c r="AP3000">
        <v>4.21</v>
      </c>
    </row>
    <row r="3001" spans="1:42">
      <c r="A3001">
        <v>3000</v>
      </c>
      <c r="B3001" t="str">
        <f>"600459"</f>
        <v>600459</v>
      </c>
      <c r="C3001" t="s">
        <v>15538</v>
      </c>
      <c r="D3001">
        <v>14.45</v>
      </c>
      <c r="E3001">
        <v>0.28</v>
      </c>
      <c r="F3001">
        <v>0.04</v>
      </c>
      <c r="G3001" t="s">
        <v>3210</v>
      </c>
      <c r="H3001">
        <v>476</v>
      </c>
      <c r="I3001">
        <v>14.44</v>
      </c>
      <c r="J3001">
        <v>14.45</v>
      </c>
      <c r="K3001" t="s">
        <v>15539</v>
      </c>
      <c r="L3001">
        <v>0.51</v>
      </c>
      <c r="M3001" t="s">
        <v>46</v>
      </c>
      <c r="N3001" t="s">
        <v>5885</v>
      </c>
      <c r="O3001">
        <v>14.48</v>
      </c>
      <c r="P3001">
        <v>14.26</v>
      </c>
      <c r="Q3001">
        <v>14.43</v>
      </c>
      <c r="R3001">
        <v>14.41</v>
      </c>
      <c r="S3001">
        <v>1.53</v>
      </c>
      <c r="T3001">
        <v>1</v>
      </c>
      <c r="U3001">
        <v>-44.9</v>
      </c>
      <c r="V3001">
        <v>-756</v>
      </c>
      <c r="W3001">
        <v>14.35</v>
      </c>
      <c r="X3001" t="s">
        <v>7053</v>
      </c>
      <c r="Y3001" t="s">
        <v>919</v>
      </c>
      <c r="Z3001">
        <v>1.34</v>
      </c>
      <c r="AA3001">
        <v>11</v>
      </c>
      <c r="AB3001">
        <v>119</v>
      </c>
      <c r="AC3001">
        <v>1.74</v>
      </c>
      <c r="AD3001" t="s">
        <v>15540</v>
      </c>
      <c r="AE3001" t="s">
        <v>694</v>
      </c>
      <c r="AF3001" t="s">
        <v>15541</v>
      </c>
      <c r="AG3001" t="s">
        <v>15542</v>
      </c>
      <c r="AH3001">
        <v>-1.16</v>
      </c>
      <c r="AI3001">
        <v>-1.9</v>
      </c>
      <c r="AJ3001">
        <v>1.89</v>
      </c>
      <c r="AK3001">
        <v>3.05</v>
      </c>
      <c r="AL3001">
        <v>1</v>
      </c>
      <c r="AM3001">
        <v>0.28</v>
      </c>
      <c r="AN3001">
        <v>-7.19</v>
      </c>
      <c r="AO3001">
        <v>-0.34</v>
      </c>
      <c r="AP3001">
        <v>-0.82</v>
      </c>
    </row>
    <row r="3002" spans="1:42">
      <c r="A3002">
        <v>3001</v>
      </c>
      <c r="B3002" t="str">
        <f>"000429"</f>
        <v>000429</v>
      </c>
      <c r="C3002" t="s">
        <v>15543</v>
      </c>
      <c r="D3002">
        <v>8.1</v>
      </c>
      <c r="E3002">
        <v>0.87</v>
      </c>
      <c r="F3002">
        <v>0.07</v>
      </c>
      <c r="G3002" t="s">
        <v>1762</v>
      </c>
      <c r="H3002">
        <v>266</v>
      </c>
      <c r="I3002">
        <v>8.09</v>
      </c>
      <c r="J3002">
        <v>8.1</v>
      </c>
      <c r="K3002" t="s">
        <v>15544</v>
      </c>
      <c r="L3002">
        <v>0.51</v>
      </c>
      <c r="M3002" t="s">
        <v>46</v>
      </c>
      <c r="N3002" t="s">
        <v>9562</v>
      </c>
      <c r="O3002">
        <v>8.14</v>
      </c>
      <c r="P3002">
        <v>8.03</v>
      </c>
      <c r="Q3002">
        <v>8.03</v>
      </c>
      <c r="R3002">
        <v>8.03</v>
      </c>
      <c r="S3002">
        <v>1.37</v>
      </c>
      <c r="T3002">
        <v>1.09</v>
      </c>
      <c r="U3002">
        <v>-29.31</v>
      </c>
      <c r="V3002">
        <v>-1499</v>
      </c>
      <c r="W3002">
        <v>8.09</v>
      </c>
      <c r="X3002" t="s">
        <v>3121</v>
      </c>
      <c r="Y3002" t="s">
        <v>5774</v>
      </c>
      <c r="Z3002">
        <v>0.7</v>
      </c>
      <c r="AA3002">
        <v>132</v>
      </c>
      <c r="AB3002">
        <v>99</v>
      </c>
      <c r="AC3002">
        <v>1.77</v>
      </c>
      <c r="AD3002" t="s">
        <v>15545</v>
      </c>
      <c r="AE3002" t="s">
        <v>15546</v>
      </c>
      <c r="AF3002" t="s">
        <v>9717</v>
      </c>
      <c r="AG3002" t="s">
        <v>15547</v>
      </c>
      <c r="AH3002">
        <v>1.12</v>
      </c>
      <c r="AI3002">
        <v>0.12</v>
      </c>
      <c r="AJ3002">
        <v>1.26</v>
      </c>
      <c r="AK3002">
        <v>2.84</v>
      </c>
      <c r="AL3002">
        <v>2</v>
      </c>
      <c r="AM3002">
        <v>0.87</v>
      </c>
      <c r="AN3002">
        <v>9.61</v>
      </c>
      <c r="AO3002">
        <v>0.75</v>
      </c>
      <c r="AP3002">
        <v>17.9</v>
      </c>
    </row>
    <row r="3003" spans="1:42">
      <c r="A3003">
        <v>3002</v>
      </c>
      <c r="B3003" t="str">
        <f>"603701"</f>
        <v>603701</v>
      </c>
      <c r="C3003" t="s">
        <v>15548</v>
      </c>
      <c r="D3003">
        <v>15.35</v>
      </c>
      <c r="E3003">
        <v>-0.32</v>
      </c>
      <c r="F3003">
        <v>-0.05</v>
      </c>
      <c r="G3003" t="s">
        <v>762</v>
      </c>
      <c r="H3003">
        <v>412</v>
      </c>
      <c r="I3003">
        <v>15.35</v>
      </c>
      <c r="J3003">
        <v>15.36</v>
      </c>
      <c r="K3003" t="s">
        <v>15549</v>
      </c>
      <c r="L3003">
        <v>1.34</v>
      </c>
      <c r="M3003" t="s">
        <v>46</v>
      </c>
      <c r="N3003" t="s">
        <v>3272</v>
      </c>
      <c r="O3003">
        <v>15.62</v>
      </c>
      <c r="P3003">
        <v>15.17</v>
      </c>
      <c r="Q3003">
        <v>15.5</v>
      </c>
      <c r="R3003">
        <v>15.4</v>
      </c>
      <c r="S3003">
        <v>2.92</v>
      </c>
      <c r="T3003">
        <v>0.65</v>
      </c>
      <c r="U3003">
        <v>-13.03</v>
      </c>
      <c r="V3003">
        <v>-95</v>
      </c>
      <c r="W3003">
        <v>15.36</v>
      </c>
      <c r="X3003" t="s">
        <v>2329</v>
      </c>
      <c r="Y3003" t="s">
        <v>141</v>
      </c>
      <c r="Z3003">
        <v>1.21</v>
      </c>
      <c r="AA3003">
        <v>89</v>
      </c>
      <c r="AB3003">
        <v>74</v>
      </c>
      <c r="AC3003">
        <v>5.3</v>
      </c>
      <c r="AD3003" t="s">
        <v>3591</v>
      </c>
      <c r="AE3003" t="s">
        <v>13316</v>
      </c>
      <c r="AF3003" t="s">
        <v>3591</v>
      </c>
      <c r="AG3003" t="s">
        <v>13316</v>
      </c>
      <c r="AH3003">
        <v>-0.39</v>
      </c>
      <c r="AI3003">
        <v>0.52</v>
      </c>
      <c r="AJ3003">
        <v>4.68</v>
      </c>
      <c r="AK3003">
        <v>11.65</v>
      </c>
      <c r="AL3003">
        <v>-1</v>
      </c>
      <c r="AM3003">
        <v>-0.32</v>
      </c>
      <c r="AN3003">
        <v>-22</v>
      </c>
      <c r="AO3003">
        <v>13.45</v>
      </c>
      <c r="AP3003">
        <v>-22.9</v>
      </c>
    </row>
    <row r="3004" spans="1:42">
      <c r="A3004">
        <v>3003</v>
      </c>
      <c r="B3004" t="str">
        <f>"000861"</f>
        <v>000861</v>
      </c>
      <c r="C3004" t="s">
        <v>15550</v>
      </c>
      <c r="D3004">
        <v>2.08</v>
      </c>
      <c r="E3004">
        <v>1.46</v>
      </c>
      <c r="F3004">
        <v>0.03</v>
      </c>
      <c r="G3004" t="s">
        <v>1833</v>
      </c>
      <c r="H3004">
        <v>2637</v>
      </c>
      <c r="I3004">
        <v>2.07</v>
      </c>
      <c r="J3004">
        <v>2.08</v>
      </c>
      <c r="K3004" t="s">
        <v>6543</v>
      </c>
      <c r="L3004">
        <v>1.09</v>
      </c>
      <c r="M3004" t="s">
        <v>46</v>
      </c>
      <c r="N3004" t="s">
        <v>2427</v>
      </c>
      <c r="O3004">
        <v>2.08</v>
      </c>
      <c r="P3004">
        <v>2.04</v>
      </c>
      <c r="Q3004">
        <v>2.05</v>
      </c>
      <c r="R3004">
        <v>2.05</v>
      </c>
      <c r="S3004">
        <v>1.95</v>
      </c>
      <c r="T3004">
        <v>0.95</v>
      </c>
      <c r="U3004">
        <v>-8.9</v>
      </c>
      <c r="V3004" t="s">
        <v>15551</v>
      </c>
      <c r="W3004">
        <v>2.06</v>
      </c>
      <c r="X3004" t="s">
        <v>1232</v>
      </c>
      <c r="Y3004" t="s">
        <v>571</v>
      </c>
      <c r="Z3004">
        <v>0.63</v>
      </c>
      <c r="AA3004" t="s">
        <v>1083</v>
      </c>
      <c r="AB3004" t="s">
        <v>985</v>
      </c>
      <c r="AC3004">
        <v>1.65</v>
      </c>
      <c r="AD3004" t="s">
        <v>5213</v>
      </c>
      <c r="AE3004" t="s">
        <v>10728</v>
      </c>
      <c r="AF3004" t="s">
        <v>15552</v>
      </c>
      <c r="AG3004" t="s">
        <v>10049</v>
      </c>
      <c r="AH3004">
        <v>1.96</v>
      </c>
      <c r="AI3004">
        <v>1.46</v>
      </c>
      <c r="AJ3004">
        <v>4.24</v>
      </c>
      <c r="AK3004">
        <v>6.83</v>
      </c>
      <c r="AL3004">
        <v>1</v>
      </c>
      <c r="AM3004">
        <v>1.46</v>
      </c>
      <c r="AN3004">
        <v>-7.56</v>
      </c>
      <c r="AO3004">
        <v>3.48</v>
      </c>
      <c r="AP3004">
        <v>-11.11</v>
      </c>
    </row>
    <row r="3005" spans="1:42">
      <c r="A3005">
        <v>3004</v>
      </c>
      <c r="B3005" t="str">
        <f>"300888"</f>
        <v>300888</v>
      </c>
      <c r="C3005" t="s">
        <v>15553</v>
      </c>
      <c r="D3005">
        <v>38.71</v>
      </c>
      <c r="E3005">
        <v>-0.1</v>
      </c>
      <c r="F3005">
        <v>-0.04</v>
      </c>
      <c r="G3005" t="s">
        <v>10542</v>
      </c>
      <c r="H3005">
        <v>139</v>
      </c>
      <c r="I3005">
        <v>38.7</v>
      </c>
      <c r="J3005">
        <v>38.71</v>
      </c>
      <c r="K3005" t="s">
        <v>15554</v>
      </c>
      <c r="L3005">
        <v>0.74</v>
      </c>
      <c r="M3005" t="s">
        <v>46</v>
      </c>
      <c r="N3005" t="s">
        <v>15555</v>
      </c>
      <c r="O3005">
        <v>39</v>
      </c>
      <c r="P3005">
        <v>38.3</v>
      </c>
      <c r="Q3005">
        <v>38.8</v>
      </c>
      <c r="R3005">
        <v>38.75</v>
      </c>
      <c r="S3005">
        <v>1.81</v>
      </c>
      <c r="T3005">
        <v>1.16</v>
      </c>
      <c r="U3005">
        <v>49.28</v>
      </c>
      <c r="V3005">
        <v>68</v>
      </c>
      <c r="W3005">
        <v>38.64</v>
      </c>
      <c r="X3005">
        <v>6611</v>
      </c>
      <c r="Y3005">
        <v>7258</v>
      </c>
      <c r="Z3005">
        <v>0.91</v>
      </c>
      <c r="AA3005">
        <v>18</v>
      </c>
      <c r="AB3005">
        <v>10</v>
      </c>
      <c r="AC3005">
        <v>1.76</v>
      </c>
      <c r="AD3005" t="s">
        <v>15556</v>
      </c>
      <c r="AE3005" t="s">
        <v>9146</v>
      </c>
      <c r="AF3005" t="s">
        <v>15557</v>
      </c>
      <c r="AG3005" t="s">
        <v>15558</v>
      </c>
      <c r="AH3005">
        <v>-2</v>
      </c>
      <c r="AI3005">
        <v>-3.13</v>
      </c>
      <c r="AJ3005">
        <v>1.93</v>
      </c>
      <c r="AK3005">
        <v>3.92</v>
      </c>
      <c r="AL3005">
        <v>-3</v>
      </c>
      <c r="AM3005">
        <v>-0.1</v>
      </c>
      <c r="AN3005">
        <v>-22.13</v>
      </c>
      <c r="AO3005">
        <v>-4.18</v>
      </c>
      <c r="AP3005">
        <v>-17.02</v>
      </c>
    </row>
    <row r="3006" spans="1:42">
      <c r="A3006">
        <v>3005</v>
      </c>
      <c r="B3006" t="str">
        <f>"688475"</f>
        <v>688475</v>
      </c>
      <c r="C3006" t="s">
        <v>15559</v>
      </c>
      <c r="D3006">
        <v>47.51</v>
      </c>
      <c r="E3006">
        <v>2.33</v>
      </c>
      <c r="F3006">
        <v>1.08</v>
      </c>
      <c r="G3006" t="s">
        <v>2667</v>
      </c>
      <c r="H3006">
        <v>176</v>
      </c>
      <c r="I3006">
        <v>47.51</v>
      </c>
      <c r="J3006">
        <v>47.52</v>
      </c>
      <c r="K3006" t="s">
        <v>15560</v>
      </c>
      <c r="L3006">
        <v>1.27</v>
      </c>
      <c r="M3006" t="s">
        <v>46</v>
      </c>
      <c r="N3006" t="s">
        <v>3772</v>
      </c>
      <c r="O3006">
        <v>47.52</v>
      </c>
      <c r="P3006">
        <v>45.85</v>
      </c>
      <c r="Q3006">
        <v>46.29</v>
      </c>
      <c r="R3006">
        <v>46.43</v>
      </c>
      <c r="S3006">
        <v>3.6</v>
      </c>
      <c r="T3006">
        <v>0.95</v>
      </c>
      <c r="U3006">
        <v>71.22</v>
      </c>
      <c r="V3006">
        <v>168</v>
      </c>
      <c r="W3006">
        <v>46.94</v>
      </c>
      <c r="X3006">
        <v>4283</v>
      </c>
      <c r="Y3006">
        <v>7133</v>
      </c>
      <c r="Z3006">
        <v>0.6</v>
      </c>
      <c r="AA3006">
        <v>4</v>
      </c>
      <c r="AB3006">
        <v>24</v>
      </c>
      <c r="AC3006">
        <v>5.24</v>
      </c>
      <c r="AD3006" t="s">
        <v>12894</v>
      </c>
      <c r="AE3006" t="s">
        <v>15561</v>
      </c>
      <c r="AF3006" t="s">
        <v>15562</v>
      </c>
      <c r="AG3006" t="s">
        <v>89</v>
      </c>
      <c r="AH3006">
        <v>0.02</v>
      </c>
      <c r="AI3006">
        <v>-0.65</v>
      </c>
      <c r="AJ3006">
        <v>4</v>
      </c>
      <c r="AK3006">
        <v>7.99</v>
      </c>
      <c r="AL3006">
        <v>1</v>
      </c>
      <c r="AM3006">
        <v>2.33</v>
      </c>
      <c r="AN3006">
        <v>85.37</v>
      </c>
      <c r="AO3006">
        <v>-8.51</v>
      </c>
      <c r="AP3006">
        <v>66.88</v>
      </c>
    </row>
    <row r="3007" spans="1:42">
      <c r="A3007">
        <v>3006</v>
      </c>
      <c r="B3007" t="str">
        <f>"600692"</f>
        <v>600692</v>
      </c>
      <c r="C3007" t="s">
        <v>15563</v>
      </c>
      <c r="D3007">
        <v>6.35</v>
      </c>
      <c r="E3007">
        <v>1.76</v>
      </c>
      <c r="F3007">
        <v>0.11</v>
      </c>
      <c r="G3007" t="s">
        <v>10609</v>
      </c>
      <c r="H3007">
        <v>431</v>
      </c>
      <c r="I3007">
        <v>6.35</v>
      </c>
      <c r="J3007">
        <v>6.36</v>
      </c>
      <c r="K3007" t="s">
        <v>15564</v>
      </c>
      <c r="L3007">
        <v>3.3</v>
      </c>
      <c r="M3007" t="s">
        <v>46</v>
      </c>
      <c r="N3007" t="s">
        <v>1744</v>
      </c>
      <c r="O3007">
        <v>6.42</v>
      </c>
      <c r="P3007">
        <v>6.28</v>
      </c>
      <c r="Q3007">
        <v>6.33</v>
      </c>
      <c r="R3007">
        <v>6.24</v>
      </c>
      <c r="S3007">
        <v>2.24</v>
      </c>
      <c r="T3007">
        <v>0.88</v>
      </c>
      <c r="U3007">
        <v>-53.33</v>
      </c>
      <c r="V3007">
        <v>-2082</v>
      </c>
      <c r="W3007">
        <v>6.37</v>
      </c>
      <c r="X3007" t="s">
        <v>4811</v>
      </c>
      <c r="Y3007" t="s">
        <v>3204</v>
      </c>
      <c r="Z3007">
        <v>0.85</v>
      </c>
      <c r="AA3007">
        <v>334</v>
      </c>
      <c r="AB3007">
        <v>509</v>
      </c>
      <c r="AC3007">
        <v>2.46</v>
      </c>
      <c r="AD3007" t="s">
        <v>15565</v>
      </c>
      <c r="AE3007" t="s">
        <v>15566</v>
      </c>
      <c r="AF3007" t="s">
        <v>15567</v>
      </c>
      <c r="AG3007" t="s">
        <v>15568</v>
      </c>
      <c r="AH3007">
        <v>0.16</v>
      </c>
      <c r="AI3007">
        <v>-1.24</v>
      </c>
      <c r="AJ3007">
        <v>10.09</v>
      </c>
      <c r="AK3007">
        <v>22.1</v>
      </c>
      <c r="AL3007">
        <v>1</v>
      </c>
      <c r="AM3007">
        <v>1.76</v>
      </c>
      <c r="AN3007">
        <v>7.81</v>
      </c>
      <c r="AO3007">
        <v>7.81</v>
      </c>
      <c r="AP3007">
        <v>9.86</v>
      </c>
    </row>
    <row r="3008" spans="1:42">
      <c r="A3008">
        <v>3007</v>
      </c>
      <c r="B3008" t="str">
        <f>"600736"</f>
        <v>600736</v>
      </c>
      <c r="C3008" t="s">
        <v>15569</v>
      </c>
      <c r="D3008">
        <v>4.89</v>
      </c>
      <c r="E3008">
        <v>1.24</v>
      </c>
      <c r="F3008">
        <v>0.06</v>
      </c>
      <c r="G3008" t="s">
        <v>1438</v>
      </c>
      <c r="H3008">
        <v>1374</v>
      </c>
      <c r="I3008">
        <v>4.89</v>
      </c>
      <c r="J3008">
        <v>4.9</v>
      </c>
      <c r="K3008" t="s">
        <v>15570</v>
      </c>
      <c r="L3008">
        <v>0.96</v>
      </c>
      <c r="M3008" t="s">
        <v>46</v>
      </c>
      <c r="N3008" t="s">
        <v>6863</v>
      </c>
      <c r="O3008">
        <v>4.9</v>
      </c>
      <c r="P3008">
        <v>4.81</v>
      </c>
      <c r="Q3008">
        <v>4.84</v>
      </c>
      <c r="R3008">
        <v>4.83</v>
      </c>
      <c r="S3008">
        <v>1.86</v>
      </c>
      <c r="T3008">
        <v>0.91</v>
      </c>
      <c r="U3008">
        <v>-45.26</v>
      </c>
      <c r="V3008">
        <v>-6460</v>
      </c>
      <c r="W3008">
        <v>4.87</v>
      </c>
      <c r="X3008" t="s">
        <v>2621</v>
      </c>
      <c r="Y3008" t="s">
        <v>5452</v>
      </c>
      <c r="Z3008">
        <v>0.62</v>
      </c>
      <c r="AA3008">
        <v>340</v>
      </c>
      <c r="AB3008">
        <v>3798</v>
      </c>
      <c r="AC3008">
        <v>0.76</v>
      </c>
      <c r="AD3008" t="s">
        <v>906</v>
      </c>
      <c r="AE3008" t="s">
        <v>1149</v>
      </c>
      <c r="AF3008" t="s">
        <v>906</v>
      </c>
      <c r="AG3008" t="s">
        <v>1149</v>
      </c>
      <c r="AH3008">
        <v>-0.2</v>
      </c>
      <c r="AI3008">
        <v>-3.17</v>
      </c>
      <c r="AJ3008">
        <v>2.69</v>
      </c>
      <c r="AK3008">
        <v>6.19</v>
      </c>
      <c r="AL3008">
        <v>1</v>
      </c>
      <c r="AM3008">
        <v>1.24</v>
      </c>
      <c r="AN3008">
        <v>5.62</v>
      </c>
      <c r="AO3008">
        <v>2.52</v>
      </c>
      <c r="AP3008">
        <v>4.71</v>
      </c>
    </row>
    <row r="3009" spans="1:42">
      <c r="A3009">
        <v>3008</v>
      </c>
      <c r="B3009" t="str">
        <f>"688359"</f>
        <v>688359</v>
      </c>
      <c r="C3009" t="s">
        <v>15571</v>
      </c>
      <c r="D3009">
        <v>68.62</v>
      </c>
      <c r="E3009">
        <v>-2.83</v>
      </c>
      <c r="F3009">
        <v>-2</v>
      </c>
      <c r="G3009">
        <v>7724</v>
      </c>
      <c r="H3009">
        <v>117</v>
      </c>
      <c r="I3009">
        <v>68.54</v>
      </c>
      <c r="J3009">
        <v>68.62</v>
      </c>
      <c r="K3009" t="s">
        <v>15572</v>
      </c>
      <c r="L3009">
        <v>1.55</v>
      </c>
      <c r="M3009" t="s">
        <v>46</v>
      </c>
      <c r="N3009" t="s">
        <v>4313</v>
      </c>
      <c r="O3009">
        <v>71</v>
      </c>
      <c r="P3009">
        <v>68.15</v>
      </c>
      <c r="Q3009">
        <v>70.75</v>
      </c>
      <c r="R3009">
        <v>70.62</v>
      </c>
      <c r="S3009">
        <v>4.04</v>
      </c>
      <c r="T3009">
        <v>0.95</v>
      </c>
      <c r="U3009">
        <v>-23.42</v>
      </c>
      <c r="V3009">
        <v>-13</v>
      </c>
      <c r="W3009">
        <v>69.23</v>
      </c>
      <c r="X3009">
        <v>5121</v>
      </c>
      <c r="Y3009">
        <v>2602</v>
      </c>
      <c r="Z3009">
        <v>1.97</v>
      </c>
      <c r="AA3009">
        <v>3</v>
      </c>
      <c r="AB3009">
        <v>2</v>
      </c>
      <c r="AC3009">
        <v>13.06</v>
      </c>
      <c r="AD3009" t="s">
        <v>15573</v>
      </c>
      <c r="AE3009" t="s">
        <v>13819</v>
      </c>
      <c r="AF3009" t="s">
        <v>15574</v>
      </c>
      <c r="AG3009" t="s">
        <v>15575</v>
      </c>
      <c r="AH3009">
        <v>-4.38</v>
      </c>
      <c r="AI3009">
        <v>-7.51</v>
      </c>
      <c r="AJ3009">
        <v>5.4</v>
      </c>
      <c r="AK3009">
        <v>9.65</v>
      </c>
      <c r="AL3009">
        <v>-1</v>
      </c>
      <c r="AM3009">
        <v>-2.83</v>
      </c>
      <c r="AN3009">
        <v>1.67</v>
      </c>
      <c r="AO3009">
        <v>1.66</v>
      </c>
      <c r="AP3009">
        <v>-20.41</v>
      </c>
    </row>
    <row r="3010" spans="1:42">
      <c r="A3010">
        <v>3009</v>
      </c>
      <c r="B3010" t="str">
        <f>"873122"</f>
        <v>873122</v>
      </c>
      <c r="C3010" t="s">
        <v>15576</v>
      </c>
      <c r="D3010">
        <v>14.15</v>
      </c>
      <c r="E3010">
        <v>13.02</v>
      </c>
      <c r="F3010">
        <v>1.63</v>
      </c>
      <c r="G3010" t="s">
        <v>3716</v>
      </c>
      <c r="H3010">
        <v>324</v>
      </c>
      <c r="I3010">
        <v>14.14</v>
      </c>
      <c r="J3010">
        <v>14.15</v>
      </c>
      <c r="K3010" t="s">
        <v>15572</v>
      </c>
      <c r="L3010">
        <v>29.57</v>
      </c>
      <c r="M3010" t="s">
        <v>46</v>
      </c>
      <c r="N3010" t="s">
        <v>8896</v>
      </c>
      <c r="O3010">
        <v>15.89</v>
      </c>
      <c r="P3010">
        <v>12.07</v>
      </c>
      <c r="Q3010">
        <v>12.51</v>
      </c>
      <c r="R3010">
        <v>12.52</v>
      </c>
      <c r="S3010">
        <v>30.51</v>
      </c>
      <c r="T3010">
        <v>1.07</v>
      </c>
      <c r="U3010">
        <v>60.62</v>
      </c>
      <c r="V3010">
        <v>360</v>
      </c>
      <c r="W3010">
        <v>13.86</v>
      </c>
      <c r="X3010" t="s">
        <v>1072</v>
      </c>
      <c r="Y3010" t="s">
        <v>1590</v>
      </c>
      <c r="Z3010">
        <v>0.94</v>
      </c>
      <c r="AA3010">
        <v>116</v>
      </c>
      <c r="AB3010">
        <v>19</v>
      </c>
      <c r="AC3010">
        <v>3.9</v>
      </c>
      <c r="AD3010" t="s">
        <v>11439</v>
      </c>
      <c r="AE3010" t="s">
        <v>3968</v>
      </c>
      <c r="AF3010" t="s">
        <v>15577</v>
      </c>
      <c r="AG3010" t="s">
        <v>11686</v>
      </c>
      <c r="AH3010">
        <v>-9.66</v>
      </c>
      <c r="AI3010">
        <v>19.99</v>
      </c>
      <c r="AJ3010">
        <v>68.27</v>
      </c>
      <c r="AK3010">
        <v>168.08</v>
      </c>
      <c r="AL3010">
        <v>1</v>
      </c>
      <c r="AM3010">
        <v>13.02</v>
      </c>
      <c r="AN3010">
        <v>27.36</v>
      </c>
      <c r="AO3010">
        <v>40.66</v>
      </c>
      <c r="AP3010">
        <v>29.82</v>
      </c>
    </row>
    <row r="3011" spans="1:42">
      <c r="A3011">
        <v>3010</v>
      </c>
      <c r="B3011" t="str">
        <f>"000598"</f>
        <v>000598</v>
      </c>
      <c r="C3011" t="s">
        <v>15578</v>
      </c>
      <c r="D3011">
        <v>5.55</v>
      </c>
      <c r="E3011">
        <v>-0.18</v>
      </c>
      <c r="F3011">
        <v>-0.01</v>
      </c>
      <c r="G3011" t="s">
        <v>5726</v>
      </c>
      <c r="H3011">
        <v>1418</v>
      </c>
      <c r="I3011">
        <v>5.55</v>
      </c>
      <c r="J3011">
        <v>5.56</v>
      </c>
      <c r="K3011" t="s">
        <v>15579</v>
      </c>
      <c r="L3011">
        <v>0.32</v>
      </c>
      <c r="M3011" t="s">
        <v>46</v>
      </c>
      <c r="N3011" t="s">
        <v>2614</v>
      </c>
      <c r="O3011">
        <v>5.59</v>
      </c>
      <c r="P3011">
        <v>5.54</v>
      </c>
      <c r="Q3011">
        <v>5.57</v>
      </c>
      <c r="R3011">
        <v>5.56</v>
      </c>
      <c r="S3011">
        <v>0.9</v>
      </c>
      <c r="T3011">
        <v>0.84</v>
      </c>
      <c r="U3011">
        <v>-24.23</v>
      </c>
      <c r="V3011">
        <v>-4142</v>
      </c>
      <c r="W3011">
        <v>5.57</v>
      </c>
      <c r="X3011" t="s">
        <v>4096</v>
      </c>
      <c r="Y3011" t="s">
        <v>2300</v>
      </c>
      <c r="Z3011">
        <v>1.08</v>
      </c>
      <c r="AA3011">
        <v>1310</v>
      </c>
      <c r="AB3011">
        <v>203</v>
      </c>
      <c r="AC3011">
        <v>1.04</v>
      </c>
      <c r="AD3011" t="s">
        <v>15580</v>
      </c>
      <c r="AE3011" t="s">
        <v>12691</v>
      </c>
      <c r="AF3011" t="s">
        <v>702</v>
      </c>
      <c r="AG3011" t="s">
        <v>15581</v>
      </c>
      <c r="AH3011">
        <v>-0.72</v>
      </c>
      <c r="AI3011">
        <v>-0.36</v>
      </c>
      <c r="AJ3011">
        <v>0.92</v>
      </c>
      <c r="AK3011">
        <v>2.24</v>
      </c>
      <c r="AL3011">
        <v>-1</v>
      </c>
      <c r="AM3011">
        <v>-0.18</v>
      </c>
      <c r="AN3011">
        <v>16.11</v>
      </c>
      <c r="AO3011">
        <v>-0.54</v>
      </c>
      <c r="AP3011">
        <v>14.43</v>
      </c>
    </row>
    <row r="3012" spans="1:42">
      <c r="A3012">
        <v>3011</v>
      </c>
      <c r="B3012" t="str">
        <f>"603869"</f>
        <v>603869</v>
      </c>
      <c r="C3012" t="s">
        <v>15582</v>
      </c>
      <c r="D3012">
        <v>10.11</v>
      </c>
      <c r="E3012">
        <v>3.16</v>
      </c>
      <c r="F3012">
        <v>0.31</v>
      </c>
      <c r="G3012" t="s">
        <v>1235</v>
      </c>
      <c r="H3012">
        <v>888</v>
      </c>
      <c r="I3012">
        <v>10.11</v>
      </c>
      <c r="J3012">
        <v>10.12</v>
      </c>
      <c r="K3012" t="s">
        <v>15583</v>
      </c>
      <c r="L3012">
        <v>1.06</v>
      </c>
      <c r="M3012" t="s">
        <v>46</v>
      </c>
      <c r="N3012" t="s">
        <v>11672</v>
      </c>
      <c r="O3012">
        <v>10.14</v>
      </c>
      <c r="P3012">
        <v>9.75</v>
      </c>
      <c r="Q3012">
        <v>9.8</v>
      </c>
      <c r="R3012">
        <v>9.8</v>
      </c>
      <c r="S3012">
        <v>3.98</v>
      </c>
      <c r="T3012">
        <v>1.38</v>
      </c>
      <c r="U3012">
        <v>-71.36</v>
      </c>
      <c r="V3012">
        <v>-2302</v>
      </c>
      <c r="W3012">
        <v>9.98</v>
      </c>
      <c r="X3012" t="s">
        <v>1280</v>
      </c>
      <c r="Y3012" t="s">
        <v>6365</v>
      </c>
      <c r="Z3012">
        <v>0.6</v>
      </c>
      <c r="AA3012">
        <v>54</v>
      </c>
      <c r="AB3012">
        <v>24</v>
      </c>
      <c r="AC3012">
        <v>1.29</v>
      </c>
      <c r="AD3012" t="s">
        <v>15584</v>
      </c>
      <c r="AE3012" t="s">
        <v>15585</v>
      </c>
      <c r="AF3012" t="s">
        <v>15584</v>
      </c>
      <c r="AG3012" t="s">
        <v>15585</v>
      </c>
      <c r="AH3012">
        <v>1.71</v>
      </c>
      <c r="AI3012">
        <v>-0.3</v>
      </c>
      <c r="AJ3012">
        <v>2.52</v>
      </c>
      <c r="AK3012">
        <v>4.89</v>
      </c>
      <c r="AL3012">
        <v>1</v>
      </c>
      <c r="AM3012">
        <v>3.16</v>
      </c>
      <c r="AN3012">
        <v>20.36</v>
      </c>
      <c r="AO3012">
        <v>6.09</v>
      </c>
      <c r="AP3012">
        <v>9.65</v>
      </c>
    </row>
    <row r="3013" spans="1:42">
      <c r="A3013">
        <v>3012</v>
      </c>
      <c r="B3013" t="str">
        <f>"002956"</f>
        <v>002956</v>
      </c>
      <c r="C3013" t="s">
        <v>15586</v>
      </c>
      <c r="D3013">
        <v>15.05</v>
      </c>
      <c r="E3013">
        <v>0.2</v>
      </c>
      <c r="F3013">
        <v>0.03</v>
      </c>
      <c r="G3013" t="s">
        <v>7531</v>
      </c>
      <c r="H3013">
        <v>185</v>
      </c>
      <c r="I3013">
        <v>15.05</v>
      </c>
      <c r="J3013">
        <v>15.09</v>
      </c>
      <c r="K3013" t="s">
        <v>15583</v>
      </c>
      <c r="L3013">
        <v>1.59</v>
      </c>
      <c r="M3013" t="s">
        <v>46</v>
      </c>
      <c r="N3013" t="s">
        <v>1778</v>
      </c>
      <c r="O3013">
        <v>15.38</v>
      </c>
      <c r="P3013">
        <v>15</v>
      </c>
      <c r="Q3013">
        <v>15</v>
      </c>
      <c r="R3013">
        <v>15.02</v>
      </c>
      <c r="S3013">
        <v>2.53</v>
      </c>
      <c r="T3013">
        <v>1.81</v>
      </c>
      <c r="U3013">
        <v>-44.07</v>
      </c>
      <c r="V3013">
        <v>-342</v>
      </c>
      <c r="W3013">
        <v>15.15</v>
      </c>
      <c r="X3013" t="s">
        <v>2371</v>
      </c>
      <c r="Y3013" t="s">
        <v>2976</v>
      </c>
      <c r="Z3013">
        <v>0.75</v>
      </c>
      <c r="AA3013">
        <v>82</v>
      </c>
      <c r="AB3013">
        <v>50</v>
      </c>
      <c r="AC3013">
        <v>2.32</v>
      </c>
      <c r="AD3013" t="s">
        <v>13986</v>
      </c>
      <c r="AE3013" t="s">
        <v>4203</v>
      </c>
      <c r="AF3013" t="s">
        <v>15587</v>
      </c>
      <c r="AG3013" t="s">
        <v>15588</v>
      </c>
      <c r="AH3013">
        <v>1.07</v>
      </c>
      <c r="AI3013">
        <v>-0.07</v>
      </c>
      <c r="AJ3013">
        <v>3.3</v>
      </c>
      <c r="AK3013">
        <v>5.96</v>
      </c>
      <c r="AL3013">
        <v>4</v>
      </c>
      <c r="AM3013">
        <v>0.2</v>
      </c>
      <c r="AN3013">
        <v>3.08</v>
      </c>
      <c r="AO3013">
        <v>5.39</v>
      </c>
      <c r="AP3013">
        <v>9.61</v>
      </c>
    </row>
    <row r="3014" spans="1:42">
      <c r="A3014">
        <v>3013</v>
      </c>
      <c r="B3014" t="str">
        <f>"002660"</f>
        <v>002660</v>
      </c>
      <c r="C3014" t="s">
        <v>15589</v>
      </c>
      <c r="D3014">
        <v>9.64</v>
      </c>
      <c r="E3014">
        <v>0.21</v>
      </c>
      <c r="F3014">
        <v>0.02</v>
      </c>
      <c r="G3014" t="s">
        <v>4145</v>
      </c>
      <c r="H3014">
        <v>666</v>
      </c>
      <c r="I3014">
        <v>9.63</v>
      </c>
      <c r="J3014">
        <v>9.64</v>
      </c>
      <c r="K3014" t="s">
        <v>15590</v>
      </c>
      <c r="L3014">
        <v>2.16</v>
      </c>
      <c r="M3014" t="s">
        <v>46</v>
      </c>
      <c r="N3014" t="s">
        <v>119</v>
      </c>
      <c r="O3014">
        <v>9.68</v>
      </c>
      <c r="P3014">
        <v>9.52</v>
      </c>
      <c r="Q3014">
        <v>9.64</v>
      </c>
      <c r="R3014">
        <v>9.62</v>
      </c>
      <c r="S3014">
        <v>1.66</v>
      </c>
      <c r="T3014">
        <v>0.66</v>
      </c>
      <c r="U3014">
        <v>-20.18</v>
      </c>
      <c r="V3014">
        <v>-904</v>
      </c>
      <c r="W3014">
        <v>9.6</v>
      </c>
      <c r="X3014" t="s">
        <v>6581</v>
      </c>
      <c r="Y3014" t="s">
        <v>5444</v>
      </c>
      <c r="Z3014">
        <v>1.07</v>
      </c>
      <c r="AA3014">
        <v>592</v>
      </c>
      <c r="AB3014">
        <v>312</v>
      </c>
      <c r="AC3014">
        <v>2.73</v>
      </c>
      <c r="AD3014" t="s">
        <v>10489</v>
      </c>
      <c r="AE3014" t="s">
        <v>15591</v>
      </c>
      <c r="AF3014" t="s">
        <v>5567</v>
      </c>
      <c r="AG3014" t="s">
        <v>15592</v>
      </c>
      <c r="AH3014">
        <v>-1.93</v>
      </c>
      <c r="AI3014">
        <v>-0.62</v>
      </c>
      <c r="AJ3014">
        <v>7.87</v>
      </c>
      <c r="AK3014">
        <v>18.66</v>
      </c>
      <c r="AL3014">
        <v>1</v>
      </c>
      <c r="AM3014">
        <v>0.21</v>
      </c>
      <c r="AN3014">
        <v>22.18</v>
      </c>
      <c r="AO3014">
        <v>4.9</v>
      </c>
      <c r="AP3014">
        <v>15.87</v>
      </c>
    </row>
    <row r="3015" spans="1:42">
      <c r="A3015">
        <v>3014</v>
      </c>
      <c r="B3015" t="str">
        <f>"601678"</f>
        <v>601678</v>
      </c>
      <c r="C3015" t="s">
        <v>15593</v>
      </c>
      <c r="D3015">
        <v>4.29</v>
      </c>
      <c r="E3015">
        <v>0</v>
      </c>
      <c r="F3015">
        <v>0</v>
      </c>
      <c r="G3015" t="s">
        <v>1986</v>
      </c>
      <c r="H3015">
        <v>612</v>
      </c>
      <c r="I3015">
        <v>4.29</v>
      </c>
      <c r="J3015">
        <v>4.3</v>
      </c>
      <c r="K3015" t="s">
        <v>15590</v>
      </c>
      <c r="L3015">
        <v>0.61</v>
      </c>
      <c r="M3015" t="s">
        <v>46</v>
      </c>
      <c r="N3015" t="s">
        <v>11230</v>
      </c>
      <c r="O3015">
        <v>4.3</v>
      </c>
      <c r="P3015">
        <v>4.26</v>
      </c>
      <c r="Q3015">
        <v>4.29</v>
      </c>
      <c r="R3015">
        <v>4.29</v>
      </c>
      <c r="S3015">
        <v>0.93</v>
      </c>
      <c r="T3015">
        <v>1.26</v>
      </c>
      <c r="U3015">
        <v>-13.21</v>
      </c>
      <c r="V3015">
        <v>-2147</v>
      </c>
      <c r="W3015">
        <v>4.27</v>
      </c>
      <c r="X3015" t="s">
        <v>7114</v>
      </c>
      <c r="Y3015" t="s">
        <v>6673</v>
      </c>
      <c r="Z3015">
        <v>1.37</v>
      </c>
      <c r="AA3015">
        <v>68</v>
      </c>
      <c r="AB3015">
        <v>3936</v>
      </c>
      <c r="AC3015">
        <v>0.78</v>
      </c>
      <c r="AD3015" t="s">
        <v>15594</v>
      </c>
      <c r="AE3015" t="s">
        <v>15595</v>
      </c>
      <c r="AF3015" t="s">
        <v>15594</v>
      </c>
      <c r="AG3015" t="s">
        <v>15595</v>
      </c>
      <c r="AH3015">
        <v>-2.05</v>
      </c>
      <c r="AI3015">
        <v>-2.94</v>
      </c>
      <c r="AJ3015">
        <v>1.41</v>
      </c>
      <c r="AK3015">
        <v>3.02</v>
      </c>
      <c r="AL3015">
        <v>0</v>
      </c>
      <c r="AM3015">
        <v>0</v>
      </c>
      <c r="AN3015">
        <v>-14.37</v>
      </c>
      <c r="AO3015">
        <v>-3.6</v>
      </c>
      <c r="AP3015">
        <v>-15.22</v>
      </c>
    </row>
    <row r="3016" spans="1:42">
      <c r="A3016">
        <v>3015</v>
      </c>
      <c r="B3016" t="str">
        <f>"603327"</f>
        <v>603327</v>
      </c>
      <c r="C3016" t="s">
        <v>15596</v>
      </c>
      <c r="D3016">
        <v>13.76</v>
      </c>
      <c r="E3016">
        <v>-0.29</v>
      </c>
      <c r="F3016">
        <v>-0.04</v>
      </c>
      <c r="G3016" t="s">
        <v>4811</v>
      </c>
      <c r="H3016">
        <v>669</v>
      </c>
      <c r="I3016">
        <v>13.75</v>
      </c>
      <c r="J3016">
        <v>13.76</v>
      </c>
      <c r="K3016" t="s">
        <v>15597</v>
      </c>
      <c r="L3016">
        <v>0.57</v>
      </c>
      <c r="M3016" t="s">
        <v>46</v>
      </c>
      <c r="N3016" t="s">
        <v>5535</v>
      </c>
      <c r="O3016">
        <v>13.95</v>
      </c>
      <c r="P3016">
        <v>13.63</v>
      </c>
      <c r="Q3016">
        <v>13.8</v>
      </c>
      <c r="R3016">
        <v>13.8</v>
      </c>
      <c r="S3016">
        <v>2.32</v>
      </c>
      <c r="T3016">
        <v>0.93</v>
      </c>
      <c r="U3016">
        <v>23.86</v>
      </c>
      <c r="V3016">
        <v>182</v>
      </c>
      <c r="W3016">
        <v>13.78</v>
      </c>
      <c r="X3016" t="s">
        <v>6425</v>
      </c>
      <c r="Y3016" t="s">
        <v>10934</v>
      </c>
      <c r="Z3016">
        <v>1</v>
      </c>
      <c r="AA3016">
        <v>85</v>
      </c>
      <c r="AB3016">
        <v>50</v>
      </c>
      <c r="AC3016">
        <v>4.89</v>
      </c>
      <c r="AD3016" t="s">
        <v>15598</v>
      </c>
      <c r="AE3016" t="s">
        <v>15599</v>
      </c>
      <c r="AF3016" t="s">
        <v>15598</v>
      </c>
      <c r="AG3016" t="s">
        <v>15599</v>
      </c>
      <c r="AH3016">
        <v>-0.58</v>
      </c>
      <c r="AI3016">
        <v>-0.72</v>
      </c>
      <c r="AJ3016">
        <v>1.77</v>
      </c>
      <c r="AK3016">
        <v>3.63</v>
      </c>
      <c r="AL3016">
        <v>-2</v>
      </c>
      <c r="AM3016">
        <v>-0.29</v>
      </c>
      <c r="AN3016">
        <v>14</v>
      </c>
      <c r="AO3016">
        <v>0.58</v>
      </c>
      <c r="AP3016">
        <v>27.41</v>
      </c>
    </row>
    <row r="3017" spans="1:42">
      <c r="A3017">
        <v>3016</v>
      </c>
      <c r="B3017" t="str">
        <f>"002689"</f>
        <v>002689</v>
      </c>
      <c r="C3017" t="s">
        <v>15600</v>
      </c>
      <c r="D3017">
        <v>4.5</v>
      </c>
      <c r="E3017">
        <v>-0.66</v>
      </c>
      <c r="F3017">
        <v>-0.03</v>
      </c>
      <c r="G3017" t="s">
        <v>1908</v>
      </c>
      <c r="H3017">
        <v>722</v>
      </c>
      <c r="I3017">
        <v>4.5</v>
      </c>
      <c r="J3017">
        <v>4.51</v>
      </c>
      <c r="K3017" t="s">
        <v>15601</v>
      </c>
      <c r="L3017">
        <v>1.14</v>
      </c>
      <c r="M3017" t="s">
        <v>46</v>
      </c>
      <c r="N3017" t="s">
        <v>15602</v>
      </c>
      <c r="O3017">
        <v>4.53</v>
      </c>
      <c r="P3017">
        <v>4.45</v>
      </c>
      <c r="Q3017">
        <v>4.48</v>
      </c>
      <c r="R3017">
        <v>4.53</v>
      </c>
      <c r="S3017">
        <v>1.77</v>
      </c>
      <c r="T3017">
        <v>0.85</v>
      </c>
      <c r="U3017">
        <v>-8.83</v>
      </c>
      <c r="V3017">
        <v>-1233</v>
      </c>
      <c r="W3017">
        <v>4.49</v>
      </c>
      <c r="X3017" t="s">
        <v>3175</v>
      </c>
      <c r="Y3017" t="s">
        <v>787</v>
      </c>
      <c r="Z3017">
        <v>1.13</v>
      </c>
      <c r="AA3017">
        <v>587</v>
      </c>
      <c r="AB3017">
        <v>2506</v>
      </c>
      <c r="AC3017">
        <v>4.04</v>
      </c>
      <c r="AD3017" t="s">
        <v>9008</v>
      </c>
      <c r="AE3017" t="s">
        <v>15603</v>
      </c>
      <c r="AF3017" t="s">
        <v>1053</v>
      </c>
      <c r="AG3017" t="s">
        <v>15604</v>
      </c>
      <c r="AH3017">
        <v>-0.88</v>
      </c>
      <c r="AI3017">
        <v>-0.66</v>
      </c>
      <c r="AJ3017">
        <v>4.09</v>
      </c>
      <c r="AK3017">
        <v>7.89</v>
      </c>
      <c r="AL3017">
        <v>-2</v>
      </c>
      <c r="AM3017">
        <v>-0.66</v>
      </c>
      <c r="AN3017">
        <v>-4.26</v>
      </c>
      <c r="AO3017">
        <v>6.64</v>
      </c>
      <c r="AP3017">
        <v>3.45</v>
      </c>
    </row>
    <row r="3018" spans="1:42">
      <c r="A3018">
        <v>3017</v>
      </c>
      <c r="B3018" t="str">
        <f>"000411"</f>
        <v>000411</v>
      </c>
      <c r="C3018" t="s">
        <v>15605</v>
      </c>
      <c r="D3018">
        <v>12.12</v>
      </c>
      <c r="E3018">
        <v>0.75</v>
      </c>
      <c r="F3018">
        <v>0.09</v>
      </c>
      <c r="G3018" t="s">
        <v>1578</v>
      </c>
      <c r="H3018">
        <v>472</v>
      </c>
      <c r="I3018">
        <v>12.12</v>
      </c>
      <c r="J3018">
        <v>12.13</v>
      </c>
      <c r="K3018" t="s">
        <v>15606</v>
      </c>
      <c r="L3018">
        <v>1.39</v>
      </c>
      <c r="M3018" t="s">
        <v>46</v>
      </c>
      <c r="N3018" t="s">
        <v>2952</v>
      </c>
      <c r="O3018">
        <v>12.23</v>
      </c>
      <c r="P3018">
        <v>11.93</v>
      </c>
      <c r="Q3018">
        <v>12.05</v>
      </c>
      <c r="R3018">
        <v>12.03</v>
      </c>
      <c r="S3018">
        <v>2.49</v>
      </c>
      <c r="T3018">
        <v>0.89</v>
      </c>
      <c r="U3018">
        <v>-24.62</v>
      </c>
      <c r="V3018">
        <v>-403</v>
      </c>
      <c r="W3018">
        <v>12.11</v>
      </c>
      <c r="X3018" t="s">
        <v>4976</v>
      </c>
      <c r="Y3018" t="s">
        <v>4017</v>
      </c>
      <c r="Z3018">
        <v>0.84</v>
      </c>
      <c r="AA3018">
        <v>155</v>
      </c>
      <c r="AB3018">
        <v>300</v>
      </c>
      <c r="AC3018">
        <v>1.57</v>
      </c>
      <c r="AD3018" t="s">
        <v>15607</v>
      </c>
      <c r="AE3018" t="s">
        <v>15608</v>
      </c>
      <c r="AF3018" t="s">
        <v>9032</v>
      </c>
      <c r="AG3018" t="s">
        <v>15609</v>
      </c>
      <c r="AH3018">
        <v>0.41</v>
      </c>
      <c r="AI3018">
        <v>-0.49</v>
      </c>
      <c r="AJ3018">
        <v>3.64</v>
      </c>
      <c r="AK3018">
        <v>9.17</v>
      </c>
      <c r="AL3018">
        <v>2</v>
      </c>
      <c r="AM3018">
        <v>0.75</v>
      </c>
      <c r="AN3018">
        <v>5.94</v>
      </c>
      <c r="AO3018">
        <v>3.59</v>
      </c>
      <c r="AP3018">
        <v>-3.27</v>
      </c>
    </row>
    <row r="3019" spans="1:42">
      <c r="A3019">
        <v>3018</v>
      </c>
      <c r="B3019" t="str">
        <f>"872190"</f>
        <v>872190</v>
      </c>
      <c r="C3019" t="s">
        <v>15610</v>
      </c>
      <c r="D3019">
        <v>12.41</v>
      </c>
      <c r="E3019">
        <v>-0.72</v>
      </c>
      <c r="F3019">
        <v>-0.09</v>
      </c>
      <c r="G3019" t="s">
        <v>2921</v>
      </c>
      <c r="H3019">
        <v>614</v>
      </c>
      <c r="I3019">
        <v>12.41</v>
      </c>
      <c r="J3019">
        <v>12.44</v>
      </c>
      <c r="K3019" t="s">
        <v>15611</v>
      </c>
      <c r="L3019">
        <v>7.93</v>
      </c>
      <c r="M3019" t="s">
        <v>46</v>
      </c>
      <c r="N3019" t="s">
        <v>2088</v>
      </c>
      <c r="O3019">
        <v>13.3</v>
      </c>
      <c r="P3019">
        <v>12.33</v>
      </c>
      <c r="Q3019">
        <v>12.8</v>
      </c>
      <c r="R3019">
        <v>12.5</v>
      </c>
      <c r="S3019">
        <v>7.76</v>
      </c>
      <c r="T3019">
        <v>0.59</v>
      </c>
      <c r="U3019">
        <v>3.7</v>
      </c>
      <c r="V3019">
        <v>54</v>
      </c>
      <c r="W3019">
        <v>12.79</v>
      </c>
      <c r="X3019" t="s">
        <v>8396</v>
      </c>
      <c r="Y3019" t="s">
        <v>1112</v>
      </c>
      <c r="Z3019">
        <v>1.49</v>
      </c>
      <c r="AA3019">
        <v>435</v>
      </c>
      <c r="AB3019">
        <v>510</v>
      </c>
      <c r="AC3019">
        <v>1.49</v>
      </c>
      <c r="AD3019" t="s">
        <v>5976</v>
      </c>
      <c r="AE3019" t="s">
        <v>14727</v>
      </c>
      <c r="AF3019" t="s">
        <v>15612</v>
      </c>
      <c r="AG3019" t="s">
        <v>15613</v>
      </c>
      <c r="AH3019">
        <v>-13.7</v>
      </c>
      <c r="AI3019">
        <v>8.2</v>
      </c>
      <c r="AJ3019">
        <v>25.85</v>
      </c>
      <c r="AK3019">
        <v>75.52</v>
      </c>
      <c r="AL3019">
        <v>-1</v>
      </c>
      <c r="AM3019">
        <v>-0.72</v>
      </c>
      <c r="AN3019">
        <v>5.98</v>
      </c>
      <c r="AO3019">
        <v>33.44</v>
      </c>
      <c r="AP3019">
        <v>-33.39</v>
      </c>
    </row>
    <row r="3020" spans="1:42">
      <c r="A3020">
        <v>3019</v>
      </c>
      <c r="B3020" t="str">
        <f>"603876"</f>
        <v>603876</v>
      </c>
      <c r="C3020" t="s">
        <v>15614</v>
      </c>
      <c r="D3020">
        <v>13.05</v>
      </c>
      <c r="E3020">
        <v>0.46</v>
      </c>
      <c r="F3020">
        <v>0.06</v>
      </c>
      <c r="G3020" t="s">
        <v>3149</v>
      </c>
      <c r="H3020">
        <v>136</v>
      </c>
      <c r="I3020">
        <v>13.05</v>
      </c>
      <c r="J3020">
        <v>13.06</v>
      </c>
      <c r="K3020" t="s">
        <v>15615</v>
      </c>
      <c r="L3020">
        <v>0.47</v>
      </c>
      <c r="M3020" t="s">
        <v>46</v>
      </c>
      <c r="N3020" t="s">
        <v>632</v>
      </c>
      <c r="O3020">
        <v>13.13</v>
      </c>
      <c r="P3020">
        <v>12.83</v>
      </c>
      <c r="Q3020">
        <v>13</v>
      </c>
      <c r="R3020">
        <v>12.99</v>
      </c>
      <c r="S3020">
        <v>2.31</v>
      </c>
      <c r="T3020">
        <v>0.79</v>
      </c>
      <c r="U3020">
        <v>-25.31</v>
      </c>
      <c r="V3020">
        <v>-627</v>
      </c>
      <c r="W3020">
        <v>12.98</v>
      </c>
      <c r="X3020" t="s">
        <v>3116</v>
      </c>
      <c r="Y3020" t="s">
        <v>2924</v>
      </c>
      <c r="Z3020">
        <v>1.08</v>
      </c>
      <c r="AA3020">
        <v>42</v>
      </c>
      <c r="AB3020">
        <v>166</v>
      </c>
      <c r="AC3020">
        <v>1.82</v>
      </c>
      <c r="AD3020" t="s">
        <v>4485</v>
      </c>
      <c r="AE3020" t="s">
        <v>4125</v>
      </c>
      <c r="AF3020" t="s">
        <v>15616</v>
      </c>
      <c r="AG3020" t="s">
        <v>2831</v>
      </c>
      <c r="AH3020">
        <v>-1.44</v>
      </c>
      <c r="AI3020">
        <v>-4.11</v>
      </c>
      <c r="AJ3020">
        <v>1.57</v>
      </c>
      <c r="AK3020">
        <v>3.43</v>
      </c>
      <c r="AL3020">
        <v>1</v>
      </c>
      <c r="AM3020">
        <v>0.46</v>
      </c>
      <c r="AN3020">
        <v>-41.53</v>
      </c>
      <c r="AO3020">
        <v>-5.98</v>
      </c>
      <c r="AP3020">
        <v>-48.86</v>
      </c>
    </row>
    <row r="3021" spans="1:42">
      <c r="A3021">
        <v>3020</v>
      </c>
      <c r="B3021" t="str">
        <f>"603071"</f>
        <v>603071</v>
      </c>
      <c r="C3021" t="s">
        <v>15617</v>
      </c>
      <c r="D3021">
        <v>15.48</v>
      </c>
      <c r="E3021">
        <v>1.57</v>
      </c>
      <c r="F3021">
        <v>0.24</v>
      </c>
      <c r="G3021" t="s">
        <v>837</v>
      </c>
      <c r="H3021">
        <v>439</v>
      </c>
      <c r="I3021">
        <v>15.48</v>
      </c>
      <c r="J3021">
        <v>15.49</v>
      </c>
      <c r="K3021" t="s">
        <v>15618</v>
      </c>
      <c r="L3021">
        <v>1.46</v>
      </c>
      <c r="M3021" t="s">
        <v>46</v>
      </c>
      <c r="N3021" t="s">
        <v>2380</v>
      </c>
      <c r="O3021">
        <v>15.48</v>
      </c>
      <c r="P3021">
        <v>15.23</v>
      </c>
      <c r="Q3021">
        <v>15.24</v>
      </c>
      <c r="R3021">
        <v>15.24</v>
      </c>
      <c r="S3021">
        <v>1.64</v>
      </c>
      <c r="T3021">
        <v>1.71</v>
      </c>
      <c r="U3021">
        <v>-49.11</v>
      </c>
      <c r="V3021">
        <v>-743</v>
      </c>
      <c r="W3021">
        <v>15.38</v>
      </c>
      <c r="X3021" t="s">
        <v>4525</v>
      </c>
      <c r="Y3021" t="s">
        <v>9024</v>
      </c>
      <c r="Z3021">
        <v>0.67</v>
      </c>
      <c r="AA3021">
        <v>208</v>
      </c>
      <c r="AB3021">
        <v>225</v>
      </c>
      <c r="AC3021">
        <v>1.75</v>
      </c>
      <c r="AD3021" t="s">
        <v>15619</v>
      </c>
      <c r="AE3021" t="s">
        <v>15620</v>
      </c>
      <c r="AF3021" t="s">
        <v>8750</v>
      </c>
      <c r="AG3021" t="s">
        <v>15621</v>
      </c>
      <c r="AH3021">
        <v>0.85</v>
      </c>
      <c r="AI3021">
        <v>1.57</v>
      </c>
      <c r="AJ3021">
        <v>3.04</v>
      </c>
      <c r="AK3021">
        <v>5.72</v>
      </c>
      <c r="AL3021">
        <v>1</v>
      </c>
      <c r="AM3021">
        <v>1.57</v>
      </c>
      <c r="AN3021">
        <v>0.65</v>
      </c>
      <c r="AO3021">
        <v>2.38</v>
      </c>
      <c r="AP3021">
        <v>-10.62</v>
      </c>
    </row>
    <row r="3022" spans="1:42">
      <c r="A3022">
        <v>3021</v>
      </c>
      <c r="B3022" t="str">
        <f>"002886"</f>
        <v>002886</v>
      </c>
      <c r="C3022" t="s">
        <v>15622</v>
      </c>
      <c r="D3022">
        <v>19.3</v>
      </c>
      <c r="E3022">
        <v>-0.16</v>
      </c>
      <c r="F3022">
        <v>-0.03</v>
      </c>
      <c r="G3022" t="s">
        <v>7485</v>
      </c>
      <c r="H3022">
        <v>539</v>
      </c>
      <c r="I3022">
        <v>19.29</v>
      </c>
      <c r="J3022">
        <v>19.3</v>
      </c>
      <c r="K3022" t="s">
        <v>15623</v>
      </c>
      <c r="L3022">
        <v>1.61</v>
      </c>
      <c r="M3022" t="s">
        <v>46</v>
      </c>
      <c r="N3022" t="s">
        <v>3553</v>
      </c>
      <c r="O3022">
        <v>19.36</v>
      </c>
      <c r="P3022">
        <v>19.1</v>
      </c>
      <c r="Q3022">
        <v>19.28</v>
      </c>
      <c r="R3022">
        <v>19.33</v>
      </c>
      <c r="S3022">
        <v>1.35</v>
      </c>
      <c r="T3022">
        <v>0.67</v>
      </c>
      <c r="U3022">
        <v>11.46</v>
      </c>
      <c r="V3022">
        <v>108</v>
      </c>
      <c r="W3022">
        <v>19.24</v>
      </c>
      <c r="X3022" t="s">
        <v>1118</v>
      </c>
      <c r="Y3022" t="s">
        <v>2667</v>
      </c>
      <c r="Z3022">
        <v>1.42</v>
      </c>
      <c r="AA3022">
        <v>36</v>
      </c>
      <c r="AB3022">
        <v>300</v>
      </c>
      <c r="AC3022">
        <v>2.87</v>
      </c>
      <c r="AD3022" t="s">
        <v>12809</v>
      </c>
      <c r="AE3022" t="s">
        <v>9473</v>
      </c>
      <c r="AF3022" t="s">
        <v>15624</v>
      </c>
      <c r="AG3022" t="s">
        <v>15625</v>
      </c>
      <c r="AH3022">
        <v>-3.06</v>
      </c>
      <c r="AI3022">
        <v>-3.16</v>
      </c>
      <c r="AJ3022">
        <v>6.53</v>
      </c>
      <c r="AK3022">
        <v>13.68</v>
      </c>
      <c r="AL3022">
        <v>-3</v>
      </c>
      <c r="AM3022">
        <v>-0.16</v>
      </c>
      <c r="AN3022">
        <v>16.48</v>
      </c>
      <c r="AO3022">
        <v>-5.85</v>
      </c>
      <c r="AP3022">
        <v>5.46</v>
      </c>
    </row>
    <row r="3023" spans="1:42">
      <c r="A3023">
        <v>3022</v>
      </c>
      <c r="B3023" t="str">
        <f>"002833"</f>
        <v>002833</v>
      </c>
      <c r="C3023" t="s">
        <v>15626</v>
      </c>
      <c r="D3023">
        <v>17.53</v>
      </c>
      <c r="E3023">
        <v>-1.07</v>
      </c>
      <c r="F3023">
        <v>-0.19</v>
      </c>
      <c r="G3023" t="s">
        <v>3033</v>
      </c>
      <c r="H3023">
        <v>204</v>
      </c>
      <c r="I3023">
        <v>17.53</v>
      </c>
      <c r="J3023">
        <v>17.54</v>
      </c>
      <c r="K3023" t="s">
        <v>15627</v>
      </c>
      <c r="L3023">
        <v>1.19</v>
      </c>
      <c r="M3023" t="s">
        <v>46</v>
      </c>
      <c r="N3023" t="s">
        <v>5809</v>
      </c>
      <c r="O3023">
        <v>17.74</v>
      </c>
      <c r="P3023">
        <v>17.36</v>
      </c>
      <c r="Q3023">
        <v>17.74</v>
      </c>
      <c r="R3023">
        <v>17.72</v>
      </c>
      <c r="S3023">
        <v>2.14</v>
      </c>
      <c r="T3023">
        <v>0.94</v>
      </c>
      <c r="U3023">
        <v>-32.01</v>
      </c>
      <c r="V3023">
        <v>-274</v>
      </c>
      <c r="W3023">
        <v>17.47</v>
      </c>
      <c r="X3023" t="s">
        <v>1590</v>
      </c>
      <c r="Y3023" t="s">
        <v>1400</v>
      </c>
      <c r="Z3023">
        <v>1.89</v>
      </c>
      <c r="AA3023">
        <v>56</v>
      </c>
      <c r="AB3023">
        <v>148</v>
      </c>
      <c r="AC3023">
        <v>2.75</v>
      </c>
      <c r="AD3023" t="s">
        <v>15628</v>
      </c>
      <c r="AE3023" t="s">
        <v>15629</v>
      </c>
      <c r="AF3023" t="s">
        <v>15630</v>
      </c>
      <c r="AG3023" t="s">
        <v>14967</v>
      </c>
      <c r="AH3023">
        <v>-2.18</v>
      </c>
      <c r="AI3023">
        <v>-3.63</v>
      </c>
      <c r="AJ3023">
        <v>3.27</v>
      </c>
      <c r="AK3023">
        <v>7.53</v>
      </c>
      <c r="AL3023">
        <v>-2</v>
      </c>
      <c r="AM3023">
        <v>-1.07</v>
      </c>
      <c r="AN3023">
        <v>54.72</v>
      </c>
      <c r="AO3023">
        <v>-2.61</v>
      </c>
      <c r="AP3023">
        <v>24.15</v>
      </c>
    </row>
    <row r="3024" spans="1:42">
      <c r="A3024">
        <v>3023</v>
      </c>
      <c r="B3024" t="str">
        <f>"600391"</f>
        <v>600391</v>
      </c>
      <c r="C3024" t="s">
        <v>15631</v>
      </c>
      <c r="D3024">
        <v>19.26</v>
      </c>
      <c r="E3024">
        <v>0.52</v>
      </c>
      <c r="F3024">
        <v>0.1</v>
      </c>
      <c r="G3024" t="s">
        <v>5553</v>
      </c>
      <c r="H3024">
        <v>325</v>
      </c>
      <c r="I3024">
        <v>19.25</v>
      </c>
      <c r="J3024">
        <v>19.26</v>
      </c>
      <c r="K3024" t="s">
        <v>15627</v>
      </c>
      <c r="L3024">
        <v>0.84</v>
      </c>
      <c r="M3024" t="s">
        <v>46</v>
      </c>
      <c r="N3024" t="s">
        <v>7648</v>
      </c>
      <c r="O3024">
        <v>19.29</v>
      </c>
      <c r="P3024">
        <v>19.01</v>
      </c>
      <c r="Q3024">
        <v>19.08</v>
      </c>
      <c r="R3024">
        <v>19.16</v>
      </c>
      <c r="S3024">
        <v>1.46</v>
      </c>
      <c r="T3024">
        <v>0.93</v>
      </c>
      <c r="U3024">
        <v>-58.3</v>
      </c>
      <c r="V3024">
        <v>-674</v>
      </c>
      <c r="W3024">
        <v>19.16</v>
      </c>
      <c r="X3024" t="s">
        <v>383</v>
      </c>
      <c r="Y3024" t="s">
        <v>6867</v>
      </c>
      <c r="Z3024">
        <v>0.92</v>
      </c>
      <c r="AA3024">
        <v>33</v>
      </c>
      <c r="AB3024">
        <v>376</v>
      </c>
      <c r="AC3024">
        <v>4.01</v>
      </c>
      <c r="AD3024" t="s">
        <v>15632</v>
      </c>
      <c r="AE3024" t="s">
        <v>12680</v>
      </c>
      <c r="AF3024" t="s">
        <v>15632</v>
      </c>
      <c r="AG3024" t="s">
        <v>12680</v>
      </c>
      <c r="AH3024">
        <v>-1.03</v>
      </c>
      <c r="AI3024">
        <v>-2.23</v>
      </c>
      <c r="AJ3024">
        <v>2.34</v>
      </c>
      <c r="AK3024">
        <v>5.39</v>
      </c>
      <c r="AL3024">
        <v>1</v>
      </c>
      <c r="AM3024">
        <v>0.52</v>
      </c>
      <c r="AN3024">
        <v>8.38</v>
      </c>
      <c r="AO3024">
        <v>0.26</v>
      </c>
      <c r="AP3024">
        <v>-0.47</v>
      </c>
    </row>
    <row r="3025" spans="1:42">
      <c r="A3025">
        <v>3024</v>
      </c>
      <c r="B3025" t="str">
        <f>"603209"</f>
        <v>603209</v>
      </c>
      <c r="C3025" t="s">
        <v>15633</v>
      </c>
      <c r="D3025">
        <v>17.13</v>
      </c>
      <c r="E3025">
        <v>-1.1</v>
      </c>
      <c r="F3025">
        <v>-0.19</v>
      </c>
      <c r="G3025" t="s">
        <v>4914</v>
      </c>
      <c r="H3025">
        <v>248</v>
      </c>
      <c r="I3025">
        <v>17.12</v>
      </c>
      <c r="J3025">
        <v>17.13</v>
      </c>
      <c r="K3025" t="s">
        <v>15634</v>
      </c>
      <c r="L3025">
        <v>1.69</v>
      </c>
      <c r="M3025" t="s">
        <v>46</v>
      </c>
      <c r="N3025" t="s">
        <v>15635</v>
      </c>
      <c r="O3025">
        <v>17.43</v>
      </c>
      <c r="P3025">
        <v>17.02</v>
      </c>
      <c r="Q3025">
        <v>17.39</v>
      </c>
      <c r="R3025">
        <v>17.32</v>
      </c>
      <c r="S3025">
        <v>2.37</v>
      </c>
      <c r="T3025">
        <v>1.07</v>
      </c>
      <c r="U3025">
        <v>24.89</v>
      </c>
      <c r="V3025">
        <v>110</v>
      </c>
      <c r="W3025">
        <v>17.17</v>
      </c>
      <c r="X3025" t="s">
        <v>2723</v>
      </c>
      <c r="Y3025" t="s">
        <v>905</v>
      </c>
      <c r="Z3025">
        <v>1.5</v>
      </c>
      <c r="AA3025">
        <v>2</v>
      </c>
      <c r="AB3025">
        <v>8</v>
      </c>
      <c r="AC3025">
        <v>2.2</v>
      </c>
      <c r="AD3025" t="s">
        <v>12538</v>
      </c>
      <c r="AE3025" t="s">
        <v>15636</v>
      </c>
      <c r="AF3025" t="s">
        <v>15637</v>
      </c>
      <c r="AG3025" t="s">
        <v>3979</v>
      </c>
      <c r="AH3025">
        <v>1.54</v>
      </c>
      <c r="AI3025">
        <v>5.16</v>
      </c>
      <c r="AJ3025">
        <v>5.47</v>
      </c>
      <c r="AK3025">
        <v>9.58</v>
      </c>
      <c r="AL3025">
        <v>-1</v>
      </c>
      <c r="AM3025">
        <v>-1.1</v>
      </c>
      <c r="AN3025">
        <v>-33.71</v>
      </c>
      <c r="AO3025">
        <v>8.69</v>
      </c>
      <c r="AP3025">
        <v>-24.93</v>
      </c>
    </row>
    <row r="3026" spans="1:42">
      <c r="A3026">
        <v>3025</v>
      </c>
      <c r="B3026" t="str">
        <f>"603878"</f>
        <v>603878</v>
      </c>
      <c r="C3026" t="s">
        <v>15638</v>
      </c>
      <c r="D3026">
        <v>7.89</v>
      </c>
      <c r="E3026">
        <v>2.07</v>
      </c>
      <c r="F3026">
        <v>0.16</v>
      </c>
      <c r="G3026" t="s">
        <v>5099</v>
      </c>
      <c r="H3026">
        <v>428</v>
      </c>
      <c r="I3026">
        <v>7.88</v>
      </c>
      <c r="J3026">
        <v>7.89</v>
      </c>
      <c r="K3026" t="s">
        <v>15341</v>
      </c>
      <c r="L3026">
        <v>1.21</v>
      </c>
      <c r="M3026" t="s">
        <v>46</v>
      </c>
      <c r="N3026" t="s">
        <v>3703</v>
      </c>
      <c r="O3026">
        <v>7.95</v>
      </c>
      <c r="P3026">
        <v>7.65</v>
      </c>
      <c r="Q3026">
        <v>7.69</v>
      </c>
      <c r="R3026">
        <v>7.73</v>
      </c>
      <c r="S3026">
        <v>3.88</v>
      </c>
      <c r="T3026">
        <v>0.95</v>
      </c>
      <c r="U3026">
        <v>-24.59</v>
      </c>
      <c r="V3026">
        <v>-663</v>
      </c>
      <c r="W3026">
        <v>7.85</v>
      </c>
      <c r="X3026" t="s">
        <v>4733</v>
      </c>
      <c r="Y3026" t="s">
        <v>6314</v>
      </c>
      <c r="Z3026">
        <v>0.87</v>
      </c>
      <c r="AA3026">
        <v>137</v>
      </c>
      <c r="AB3026">
        <v>401</v>
      </c>
      <c r="AC3026">
        <v>1.63</v>
      </c>
      <c r="AD3026" t="s">
        <v>15639</v>
      </c>
      <c r="AE3026" t="s">
        <v>15640</v>
      </c>
      <c r="AF3026" t="s">
        <v>15639</v>
      </c>
      <c r="AG3026" t="s">
        <v>15640</v>
      </c>
      <c r="AH3026">
        <v>0.13</v>
      </c>
      <c r="AI3026">
        <v>5.2</v>
      </c>
      <c r="AJ3026">
        <v>2.75</v>
      </c>
      <c r="AK3026">
        <v>7.54</v>
      </c>
      <c r="AL3026">
        <v>2</v>
      </c>
      <c r="AM3026">
        <v>2.07</v>
      </c>
      <c r="AN3026">
        <v>6.48</v>
      </c>
      <c r="AO3026">
        <v>11.28</v>
      </c>
      <c r="AP3026">
        <v>-5.96</v>
      </c>
    </row>
    <row r="3027" spans="1:42">
      <c r="A3027">
        <v>3026</v>
      </c>
      <c r="B3027" t="str">
        <f>"002040"</f>
        <v>002040</v>
      </c>
      <c r="C3027" t="s">
        <v>15641</v>
      </c>
      <c r="D3027">
        <v>7.29</v>
      </c>
      <c r="E3027">
        <v>1.96</v>
      </c>
      <c r="F3027">
        <v>0.14</v>
      </c>
      <c r="G3027" t="s">
        <v>3091</v>
      </c>
      <c r="H3027">
        <v>991</v>
      </c>
      <c r="I3027">
        <v>7.28</v>
      </c>
      <c r="J3027">
        <v>7.29</v>
      </c>
      <c r="K3027" t="s">
        <v>15642</v>
      </c>
      <c r="L3027">
        <v>1.51</v>
      </c>
      <c r="M3027" t="s">
        <v>46</v>
      </c>
      <c r="N3027" t="s">
        <v>2026</v>
      </c>
      <c r="O3027">
        <v>7.4</v>
      </c>
      <c r="P3027">
        <v>7.15</v>
      </c>
      <c r="Q3027">
        <v>7.18</v>
      </c>
      <c r="R3027">
        <v>7.15</v>
      </c>
      <c r="S3027">
        <v>3.5</v>
      </c>
      <c r="T3027">
        <v>1.47</v>
      </c>
      <c r="U3027">
        <v>-35.69</v>
      </c>
      <c r="V3027">
        <v>-1428</v>
      </c>
      <c r="W3027">
        <v>7.29</v>
      </c>
      <c r="X3027" t="s">
        <v>401</v>
      </c>
      <c r="Y3027" t="s">
        <v>4087</v>
      </c>
      <c r="Z3027">
        <v>0.72</v>
      </c>
      <c r="AA3027">
        <v>472</v>
      </c>
      <c r="AB3027">
        <v>662</v>
      </c>
      <c r="AC3027">
        <v>1.15</v>
      </c>
      <c r="AD3027" t="s">
        <v>15643</v>
      </c>
      <c r="AE3027" t="s">
        <v>15644</v>
      </c>
      <c r="AF3027" t="s">
        <v>5998</v>
      </c>
      <c r="AG3027" t="s">
        <v>8960</v>
      </c>
      <c r="AH3027">
        <v>2.82</v>
      </c>
      <c r="AI3027">
        <v>2.68</v>
      </c>
      <c r="AJ3027">
        <v>3.33</v>
      </c>
      <c r="AK3027">
        <v>6.64</v>
      </c>
      <c r="AL3027">
        <v>3</v>
      </c>
      <c r="AM3027">
        <v>1.96</v>
      </c>
      <c r="AN3027">
        <v>0.69</v>
      </c>
      <c r="AO3027">
        <v>7.68</v>
      </c>
      <c r="AP3027">
        <v>8.16</v>
      </c>
    </row>
    <row r="3028" spans="1:42">
      <c r="A3028">
        <v>3027</v>
      </c>
      <c r="B3028" t="str">
        <f>"688191"</f>
        <v>688191</v>
      </c>
      <c r="C3028" t="s">
        <v>15645</v>
      </c>
      <c r="D3028">
        <v>19.23</v>
      </c>
      <c r="E3028">
        <v>2.34</v>
      </c>
      <c r="F3028">
        <v>0.44</v>
      </c>
      <c r="G3028" t="s">
        <v>7028</v>
      </c>
      <c r="H3028">
        <v>110</v>
      </c>
      <c r="I3028">
        <v>19.23</v>
      </c>
      <c r="J3028">
        <v>19.24</v>
      </c>
      <c r="K3028" t="s">
        <v>15646</v>
      </c>
      <c r="L3028">
        <v>3.82</v>
      </c>
      <c r="M3028" t="s">
        <v>46</v>
      </c>
      <c r="N3028" t="s">
        <v>10571</v>
      </c>
      <c r="O3028">
        <v>19.28</v>
      </c>
      <c r="P3028">
        <v>18.62</v>
      </c>
      <c r="Q3028">
        <v>18.98</v>
      </c>
      <c r="R3028">
        <v>18.79</v>
      </c>
      <c r="S3028">
        <v>3.51</v>
      </c>
      <c r="T3028">
        <v>0.7</v>
      </c>
      <c r="U3028">
        <v>-46.15</v>
      </c>
      <c r="V3028">
        <v>-146</v>
      </c>
      <c r="W3028">
        <v>18.97</v>
      </c>
      <c r="X3028" t="s">
        <v>3284</v>
      </c>
      <c r="Y3028" t="s">
        <v>4105</v>
      </c>
      <c r="Z3028">
        <v>0.96</v>
      </c>
      <c r="AA3028">
        <v>0</v>
      </c>
      <c r="AB3028">
        <v>27</v>
      </c>
      <c r="AC3028">
        <v>3.45</v>
      </c>
      <c r="AD3028" t="s">
        <v>8727</v>
      </c>
      <c r="AE3028" t="s">
        <v>15647</v>
      </c>
      <c r="AF3028" t="s">
        <v>13179</v>
      </c>
      <c r="AG3028" t="s">
        <v>8687</v>
      </c>
      <c r="AH3028">
        <v>-2.98</v>
      </c>
      <c r="AI3028">
        <v>-6.47</v>
      </c>
      <c r="AJ3028">
        <v>15.25</v>
      </c>
      <c r="AK3028">
        <v>31.19</v>
      </c>
      <c r="AL3028">
        <v>1</v>
      </c>
      <c r="AM3028">
        <v>2.34</v>
      </c>
      <c r="AN3028">
        <v>53.11</v>
      </c>
      <c r="AO3028">
        <v>5.78</v>
      </c>
      <c r="AP3028">
        <v>34.76</v>
      </c>
    </row>
    <row r="3029" spans="1:42">
      <c r="A3029">
        <v>3028</v>
      </c>
      <c r="B3029" t="str">
        <f>"301330"</f>
        <v>301330</v>
      </c>
      <c r="C3029" t="s">
        <v>15648</v>
      </c>
      <c r="D3029">
        <v>32.26</v>
      </c>
      <c r="E3029">
        <v>2.02</v>
      </c>
      <c r="F3029">
        <v>0.64</v>
      </c>
      <c r="G3029" t="s">
        <v>390</v>
      </c>
      <c r="H3029">
        <v>113</v>
      </c>
      <c r="I3029">
        <v>32.25</v>
      </c>
      <c r="J3029">
        <v>32.27</v>
      </c>
      <c r="K3029" t="s">
        <v>15649</v>
      </c>
      <c r="L3029">
        <v>2.5</v>
      </c>
      <c r="M3029" t="s">
        <v>46</v>
      </c>
      <c r="N3029" t="s">
        <v>2533</v>
      </c>
      <c r="O3029">
        <v>32.4</v>
      </c>
      <c r="P3029">
        <v>31.25</v>
      </c>
      <c r="Q3029">
        <v>31.56</v>
      </c>
      <c r="R3029">
        <v>31.62</v>
      </c>
      <c r="S3029">
        <v>3.64</v>
      </c>
      <c r="T3029">
        <v>1.13</v>
      </c>
      <c r="U3029">
        <v>-1.9</v>
      </c>
      <c r="V3029">
        <v>-4</v>
      </c>
      <c r="W3029">
        <v>31.93</v>
      </c>
      <c r="X3029">
        <v>7688</v>
      </c>
      <c r="Y3029">
        <v>8934</v>
      </c>
      <c r="Z3029">
        <v>0.86</v>
      </c>
      <c r="AA3029">
        <v>23</v>
      </c>
      <c r="AB3029">
        <v>8</v>
      </c>
      <c r="AC3029">
        <v>1.97</v>
      </c>
      <c r="AD3029" t="s">
        <v>4091</v>
      </c>
      <c r="AE3029" t="s">
        <v>15650</v>
      </c>
      <c r="AF3029" t="s">
        <v>13939</v>
      </c>
      <c r="AG3029" t="s">
        <v>15651</v>
      </c>
      <c r="AH3029">
        <v>-0.4</v>
      </c>
      <c r="AI3029">
        <v>-1.13</v>
      </c>
      <c r="AJ3029">
        <v>6.4</v>
      </c>
      <c r="AK3029">
        <v>13.6</v>
      </c>
      <c r="AL3029">
        <v>1</v>
      </c>
      <c r="AM3029">
        <v>2.02</v>
      </c>
      <c r="AN3029">
        <v>31.57</v>
      </c>
      <c r="AO3029">
        <v>2.09</v>
      </c>
      <c r="AP3029">
        <v>15.3</v>
      </c>
    </row>
    <row r="3030" spans="1:42">
      <c r="A3030">
        <v>3029</v>
      </c>
      <c r="B3030" t="str">
        <f>"000905"</f>
        <v>000905</v>
      </c>
      <c r="C3030" t="s">
        <v>15652</v>
      </c>
      <c r="D3030">
        <v>7.27</v>
      </c>
      <c r="E3030">
        <v>0.28</v>
      </c>
      <c r="F3030">
        <v>0.02</v>
      </c>
      <c r="G3030" t="s">
        <v>3091</v>
      </c>
      <c r="H3030">
        <v>271</v>
      </c>
      <c r="I3030">
        <v>7.27</v>
      </c>
      <c r="J3030">
        <v>7.28</v>
      </c>
      <c r="K3030" t="s">
        <v>15649</v>
      </c>
      <c r="L3030">
        <v>0.98</v>
      </c>
      <c r="M3030" t="s">
        <v>46</v>
      </c>
      <c r="N3030" t="s">
        <v>414</v>
      </c>
      <c r="O3030">
        <v>7.31</v>
      </c>
      <c r="P3030">
        <v>7.23</v>
      </c>
      <c r="Q3030">
        <v>7.25</v>
      </c>
      <c r="R3030">
        <v>7.25</v>
      </c>
      <c r="S3030">
        <v>1.1</v>
      </c>
      <c r="T3030">
        <v>1.4</v>
      </c>
      <c r="U3030">
        <v>-56</v>
      </c>
      <c r="V3030">
        <v>-7705</v>
      </c>
      <c r="W3030">
        <v>7.28</v>
      </c>
      <c r="X3030" t="s">
        <v>1453</v>
      </c>
      <c r="Y3030" t="s">
        <v>4974</v>
      </c>
      <c r="Z3030">
        <v>1.02</v>
      </c>
      <c r="AA3030">
        <v>6</v>
      </c>
      <c r="AB3030">
        <v>853</v>
      </c>
      <c r="AC3030">
        <v>1.1</v>
      </c>
      <c r="AD3030" t="s">
        <v>5613</v>
      </c>
      <c r="AE3030" t="s">
        <v>6155</v>
      </c>
      <c r="AF3030" t="s">
        <v>5613</v>
      </c>
      <c r="AG3030" t="s">
        <v>6155</v>
      </c>
      <c r="AH3030">
        <v>0.14</v>
      </c>
      <c r="AI3030">
        <v>0</v>
      </c>
      <c r="AJ3030">
        <v>2.43</v>
      </c>
      <c r="AK3030">
        <v>4.48</v>
      </c>
      <c r="AL3030">
        <v>2</v>
      </c>
      <c r="AM3030">
        <v>0.28</v>
      </c>
      <c r="AN3030">
        <v>1.54</v>
      </c>
      <c r="AO3030">
        <v>2.97</v>
      </c>
      <c r="AP3030">
        <v>-0.55</v>
      </c>
    </row>
    <row r="3031" spans="1:42">
      <c r="A3031">
        <v>3030</v>
      </c>
      <c r="B3031" t="str">
        <f>"000973"</f>
        <v>000973</v>
      </c>
      <c r="C3031" t="s">
        <v>15653</v>
      </c>
      <c r="D3031">
        <v>4.83</v>
      </c>
      <c r="E3031">
        <v>0.42</v>
      </c>
      <c r="F3031">
        <v>0.02</v>
      </c>
      <c r="G3031" t="s">
        <v>1438</v>
      </c>
      <c r="H3031">
        <v>180</v>
      </c>
      <c r="I3031">
        <v>4.83</v>
      </c>
      <c r="J3031">
        <v>4.84</v>
      </c>
      <c r="K3031" t="s">
        <v>15654</v>
      </c>
      <c r="L3031">
        <v>1.14</v>
      </c>
      <c r="M3031" t="s">
        <v>46</v>
      </c>
      <c r="N3031" t="s">
        <v>4428</v>
      </c>
      <c r="O3031">
        <v>4.86</v>
      </c>
      <c r="P3031">
        <v>4.81</v>
      </c>
      <c r="Q3031">
        <v>4.81</v>
      </c>
      <c r="R3031">
        <v>4.81</v>
      </c>
      <c r="S3031">
        <v>1.04</v>
      </c>
      <c r="T3031">
        <v>0.92</v>
      </c>
      <c r="U3031">
        <v>-14.29</v>
      </c>
      <c r="V3031">
        <v>-1847</v>
      </c>
      <c r="W3031">
        <v>4.83</v>
      </c>
      <c r="X3031" t="s">
        <v>8805</v>
      </c>
      <c r="Y3031" t="s">
        <v>7068</v>
      </c>
      <c r="Z3031">
        <v>1.06</v>
      </c>
      <c r="AA3031">
        <v>370</v>
      </c>
      <c r="AB3031">
        <v>444</v>
      </c>
      <c r="AC3031">
        <v>1.66</v>
      </c>
      <c r="AD3031" t="s">
        <v>15655</v>
      </c>
      <c r="AE3031" t="s">
        <v>7868</v>
      </c>
      <c r="AF3031" t="s">
        <v>15655</v>
      </c>
      <c r="AG3031" t="s">
        <v>7868</v>
      </c>
      <c r="AH3031">
        <v>-1.43</v>
      </c>
      <c r="AI3031">
        <v>-1.23</v>
      </c>
      <c r="AJ3031">
        <v>3.43</v>
      </c>
      <c r="AK3031">
        <v>7.3</v>
      </c>
      <c r="AL3031">
        <v>1</v>
      </c>
      <c r="AM3031">
        <v>0.42</v>
      </c>
      <c r="AN3031">
        <v>10.53</v>
      </c>
      <c r="AO3031">
        <v>1.47</v>
      </c>
      <c r="AP3031">
        <v>7.1</v>
      </c>
    </row>
    <row r="3032" spans="1:42">
      <c r="A3032">
        <v>3031</v>
      </c>
      <c r="B3032" t="str">
        <f>"300185"</f>
        <v>300185</v>
      </c>
      <c r="C3032" t="s">
        <v>15656</v>
      </c>
      <c r="D3032">
        <v>2.43</v>
      </c>
      <c r="E3032">
        <v>0.41</v>
      </c>
      <c r="F3032">
        <v>0.01</v>
      </c>
      <c r="G3032" t="s">
        <v>1225</v>
      </c>
      <c r="H3032">
        <v>1544</v>
      </c>
      <c r="I3032">
        <v>2.43</v>
      </c>
      <c r="J3032">
        <v>2.44</v>
      </c>
      <c r="K3032" t="s">
        <v>15654</v>
      </c>
      <c r="L3032">
        <v>0.59</v>
      </c>
      <c r="M3032" t="s">
        <v>46</v>
      </c>
      <c r="N3032" t="s">
        <v>1234</v>
      </c>
      <c r="O3032">
        <v>2.45</v>
      </c>
      <c r="P3032">
        <v>2.41</v>
      </c>
      <c r="Q3032">
        <v>2.42</v>
      </c>
      <c r="R3032">
        <v>2.42</v>
      </c>
      <c r="S3032">
        <v>1.65</v>
      </c>
      <c r="T3032">
        <v>0.96</v>
      </c>
      <c r="U3032">
        <v>2.74</v>
      </c>
      <c r="V3032">
        <v>3313</v>
      </c>
      <c r="W3032">
        <v>2.43</v>
      </c>
      <c r="X3032" t="s">
        <v>9660</v>
      </c>
      <c r="Y3032" t="s">
        <v>446</v>
      </c>
      <c r="Z3032">
        <v>0.71</v>
      </c>
      <c r="AA3032" t="s">
        <v>4976</v>
      </c>
      <c r="AB3032" t="s">
        <v>239</v>
      </c>
      <c r="AC3032">
        <v>1.4</v>
      </c>
      <c r="AD3032" t="s">
        <v>15657</v>
      </c>
      <c r="AE3032" t="s">
        <v>15658</v>
      </c>
      <c r="AF3032" t="s">
        <v>15659</v>
      </c>
      <c r="AG3032" t="s">
        <v>7810</v>
      </c>
      <c r="AH3032">
        <v>-2.02</v>
      </c>
      <c r="AI3032">
        <v>-2.02</v>
      </c>
      <c r="AJ3032">
        <v>2.02</v>
      </c>
      <c r="AK3032">
        <v>3.67</v>
      </c>
      <c r="AL3032">
        <v>1</v>
      </c>
      <c r="AM3032">
        <v>0.41</v>
      </c>
      <c r="AN3032">
        <v>2.53</v>
      </c>
      <c r="AO3032">
        <v>-2.8</v>
      </c>
      <c r="AP3032">
        <v>-3.95</v>
      </c>
    </row>
    <row r="3033" spans="1:42">
      <c r="A3033">
        <v>3032</v>
      </c>
      <c r="B3033" t="str">
        <f>"603298"</f>
        <v>603298</v>
      </c>
      <c r="C3033" t="s">
        <v>15660</v>
      </c>
      <c r="D3033">
        <v>22.05</v>
      </c>
      <c r="E3033">
        <v>-1.03</v>
      </c>
      <c r="F3033">
        <v>-0.23</v>
      </c>
      <c r="G3033" t="s">
        <v>8211</v>
      </c>
      <c r="H3033">
        <v>243</v>
      </c>
      <c r="I3033">
        <v>22.03</v>
      </c>
      <c r="J3033">
        <v>22.05</v>
      </c>
      <c r="K3033" t="s">
        <v>15661</v>
      </c>
      <c r="L3033">
        <v>0.26</v>
      </c>
      <c r="M3033" t="s">
        <v>46</v>
      </c>
      <c r="N3033" t="s">
        <v>8210</v>
      </c>
      <c r="O3033">
        <v>22.35</v>
      </c>
      <c r="P3033">
        <v>21.9</v>
      </c>
      <c r="Q3033">
        <v>22.27</v>
      </c>
      <c r="R3033">
        <v>22.28</v>
      </c>
      <c r="S3033">
        <v>2.02</v>
      </c>
      <c r="T3033">
        <v>0.89</v>
      </c>
      <c r="U3033">
        <v>51.2</v>
      </c>
      <c r="V3033">
        <v>350</v>
      </c>
      <c r="W3033">
        <v>22.02</v>
      </c>
      <c r="X3033" t="s">
        <v>1170</v>
      </c>
      <c r="Y3033" t="s">
        <v>4443</v>
      </c>
      <c r="Z3033">
        <v>1.19</v>
      </c>
      <c r="AA3033">
        <v>69</v>
      </c>
      <c r="AB3033">
        <v>41</v>
      </c>
      <c r="AC3033">
        <v>2.51</v>
      </c>
      <c r="AD3033" t="s">
        <v>11283</v>
      </c>
      <c r="AE3033" t="s">
        <v>202</v>
      </c>
      <c r="AF3033" t="s">
        <v>11283</v>
      </c>
      <c r="AG3033" t="s">
        <v>202</v>
      </c>
      <c r="AH3033">
        <v>-2.86</v>
      </c>
      <c r="AI3033">
        <v>-1.47</v>
      </c>
      <c r="AJ3033">
        <v>0.83</v>
      </c>
      <c r="AK3033">
        <v>1.71</v>
      </c>
      <c r="AL3033">
        <v>-3</v>
      </c>
      <c r="AM3033">
        <v>-1.03</v>
      </c>
      <c r="AN3033">
        <v>34.37</v>
      </c>
      <c r="AO3033">
        <v>-2.04</v>
      </c>
      <c r="AP3033">
        <v>16.05</v>
      </c>
    </row>
    <row r="3034" spans="1:42">
      <c r="A3034">
        <v>3033</v>
      </c>
      <c r="B3034" t="str">
        <f>"001338"</f>
        <v>001338</v>
      </c>
      <c r="C3034" t="s">
        <v>15662</v>
      </c>
      <c r="D3034">
        <v>12.59</v>
      </c>
      <c r="E3034">
        <v>-0.87</v>
      </c>
      <c r="F3034">
        <v>-0.11</v>
      </c>
      <c r="G3034" t="s">
        <v>5877</v>
      </c>
      <c r="H3034">
        <v>333</v>
      </c>
      <c r="I3034">
        <v>12.59</v>
      </c>
      <c r="J3034">
        <v>12.6</v>
      </c>
      <c r="K3034" t="s">
        <v>15663</v>
      </c>
      <c r="L3034">
        <v>1.79</v>
      </c>
      <c r="M3034" t="s">
        <v>46</v>
      </c>
      <c r="N3034" t="s">
        <v>7786</v>
      </c>
      <c r="O3034">
        <v>12.72</v>
      </c>
      <c r="P3034">
        <v>12.49</v>
      </c>
      <c r="Q3034">
        <v>12.67</v>
      </c>
      <c r="R3034">
        <v>12.7</v>
      </c>
      <c r="S3034">
        <v>1.81</v>
      </c>
      <c r="T3034">
        <v>1.36</v>
      </c>
      <c r="U3034">
        <v>-5.48</v>
      </c>
      <c r="V3034">
        <v>-99</v>
      </c>
      <c r="W3034">
        <v>12.58</v>
      </c>
      <c r="X3034" t="s">
        <v>3328</v>
      </c>
      <c r="Y3034" t="s">
        <v>325</v>
      </c>
      <c r="Z3034">
        <v>1.3</v>
      </c>
      <c r="AA3034">
        <v>207</v>
      </c>
      <c r="AB3034">
        <v>92</v>
      </c>
      <c r="AC3034">
        <v>1.9</v>
      </c>
      <c r="AD3034" t="s">
        <v>15664</v>
      </c>
      <c r="AE3034" t="s">
        <v>15665</v>
      </c>
      <c r="AF3034" t="s">
        <v>15666</v>
      </c>
      <c r="AG3034" t="s">
        <v>4113</v>
      </c>
      <c r="AH3034">
        <v>-3.15</v>
      </c>
      <c r="AI3034">
        <v>-3.89</v>
      </c>
      <c r="AJ3034">
        <v>4.69</v>
      </c>
      <c r="AK3034">
        <v>8.33</v>
      </c>
      <c r="AL3034">
        <v>-3</v>
      </c>
      <c r="AM3034">
        <v>-0.87</v>
      </c>
      <c r="AN3034">
        <v>-40.22</v>
      </c>
      <c r="AO3034">
        <v>-9.68</v>
      </c>
      <c r="AP3034">
        <v>-12.08</v>
      </c>
    </row>
    <row r="3035" spans="1:42">
      <c r="A3035">
        <v>3034</v>
      </c>
      <c r="B3035" t="str">
        <f>"002035"</f>
        <v>002035</v>
      </c>
      <c r="C3035" t="s">
        <v>15667</v>
      </c>
      <c r="D3035">
        <v>6.33</v>
      </c>
      <c r="E3035">
        <v>0.16</v>
      </c>
      <c r="F3035">
        <v>0.01</v>
      </c>
      <c r="G3035" t="s">
        <v>7465</v>
      </c>
      <c r="H3035">
        <v>853</v>
      </c>
      <c r="I3035">
        <v>6.33</v>
      </c>
      <c r="J3035">
        <v>6.34</v>
      </c>
      <c r="K3035" t="s">
        <v>15663</v>
      </c>
      <c r="L3035">
        <v>1.07</v>
      </c>
      <c r="M3035" t="s">
        <v>46</v>
      </c>
      <c r="N3035" t="s">
        <v>7589</v>
      </c>
      <c r="O3035">
        <v>6.35</v>
      </c>
      <c r="P3035">
        <v>6.25</v>
      </c>
      <c r="Q3035">
        <v>6.34</v>
      </c>
      <c r="R3035">
        <v>6.32</v>
      </c>
      <c r="S3035">
        <v>1.58</v>
      </c>
      <c r="T3035">
        <v>1</v>
      </c>
      <c r="U3035">
        <v>-36.1</v>
      </c>
      <c r="V3035">
        <v>-1898</v>
      </c>
      <c r="W3035">
        <v>6.33</v>
      </c>
      <c r="X3035" t="s">
        <v>4527</v>
      </c>
      <c r="Y3035" t="s">
        <v>5612</v>
      </c>
      <c r="Z3035">
        <v>0.72</v>
      </c>
      <c r="AA3035">
        <v>343</v>
      </c>
      <c r="AB3035">
        <v>523</v>
      </c>
      <c r="AC3035">
        <v>1.51</v>
      </c>
      <c r="AD3035" t="s">
        <v>15668</v>
      </c>
      <c r="AE3035" t="s">
        <v>4573</v>
      </c>
      <c r="AF3035" t="s">
        <v>11754</v>
      </c>
      <c r="AG3035" t="s">
        <v>9042</v>
      </c>
      <c r="AH3035">
        <v>-0.31</v>
      </c>
      <c r="AI3035">
        <v>-1.25</v>
      </c>
      <c r="AJ3035">
        <v>2.7</v>
      </c>
      <c r="AK3035">
        <v>6.42</v>
      </c>
      <c r="AL3035">
        <v>1</v>
      </c>
      <c r="AM3035">
        <v>0.16</v>
      </c>
      <c r="AN3035">
        <v>16.36</v>
      </c>
      <c r="AO3035">
        <v>5.68</v>
      </c>
      <c r="AP3035">
        <v>8.02</v>
      </c>
    </row>
    <row r="3036" spans="1:42">
      <c r="A3036">
        <v>3035</v>
      </c>
      <c r="B3036" t="str">
        <f>"688543"</f>
        <v>688543</v>
      </c>
      <c r="C3036" t="s">
        <v>15669</v>
      </c>
      <c r="D3036">
        <v>53.79</v>
      </c>
      <c r="E3036">
        <v>-0.99</v>
      </c>
      <c r="F3036">
        <v>-0.54</v>
      </c>
      <c r="G3036">
        <v>9790</v>
      </c>
      <c r="H3036">
        <v>49</v>
      </c>
      <c r="I3036">
        <v>53.78</v>
      </c>
      <c r="J3036">
        <v>53.79</v>
      </c>
      <c r="K3036" t="s">
        <v>15670</v>
      </c>
      <c r="L3036">
        <v>2.95</v>
      </c>
      <c r="M3036" t="s">
        <v>46</v>
      </c>
      <c r="N3036" t="s">
        <v>2026</v>
      </c>
      <c r="O3036">
        <v>54.59</v>
      </c>
      <c r="P3036">
        <v>53.79</v>
      </c>
      <c r="Q3036">
        <v>54</v>
      </c>
      <c r="R3036">
        <v>54.33</v>
      </c>
      <c r="S3036">
        <v>1.47</v>
      </c>
      <c r="T3036">
        <v>0.67</v>
      </c>
      <c r="U3036">
        <v>-34.28</v>
      </c>
      <c r="V3036">
        <v>-59</v>
      </c>
      <c r="W3036">
        <v>54.1</v>
      </c>
      <c r="X3036">
        <v>4918</v>
      </c>
      <c r="Y3036">
        <v>4872</v>
      </c>
      <c r="Z3036">
        <v>1.01</v>
      </c>
      <c r="AA3036">
        <v>2</v>
      </c>
      <c r="AB3036">
        <v>7</v>
      </c>
      <c r="AC3036">
        <v>3.55</v>
      </c>
      <c r="AD3036" t="s">
        <v>6574</v>
      </c>
      <c r="AE3036" t="s">
        <v>15671</v>
      </c>
      <c r="AF3036" t="s">
        <v>15672</v>
      </c>
      <c r="AG3036" t="s">
        <v>5816</v>
      </c>
      <c r="AH3036">
        <v>-3.53</v>
      </c>
      <c r="AI3036">
        <v>-5.38</v>
      </c>
      <c r="AJ3036">
        <v>12.17</v>
      </c>
      <c r="AK3036">
        <v>24.99</v>
      </c>
      <c r="AL3036">
        <v>-4</v>
      </c>
      <c r="AM3036">
        <v>-0.99</v>
      </c>
      <c r="AN3036">
        <v>23.17</v>
      </c>
      <c r="AO3036">
        <v>8.21</v>
      </c>
      <c r="AP3036">
        <v>23.17</v>
      </c>
    </row>
    <row r="3037" spans="1:42">
      <c r="A3037">
        <v>3036</v>
      </c>
      <c r="B3037" t="str">
        <f>"603727"</f>
        <v>603727</v>
      </c>
      <c r="C3037" t="s">
        <v>15673</v>
      </c>
      <c r="D3037">
        <v>13.33</v>
      </c>
      <c r="E3037">
        <v>0.68</v>
      </c>
      <c r="F3037">
        <v>0.09</v>
      </c>
      <c r="G3037" t="s">
        <v>534</v>
      </c>
      <c r="H3037">
        <v>826</v>
      </c>
      <c r="I3037">
        <v>13.32</v>
      </c>
      <c r="J3037">
        <v>13.33</v>
      </c>
      <c r="K3037" t="s">
        <v>15670</v>
      </c>
      <c r="L3037">
        <v>1.41</v>
      </c>
      <c r="M3037" t="s">
        <v>46</v>
      </c>
      <c r="N3037" t="s">
        <v>2480</v>
      </c>
      <c r="O3037">
        <v>13.44</v>
      </c>
      <c r="P3037">
        <v>13.18</v>
      </c>
      <c r="Q3037">
        <v>13.25</v>
      </c>
      <c r="R3037">
        <v>13.24</v>
      </c>
      <c r="S3037">
        <v>1.96</v>
      </c>
      <c r="T3037">
        <v>1.29</v>
      </c>
      <c r="U3037">
        <v>-17.85</v>
      </c>
      <c r="V3037">
        <v>-103</v>
      </c>
      <c r="W3037">
        <v>13.3</v>
      </c>
      <c r="X3037" t="s">
        <v>1072</v>
      </c>
      <c r="Y3037" t="s">
        <v>153</v>
      </c>
      <c r="Z3037">
        <v>0.89</v>
      </c>
      <c r="AA3037">
        <v>23</v>
      </c>
      <c r="AB3037">
        <v>139</v>
      </c>
      <c r="AC3037">
        <v>1.17</v>
      </c>
      <c r="AD3037" t="s">
        <v>15674</v>
      </c>
      <c r="AE3037" t="s">
        <v>4254</v>
      </c>
      <c r="AF3037" t="s">
        <v>15674</v>
      </c>
      <c r="AG3037" t="s">
        <v>4254</v>
      </c>
      <c r="AH3037">
        <v>1.37</v>
      </c>
      <c r="AI3037">
        <v>1.21</v>
      </c>
      <c r="AJ3037">
        <v>3.82</v>
      </c>
      <c r="AK3037">
        <v>6.91</v>
      </c>
      <c r="AL3037">
        <v>2</v>
      </c>
      <c r="AM3037">
        <v>0.68</v>
      </c>
      <c r="AN3037">
        <v>17.86</v>
      </c>
      <c r="AO3037">
        <v>5.04</v>
      </c>
      <c r="AP3037">
        <v>13.45</v>
      </c>
    </row>
    <row r="3038" spans="1:42">
      <c r="A3038">
        <v>3037</v>
      </c>
      <c r="B3038" t="str">
        <f>"000758"</f>
        <v>000758</v>
      </c>
      <c r="C3038" t="s">
        <v>15675</v>
      </c>
      <c r="D3038">
        <v>4.52</v>
      </c>
      <c r="E3038">
        <v>0.44</v>
      </c>
      <c r="F3038">
        <v>0.02</v>
      </c>
      <c r="G3038" t="s">
        <v>1540</v>
      </c>
      <c r="H3038">
        <v>644</v>
      </c>
      <c r="I3038">
        <v>4.51</v>
      </c>
      <c r="J3038">
        <v>4.52</v>
      </c>
      <c r="K3038" t="s">
        <v>15676</v>
      </c>
      <c r="L3038">
        <v>0.6</v>
      </c>
      <c r="M3038" t="s">
        <v>46</v>
      </c>
      <c r="N3038" t="s">
        <v>1662</v>
      </c>
      <c r="O3038">
        <v>4.54</v>
      </c>
      <c r="P3038">
        <v>4.47</v>
      </c>
      <c r="Q3038">
        <v>4.49</v>
      </c>
      <c r="R3038">
        <v>4.5</v>
      </c>
      <c r="S3038">
        <v>1.56</v>
      </c>
      <c r="T3038">
        <v>0.99</v>
      </c>
      <c r="U3038">
        <v>-1.32</v>
      </c>
      <c r="V3038">
        <v>-255</v>
      </c>
      <c r="W3038">
        <v>4.5</v>
      </c>
      <c r="X3038" t="s">
        <v>5192</v>
      </c>
      <c r="Y3038" t="s">
        <v>11085</v>
      </c>
      <c r="Z3038">
        <v>0.94</v>
      </c>
      <c r="AA3038">
        <v>755</v>
      </c>
      <c r="AB3038">
        <v>6</v>
      </c>
      <c r="AC3038">
        <v>1.73</v>
      </c>
      <c r="AD3038" t="s">
        <v>15677</v>
      </c>
      <c r="AE3038" t="s">
        <v>5920</v>
      </c>
      <c r="AF3038" t="s">
        <v>15678</v>
      </c>
      <c r="AG3038" t="s">
        <v>15679</v>
      </c>
      <c r="AH3038">
        <v>-0.88</v>
      </c>
      <c r="AI3038">
        <v>-1.53</v>
      </c>
      <c r="AJ3038">
        <v>1.95</v>
      </c>
      <c r="AK3038">
        <v>3.61</v>
      </c>
      <c r="AL3038">
        <v>1</v>
      </c>
      <c r="AM3038">
        <v>0.44</v>
      </c>
      <c r="AN3038">
        <v>-4.84</v>
      </c>
      <c r="AO3038">
        <v>-0.44</v>
      </c>
      <c r="AP3038">
        <v>-7.57</v>
      </c>
    </row>
    <row r="3039" spans="1:42">
      <c r="A3039">
        <v>3038</v>
      </c>
      <c r="B3039" t="str">
        <f>"301112"</f>
        <v>301112</v>
      </c>
      <c r="C3039" t="s">
        <v>15680</v>
      </c>
      <c r="D3039">
        <v>30.23</v>
      </c>
      <c r="E3039">
        <v>-2.1</v>
      </c>
      <c r="F3039">
        <v>-0.65</v>
      </c>
      <c r="G3039" t="s">
        <v>1177</v>
      </c>
      <c r="H3039">
        <v>449</v>
      </c>
      <c r="I3039">
        <v>30.22</v>
      </c>
      <c r="J3039">
        <v>30.23</v>
      </c>
      <c r="K3039" t="s">
        <v>15681</v>
      </c>
      <c r="L3039">
        <v>4.84</v>
      </c>
      <c r="M3039" t="s">
        <v>46</v>
      </c>
      <c r="N3039" t="s">
        <v>3946</v>
      </c>
      <c r="O3039">
        <v>30.88</v>
      </c>
      <c r="P3039">
        <v>29.8</v>
      </c>
      <c r="Q3039">
        <v>30.88</v>
      </c>
      <c r="R3039">
        <v>30.88</v>
      </c>
      <c r="S3039">
        <v>3.5</v>
      </c>
      <c r="T3039">
        <v>0.68</v>
      </c>
      <c r="U3039">
        <v>73.57</v>
      </c>
      <c r="V3039">
        <v>373</v>
      </c>
      <c r="W3039">
        <v>30.12</v>
      </c>
      <c r="X3039">
        <v>9784</v>
      </c>
      <c r="Y3039">
        <v>7780</v>
      </c>
      <c r="Z3039">
        <v>1.26</v>
      </c>
      <c r="AA3039">
        <v>221</v>
      </c>
      <c r="AB3039">
        <v>5</v>
      </c>
      <c r="AC3039">
        <v>2.73</v>
      </c>
      <c r="AD3039" t="s">
        <v>7344</v>
      </c>
      <c r="AE3039" t="s">
        <v>10817</v>
      </c>
      <c r="AF3039" t="s">
        <v>15682</v>
      </c>
      <c r="AG3039" t="s">
        <v>7407</v>
      </c>
      <c r="AH3039">
        <v>-2.48</v>
      </c>
      <c r="AI3039">
        <v>0.1</v>
      </c>
      <c r="AJ3039">
        <v>16.37</v>
      </c>
      <c r="AK3039">
        <v>40.75</v>
      </c>
      <c r="AL3039">
        <v>-1</v>
      </c>
      <c r="AM3039">
        <v>-2.1</v>
      </c>
      <c r="AN3039">
        <v>-2.2</v>
      </c>
      <c r="AO3039">
        <v>2.2</v>
      </c>
      <c r="AP3039">
        <v>3.32</v>
      </c>
    </row>
    <row r="3040" spans="1:42">
      <c r="A3040">
        <v>3039</v>
      </c>
      <c r="B3040" t="str">
        <f>"600187"</f>
        <v>600187</v>
      </c>
      <c r="C3040" t="s">
        <v>15683</v>
      </c>
      <c r="D3040">
        <v>2.71</v>
      </c>
      <c r="E3040">
        <v>1.5</v>
      </c>
      <c r="F3040">
        <v>0.04</v>
      </c>
      <c r="G3040" t="s">
        <v>1509</v>
      </c>
      <c r="H3040">
        <v>2106</v>
      </c>
      <c r="I3040">
        <v>2.7</v>
      </c>
      <c r="J3040">
        <v>2.71</v>
      </c>
      <c r="K3040" t="s">
        <v>15684</v>
      </c>
      <c r="L3040">
        <v>1.21</v>
      </c>
      <c r="M3040" t="s">
        <v>46</v>
      </c>
      <c r="N3040" t="s">
        <v>7870</v>
      </c>
      <c r="O3040">
        <v>2.72</v>
      </c>
      <c r="P3040">
        <v>2.66</v>
      </c>
      <c r="Q3040">
        <v>2.67</v>
      </c>
      <c r="R3040">
        <v>2.67</v>
      </c>
      <c r="S3040">
        <v>2.25</v>
      </c>
      <c r="T3040">
        <v>1.36</v>
      </c>
      <c r="U3040">
        <v>-48.73</v>
      </c>
      <c r="V3040" t="s">
        <v>15685</v>
      </c>
      <c r="W3040">
        <v>2.7</v>
      </c>
      <c r="X3040" t="s">
        <v>2534</v>
      </c>
      <c r="Y3040" t="s">
        <v>1908</v>
      </c>
      <c r="Z3040">
        <v>0.65</v>
      </c>
      <c r="AA3040">
        <v>1589</v>
      </c>
      <c r="AB3040" t="s">
        <v>2727</v>
      </c>
      <c r="AC3040">
        <v>1.36</v>
      </c>
      <c r="AD3040" t="s">
        <v>8164</v>
      </c>
      <c r="AE3040" t="s">
        <v>9019</v>
      </c>
      <c r="AF3040" t="s">
        <v>8164</v>
      </c>
      <c r="AG3040" t="s">
        <v>9019</v>
      </c>
      <c r="AH3040">
        <v>0</v>
      </c>
      <c r="AI3040">
        <v>-1.09</v>
      </c>
      <c r="AJ3040">
        <v>2.82</v>
      </c>
      <c r="AK3040">
        <v>5.7</v>
      </c>
      <c r="AL3040">
        <v>1</v>
      </c>
      <c r="AM3040">
        <v>1.5</v>
      </c>
      <c r="AN3040">
        <v>-23.45</v>
      </c>
      <c r="AO3040">
        <v>0.37</v>
      </c>
      <c r="AP3040">
        <v>10.16</v>
      </c>
    </row>
    <row r="3041" spans="1:42">
      <c r="A3041">
        <v>3040</v>
      </c>
      <c r="B3041" t="str">
        <f>"000571"</f>
        <v>000571</v>
      </c>
      <c r="C3041" t="s">
        <v>15686</v>
      </c>
      <c r="D3041">
        <v>2.82</v>
      </c>
      <c r="E3041">
        <v>1.44</v>
      </c>
      <c r="F3041">
        <v>0.04</v>
      </c>
      <c r="G3041" t="s">
        <v>3785</v>
      </c>
      <c r="H3041">
        <v>2398</v>
      </c>
      <c r="I3041">
        <v>2.82</v>
      </c>
      <c r="J3041">
        <v>2.83</v>
      </c>
      <c r="K3041" t="s">
        <v>15687</v>
      </c>
      <c r="L3041">
        <v>2.3</v>
      </c>
      <c r="M3041" t="s">
        <v>46</v>
      </c>
      <c r="N3041" t="s">
        <v>1637</v>
      </c>
      <c r="O3041">
        <v>2.85</v>
      </c>
      <c r="P3041">
        <v>2.74</v>
      </c>
      <c r="Q3041">
        <v>2.74</v>
      </c>
      <c r="R3041">
        <v>2.78</v>
      </c>
      <c r="S3041">
        <v>3.96</v>
      </c>
      <c r="T3041">
        <v>0.6</v>
      </c>
      <c r="U3041">
        <v>-58.9</v>
      </c>
      <c r="V3041" t="s">
        <v>2992</v>
      </c>
      <c r="W3041">
        <v>2.82</v>
      </c>
      <c r="X3041" t="s">
        <v>6910</v>
      </c>
      <c r="Y3041" t="s">
        <v>2402</v>
      </c>
      <c r="Z3041">
        <v>0.73</v>
      </c>
      <c r="AA3041">
        <v>101</v>
      </c>
      <c r="AB3041">
        <v>4535</v>
      </c>
      <c r="AC3041">
        <v>6.85</v>
      </c>
      <c r="AD3041" t="s">
        <v>15688</v>
      </c>
      <c r="AE3041" t="s">
        <v>10107</v>
      </c>
      <c r="AF3041" t="s">
        <v>11501</v>
      </c>
      <c r="AG3041" t="s">
        <v>15689</v>
      </c>
      <c r="AH3041">
        <v>0.71</v>
      </c>
      <c r="AI3041">
        <v>1.08</v>
      </c>
      <c r="AJ3041">
        <v>7.13</v>
      </c>
      <c r="AK3041">
        <v>21.56</v>
      </c>
      <c r="AL3041">
        <v>2</v>
      </c>
      <c r="AM3041">
        <v>1.44</v>
      </c>
      <c r="AN3041">
        <v>20.51</v>
      </c>
      <c r="AO3041">
        <v>10.59</v>
      </c>
      <c r="AP3041">
        <v>15.57</v>
      </c>
    </row>
    <row r="3042" spans="1:42">
      <c r="A3042">
        <v>3041</v>
      </c>
      <c r="B3042" t="str">
        <f>"838171"</f>
        <v>838171</v>
      </c>
      <c r="C3042" t="s">
        <v>15690</v>
      </c>
      <c r="D3042">
        <v>14.95</v>
      </c>
      <c r="E3042">
        <v>-8.84</v>
      </c>
      <c r="F3042">
        <v>-1.45</v>
      </c>
      <c r="G3042" t="s">
        <v>4780</v>
      </c>
      <c r="H3042">
        <v>290</v>
      </c>
      <c r="I3042">
        <v>14.95</v>
      </c>
      <c r="J3042">
        <v>14.99</v>
      </c>
      <c r="K3042" t="s">
        <v>15687</v>
      </c>
      <c r="L3042">
        <v>6.56</v>
      </c>
      <c r="M3042" t="s">
        <v>46</v>
      </c>
      <c r="N3042" t="s">
        <v>4444</v>
      </c>
      <c r="O3042">
        <v>16.94</v>
      </c>
      <c r="P3042">
        <v>14.91</v>
      </c>
      <c r="Q3042">
        <v>16.64</v>
      </c>
      <c r="R3042">
        <v>16.4</v>
      </c>
      <c r="S3042">
        <v>12.38</v>
      </c>
      <c r="T3042">
        <v>0.53</v>
      </c>
      <c r="U3042">
        <v>-24.66</v>
      </c>
      <c r="V3042">
        <v>-165</v>
      </c>
      <c r="W3042">
        <v>15.51</v>
      </c>
      <c r="X3042" t="s">
        <v>6827</v>
      </c>
      <c r="Y3042" t="s">
        <v>1254</v>
      </c>
      <c r="Z3042">
        <v>1.78</v>
      </c>
      <c r="AA3042">
        <v>8</v>
      </c>
      <c r="AB3042">
        <v>3</v>
      </c>
      <c r="AC3042">
        <v>3.65</v>
      </c>
      <c r="AD3042" t="s">
        <v>15691</v>
      </c>
      <c r="AE3042" t="s">
        <v>11786</v>
      </c>
      <c r="AF3042" t="s">
        <v>15692</v>
      </c>
      <c r="AG3042" t="s">
        <v>15693</v>
      </c>
      <c r="AH3042">
        <v>-28.3</v>
      </c>
      <c r="AI3042">
        <v>29.89</v>
      </c>
      <c r="AJ3042">
        <v>29.8</v>
      </c>
      <c r="AK3042">
        <v>68.29</v>
      </c>
      <c r="AL3042">
        <v>-3</v>
      </c>
      <c r="AM3042">
        <v>-8.84</v>
      </c>
      <c r="AN3042">
        <v>89.48</v>
      </c>
      <c r="AO3042">
        <v>55.08</v>
      </c>
      <c r="AP3042">
        <v>47.87</v>
      </c>
    </row>
    <row r="3043" spans="1:42">
      <c r="A3043">
        <v>3042</v>
      </c>
      <c r="B3043" t="str">
        <f>"600458"</f>
        <v>600458</v>
      </c>
      <c r="C3043" t="s">
        <v>15694</v>
      </c>
      <c r="D3043">
        <v>9.58</v>
      </c>
      <c r="E3043">
        <v>-0.31</v>
      </c>
      <c r="F3043">
        <v>-0.03</v>
      </c>
      <c r="G3043" t="s">
        <v>1038</v>
      </c>
      <c r="H3043">
        <v>377</v>
      </c>
      <c r="I3043">
        <v>9.58</v>
      </c>
      <c r="J3043">
        <v>9.59</v>
      </c>
      <c r="K3043" t="s">
        <v>15695</v>
      </c>
      <c r="L3043">
        <v>0.69</v>
      </c>
      <c r="M3043" t="s">
        <v>46</v>
      </c>
      <c r="N3043" t="s">
        <v>164</v>
      </c>
      <c r="O3043">
        <v>9.62</v>
      </c>
      <c r="P3043">
        <v>9.48</v>
      </c>
      <c r="Q3043">
        <v>9.6</v>
      </c>
      <c r="R3043">
        <v>9.61</v>
      </c>
      <c r="S3043">
        <v>1.46</v>
      </c>
      <c r="T3043">
        <v>1.01</v>
      </c>
      <c r="U3043">
        <v>-14.1</v>
      </c>
      <c r="V3043">
        <v>-430</v>
      </c>
      <c r="W3043">
        <v>9.54</v>
      </c>
      <c r="X3043" t="s">
        <v>5746</v>
      </c>
      <c r="Y3043" t="s">
        <v>541</v>
      </c>
      <c r="Z3043">
        <v>0.92</v>
      </c>
      <c r="AA3043">
        <v>134</v>
      </c>
      <c r="AB3043">
        <v>3</v>
      </c>
      <c r="AC3043">
        <v>1.38</v>
      </c>
      <c r="AD3043" t="s">
        <v>2798</v>
      </c>
      <c r="AE3043" t="s">
        <v>8124</v>
      </c>
      <c r="AF3043" t="s">
        <v>101</v>
      </c>
      <c r="AG3043" t="s">
        <v>15696</v>
      </c>
      <c r="AH3043">
        <v>-2.24</v>
      </c>
      <c r="AI3043">
        <v>-3.82</v>
      </c>
      <c r="AJ3043">
        <v>2.03</v>
      </c>
      <c r="AK3043">
        <v>4.09</v>
      </c>
      <c r="AL3043">
        <v>-3</v>
      </c>
      <c r="AM3043">
        <v>-0.31</v>
      </c>
      <c r="AN3043">
        <v>7.76</v>
      </c>
      <c r="AO3043">
        <v>-3.72</v>
      </c>
      <c r="AP3043">
        <v>6.33</v>
      </c>
    </row>
    <row r="3044" spans="1:42">
      <c r="A3044">
        <v>3043</v>
      </c>
      <c r="B3044" t="str">
        <f>"300594"</f>
        <v>300594</v>
      </c>
      <c r="C3044" t="s">
        <v>15697</v>
      </c>
      <c r="D3044">
        <v>21.16</v>
      </c>
      <c r="E3044">
        <v>0.67</v>
      </c>
      <c r="F3044">
        <v>0.14</v>
      </c>
      <c r="G3044" t="s">
        <v>48</v>
      </c>
      <c r="H3044">
        <v>76</v>
      </c>
      <c r="I3044">
        <v>21.16</v>
      </c>
      <c r="J3044">
        <v>21.19</v>
      </c>
      <c r="K3044" t="s">
        <v>15695</v>
      </c>
      <c r="L3044">
        <v>2.75</v>
      </c>
      <c r="M3044" t="s">
        <v>46</v>
      </c>
      <c r="N3044" t="s">
        <v>2518</v>
      </c>
      <c r="O3044">
        <v>21.44</v>
      </c>
      <c r="P3044">
        <v>20.92</v>
      </c>
      <c r="Q3044">
        <v>21.05</v>
      </c>
      <c r="R3044">
        <v>21.02</v>
      </c>
      <c r="S3044">
        <v>2.47</v>
      </c>
      <c r="T3044">
        <v>1.22</v>
      </c>
      <c r="U3044">
        <v>-22.39</v>
      </c>
      <c r="V3044">
        <v>-75</v>
      </c>
      <c r="W3044">
        <v>21.18</v>
      </c>
      <c r="X3044" t="s">
        <v>9445</v>
      </c>
      <c r="Y3044" t="s">
        <v>718</v>
      </c>
      <c r="Z3044">
        <v>1.1</v>
      </c>
      <c r="AA3044">
        <v>15</v>
      </c>
      <c r="AB3044">
        <v>20</v>
      </c>
      <c r="AC3044">
        <v>2.11</v>
      </c>
      <c r="AD3044" t="s">
        <v>15698</v>
      </c>
      <c r="AE3044" t="s">
        <v>2524</v>
      </c>
      <c r="AF3044" t="s">
        <v>15699</v>
      </c>
      <c r="AG3044" t="s">
        <v>15700</v>
      </c>
      <c r="AH3044">
        <v>0.52</v>
      </c>
      <c r="AI3044">
        <v>0.05</v>
      </c>
      <c r="AJ3044">
        <v>8.85</v>
      </c>
      <c r="AK3044">
        <v>14.01</v>
      </c>
      <c r="AL3044">
        <v>1</v>
      </c>
      <c r="AM3044">
        <v>0.67</v>
      </c>
      <c r="AN3044">
        <v>23.09</v>
      </c>
      <c r="AO3044">
        <v>-0.52</v>
      </c>
      <c r="AP3044">
        <v>21.05</v>
      </c>
    </row>
    <row r="3045" spans="1:42">
      <c r="A3045">
        <v>3044</v>
      </c>
      <c r="B3045" t="str">
        <f>"688560"</f>
        <v>688560</v>
      </c>
      <c r="C3045" t="s">
        <v>15701</v>
      </c>
      <c r="D3045">
        <v>18.03</v>
      </c>
      <c r="E3045">
        <v>0.22</v>
      </c>
      <c r="F3045">
        <v>0.04</v>
      </c>
      <c r="G3045" t="s">
        <v>8622</v>
      </c>
      <c r="H3045">
        <v>110</v>
      </c>
      <c r="I3045">
        <v>18.03</v>
      </c>
      <c r="J3045">
        <v>18.05</v>
      </c>
      <c r="K3045" t="s">
        <v>13306</v>
      </c>
      <c r="L3045">
        <v>2.31</v>
      </c>
      <c r="M3045" t="s">
        <v>46</v>
      </c>
      <c r="N3045" t="s">
        <v>5105</v>
      </c>
      <c r="O3045">
        <v>18.15</v>
      </c>
      <c r="P3045">
        <v>17.76</v>
      </c>
      <c r="Q3045">
        <v>17.96</v>
      </c>
      <c r="R3045">
        <v>17.99</v>
      </c>
      <c r="S3045">
        <v>2.17</v>
      </c>
      <c r="T3045">
        <v>0.7</v>
      </c>
      <c r="U3045">
        <v>23.71</v>
      </c>
      <c r="V3045">
        <v>81</v>
      </c>
      <c r="W3045">
        <v>17.94</v>
      </c>
      <c r="X3045" t="s">
        <v>1692</v>
      </c>
      <c r="Y3045" t="s">
        <v>9445</v>
      </c>
      <c r="Z3045">
        <v>1.26</v>
      </c>
      <c r="AA3045">
        <v>56</v>
      </c>
      <c r="AB3045">
        <v>40</v>
      </c>
      <c r="AC3045">
        <v>1.23</v>
      </c>
      <c r="AD3045" t="s">
        <v>11468</v>
      </c>
      <c r="AE3045" t="s">
        <v>15702</v>
      </c>
      <c r="AF3045" t="s">
        <v>15703</v>
      </c>
      <c r="AG3045" t="s">
        <v>15704</v>
      </c>
      <c r="AH3045">
        <v>-3.17</v>
      </c>
      <c r="AI3045">
        <v>-6.29</v>
      </c>
      <c r="AJ3045">
        <v>7.53</v>
      </c>
      <c r="AK3045">
        <v>18.9</v>
      </c>
      <c r="AL3045">
        <v>1</v>
      </c>
      <c r="AM3045">
        <v>0.22</v>
      </c>
      <c r="AN3045">
        <v>-60.91</v>
      </c>
      <c r="AO3045">
        <v>-1.37</v>
      </c>
      <c r="AP3045">
        <v>-67.24</v>
      </c>
    </row>
    <row r="3046" spans="1:42">
      <c r="A3046">
        <v>3045</v>
      </c>
      <c r="B3046" t="str">
        <f>"000404"</f>
        <v>000404</v>
      </c>
      <c r="C3046" t="s">
        <v>15705</v>
      </c>
      <c r="D3046">
        <v>6.22</v>
      </c>
      <c r="E3046">
        <v>0.32</v>
      </c>
      <c r="F3046">
        <v>0.02</v>
      </c>
      <c r="G3046" t="s">
        <v>7164</v>
      </c>
      <c r="H3046">
        <v>117</v>
      </c>
      <c r="I3046">
        <v>6.22</v>
      </c>
      <c r="J3046">
        <v>6.23</v>
      </c>
      <c r="K3046" t="s">
        <v>15706</v>
      </c>
      <c r="L3046">
        <v>1.23</v>
      </c>
      <c r="M3046" t="s">
        <v>46</v>
      </c>
      <c r="N3046" t="s">
        <v>2466</v>
      </c>
      <c r="O3046">
        <v>6.25</v>
      </c>
      <c r="P3046">
        <v>6.11</v>
      </c>
      <c r="Q3046">
        <v>6.2</v>
      </c>
      <c r="R3046">
        <v>6.2</v>
      </c>
      <c r="S3046">
        <v>2.26</v>
      </c>
      <c r="T3046">
        <v>1.25</v>
      </c>
      <c r="U3046">
        <v>4.03</v>
      </c>
      <c r="V3046">
        <v>209</v>
      </c>
      <c r="W3046">
        <v>6.19</v>
      </c>
      <c r="X3046" t="s">
        <v>3227</v>
      </c>
      <c r="Y3046" t="s">
        <v>843</v>
      </c>
      <c r="Z3046">
        <v>0.9</v>
      </c>
      <c r="AA3046">
        <v>293</v>
      </c>
      <c r="AB3046">
        <v>500</v>
      </c>
      <c r="AC3046">
        <v>1.16</v>
      </c>
      <c r="AD3046" t="s">
        <v>15707</v>
      </c>
      <c r="AE3046" t="s">
        <v>14463</v>
      </c>
      <c r="AF3046" t="s">
        <v>15708</v>
      </c>
      <c r="AG3046" t="s">
        <v>5343</v>
      </c>
      <c r="AH3046">
        <v>-0.48</v>
      </c>
      <c r="AI3046">
        <v>-1.27</v>
      </c>
      <c r="AJ3046">
        <v>3.15</v>
      </c>
      <c r="AK3046">
        <v>6.14</v>
      </c>
      <c r="AL3046">
        <v>1</v>
      </c>
      <c r="AM3046">
        <v>0.32</v>
      </c>
      <c r="AN3046">
        <v>18.25</v>
      </c>
      <c r="AO3046">
        <v>2.13</v>
      </c>
      <c r="AP3046">
        <v>22.92</v>
      </c>
    </row>
    <row r="3047" spans="1:42">
      <c r="A3047">
        <v>3046</v>
      </c>
      <c r="B3047" t="str">
        <f>"600452"</f>
        <v>600452</v>
      </c>
      <c r="C3047" t="s">
        <v>15709</v>
      </c>
      <c r="D3047">
        <v>12.23</v>
      </c>
      <c r="E3047">
        <v>0.33</v>
      </c>
      <c r="F3047">
        <v>0.04</v>
      </c>
      <c r="G3047" t="s">
        <v>3758</v>
      </c>
      <c r="H3047">
        <v>58</v>
      </c>
      <c r="I3047">
        <v>12.23</v>
      </c>
      <c r="J3047">
        <v>12.24</v>
      </c>
      <c r="K3047" t="s">
        <v>15710</v>
      </c>
      <c r="L3047">
        <v>0.39</v>
      </c>
      <c r="M3047" t="s">
        <v>46</v>
      </c>
      <c r="N3047" t="s">
        <v>1446</v>
      </c>
      <c r="O3047">
        <v>12.31</v>
      </c>
      <c r="P3047">
        <v>12.11</v>
      </c>
      <c r="Q3047">
        <v>12.2</v>
      </c>
      <c r="R3047">
        <v>12.19</v>
      </c>
      <c r="S3047">
        <v>1.64</v>
      </c>
      <c r="T3047">
        <v>0.93</v>
      </c>
      <c r="U3047">
        <v>0.79</v>
      </c>
      <c r="V3047">
        <v>17</v>
      </c>
      <c r="W3047">
        <v>12.21</v>
      </c>
      <c r="X3047" t="s">
        <v>1255</v>
      </c>
      <c r="Y3047" t="s">
        <v>9251</v>
      </c>
      <c r="Z3047">
        <v>0.71</v>
      </c>
      <c r="AA3047">
        <v>29</v>
      </c>
      <c r="AB3047">
        <v>827</v>
      </c>
      <c r="AC3047">
        <v>2.73</v>
      </c>
      <c r="AD3047" t="s">
        <v>15711</v>
      </c>
      <c r="AE3047" t="s">
        <v>2413</v>
      </c>
      <c r="AF3047" t="s">
        <v>15711</v>
      </c>
      <c r="AG3047" t="s">
        <v>2413</v>
      </c>
      <c r="AH3047">
        <v>-0.33</v>
      </c>
      <c r="AI3047">
        <v>-2.16</v>
      </c>
      <c r="AJ3047">
        <v>1.21</v>
      </c>
      <c r="AK3047">
        <v>2.52</v>
      </c>
      <c r="AL3047">
        <v>2</v>
      </c>
      <c r="AM3047">
        <v>0.33</v>
      </c>
      <c r="AN3047">
        <v>-1.61</v>
      </c>
      <c r="AO3047">
        <v>-0.41</v>
      </c>
      <c r="AP3047">
        <v>5.89</v>
      </c>
    </row>
    <row r="3048" spans="1:42">
      <c r="A3048">
        <v>3047</v>
      </c>
      <c r="B3048" t="str">
        <f>"601608"</f>
        <v>601608</v>
      </c>
      <c r="C3048" t="s">
        <v>15712</v>
      </c>
      <c r="D3048">
        <v>3.84</v>
      </c>
      <c r="E3048">
        <v>0.79</v>
      </c>
      <c r="F3048">
        <v>0.03</v>
      </c>
      <c r="G3048" t="s">
        <v>784</v>
      </c>
      <c r="H3048">
        <v>515</v>
      </c>
      <c r="I3048">
        <v>3.83</v>
      </c>
      <c r="J3048">
        <v>3.84</v>
      </c>
      <c r="K3048" t="s">
        <v>15713</v>
      </c>
      <c r="L3048">
        <v>0.32</v>
      </c>
      <c r="M3048" t="s">
        <v>46</v>
      </c>
      <c r="N3048" t="s">
        <v>15714</v>
      </c>
      <c r="O3048">
        <v>3.85</v>
      </c>
      <c r="P3048">
        <v>3.78</v>
      </c>
      <c r="Q3048">
        <v>3.82</v>
      </c>
      <c r="R3048">
        <v>3.81</v>
      </c>
      <c r="S3048">
        <v>1.84</v>
      </c>
      <c r="T3048">
        <v>1.09</v>
      </c>
      <c r="U3048">
        <v>-40.09</v>
      </c>
      <c r="V3048" t="s">
        <v>8869</v>
      </c>
      <c r="W3048">
        <v>3.82</v>
      </c>
      <c r="X3048" t="s">
        <v>3453</v>
      </c>
      <c r="Y3048" t="s">
        <v>4235</v>
      </c>
      <c r="Z3048">
        <v>0.78</v>
      </c>
      <c r="AA3048">
        <v>2042</v>
      </c>
      <c r="AB3048">
        <v>4635</v>
      </c>
      <c r="AC3048">
        <v>2.11</v>
      </c>
      <c r="AD3048" t="s">
        <v>15715</v>
      </c>
      <c r="AE3048" t="s">
        <v>9789</v>
      </c>
      <c r="AF3048" t="s">
        <v>15715</v>
      </c>
      <c r="AG3048" t="s">
        <v>9789</v>
      </c>
      <c r="AH3048">
        <v>0.26</v>
      </c>
      <c r="AI3048">
        <v>0.26</v>
      </c>
      <c r="AJ3048">
        <v>0.89</v>
      </c>
      <c r="AK3048">
        <v>1.78</v>
      </c>
      <c r="AL3048">
        <v>2</v>
      </c>
      <c r="AM3048">
        <v>0.79</v>
      </c>
      <c r="AN3048">
        <v>10.34</v>
      </c>
      <c r="AO3048">
        <v>3.5</v>
      </c>
      <c r="AP3048">
        <v>2.13</v>
      </c>
    </row>
    <row r="3049" spans="1:42">
      <c r="A3049">
        <v>3048</v>
      </c>
      <c r="B3049" t="str">
        <f>"301076"</f>
        <v>301076</v>
      </c>
      <c r="C3049" t="s">
        <v>15716</v>
      </c>
      <c r="D3049">
        <v>22.29</v>
      </c>
      <c r="E3049">
        <v>-0.18</v>
      </c>
      <c r="F3049">
        <v>-0.04</v>
      </c>
      <c r="G3049" t="s">
        <v>4017</v>
      </c>
      <c r="H3049">
        <v>66</v>
      </c>
      <c r="I3049">
        <v>22.28</v>
      </c>
      <c r="J3049">
        <v>22.29</v>
      </c>
      <c r="K3049" t="s">
        <v>15717</v>
      </c>
      <c r="L3049">
        <v>3.45</v>
      </c>
      <c r="M3049" t="s">
        <v>46</v>
      </c>
      <c r="N3049" t="s">
        <v>4344</v>
      </c>
      <c r="O3049">
        <v>22.49</v>
      </c>
      <c r="P3049">
        <v>21.67</v>
      </c>
      <c r="Q3049">
        <v>22.46</v>
      </c>
      <c r="R3049">
        <v>22.33</v>
      </c>
      <c r="S3049">
        <v>3.67</v>
      </c>
      <c r="T3049">
        <v>1.3</v>
      </c>
      <c r="U3049">
        <v>-32.58</v>
      </c>
      <c r="V3049">
        <v>-86</v>
      </c>
      <c r="W3049">
        <v>22.07</v>
      </c>
      <c r="X3049" t="s">
        <v>682</v>
      </c>
      <c r="Y3049" t="s">
        <v>4959</v>
      </c>
      <c r="Z3049">
        <v>1.11</v>
      </c>
      <c r="AA3049">
        <v>3</v>
      </c>
      <c r="AB3049">
        <v>36</v>
      </c>
      <c r="AC3049">
        <v>2.74</v>
      </c>
      <c r="AD3049" t="s">
        <v>11452</v>
      </c>
      <c r="AE3049" t="s">
        <v>15718</v>
      </c>
      <c r="AF3049" t="s">
        <v>15719</v>
      </c>
      <c r="AG3049" t="s">
        <v>12993</v>
      </c>
      <c r="AH3049">
        <v>2.34</v>
      </c>
      <c r="AI3049">
        <v>-1.46</v>
      </c>
      <c r="AJ3049">
        <v>8.29</v>
      </c>
      <c r="AK3049">
        <v>16.7</v>
      </c>
      <c r="AL3049">
        <v>-1</v>
      </c>
      <c r="AM3049">
        <v>-0.18</v>
      </c>
      <c r="AN3049">
        <v>28.62</v>
      </c>
      <c r="AO3049">
        <v>1.36</v>
      </c>
      <c r="AP3049">
        <v>17.32</v>
      </c>
    </row>
    <row r="3050" spans="1:42">
      <c r="A3050">
        <v>3049</v>
      </c>
      <c r="B3050" t="str">
        <f>"600679"</f>
        <v>600679</v>
      </c>
      <c r="C3050" t="s">
        <v>15720</v>
      </c>
      <c r="D3050">
        <v>9.26</v>
      </c>
      <c r="E3050">
        <v>1.76</v>
      </c>
      <c r="F3050">
        <v>0.16</v>
      </c>
      <c r="G3050" t="s">
        <v>1503</v>
      </c>
      <c r="H3050">
        <v>1049</v>
      </c>
      <c r="I3050">
        <v>9.25</v>
      </c>
      <c r="J3050">
        <v>9.26</v>
      </c>
      <c r="K3050" t="s">
        <v>15721</v>
      </c>
      <c r="L3050">
        <v>1.9</v>
      </c>
      <c r="M3050" t="s">
        <v>46</v>
      </c>
      <c r="N3050" t="s">
        <v>5022</v>
      </c>
      <c r="O3050">
        <v>9.29</v>
      </c>
      <c r="P3050">
        <v>9.14</v>
      </c>
      <c r="Q3050">
        <v>9.15</v>
      </c>
      <c r="R3050">
        <v>9.1</v>
      </c>
      <c r="S3050">
        <v>1.65</v>
      </c>
      <c r="T3050">
        <v>1</v>
      </c>
      <c r="U3050">
        <v>-27.74</v>
      </c>
      <c r="V3050">
        <v>-1058</v>
      </c>
      <c r="W3050">
        <v>9.25</v>
      </c>
      <c r="X3050" t="s">
        <v>7053</v>
      </c>
      <c r="Y3050" t="s">
        <v>1069</v>
      </c>
      <c r="Z3050">
        <v>0.61</v>
      </c>
      <c r="AA3050">
        <v>99</v>
      </c>
      <c r="AB3050">
        <v>153</v>
      </c>
      <c r="AC3050">
        <v>2.22</v>
      </c>
      <c r="AD3050" t="s">
        <v>3144</v>
      </c>
      <c r="AE3050" t="s">
        <v>3394</v>
      </c>
      <c r="AF3050" t="s">
        <v>15722</v>
      </c>
      <c r="AG3050" t="s">
        <v>15723</v>
      </c>
      <c r="AH3050">
        <v>1.42</v>
      </c>
      <c r="AI3050">
        <v>0</v>
      </c>
      <c r="AJ3050">
        <v>4.64</v>
      </c>
      <c r="AK3050">
        <v>11.39</v>
      </c>
      <c r="AL3050">
        <v>1</v>
      </c>
      <c r="AM3050">
        <v>1.76</v>
      </c>
      <c r="AN3050">
        <v>7.55</v>
      </c>
      <c r="AO3050">
        <v>6.93</v>
      </c>
      <c r="AP3050">
        <v>1.54</v>
      </c>
    </row>
    <row r="3051" spans="1:42">
      <c r="A3051">
        <v>3050</v>
      </c>
      <c r="B3051" t="str">
        <f>"301020"</f>
        <v>301020</v>
      </c>
      <c r="C3051" t="s">
        <v>15724</v>
      </c>
      <c r="D3051">
        <v>21.85</v>
      </c>
      <c r="E3051">
        <v>-1.71</v>
      </c>
      <c r="F3051">
        <v>-0.38</v>
      </c>
      <c r="G3051" t="s">
        <v>4037</v>
      </c>
      <c r="H3051">
        <v>1334</v>
      </c>
      <c r="I3051">
        <v>21.85</v>
      </c>
      <c r="J3051">
        <v>21.86</v>
      </c>
      <c r="K3051" t="s">
        <v>15725</v>
      </c>
      <c r="L3051">
        <v>3.32</v>
      </c>
      <c r="M3051" t="s">
        <v>46</v>
      </c>
      <c r="N3051" t="s">
        <v>3981</v>
      </c>
      <c r="O3051">
        <v>22.21</v>
      </c>
      <c r="P3051">
        <v>21.59</v>
      </c>
      <c r="Q3051">
        <v>22.21</v>
      </c>
      <c r="R3051">
        <v>22.23</v>
      </c>
      <c r="S3051">
        <v>2.79</v>
      </c>
      <c r="T3051">
        <v>0.63</v>
      </c>
      <c r="U3051">
        <v>50.66</v>
      </c>
      <c r="V3051">
        <v>462</v>
      </c>
      <c r="W3051">
        <v>21.76</v>
      </c>
      <c r="X3051" t="s">
        <v>1254</v>
      </c>
      <c r="Y3051" t="s">
        <v>8636</v>
      </c>
      <c r="Z3051">
        <v>1.01</v>
      </c>
      <c r="AA3051">
        <v>114</v>
      </c>
      <c r="AB3051">
        <v>58</v>
      </c>
      <c r="AC3051">
        <v>3.61</v>
      </c>
      <c r="AD3051" t="s">
        <v>11019</v>
      </c>
      <c r="AE3051" t="s">
        <v>15726</v>
      </c>
      <c r="AF3051" t="s">
        <v>15727</v>
      </c>
      <c r="AG3051" t="s">
        <v>12552</v>
      </c>
      <c r="AH3051">
        <v>-3.32</v>
      </c>
      <c r="AI3051">
        <v>0.32</v>
      </c>
      <c r="AJ3051">
        <v>19.36</v>
      </c>
      <c r="AK3051">
        <v>29.63</v>
      </c>
      <c r="AL3051">
        <v>-2</v>
      </c>
      <c r="AM3051">
        <v>-1.71</v>
      </c>
      <c r="AN3051">
        <v>32.34</v>
      </c>
      <c r="AO3051">
        <v>8.01</v>
      </c>
      <c r="AP3051">
        <v>18.43</v>
      </c>
    </row>
    <row r="3052" spans="1:42">
      <c r="A3052">
        <v>3051</v>
      </c>
      <c r="B3052" t="str">
        <f>"603648"</f>
        <v>603648</v>
      </c>
      <c r="C3052" t="s">
        <v>15728</v>
      </c>
      <c r="D3052">
        <v>9.97</v>
      </c>
      <c r="E3052">
        <v>-0.8</v>
      </c>
      <c r="F3052">
        <v>-0.08</v>
      </c>
      <c r="G3052" t="s">
        <v>7763</v>
      </c>
      <c r="H3052">
        <v>469</v>
      </c>
      <c r="I3052">
        <v>9.97</v>
      </c>
      <c r="J3052">
        <v>9.98</v>
      </c>
      <c r="K3052" t="s">
        <v>15612</v>
      </c>
      <c r="L3052">
        <v>1.45</v>
      </c>
      <c r="M3052" t="s">
        <v>46</v>
      </c>
      <c r="N3052" t="s">
        <v>654</v>
      </c>
      <c r="O3052">
        <v>10.19</v>
      </c>
      <c r="P3052">
        <v>9.96</v>
      </c>
      <c r="Q3052">
        <v>10.02</v>
      </c>
      <c r="R3052">
        <v>10.05</v>
      </c>
      <c r="S3052">
        <v>2.29</v>
      </c>
      <c r="T3052">
        <v>1.04</v>
      </c>
      <c r="U3052">
        <v>-18.88</v>
      </c>
      <c r="V3052">
        <v>-566</v>
      </c>
      <c r="W3052">
        <v>10.03</v>
      </c>
      <c r="X3052" t="s">
        <v>1710</v>
      </c>
      <c r="Y3052" t="s">
        <v>8622</v>
      </c>
      <c r="Z3052">
        <v>0.78</v>
      </c>
      <c r="AA3052">
        <v>100</v>
      </c>
      <c r="AB3052">
        <v>226</v>
      </c>
      <c r="AC3052">
        <v>1.99</v>
      </c>
      <c r="AD3052" t="s">
        <v>15729</v>
      </c>
      <c r="AE3052" t="s">
        <v>15419</v>
      </c>
      <c r="AF3052" t="s">
        <v>15729</v>
      </c>
      <c r="AG3052" t="s">
        <v>15419</v>
      </c>
      <c r="AH3052">
        <v>-0.1</v>
      </c>
      <c r="AI3052">
        <v>-0.6</v>
      </c>
      <c r="AJ3052">
        <v>4.05</v>
      </c>
      <c r="AK3052">
        <v>8.39</v>
      </c>
      <c r="AL3052">
        <v>-1</v>
      </c>
      <c r="AM3052">
        <v>-0.8</v>
      </c>
      <c r="AN3052">
        <v>14.6</v>
      </c>
      <c r="AO3052">
        <v>6.4</v>
      </c>
      <c r="AP3052">
        <v>12.02</v>
      </c>
    </row>
    <row r="3053" spans="1:42">
      <c r="A3053">
        <v>3052</v>
      </c>
      <c r="B3053" t="str">
        <f>"600501"</f>
        <v>600501</v>
      </c>
      <c r="C3053" t="s">
        <v>15730</v>
      </c>
      <c r="D3053">
        <v>14.17</v>
      </c>
      <c r="E3053">
        <v>0.21</v>
      </c>
      <c r="F3053">
        <v>0.03</v>
      </c>
      <c r="G3053" t="s">
        <v>6646</v>
      </c>
      <c r="H3053">
        <v>431</v>
      </c>
      <c r="I3053">
        <v>14.17</v>
      </c>
      <c r="J3053">
        <v>14.18</v>
      </c>
      <c r="K3053" t="s">
        <v>4588</v>
      </c>
      <c r="L3053">
        <v>0.88</v>
      </c>
      <c r="M3053" t="s">
        <v>46</v>
      </c>
      <c r="N3053" t="s">
        <v>7018</v>
      </c>
      <c r="O3053">
        <v>14.19</v>
      </c>
      <c r="P3053">
        <v>14</v>
      </c>
      <c r="Q3053">
        <v>14.15</v>
      </c>
      <c r="R3053">
        <v>14.14</v>
      </c>
      <c r="S3053">
        <v>1.34</v>
      </c>
      <c r="T3053">
        <v>0.51</v>
      </c>
      <c r="U3053">
        <v>2.25</v>
      </c>
      <c r="V3053">
        <v>42</v>
      </c>
      <c r="W3053">
        <v>14.11</v>
      </c>
      <c r="X3053" t="s">
        <v>2924</v>
      </c>
      <c r="Y3053" t="s">
        <v>2575</v>
      </c>
      <c r="Z3053">
        <v>1.13</v>
      </c>
      <c r="AA3053">
        <v>368</v>
      </c>
      <c r="AB3053">
        <v>145</v>
      </c>
      <c r="AC3053">
        <v>2.7</v>
      </c>
      <c r="AD3053" t="s">
        <v>15731</v>
      </c>
      <c r="AE3053" t="s">
        <v>15732</v>
      </c>
      <c r="AF3053" t="s">
        <v>15733</v>
      </c>
      <c r="AG3053" t="s">
        <v>15734</v>
      </c>
      <c r="AH3053">
        <v>-2.01</v>
      </c>
      <c r="AI3053">
        <v>-2.07</v>
      </c>
      <c r="AJ3053">
        <v>3.65</v>
      </c>
      <c r="AK3053">
        <v>9.6</v>
      </c>
      <c r="AL3053">
        <v>1</v>
      </c>
      <c r="AM3053">
        <v>0.21</v>
      </c>
      <c r="AN3053">
        <v>29.41</v>
      </c>
      <c r="AO3053">
        <v>1.5</v>
      </c>
      <c r="AP3053">
        <v>14.83</v>
      </c>
    </row>
    <row r="3054" spans="1:42">
      <c r="A3054">
        <v>3053</v>
      </c>
      <c r="B3054" t="str">
        <f>"002004"</f>
        <v>002004</v>
      </c>
      <c r="C3054" t="s">
        <v>15735</v>
      </c>
      <c r="D3054">
        <v>4.91</v>
      </c>
      <c r="E3054">
        <v>0</v>
      </c>
      <c r="F3054">
        <v>0</v>
      </c>
      <c r="G3054" t="s">
        <v>1909</v>
      </c>
      <c r="H3054">
        <v>894</v>
      </c>
      <c r="I3054">
        <v>4.91</v>
      </c>
      <c r="J3054">
        <v>4.92</v>
      </c>
      <c r="K3054" t="s">
        <v>15736</v>
      </c>
      <c r="L3054">
        <v>0.57</v>
      </c>
      <c r="M3054" t="s">
        <v>46</v>
      </c>
      <c r="N3054" t="s">
        <v>11289</v>
      </c>
      <c r="O3054">
        <v>4.95</v>
      </c>
      <c r="P3054">
        <v>4.88</v>
      </c>
      <c r="Q3054">
        <v>4.93</v>
      </c>
      <c r="R3054">
        <v>4.91</v>
      </c>
      <c r="S3054">
        <v>1.43</v>
      </c>
      <c r="T3054">
        <v>0.72</v>
      </c>
      <c r="U3054">
        <v>1.87</v>
      </c>
      <c r="V3054">
        <v>471</v>
      </c>
      <c r="W3054">
        <v>4.92</v>
      </c>
      <c r="X3054" t="s">
        <v>7400</v>
      </c>
      <c r="Y3054" t="s">
        <v>6257</v>
      </c>
      <c r="Z3054">
        <v>1.27</v>
      </c>
      <c r="AA3054">
        <v>760</v>
      </c>
      <c r="AB3054">
        <v>2342</v>
      </c>
      <c r="AC3054">
        <v>0.94</v>
      </c>
      <c r="AD3054" t="s">
        <v>15737</v>
      </c>
      <c r="AE3054" t="s">
        <v>15738</v>
      </c>
      <c r="AF3054" t="s">
        <v>423</v>
      </c>
      <c r="AG3054" t="s">
        <v>15739</v>
      </c>
      <c r="AH3054">
        <v>-1.21</v>
      </c>
      <c r="AI3054">
        <v>0.41</v>
      </c>
      <c r="AJ3054">
        <v>1.67</v>
      </c>
      <c r="AK3054">
        <v>4.5</v>
      </c>
      <c r="AL3054">
        <v>0</v>
      </c>
      <c r="AM3054">
        <v>0</v>
      </c>
      <c r="AN3054">
        <v>0.61</v>
      </c>
      <c r="AO3054">
        <v>2.51</v>
      </c>
      <c r="AP3054">
        <v>-7.88</v>
      </c>
    </row>
    <row r="3055" spans="1:42">
      <c r="A3055">
        <v>3054</v>
      </c>
      <c r="B3055" t="str">
        <f>"603599"</f>
        <v>603599</v>
      </c>
      <c r="C3055" t="s">
        <v>15740</v>
      </c>
      <c r="D3055">
        <v>16.29</v>
      </c>
      <c r="E3055">
        <v>-0.67</v>
      </c>
      <c r="F3055">
        <v>-0.11</v>
      </c>
      <c r="G3055" t="s">
        <v>5675</v>
      </c>
      <c r="H3055">
        <v>362</v>
      </c>
      <c r="I3055">
        <v>16.29</v>
      </c>
      <c r="J3055">
        <v>16.3</v>
      </c>
      <c r="K3055" t="s">
        <v>15741</v>
      </c>
      <c r="L3055">
        <v>0.35</v>
      </c>
      <c r="M3055" t="s">
        <v>46</v>
      </c>
      <c r="N3055" t="s">
        <v>13848</v>
      </c>
      <c r="O3055">
        <v>16.47</v>
      </c>
      <c r="P3055">
        <v>16.29</v>
      </c>
      <c r="Q3055">
        <v>16.43</v>
      </c>
      <c r="R3055">
        <v>16.4</v>
      </c>
      <c r="S3055">
        <v>1.1</v>
      </c>
      <c r="T3055">
        <v>0.62</v>
      </c>
      <c r="U3055">
        <v>-11.83</v>
      </c>
      <c r="V3055">
        <v>-141</v>
      </c>
      <c r="W3055">
        <v>16.38</v>
      </c>
      <c r="X3055" t="s">
        <v>1177</v>
      </c>
      <c r="Y3055" t="s">
        <v>1769</v>
      </c>
      <c r="Z3055">
        <v>1.21</v>
      </c>
      <c r="AA3055">
        <v>47</v>
      </c>
      <c r="AB3055">
        <v>131</v>
      </c>
      <c r="AC3055">
        <v>1.58</v>
      </c>
      <c r="AD3055" t="s">
        <v>15742</v>
      </c>
      <c r="AE3055" t="s">
        <v>9709</v>
      </c>
      <c r="AF3055" t="s">
        <v>15743</v>
      </c>
      <c r="AG3055" t="s">
        <v>4966</v>
      </c>
      <c r="AH3055">
        <v>0.12</v>
      </c>
      <c r="AI3055">
        <v>2.58</v>
      </c>
      <c r="AJ3055">
        <v>1.25</v>
      </c>
      <c r="AK3055">
        <v>3.2</v>
      </c>
      <c r="AL3055">
        <v>-1</v>
      </c>
      <c r="AM3055">
        <v>-0.67</v>
      </c>
      <c r="AN3055">
        <v>-19.71</v>
      </c>
      <c r="AO3055">
        <v>-1.87</v>
      </c>
      <c r="AP3055">
        <v>-21.72</v>
      </c>
    </row>
    <row r="3056" spans="1:42">
      <c r="A3056">
        <v>3055</v>
      </c>
      <c r="B3056" t="str">
        <f>"300973"</f>
        <v>300973</v>
      </c>
      <c r="C3056" t="s">
        <v>15744</v>
      </c>
      <c r="D3056">
        <v>53.91</v>
      </c>
      <c r="E3056">
        <v>-1.39</v>
      </c>
      <c r="F3056">
        <v>-0.76</v>
      </c>
      <c r="G3056">
        <v>9725</v>
      </c>
      <c r="H3056">
        <v>67</v>
      </c>
      <c r="I3056">
        <v>53.9</v>
      </c>
      <c r="J3056">
        <v>53.91</v>
      </c>
      <c r="K3056" t="s">
        <v>15741</v>
      </c>
      <c r="L3056">
        <v>1.37</v>
      </c>
      <c r="M3056" t="s">
        <v>46</v>
      </c>
      <c r="N3056" t="s">
        <v>4111</v>
      </c>
      <c r="O3056">
        <v>54.67</v>
      </c>
      <c r="P3056">
        <v>53.62</v>
      </c>
      <c r="Q3056">
        <v>54.67</v>
      </c>
      <c r="R3056">
        <v>54.67</v>
      </c>
      <c r="S3056">
        <v>1.92</v>
      </c>
      <c r="T3056">
        <v>1.05</v>
      </c>
      <c r="U3056">
        <v>-27.78</v>
      </c>
      <c r="V3056">
        <v>-20</v>
      </c>
      <c r="W3056">
        <v>53.95</v>
      </c>
      <c r="X3056">
        <v>5324</v>
      </c>
      <c r="Y3056">
        <v>4401</v>
      </c>
      <c r="Z3056">
        <v>1.21</v>
      </c>
      <c r="AA3056">
        <v>3</v>
      </c>
      <c r="AB3056">
        <v>2</v>
      </c>
      <c r="AC3056">
        <v>4.06</v>
      </c>
      <c r="AD3056" t="s">
        <v>14907</v>
      </c>
      <c r="AE3056" t="s">
        <v>15745</v>
      </c>
      <c r="AF3056" t="s">
        <v>10388</v>
      </c>
      <c r="AG3056" t="s">
        <v>15746</v>
      </c>
      <c r="AH3056">
        <v>-1.98</v>
      </c>
      <c r="AI3056">
        <v>-0.75</v>
      </c>
      <c r="AJ3056">
        <v>4.15</v>
      </c>
      <c r="AK3056">
        <v>7.87</v>
      </c>
      <c r="AL3056">
        <v>-1</v>
      </c>
      <c r="AM3056">
        <v>-1.39</v>
      </c>
      <c r="AN3056">
        <v>-43.66</v>
      </c>
      <c r="AO3056">
        <v>-2.57</v>
      </c>
      <c r="AP3056">
        <v>-37.31</v>
      </c>
    </row>
    <row r="3057" spans="1:42">
      <c r="A3057">
        <v>3056</v>
      </c>
      <c r="B3057" t="str">
        <f>"605339"</f>
        <v>605339</v>
      </c>
      <c r="C3057" t="s">
        <v>15747</v>
      </c>
      <c r="D3057">
        <v>19.79</v>
      </c>
      <c r="E3057">
        <v>-0.05</v>
      </c>
      <c r="F3057">
        <v>-0.01</v>
      </c>
      <c r="G3057" t="s">
        <v>914</v>
      </c>
      <c r="H3057">
        <v>99</v>
      </c>
      <c r="I3057">
        <v>19.78</v>
      </c>
      <c r="J3057">
        <v>19.79</v>
      </c>
      <c r="K3057" t="s">
        <v>15748</v>
      </c>
      <c r="L3057">
        <v>3.93</v>
      </c>
      <c r="M3057" t="s">
        <v>46</v>
      </c>
      <c r="N3057" t="s">
        <v>624</v>
      </c>
      <c r="O3057">
        <v>20</v>
      </c>
      <c r="P3057">
        <v>19.36</v>
      </c>
      <c r="Q3057">
        <v>19.81</v>
      </c>
      <c r="R3057">
        <v>19.8</v>
      </c>
      <c r="S3057">
        <v>3.23</v>
      </c>
      <c r="T3057">
        <v>1.92</v>
      </c>
      <c r="U3057">
        <v>-28.76</v>
      </c>
      <c r="V3057">
        <v>-156</v>
      </c>
      <c r="W3057">
        <v>19.71</v>
      </c>
      <c r="X3057" t="s">
        <v>5900</v>
      </c>
      <c r="Y3057" t="s">
        <v>4792</v>
      </c>
      <c r="Z3057">
        <v>1.16</v>
      </c>
      <c r="AA3057">
        <v>1</v>
      </c>
      <c r="AB3057">
        <v>44</v>
      </c>
      <c r="AC3057">
        <v>2.59</v>
      </c>
      <c r="AD3057" t="s">
        <v>15749</v>
      </c>
      <c r="AE3057" t="s">
        <v>15750</v>
      </c>
      <c r="AF3057" t="s">
        <v>15751</v>
      </c>
      <c r="AG3057" t="s">
        <v>8064</v>
      </c>
      <c r="AH3057">
        <v>1.02</v>
      </c>
      <c r="AI3057">
        <v>1.75</v>
      </c>
      <c r="AJ3057">
        <v>9.64</v>
      </c>
      <c r="AK3057">
        <v>14.15</v>
      </c>
      <c r="AL3057">
        <v>-1</v>
      </c>
      <c r="AM3057">
        <v>-0.05</v>
      </c>
      <c r="AN3057">
        <v>-11.85</v>
      </c>
      <c r="AO3057">
        <v>4.54</v>
      </c>
      <c r="AP3057">
        <v>-0.05</v>
      </c>
    </row>
    <row r="3058" spans="1:42">
      <c r="A3058">
        <v>3057</v>
      </c>
      <c r="B3058" t="str">
        <f>"300819"</f>
        <v>300819</v>
      </c>
      <c r="C3058" t="s">
        <v>15752</v>
      </c>
      <c r="D3058">
        <v>16.27</v>
      </c>
      <c r="E3058">
        <v>2.13</v>
      </c>
      <c r="F3058">
        <v>0.34</v>
      </c>
      <c r="G3058" t="s">
        <v>8329</v>
      </c>
      <c r="H3058">
        <v>864</v>
      </c>
      <c r="I3058">
        <v>16.26</v>
      </c>
      <c r="J3058">
        <v>16.27</v>
      </c>
      <c r="K3058" t="s">
        <v>15748</v>
      </c>
      <c r="L3058">
        <v>2.39</v>
      </c>
      <c r="M3058" t="s">
        <v>46</v>
      </c>
      <c r="N3058" t="s">
        <v>2518</v>
      </c>
      <c r="O3058">
        <v>16.48</v>
      </c>
      <c r="P3058">
        <v>15.85</v>
      </c>
      <c r="Q3058">
        <v>16.01</v>
      </c>
      <c r="R3058">
        <v>15.93</v>
      </c>
      <c r="S3058">
        <v>3.95</v>
      </c>
      <c r="T3058">
        <v>1.88</v>
      </c>
      <c r="U3058">
        <v>-49.31</v>
      </c>
      <c r="V3058">
        <v>-701</v>
      </c>
      <c r="W3058">
        <v>16.27</v>
      </c>
      <c r="X3058" t="s">
        <v>7178</v>
      </c>
      <c r="Y3058" t="s">
        <v>5997</v>
      </c>
      <c r="Z3058">
        <v>0.92</v>
      </c>
      <c r="AA3058">
        <v>73</v>
      </c>
      <c r="AB3058">
        <v>950</v>
      </c>
      <c r="AC3058">
        <v>2.83</v>
      </c>
      <c r="AD3058" t="s">
        <v>15753</v>
      </c>
      <c r="AE3058" t="s">
        <v>15313</v>
      </c>
      <c r="AF3058" t="s">
        <v>15754</v>
      </c>
      <c r="AG3058" t="s">
        <v>15755</v>
      </c>
      <c r="AH3058">
        <v>1.24</v>
      </c>
      <c r="AI3058">
        <v>2.78</v>
      </c>
      <c r="AJ3058">
        <v>4.72</v>
      </c>
      <c r="AK3058">
        <v>8.77</v>
      </c>
      <c r="AL3058">
        <v>1</v>
      </c>
      <c r="AM3058">
        <v>2.13</v>
      </c>
      <c r="AN3058">
        <v>13.62</v>
      </c>
      <c r="AO3058">
        <v>5.38</v>
      </c>
      <c r="AP3058">
        <v>7.04</v>
      </c>
    </row>
    <row r="3059" spans="1:42">
      <c r="A3059">
        <v>3058</v>
      </c>
      <c r="B3059" t="str">
        <f>"601869"</f>
        <v>601869</v>
      </c>
      <c r="C3059" t="s">
        <v>15756</v>
      </c>
      <c r="D3059">
        <v>29.4</v>
      </c>
      <c r="E3059">
        <v>1.07</v>
      </c>
      <c r="F3059">
        <v>0.31</v>
      </c>
      <c r="G3059" t="s">
        <v>1255</v>
      </c>
      <c r="H3059">
        <v>202</v>
      </c>
      <c r="I3059">
        <v>29.39</v>
      </c>
      <c r="J3059">
        <v>29.4</v>
      </c>
      <c r="K3059" t="s">
        <v>15757</v>
      </c>
      <c r="L3059">
        <v>0.44</v>
      </c>
      <c r="M3059" t="s">
        <v>46</v>
      </c>
      <c r="N3059" t="s">
        <v>8596</v>
      </c>
      <c r="O3059">
        <v>29.52</v>
      </c>
      <c r="P3059">
        <v>28.96</v>
      </c>
      <c r="Q3059">
        <v>29</v>
      </c>
      <c r="R3059">
        <v>29.09</v>
      </c>
      <c r="S3059">
        <v>1.93</v>
      </c>
      <c r="T3059">
        <v>0.89</v>
      </c>
      <c r="U3059">
        <v>-15.56</v>
      </c>
      <c r="V3059">
        <v>-42</v>
      </c>
      <c r="W3059">
        <v>29.27</v>
      </c>
      <c r="X3059">
        <v>7576</v>
      </c>
      <c r="Y3059" t="s">
        <v>1154</v>
      </c>
      <c r="Z3059">
        <v>0.73</v>
      </c>
      <c r="AA3059">
        <v>2</v>
      </c>
      <c r="AB3059">
        <v>11</v>
      </c>
      <c r="AC3059">
        <v>1.95</v>
      </c>
      <c r="AD3059" t="s">
        <v>15758</v>
      </c>
      <c r="AE3059" t="s">
        <v>15759</v>
      </c>
      <c r="AF3059" t="s">
        <v>7546</v>
      </c>
      <c r="AG3059" t="s">
        <v>7064</v>
      </c>
      <c r="AH3059">
        <v>-1.64</v>
      </c>
      <c r="AI3059">
        <v>-2.13</v>
      </c>
      <c r="AJ3059">
        <v>1.48</v>
      </c>
      <c r="AK3059">
        <v>2.91</v>
      </c>
      <c r="AL3059">
        <v>1</v>
      </c>
      <c r="AM3059">
        <v>1.07</v>
      </c>
      <c r="AN3059">
        <v>-8.61</v>
      </c>
      <c r="AO3059">
        <v>0.58</v>
      </c>
      <c r="AP3059">
        <v>-15.83</v>
      </c>
    </row>
    <row r="3060" spans="1:42">
      <c r="A3060">
        <v>3059</v>
      </c>
      <c r="B3060" t="str">
        <f>"688200"</f>
        <v>688200</v>
      </c>
      <c r="C3060" t="s">
        <v>15760</v>
      </c>
      <c r="D3060">
        <v>124.45</v>
      </c>
      <c r="E3060">
        <v>-0.1</v>
      </c>
      <c r="F3060">
        <v>-0.13</v>
      </c>
      <c r="G3060">
        <v>4230</v>
      </c>
      <c r="H3060">
        <v>60</v>
      </c>
      <c r="I3060">
        <v>124.45</v>
      </c>
      <c r="J3060">
        <v>124.57</v>
      </c>
      <c r="K3060" t="s">
        <v>15761</v>
      </c>
      <c r="L3060">
        <v>0.31</v>
      </c>
      <c r="M3060" t="s">
        <v>46</v>
      </c>
      <c r="N3060" t="s">
        <v>6625</v>
      </c>
      <c r="O3060">
        <v>125.45</v>
      </c>
      <c r="P3060">
        <v>122.61</v>
      </c>
      <c r="Q3060">
        <v>124.94</v>
      </c>
      <c r="R3060">
        <v>124.58</v>
      </c>
      <c r="S3060">
        <v>2.28</v>
      </c>
      <c r="T3060">
        <v>0.79</v>
      </c>
      <c r="U3060">
        <v>-25.51</v>
      </c>
      <c r="V3060">
        <v>-8</v>
      </c>
      <c r="W3060">
        <v>123.96</v>
      </c>
      <c r="X3060">
        <v>1948</v>
      </c>
      <c r="Y3060">
        <v>2281</v>
      </c>
      <c r="Z3060">
        <v>0.85</v>
      </c>
      <c r="AA3060">
        <v>3</v>
      </c>
      <c r="AB3060">
        <v>6</v>
      </c>
      <c r="AC3060">
        <v>5.12</v>
      </c>
      <c r="AD3060" t="s">
        <v>8609</v>
      </c>
      <c r="AE3060" t="s">
        <v>15762</v>
      </c>
      <c r="AF3060" t="s">
        <v>8609</v>
      </c>
      <c r="AG3060" t="s">
        <v>15762</v>
      </c>
      <c r="AH3060">
        <v>-2.28</v>
      </c>
      <c r="AI3060">
        <v>-3.27</v>
      </c>
      <c r="AJ3060">
        <v>1.1</v>
      </c>
      <c r="AK3060">
        <v>2.29</v>
      </c>
      <c r="AL3060">
        <v>-3</v>
      </c>
      <c r="AM3060">
        <v>-0.1</v>
      </c>
      <c r="AN3060">
        <v>-33.04</v>
      </c>
      <c r="AO3060">
        <v>-1.25</v>
      </c>
      <c r="AP3060">
        <v>-27.92</v>
      </c>
    </row>
    <row r="3061" spans="1:42">
      <c r="A3061">
        <v>3060</v>
      </c>
      <c r="B3061" t="str">
        <f>"000554"</f>
        <v>000554</v>
      </c>
      <c r="C3061" t="s">
        <v>15763</v>
      </c>
      <c r="D3061">
        <v>5.9</v>
      </c>
      <c r="E3061">
        <v>-0.51</v>
      </c>
      <c r="F3061">
        <v>-0.03</v>
      </c>
      <c r="G3061" t="s">
        <v>1063</v>
      </c>
      <c r="H3061">
        <v>1682</v>
      </c>
      <c r="I3061">
        <v>5.89</v>
      </c>
      <c r="J3061">
        <v>5.9</v>
      </c>
      <c r="K3061" t="s">
        <v>15764</v>
      </c>
      <c r="L3061">
        <v>2.44</v>
      </c>
      <c r="M3061" t="s">
        <v>46</v>
      </c>
      <c r="N3061" t="s">
        <v>15765</v>
      </c>
      <c r="O3061">
        <v>5.95</v>
      </c>
      <c r="P3061">
        <v>5.87</v>
      </c>
      <c r="Q3061">
        <v>5.94</v>
      </c>
      <c r="R3061">
        <v>5.93</v>
      </c>
      <c r="S3061">
        <v>1.35</v>
      </c>
      <c r="T3061">
        <v>0.99</v>
      </c>
      <c r="U3061">
        <v>9.19</v>
      </c>
      <c r="V3061">
        <v>932</v>
      </c>
      <c r="W3061">
        <v>5.91</v>
      </c>
      <c r="X3061" t="s">
        <v>2984</v>
      </c>
      <c r="Y3061" t="s">
        <v>1806</v>
      </c>
      <c r="Z3061">
        <v>1.58</v>
      </c>
      <c r="AA3061">
        <v>769</v>
      </c>
      <c r="AB3061">
        <v>89</v>
      </c>
      <c r="AC3061">
        <v>2.99</v>
      </c>
      <c r="AD3061" t="s">
        <v>15766</v>
      </c>
      <c r="AE3061" t="s">
        <v>11930</v>
      </c>
      <c r="AF3061" t="s">
        <v>14752</v>
      </c>
      <c r="AG3061" t="s">
        <v>11540</v>
      </c>
      <c r="AH3061">
        <v>-2.16</v>
      </c>
      <c r="AI3061">
        <v>-2.32</v>
      </c>
      <c r="AJ3061">
        <v>7.03</v>
      </c>
      <c r="AK3061">
        <v>14.78</v>
      </c>
      <c r="AL3061">
        <v>-3</v>
      </c>
      <c r="AM3061">
        <v>-0.51</v>
      </c>
      <c r="AN3061">
        <v>6.88</v>
      </c>
      <c r="AO3061">
        <v>0.85</v>
      </c>
      <c r="AP3061">
        <v>10.49</v>
      </c>
    </row>
    <row r="3062" spans="1:42">
      <c r="A3062">
        <v>3061</v>
      </c>
      <c r="B3062" t="str">
        <f>"600657"</f>
        <v>600657</v>
      </c>
      <c r="C3062" t="s">
        <v>15767</v>
      </c>
      <c r="D3062">
        <v>3.92</v>
      </c>
      <c r="E3062">
        <v>1.03</v>
      </c>
      <c r="F3062">
        <v>0.04</v>
      </c>
      <c r="G3062" t="s">
        <v>1759</v>
      </c>
      <c r="H3062">
        <v>698</v>
      </c>
      <c r="I3062">
        <v>3.92</v>
      </c>
      <c r="J3062">
        <v>3.93</v>
      </c>
      <c r="K3062" t="s">
        <v>15768</v>
      </c>
      <c r="L3062">
        <v>0.47</v>
      </c>
      <c r="M3062" t="s">
        <v>46</v>
      </c>
      <c r="N3062" t="s">
        <v>12295</v>
      </c>
      <c r="O3062">
        <v>3.98</v>
      </c>
      <c r="P3062">
        <v>3.88</v>
      </c>
      <c r="Q3062">
        <v>3.88</v>
      </c>
      <c r="R3062">
        <v>3.88</v>
      </c>
      <c r="S3062">
        <v>2.58</v>
      </c>
      <c r="T3062">
        <v>0.76</v>
      </c>
      <c r="U3062">
        <v>-5.37</v>
      </c>
      <c r="V3062">
        <v>-1157</v>
      </c>
      <c r="W3062">
        <v>3.93</v>
      </c>
      <c r="X3062" t="s">
        <v>3828</v>
      </c>
      <c r="Y3062" t="s">
        <v>2359</v>
      </c>
      <c r="Z3062">
        <v>0.98</v>
      </c>
      <c r="AA3062">
        <v>1147</v>
      </c>
      <c r="AB3062">
        <v>2077</v>
      </c>
      <c r="AC3062">
        <v>0.46</v>
      </c>
      <c r="AD3062" t="s">
        <v>13096</v>
      </c>
      <c r="AE3062" t="s">
        <v>13654</v>
      </c>
      <c r="AF3062" t="s">
        <v>13096</v>
      </c>
      <c r="AG3062" t="s">
        <v>13654</v>
      </c>
      <c r="AH3062">
        <v>-2.24</v>
      </c>
      <c r="AI3062">
        <v>-6.67</v>
      </c>
      <c r="AJ3062">
        <v>1.34</v>
      </c>
      <c r="AK3062">
        <v>3.53</v>
      </c>
      <c r="AL3062">
        <v>1</v>
      </c>
      <c r="AM3062">
        <v>1.03</v>
      </c>
      <c r="AN3062">
        <v>-23.14</v>
      </c>
      <c r="AO3062">
        <v>-4.16</v>
      </c>
      <c r="AP3062">
        <v>-16.24</v>
      </c>
    </row>
    <row r="3063" spans="1:42">
      <c r="A3063">
        <v>3062</v>
      </c>
      <c r="B3063" t="str">
        <f>"300163"</f>
        <v>300163</v>
      </c>
      <c r="C3063" t="s">
        <v>15769</v>
      </c>
      <c r="D3063">
        <v>3.9</v>
      </c>
      <c r="E3063">
        <v>1.04</v>
      </c>
      <c r="F3063">
        <v>0.04</v>
      </c>
      <c r="G3063" t="s">
        <v>4247</v>
      </c>
      <c r="H3063">
        <v>1093</v>
      </c>
      <c r="I3063">
        <v>3.89</v>
      </c>
      <c r="J3063">
        <v>3.9</v>
      </c>
      <c r="K3063" t="s">
        <v>15770</v>
      </c>
      <c r="L3063">
        <v>3.23</v>
      </c>
      <c r="M3063" t="s">
        <v>46</v>
      </c>
      <c r="N3063" t="s">
        <v>7215</v>
      </c>
      <c r="O3063">
        <v>3.93</v>
      </c>
      <c r="P3063">
        <v>3.83</v>
      </c>
      <c r="Q3063">
        <v>3.87</v>
      </c>
      <c r="R3063">
        <v>3.86</v>
      </c>
      <c r="S3063">
        <v>2.59</v>
      </c>
      <c r="T3063">
        <v>0.88</v>
      </c>
      <c r="U3063">
        <v>-64.54</v>
      </c>
      <c r="V3063" t="s">
        <v>5856</v>
      </c>
      <c r="W3063">
        <v>3.89</v>
      </c>
      <c r="X3063" t="s">
        <v>3462</v>
      </c>
      <c r="Y3063" t="s">
        <v>6058</v>
      </c>
      <c r="Z3063">
        <v>1.08</v>
      </c>
      <c r="AA3063">
        <v>15</v>
      </c>
      <c r="AB3063">
        <v>2833</v>
      </c>
      <c r="AC3063">
        <v>3.13</v>
      </c>
      <c r="AD3063" t="s">
        <v>15771</v>
      </c>
      <c r="AE3063" t="s">
        <v>7599</v>
      </c>
      <c r="AF3063" t="s">
        <v>15772</v>
      </c>
      <c r="AG3063" t="s">
        <v>532</v>
      </c>
      <c r="AH3063">
        <v>-0.26</v>
      </c>
      <c r="AI3063">
        <v>-0.76</v>
      </c>
      <c r="AJ3063">
        <v>10.13</v>
      </c>
      <c r="AK3063">
        <v>21.56</v>
      </c>
      <c r="AL3063">
        <v>1</v>
      </c>
      <c r="AM3063">
        <v>1.04</v>
      </c>
      <c r="AN3063">
        <v>26.21</v>
      </c>
      <c r="AO3063">
        <v>-0.26</v>
      </c>
      <c r="AP3063">
        <v>13.04</v>
      </c>
    </row>
    <row r="3064" spans="1:42">
      <c r="A3064">
        <v>3063</v>
      </c>
      <c r="B3064" t="str">
        <f>"000965"</f>
        <v>000965</v>
      </c>
      <c r="C3064" t="s">
        <v>15773</v>
      </c>
      <c r="D3064">
        <v>3.45</v>
      </c>
      <c r="E3064">
        <v>2.68</v>
      </c>
      <c r="F3064">
        <v>0.09</v>
      </c>
      <c r="G3064" t="s">
        <v>978</v>
      </c>
      <c r="H3064">
        <v>1344</v>
      </c>
      <c r="I3064">
        <v>3.44</v>
      </c>
      <c r="J3064">
        <v>3.45</v>
      </c>
      <c r="K3064" t="s">
        <v>15774</v>
      </c>
      <c r="L3064">
        <v>1.37</v>
      </c>
      <c r="M3064" t="s">
        <v>46</v>
      </c>
      <c r="N3064" t="s">
        <v>208</v>
      </c>
      <c r="O3064">
        <v>3.46</v>
      </c>
      <c r="P3064">
        <v>3.35</v>
      </c>
      <c r="Q3064">
        <v>3.39</v>
      </c>
      <c r="R3064">
        <v>3.36</v>
      </c>
      <c r="S3064">
        <v>3.27</v>
      </c>
      <c r="T3064">
        <v>0.83</v>
      </c>
      <c r="U3064">
        <v>-3.93</v>
      </c>
      <c r="V3064">
        <v>-875</v>
      </c>
      <c r="W3064">
        <v>3.43</v>
      </c>
      <c r="X3064" t="s">
        <v>4584</v>
      </c>
      <c r="Y3064" t="s">
        <v>3463</v>
      </c>
      <c r="Z3064">
        <v>0.6</v>
      </c>
      <c r="AA3064">
        <v>4680</v>
      </c>
      <c r="AB3064">
        <v>2062</v>
      </c>
      <c r="AC3064">
        <v>0.72</v>
      </c>
      <c r="AD3064" t="s">
        <v>11086</v>
      </c>
      <c r="AE3064" t="s">
        <v>15775</v>
      </c>
      <c r="AF3064" t="s">
        <v>11086</v>
      </c>
      <c r="AG3064" t="s">
        <v>15775</v>
      </c>
      <c r="AH3064">
        <v>-1.71</v>
      </c>
      <c r="AI3064">
        <v>-4.96</v>
      </c>
      <c r="AJ3064">
        <v>4.03</v>
      </c>
      <c r="AK3064">
        <v>9.69</v>
      </c>
      <c r="AL3064">
        <v>1</v>
      </c>
      <c r="AM3064">
        <v>2.68</v>
      </c>
      <c r="AN3064">
        <v>-26.44</v>
      </c>
      <c r="AO3064">
        <v>2.68</v>
      </c>
      <c r="AP3064">
        <v>-25.32</v>
      </c>
    </row>
    <row r="3065" spans="1:42">
      <c r="A3065">
        <v>3064</v>
      </c>
      <c r="B3065" t="str">
        <f>"000823"</f>
        <v>000823</v>
      </c>
      <c r="C3065" t="s">
        <v>15776</v>
      </c>
      <c r="D3065">
        <v>9.66</v>
      </c>
      <c r="E3065">
        <v>0.63</v>
      </c>
      <c r="F3065">
        <v>0.06</v>
      </c>
      <c r="G3065" t="s">
        <v>5316</v>
      </c>
      <c r="H3065">
        <v>107</v>
      </c>
      <c r="I3065">
        <v>9.65</v>
      </c>
      <c r="J3065">
        <v>9.66</v>
      </c>
      <c r="K3065" t="s">
        <v>15777</v>
      </c>
      <c r="L3065">
        <v>1.01</v>
      </c>
      <c r="M3065" t="s">
        <v>46</v>
      </c>
      <c r="N3065" t="s">
        <v>6587</v>
      </c>
      <c r="O3065">
        <v>9.7</v>
      </c>
      <c r="P3065">
        <v>9.45</v>
      </c>
      <c r="Q3065">
        <v>9.58</v>
      </c>
      <c r="R3065">
        <v>9.6</v>
      </c>
      <c r="S3065">
        <v>2.6</v>
      </c>
      <c r="T3065">
        <v>0.97</v>
      </c>
      <c r="U3065">
        <v>-8.32</v>
      </c>
      <c r="V3065">
        <v>-358</v>
      </c>
      <c r="W3065">
        <v>9.6</v>
      </c>
      <c r="X3065" t="s">
        <v>5444</v>
      </c>
      <c r="Y3065" t="s">
        <v>8952</v>
      </c>
      <c r="Z3065">
        <v>0.98</v>
      </c>
      <c r="AA3065">
        <v>984</v>
      </c>
      <c r="AB3065">
        <v>217</v>
      </c>
      <c r="AC3065">
        <v>1.17</v>
      </c>
      <c r="AD3065" t="s">
        <v>15778</v>
      </c>
      <c r="AE3065" t="s">
        <v>15779</v>
      </c>
      <c r="AF3065" t="s">
        <v>15780</v>
      </c>
      <c r="AG3065" t="s">
        <v>15779</v>
      </c>
      <c r="AH3065">
        <v>-0.82</v>
      </c>
      <c r="AI3065">
        <v>-0.62</v>
      </c>
      <c r="AJ3065">
        <v>2.98</v>
      </c>
      <c r="AK3065">
        <v>6.24</v>
      </c>
      <c r="AL3065">
        <v>1</v>
      </c>
      <c r="AM3065">
        <v>0.63</v>
      </c>
      <c r="AN3065">
        <v>5.11</v>
      </c>
      <c r="AO3065">
        <v>1.79</v>
      </c>
      <c r="AP3065">
        <v>-2.23</v>
      </c>
    </row>
    <row r="3066" spans="1:42">
      <c r="A3066">
        <v>3065</v>
      </c>
      <c r="B3066" t="str">
        <f>"300786"</f>
        <v>300786</v>
      </c>
      <c r="C3066" t="s">
        <v>15781</v>
      </c>
      <c r="D3066">
        <v>20.38</v>
      </c>
      <c r="E3066">
        <v>0.54</v>
      </c>
      <c r="F3066">
        <v>0.11</v>
      </c>
      <c r="G3066" t="s">
        <v>1077</v>
      </c>
      <c r="H3066">
        <v>290</v>
      </c>
      <c r="I3066">
        <v>20.38</v>
      </c>
      <c r="J3066">
        <v>20.4</v>
      </c>
      <c r="K3066" t="s">
        <v>15782</v>
      </c>
      <c r="L3066">
        <v>1.87</v>
      </c>
      <c r="M3066" t="s">
        <v>46</v>
      </c>
      <c r="N3066" t="s">
        <v>5518</v>
      </c>
      <c r="O3066">
        <v>20.48</v>
      </c>
      <c r="P3066">
        <v>20</v>
      </c>
      <c r="Q3066">
        <v>20.24</v>
      </c>
      <c r="R3066">
        <v>20.27</v>
      </c>
      <c r="S3066">
        <v>2.37</v>
      </c>
      <c r="T3066">
        <v>0.69</v>
      </c>
      <c r="U3066">
        <v>-19.66</v>
      </c>
      <c r="V3066">
        <v>-93</v>
      </c>
      <c r="W3066">
        <v>20.26</v>
      </c>
      <c r="X3066" t="s">
        <v>209</v>
      </c>
      <c r="Y3066" t="s">
        <v>1427</v>
      </c>
      <c r="Z3066">
        <v>0.99</v>
      </c>
      <c r="AA3066">
        <v>3</v>
      </c>
      <c r="AB3066">
        <v>52</v>
      </c>
      <c r="AC3066">
        <v>3.02</v>
      </c>
      <c r="AD3066" t="s">
        <v>14478</v>
      </c>
      <c r="AE3066" t="s">
        <v>11639</v>
      </c>
      <c r="AF3066" t="s">
        <v>15783</v>
      </c>
      <c r="AG3066" t="s">
        <v>15784</v>
      </c>
      <c r="AH3066">
        <v>0.05</v>
      </c>
      <c r="AI3066">
        <v>0.54</v>
      </c>
      <c r="AJ3066">
        <v>6.74</v>
      </c>
      <c r="AK3066">
        <v>15.36</v>
      </c>
      <c r="AL3066">
        <v>1</v>
      </c>
      <c r="AM3066">
        <v>0.54</v>
      </c>
      <c r="AN3066">
        <v>32.6</v>
      </c>
      <c r="AO3066">
        <v>4.57</v>
      </c>
      <c r="AP3066">
        <v>17.6</v>
      </c>
    </row>
    <row r="3067" spans="1:42">
      <c r="A3067">
        <v>3066</v>
      </c>
      <c r="B3067" t="str">
        <f>"688079"</f>
        <v>688079</v>
      </c>
      <c r="C3067" t="s">
        <v>15785</v>
      </c>
      <c r="D3067">
        <v>11.75</v>
      </c>
      <c r="E3067">
        <v>2.09</v>
      </c>
      <c r="F3067">
        <v>0.24</v>
      </c>
      <c r="G3067" t="s">
        <v>843</v>
      </c>
      <c r="H3067">
        <v>823</v>
      </c>
      <c r="I3067">
        <v>11.74</v>
      </c>
      <c r="J3067">
        <v>11.75</v>
      </c>
      <c r="K3067" t="s">
        <v>15786</v>
      </c>
      <c r="L3067">
        <v>2.52</v>
      </c>
      <c r="M3067" t="s">
        <v>46</v>
      </c>
      <c r="N3067" t="s">
        <v>5940</v>
      </c>
      <c r="O3067">
        <v>11.86</v>
      </c>
      <c r="P3067">
        <v>11.35</v>
      </c>
      <c r="Q3067">
        <v>11.54</v>
      </c>
      <c r="R3067">
        <v>11.51</v>
      </c>
      <c r="S3067">
        <v>4.43</v>
      </c>
      <c r="T3067">
        <v>0.67</v>
      </c>
      <c r="U3067">
        <v>23.62</v>
      </c>
      <c r="V3067">
        <v>338</v>
      </c>
      <c r="W3067">
        <v>11.64</v>
      </c>
      <c r="X3067" t="s">
        <v>5592</v>
      </c>
      <c r="Y3067" t="s">
        <v>3328</v>
      </c>
      <c r="Z3067">
        <v>0.88</v>
      </c>
      <c r="AA3067">
        <v>25</v>
      </c>
      <c r="AB3067">
        <v>68</v>
      </c>
      <c r="AC3067">
        <v>3.18</v>
      </c>
      <c r="AD3067" t="s">
        <v>15787</v>
      </c>
      <c r="AE3067" t="s">
        <v>6006</v>
      </c>
      <c r="AF3067" t="s">
        <v>15788</v>
      </c>
      <c r="AG3067" t="s">
        <v>15789</v>
      </c>
      <c r="AH3067">
        <v>-2.89</v>
      </c>
      <c r="AI3067">
        <v>1.56</v>
      </c>
      <c r="AJ3067">
        <v>8.94</v>
      </c>
      <c r="AK3067">
        <v>21.28</v>
      </c>
      <c r="AL3067">
        <v>1</v>
      </c>
      <c r="AM3067">
        <v>2.09</v>
      </c>
      <c r="AN3067">
        <v>36.79</v>
      </c>
      <c r="AO3067">
        <v>4.82</v>
      </c>
      <c r="AP3067">
        <v>20.88</v>
      </c>
    </row>
    <row r="3068" spans="1:42">
      <c r="A3068">
        <v>3067</v>
      </c>
      <c r="B3068" t="str">
        <f>"002895"</f>
        <v>002895</v>
      </c>
      <c r="C3068" t="s">
        <v>15790</v>
      </c>
      <c r="D3068">
        <v>18.6</v>
      </c>
      <c r="E3068">
        <v>-1.64</v>
      </c>
      <c r="F3068">
        <v>-0.31</v>
      </c>
      <c r="G3068" t="s">
        <v>7028</v>
      </c>
      <c r="H3068">
        <v>562</v>
      </c>
      <c r="I3068">
        <v>18.59</v>
      </c>
      <c r="J3068">
        <v>18.6</v>
      </c>
      <c r="K3068" t="s">
        <v>15791</v>
      </c>
      <c r="L3068">
        <v>0.56</v>
      </c>
      <c r="M3068" t="s">
        <v>46</v>
      </c>
      <c r="N3068" t="s">
        <v>2693</v>
      </c>
      <c r="O3068">
        <v>18.9</v>
      </c>
      <c r="P3068">
        <v>18.5</v>
      </c>
      <c r="Q3068">
        <v>18.9</v>
      </c>
      <c r="R3068">
        <v>18.91</v>
      </c>
      <c r="S3068">
        <v>2.12</v>
      </c>
      <c r="T3068">
        <v>0.83</v>
      </c>
      <c r="U3068">
        <v>-23.76</v>
      </c>
      <c r="V3068">
        <v>-149</v>
      </c>
      <c r="W3068">
        <v>18.61</v>
      </c>
      <c r="X3068" t="s">
        <v>876</v>
      </c>
      <c r="Y3068" t="s">
        <v>218</v>
      </c>
      <c r="Z3068">
        <v>1.63</v>
      </c>
      <c r="AA3068">
        <v>44</v>
      </c>
      <c r="AB3068">
        <v>172</v>
      </c>
      <c r="AC3068">
        <v>2.06</v>
      </c>
      <c r="AD3068" t="s">
        <v>15792</v>
      </c>
      <c r="AE3068" t="s">
        <v>15793</v>
      </c>
      <c r="AF3068" t="s">
        <v>15794</v>
      </c>
      <c r="AG3068" t="s">
        <v>15795</v>
      </c>
      <c r="AH3068">
        <v>-2.57</v>
      </c>
      <c r="AI3068">
        <v>-2.31</v>
      </c>
      <c r="AJ3068">
        <v>1.92</v>
      </c>
      <c r="AK3068">
        <v>3.95</v>
      </c>
      <c r="AL3068">
        <v>-3</v>
      </c>
      <c r="AM3068">
        <v>-1.64</v>
      </c>
      <c r="AN3068">
        <v>-26.69</v>
      </c>
      <c r="AO3068">
        <v>0.65</v>
      </c>
      <c r="AP3068">
        <v>-19.9</v>
      </c>
    </row>
    <row r="3069" spans="1:42">
      <c r="A3069">
        <v>3068</v>
      </c>
      <c r="B3069" t="str">
        <f>"601399"</f>
        <v>601399</v>
      </c>
      <c r="C3069" t="s">
        <v>15796</v>
      </c>
      <c r="D3069">
        <v>2.93</v>
      </c>
      <c r="E3069">
        <v>0.69</v>
      </c>
      <c r="F3069">
        <v>0.02</v>
      </c>
      <c r="G3069" t="s">
        <v>1196</v>
      </c>
      <c r="H3069">
        <v>8293</v>
      </c>
      <c r="I3069">
        <v>2.92</v>
      </c>
      <c r="J3069">
        <v>2.93</v>
      </c>
      <c r="K3069" t="s">
        <v>15797</v>
      </c>
      <c r="L3069">
        <v>0.25</v>
      </c>
      <c r="M3069" t="s">
        <v>46</v>
      </c>
      <c r="N3069" t="s">
        <v>15798</v>
      </c>
      <c r="O3069">
        <v>2.93</v>
      </c>
      <c r="P3069">
        <v>2.9</v>
      </c>
      <c r="Q3069">
        <v>2.92</v>
      </c>
      <c r="R3069">
        <v>2.91</v>
      </c>
      <c r="S3069">
        <v>1.03</v>
      </c>
      <c r="T3069">
        <v>1.17</v>
      </c>
      <c r="U3069">
        <v>-27.88</v>
      </c>
      <c r="V3069" t="s">
        <v>13154</v>
      </c>
      <c r="W3069">
        <v>2.92</v>
      </c>
      <c r="X3069" t="s">
        <v>3402</v>
      </c>
      <c r="Y3069" t="s">
        <v>3750</v>
      </c>
      <c r="Z3069">
        <v>1.35</v>
      </c>
      <c r="AA3069">
        <v>3342</v>
      </c>
      <c r="AB3069">
        <v>3193</v>
      </c>
      <c r="AC3069">
        <v>1.52</v>
      </c>
      <c r="AD3069" t="s">
        <v>15799</v>
      </c>
      <c r="AE3069" t="s">
        <v>6486</v>
      </c>
      <c r="AF3069" t="s">
        <v>15799</v>
      </c>
      <c r="AG3069" t="s">
        <v>6486</v>
      </c>
      <c r="AH3069">
        <v>-1.01</v>
      </c>
      <c r="AI3069">
        <v>-1.68</v>
      </c>
      <c r="AJ3069">
        <v>0.58</v>
      </c>
      <c r="AK3069">
        <v>1.31</v>
      </c>
      <c r="AL3069">
        <v>1</v>
      </c>
      <c r="AM3069">
        <v>0.69</v>
      </c>
      <c r="AN3069">
        <v>-2.98</v>
      </c>
      <c r="AO3069">
        <v>-2.33</v>
      </c>
      <c r="AP3069">
        <v>-7.57</v>
      </c>
    </row>
    <row r="3070" spans="1:42">
      <c r="A3070">
        <v>3069</v>
      </c>
      <c r="B3070" t="str">
        <f>"600035"</f>
        <v>600035</v>
      </c>
      <c r="C3070" t="s">
        <v>15800</v>
      </c>
      <c r="D3070">
        <v>4</v>
      </c>
      <c r="E3070">
        <v>1.01</v>
      </c>
      <c r="F3070">
        <v>0.04</v>
      </c>
      <c r="G3070" t="s">
        <v>830</v>
      </c>
      <c r="H3070">
        <v>411</v>
      </c>
      <c r="I3070">
        <v>3.99</v>
      </c>
      <c r="J3070">
        <v>4</v>
      </c>
      <c r="K3070" t="s">
        <v>15801</v>
      </c>
      <c r="L3070">
        <v>0.81</v>
      </c>
      <c r="M3070" t="s">
        <v>46</v>
      </c>
      <c r="N3070" t="s">
        <v>2212</v>
      </c>
      <c r="O3070">
        <v>4.02</v>
      </c>
      <c r="P3070">
        <v>3.94</v>
      </c>
      <c r="Q3070">
        <v>3.96</v>
      </c>
      <c r="R3070">
        <v>3.96</v>
      </c>
      <c r="S3070">
        <v>2.02</v>
      </c>
      <c r="T3070">
        <v>1.29</v>
      </c>
      <c r="U3070">
        <v>-65.39</v>
      </c>
      <c r="V3070" t="s">
        <v>15802</v>
      </c>
      <c r="W3070">
        <v>3.99</v>
      </c>
      <c r="X3070" t="s">
        <v>1038</v>
      </c>
      <c r="Y3070" t="s">
        <v>3539</v>
      </c>
      <c r="Z3070">
        <v>0.74</v>
      </c>
      <c r="AA3070">
        <v>398</v>
      </c>
      <c r="AB3070">
        <v>6872</v>
      </c>
      <c r="AC3070">
        <v>0.8</v>
      </c>
      <c r="AD3070" t="s">
        <v>15803</v>
      </c>
      <c r="AE3070" t="s">
        <v>9809</v>
      </c>
      <c r="AF3070" t="s">
        <v>15803</v>
      </c>
      <c r="AG3070" t="s">
        <v>9809</v>
      </c>
      <c r="AH3070">
        <v>1.01</v>
      </c>
      <c r="AI3070">
        <v>1.27</v>
      </c>
      <c r="AJ3070">
        <v>1.79</v>
      </c>
      <c r="AK3070">
        <v>3.94</v>
      </c>
      <c r="AL3070">
        <v>2</v>
      </c>
      <c r="AM3070">
        <v>1.01</v>
      </c>
      <c r="AN3070">
        <v>23.08</v>
      </c>
      <c r="AO3070">
        <v>3.9</v>
      </c>
      <c r="AP3070">
        <v>30.72</v>
      </c>
    </row>
    <row r="3071" spans="1:42">
      <c r="A3071">
        <v>3070</v>
      </c>
      <c r="B3071" t="str">
        <f>"300332"</f>
        <v>300332</v>
      </c>
      <c r="C3071" t="s">
        <v>15804</v>
      </c>
      <c r="D3071">
        <v>8.15</v>
      </c>
      <c r="E3071">
        <v>-1.33</v>
      </c>
      <c r="F3071">
        <v>-0.11</v>
      </c>
      <c r="G3071" t="s">
        <v>3642</v>
      </c>
      <c r="H3071">
        <v>663</v>
      </c>
      <c r="I3071">
        <v>8.14</v>
      </c>
      <c r="J3071">
        <v>8.15</v>
      </c>
      <c r="K3071" t="s">
        <v>15805</v>
      </c>
      <c r="L3071">
        <v>0.75</v>
      </c>
      <c r="M3071" t="s">
        <v>46</v>
      </c>
      <c r="N3071" t="s">
        <v>4457</v>
      </c>
      <c r="O3071">
        <v>8.3</v>
      </c>
      <c r="P3071">
        <v>8.14</v>
      </c>
      <c r="Q3071">
        <v>8.26</v>
      </c>
      <c r="R3071">
        <v>8.26</v>
      </c>
      <c r="S3071">
        <v>1.94</v>
      </c>
      <c r="T3071">
        <v>0.99</v>
      </c>
      <c r="U3071">
        <v>10.89</v>
      </c>
      <c r="V3071">
        <v>543</v>
      </c>
      <c r="W3071">
        <v>8.21</v>
      </c>
      <c r="X3071" t="s">
        <v>2752</v>
      </c>
      <c r="Y3071" t="s">
        <v>1212</v>
      </c>
      <c r="Z3071">
        <v>1.82</v>
      </c>
      <c r="AA3071">
        <v>285</v>
      </c>
      <c r="AB3071">
        <v>61</v>
      </c>
      <c r="AC3071">
        <v>1.71</v>
      </c>
      <c r="AD3071" t="s">
        <v>4485</v>
      </c>
      <c r="AE3071" t="s">
        <v>4626</v>
      </c>
      <c r="AF3071" t="s">
        <v>15806</v>
      </c>
      <c r="AG3071" t="s">
        <v>15807</v>
      </c>
      <c r="AH3071">
        <v>-2.51</v>
      </c>
      <c r="AI3071">
        <v>-5.23</v>
      </c>
      <c r="AJ3071">
        <v>2.08</v>
      </c>
      <c r="AK3071">
        <v>4.51</v>
      </c>
      <c r="AL3071">
        <v>-1</v>
      </c>
      <c r="AM3071">
        <v>-1.33</v>
      </c>
      <c r="AN3071">
        <v>-31.57</v>
      </c>
      <c r="AO3071">
        <v>-13.39</v>
      </c>
      <c r="AP3071">
        <v>-36.18</v>
      </c>
    </row>
    <row r="3072" spans="1:42">
      <c r="A3072">
        <v>3071</v>
      </c>
      <c r="B3072" t="str">
        <f>"600611"</f>
        <v>600611</v>
      </c>
      <c r="C3072" t="s">
        <v>15808</v>
      </c>
      <c r="D3072">
        <v>3.15</v>
      </c>
      <c r="E3072">
        <v>0.96</v>
      </c>
      <c r="F3072">
        <v>0.03</v>
      </c>
      <c r="G3072" t="s">
        <v>2047</v>
      </c>
      <c r="H3072">
        <v>2215</v>
      </c>
      <c r="I3072">
        <v>3.14</v>
      </c>
      <c r="J3072">
        <v>3.15</v>
      </c>
      <c r="K3072" t="s">
        <v>15809</v>
      </c>
      <c r="L3072">
        <v>1.05</v>
      </c>
      <c r="M3072" t="s">
        <v>46</v>
      </c>
      <c r="N3072" t="s">
        <v>4011</v>
      </c>
      <c r="O3072">
        <v>3.18</v>
      </c>
      <c r="P3072">
        <v>3.11</v>
      </c>
      <c r="Q3072">
        <v>3.12</v>
      </c>
      <c r="R3072">
        <v>3.12</v>
      </c>
      <c r="S3072">
        <v>2.24</v>
      </c>
      <c r="T3072">
        <v>0.94</v>
      </c>
      <c r="U3072">
        <v>-42.45</v>
      </c>
      <c r="V3072" t="s">
        <v>6941</v>
      </c>
      <c r="W3072">
        <v>3.15</v>
      </c>
      <c r="X3072" t="s">
        <v>3883</v>
      </c>
      <c r="Y3072" t="s">
        <v>3159</v>
      </c>
      <c r="Z3072">
        <v>0.82</v>
      </c>
      <c r="AA3072">
        <v>3639</v>
      </c>
      <c r="AB3072">
        <v>116</v>
      </c>
      <c r="AC3072">
        <v>0.79</v>
      </c>
      <c r="AD3072" t="s">
        <v>4473</v>
      </c>
      <c r="AE3072" t="s">
        <v>15810</v>
      </c>
      <c r="AF3072" t="s">
        <v>15811</v>
      </c>
      <c r="AG3072" t="s">
        <v>15812</v>
      </c>
      <c r="AH3072">
        <v>-0.32</v>
      </c>
      <c r="AI3072">
        <v>0</v>
      </c>
      <c r="AJ3072">
        <v>2.76</v>
      </c>
      <c r="AK3072">
        <v>6.69</v>
      </c>
      <c r="AL3072">
        <v>2</v>
      </c>
      <c r="AM3072">
        <v>0.96</v>
      </c>
      <c r="AN3072">
        <v>5.35</v>
      </c>
      <c r="AO3072">
        <v>5</v>
      </c>
      <c r="AP3072">
        <v>7.51</v>
      </c>
    </row>
    <row r="3073" spans="1:42">
      <c r="A3073">
        <v>3072</v>
      </c>
      <c r="B3073" t="str">
        <f>"600835"</f>
        <v>600835</v>
      </c>
      <c r="C3073" t="s">
        <v>15813</v>
      </c>
      <c r="D3073">
        <v>12.67</v>
      </c>
      <c r="E3073">
        <v>0.08</v>
      </c>
      <c r="F3073">
        <v>0.01</v>
      </c>
      <c r="G3073" t="s">
        <v>6256</v>
      </c>
      <c r="H3073">
        <v>194</v>
      </c>
      <c r="I3073">
        <v>12.66</v>
      </c>
      <c r="J3073">
        <v>12.67</v>
      </c>
      <c r="K3073" t="s">
        <v>15814</v>
      </c>
      <c r="L3073">
        <v>0.51</v>
      </c>
      <c r="M3073" t="s">
        <v>46</v>
      </c>
      <c r="N3073" t="s">
        <v>15815</v>
      </c>
      <c r="O3073">
        <v>12.7</v>
      </c>
      <c r="P3073">
        <v>12.53</v>
      </c>
      <c r="Q3073">
        <v>12.7</v>
      </c>
      <c r="R3073">
        <v>12.66</v>
      </c>
      <c r="S3073">
        <v>1.34</v>
      </c>
      <c r="T3073">
        <v>0.95</v>
      </c>
      <c r="U3073">
        <v>-7.64</v>
      </c>
      <c r="V3073">
        <v>-150</v>
      </c>
      <c r="W3073">
        <v>12.61</v>
      </c>
      <c r="X3073" t="s">
        <v>8073</v>
      </c>
      <c r="Y3073" t="s">
        <v>8073</v>
      </c>
      <c r="Z3073">
        <v>1</v>
      </c>
      <c r="AA3073">
        <v>122</v>
      </c>
      <c r="AB3073">
        <v>25</v>
      </c>
      <c r="AC3073">
        <v>0.97</v>
      </c>
      <c r="AD3073" t="s">
        <v>1070</v>
      </c>
      <c r="AE3073" t="s">
        <v>15816</v>
      </c>
      <c r="AF3073" t="s">
        <v>15817</v>
      </c>
      <c r="AG3073" t="s">
        <v>3487</v>
      </c>
      <c r="AH3073">
        <v>-1.63</v>
      </c>
      <c r="AI3073">
        <v>-2.61</v>
      </c>
      <c r="AJ3073">
        <v>1.55</v>
      </c>
      <c r="AK3073">
        <v>3.19</v>
      </c>
      <c r="AL3073">
        <v>1</v>
      </c>
      <c r="AM3073">
        <v>0.08</v>
      </c>
      <c r="AN3073">
        <v>17.42</v>
      </c>
      <c r="AO3073">
        <v>-0.24</v>
      </c>
      <c r="AP3073">
        <v>8.94</v>
      </c>
    </row>
    <row r="3074" spans="1:42">
      <c r="A3074">
        <v>3073</v>
      </c>
      <c r="B3074" t="str">
        <f>"002226"</f>
        <v>002226</v>
      </c>
      <c r="C3074" t="s">
        <v>15818</v>
      </c>
      <c r="D3074">
        <v>4.47</v>
      </c>
      <c r="E3074">
        <v>0.9</v>
      </c>
      <c r="F3074">
        <v>0.04</v>
      </c>
      <c r="G3074" t="s">
        <v>1807</v>
      </c>
      <c r="H3074">
        <v>1119</v>
      </c>
      <c r="I3074">
        <v>4.47</v>
      </c>
      <c r="J3074">
        <v>4.48</v>
      </c>
      <c r="K3074" t="s">
        <v>15692</v>
      </c>
      <c r="L3074">
        <v>0.64</v>
      </c>
      <c r="M3074" t="s">
        <v>46</v>
      </c>
      <c r="N3074" t="s">
        <v>15819</v>
      </c>
      <c r="O3074">
        <v>4.48</v>
      </c>
      <c r="P3074">
        <v>4.41</v>
      </c>
      <c r="Q3074">
        <v>4.44</v>
      </c>
      <c r="R3074">
        <v>4.43</v>
      </c>
      <c r="S3074">
        <v>1.58</v>
      </c>
      <c r="T3074">
        <v>0.68</v>
      </c>
      <c r="U3074">
        <v>14.4</v>
      </c>
      <c r="V3074">
        <v>2322</v>
      </c>
      <c r="W3074">
        <v>4.45</v>
      </c>
      <c r="X3074" t="s">
        <v>308</v>
      </c>
      <c r="Y3074" t="s">
        <v>3175</v>
      </c>
      <c r="Z3074">
        <v>0.85</v>
      </c>
      <c r="AA3074">
        <v>569</v>
      </c>
      <c r="AB3074">
        <v>2835</v>
      </c>
      <c r="AC3074">
        <v>1.37</v>
      </c>
      <c r="AD3074" t="s">
        <v>15072</v>
      </c>
      <c r="AE3074" t="s">
        <v>15820</v>
      </c>
      <c r="AF3074" t="s">
        <v>2886</v>
      </c>
      <c r="AG3074" t="s">
        <v>15821</v>
      </c>
      <c r="AH3074">
        <v>-1.97</v>
      </c>
      <c r="AI3074">
        <v>-6.88</v>
      </c>
      <c r="AJ3074">
        <v>2.63</v>
      </c>
      <c r="AK3074">
        <v>5.33</v>
      </c>
      <c r="AL3074">
        <v>1</v>
      </c>
      <c r="AM3074">
        <v>0.9</v>
      </c>
      <c r="AN3074">
        <v>-7.64</v>
      </c>
      <c r="AO3074">
        <v>-5.7</v>
      </c>
      <c r="AP3074">
        <v>-11.66</v>
      </c>
    </row>
    <row r="3075" spans="1:42">
      <c r="A3075">
        <v>3074</v>
      </c>
      <c r="B3075" t="str">
        <f>"600020"</f>
        <v>600020</v>
      </c>
      <c r="C3075" t="s">
        <v>15822</v>
      </c>
      <c r="D3075">
        <v>3.52</v>
      </c>
      <c r="E3075">
        <v>1.15</v>
      </c>
      <c r="F3075">
        <v>0.04</v>
      </c>
      <c r="G3075" t="s">
        <v>2217</v>
      </c>
      <c r="H3075">
        <v>1638</v>
      </c>
      <c r="I3075">
        <v>3.51</v>
      </c>
      <c r="J3075">
        <v>3.52</v>
      </c>
      <c r="K3075" t="s">
        <v>15823</v>
      </c>
      <c r="L3075">
        <v>0.65</v>
      </c>
      <c r="M3075" t="s">
        <v>46</v>
      </c>
      <c r="N3075" t="s">
        <v>455</v>
      </c>
      <c r="O3075">
        <v>3.56</v>
      </c>
      <c r="P3075">
        <v>3.47</v>
      </c>
      <c r="Q3075">
        <v>3.48</v>
      </c>
      <c r="R3075">
        <v>3.48</v>
      </c>
      <c r="S3075">
        <v>2.59</v>
      </c>
      <c r="T3075">
        <v>2.16</v>
      </c>
      <c r="U3075">
        <v>-38.07</v>
      </c>
      <c r="V3075">
        <v>-9480</v>
      </c>
      <c r="W3075">
        <v>3.53</v>
      </c>
      <c r="X3075" t="s">
        <v>3204</v>
      </c>
      <c r="Y3075" t="s">
        <v>110</v>
      </c>
      <c r="Z3075">
        <v>0.45</v>
      </c>
      <c r="AA3075">
        <v>1668</v>
      </c>
      <c r="AB3075">
        <v>1721</v>
      </c>
      <c r="AC3075">
        <v>0.71</v>
      </c>
      <c r="AD3075" t="s">
        <v>15824</v>
      </c>
      <c r="AE3075" t="s">
        <v>15825</v>
      </c>
      <c r="AF3075" t="s">
        <v>15824</v>
      </c>
      <c r="AG3075" t="s">
        <v>15825</v>
      </c>
      <c r="AH3075">
        <v>0.28</v>
      </c>
      <c r="AI3075">
        <v>-0.28</v>
      </c>
      <c r="AJ3075">
        <v>1.24</v>
      </c>
      <c r="AK3075">
        <v>2.16</v>
      </c>
      <c r="AL3075">
        <v>2</v>
      </c>
      <c r="AM3075">
        <v>1.15</v>
      </c>
      <c r="AN3075">
        <v>19.73</v>
      </c>
      <c r="AO3075">
        <v>1.44</v>
      </c>
      <c r="AP3075">
        <v>27.08</v>
      </c>
    </row>
    <row r="3076" spans="1:42">
      <c r="A3076">
        <v>3075</v>
      </c>
      <c r="B3076" t="str">
        <f>"300581"</f>
        <v>300581</v>
      </c>
      <c r="C3076" t="s">
        <v>15826</v>
      </c>
      <c r="D3076">
        <v>10.49</v>
      </c>
      <c r="E3076">
        <v>0.29</v>
      </c>
      <c r="F3076">
        <v>0.03</v>
      </c>
      <c r="G3076" t="s">
        <v>3356</v>
      </c>
      <c r="H3076">
        <v>1286</v>
      </c>
      <c r="I3076">
        <v>10.48</v>
      </c>
      <c r="J3076">
        <v>10.49</v>
      </c>
      <c r="K3076" t="s">
        <v>15827</v>
      </c>
      <c r="L3076">
        <v>0.9</v>
      </c>
      <c r="M3076" t="s">
        <v>46</v>
      </c>
      <c r="N3076" t="s">
        <v>11120</v>
      </c>
      <c r="O3076">
        <v>10.53</v>
      </c>
      <c r="P3076">
        <v>10.32</v>
      </c>
      <c r="Q3076">
        <v>10.46</v>
      </c>
      <c r="R3076">
        <v>10.46</v>
      </c>
      <c r="S3076">
        <v>2.01</v>
      </c>
      <c r="T3076">
        <v>0.6</v>
      </c>
      <c r="U3076">
        <v>17.76</v>
      </c>
      <c r="V3076">
        <v>647</v>
      </c>
      <c r="W3076">
        <v>10.43</v>
      </c>
      <c r="X3076" t="s">
        <v>1077</v>
      </c>
      <c r="Y3076" t="s">
        <v>4017</v>
      </c>
      <c r="Z3076">
        <v>1.08</v>
      </c>
      <c r="AA3076">
        <v>791</v>
      </c>
      <c r="AB3076">
        <v>455</v>
      </c>
      <c r="AC3076">
        <v>5.8</v>
      </c>
      <c r="AD3076" t="s">
        <v>1264</v>
      </c>
      <c r="AE3076" t="s">
        <v>7955</v>
      </c>
      <c r="AF3076" t="s">
        <v>1264</v>
      </c>
      <c r="AG3076" t="s">
        <v>7955</v>
      </c>
      <c r="AH3076">
        <v>-1.13</v>
      </c>
      <c r="AI3076">
        <v>-4.81</v>
      </c>
      <c r="AJ3076">
        <v>3.43</v>
      </c>
      <c r="AK3076">
        <v>8.38</v>
      </c>
      <c r="AL3076">
        <v>1</v>
      </c>
      <c r="AM3076">
        <v>0.29</v>
      </c>
      <c r="AN3076">
        <v>1.75</v>
      </c>
      <c r="AO3076">
        <v>1.35</v>
      </c>
      <c r="AP3076">
        <v>-9.41</v>
      </c>
    </row>
    <row r="3077" spans="1:42">
      <c r="A3077">
        <v>3076</v>
      </c>
      <c r="B3077" t="str">
        <f>"002443"</f>
        <v>002443</v>
      </c>
      <c r="C3077" t="s">
        <v>15828</v>
      </c>
      <c r="D3077">
        <v>7.22</v>
      </c>
      <c r="E3077">
        <v>0.98</v>
      </c>
      <c r="F3077">
        <v>0.07</v>
      </c>
      <c r="G3077" t="s">
        <v>4236</v>
      </c>
      <c r="H3077">
        <v>793</v>
      </c>
      <c r="I3077">
        <v>7.21</v>
      </c>
      <c r="J3077">
        <v>7.22</v>
      </c>
      <c r="K3077" t="s">
        <v>15827</v>
      </c>
      <c r="L3077">
        <v>1.38</v>
      </c>
      <c r="M3077" t="s">
        <v>46</v>
      </c>
      <c r="N3077" t="s">
        <v>9924</v>
      </c>
      <c r="O3077">
        <v>7.25</v>
      </c>
      <c r="P3077">
        <v>7.1</v>
      </c>
      <c r="Q3077">
        <v>7.13</v>
      </c>
      <c r="R3077">
        <v>7.15</v>
      </c>
      <c r="S3077">
        <v>2.1</v>
      </c>
      <c r="T3077">
        <v>0.98</v>
      </c>
      <c r="U3077">
        <v>-59.88</v>
      </c>
      <c r="V3077">
        <v>-3776</v>
      </c>
      <c r="W3077">
        <v>7.21</v>
      </c>
      <c r="X3077" t="s">
        <v>9871</v>
      </c>
      <c r="Y3077" t="s">
        <v>5774</v>
      </c>
      <c r="Z3077">
        <v>0.84</v>
      </c>
      <c r="AA3077">
        <v>66</v>
      </c>
      <c r="AB3077">
        <v>681</v>
      </c>
      <c r="AC3077">
        <v>1.14</v>
      </c>
      <c r="AD3077" t="s">
        <v>13906</v>
      </c>
      <c r="AE3077" t="s">
        <v>15829</v>
      </c>
      <c r="AF3077" t="s">
        <v>15830</v>
      </c>
      <c r="AG3077" t="s">
        <v>11639</v>
      </c>
      <c r="AH3077">
        <v>0.42</v>
      </c>
      <c r="AI3077">
        <v>-0.28</v>
      </c>
      <c r="AJ3077">
        <v>4.05</v>
      </c>
      <c r="AK3077">
        <v>8.48</v>
      </c>
      <c r="AL3077">
        <v>2</v>
      </c>
      <c r="AM3077">
        <v>0.98</v>
      </c>
      <c r="AN3077">
        <v>15.52</v>
      </c>
      <c r="AO3077">
        <v>0.7</v>
      </c>
      <c r="AP3077">
        <v>15.89</v>
      </c>
    </row>
    <row r="3078" spans="1:42">
      <c r="A3078">
        <v>3077</v>
      </c>
      <c r="B3078" t="str">
        <f>"002932"</f>
        <v>002932</v>
      </c>
      <c r="C3078" t="s">
        <v>15831</v>
      </c>
      <c r="D3078">
        <v>24.64</v>
      </c>
      <c r="E3078">
        <v>0.61</v>
      </c>
      <c r="F3078">
        <v>0.15</v>
      </c>
      <c r="G3078" t="s">
        <v>5592</v>
      </c>
      <c r="H3078">
        <v>236</v>
      </c>
      <c r="I3078">
        <v>24.62</v>
      </c>
      <c r="J3078">
        <v>24.64</v>
      </c>
      <c r="K3078" t="s">
        <v>15832</v>
      </c>
      <c r="L3078">
        <v>1.35</v>
      </c>
      <c r="M3078" t="s">
        <v>46</v>
      </c>
      <c r="N3078" t="s">
        <v>2203</v>
      </c>
      <c r="O3078">
        <v>24.79</v>
      </c>
      <c r="P3078">
        <v>24.47</v>
      </c>
      <c r="Q3078">
        <v>24.51</v>
      </c>
      <c r="R3078">
        <v>24.49</v>
      </c>
      <c r="S3078">
        <v>1.31</v>
      </c>
      <c r="T3078">
        <v>1.07</v>
      </c>
      <c r="U3078">
        <v>-75.18</v>
      </c>
      <c r="V3078">
        <v>-1360</v>
      </c>
      <c r="W3078">
        <v>24.62</v>
      </c>
      <c r="X3078" t="s">
        <v>2074</v>
      </c>
      <c r="Y3078" t="s">
        <v>51</v>
      </c>
      <c r="Z3078">
        <v>0.93</v>
      </c>
      <c r="AA3078">
        <v>9</v>
      </c>
      <c r="AB3078">
        <v>13</v>
      </c>
      <c r="AC3078">
        <v>0.94</v>
      </c>
      <c r="AD3078" t="s">
        <v>15833</v>
      </c>
      <c r="AE3078" t="s">
        <v>3497</v>
      </c>
      <c r="AF3078" t="s">
        <v>10913</v>
      </c>
      <c r="AG3078" t="s">
        <v>15834</v>
      </c>
      <c r="AH3078">
        <v>-1.04</v>
      </c>
      <c r="AI3078">
        <v>-0.77</v>
      </c>
      <c r="AJ3078">
        <v>3.3</v>
      </c>
      <c r="AK3078">
        <v>7.65</v>
      </c>
      <c r="AL3078">
        <v>1</v>
      </c>
      <c r="AM3078">
        <v>0.61</v>
      </c>
      <c r="AN3078">
        <v>-31.46</v>
      </c>
      <c r="AO3078">
        <v>6.25</v>
      </c>
      <c r="AP3078">
        <v>-42</v>
      </c>
    </row>
    <row r="3079" spans="1:42">
      <c r="A3079">
        <v>3078</v>
      </c>
      <c r="B3079" t="str">
        <f>"603868"</f>
        <v>603868</v>
      </c>
      <c r="C3079" t="s">
        <v>15835</v>
      </c>
      <c r="D3079">
        <v>53.79</v>
      </c>
      <c r="E3079">
        <v>-1.38</v>
      </c>
      <c r="F3079">
        <v>-0.75</v>
      </c>
      <c r="G3079">
        <v>9633</v>
      </c>
      <c r="H3079">
        <v>119</v>
      </c>
      <c r="I3079">
        <v>53.76</v>
      </c>
      <c r="J3079">
        <v>53.79</v>
      </c>
      <c r="K3079" t="s">
        <v>15836</v>
      </c>
      <c r="L3079">
        <v>0.22</v>
      </c>
      <c r="M3079" t="s">
        <v>46</v>
      </c>
      <c r="N3079" t="s">
        <v>3478</v>
      </c>
      <c r="O3079">
        <v>54.56</v>
      </c>
      <c r="P3079">
        <v>53.33</v>
      </c>
      <c r="Q3079">
        <v>54.3</v>
      </c>
      <c r="R3079">
        <v>54.54</v>
      </c>
      <c r="S3079">
        <v>2.26</v>
      </c>
      <c r="T3079">
        <v>0.92</v>
      </c>
      <c r="U3079">
        <v>97.77</v>
      </c>
      <c r="V3079">
        <v>1494</v>
      </c>
      <c r="W3079">
        <v>53.73</v>
      </c>
      <c r="X3079">
        <v>6567</v>
      </c>
      <c r="Y3079">
        <v>3066</v>
      </c>
      <c r="Z3079">
        <v>2.14</v>
      </c>
      <c r="AA3079">
        <v>2</v>
      </c>
      <c r="AB3079">
        <v>4</v>
      </c>
      <c r="AC3079">
        <v>6.92</v>
      </c>
      <c r="AD3079" t="s">
        <v>15837</v>
      </c>
      <c r="AE3079" t="s">
        <v>15838</v>
      </c>
      <c r="AF3079" t="s">
        <v>15837</v>
      </c>
      <c r="AG3079" t="s">
        <v>15838</v>
      </c>
      <c r="AH3079">
        <v>1.59</v>
      </c>
      <c r="AI3079">
        <v>0.9</v>
      </c>
      <c r="AJ3079">
        <v>0.88</v>
      </c>
      <c r="AK3079">
        <v>1.42</v>
      </c>
      <c r="AL3079">
        <v>-1</v>
      </c>
      <c r="AM3079">
        <v>-1.38</v>
      </c>
      <c r="AN3079">
        <v>-17.66</v>
      </c>
      <c r="AO3079">
        <v>0.26</v>
      </c>
      <c r="AP3079">
        <v>-23.89</v>
      </c>
    </row>
    <row r="3080" spans="1:42">
      <c r="A3080">
        <v>3079</v>
      </c>
      <c r="B3080" t="str">
        <f>"300483"</f>
        <v>300483</v>
      </c>
      <c r="C3080" t="s">
        <v>15839</v>
      </c>
      <c r="D3080">
        <v>12.57</v>
      </c>
      <c r="E3080">
        <v>-1.18</v>
      </c>
      <c r="F3080">
        <v>-0.15</v>
      </c>
      <c r="G3080" t="s">
        <v>3925</v>
      </c>
      <c r="H3080">
        <v>419</v>
      </c>
      <c r="I3080">
        <v>12.57</v>
      </c>
      <c r="J3080">
        <v>12.58</v>
      </c>
      <c r="K3080" t="s">
        <v>15840</v>
      </c>
      <c r="L3080">
        <v>1.57</v>
      </c>
      <c r="M3080" t="s">
        <v>46</v>
      </c>
      <c r="N3080" t="s">
        <v>119</v>
      </c>
      <c r="O3080">
        <v>12.85</v>
      </c>
      <c r="P3080">
        <v>12.52</v>
      </c>
      <c r="Q3080">
        <v>12.65</v>
      </c>
      <c r="R3080">
        <v>12.72</v>
      </c>
      <c r="S3080">
        <v>2.59</v>
      </c>
      <c r="T3080">
        <v>1.18</v>
      </c>
      <c r="U3080">
        <v>8.43</v>
      </c>
      <c r="V3080">
        <v>175</v>
      </c>
      <c r="W3080">
        <v>12.6</v>
      </c>
      <c r="X3080" t="s">
        <v>117</v>
      </c>
      <c r="Y3080" t="s">
        <v>2371</v>
      </c>
      <c r="Z3080">
        <v>1.73</v>
      </c>
      <c r="AA3080">
        <v>140</v>
      </c>
      <c r="AB3080">
        <v>388</v>
      </c>
      <c r="AC3080">
        <v>1.21</v>
      </c>
      <c r="AD3080" t="s">
        <v>15841</v>
      </c>
      <c r="AE3080" t="s">
        <v>15842</v>
      </c>
      <c r="AF3080" t="s">
        <v>9640</v>
      </c>
      <c r="AG3080" t="s">
        <v>13382</v>
      </c>
      <c r="AH3080">
        <v>-1.41</v>
      </c>
      <c r="AI3080">
        <v>-3.08</v>
      </c>
      <c r="AJ3080">
        <v>4.46</v>
      </c>
      <c r="AK3080">
        <v>8.24</v>
      </c>
      <c r="AL3080">
        <v>-1</v>
      </c>
      <c r="AM3080">
        <v>-1.18</v>
      </c>
      <c r="AN3080">
        <v>-1.57</v>
      </c>
      <c r="AO3080">
        <v>3.2</v>
      </c>
      <c r="AP3080">
        <v>-10.79</v>
      </c>
    </row>
    <row r="3081" spans="1:42">
      <c r="A3081">
        <v>3080</v>
      </c>
      <c r="B3081" t="str">
        <f>"002580"</f>
        <v>002580</v>
      </c>
      <c r="C3081" t="s">
        <v>15843</v>
      </c>
      <c r="D3081">
        <v>8.7</v>
      </c>
      <c r="E3081">
        <v>0.12</v>
      </c>
      <c r="F3081">
        <v>0.01</v>
      </c>
      <c r="G3081" t="s">
        <v>523</v>
      </c>
      <c r="H3081">
        <v>921</v>
      </c>
      <c r="I3081">
        <v>8.69</v>
      </c>
      <c r="J3081">
        <v>8.7</v>
      </c>
      <c r="K3081" t="s">
        <v>15844</v>
      </c>
      <c r="L3081">
        <v>1.85</v>
      </c>
      <c r="M3081" t="s">
        <v>46</v>
      </c>
      <c r="N3081" t="s">
        <v>4826</v>
      </c>
      <c r="O3081">
        <v>8.73</v>
      </c>
      <c r="P3081">
        <v>8.61</v>
      </c>
      <c r="Q3081">
        <v>8.69</v>
      </c>
      <c r="R3081">
        <v>8.69</v>
      </c>
      <c r="S3081">
        <v>1.38</v>
      </c>
      <c r="T3081">
        <v>0.55</v>
      </c>
      <c r="U3081">
        <v>20.87</v>
      </c>
      <c r="V3081">
        <v>1006</v>
      </c>
      <c r="W3081">
        <v>8.66</v>
      </c>
      <c r="X3081" t="s">
        <v>729</v>
      </c>
      <c r="Y3081" t="s">
        <v>4422</v>
      </c>
      <c r="Z3081">
        <v>1.32</v>
      </c>
      <c r="AA3081">
        <v>263</v>
      </c>
      <c r="AB3081">
        <v>407</v>
      </c>
      <c r="AC3081">
        <v>1.96</v>
      </c>
      <c r="AD3081" t="s">
        <v>15845</v>
      </c>
      <c r="AE3081" t="s">
        <v>15846</v>
      </c>
      <c r="AF3081" t="s">
        <v>8997</v>
      </c>
      <c r="AG3081" t="s">
        <v>15847</v>
      </c>
      <c r="AH3081">
        <v>-2.79</v>
      </c>
      <c r="AI3081">
        <v>-2.47</v>
      </c>
      <c r="AJ3081">
        <v>8.24</v>
      </c>
      <c r="AK3081">
        <v>18.79</v>
      </c>
      <c r="AL3081">
        <v>1</v>
      </c>
      <c r="AM3081">
        <v>0.12</v>
      </c>
      <c r="AN3081">
        <v>-9.19</v>
      </c>
      <c r="AO3081">
        <v>0.69</v>
      </c>
      <c r="AP3081">
        <v>-16.83</v>
      </c>
    </row>
    <row r="3082" spans="1:42">
      <c r="A3082">
        <v>3081</v>
      </c>
      <c r="B3082" t="str">
        <f>"601016"</f>
        <v>601016</v>
      </c>
      <c r="C3082" t="s">
        <v>15848</v>
      </c>
      <c r="D3082">
        <v>3.08</v>
      </c>
      <c r="E3082">
        <v>0</v>
      </c>
      <c r="F3082">
        <v>0</v>
      </c>
      <c r="G3082" t="s">
        <v>1245</v>
      </c>
      <c r="H3082">
        <v>1515</v>
      </c>
      <c r="I3082">
        <v>3.08</v>
      </c>
      <c r="J3082">
        <v>3.09</v>
      </c>
      <c r="K3082" t="s">
        <v>15849</v>
      </c>
      <c r="L3082">
        <v>0.28</v>
      </c>
      <c r="M3082" t="s">
        <v>46</v>
      </c>
      <c r="N3082" t="s">
        <v>10164</v>
      </c>
      <c r="O3082">
        <v>3.09</v>
      </c>
      <c r="P3082">
        <v>3.05</v>
      </c>
      <c r="Q3082">
        <v>3.07</v>
      </c>
      <c r="R3082">
        <v>3.08</v>
      </c>
      <c r="S3082">
        <v>1.3</v>
      </c>
      <c r="T3082">
        <v>0.77</v>
      </c>
      <c r="U3082">
        <v>-8.5</v>
      </c>
      <c r="V3082" t="s">
        <v>10684</v>
      </c>
      <c r="W3082">
        <v>3.07</v>
      </c>
      <c r="X3082" t="s">
        <v>3233</v>
      </c>
      <c r="Y3082" t="s">
        <v>13020</v>
      </c>
      <c r="Z3082">
        <v>0.87</v>
      </c>
      <c r="AA3082">
        <v>3262</v>
      </c>
      <c r="AB3082" t="s">
        <v>5237</v>
      </c>
      <c r="AC3082">
        <v>1.24</v>
      </c>
      <c r="AD3082" t="s">
        <v>15850</v>
      </c>
      <c r="AE3082" t="s">
        <v>7943</v>
      </c>
      <c r="AF3082" t="s">
        <v>15851</v>
      </c>
      <c r="AG3082" t="s">
        <v>8950</v>
      </c>
      <c r="AH3082">
        <v>-0.65</v>
      </c>
      <c r="AI3082">
        <v>-1.6</v>
      </c>
      <c r="AJ3082">
        <v>0.91</v>
      </c>
      <c r="AK3082">
        <v>2.11</v>
      </c>
      <c r="AL3082">
        <v>0</v>
      </c>
      <c r="AM3082">
        <v>0</v>
      </c>
      <c r="AN3082">
        <v>-17.2</v>
      </c>
      <c r="AO3082">
        <v>-3.14</v>
      </c>
      <c r="AP3082">
        <v>-19.79</v>
      </c>
    </row>
    <row r="3083" spans="1:42">
      <c r="A3083">
        <v>3082</v>
      </c>
      <c r="B3083" t="str">
        <f>"300275"</f>
        <v>300275</v>
      </c>
      <c r="C3083" t="s">
        <v>15852</v>
      </c>
      <c r="D3083">
        <v>12.37</v>
      </c>
      <c r="E3083">
        <v>1.64</v>
      </c>
      <c r="F3083">
        <v>0.2</v>
      </c>
      <c r="G3083" t="s">
        <v>7877</v>
      </c>
      <c r="H3083">
        <v>355</v>
      </c>
      <c r="I3083">
        <v>12.36</v>
      </c>
      <c r="J3083">
        <v>12.37</v>
      </c>
      <c r="K3083" t="s">
        <v>15853</v>
      </c>
      <c r="L3083">
        <v>1.68</v>
      </c>
      <c r="M3083" t="s">
        <v>46</v>
      </c>
      <c r="N3083" t="s">
        <v>4861</v>
      </c>
      <c r="O3083">
        <v>12.44</v>
      </c>
      <c r="P3083">
        <v>12.12</v>
      </c>
      <c r="Q3083">
        <v>12.15</v>
      </c>
      <c r="R3083">
        <v>12.17</v>
      </c>
      <c r="S3083">
        <v>2.63</v>
      </c>
      <c r="T3083">
        <v>0.89</v>
      </c>
      <c r="U3083">
        <v>28.28</v>
      </c>
      <c r="V3083">
        <v>642</v>
      </c>
      <c r="W3083">
        <v>12.28</v>
      </c>
      <c r="X3083" t="s">
        <v>5585</v>
      </c>
      <c r="Y3083" t="s">
        <v>1212</v>
      </c>
      <c r="Z3083">
        <v>0.87</v>
      </c>
      <c r="AA3083">
        <v>48</v>
      </c>
      <c r="AB3083">
        <v>67</v>
      </c>
      <c r="AC3083">
        <v>4.52</v>
      </c>
      <c r="AD3083" t="s">
        <v>15854</v>
      </c>
      <c r="AE3083" t="s">
        <v>15855</v>
      </c>
      <c r="AF3083" t="s">
        <v>14673</v>
      </c>
      <c r="AG3083" t="s">
        <v>15856</v>
      </c>
      <c r="AH3083">
        <v>-1.9</v>
      </c>
      <c r="AI3083">
        <v>-4.33</v>
      </c>
      <c r="AJ3083">
        <v>5.89</v>
      </c>
      <c r="AK3083">
        <v>11.08</v>
      </c>
      <c r="AL3083">
        <v>1</v>
      </c>
      <c r="AM3083">
        <v>1.64</v>
      </c>
      <c r="AN3083">
        <v>68.07</v>
      </c>
      <c r="AO3083">
        <v>-3.59</v>
      </c>
      <c r="AP3083">
        <v>65.82</v>
      </c>
    </row>
    <row r="3084" spans="1:42">
      <c r="A3084">
        <v>3083</v>
      </c>
      <c r="B3084" t="str">
        <f>"688165"</f>
        <v>688165</v>
      </c>
      <c r="C3084" t="s">
        <v>15857</v>
      </c>
      <c r="D3084">
        <v>11.19</v>
      </c>
      <c r="E3084">
        <v>0.36</v>
      </c>
      <c r="F3084">
        <v>0.04</v>
      </c>
      <c r="G3084" t="s">
        <v>7299</v>
      </c>
      <c r="H3084">
        <v>220</v>
      </c>
      <c r="I3084">
        <v>11.19</v>
      </c>
      <c r="J3084">
        <v>11.2</v>
      </c>
      <c r="K3084" t="s">
        <v>15853</v>
      </c>
      <c r="L3084">
        <v>0.9</v>
      </c>
      <c r="M3084" t="s">
        <v>46</v>
      </c>
      <c r="N3084" t="s">
        <v>11419</v>
      </c>
      <c r="O3084">
        <v>11.26</v>
      </c>
      <c r="P3084">
        <v>10.85</v>
      </c>
      <c r="Q3084">
        <v>11.14</v>
      </c>
      <c r="R3084">
        <v>11.15</v>
      </c>
      <c r="S3084">
        <v>3.68</v>
      </c>
      <c r="T3084">
        <v>0.86</v>
      </c>
      <c r="U3084">
        <v>34.28</v>
      </c>
      <c r="V3084">
        <v>609</v>
      </c>
      <c r="W3084">
        <v>11.03</v>
      </c>
      <c r="X3084" t="s">
        <v>6580</v>
      </c>
      <c r="Y3084" t="s">
        <v>117</v>
      </c>
      <c r="Z3084">
        <v>0.8</v>
      </c>
      <c r="AA3084">
        <v>89</v>
      </c>
      <c r="AB3084">
        <v>218</v>
      </c>
      <c r="AC3084">
        <v>3.37</v>
      </c>
      <c r="AD3084" t="s">
        <v>15858</v>
      </c>
      <c r="AE3084" t="s">
        <v>15859</v>
      </c>
      <c r="AF3084" t="s">
        <v>15858</v>
      </c>
      <c r="AG3084" t="s">
        <v>15859</v>
      </c>
      <c r="AH3084">
        <v>0.36</v>
      </c>
      <c r="AI3084">
        <v>-1.15</v>
      </c>
      <c r="AJ3084">
        <v>3.01</v>
      </c>
      <c r="AK3084">
        <v>6.13</v>
      </c>
      <c r="AL3084">
        <v>1</v>
      </c>
      <c r="AM3084">
        <v>0.36</v>
      </c>
      <c r="AN3084">
        <v>45.32</v>
      </c>
      <c r="AO3084">
        <v>3.42</v>
      </c>
      <c r="AP3084">
        <v>28.03</v>
      </c>
    </row>
    <row r="3085" spans="1:42">
      <c r="A3085">
        <v>3084</v>
      </c>
      <c r="B3085" t="str">
        <f>"605050"</f>
        <v>605050</v>
      </c>
      <c r="C3085" t="s">
        <v>15860</v>
      </c>
      <c r="D3085">
        <v>12.63</v>
      </c>
      <c r="E3085">
        <v>-1.1</v>
      </c>
      <c r="F3085">
        <v>-0.14</v>
      </c>
      <c r="G3085" t="s">
        <v>2754</v>
      </c>
      <c r="H3085">
        <v>440</v>
      </c>
      <c r="I3085">
        <v>12.61</v>
      </c>
      <c r="J3085">
        <v>12.63</v>
      </c>
      <c r="K3085" t="s">
        <v>15853</v>
      </c>
      <c r="L3085">
        <v>0.83</v>
      </c>
      <c r="M3085" t="s">
        <v>46</v>
      </c>
      <c r="N3085" t="s">
        <v>15861</v>
      </c>
      <c r="O3085">
        <v>12.8</v>
      </c>
      <c r="P3085">
        <v>12.54</v>
      </c>
      <c r="Q3085">
        <v>12.71</v>
      </c>
      <c r="R3085">
        <v>12.77</v>
      </c>
      <c r="S3085">
        <v>2.04</v>
      </c>
      <c r="T3085">
        <v>0.87</v>
      </c>
      <c r="U3085">
        <v>11.2</v>
      </c>
      <c r="V3085">
        <v>85</v>
      </c>
      <c r="W3085">
        <v>12.63</v>
      </c>
      <c r="X3085" t="s">
        <v>2716</v>
      </c>
      <c r="Y3085" t="s">
        <v>6425</v>
      </c>
      <c r="Z3085">
        <v>1.11</v>
      </c>
      <c r="AA3085">
        <v>87</v>
      </c>
      <c r="AB3085">
        <v>74</v>
      </c>
      <c r="AC3085">
        <v>1.52</v>
      </c>
      <c r="AD3085" t="s">
        <v>1534</v>
      </c>
      <c r="AE3085" t="s">
        <v>15862</v>
      </c>
      <c r="AF3085" t="s">
        <v>1534</v>
      </c>
      <c r="AG3085" t="s">
        <v>15862</v>
      </c>
      <c r="AH3085">
        <v>-3.07</v>
      </c>
      <c r="AI3085">
        <v>-1.56</v>
      </c>
      <c r="AJ3085">
        <v>2.58</v>
      </c>
      <c r="AK3085">
        <v>5.59</v>
      </c>
      <c r="AL3085">
        <v>-3</v>
      </c>
      <c r="AM3085">
        <v>-1.1</v>
      </c>
      <c r="AN3085">
        <v>1.04</v>
      </c>
      <c r="AO3085">
        <v>14.3</v>
      </c>
      <c r="AP3085">
        <v>-7.74</v>
      </c>
    </row>
    <row r="3086" spans="1:42">
      <c r="A3086">
        <v>3085</v>
      </c>
      <c r="B3086" t="str">
        <f>"002213"</f>
        <v>002213</v>
      </c>
      <c r="C3086" t="s">
        <v>15863</v>
      </c>
      <c r="D3086">
        <v>14.96</v>
      </c>
      <c r="E3086">
        <v>0.94</v>
      </c>
      <c r="F3086">
        <v>0.14</v>
      </c>
      <c r="G3086" t="s">
        <v>2550</v>
      </c>
      <c r="H3086">
        <v>234</v>
      </c>
      <c r="I3086">
        <v>14.95</v>
      </c>
      <c r="J3086">
        <v>14.96</v>
      </c>
      <c r="K3086" t="s">
        <v>15853</v>
      </c>
      <c r="L3086">
        <v>1.69</v>
      </c>
      <c r="M3086" t="s">
        <v>46</v>
      </c>
      <c r="N3086" t="s">
        <v>2641</v>
      </c>
      <c r="O3086">
        <v>15</v>
      </c>
      <c r="P3086">
        <v>14.7</v>
      </c>
      <c r="Q3086">
        <v>14.74</v>
      </c>
      <c r="R3086">
        <v>14.82</v>
      </c>
      <c r="S3086">
        <v>2.02</v>
      </c>
      <c r="T3086">
        <v>0.67</v>
      </c>
      <c r="U3086">
        <v>-4.38</v>
      </c>
      <c r="V3086">
        <v>-40</v>
      </c>
      <c r="W3086">
        <v>14.84</v>
      </c>
      <c r="X3086" t="s">
        <v>1456</v>
      </c>
      <c r="Y3086" t="s">
        <v>2575</v>
      </c>
      <c r="Z3086">
        <v>0.99</v>
      </c>
      <c r="AA3086">
        <v>28</v>
      </c>
      <c r="AB3086">
        <v>13</v>
      </c>
      <c r="AC3086">
        <v>5.55</v>
      </c>
      <c r="AD3086" t="s">
        <v>15864</v>
      </c>
      <c r="AE3086" t="s">
        <v>5783</v>
      </c>
      <c r="AF3086" t="s">
        <v>10178</v>
      </c>
      <c r="AG3086" t="s">
        <v>12068</v>
      </c>
      <c r="AH3086">
        <v>-1.97</v>
      </c>
      <c r="AI3086">
        <v>-3.3</v>
      </c>
      <c r="AJ3086">
        <v>7.96</v>
      </c>
      <c r="AK3086">
        <v>14.26</v>
      </c>
      <c r="AL3086">
        <v>1</v>
      </c>
      <c r="AM3086">
        <v>0.94</v>
      </c>
      <c r="AN3086">
        <v>-6.73</v>
      </c>
      <c r="AO3086">
        <v>-2.29</v>
      </c>
      <c r="AP3086">
        <v>-3.61</v>
      </c>
    </row>
    <row r="3087" spans="1:42">
      <c r="A3087">
        <v>3086</v>
      </c>
      <c r="B3087" t="str">
        <f>"300328"</f>
        <v>300328</v>
      </c>
      <c r="C3087" t="s">
        <v>15865</v>
      </c>
      <c r="D3087">
        <v>7.1</v>
      </c>
      <c r="E3087">
        <v>-0.28</v>
      </c>
      <c r="F3087">
        <v>-0.02</v>
      </c>
      <c r="G3087" t="s">
        <v>11149</v>
      </c>
      <c r="H3087">
        <v>1298</v>
      </c>
      <c r="I3087">
        <v>7.1</v>
      </c>
      <c r="J3087">
        <v>7.11</v>
      </c>
      <c r="K3087" t="s">
        <v>15853</v>
      </c>
      <c r="L3087">
        <v>1.06</v>
      </c>
      <c r="M3087" t="s">
        <v>46</v>
      </c>
      <c r="N3087" t="s">
        <v>3125</v>
      </c>
      <c r="O3087">
        <v>7.16</v>
      </c>
      <c r="P3087">
        <v>7.03</v>
      </c>
      <c r="Q3087">
        <v>7.12</v>
      </c>
      <c r="R3087">
        <v>7.12</v>
      </c>
      <c r="S3087">
        <v>1.83</v>
      </c>
      <c r="T3087">
        <v>0.72</v>
      </c>
      <c r="U3087">
        <v>1.33</v>
      </c>
      <c r="V3087">
        <v>51</v>
      </c>
      <c r="W3087">
        <v>7.11</v>
      </c>
      <c r="X3087" t="s">
        <v>3291</v>
      </c>
      <c r="Y3087" t="s">
        <v>3211</v>
      </c>
      <c r="Z3087">
        <v>1.15</v>
      </c>
      <c r="AA3087">
        <v>594</v>
      </c>
      <c r="AB3087">
        <v>104</v>
      </c>
      <c r="AC3087">
        <v>4.48</v>
      </c>
      <c r="AD3087" t="s">
        <v>15866</v>
      </c>
      <c r="AE3087" t="s">
        <v>15867</v>
      </c>
      <c r="AF3087" t="s">
        <v>1773</v>
      </c>
      <c r="AG3087" t="s">
        <v>12371</v>
      </c>
      <c r="AH3087">
        <v>-1.93</v>
      </c>
      <c r="AI3087">
        <v>-2.47</v>
      </c>
      <c r="AJ3087">
        <v>4.05</v>
      </c>
      <c r="AK3087">
        <v>8.39</v>
      </c>
      <c r="AL3087">
        <v>-3</v>
      </c>
      <c r="AM3087">
        <v>-0.28</v>
      </c>
      <c r="AN3087">
        <v>18.73</v>
      </c>
      <c r="AO3087">
        <v>-0.84</v>
      </c>
      <c r="AP3087">
        <v>3.5</v>
      </c>
    </row>
    <row r="3088" spans="1:42">
      <c r="A3088">
        <v>3087</v>
      </c>
      <c r="B3088" t="str">
        <f>"603162"</f>
        <v>603162</v>
      </c>
      <c r="C3088" t="s">
        <v>15868</v>
      </c>
      <c r="D3088">
        <v>16.48</v>
      </c>
      <c r="E3088">
        <v>1.23</v>
      </c>
      <c r="F3088">
        <v>0.2</v>
      </c>
      <c r="G3088" t="s">
        <v>3260</v>
      </c>
      <c r="H3088">
        <v>691</v>
      </c>
      <c r="I3088">
        <v>16.48</v>
      </c>
      <c r="J3088">
        <v>16.49</v>
      </c>
      <c r="K3088" t="s">
        <v>15869</v>
      </c>
      <c r="L3088">
        <v>5.11</v>
      </c>
      <c r="M3088" t="s">
        <v>46</v>
      </c>
      <c r="N3088" t="s">
        <v>1729</v>
      </c>
      <c r="O3088">
        <v>16.69</v>
      </c>
      <c r="P3088">
        <v>16.23</v>
      </c>
      <c r="Q3088">
        <v>16.31</v>
      </c>
      <c r="R3088">
        <v>16.28</v>
      </c>
      <c r="S3088">
        <v>2.83</v>
      </c>
      <c r="T3088">
        <v>1.47</v>
      </c>
      <c r="U3088">
        <v>50.78</v>
      </c>
      <c r="V3088">
        <v>497</v>
      </c>
      <c r="W3088">
        <v>16.47</v>
      </c>
      <c r="X3088" t="s">
        <v>2371</v>
      </c>
      <c r="Y3088" t="s">
        <v>1118</v>
      </c>
      <c r="Z3088">
        <v>0.93</v>
      </c>
      <c r="AA3088">
        <v>156</v>
      </c>
      <c r="AB3088">
        <v>112</v>
      </c>
      <c r="AC3088">
        <v>2.79</v>
      </c>
      <c r="AD3088" t="s">
        <v>15870</v>
      </c>
      <c r="AE3088" t="s">
        <v>4030</v>
      </c>
      <c r="AF3088" t="s">
        <v>15871</v>
      </c>
      <c r="AG3088" t="s">
        <v>1119</v>
      </c>
      <c r="AH3088">
        <v>0.67</v>
      </c>
      <c r="AI3088">
        <v>-0.3</v>
      </c>
      <c r="AJ3088">
        <v>13</v>
      </c>
      <c r="AK3088">
        <v>22.55</v>
      </c>
      <c r="AL3088">
        <v>2</v>
      </c>
      <c r="AM3088">
        <v>1.23</v>
      </c>
      <c r="AN3088">
        <v>-34.16</v>
      </c>
      <c r="AO3088">
        <v>5.71</v>
      </c>
      <c r="AP3088">
        <v>-34.16</v>
      </c>
    </row>
    <row r="3089" spans="1:42">
      <c r="A3089">
        <v>3088</v>
      </c>
      <c r="B3089" t="str">
        <f>"002823"</f>
        <v>002823</v>
      </c>
      <c r="C3089" t="s">
        <v>15872</v>
      </c>
      <c r="D3089">
        <v>12.37</v>
      </c>
      <c r="E3089">
        <v>-1.12</v>
      </c>
      <c r="F3089">
        <v>-0.14</v>
      </c>
      <c r="G3089" t="s">
        <v>7062</v>
      </c>
      <c r="H3089">
        <v>605</v>
      </c>
      <c r="I3089">
        <v>12.36</v>
      </c>
      <c r="J3089">
        <v>12.37</v>
      </c>
      <c r="K3089" t="s">
        <v>15869</v>
      </c>
      <c r="L3089">
        <v>2.44</v>
      </c>
      <c r="M3089" t="s">
        <v>46</v>
      </c>
      <c r="N3089" t="s">
        <v>7049</v>
      </c>
      <c r="O3089">
        <v>12.58</v>
      </c>
      <c r="P3089">
        <v>12.25</v>
      </c>
      <c r="Q3089">
        <v>12.47</v>
      </c>
      <c r="R3089">
        <v>12.51</v>
      </c>
      <c r="S3089">
        <v>2.64</v>
      </c>
      <c r="T3089">
        <v>0.63</v>
      </c>
      <c r="U3089">
        <v>-32.07</v>
      </c>
      <c r="V3089">
        <v>-254</v>
      </c>
      <c r="W3089">
        <v>12.38</v>
      </c>
      <c r="X3089" t="s">
        <v>5237</v>
      </c>
      <c r="Y3089" t="s">
        <v>153</v>
      </c>
      <c r="Z3089">
        <v>0.97</v>
      </c>
      <c r="AA3089">
        <v>79</v>
      </c>
      <c r="AB3089">
        <v>27</v>
      </c>
      <c r="AC3089">
        <v>2.7</v>
      </c>
      <c r="AD3089" t="s">
        <v>10330</v>
      </c>
      <c r="AE3089" t="s">
        <v>15452</v>
      </c>
      <c r="AF3089" t="s">
        <v>15873</v>
      </c>
      <c r="AG3089" t="s">
        <v>2234</v>
      </c>
      <c r="AH3089">
        <v>-3.13</v>
      </c>
      <c r="AI3089">
        <v>0.08</v>
      </c>
      <c r="AJ3089">
        <v>8.98</v>
      </c>
      <c r="AK3089">
        <v>21.93</v>
      </c>
      <c r="AL3089">
        <v>-3</v>
      </c>
      <c r="AM3089">
        <v>-1.12</v>
      </c>
      <c r="AN3089">
        <v>35.64</v>
      </c>
      <c r="AO3089">
        <v>-1.2</v>
      </c>
      <c r="AP3089">
        <v>25.2</v>
      </c>
    </row>
    <row r="3090" spans="1:42">
      <c r="A3090">
        <v>3089</v>
      </c>
      <c r="B3090" t="str">
        <f>"300109"</f>
        <v>300109</v>
      </c>
      <c r="C3090" t="s">
        <v>15874</v>
      </c>
      <c r="D3090">
        <v>19.7</v>
      </c>
      <c r="E3090">
        <v>0.72</v>
      </c>
      <c r="F3090">
        <v>0.14</v>
      </c>
      <c r="G3090" t="s">
        <v>688</v>
      </c>
      <c r="H3090">
        <v>430</v>
      </c>
      <c r="I3090">
        <v>19.69</v>
      </c>
      <c r="J3090">
        <v>19.7</v>
      </c>
      <c r="K3090" t="s">
        <v>15869</v>
      </c>
      <c r="L3090">
        <v>0.92</v>
      </c>
      <c r="M3090" t="s">
        <v>46</v>
      </c>
      <c r="N3090" t="s">
        <v>654</v>
      </c>
      <c r="O3090">
        <v>19.8</v>
      </c>
      <c r="P3090">
        <v>19.39</v>
      </c>
      <c r="Q3090">
        <v>19.7</v>
      </c>
      <c r="R3090">
        <v>19.56</v>
      </c>
      <c r="S3090">
        <v>2.1</v>
      </c>
      <c r="T3090">
        <v>0.64</v>
      </c>
      <c r="U3090">
        <v>-13.18</v>
      </c>
      <c r="V3090">
        <v>-68</v>
      </c>
      <c r="W3090">
        <v>19.57</v>
      </c>
      <c r="X3090" t="s">
        <v>4525</v>
      </c>
      <c r="Y3090" t="s">
        <v>2547</v>
      </c>
      <c r="Z3090">
        <v>1.1</v>
      </c>
      <c r="AA3090">
        <v>51</v>
      </c>
      <c r="AB3090">
        <v>50</v>
      </c>
      <c r="AC3090">
        <v>1.84</v>
      </c>
      <c r="AD3090" t="s">
        <v>9728</v>
      </c>
      <c r="AE3090" t="s">
        <v>15875</v>
      </c>
      <c r="AF3090" t="s">
        <v>3393</v>
      </c>
      <c r="AG3090" t="s">
        <v>15876</v>
      </c>
      <c r="AH3090">
        <v>-2.09</v>
      </c>
      <c r="AI3090">
        <v>-1.75</v>
      </c>
      <c r="AJ3090">
        <v>3.29</v>
      </c>
      <c r="AK3090">
        <v>8.18</v>
      </c>
      <c r="AL3090">
        <v>1</v>
      </c>
      <c r="AM3090">
        <v>0.72</v>
      </c>
      <c r="AN3090">
        <v>-16.88</v>
      </c>
      <c r="AO3090">
        <v>2.82</v>
      </c>
      <c r="AP3090">
        <v>-22.5</v>
      </c>
    </row>
    <row r="3091" spans="1:42">
      <c r="A3091">
        <v>3090</v>
      </c>
      <c r="B3091" t="str">
        <f>"002162"</f>
        <v>002162</v>
      </c>
      <c r="C3091" t="s">
        <v>15877</v>
      </c>
      <c r="D3091">
        <v>4.49</v>
      </c>
      <c r="E3091">
        <v>1.35</v>
      </c>
      <c r="F3091">
        <v>0.06</v>
      </c>
      <c r="G3091" t="s">
        <v>4356</v>
      </c>
      <c r="H3091">
        <v>2013</v>
      </c>
      <c r="I3091">
        <v>4.49</v>
      </c>
      <c r="J3091">
        <v>4.5</v>
      </c>
      <c r="K3091" t="s">
        <v>15878</v>
      </c>
      <c r="L3091">
        <v>1.24</v>
      </c>
      <c r="M3091" t="s">
        <v>46</v>
      </c>
      <c r="N3091" t="s">
        <v>1878</v>
      </c>
      <c r="O3091">
        <v>4.49</v>
      </c>
      <c r="P3091">
        <v>4.39</v>
      </c>
      <c r="Q3091">
        <v>4.42</v>
      </c>
      <c r="R3091">
        <v>4.43</v>
      </c>
      <c r="S3091">
        <v>2.26</v>
      </c>
      <c r="T3091">
        <v>0.9</v>
      </c>
      <c r="U3091">
        <v>-32.73</v>
      </c>
      <c r="V3091">
        <v>-7611</v>
      </c>
      <c r="W3091">
        <v>4.47</v>
      </c>
      <c r="X3091" t="s">
        <v>459</v>
      </c>
      <c r="Y3091" t="s">
        <v>12160</v>
      </c>
      <c r="Z3091">
        <v>0.61</v>
      </c>
      <c r="AA3091">
        <v>1152</v>
      </c>
      <c r="AB3091">
        <v>4732</v>
      </c>
      <c r="AC3091">
        <v>3.97</v>
      </c>
      <c r="AD3091" t="s">
        <v>15879</v>
      </c>
      <c r="AE3091" t="s">
        <v>15880</v>
      </c>
      <c r="AF3091" t="s">
        <v>15881</v>
      </c>
      <c r="AG3091" t="s">
        <v>10744</v>
      </c>
      <c r="AH3091">
        <v>-0.66</v>
      </c>
      <c r="AI3091">
        <v>-0.66</v>
      </c>
      <c r="AJ3091">
        <v>3.52</v>
      </c>
      <c r="AK3091">
        <v>8.17</v>
      </c>
      <c r="AL3091">
        <v>1</v>
      </c>
      <c r="AM3091">
        <v>1.35</v>
      </c>
      <c r="AN3091">
        <v>-0.66</v>
      </c>
      <c r="AO3091">
        <v>2.75</v>
      </c>
      <c r="AP3091">
        <v>3.22</v>
      </c>
    </row>
    <row r="3092" spans="1:42">
      <c r="A3092">
        <v>3091</v>
      </c>
      <c r="B3092" t="str">
        <f>"002132"</f>
        <v>002132</v>
      </c>
      <c r="C3092" t="s">
        <v>15882</v>
      </c>
      <c r="D3092">
        <v>3.17</v>
      </c>
      <c r="E3092">
        <v>-0.31</v>
      </c>
      <c r="F3092">
        <v>-0.01</v>
      </c>
      <c r="G3092" t="s">
        <v>665</v>
      </c>
      <c r="H3092">
        <v>2005</v>
      </c>
      <c r="I3092">
        <v>3.17</v>
      </c>
      <c r="J3092">
        <v>3.18</v>
      </c>
      <c r="K3092" t="s">
        <v>4338</v>
      </c>
      <c r="L3092">
        <v>1.16</v>
      </c>
      <c r="M3092" t="s">
        <v>46</v>
      </c>
      <c r="N3092" t="s">
        <v>7832</v>
      </c>
      <c r="O3092">
        <v>3.2</v>
      </c>
      <c r="P3092">
        <v>3.11</v>
      </c>
      <c r="Q3092">
        <v>3.14</v>
      </c>
      <c r="R3092">
        <v>3.18</v>
      </c>
      <c r="S3092">
        <v>2.83</v>
      </c>
      <c r="T3092">
        <v>1.08</v>
      </c>
      <c r="U3092">
        <v>-12.15</v>
      </c>
      <c r="V3092">
        <v>-2867</v>
      </c>
      <c r="W3092">
        <v>3.17</v>
      </c>
      <c r="X3092" t="s">
        <v>9529</v>
      </c>
      <c r="Y3092" t="s">
        <v>10255</v>
      </c>
      <c r="Z3092">
        <v>1.14</v>
      </c>
      <c r="AA3092">
        <v>425</v>
      </c>
      <c r="AB3092">
        <v>1667</v>
      </c>
      <c r="AC3092">
        <v>1.19</v>
      </c>
      <c r="AD3092" t="s">
        <v>13880</v>
      </c>
      <c r="AE3092" t="s">
        <v>15883</v>
      </c>
      <c r="AF3092" t="s">
        <v>15884</v>
      </c>
      <c r="AG3092" t="s">
        <v>14145</v>
      </c>
      <c r="AH3092">
        <v>-1.86</v>
      </c>
      <c r="AI3092">
        <v>-2.46</v>
      </c>
      <c r="AJ3092">
        <v>3.8</v>
      </c>
      <c r="AK3092">
        <v>6.5</v>
      </c>
      <c r="AL3092">
        <v>-3</v>
      </c>
      <c r="AM3092">
        <v>-0.31</v>
      </c>
      <c r="AN3092">
        <v>-27.79</v>
      </c>
      <c r="AO3092">
        <v>0.32</v>
      </c>
      <c r="AP3092">
        <v>-28.28</v>
      </c>
    </row>
    <row r="3093" spans="1:42">
      <c r="A3093">
        <v>3092</v>
      </c>
      <c r="B3093" t="str">
        <f>"605123"</f>
        <v>605123</v>
      </c>
      <c r="C3093" t="s">
        <v>15885</v>
      </c>
      <c r="D3093">
        <v>92.72</v>
      </c>
      <c r="E3093">
        <v>-0.19</v>
      </c>
      <c r="F3093">
        <v>-0.18</v>
      </c>
      <c r="G3093">
        <v>5551</v>
      </c>
      <c r="H3093">
        <v>48</v>
      </c>
      <c r="I3093">
        <v>92.62</v>
      </c>
      <c r="J3093">
        <v>92.72</v>
      </c>
      <c r="K3093" t="s">
        <v>15886</v>
      </c>
      <c r="L3093">
        <v>0.46</v>
      </c>
      <c r="M3093" t="s">
        <v>46</v>
      </c>
      <c r="N3093" t="s">
        <v>8621</v>
      </c>
      <c r="O3093">
        <v>93.48</v>
      </c>
      <c r="P3093">
        <v>91.77</v>
      </c>
      <c r="Q3093">
        <v>92.25</v>
      </c>
      <c r="R3093">
        <v>92.9</v>
      </c>
      <c r="S3093">
        <v>1.84</v>
      </c>
      <c r="T3093">
        <v>0.43</v>
      </c>
      <c r="U3093">
        <v>20.75</v>
      </c>
      <c r="V3093">
        <v>11</v>
      </c>
      <c r="W3093">
        <v>92.32</v>
      </c>
      <c r="X3093">
        <v>3092</v>
      </c>
      <c r="Y3093">
        <v>2459</v>
      </c>
      <c r="Z3093">
        <v>1.26</v>
      </c>
      <c r="AA3093">
        <v>1</v>
      </c>
      <c r="AB3093">
        <v>10</v>
      </c>
      <c r="AC3093">
        <v>2.66</v>
      </c>
      <c r="AD3093" t="s">
        <v>15887</v>
      </c>
      <c r="AE3093" t="s">
        <v>15888</v>
      </c>
      <c r="AF3093" t="s">
        <v>15887</v>
      </c>
      <c r="AG3093" t="s">
        <v>15888</v>
      </c>
      <c r="AH3093">
        <v>-1.58</v>
      </c>
      <c r="AI3093">
        <v>-5.4</v>
      </c>
      <c r="AJ3093">
        <v>1.68</v>
      </c>
      <c r="AK3093">
        <v>5.85</v>
      </c>
      <c r="AL3093">
        <v>-2</v>
      </c>
      <c r="AM3093">
        <v>-0.19</v>
      </c>
      <c r="AN3093">
        <v>-29.96</v>
      </c>
      <c r="AO3093">
        <v>12.09</v>
      </c>
      <c r="AP3093">
        <v>-34.99</v>
      </c>
    </row>
    <row r="3094" spans="1:42">
      <c r="A3094">
        <v>3093</v>
      </c>
      <c r="B3094" t="str">
        <f>"002666"</f>
        <v>002666</v>
      </c>
      <c r="C3094" t="s">
        <v>15889</v>
      </c>
      <c r="D3094">
        <v>5.18</v>
      </c>
      <c r="E3094">
        <v>-0.58</v>
      </c>
      <c r="F3094">
        <v>-0.03</v>
      </c>
      <c r="G3094" t="s">
        <v>5306</v>
      </c>
      <c r="H3094">
        <v>323</v>
      </c>
      <c r="I3094">
        <v>5.17</v>
      </c>
      <c r="J3094">
        <v>5.18</v>
      </c>
      <c r="K3094" t="s">
        <v>15890</v>
      </c>
      <c r="L3094">
        <v>2.2</v>
      </c>
      <c r="M3094" t="s">
        <v>46</v>
      </c>
      <c r="N3094" t="s">
        <v>2513</v>
      </c>
      <c r="O3094">
        <v>5.23</v>
      </c>
      <c r="P3094">
        <v>5.13</v>
      </c>
      <c r="Q3094">
        <v>5.16</v>
      </c>
      <c r="R3094">
        <v>5.21</v>
      </c>
      <c r="S3094">
        <v>1.92</v>
      </c>
      <c r="T3094">
        <v>0.77</v>
      </c>
      <c r="U3094">
        <v>-6.54</v>
      </c>
      <c r="V3094">
        <v>-616</v>
      </c>
      <c r="W3094">
        <v>5.17</v>
      </c>
      <c r="X3094" t="s">
        <v>2405</v>
      </c>
      <c r="Y3094" t="s">
        <v>3103</v>
      </c>
      <c r="Z3094">
        <v>1.26</v>
      </c>
      <c r="AA3094">
        <v>223</v>
      </c>
      <c r="AB3094">
        <v>256</v>
      </c>
      <c r="AC3094">
        <v>1.15</v>
      </c>
      <c r="AD3094" t="s">
        <v>15891</v>
      </c>
      <c r="AE3094" t="s">
        <v>4372</v>
      </c>
      <c r="AF3094" t="s">
        <v>15892</v>
      </c>
      <c r="AG3094" t="s">
        <v>15893</v>
      </c>
      <c r="AH3094">
        <v>-1.89</v>
      </c>
      <c r="AI3094">
        <v>0.19</v>
      </c>
      <c r="AJ3094">
        <v>9.5</v>
      </c>
      <c r="AK3094">
        <v>16.41</v>
      </c>
      <c r="AL3094">
        <v>-3</v>
      </c>
      <c r="AM3094">
        <v>-0.58</v>
      </c>
      <c r="AN3094">
        <v>6.58</v>
      </c>
      <c r="AO3094">
        <v>2.98</v>
      </c>
      <c r="AP3094">
        <v>-4.78</v>
      </c>
    </row>
    <row r="3095" spans="1:42">
      <c r="A3095">
        <v>3094</v>
      </c>
      <c r="B3095" t="str">
        <f>"603320"</f>
        <v>603320</v>
      </c>
      <c r="C3095" t="s">
        <v>15894</v>
      </c>
      <c r="D3095">
        <v>15.64</v>
      </c>
      <c r="E3095">
        <v>-0.57</v>
      </c>
      <c r="F3095">
        <v>-0.09</v>
      </c>
      <c r="G3095" t="s">
        <v>4761</v>
      </c>
      <c r="H3095">
        <v>339</v>
      </c>
      <c r="I3095">
        <v>15.64</v>
      </c>
      <c r="J3095">
        <v>15.66</v>
      </c>
      <c r="K3095" t="s">
        <v>15895</v>
      </c>
      <c r="L3095">
        <v>2.5</v>
      </c>
      <c r="M3095" t="s">
        <v>46</v>
      </c>
      <c r="N3095" t="s">
        <v>15896</v>
      </c>
      <c r="O3095">
        <v>15.83</v>
      </c>
      <c r="P3095">
        <v>15.6</v>
      </c>
      <c r="Q3095">
        <v>15.74</v>
      </c>
      <c r="R3095">
        <v>15.73</v>
      </c>
      <c r="S3095">
        <v>1.46</v>
      </c>
      <c r="T3095">
        <v>0.69</v>
      </c>
      <c r="U3095">
        <v>1.54</v>
      </c>
      <c r="V3095">
        <v>10</v>
      </c>
      <c r="W3095">
        <v>15.73</v>
      </c>
      <c r="X3095" t="s">
        <v>5997</v>
      </c>
      <c r="Y3095" t="s">
        <v>141</v>
      </c>
      <c r="Z3095">
        <v>1.06</v>
      </c>
      <c r="AA3095">
        <v>34</v>
      </c>
      <c r="AB3095">
        <v>81</v>
      </c>
      <c r="AC3095">
        <v>2.66</v>
      </c>
      <c r="AD3095" t="s">
        <v>7462</v>
      </c>
      <c r="AE3095" t="s">
        <v>10741</v>
      </c>
      <c r="AF3095" t="s">
        <v>7462</v>
      </c>
      <c r="AG3095" t="s">
        <v>10741</v>
      </c>
      <c r="AH3095">
        <v>-2.86</v>
      </c>
      <c r="AI3095">
        <v>-1.01</v>
      </c>
      <c r="AJ3095">
        <v>8.43</v>
      </c>
      <c r="AK3095">
        <v>20.53</v>
      </c>
      <c r="AL3095">
        <v>-3</v>
      </c>
      <c r="AM3095">
        <v>-0.57</v>
      </c>
      <c r="AN3095">
        <v>34.48</v>
      </c>
      <c r="AO3095">
        <v>5.53</v>
      </c>
      <c r="AP3095">
        <v>22.96</v>
      </c>
    </row>
    <row r="3096" spans="1:42">
      <c r="A3096">
        <v>3095</v>
      </c>
      <c r="B3096" t="str">
        <f>"600853"</f>
        <v>600853</v>
      </c>
      <c r="C3096" t="s">
        <v>15897</v>
      </c>
      <c r="D3096">
        <v>4.16</v>
      </c>
      <c r="E3096">
        <v>0.97</v>
      </c>
      <c r="F3096">
        <v>0.04</v>
      </c>
      <c r="G3096" t="s">
        <v>1261</v>
      </c>
      <c r="H3096">
        <v>1438</v>
      </c>
      <c r="I3096">
        <v>4.16</v>
      </c>
      <c r="J3096">
        <v>4.17</v>
      </c>
      <c r="K3096" t="s">
        <v>15895</v>
      </c>
      <c r="L3096">
        <v>1.23</v>
      </c>
      <c r="M3096" t="s">
        <v>46</v>
      </c>
      <c r="N3096" t="s">
        <v>2466</v>
      </c>
      <c r="O3096">
        <v>4.17</v>
      </c>
      <c r="P3096">
        <v>4.09</v>
      </c>
      <c r="Q3096">
        <v>4.12</v>
      </c>
      <c r="R3096">
        <v>4.12</v>
      </c>
      <c r="S3096">
        <v>1.94</v>
      </c>
      <c r="T3096">
        <v>0.91</v>
      </c>
      <c r="U3096">
        <v>-17.22</v>
      </c>
      <c r="V3096">
        <v>-5291</v>
      </c>
      <c r="W3096">
        <v>4.14</v>
      </c>
      <c r="X3096" t="s">
        <v>2300</v>
      </c>
      <c r="Y3096" t="s">
        <v>9723</v>
      </c>
      <c r="Z3096">
        <v>0.59</v>
      </c>
      <c r="AA3096">
        <v>4842</v>
      </c>
      <c r="AB3096">
        <v>5889</v>
      </c>
      <c r="AC3096">
        <v>1.62</v>
      </c>
      <c r="AD3096" t="s">
        <v>11318</v>
      </c>
      <c r="AE3096" t="s">
        <v>15898</v>
      </c>
      <c r="AF3096" t="s">
        <v>557</v>
      </c>
      <c r="AG3096" t="s">
        <v>15899</v>
      </c>
      <c r="AH3096">
        <v>-0.72</v>
      </c>
      <c r="AI3096">
        <v>-2.58</v>
      </c>
      <c r="AJ3096">
        <v>3.65</v>
      </c>
      <c r="AK3096">
        <v>7.96</v>
      </c>
      <c r="AL3096">
        <v>1</v>
      </c>
      <c r="AM3096">
        <v>0.97</v>
      </c>
      <c r="AN3096">
        <v>12.13</v>
      </c>
      <c r="AO3096">
        <v>-3.03</v>
      </c>
      <c r="AP3096">
        <v>34.19</v>
      </c>
    </row>
    <row r="3097" spans="1:42">
      <c r="A3097">
        <v>3096</v>
      </c>
      <c r="B3097" t="str">
        <f>"002377"</f>
        <v>002377</v>
      </c>
      <c r="C3097" t="s">
        <v>15900</v>
      </c>
      <c r="D3097">
        <v>2.75</v>
      </c>
      <c r="E3097">
        <v>1.48</v>
      </c>
      <c r="F3097">
        <v>0.04</v>
      </c>
      <c r="G3097" t="s">
        <v>4161</v>
      </c>
      <c r="H3097">
        <v>3372</v>
      </c>
      <c r="I3097">
        <v>2.74</v>
      </c>
      <c r="J3097">
        <v>2.75</v>
      </c>
      <c r="K3097" t="s">
        <v>15895</v>
      </c>
      <c r="L3097">
        <v>2.03</v>
      </c>
      <c r="M3097" t="s">
        <v>46</v>
      </c>
      <c r="N3097" t="s">
        <v>1883</v>
      </c>
      <c r="O3097">
        <v>2.79</v>
      </c>
      <c r="P3097">
        <v>2.69</v>
      </c>
      <c r="Q3097">
        <v>2.71</v>
      </c>
      <c r="R3097">
        <v>2.71</v>
      </c>
      <c r="S3097">
        <v>3.69</v>
      </c>
      <c r="T3097">
        <v>1.11</v>
      </c>
      <c r="U3097">
        <v>-16.7</v>
      </c>
      <c r="V3097">
        <v>-3859</v>
      </c>
      <c r="W3097">
        <v>2.75</v>
      </c>
      <c r="X3097" t="s">
        <v>3091</v>
      </c>
      <c r="Y3097" t="s">
        <v>262</v>
      </c>
      <c r="Z3097">
        <v>0.64</v>
      </c>
      <c r="AA3097">
        <v>2956</v>
      </c>
      <c r="AB3097">
        <v>1193</v>
      </c>
      <c r="AC3097">
        <v>4.32</v>
      </c>
      <c r="AD3097" t="s">
        <v>15901</v>
      </c>
      <c r="AE3097" t="s">
        <v>11987</v>
      </c>
      <c r="AF3097" t="s">
        <v>15902</v>
      </c>
      <c r="AG3097" t="s">
        <v>10555</v>
      </c>
      <c r="AH3097">
        <v>-0.36</v>
      </c>
      <c r="AI3097">
        <v>-2.83</v>
      </c>
      <c r="AJ3097">
        <v>5.54</v>
      </c>
      <c r="AK3097">
        <v>11.19</v>
      </c>
      <c r="AL3097">
        <v>1</v>
      </c>
      <c r="AM3097">
        <v>1.48</v>
      </c>
      <c r="AN3097">
        <v>1.1</v>
      </c>
      <c r="AO3097">
        <v>5.77</v>
      </c>
      <c r="AP3097">
        <v>-5.82</v>
      </c>
    </row>
    <row r="3098" spans="1:42">
      <c r="A3098">
        <v>3097</v>
      </c>
      <c r="B3098" t="str">
        <f>"000088"</f>
        <v>000088</v>
      </c>
      <c r="C3098" t="s">
        <v>15903</v>
      </c>
      <c r="D3098">
        <v>5.15</v>
      </c>
      <c r="E3098">
        <v>0.39</v>
      </c>
      <c r="F3098">
        <v>0.02</v>
      </c>
      <c r="G3098" t="s">
        <v>7189</v>
      </c>
      <c r="H3098">
        <v>571</v>
      </c>
      <c r="I3098">
        <v>5.14</v>
      </c>
      <c r="J3098">
        <v>5.15</v>
      </c>
      <c r="K3098" t="s">
        <v>15904</v>
      </c>
      <c r="L3098">
        <v>0.44</v>
      </c>
      <c r="M3098" t="s">
        <v>46</v>
      </c>
      <c r="N3098" t="s">
        <v>2026</v>
      </c>
      <c r="O3098">
        <v>5.2</v>
      </c>
      <c r="P3098">
        <v>5.1</v>
      </c>
      <c r="Q3098">
        <v>5.13</v>
      </c>
      <c r="R3098">
        <v>5.13</v>
      </c>
      <c r="S3098">
        <v>1.95</v>
      </c>
      <c r="T3098">
        <v>1.27</v>
      </c>
      <c r="U3098">
        <v>-13.37</v>
      </c>
      <c r="V3098">
        <v>-1199</v>
      </c>
      <c r="W3098">
        <v>5.15</v>
      </c>
      <c r="X3098" t="s">
        <v>7441</v>
      </c>
      <c r="Y3098" t="s">
        <v>5917</v>
      </c>
      <c r="Z3098">
        <v>0.95</v>
      </c>
      <c r="AA3098">
        <v>734</v>
      </c>
      <c r="AB3098">
        <v>154</v>
      </c>
      <c r="AC3098">
        <v>1.17</v>
      </c>
      <c r="AD3098" t="s">
        <v>12308</v>
      </c>
      <c r="AE3098" t="s">
        <v>972</v>
      </c>
      <c r="AF3098" t="s">
        <v>12308</v>
      </c>
      <c r="AG3098" t="s">
        <v>972</v>
      </c>
      <c r="AH3098">
        <v>0.78</v>
      </c>
      <c r="AI3098">
        <v>0.78</v>
      </c>
      <c r="AJ3098">
        <v>0.99</v>
      </c>
      <c r="AK3098">
        <v>2.18</v>
      </c>
      <c r="AL3098">
        <v>2</v>
      </c>
      <c r="AM3098">
        <v>0.39</v>
      </c>
      <c r="AN3098">
        <v>2.39</v>
      </c>
      <c r="AO3098">
        <v>5.1</v>
      </c>
      <c r="AP3098">
        <v>8.65</v>
      </c>
    </row>
    <row r="3099" spans="1:42">
      <c r="A3099">
        <v>3098</v>
      </c>
      <c r="B3099" t="str">
        <f>"002190"</f>
        <v>002190</v>
      </c>
      <c r="C3099" t="s">
        <v>15905</v>
      </c>
      <c r="D3099">
        <v>20.06</v>
      </c>
      <c r="E3099">
        <v>-0.2</v>
      </c>
      <c r="F3099">
        <v>-0.04</v>
      </c>
      <c r="G3099" t="s">
        <v>4257</v>
      </c>
      <c r="H3099">
        <v>244</v>
      </c>
      <c r="I3099">
        <v>20.05</v>
      </c>
      <c r="J3099">
        <v>20.06</v>
      </c>
      <c r="K3099" t="s">
        <v>15906</v>
      </c>
      <c r="L3099">
        <v>0.71</v>
      </c>
      <c r="M3099" t="s">
        <v>46</v>
      </c>
      <c r="N3099" t="s">
        <v>5236</v>
      </c>
      <c r="O3099">
        <v>20.2</v>
      </c>
      <c r="P3099">
        <v>19.86</v>
      </c>
      <c r="Q3099">
        <v>20.03</v>
      </c>
      <c r="R3099">
        <v>20.1</v>
      </c>
      <c r="S3099">
        <v>1.69</v>
      </c>
      <c r="T3099">
        <v>0.79</v>
      </c>
      <c r="U3099">
        <v>7.21</v>
      </c>
      <c r="V3099">
        <v>67</v>
      </c>
      <c r="W3099">
        <v>20.02</v>
      </c>
      <c r="X3099" t="s">
        <v>1777</v>
      </c>
      <c r="Y3099" t="s">
        <v>1254</v>
      </c>
      <c r="Z3099">
        <v>1.1</v>
      </c>
      <c r="AA3099">
        <v>189</v>
      </c>
      <c r="AB3099">
        <v>105</v>
      </c>
      <c r="AC3099">
        <v>2.02</v>
      </c>
      <c r="AD3099" t="s">
        <v>6444</v>
      </c>
      <c r="AE3099" t="s">
        <v>4267</v>
      </c>
      <c r="AF3099" t="s">
        <v>6444</v>
      </c>
      <c r="AG3099" t="s">
        <v>4267</v>
      </c>
      <c r="AH3099">
        <v>-2.38</v>
      </c>
      <c r="AI3099">
        <v>-1.18</v>
      </c>
      <c r="AJ3099">
        <v>2.47</v>
      </c>
      <c r="AK3099">
        <v>5.22</v>
      </c>
      <c r="AL3099">
        <v>-3</v>
      </c>
      <c r="AM3099">
        <v>-0.2</v>
      </c>
      <c r="AN3099">
        <v>-22.85</v>
      </c>
      <c r="AO3099">
        <v>1.72</v>
      </c>
      <c r="AP3099">
        <v>-21.7</v>
      </c>
    </row>
    <row r="3100" spans="1:42">
      <c r="A3100">
        <v>3099</v>
      </c>
      <c r="B3100" t="str">
        <f>"301367"</f>
        <v>301367</v>
      </c>
      <c r="C3100" t="s">
        <v>15907</v>
      </c>
      <c r="D3100">
        <v>118.25</v>
      </c>
      <c r="E3100">
        <v>-0.8</v>
      </c>
      <c r="F3100">
        <v>-0.95</v>
      </c>
      <c r="G3100">
        <v>4315</v>
      </c>
      <c r="H3100">
        <v>48</v>
      </c>
      <c r="I3100">
        <v>118.23</v>
      </c>
      <c r="J3100">
        <v>118.25</v>
      </c>
      <c r="K3100" t="s">
        <v>15908</v>
      </c>
      <c r="L3100">
        <v>1.06</v>
      </c>
      <c r="M3100" t="s">
        <v>46</v>
      </c>
      <c r="N3100" t="s">
        <v>13019</v>
      </c>
      <c r="O3100">
        <v>119.82</v>
      </c>
      <c r="P3100">
        <v>116.88</v>
      </c>
      <c r="Q3100">
        <v>119.82</v>
      </c>
      <c r="R3100">
        <v>119.2</v>
      </c>
      <c r="S3100">
        <v>2.47</v>
      </c>
      <c r="T3100">
        <v>0.38</v>
      </c>
      <c r="U3100">
        <v>-6.25</v>
      </c>
      <c r="V3100">
        <v>-4</v>
      </c>
      <c r="W3100">
        <v>118.26</v>
      </c>
      <c r="X3100">
        <v>2389</v>
      </c>
      <c r="Y3100">
        <v>1926</v>
      </c>
      <c r="Z3100">
        <v>1.24</v>
      </c>
      <c r="AA3100">
        <v>5</v>
      </c>
      <c r="AB3100">
        <v>6</v>
      </c>
      <c r="AC3100">
        <v>2.72</v>
      </c>
      <c r="AD3100" t="s">
        <v>15909</v>
      </c>
      <c r="AE3100" t="s">
        <v>15910</v>
      </c>
      <c r="AF3100" t="s">
        <v>4658</v>
      </c>
      <c r="AG3100" t="s">
        <v>9409</v>
      </c>
      <c r="AH3100">
        <v>-1.21</v>
      </c>
      <c r="AI3100">
        <v>5.38</v>
      </c>
      <c r="AJ3100">
        <v>4.35</v>
      </c>
      <c r="AK3100">
        <v>14.94</v>
      </c>
      <c r="AL3100">
        <v>-2</v>
      </c>
      <c r="AM3100">
        <v>-0.8</v>
      </c>
      <c r="AN3100">
        <v>-45.65</v>
      </c>
      <c r="AO3100">
        <v>12.14</v>
      </c>
      <c r="AP3100">
        <v>-51.4</v>
      </c>
    </row>
    <row r="3101" spans="1:42">
      <c r="A3101">
        <v>3100</v>
      </c>
      <c r="B3101" t="str">
        <f>"301379"</f>
        <v>301379</v>
      </c>
      <c r="C3101" t="s">
        <v>15911</v>
      </c>
      <c r="D3101">
        <v>29.84</v>
      </c>
      <c r="E3101">
        <v>0.17</v>
      </c>
      <c r="F3101">
        <v>0.05</v>
      </c>
      <c r="G3101" t="s">
        <v>1456</v>
      </c>
      <c r="H3101">
        <v>149</v>
      </c>
      <c r="I3101">
        <v>29.84</v>
      </c>
      <c r="J3101">
        <v>29.85</v>
      </c>
      <c r="K3101" t="s">
        <v>15912</v>
      </c>
      <c r="L3101">
        <v>2.62</v>
      </c>
      <c r="M3101" t="s">
        <v>46</v>
      </c>
      <c r="N3101" t="s">
        <v>1936</v>
      </c>
      <c r="O3101">
        <v>29.94</v>
      </c>
      <c r="P3101">
        <v>29.36</v>
      </c>
      <c r="Q3101">
        <v>29.78</v>
      </c>
      <c r="R3101">
        <v>29.79</v>
      </c>
      <c r="S3101">
        <v>1.95</v>
      </c>
      <c r="T3101">
        <v>0.63</v>
      </c>
      <c r="U3101">
        <v>-54.32</v>
      </c>
      <c r="V3101">
        <v>-176</v>
      </c>
      <c r="W3101">
        <v>29.63</v>
      </c>
      <c r="X3101">
        <v>8754</v>
      </c>
      <c r="Y3101">
        <v>8450</v>
      </c>
      <c r="Z3101">
        <v>1.04</v>
      </c>
      <c r="AA3101">
        <v>39</v>
      </c>
      <c r="AB3101">
        <v>22</v>
      </c>
      <c r="AC3101">
        <v>2.37</v>
      </c>
      <c r="AD3101" t="s">
        <v>13135</v>
      </c>
      <c r="AE3101" t="s">
        <v>8419</v>
      </c>
      <c r="AF3101" t="s">
        <v>15913</v>
      </c>
      <c r="AG3101" t="s">
        <v>5148</v>
      </c>
      <c r="AH3101">
        <v>-3.65</v>
      </c>
      <c r="AI3101">
        <v>-3.34</v>
      </c>
      <c r="AJ3101">
        <v>10.85</v>
      </c>
      <c r="AK3101">
        <v>23.46</v>
      </c>
      <c r="AL3101">
        <v>1</v>
      </c>
      <c r="AM3101">
        <v>0.17</v>
      </c>
      <c r="AN3101">
        <v>19.36</v>
      </c>
      <c r="AO3101">
        <v>2.86</v>
      </c>
      <c r="AP3101">
        <v>-0.37</v>
      </c>
    </row>
    <row r="3102" spans="1:42">
      <c r="A3102">
        <v>3101</v>
      </c>
      <c r="B3102" t="str">
        <f>"000752"</f>
        <v>000752</v>
      </c>
      <c r="C3102" t="s">
        <v>15914</v>
      </c>
      <c r="D3102">
        <v>7.04</v>
      </c>
      <c r="E3102">
        <v>-1.12</v>
      </c>
      <c r="F3102">
        <v>-0.08</v>
      </c>
      <c r="G3102" t="s">
        <v>3224</v>
      </c>
      <c r="H3102">
        <v>4882</v>
      </c>
      <c r="I3102">
        <v>7.03</v>
      </c>
      <c r="J3102">
        <v>7.04</v>
      </c>
      <c r="K3102" t="s">
        <v>15915</v>
      </c>
      <c r="L3102">
        <v>2.73</v>
      </c>
      <c r="M3102" t="s">
        <v>46</v>
      </c>
      <c r="N3102" t="s">
        <v>5854</v>
      </c>
      <c r="O3102">
        <v>7.19</v>
      </c>
      <c r="P3102">
        <v>7.04</v>
      </c>
      <c r="Q3102">
        <v>7.13</v>
      </c>
      <c r="R3102">
        <v>7.12</v>
      </c>
      <c r="S3102">
        <v>2.11</v>
      </c>
      <c r="T3102">
        <v>0.86</v>
      </c>
      <c r="U3102">
        <v>-10.58</v>
      </c>
      <c r="V3102">
        <v>-850</v>
      </c>
      <c r="W3102">
        <v>7.08</v>
      </c>
      <c r="X3102" t="s">
        <v>3290</v>
      </c>
      <c r="Y3102" t="s">
        <v>3121</v>
      </c>
      <c r="Z3102">
        <v>1.62</v>
      </c>
      <c r="AA3102">
        <v>144</v>
      </c>
      <c r="AB3102">
        <v>3322</v>
      </c>
      <c r="AC3102">
        <v>-17.25</v>
      </c>
      <c r="AD3102" t="s">
        <v>15916</v>
      </c>
      <c r="AE3102" t="s">
        <v>15917</v>
      </c>
      <c r="AF3102" t="s">
        <v>15916</v>
      </c>
      <c r="AG3102" t="s">
        <v>15917</v>
      </c>
      <c r="AH3102">
        <v>-3.83</v>
      </c>
      <c r="AI3102">
        <v>-1.12</v>
      </c>
      <c r="AJ3102">
        <v>7.54</v>
      </c>
      <c r="AK3102">
        <v>18.69</v>
      </c>
      <c r="AL3102">
        <v>-1</v>
      </c>
      <c r="AM3102">
        <v>-1.12</v>
      </c>
      <c r="AN3102">
        <v>73.4</v>
      </c>
      <c r="AO3102">
        <v>-5.63</v>
      </c>
      <c r="AP3102">
        <v>87.23</v>
      </c>
    </row>
    <row r="3103" spans="1:42">
      <c r="A3103">
        <v>3102</v>
      </c>
      <c r="B3103" t="str">
        <f>"301360"</f>
        <v>301360</v>
      </c>
      <c r="C3103" t="s">
        <v>15918</v>
      </c>
      <c r="D3103">
        <v>76.74</v>
      </c>
      <c r="E3103">
        <v>-0.48</v>
      </c>
      <c r="F3103">
        <v>-0.37</v>
      </c>
      <c r="G3103">
        <v>6705</v>
      </c>
      <c r="H3103">
        <v>56</v>
      </c>
      <c r="I3103">
        <v>76.7</v>
      </c>
      <c r="J3103">
        <v>76.74</v>
      </c>
      <c r="K3103" t="s">
        <v>15919</v>
      </c>
      <c r="L3103">
        <v>5.31</v>
      </c>
      <c r="M3103" t="s">
        <v>46</v>
      </c>
      <c r="N3103" t="s">
        <v>5071</v>
      </c>
      <c r="O3103">
        <v>76.99</v>
      </c>
      <c r="P3103">
        <v>75</v>
      </c>
      <c r="Q3103">
        <v>76.98</v>
      </c>
      <c r="R3103">
        <v>77.11</v>
      </c>
      <c r="S3103">
        <v>2.58</v>
      </c>
      <c r="T3103">
        <v>0.69</v>
      </c>
      <c r="U3103">
        <v>-56.76</v>
      </c>
      <c r="V3103">
        <v>-21</v>
      </c>
      <c r="W3103">
        <v>75.97</v>
      </c>
      <c r="X3103">
        <v>3634</v>
      </c>
      <c r="Y3103">
        <v>3072</v>
      </c>
      <c r="Z3103">
        <v>1.18</v>
      </c>
      <c r="AA3103">
        <v>1</v>
      </c>
      <c r="AB3103">
        <v>19</v>
      </c>
      <c r="AC3103">
        <v>3.69</v>
      </c>
      <c r="AD3103" t="s">
        <v>15601</v>
      </c>
      <c r="AE3103" t="s">
        <v>15920</v>
      </c>
      <c r="AF3103" t="s">
        <v>15921</v>
      </c>
      <c r="AG3103" t="s">
        <v>15922</v>
      </c>
      <c r="AH3103">
        <v>-5.61</v>
      </c>
      <c r="AI3103">
        <v>-2.4</v>
      </c>
      <c r="AJ3103">
        <v>20.91</v>
      </c>
      <c r="AK3103">
        <v>43.69</v>
      </c>
      <c r="AL3103">
        <v>-3</v>
      </c>
      <c r="AM3103">
        <v>-0.48</v>
      </c>
      <c r="AN3103">
        <v>6.76</v>
      </c>
      <c r="AO3103">
        <v>9.22</v>
      </c>
      <c r="AP3103">
        <v>6.76</v>
      </c>
    </row>
    <row r="3104" spans="1:42">
      <c r="A3104">
        <v>3103</v>
      </c>
      <c r="B3104" t="str">
        <f>"605011"</f>
        <v>605011</v>
      </c>
      <c r="C3104" t="s">
        <v>15923</v>
      </c>
      <c r="D3104">
        <v>24.25</v>
      </c>
      <c r="E3104">
        <v>0.54</v>
      </c>
      <c r="F3104">
        <v>0.13</v>
      </c>
      <c r="G3104" t="s">
        <v>153</v>
      </c>
      <c r="H3104">
        <v>384</v>
      </c>
      <c r="I3104">
        <v>24.23</v>
      </c>
      <c r="J3104">
        <v>24.25</v>
      </c>
      <c r="K3104" t="s">
        <v>15924</v>
      </c>
      <c r="L3104">
        <v>1.74</v>
      </c>
      <c r="M3104" t="s">
        <v>46</v>
      </c>
      <c r="N3104" t="s">
        <v>7267</v>
      </c>
      <c r="O3104">
        <v>24.32</v>
      </c>
      <c r="P3104">
        <v>23.88</v>
      </c>
      <c r="Q3104">
        <v>24</v>
      </c>
      <c r="R3104">
        <v>24.12</v>
      </c>
      <c r="S3104">
        <v>1.82</v>
      </c>
      <c r="T3104">
        <v>0.56</v>
      </c>
      <c r="U3104">
        <v>-52.77</v>
      </c>
      <c r="V3104">
        <v>-219</v>
      </c>
      <c r="W3104">
        <v>24.13</v>
      </c>
      <c r="X3104" t="s">
        <v>239</v>
      </c>
      <c r="Y3104" t="s">
        <v>2147</v>
      </c>
      <c r="Z3104">
        <v>0.96</v>
      </c>
      <c r="AA3104">
        <v>19</v>
      </c>
      <c r="AB3104">
        <v>27</v>
      </c>
      <c r="AC3104">
        <v>4.55</v>
      </c>
      <c r="AD3104" t="s">
        <v>5024</v>
      </c>
      <c r="AE3104" t="s">
        <v>13903</v>
      </c>
      <c r="AF3104" t="s">
        <v>15925</v>
      </c>
      <c r="AG3104" t="s">
        <v>15926</v>
      </c>
      <c r="AH3104">
        <v>-1.94</v>
      </c>
      <c r="AI3104">
        <v>-1.54</v>
      </c>
      <c r="AJ3104">
        <v>9.24</v>
      </c>
      <c r="AK3104">
        <v>17.22</v>
      </c>
      <c r="AL3104">
        <v>1</v>
      </c>
      <c r="AM3104">
        <v>0.54</v>
      </c>
      <c r="AN3104">
        <v>61.02</v>
      </c>
      <c r="AO3104">
        <v>-1.94</v>
      </c>
      <c r="AP3104">
        <v>63.96</v>
      </c>
    </row>
    <row r="3105" spans="1:42">
      <c r="A3105">
        <v>3104</v>
      </c>
      <c r="B3105" t="str">
        <f>"301331"</f>
        <v>301331</v>
      </c>
      <c r="C3105" t="s">
        <v>15927</v>
      </c>
      <c r="D3105">
        <v>44.35</v>
      </c>
      <c r="E3105">
        <v>-0.34</v>
      </c>
      <c r="F3105">
        <v>-0.15</v>
      </c>
      <c r="G3105" t="s">
        <v>2667</v>
      </c>
      <c r="H3105">
        <v>66</v>
      </c>
      <c r="I3105">
        <v>44.35</v>
      </c>
      <c r="J3105">
        <v>44.38</v>
      </c>
      <c r="K3105" t="s">
        <v>15928</v>
      </c>
      <c r="L3105">
        <v>4.96</v>
      </c>
      <c r="M3105" t="s">
        <v>46</v>
      </c>
      <c r="N3105" t="s">
        <v>15929</v>
      </c>
      <c r="O3105">
        <v>45.4</v>
      </c>
      <c r="P3105">
        <v>44.07</v>
      </c>
      <c r="Q3105">
        <v>44.07</v>
      </c>
      <c r="R3105">
        <v>44.5</v>
      </c>
      <c r="S3105">
        <v>2.99</v>
      </c>
      <c r="T3105">
        <v>0.62</v>
      </c>
      <c r="U3105">
        <v>34.52</v>
      </c>
      <c r="V3105">
        <v>39</v>
      </c>
      <c r="W3105">
        <v>44.68</v>
      </c>
      <c r="X3105">
        <v>6827</v>
      </c>
      <c r="Y3105">
        <v>4565</v>
      </c>
      <c r="Z3105">
        <v>1.5</v>
      </c>
      <c r="AA3105">
        <v>1</v>
      </c>
      <c r="AB3105">
        <v>3</v>
      </c>
      <c r="AC3105">
        <v>2.79</v>
      </c>
      <c r="AD3105" t="s">
        <v>2523</v>
      </c>
      <c r="AE3105" t="s">
        <v>7357</v>
      </c>
      <c r="AF3105" t="s">
        <v>15930</v>
      </c>
      <c r="AG3105" t="s">
        <v>1090</v>
      </c>
      <c r="AH3105">
        <v>-2.12</v>
      </c>
      <c r="AI3105">
        <v>-6.14</v>
      </c>
      <c r="AJ3105">
        <v>14.74</v>
      </c>
      <c r="AK3105">
        <v>45.21</v>
      </c>
      <c r="AL3105">
        <v>-1</v>
      </c>
      <c r="AM3105">
        <v>-0.34</v>
      </c>
      <c r="AN3105">
        <v>16.22</v>
      </c>
      <c r="AO3105">
        <v>2</v>
      </c>
      <c r="AP3105">
        <v>-3.23</v>
      </c>
    </row>
    <row r="3106" spans="1:42">
      <c r="A3106">
        <v>3105</v>
      </c>
      <c r="B3106" t="str">
        <f>"300521"</f>
        <v>300521</v>
      </c>
      <c r="C3106" t="s">
        <v>15931</v>
      </c>
      <c r="D3106">
        <v>14.49</v>
      </c>
      <c r="E3106">
        <v>-1.23</v>
      </c>
      <c r="F3106">
        <v>-0.18</v>
      </c>
      <c r="G3106" t="s">
        <v>7177</v>
      </c>
      <c r="H3106">
        <v>279</v>
      </c>
      <c r="I3106">
        <v>14.48</v>
      </c>
      <c r="J3106">
        <v>14.49</v>
      </c>
      <c r="K3106" t="s">
        <v>7661</v>
      </c>
      <c r="L3106">
        <v>2.43</v>
      </c>
      <c r="M3106" t="s">
        <v>46</v>
      </c>
      <c r="N3106" t="s">
        <v>10557</v>
      </c>
      <c r="O3106">
        <v>14.73</v>
      </c>
      <c r="P3106">
        <v>14.4</v>
      </c>
      <c r="Q3106">
        <v>14.67</v>
      </c>
      <c r="R3106">
        <v>14.67</v>
      </c>
      <c r="S3106">
        <v>2.25</v>
      </c>
      <c r="T3106">
        <v>0.49</v>
      </c>
      <c r="U3106">
        <v>17.65</v>
      </c>
      <c r="V3106">
        <v>147</v>
      </c>
      <c r="W3106">
        <v>14.53</v>
      </c>
      <c r="X3106" t="s">
        <v>325</v>
      </c>
      <c r="Y3106" t="s">
        <v>1112</v>
      </c>
      <c r="Z3106">
        <v>1.09</v>
      </c>
      <c r="AA3106">
        <v>32</v>
      </c>
      <c r="AB3106">
        <v>37</v>
      </c>
      <c r="AC3106">
        <v>4.17</v>
      </c>
      <c r="AD3106" t="s">
        <v>14041</v>
      </c>
      <c r="AE3106" t="s">
        <v>12374</v>
      </c>
      <c r="AF3106" t="s">
        <v>14041</v>
      </c>
      <c r="AG3106" t="s">
        <v>12374</v>
      </c>
      <c r="AH3106">
        <v>-4.23</v>
      </c>
      <c r="AI3106">
        <v>-1.56</v>
      </c>
      <c r="AJ3106">
        <v>9.81</v>
      </c>
      <c r="AK3106">
        <v>27.04</v>
      </c>
      <c r="AL3106">
        <v>-3</v>
      </c>
      <c r="AM3106">
        <v>-1.23</v>
      </c>
      <c r="AN3106">
        <v>46.07</v>
      </c>
      <c r="AO3106">
        <v>2.33</v>
      </c>
      <c r="AP3106">
        <v>28.69</v>
      </c>
    </row>
    <row r="3107" spans="1:42">
      <c r="A3107">
        <v>3106</v>
      </c>
      <c r="B3107" t="str">
        <f>"300078"</f>
        <v>300078</v>
      </c>
      <c r="C3107" t="s">
        <v>15932</v>
      </c>
      <c r="D3107">
        <v>4.83</v>
      </c>
      <c r="E3107">
        <v>1.9</v>
      </c>
      <c r="F3107">
        <v>0.09</v>
      </c>
      <c r="G3107" t="s">
        <v>1128</v>
      </c>
      <c r="H3107">
        <v>299</v>
      </c>
      <c r="I3107">
        <v>4.83</v>
      </c>
      <c r="J3107">
        <v>4.84</v>
      </c>
      <c r="K3107" t="s">
        <v>15933</v>
      </c>
      <c r="L3107">
        <v>1.27</v>
      </c>
      <c r="M3107" t="s">
        <v>46</v>
      </c>
      <c r="N3107" t="s">
        <v>15934</v>
      </c>
      <c r="O3107">
        <v>4.85</v>
      </c>
      <c r="P3107">
        <v>4.68</v>
      </c>
      <c r="Q3107">
        <v>4.7</v>
      </c>
      <c r="R3107">
        <v>4.74</v>
      </c>
      <c r="S3107">
        <v>3.59</v>
      </c>
      <c r="T3107">
        <v>0.99</v>
      </c>
      <c r="U3107">
        <v>-34.46</v>
      </c>
      <c r="V3107">
        <v>-4988</v>
      </c>
      <c r="W3107">
        <v>4.79</v>
      </c>
      <c r="X3107" t="s">
        <v>2189</v>
      </c>
      <c r="Y3107" t="s">
        <v>2836</v>
      </c>
      <c r="Z3107">
        <v>0.53</v>
      </c>
      <c r="AA3107">
        <v>2264</v>
      </c>
      <c r="AB3107">
        <v>26</v>
      </c>
      <c r="AC3107">
        <v>4.19</v>
      </c>
      <c r="AD3107" t="s">
        <v>15935</v>
      </c>
      <c r="AE3107" t="s">
        <v>12598</v>
      </c>
      <c r="AF3107" t="s">
        <v>15936</v>
      </c>
      <c r="AG3107" t="s">
        <v>15937</v>
      </c>
      <c r="AH3107">
        <v>0</v>
      </c>
      <c r="AI3107">
        <v>-0.62</v>
      </c>
      <c r="AJ3107">
        <v>3.41</v>
      </c>
      <c r="AK3107">
        <v>7.66</v>
      </c>
      <c r="AL3107">
        <v>1</v>
      </c>
      <c r="AM3107">
        <v>1.9</v>
      </c>
      <c r="AN3107">
        <v>5</v>
      </c>
      <c r="AO3107">
        <v>5.69</v>
      </c>
      <c r="AP3107">
        <v>1.68</v>
      </c>
    </row>
    <row r="3108" spans="1:42">
      <c r="A3108">
        <v>3107</v>
      </c>
      <c r="B3108" t="str">
        <f>"300772"</f>
        <v>300772</v>
      </c>
      <c r="C3108" t="s">
        <v>15938</v>
      </c>
      <c r="D3108">
        <v>10.48</v>
      </c>
      <c r="E3108">
        <v>-0.47</v>
      </c>
      <c r="F3108">
        <v>-0.05</v>
      </c>
      <c r="G3108" t="s">
        <v>3357</v>
      </c>
      <c r="H3108">
        <v>389</v>
      </c>
      <c r="I3108">
        <v>10.48</v>
      </c>
      <c r="J3108">
        <v>10.49</v>
      </c>
      <c r="K3108" t="s">
        <v>15939</v>
      </c>
      <c r="L3108">
        <v>0.71</v>
      </c>
      <c r="M3108" t="s">
        <v>46</v>
      </c>
      <c r="N3108" t="s">
        <v>5616</v>
      </c>
      <c r="O3108">
        <v>10.58</v>
      </c>
      <c r="P3108">
        <v>10.4</v>
      </c>
      <c r="Q3108">
        <v>10.52</v>
      </c>
      <c r="R3108">
        <v>10.53</v>
      </c>
      <c r="S3108">
        <v>1.71</v>
      </c>
      <c r="T3108">
        <v>1.06</v>
      </c>
      <c r="U3108">
        <v>31.03</v>
      </c>
      <c r="V3108">
        <v>441</v>
      </c>
      <c r="W3108">
        <v>10.48</v>
      </c>
      <c r="X3108" t="s">
        <v>7160</v>
      </c>
      <c r="Y3108" t="s">
        <v>8267</v>
      </c>
      <c r="Z3108">
        <v>1.19</v>
      </c>
      <c r="AA3108">
        <v>222</v>
      </c>
      <c r="AB3108">
        <v>54</v>
      </c>
      <c r="AC3108">
        <v>1.45</v>
      </c>
      <c r="AD3108" t="s">
        <v>15940</v>
      </c>
      <c r="AE3108" t="s">
        <v>15941</v>
      </c>
      <c r="AF3108" t="s">
        <v>15942</v>
      </c>
      <c r="AG3108" t="s">
        <v>15943</v>
      </c>
      <c r="AH3108">
        <v>-3.14</v>
      </c>
      <c r="AI3108">
        <v>-2.6</v>
      </c>
      <c r="AJ3108">
        <v>1.99</v>
      </c>
      <c r="AK3108">
        <v>4.04</v>
      </c>
      <c r="AL3108">
        <v>-3</v>
      </c>
      <c r="AM3108">
        <v>-0.47</v>
      </c>
      <c r="AN3108">
        <v>-29.05</v>
      </c>
      <c r="AO3108">
        <v>-1.87</v>
      </c>
      <c r="AP3108">
        <v>-33.29</v>
      </c>
    </row>
    <row r="3109" spans="1:42">
      <c r="A3109">
        <v>3108</v>
      </c>
      <c r="B3109" t="str">
        <f>"002541"</f>
        <v>002541</v>
      </c>
      <c r="C3109" t="s">
        <v>15944</v>
      </c>
      <c r="D3109">
        <v>23.3</v>
      </c>
      <c r="E3109">
        <v>-1.44</v>
      </c>
      <c r="F3109">
        <v>-0.34</v>
      </c>
      <c r="G3109" t="s">
        <v>2102</v>
      </c>
      <c r="H3109">
        <v>138</v>
      </c>
      <c r="I3109">
        <v>23.28</v>
      </c>
      <c r="J3109">
        <v>23.3</v>
      </c>
      <c r="K3109" t="s">
        <v>15939</v>
      </c>
      <c r="L3109">
        <v>0.44</v>
      </c>
      <c r="M3109" t="s">
        <v>46</v>
      </c>
      <c r="N3109" t="s">
        <v>414</v>
      </c>
      <c r="O3109">
        <v>23.62</v>
      </c>
      <c r="P3109">
        <v>23.06</v>
      </c>
      <c r="Q3109">
        <v>23.62</v>
      </c>
      <c r="R3109">
        <v>23.64</v>
      </c>
      <c r="S3109">
        <v>2.37</v>
      </c>
      <c r="T3109">
        <v>1.06</v>
      </c>
      <c r="U3109">
        <v>-0.82</v>
      </c>
      <c r="V3109">
        <v>-4</v>
      </c>
      <c r="W3109">
        <v>23.25</v>
      </c>
      <c r="X3109" t="s">
        <v>1254</v>
      </c>
      <c r="Y3109">
        <v>9679</v>
      </c>
      <c r="Z3109">
        <v>1.26</v>
      </c>
      <c r="AA3109">
        <v>149</v>
      </c>
      <c r="AB3109">
        <v>105</v>
      </c>
      <c r="AC3109">
        <v>1.85</v>
      </c>
      <c r="AD3109" t="s">
        <v>11885</v>
      </c>
      <c r="AE3109" t="s">
        <v>15945</v>
      </c>
      <c r="AF3109" t="s">
        <v>15946</v>
      </c>
      <c r="AG3109" t="s">
        <v>4125</v>
      </c>
      <c r="AH3109">
        <v>-3.8</v>
      </c>
      <c r="AI3109">
        <v>-7.28</v>
      </c>
      <c r="AJ3109">
        <v>1.15</v>
      </c>
      <c r="AK3109">
        <v>2.52</v>
      </c>
      <c r="AL3109">
        <v>-6</v>
      </c>
      <c r="AM3109">
        <v>-1.44</v>
      </c>
      <c r="AN3109">
        <v>-19.74</v>
      </c>
      <c r="AO3109">
        <v>-9.55</v>
      </c>
      <c r="AP3109">
        <v>-30.22</v>
      </c>
    </row>
    <row r="3110" spans="1:42">
      <c r="A3110">
        <v>3109</v>
      </c>
      <c r="B3110" t="str">
        <f>"300703"</f>
        <v>300703</v>
      </c>
      <c r="C3110" t="s">
        <v>15947</v>
      </c>
      <c r="D3110">
        <v>11.33</v>
      </c>
      <c r="E3110">
        <v>0.27</v>
      </c>
      <c r="F3110">
        <v>0.03</v>
      </c>
      <c r="G3110" t="s">
        <v>843</v>
      </c>
      <c r="H3110">
        <v>972</v>
      </c>
      <c r="I3110">
        <v>11.33</v>
      </c>
      <c r="J3110">
        <v>11.34</v>
      </c>
      <c r="K3110" t="s">
        <v>15939</v>
      </c>
      <c r="L3110">
        <v>2.69</v>
      </c>
      <c r="M3110" t="s">
        <v>46</v>
      </c>
      <c r="N3110" t="s">
        <v>6876</v>
      </c>
      <c r="O3110">
        <v>11.45</v>
      </c>
      <c r="P3110">
        <v>11.25</v>
      </c>
      <c r="Q3110">
        <v>11.32</v>
      </c>
      <c r="R3110">
        <v>11.3</v>
      </c>
      <c r="S3110">
        <v>1.77</v>
      </c>
      <c r="T3110">
        <v>1.34</v>
      </c>
      <c r="U3110">
        <v>11.86</v>
      </c>
      <c r="V3110">
        <v>131</v>
      </c>
      <c r="W3110">
        <v>11.36</v>
      </c>
      <c r="X3110" t="s">
        <v>314</v>
      </c>
      <c r="Y3110" t="s">
        <v>2716</v>
      </c>
      <c r="Z3110">
        <v>1.09</v>
      </c>
      <c r="AA3110">
        <v>46</v>
      </c>
      <c r="AB3110">
        <v>227</v>
      </c>
      <c r="AC3110">
        <v>2.54</v>
      </c>
      <c r="AD3110" t="s">
        <v>15948</v>
      </c>
      <c r="AE3110" t="s">
        <v>280</v>
      </c>
      <c r="AF3110" t="s">
        <v>15949</v>
      </c>
      <c r="AG3110" t="s">
        <v>15950</v>
      </c>
      <c r="AH3110">
        <v>0.8</v>
      </c>
      <c r="AI3110">
        <v>0.71</v>
      </c>
      <c r="AJ3110">
        <v>6.66</v>
      </c>
      <c r="AK3110">
        <v>12.71</v>
      </c>
      <c r="AL3110">
        <v>1</v>
      </c>
      <c r="AM3110">
        <v>0.27</v>
      </c>
      <c r="AN3110">
        <v>16.32</v>
      </c>
      <c r="AO3110">
        <v>7.6</v>
      </c>
      <c r="AP3110">
        <v>3.66</v>
      </c>
    </row>
    <row r="3111" spans="1:42">
      <c r="A3111">
        <v>3110</v>
      </c>
      <c r="B3111" t="str">
        <f>"002061"</f>
        <v>002061</v>
      </c>
      <c r="C3111" t="s">
        <v>15951</v>
      </c>
      <c r="D3111">
        <v>3.75</v>
      </c>
      <c r="E3111">
        <v>1.08</v>
      </c>
      <c r="F3111">
        <v>0.04</v>
      </c>
      <c r="G3111" t="s">
        <v>1376</v>
      </c>
      <c r="H3111">
        <v>931</v>
      </c>
      <c r="I3111">
        <v>3.75</v>
      </c>
      <c r="J3111">
        <v>3.76</v>
      </c>
      <c r="K3111" t="s">
        <v>15952</v>
      </c>
      <c r="L3111">
        <v>0.52</v>
      </c>
      <c r="M3111" t="s">
        <v>46</v>
      </c>
      <c r="N3111" t="s">
        <v>5317</v>
      </c>
      <c r="O3111">
        <v>3.76</v>
      </c>
      <c r="P3111">
        <v>3.69</v>
      </c>
      <c r="Q3111">
        <v>3.71</v>
      </c>
      <c r="R3111">
        <v>3.71</v>
      </c>
      <c r="S3111">
        <v>1.89</v>
      </c>
      <c r="T3111">
        <v>1.26</v>
      </c>
      <c r="U3111">
        <v>-11.25</v>
      </c>
      <c r="V3111">
        <v>-3414</v>
      </c>
      <c r="W3111">
        <v>3.74</v>
      </c>
      <c r="X3111" t="s">
        <v>5235</v>
      </c>
      <c r="Y3111" t="s">
        <v>3812</v>
      </c>
      <c r="Z3111">
        <v>0.46</v>
      </c>
      <c r="AA3111">
        <v>271</v>
      </c>
      <c r="AB3111">
        <v>5467</v>
      </c>
      <c r="AC3111">
        <v>0.72</v>
      </c>
      <c r="AD3111" t="s">
        <v>13151</v>
      </c>
      <c r="AE3111" t="s">
        <v>15953</v>
      </c>
      <c r="AF3111" t="s">
        <v>13151</v>
      </c>
      <c r="AG3111" t="s">
        <v>15953</v>
      </c>
      <c r="AH3111">
        <v>-0.27</v>
      </c>
      <c r="AI3111">
        <v>-1.83</v>
      </c>
      <c r="AJ3111">
        <v>1.37</v>
      </c>
      <c r="AK3111">
        <v>2.61</v>
      </c>
      <c r="AL3111">
        <v>2</v>
      </c>
      <c r="AM3111">
        <v>1.08</v>
      </c>
      <c r="AN3111">
        <v>2.46</v>
      </c>
      <c r="AO3111">
        <v>0.81</v>
      </c>
      <c r="AP3111">
        <v>-4.09</v>
      </c>
    </row>
    <row r="3112" spans="1:42">
      <c r="A3112">
        <v>3111</v>
      </c>
      <c r="B3112" t="str">
        <f>"301022"</f>
        <v>301022</v>
      </c>
      <c r="C3112" t="s">
        <v>15954</v>
      </c>
      <c r="D3112">
        <v>29.42</v>
      </c>
      <c r="E3112">
        <v>-0.71</v>
      </c>
      <c r="F3112">
        <v>-0.21</v>
      </c>
      <c r="G3112" t="s">
        <v>876</v>
      </c>
      <c r="H3112">
        <v>476</v>
      </c>
      <c r="I3112">
        <v>29.42</v>
      </c>
      <c r="J3112">
        <v>29.43</v>
      </c>
      <c r="K3112" t="s">
        <v>15952</v>
      </c>
      <c r="L3112">
        <v>4.1</v>
      </c>
      <c r="M3112" t="s">
        <v>46</v>
      </c>
      <c r="N3112" t="s">
        <v>3420</v>
      </c>
      <c r="O3112">
        <v>29.9</v>
      </c>
      <c r="P3112">
        <v>28.9</v>
      </c>
      <c r="Q3112">
        <v>29.63</v>
      </c>
      <c r="R3112">
        <v>29.63</v>
      </c>
      <c r="S3112">
        <v>3.37</v>
      </c>
      <c r="T3112">
        <v>0.68</v>
      </c>
      <c r="U3112">
        <v>67.14</v>
      </c>
      <c r="V3112">
        <v>282</v>
      </c>
      <c r="W3112">
        <v>29.23</v>
      </c>
      <c r="X3112">
        <v>9464</v>
      </c>
      <c r="Y3112">
        <v>7920</v>
      </c>
      <c r="Z3112">
        <v>1.19</v>
      </c>
      <c r="AA3112">
        <v>101</v>
      </c>
      <c r="AB3112">
        <v>5</v>
      </c>
      <c r="AC3112">
        <v>2.69</v>
      </c>
      <c r="AD3112" t="s">
        <v>15955</v>
      </c>
      <c r="AE3112" t="s">
        <v>7765</v>
      </c>
      <c r="AF3112" t="s">
        <v>15956</v>
      </c>
      <c r="AG3112" t="s">
        <v>15957</v>
      </c>
      <c r="AH3112">
        <v>-4.26</v>
      </c>
      <c r="AI3112">
        <v>-3.54</v>
      </c>
      <c r="AJ3112">
        <v>13.78</v>
      </c>
      <c r="AK3112">
        <v>34.32</v>
      </c>
      <c r="AL3112">
        <v>-3</v>
      </c>
      <c r="AM3112">
        <v>-0.71</v>
      </c>
      <c r="AN3112">
        <v>44.07</v>
      </c>
      <c r="AO3112">
        <v>2.47</v>
      </c>
      <c r="AP3112">
        <v>29.49</v>
      </c>
    </row>
    <row r="3113" spans="1:42">
      <c r="A3113">
        <v>3112</v>
      </c>
      <c r="B3113" t="str">
        <f>"300767"</f>
        <v>300767</v>
      </c>
      <c r="C3113" t="s">
        <v>15958</v>
      </c>
      <c r="D3113">
        <v>18.56</v>
      </c>
      <c r="E3113">
        <v>0</v>
      </c>
      <c r="F3113">
        <v>0</v>
      </c>
      <c r="G3113" t="s">
        <v>1711</v>
      </c>
      <c r="H3113">
        <v>305</v>
      </c>
      <c r="I3113">
        <v>18.55</v>
      </c>
      <c r="J3113">
        <v>18.56</v>
      </c>
      <c r="K3113" t="s">
        <v>15959</v>
      </c>
      <c r="L3113">
        <v>1.32</v>
      </c>
      <c r="M3113" t="s">
        <v>46</v>
      </c>
      <c r="N3113" t="s">
        <v>10701</v>
      </c>
      <c r="O3113">
        <v>18.62</v>
      </c>
      <c r="P3113">
        <v>18.24</v>
      </c>
      <c r="Q3113">
        <v>18.6</v>
      </c>
      <c r="R3113">
        <v>18.56</v>
      </c>
      <c r="S3113">
        <v>2.05</v>
      </c>
      <c r="T3113">
        <v>0.99</v>
      </c>
      <c r="U3113">
        <v>-26.95</v>
      </c>
      <c r="V3113">
        <v>-248</v>
      </c>
      <c r="W3113">
        <v>18.43</v>
      </c>
      <c r="X3113" t="s">
        <v>1692</v>
      </c>
      <c r="Y3113" t="s">
        <v>2807</v>
      </c>
      <c r="Z3113">
        <v>1.48</v>
      </c>
      <c r="AA3113">
        <v>59</v>
      </c>
      <c r="AB3113">
        <v>67</v>
      </c>
      <c r="AC3113">
        <v>3</v>
      </c>
      <c r="AD3113" t="s">
        <v>5107</v>
      </c>
      <c r="AE3113" t="s">
        <v>15960</v>
      </c>
      <c r="AF3113" t="s">
        <v>15961</v>
      </c>
      <c r="AG3113" t="s">
        <v>13155</v>
      </c>
      <c r="AH3113">
        <v>-3.68</v>
      </c>
      <c r="AI3113">
        <v>-6.92</v>
      </c>
      <c r="AJ3113">
        <v>3.72</v>
      </c>
      <c r="AK3113">
        <v>7.99</v>
      </c>
      <c r="AL3113">
        <v>0</v>
      </c>
      <c r="AM3113">
        <v>0</v>
      </c>
      <c r="AN3113">
        <v>-60.23</v>
      </c>
      <c r="AO3113">
        <v>-0.91</v>
      </c>
      <c r="AP3113">
        <v>-60.62</v>
      </c>
    </row>
    <row r="3114" spans="1:42">
      <c r="A3114">
        <v>3113</v>
      </c>
      <c r="B3114" t="str">
        <f>"688229"</f>
        <v>688229</v>
      </c>
      <c r="C3114" t="s">
        <v>15962</v>
      </c>
      <c r="D3114">
        <v>53.5</v>
      </c>
      <c r="E3114">
        <v>5.46</v>
      </c>
      <c r="F3114">
        <v>2.77</v>
      </c>
      <c r="G3114">
        <v>9715</v>
      </c>
      <c r="H3114">
        <v>119</v>
      </c>
      <c r="I3114">
        <v>53.41</v>
      </c>
      <c r="J3114">
        <v>53.5</v>
      </c>
      <c r="K3114" t="s">
        <v>5926</v>
      </c>
      <c r="L3114">
        <v>2.19</v>
      </c>
      <c r="M3114" t="s">
        <v>46</v>
      </c>
      <c r="N3114" t="s">
        <v>15963</v>
      </c>
      <c r="O3114">
        <v>53.63</v>
      </c>
      <c r="P3114">
        <v>50.47</v>
      </c>
      <c r="Q3114">
        <v>51.22</v>
      </c>
      <c r="R3114">
        <v>50.73</v>
      </c>
      <c r="S3114">
        <v>6.23</v>
      </c>
      <c r="T3114">
        <v>1.02</v>
      </c>
      <c r="U3114">
        <v>26.37</v>
      </c>
      <c r="V3114">
        <v>79</v>
      </c>
      <c r="W3114">
        <v>52.29</v>
      </c>
      <c r="X3114">
        <v>4672</v>
      </c>
      <c r="Y3114">
        <v>5044</v>
      </c>
      <c r="Z3114">
        <v>0.93</v>
      </c>
      <c r="AA3114">
        <v>10</v>
      </c>
      <c r="AB3114">
        <v>34</v>
      </c>
      <c r="AC3114">
        <v>4.09</v>
      </c>
      <c r="AD3114" t="s">
        <v>15964</v>
      </c>
      <c r="AE3114" t="s">
        <v>15965</v>
      </c>
      <c r="AF3114" t="s">
        <v>15964</v>
      </c>
      <c r="AG3114" t="s">
        <v>15965</v>
      </c>
      <c r="AH3114">
        <v>1.61</v>
      </c>
      <c r="AI3114">
        <v>-4.1</v>
      </c>
      <c r="AJ3114">
        <v>6.07</v>
      </c>
      <c r="AK3114">
        <v>12.89</v>
      </c>
      <c r="AL3114">
        <v>1</v>
      </c>
      <c r="AM3114">
        <v>5.46</v>
      </c>
      <c r="AN3114">
        <v>57.12</v>
      </c>
      <c r="AO3114">
        <v>20.36</v>
      </c>
      <c r="AP3114">
        <v>37.36</v>
      </c>
    </row>
    <row r="3115" spans="1:42">
      <c r="A3115">
        <v>3114</v>
      </c>
      <c r="B3115" t="str">
        <f>"603518"</f>
        <v>603518</v>
      </c>
      <c r="C3115" t="s">
        <v>15966</v>
      </c>
      <c r="D3115">
        <v>9.7</v>
      </c>
      <c r="E3115">
        <v>1.25</v>
      </c>
      <c r="F3115">
        <v>0.12</v>
      </c>
      <c r="G3115" t="s">
        <v>7340</v>
      </c>
      <c r="H3115">
        <v>875</v>
      </c>
      <c r="I3115">
        <v>9.7</v>
      </c>
      <c r="J3115">
        <v>9.71</v>
      </c>
      <c r="K3115" t="s">
        <v>15967</v>
      </c>
      <c r="L3115">
        <v>1.52</v>
      </c>
      <c r="M3115" t="s">
        <v>46</v>
      </c>
      <c r="N3115" t="s">
        <v>12133</v>
      </c>
      <c r="O3115">
        <v>9.83</v>
      </c>
      <c r="P3115">
        <v>9.52</v>
      </c>
      <c r="Q3115">
        <v>9.53</v>
      </c>
      <c r="R3115">
        <v>9.58</v>
      </c>
      <c r="S3115">
        <v>3.24</v>
      </c>
      <c r="T3115">
        <v>1.15</v>
      </c>
      <c r="U3115">
        <v>-0.41</v>
      </c>
      <c r="V3115">
        <v>-9</v>
      </c>
      <c r="W3115">
        <v>9.7</v>
      </c>
      <c r="X3115" t="s">
        <v>1335</v>
      </c>
      <c r="Y3115" t="s">
        <v>7389</v>
      </c>
      <c r="Z3115">
        <v>0.77</v>
      </c>
      <c r="AA3115">
        <v>290</v>
      </c>
      <c r="AB3115">
        <v>489</v>
      </c>
      <c r="AC3115">
        <v>1.04</v>
      </c>
      <c r="AD3115" t="s">
        <v>15968</v>
      </c>
      <c r="AE3115" t="s">
        <v>15969</v>
      </c>
      <c r="AF3115" t="s">
        <v>15970</v>
      </c>
      <c r="AG3115" t="s">
        <v>15971</v>
      </c>
      <c r="AH3115">
        <v>1.15</v>
      </c>
      <c r="AI3115">
        <v>3.74</v>
      </c>
      <c r="AJ3115">
        <v>3.84</v>
      </c>
      <c r="AK3115">
        <v>8.16</v>
      </c>
      <c r="AL3115">
        <v>1</v>
      </c>
      <c r="AM3115">
        <v>1.25</v>
      </c>
      <c r="AN3115">
        <v>46.97</v>
      </c>
      <c r="AO3115">
        <v>9.23</v>
      </c>
      <c r="AP3115">
        <v>44.56</v>
      </c>
    </row>
    <row r="3116" spans="1:42">
      <c r="A3116">
        <v>3115</v>
      </c>
      <c r="B3116" t="str">
        <f>"600486"</f>
        <v>600486</v>
      </c>
      <c r="C3116" t="s">
        <v>15972</v>
      </c>
      <c r="D3116">
        <v>64.33</v>
      </c>
      <c r="E3116">
        <v>-0.51</v>
      </c>
      <c r="F3116">
        <v>-0.33</v>
      </c>
      <c r="G3116">
        <v>7865</v>
      </c>
      <c r="H3116">
        <v>120</v>
      </c>
      <c r="I3116">
        <v>64.33</v>
      </c>
      <c r="J3116">
        <v>64.34</v>
      </c>
      <c r="K3116" t="s">
        <v>15973</v>
      </c>
      <c r="L3116">
        <v>0.2</v>
      </c>
      <c r="M3116" t="s">
        <v>46</v>
      </c>
      <c r="N3116" t="s">
        <v>7278</v>
      </c>
      <c r="O3116">
        <v>65.29</v>
      </c>
      <c r="P3116">
        <v>64.08</v>
      </c>
      <c r="Q3116">
        <v>64.79</v>
      </c>
      <c r="R3116">
        <v>64.66</v>
      </c>
      <c r="S3116">
        <v>1.87</v>
      </c>
      <c r="T3116">
        <v>1.03</v>
      </c>
      <c r="U3116">
        <v>-35.17</v>
      </c>
      <c r="V3116">
        <v>-179</v>
      </c>
      <c r="W3116">
        <v>64.48</v>
      </c>
      <c r="X3116">
        <v>4252</v>
      </c>
      <c r="Y3116">
        <v>3613</v>
      </c>
      <c r="Z3116">
        <v>1.18</v>
      </c>
      <c r="AA3116">
        <v>10</v>
      </c>
      <c r="AB3116">
        <v>329</v>
      </c>
      <c r="AC3116">
        <v>2.75</v>
      </c>
      <c r="AD3116" t="s">
        <v>9072</v>
      </c>
      <c r="AE3116" t="s">
        <v>11161</v>
      </c>
      <c r="AF3116" t="s">
        <v>15974</v>
      </c>
      <c r="AG3116" t="s">
        <v>9823</v>
      </c>
      <c r="AH3116">
        <v>-1.52</v>
      </c>
      <c r="AI3116">
        <v>-1.29</v>
      </c>
      <c r="AJ3116">
        <v>0.66</v>
      </c>
      <c r="AK3116">
        <v>1.14</v>
      </c>
      <c r="AL3116">
        <v>-3</v>
      </c>
      <c r="AM3116">
        <v>-0.51</v>
      </c>
      <c r="AN3116">
        <v>-18.49</v>
      </c>
      <c r="AO3116">
        <v>-0.89</v>
      </c>
      <c r="AP3116">
        <v>-16.62</v>
      </c>
    </row>
    <row r="3117" spans="1:42">
      <c r="A3117">
        <v>3116</v>
      </c>
      <c r="B3117" t="str">
        <f>"601163"</f>
        <v>601163</v>
      </c>
      <c r="C3117" t="s">
        <v>15975</v>
      </c>
      <c r="D3117">
        <v>14.71</v>
      </c>
      <c r="E3117">
        <v>-0.61</v>
      </c>
      <c r="F3117">
        <v>-0.09</v>
      </c>
      <c r="G3117" t="s">
        <v>4839</v>
      </c>
      <c r="H3117">
        <v>437</v>
      </c>
      <c r="I3117">
        <v>14.71</v>
      </c>
      <c r="J3117">
        <v>14.72</v>
      </c>
      <c r="K3117" t="s">
        <v>15976</v>
      </c>
      <c r="L3117">
        <v>0.43</v>
      </c>
      <c r="M3117" t="s">
        <v>46</v>
      </c>
      <c r="N3117" t="s">
        <v>15977</v>
      </c>
      <c r="O3117">
        <v>14.85</v>
      </c>
      <c r="P3117">
        <v>14.65</v>
      </c>
      <c r="Q3117">
        <v>14.8</v>
      </c>
      <c r="R3117">
        <v>14.8</v>
      </c>
      <c r="S3117">
        <v>1.35</v>
      </c>
      <c r="T3117">
        <v>0.94</v>
      </c>
      <c r="U3117">
        <v>14.19</v>
      </c>
      <c r="V3117">
        <v>221</v>
      </c>
      <c r="W3117">
        <v>14.71</v>
      </c>
      <c r="X3117" t="s">
        <v>985</v>
      </c>
      <c r="Y3117" t="s">
        <v>4105</v>
      </c>
      <c r="Z3117">
        <v>1.43</v>
      </c>
      <c r="AA3117">
        <v>306</v>
      </c>
      <c r="AB3117">
        <v>60</v>
      </c>
      <c r="AC3117">
        <v>0.94</v>
      </c>
      <c r="AD3117" t="s">
        <v>7590</v>
      </c>
      <c r="AE3117" t="s">
        <v>6187</v>
      </c>
      <c r="AF3117" t="s">
        <v>7590</v>
      </c>
      <c r="AG3117" t="s">
        <v>6187</v>
      </c>
      <c r="AH3117">
        <v>-3.16</v>
      </c>
      <c r="AI3117">
        <v>-3.1</v>
      </c>
      <c r="AJ3117">
        <v>1.35</v>
      </c>
      <c r="AK3117">
        <v>2.74</v>
      </c>
      <c r="AL3117">
        <v>-3</v>
      </c>
      <c r="AM3117">
        <v>-0.61</v>
      </c>
      <c r="AN3117">
        <v>23.3</v>
      </c>
      <c r="AO3117">
        <v>-1.54</v>
      </c>
      <c r="AP3117">
        <v>14.3</v>
      </c>
    </row>
    <row r="3118" spans="1:42">
      <c r="A3118">
        <v>3117</v>
      </c>
      <c r="B3118" t="str">
        <f>"601611"</f>
        <v>601611</v>
      </c>
      <c r="C3118" t="s">
        <v>15978</v>
      </c>
      <c r="D3118">
        <v>6.93</v>
      </c>
      <c r="E3118">
        <v>1.17</v>
      </c>
      <c r="F3118">
        <v>0.08</v>
      </c>
      <c r="G3118" t="s">
        <v>613</v>
      </c>
      <c r="H3118">
        <v>227</v>
      </c>
      <c r="I3118">
        <v>6.93</v>
      </c>
      <c r="J3118">
        <v>6.94</v>
      </c>
      <c r="K3118" t="s">
        <v>15979</v>
      </c>
      <c r="L3118">
        <v>0.25</v>
      </c>
      <c r="M3118" t="s">
        <v>46</v>
      </c>
      <c r="N3118" t="s">
        <v>15980</v>
      </c>
      <c r="O3118">
        <v>6.95</v>
      </c>
      <c r="P3118">
        <v>6.84</v>
      </c>
      <c r="Q3118">
        <v>6.85</v>
      </c>
      <c r="R3118">
        <v>6.85</v>
      </c>
      <c r="S3118">
        <v>1.61</v>
      </c>
      <c r="T3118">
        <v>1.3</v>
      </c>
      <c r="U3118">
        <v>-52.22</v>
      </c>
      <c r="V3118">
        <v>-3207</v>
      </c>
      <c r="W3118">
        <v>6.9</v>
      </c>
      <c r="X3118" t="s">
        <v>2125</v>
      </c>
      <c r="Y3118" t="s">
        <v>6838</v>
      </c>
      <c r="Z3118">
        <v>0.68</v>
      </c>
      <c r="AA3118">
        <v>421</v>
      </c>
      <c r="AB3118">
        <v>502</v>
      </c>
      <c r="AC3118">
        <v>1.14</v>
      </c>
      <c r="AD3118" t="s">
        <v>15981</v>
      </c>
      <c r="AE3118" t="s">
        <v>9342</v>
      </c>
      <c r="AF3118" t="s">
        <v>15982</v>
      </c>
      <c r="AG3118" t="s">
        <v>4770</v>
      </c>
      <c r="AH3118">
        <v>-0.43</v>
      </c>
      <c r="AI3118">
        <v>-1.56</v>
      </c>
      <c r="AJ3118">
        <v>0.61</v>
      </c>
      <c r="AK3118">
        <v>1.22</v>
      </c>
      <c r="AL3118">
        <v>1</v>
      </c>
      <c r="AM3118">
        <v>1.17</v>
      </c>
      <c r="AN3118">
        <v>-7.85</v>
      </c>
      <c r="AO3118">
        <v>-1.42</v>
      </c>
      <c r="AP3118">
        <v>-12.61</v>
      </c>
    </row>
    <row r="3119" spans="1:42">
      <c r="A3119">
        <v>3118</v>
      </c>
      <c r="B3119" t="str">
        <f>"000735"</f>
        <v>000735</v>
      </c>
      <c r="C3119" t="s">
        <v>15983</v>
      </c>
      <c r="D3119">
        <v>5.84</v>
      </c>
      <c r="E3119">
        <v>0.17</v>
      </c>
      <c r="F3119">
        <v>0.01</v>
      </c>
      <c r="G3119" t="s">
        <v>6904</v>
      </c>
      <c r="H3119">
        <v>376</v>
      </c>
      <c r="I3119">
        <v>5.84</v>
      </c>
      <c r="J3119">
        <v>5.85</v>
      </c>
      <c r="K3119" t="s">
        <v>15984</v>
      </c>
      <c r="L3119">
        <v>0.75</v>
      </c>
      <c r="M3119" t="s">
        <v>46</v>
      </c>
      <c r="N3119" t="s">
        <v>9829</v>
      </c>
      <c r="O3119">
        <v>5.87</v>
      </c>
      <c r="P3119">
        <v>5.78</v>
      </c>
      <c r="Q3119">
        <v>5.83</v>
      </c>
      <c r="R3119">
        <v>5.83</v>
      </c>
      <c r="S3119">
        <v>1.54</v>
      </c>
      <c r="T3119">
        <v>0.78</v>
      </c>
      <c r="U3119">
        <v>-27.06</v>
      </c>
      <c r="V3119">
        <v>-3814</v>
      </c>
      <c r="W3119">
        <v>5.85</v>
      </c>
      <c r="X3119" t="s">
        <v>5355</v>
      </c>
      <c r="Y3119" t="s">
        <v>2300</v>
      </c>
      <c r="Z3119">
        <v>0.88</v>
      </c>
      <c r="AA3119">
        <v>114</v>
      </c>
      <c r="AB3119">
        <v>904</v>
      </c>
      <c r="AC3119">
        <v>1.62</v>
      </c>
      <c r="AD3119" t="s">
        <v>896</v>
      </c>
      <c r="AE3119" t="s">
        <v>15985</v>
      </c>
      <c r="AF3119" t="s">
        <v>906</v>
      </c>
      <c r="AG3119" t="s">
        <v>10654</v>
      </c>
      <c r="AH3119">
        <v>-0.68</v>
      </c>
      <c r="AI3119">
        <v>-0.85</v>
      </c>
      <c r="AJ3119">
        <v>2.13</v>
      </c>
      <c r="AK3119">
        <v>5.55</v>
      </c>
      <c r="AL3119">
        <v>1</v>
      </c>
      <c r="AM3119">
        <v>0.17</v>
      </c>
      <c r="AN3119">
        <v>-17.16</v>
      </c>
      <c r="AO3119">
        <v>2.64</v>
      </c>
      <c r="AP3119">
        <v>-10.43</v>
      </c>
    </row>
    <row r="3120" spans="1:42">
      <c r="A3120">
        <v>3119</v>
      </c>
      <c r="B3120" t="str">
        <f>"688001"</f>
        <v>688001</v>
      </c>
      <c r="C3120" t="s">
        <v>15986</v>
      </c>
      <c r="D3120">
        <v>32.51</v>
      </c>
      <c r="E3120">
        <v>0.31</v>
      </c>
      <c r="F3120">
        <v>0.1</v>
      </c>
      <c r="G3120" t="s">
        <v>144</v>
      </c>
      <c r="H3120">
        <v>197</v>
      </c>
      <c r="I3120">
        <v>32.5</v>
      </c>
      <c r="J3120">
        <v>32.51</v>
      </c>
      <c r="K3120" t="s">
        <v>5776</v>
      </c>
      <c r="L3120">
        <v>0.35</v>
      </c>
      <c r="M3120" t="s">
        <v>46</v>
      </c>
      <c r="N3120" t="s">
        <v>2480</v>
      </c>
      <c r="O3120">
        <v>32.6</v>
      </c>
      <c r="P3120">
        <v>32</v>
      </c>
      <c r="Q3120">
        <v>32.32</v>
      </c>
      <c r="R3120">
        <v>32.41</v>
      </c>
      <c r="S3120">
        <v>1.85</v>
      </c>
      <c r="T3120">
        <v>0.67</v>
      </c>
      <c r="U3120">
        <v>-23.72</v>
      </c>
      <c r="V3120">
        <v>-51</v>
      </c>
      <c r="W3120">
        <v>32.28</v>
      </c>
      <c r="X3120">
        <v>8634</v>
      </c>
      <c r="Y3120">
        <v>7044</v>
      </c>
      <c r="Z3120">
        <v>1.23</v>
      </c>
      <c r="AA3120">
        <v>32</v>
      </c>
      <c r="AB3120">
        <v>10</v>
      </c>
      <c r="AC3120">
        <v>3.78</v>
      </c>
      <c r="AD3120" t="s">
        <v>15987</v>
      </c>
      <c r="AE3120" t="s">
        <v>9898</v>
      </c>
      <c r="AF3120" t="s">
        <v>15987</v>
      </c>
      <c r="AG3120" t="s">
        <v>9898</v>
      </c>
      <c r="AH3120">
        <v>-1.45</v>
      </c>
      <c r="AI3120">
        <v>-1.07</v>
      </c>
      <c r="AJ3120">
        <v>1.62</v>
      </c>
      <c r="AK3120">
        <v>3.02</v>
      </c>
      <c r="AL3120">
        <v>1</v>
      </c>
      <c r="AM3120">
        <v>0.31</v>
      </c>
      <c r="AN3120">
        <v>22.22</v>
      </c>
      <c r="AO3120">
        <v>3.21</v>
      </c>
      <c r="AP3120">
        <v>6.98</v>
      </c>
    </row>
    <row r="3121" spans="1:42">
      <c r="A3121">
        <v>3120</v>
      </c>
      <c r="B3121" t="str">
        <f>"301285"</f>
        <v>301285</v>
      </c>
      <c r="C3121" t="s">
        <v>15988</v>
      </c>
      <c r="D3121">
        <v>16.01</v>
      </c>
      <c r="E3121">
        <v>0.76</v>
      </c>
      <c r="F3121">
        <v>0.12</v>
      </c>
      <c r="G3121" t="s">
        <v>10810</v>
      </c>
      <c r="H3121">
        <v>508</v>
      </c>
      <c r="I3121">
        <v>16.01</v>
      </c>
      <c r="J3121">
        <v>16.02</v>
      </c>
      <c r="K3121" t="s">
        <v>15989</v>
      </c>
      <c r="L3121">
        <v>4.42</v>
      </c>
      <c r="M3121" t="s">
        <v>46</v>
      </c>
      <c r="N3121" t="s">
        <v>2733</v>
      </c>
      <c r="O3121">
        <v>16.17</v>
      </c>
      <c r="P3121">
        <v>15.54</v>
      </c>
      <c r="Q3121">
        <v>15.93</v>
      </c>
      <c r="R3121">
        <v>15.89</v>
      </c>
      <c r="S3121">
        <v>3.96</v>
      </c>
      <c r="T3121">
        <v>0.78</v>
      </c>
      <c r="U3121">
        <v>-6.89</v>
      </c>
      <c r="V3121">
        <v>-37</v>
      </c>
      <c r="W3121">
        <v>15.87</v>
      </c>
      <c r="X3121" t="s">
        <v>7487</v>
      </c>
      <c r="Y3121" t="s">
        <v>141</v>
      </c>
      <c r="Z3121">
        <v>1.02</v>
      </c>
      <c r="AA3121">
        <v>12</v>
      </c>
      <c r="AB3121">
        <v>115</v>
      </c>
      <c r="AC3121">
        <v>3.12</v>
      </c>
      <c r="AD3121" t="s">
        <v>15990</v>
      </c>
      <c r="AE3121" t="s">
        <v>13339</v>
      </c>
      <c r="AF3121" t="s">
        <v>11892</v>
      </c>
      <c r="AG3121" t="s">
        <v>15991</v>
      </c>
      <c r="AH3121">
        <v>-1.29</v>
      </c>
      <c r="AI3121">
        <v>-1.05</v>
      </c>
      <c r="AJ3121">
        <v>15.48</v>
      </c>
      <c r="AK3121">
        <v>32.89</v>
      </c>
      <c r="AL3121">
        <v>1</v>
      </c>
      <c r="AM3121">
        <v>0.76</v>
      </c>
      <c r="AN3121">
        <v>21.84</v>
      </c>
      <c r="AO3121">
        <v>-2.5</v>
      </c>
      <c r="AP3121">
        <v>3.36</v>
      </c>
    </row>
    <row r="3122" spans="1:42">
      <c r="A3122">
        <v>3121</v>
      </c>
      <c r="B3122" t="str">
        <f>"603987"</f>
        <v>603987</v>
      </c>
      <c r="C3122" t="s">
        <v>15992</v>
      </c>
      <c r="D3122">
        <v>10.62</v>
      </c>
      <c r="E3122">
        <v>0.09</v>
      </c>
      <c r="F3122">
        <v>0.01</v>
      </c>
      <c r="G3122" t="s">
        <v>13012</v>
      </c>
      <c r="H3122">
        <v>149</v>
      </c>
      <c r="I3122">
        <v>10.62</v>
      </c>
      <c r="J3122">
        <v>10.63</v>
      </c>
      <c r="K3122" t="s">
        <v>9546</v>
      </c>
      <c r="L3122">
        <v>1.08</v>
      </c>
      <c r="M3122" t="s">
        <v>46</v>
      </c>
      <c r="N3122" t="s">
        <v>1206</v>
      </c>
      <c r="O3122">
        <v>10.67</v>
      </c>
      <c r="P3122">
        <v>10.52</v>
      </c>
      <c r="Q3122">
        <v>10.63</v>
      </c>
      <c r="R3122">
        <v>10.61</v>
      </c>
      <c r="S3122">
        <v>1.41</v>
      </c>
      <c r="T3122">
        <v>0.95</v>
      </c>
      <c r="U3122">
        <v>-64.94</v>
      </c>
      <c r="V3122">
        <v>-1404</v>
      </c>
      <c r="W3122">
        <v>10.59</v>
      </c>
      <c r="X3122" t="s">
        <v>688</v>
      </c>
      <c r="Y3122" t="s">
        <v>2716</v>
      </c>
      <c r="Z3122">
        <v>1.23</v>
      </c>
      <c r="AA3122">
        <v>26</v>
      </c>
      <c r="AB3122">
        <v>47</v>
      </c>
      <c r="AC3122">
        <v>2</v>
      </c>
      <c r="AD3122" t="s">
        <v>3935</v>
      </c>
      <c r="AE3122" t="s">
        <v>15993</v>
      </c>
      <c r="AF3122" t="s">
        <v>3935</v>
      </c>
      <c r="AG3122" t="s">
        <v>15993</v>
      </c>
      <c r="AH3122">
        <v>-1.94</v>
      </c>
      <c r="AI3122">
        <v>-2.21</v>
      </c>
      <c r="AJ3122">
        <v>3.43</v>
      </c>
      <c r="AK3122">
        <v>6.75</v>
      </c>
      <c r="AL3122">
        <v>1</v>
      </c>
      <c r="AM3122">
        <v>0.09</v>
      </c>
      <c r="AN3122">
        <v>-21.68</v>
      </c>
      <c r="AO3122">
        <v>1.82</v>
      </c>
      <c r="AP3122">
        <v>-27.85</v>
      </c>
    </row>
    <row r="3123" spans="1:42">
      <c r="A3123">
        <v>3122</v>
      </c>
      <c r="B3123" t="str">
        <f>"600770"</f>
        <v>600770</v>
      </c>
      <c r="C3123" t="s">
        <v>15994</v>
      </c>
      <c r="D3123">
        <v>5.1</v>
      </c>
      <c r="E3123">
        <v>1.19</v>
      </c>
      <c r="F3123">
        <v>0.06</v>
      </c>
      <c r="G3123" t="s">
        <v>3254</v>
      </c>
      <c r="H3123">
        <v>1567</v>
      </c>
      <c r="I3123">
        <v>5.1</v>
      </c>
      <c r="J3123">
        <v>5.11</v>
      </c>
      <c r="K3123" t="s">
        <v>15995</v>
      </c>
      <c r="L3123">
        <v>0.77</v>
      </c>
      <c r="M3123" t="s">
        <v>46</v>
      </c>
      <c r="N3123" t="s">
        <v>2001</v>
      </c>
      <c r="O3123">
        <v>5.12</v>
      </c>
      <c r="P3123">
        <v>4.98</v>
      </c>
      <c r="Q3123">
        <v>5.04</v>
      </c>
      <c r="R3123">
        <v>5.04</v>
      </c>
      <c r="S3123">
        <v>2.78</v>
      </c>
      <c r="T3123">
        <v>1.15</v>
      </c>
      <c r="U3123">
        <v>-29.21</v>
      </c>
      <c r="V3123">
        <v>-2748</v>
      </c>
      <c r="W3123">
        <v>5.07</v>
      </c>
      <c r="X3123" t="s">
        <v>3290</v>
      </c>
      <c r="Y3123" t="s">
        <v>2405</v>
      </c>
      <c r="Z3123">
        <v>0.81</v>
      </c>
      <c r="AA3123">
        <v>287</v>
      </c>
      <c r="AB3123">
        <v>518</v>
      </c>
      <c r="AC3123">
        <v>2</v>
      </c>
      <c r="AD3123" t="s">
        <v>719</v>
      </c>
      <c r="AE3123" t="s">
        <v>15996</v>
      </c>
      <c r="AF3123" t="s">
        <v>719</v>
      </c>
      <c r="AG3123" t="s">
        <v>15996</v>
      </c>
      <c r="AH3123">
        <v>0.2</v>
      </c>
      <c r="AI3123">
        <v>-0.2</v>
      </c>
      <c r="AJ3123">
        <v>2.17</v>
      </c>
      <c r="AK3123">
        <v>4.09</v>
      </c>
      <c r="AL3123">
        <v>1</v>
      </c>
      <c r="AM3123">
        <v>1.19</v>
      </c>
      <c r="AN3123">
        <v>-26.72</v>
      </c>
      <c r="AO3123">
        <v>4.72</v>
      </c>
      <c r="AP3123">
        <v>-31.27</v>
      </c>
    </row>
    <row r="3124" spans="1:42">
      <c r="A3124">
        <v>3123</v>
      </c>
      <c r="B3124" t="str">
        <f>"300333"</f>
        <v>300333</v>
      </c>
      <c r="C3124" t="s">
        <v>15997</v>
      </c>
      <c r="D3124">
        <v>7.83</v>
      </c>
      <c r="E3124">
        <v>2.09</v>
      </c>
      <c r="F3124">
        <v>0.16</v>
      </c>
      <c r="G3124" t="s">
        <v>10018</v>
      </c>
      <c r="H3124">
        <v>630</v>
      </c>
      <c r="I3124">
        <v>7.83</v>
      </c>
      <c r="J3124">
        <v>7.84</v>
      </c>
      <c r="K3124" t="s">
        <v>15995</v>
      </c>
      <c r="L3124">
        <v>1.95</v>
      </c>
      <c r="M3124" t="s">
        <v>46</v>
      </c>
      <c r="N3124" t="s">
        <v>10614</v>
      </c>
      <c r="O3124">
        <v>7.86</v>
      </c>
      <c r="P3124">
        <v>7.62</v>
      </c>
      <c r="Q3124">
        <v>7.66</v>
      </c>
      <c r="R3124">
        <v>7.67</v>
      </c>
      <c r="S3124">
        <v>3.13</v>
      </c>
      <c r="T3124">
        <v>0.75</v>
      </c>
      <c r="U3124">
        <v>-44.63</v>
      </c>
      <c r="V3124">
        <v>-2329</v>
      </c>
      <c r="W3124">
        <v>7.76</v>
      </c>
      <c r="X3124" t="s">
        <v>8681</v>
      </c>
      <c r="Y3124" t="s">
        <v>1313</v>
      </c>
      <c r="Z3124">
        <v>0.78</v>
      </c>
      <c r="AA3124">
        <v>160</v>
      </c>
      <c r="AB3124">
        <v>796</v>
      </c>
      <c r="AC3124">
        <v>3.99</v>
      </c>
      <c r="AD3124" t="s">
        <v>9263</v>
      </c>
      <c r="AE3124" t="s">
        <v>15998</v>
      </c>
      <c r="AF3124" t="s">
        <v>14119</v>
      </c>
      <c r="AG3124" t="s">
        <v>15999</v>
      </c>
      <c r="AH3124">
        <v>0.64</v>
      </c>
      <c r="AI3124">
        <v>-0.63</v>
      </c>
      <c r="AJ3124">
        <v>5.72</v>
      </c>
      <c r="AK3124">
        <v>14.84</v>
      </c>
      <c r="AL3124">
        <v>1</v>
      </c>
      <c r="AM3124">
        <v>2.09</v>
      </c>
      <c r="AN3124">
        <v>34.54</v>
      </c>
      <c r="AO3124">
        <v>3.43</v>
      </c>
      <c r="AP3124">
        <v>20.83</v>
      </c>
    </row>
    <row r="3125" spans="1:42">
      <c r="A3125">
        <v>3124</v>
      </c>
      <c r="B3125" t="str">
        <f>"002478"</f>
        <v>002478</v>
      </c>
      <c r="C3125" t="s">
        <v>16000</v>
      </c>
      <c r="D3125">
        <v>5.86</v>
      </c>
      <c r="E3125">
        <v>0.86</v>
      </c>
      <c r="F3125">
        <v>0.05</v>
      </c>
      <c r="G3125" t="s">
        <v>6312</v>
      </c>
      <c r="H3125">
        <v>1527</v>
      </c>
      <c r="I3125">
        <v>5.85</v>
      </c>
      <c r="J3125">
        <v>5.86</v>
      </c>
      <c r="K3125" t="s">
        <v>16001</v>
      </c>
      <c r="L3125">
        <v>1.25</v>
      </c>
      <c r="M3125" t="s">
        <v>46</v>
      </c>
      <c r="N3125" t="s">
        <v>16002</v>
      </c>
      <c r="O3125">
        <v>5.89</v>
      </c>
      <c r="P3125">
        <v>5.78</v>
      </c>
      <c r="Q3125">
        <v>5.81</v>
      </c>
      <c r="R3125">
        <v>5.81</v>
      </c>
      <c r="S3125">
        <v>1.89</v>
      </c>
      <c r="T3125">
        <v>0.94</v>
      </c>
      <c r="U3125">
        <v>-37.05</v>
      </c>
      <c r="V3125">
        <v>-5241</v>
      </c>
      <c r="W3125">
        <v>5.85</v>
      </c>
      <c r="X3125" t="s">
        <v>7058</v>
      </c>
      <c r="Y3125" t="s">
        <v>3915</v>
      </c>
      <c r="Z3125">
        <v>0.66</v>
      </c>
      <c r="AA3125">
        <v>1633</v>
      </c>
      <c r="AB3125">
        <v>507</v>
      </c>
      <c r="AC3125">
        <v>1.04</v>
      </c>
      <c r="AD3125" t="s">
        <v>16003</v>
      </c>
      <c r="AE3125" t="s">
        <v>9270</v>
      </c>
      <c r="AF3125" t="s">
        <v>16004</v>
      </c>
      <c r="AG3125" t="s">
        <v>15937</v>
      </c>
      <c r="AH3125">
        <v>-1.35</v>
      </c>
      <c r="AI3125">
        <v>-1.84</v>
      </c>
      <c r="AJ3125">
        <v>3.84</v>
      </c>
      <c r="AK3125">
        <v>7.91</v>
      </c>
      <c r="AL3125">
        <v>1</v>
      </c>
      <c r="AM3125">
        <v>0.86</v>
      </c>
      <c r="AN3125">
        <v>7.52</v>
      </c>
      <c r="AO3125">
        <v>0.69</v>
      </c>
      <c r="AP3125">
        <v>-6.84</v>
      </c>
    </row>
    <row r="3126" spans="1:42">
      <c r="A3126">
        <v>3125</v>
      </c>
      <c r="B3126" t="str">
        <f>"688626"</f>
        <v>688626</v>
      </c>
      <c r="C3126" t="s">
        <v>16005</v>
      </c>
      <c r="D3126">
        <v>57.12</v>
      </c>
      <c r="E3126">
        <v>1.67</v>
      </c>
      <c r="F3126">
        <v>0.94</v>
      </c>
      <c r="G3126">
        <v>8882</v>
      </c>
      <c r="H3126">
        <v>123</v>
      </c>
      <c r="I3126">
        <v>57.1</v>
      </c>
      <c r="J3126">
        <v>57.12</v>
      </c>
      <c r="K3126" t="s">
        <v>16006</v>
      </c>
      <c r="L3126">
        <v>1.69</v>
      </c>
      <c r="M3126" t="s">
        <v>46</v>
      </c>
      <c r="N3126" t="s">
        <v>664</v>
      </c>
      <c r="O3126">
        <v>57.37</v>
      </c>
      <c r="P3126">
        <v>55.87</v>
      </c>
      <c r="Q3126">
        <v>56.42</v>
      </c>
      <c r="R3126">
        <v>56.18</v>
      </c>
      <c r="S3126">
        <v>2.67</v>
      </c>
      <c r="T3126">
        <v>1.08</v>
      </c>
      <c r="U3126">
        <v>59.41</v>
      </c>
      <c r="V3126">
        <v>207</v>
      </c>
      <c r="W3126">
        <v>56.74</v>
      </c>
      <c r="X3126">
        <v>4509</v>
      </c>
      <c r="Y3126">
        <v>4373</v>
      </c>
      <c r="Z3126">
        <v>1.03</v>
      </c>
      <c r="AA3126">
        <v>130</v>
      </c>
      <c r="AB3126">
        <v>22</v>
      </c>
      <c r="AC3126">
        <v>4.47</v>
      </c>
      <c r="AD3126" t="s">
        <v>2521</v>
      </c>
      <c r="AE3126" t="s">
        <v>10097</v>
      </c>
      <c r="AF3126" t="s">
        <v>16007</v>
      </c>
      <c r="AG3126" t="s">
        <v>15718</v>
      </c>
      <c r="AH3126">
        <v>3.48</v>
      </c>
      <c r="AI3126">
        <v>7.27</v>
      </c>
      <c r="AJ3126">
        <v>4.23</v>
      </c>
      <c r="AK3126">
        <v>9.51</v>
      </c>
      <c r="AL3126">
        <v>5</v>
      </c>
      <c r="AM3126">
        <v>1.67</v>
      </c>
      <c r="AN3126">
        <v>80.53</v>
      </c>
      <c r="AO3126">
        <v>15.67</v>
      </c>
      <c r="AP3126">
        <v>63.57</v>
      </c>
    </row>
    <row r="3127" spans="1:42">
      <c r="A3127">
        <v>3126</v>
      </c>
      <c r="B3127" t="str">
        <f>"300425"</f>
        <v>300425</v>
      </c>
      <c r="C3127" t="s">
        <v>16008</v>
      </c>
      <c r="D3127">
        <v>4.88</v>
      </c>
      <c r="E3127">
        <v>2.09</v>
      </c>
      <c r="F3127">
        <v>0.1</v>
      </c>
      <c r="G3127" t="s">
        <v>740</v>
      </c>
      <c r="H3127">
        <v>777</v>
      </c>
      <c r="I3127">
        <v>4.88</v>
      </c>
      <c r="J3127">
        <v>4.89</v>
      </c>
      <c r="K3127" t="s">
        <v>16009</v>
      </c>
      <c r="L3127">
        <v>1.54</v>
      </c>
      <c r="M3127" t="s">
        <v>46</v>
      </c>
      <c r="N3127" t="s">
        <v>1484</v>
      </c>
      <c r="O3127">
        <v>4.92</v>
      </c>
      <c r="P3127">
        <v>4.78</v>
      </c>
      <c r="Q3127">
        <v>4.8</v>
      </c>
      <c r="R3127">
        <v>4.78</v>
      </c>
      <c r="S3127">
        <v>2.93</v>
      </c>
      <c r="T3127">
        <v>1.92</v>
      </c>
      <c r="U3127">
        <v>-27.56</v>
      </c>
      <c r="V3127">
        <v>-2449</v>
      </c>
      <c r="W3127">
        <v>4.86</v>
      </c>
      <c r="X3127" t="s">
        <v>7440</v>
      </c>
      <c r="Y3127" t="s">
        <v>3090</v>
      </c>
      <c r="Z3127">
        <v>0.74</v>
      </c>
      <c r="AA3127">
        <v>455</v>
      </c>
      <c r="AB3127">
        <v>94</v>
      </c>
      <c r="AC3127">
        <v>1.51</v>
      </c>
      <c r="AD3127" t="s">
        <v>16010</v>
      </c>
      <c r="AE3127" t="s">
        <v>16011</v>
      </c>
      <c r="AF3127" t="s">
        <v>16012</v>
      </c>
      <c r="AG3127" t="s">
        <v>5401</v>
      </c>
      <c r="AH3127">
        <v>-0.2</v>
      </c>
      <c r="AI3127">
        <v>-0.61</v>
      </c>
      <c r="AJ3127">
        <v>3.23</v>
      </c>
      <c r="AK3127">
        <v>5.56</v>
      </c>
      <c r="AL3127">
        <v>1</v>
      </c>
      <c r="AM3127">
        <v>2.09</v>
      </c>
      <c r="AN3127">
        <v>15.64</v>
      </c>
      <c r="AO3127">
        <v>3.17</v>
      </c>
      <c r="AP3127">
        <v>5.86</v>
      </c>
    </row>
    <row r="3128" spans="1:42">
      <c r="A3128">
        <v>3127</v>
      </c>
      <c r="B3128" t="str">
        <f>"300208"</f>
        <v>300208</v>
      </c>
      <c r="C3128" t="s">
        <v>16013</v>
      </c>
      <c r="D3128">
        <v>7.09</v>
      </c>
      <c r="E3128">
        <v>-1.53</v>
      </c>
      <c r="F3128">
        <v>-0.11</v>
      </c>
      <c r="G3128" t="s">
        <v>5844</v>
      </c>
      <c r="H3128">
        <v>1482</v>
      </c>
      <c r="I3128">
        <v>7.09</v>
      </c>
      <c r="J3128">
        <v>7.1</v>
      </c>
      <c r="K3128" t="s">
        <v>16014</v>
      </c>
      <c r="L3128">
        <v>1.03</v>
      </c>
      <c r="M3128" t="s">
        <v>46</v>
      </c>
      <c r="N3128" t="s">
        <v>4010</v>
      </c>
      <c r="O3128">
        <v>7.23</v>
      </c>
      <c r="P3128">
        <v>7</v>
      </c>
      <c r="Q3128">
        <v>7.2</v>
      </c>
      <c r="R3128">
        <v>7.2</v>
      </c>
      <c r="S3128">
        <v>3.19</v>
      </c>
      <c r="T3128">
        <v>0.86</v>
      </c>
      <c r="U3128">
        <v>43.64</v>
      </c>
      <c r="V3128">
        <v>1786</v>
      </c>
      <c r="W3128">
        <v>7.08</v>
      </c>
      <c r="X3128" t="s">
        <v>4569</v>
      </c>
      <c r="Y3128" t="s">
        <v>6768</v>
      </c>
      <c r="Z3128">
        <v>1.49</v>
      </c>
      <c r="AA3128">
        <v>460</v>
      </c>
      <c r="AB3128">
        <v>33</v>
      </c>
      <c r="AC3128">
        <v>5.08</v>
      </c>
      <c r="AD3128" t="s">
        <v>16015</v>
      </c>
      <c r="AE3128" t="s">
        <v>16016</v>
      </c>
      <c r="AF3128" t="s">
        <v>16017</v>
      </c>
      <c r="AG3128" t="s">
        <v>11560</v>
      </c>
      <c r="AH3128">
        <v>-1.8</v>
      </c>
      <c r="AI3128">
        <v>-2.34</v>
      </c>
      <c r="AJ3128">
        <v>5.2</v>
      </c>
      <c r="AK3128">
        <v>7.09</v>
      </c>
      <c r="AL3128">
        <v>-2</v>
      </c>
      <c r="AM3128">
        <v>-1.53</v>
      </c>
      <c r="AN3128">
        <v>-30.49</v>
      </c>
      <c r="AO3128">
        <v>-0.56</v>
      </c>
      <c r="AP3128">
        <v>-33.49</v>
      </c>
    </row>
    <row r="3129" spans="1:42">
      <c r="A3129">
        <v>3128</v>
      </c>
      <c r="B3129" t="str">
        <f>"688689"</f>
        <v>688689</v>
      </c>
      <c r="C3129" t="s">
        <v>16018</v>
      </c>
      <c r="D3129">
        <v>27.15</v>
      </c>
      <c r="E3129">
        <v>-1.77</v>
      </c>
      <c r="F3129">
        <v>-0.49</v>
      </c>
      <c r="G3129" t="s">
        <v>2723</v>
      </c>
      <c r="H3129">
        <v>166</v>
      </c>
      <c r="I3129">
        <v>27.15</v>
      </c>
      <c r="J3129">
        <v>27.16</v>
      </c>
      <c r="K3129" t="s">
        <v>16014</v>
      </c>
      <c r="L3129">
        <v>5</v>
      </c>
      <c r="M3129" t="s">
        <v>46</v>
      </c>
      <c r="N3129" t="s">
        <v>15491</v>
      </c>
      <c r="O3129">
        <v>27.76</v>
      </c>
      <c r="P3129">
        <v>26.88</v>
      </c>
      <c r="Q3129">
        <v>27.76</v>
      </c>
      <c r="R3129">
        <v>27.64</v>
      </c>
      <c r="S3129">
        <v>3.18</v>
      </c>
      <c r="T3129">
        <v>0.86</v>
      </c>
      <c r="U3129">
        <v>89.5</v>
      </c>
      <c r="V3129">
        <v>250</v>
      </c>
      <c r="W3129">
        <v>27.13</v>
      </c>
      <c r="X3129" t="s">
        <v>2615</v>
      </c>
      <c r="Y3129">
        <v>8522</v>
      </c>
      <c r="Z3129">
        <v>1.18</v>
      </c>
      <c r="AA3129">
        <v>136</v>
      </c>
      <c r="AB3129">
        <v>1</v>
      </c>
      <c r="AC3129">
        <v>3</v>
      </c>
      <c r="AD3129" t="s">
        <v>12486</v>
      </c>
      <c r="AE3129" t="s">
        <v>12393</v>
      </c>
      <c r="AF3129" t="s">
        <v>16019</v>
      </c>
      <c r="AG3129" t="s">
        <v>1119</v>
      </c>
      <c r="AH3129">
        <v>-3.59</v>
      </c>
      <c r="AI3129">
        <v>-0.4</v>
      </c>
      <c r="AJ3129">
        <v>20.76</v>
      </c>
      <c r="AK3129">
        <v>33.97</v>
      </c>
      <c r="AL3129">
        <v>-2</v>
      </c>
      <c r="AM3129">
        <v>-1.77</v>
      </c>
      <c r="AN3129">
        <v>19.92</v>
      </c>
      <c r="AO3129">
        <v>0.26</v>
      </c>
      <c r="AP3129">
        <v>7.95</v>
      </c>
    </row>
    <row r="3130" spans="1:42">
      <c r="A3130">
        <v>3129</v>
      </c>
      <c r="B3130" t="str">
        <f>"300386"</f>
        <v>300386</v>
      </c>
      <c r="C3130" t="s">
        <v>16020</v>
      </c>
      <c r="D3130">
        <v>11.45</v>
      </c>
      <c r="E3130">
        <v>2.51</v>
      </c>
      <c r="F3130">
        <v>0.28</v>
      </c>
      <c r="G3130" t="s">
        <v>4358</v>
      </c>
      <c r="H3130">
        <v>774</v>
      </c>
      <c r="I3130">
        <v>11.44</v>
      </c>
      <c r="J3130">
        <v>11.45</v>
      </c>
      <c r="K3130" t="s">
        <v>16021</v>
      </c>
      <c r="L3130">
        <v>1.81</v>
      </c>
      <c r="M3130" t="s">
        <v>46</v>
      </c>
      <c r="N3130" t="s">
        <v>2665</v>
      </c>
      <c r="O3130">
        <v>11.47</v>
      </c>
      <c r="P3130">
        <v>11.1</v>
      </c>
      <c r="Q3130">
        <v>11.11</v>
      </c>
      <c r="R3130">
        <v>11.17</v>
      </c>
      <c r="S3130">
        <v>3.31</v>
      </c>
      <c r="T3130">
        <v>1.22</v>
      </c>
      <c r="U3130">
        <v>-47.39</v>
      </c>
      <c r="V3130">
        <v>-1142</v>
      </c>
      <c r="W3130">
        <v>11.36</v>
      </c>
      <c r="X3130" t="s">
        <v>10934</v>
      </c>
      <c r="Y3130" t="s">
        <v>8396</v>
      </c>
      <c r="Z3130">
        <v>0.77</v>
      </c>
      <c r="AA3130">
        <v>134</v>
      </c>
      <c r="AB3130">
        <v>18</v>
      </c>
      <c r="AC3130">
        <v>2.98</v>
      </c>
      <c r="AD3130" t="s">
        <v>11573</v>
      </c>
      <c r="AE3130" t="s">
        <v>16022</v>
      </c>
      <c r="AF3130" t="s">
        <v>2206</v>
      </c>
      <c r="AG3130" t="s">
        <v>16023</v>
      </c>
      <c r="AH3130">
        <v>1.51</v>
      </c>
      <c r="AI3130">
        <v>-0.09</v>
      </c>
      <c r="AJ3130">
        <v>5</v>
      </c>
      <c r="AK3130">
        <v>9.24</v>
      </c>
      <c r="AL3130">
        <v>1</v>
      </c>
      <c r="AM3130">
        <v>2.51</v>
      </c>
      <c r="AN3130">
        <v>20.91</v>
      </c>
      <c r="AO3130">
        <v>6.22</v>
      </c>
      <c r="AP3130">
        <v>6.91</v>
      </c>
    </row>
    <row r="3131" spans="1:42">
      <c r="A3131">
        <v>3130</v>
      </c>
      <c r="B3131" t="str">
        <f>"833171"</f>
        <v>833171</v>
      </c>
      <c r="C3131" t="s">
        <v>16024</v>
      </c>
      <c r="D3131">
        <v>4.01</v>
      </c>
      <c r="E3131">
        <v>1.01</v>
      </c>
      <c r="F3131">
        <v>0.04</v>
      </c>
      <c r="G3131" t="s">
        <v>1261</v>
      </c>
      <c r="H3131">
        <v>1096</v>
      </c>
      <c r="I3131">
        <v>4.01</v>
      </c>
      <c r="J3131">
        <v>4.02</v>
      </c>
      <c r="K3131" t="s">
        <v>16025</v>
      </c>
      <c r="L3131">
        <v>5.63</v>
      </c>
      <c r="M3131" t="s">
        <v>46</v>
      </c>
      <c r="N3131" t="s">
        <v>9724</v>
      </c>
      <c r="O3131">
        <v>4.22</v>
      </c>
      <c r="P3131">
        <v>3.9</v>
      </c>
      <c r="Q3131">
        <v>4.08</v>
      </c>
      <c r="R3131">
        <v>3.97</v>
      </c>
      <c r="S3131">
        <v>8.06</v>
      </c>
      <c r="T3131">
        <v>0.55</v>
      </c>
      <c r="U3131">
        <v>13.94</v>
      </c>
      <c r="V3131">
        <v>955</v>
      </c>
      <c r="W3131">
        <v>4.07</v>
      </c>
      <c r="X3131" t="s">
        <v>3207</v>
      </c>
      <c r="Y3131" t="s">
        <v>7340</v>
      </c>
      <c r="Z3131">
        <v>1.36</v>
      </c>
      <c r="AA3131">
        <v>2411</v>
      </c>
      <c r="AB3131">
        <v>825</v>
      </c>
      <c r="AC3131">
        <v>1.63</v>
      </c>
      <c r="AD3131" t="s">
        <v>16026</v>
      </c>
      <c r="AE3131" t="s">
        <v>229</v>
      </c>
      <c r="AF3131" t="s">
        <v>16027</v>
      </c>
      <c r="AG3131" t="s">
        <v>16028</v>
      </c>
      <c r="AH3131">
        <v>-4.52</v>
      </c>
      <c r="AI3131">
        <v>6.93</v>
      </c>
      <c r="AJ3131">
        <v>20.2</v>
      </c>
      <c r="AK3131">
        <v>56.86</v>
      </c>
      <c r="AL3131">
        <v>2</v>
      </c>
      <c r="AM3131">
        <v>1.01</v>
      </c>
      <c r="AN3131">
        <v>-2.43</v>
      </c>
      <c r="AO3131">
        <v>17.6</v>
      </c>
      <c r="AP3131">
        <v>-43.52</v>
      </c>
    </row>
    <row r="3132" spans="1:42">
      <c r="A3132">
        <v>3131</v>
      </c>
      <c r="B3132" t="str">
        <f>"688739"</f>
        <v>688739</v>
      </c>
      <c r="C3132" t="s">
        <v>16029</v>
      </c>
      <c r="D3132">
        <v>34.06</v>
      </c>
      <c r="E3132">
        <v>0.77</v>
      </c>
      <c r="F3132">
        <v>0.26</v>
      </c>
      <c r="G3132" t="s">
        <v>7656</v>
      </c>
      <c r="H3132">
        <v>72</v>
      </c>
      <c r="I3132">
        <v>34.06</v>
      </c>
      <c r="J3132">
        <v>34.08</v>
      </c>
      <c r="K3132" t="s">
        <v>16030</v>
      </c>
      <c r="L3132">
        <v>0.78</v>
      </c>
      <c r="M3132" t="s">
        <v>46</v>
      </c>
      <c r="N3132" t="s">
        <v>6443</v>
      </c>
      <c r="O3132">
        <v>34.18</v>
      </c>
      <c r="P3132">
        <v>33.72</v>
      </c>
      <c r="Q3132">
        <v>33.8</v>
      </c>
      <c r="R3132">
        <v>33.8</v>
      </c>
      <c r="S3132">
        <v>1.36</v>
      </c>
      <c r="T3132">
        <v>0.88</v>
      </c>
      <c r="U3132">
        <v>-45.7</v>
      </c>
      <c r="V3132">
        <v>-285</v>
      </c>
      <c r="W3132">
        <v>33.96</v>
      </c>
      <c r="X3132">
        <v>6255</v>
      </c>
      <c r="Y3132">
        <v>8518</v>
      </c>
      <c r="Z3132">
        <v>0.73</v>
      </c>
      <c r="AA3132">
        <v>23</v>
      </c>
      <c r="AB3132">
        <v>18</v>
      </c>
      <c r="AC3132">
        <v>1.47</v>
      </c>
      <c r="AD3132" t="s">
        <v>13165</v>
      </c>
      <c r="AE3132" t="s">
        <v>16031</v>
      </c>
      <c r="AF3132" t="s">
        <v>16032</v>
      </c>
      <c r="AG3132" t="s">
        <v>10807</v>
      </c>
      <c r="AH3132">
        <v>-0.32</v>
      </c>
      <c r="AI3132">
        <v>0.12</v>
      </c>
      <c r="AJ3132">
        <v>2.08</v>
      </c>
      <c r="AK3132">
        <v>5.25</v>
      </c>
      <c r="AL3132">
        <v>1</v>
      </c>
      <c r="AM3132">
        <v>0.77</v>
      </c>
      <c r="AN3132">
        <v>15.77</v>
      </c>
      <c r="AO3132">
        <v>1.52</v>
      </c>
      <c r="AP3132">
        <v>5.68</v>
      </c>
    </row>
    <row r="3133" spans="1:42">
      <c r="A3133">
        <v>3132</v>
      </c>
      <c r="B3133" t="str">
        <f>"000099"</f>
        <v>000099</v>
      </c>
      <c r="C3133" t="s">
        <v>16033</v>
      </c>
      <c r="D3133">
        <v>8</v>
      </c>
      <c r="E3133">
        <v>0.5</v>
      </c>
      <c r="F3133">
        <v>0.04</v>
      </c>
      <c r="G3133" t="s">
        <v>9139</v>
      </c>
      <c r="H3133">
        <v>429</v>
      </c>
      <c r="I3133">
        <v>7.99</v>
      </c>
      <c r="J3133">
        <v>8</v>
      </c>
      <c r="K3133" t="s">
        <v>16034</v>
      </c>
      <c r="L3133">
        <v>0.88</v>
      </c>
      <c r="M3133" t="s">
        <v>46</v>
      </c>
      <c r="N3133" t="s">
        <v>4927</v>
      </c>
      <c r="O3133">
        <v>8.04</v>
      </c>
      <c r="P3133">
        <v>7.94</v>
      </c>
      <c r="Q3133">
        <v>7.97</v>
      </c>
      <c r="R3133">
        <v>7.96</v>
      </c>
      <c r="S3133">
        <v>1.26</v>
      </c>
      <c r="T3133">
        <v>1.02</v>
      </c>
      <c r="U3133">
        <v>21.94</v>
      </c>
      <c r="V3133">
        <v>1079</v>
      </c>
      <c r="W3133">
        <v>7.99</v>
      </c>
      <c r="X3133" t="s">
        <v>3032</v>
      </c>
      <c r="Y3133" t="s">
        <v>762</v>
      </c>
      <c r="Z3133">
        <v>0.8</v>
      </c>
      <c r="AA3133">
        <v>458</v>
      </c>
      <c r="AB3133">
        <v>204</v>
      </c>
      <c r="AC3133">
        <v>1.23</v>
      </c>
      <c r="AD3133" t="s">
        <v>16035</v>
      </c>
      <c r="AE3133" t="s">
        <v>16036</v>
      </c>
      <c r="AF3133" t="s">
        <v>14226</v>
      </c>
      <c r="AG3133" t="s">
        <v>14110</v>
      </c>
      <c r="AH3133">
        <v>-0.87</v>
      </c>
      <c r="AI3133">
        <v>-2.44</v>
      </c>
      <c r="AJ3133">
        <v>2.75</v>
      </c>
      <c r="AK3133">
        <v>5.21</v>
      </c>
      <c r="AL3133">
        <v>1</v>
      </c>
      <c r="AM3133">
        <v>0.5</v>
      </c>
      <c r="AN3133">
        <v>10.8</v>
      </c>
      <c r="AO3133">
        <v>0.76</v>
      </c>
      <c r="AP3133">
        <v>7.67</v>
      </c>
    </row>
    <row r="3134" spans="1:42">
      <c r="A3134">
        <v>3133</v>
      </c>
      <c r="B3134" t="str">
        <f>"600843"</f>
        <v>600843</v>
      </c>
      <c r="C3134" t="s">
        <v>16037</v>
      </c>
      <c r="D3134">
        <v>6</v>
      </c>
      <c r="E3134">
        <v>0.33</v>
      </c>
      <c r="F3134">
        <v>0.02</v>
      </c>
      <c r="G3134" t="s">
        <v>752</v>
      </c>
      <c r="H3134">
        <v>854</v>
      </c>
      <c r="I3134">
        <v>5.99</v>
      </c>
      <c r="J3134">
        <v>6</v>
      </c>
      <c r="K3134" t="s">
        <v>16034</v>
      </c>
      <c r="L3134">
        <v>1.79</v>
      </c>
      <c r="M3134" t="s">
        <v>46</v>
      </c>
      <c r="N3134" t="s">
        <v>15765</v>
      </c>
      <c r="O3134">
        <v>6</v>
      </c>
      <c r="P3134">
        <v>5.93</v>
      </c>
      <c r="Q3134">
        <v>5.98</v>
      </c>
      <c r="R3134">
        <v>5.98</v>
      </c>
      <c r="S3134">
        <v>1.17</v>
      </c>
      <c r="T3134">
        <v>0.62</v>
      </c>
      <c r="U3134">
        <v>55.2</v>
      </c>
      <c r="V3134">
        <v>7137</v>
      </c>
      <c r="W3134">
        <v>5.97</v>
      </c>
      <c r="X3134" t="s">
        <v>7877</v>
      </c>
      <c r="Y3134" t="s">
        <v>7877</v>
      </c>
      <c r="Z3134">
        <v>1</v>
      </c>
      <c r="AA3134">
        <v>582</v>
      </c>
      <c r="AB3134">
        <v>1015</v>
      </c>
      <c r="AC3134">
        <v>1.28</v>
      </c>
      <c r="AD3134" t="s">
        <v>16038</v>
      </c>
      <c r="AE3134" t="s">
        <v>15503</v>
      </c>
      <c r="AF3134" t="s">
        <v>16039</v>
      </c>
      <c r="AG3134" t="s">
        <v>8876</v>
      </c>
      <c r="AH3134">
        <v>-1.48</v>
      </c>
      <c r="AI3134">
        <v>-0.83</v>
      </c>
      <c r="AJ3134">
        <v>5.94</v>
      </c>
      <c r="AK3134">
        <v>16.2</v>
      </c>
      <c r="AL3134">
        <v>1</v>
      </c>
      <c r="AM3134">
        <v>0.33</v>
      </c>
      <c r="AN3134">
        <v>22.2</v>
      </c>
      <c r="AO3134">
        <v>4.17</v>
      </c>
      <c r="AP3134">
        <v>15.83</v>
      </c>
    </row>
    <row r="3135" spans="1:42">
      <c r="A3135">
        <v>3134</v>
      </c>
      <c r="B3135" t="str">
        <f>"600386"</f>
        <v>600386</v>
      </c>
      <c r="C3135" t="s">
        <v>16040</v>
      </c>
      <c r="D3135">
        <v>4.28</v>
      </c>
      <c r="E3135">
        <v>2.88</v>
      </c>
      <c r="F3135">
        <v>0.12</v>
      </c>
      <c r="G3135" t="s">
        <v>1540</v>
      </c>
      <c r="H3135">
        <v>1319</v>
      </c>
      <c r="I3135">
        <v>4.28</v>
      </c>
      <c r="J3135">
        <v>4.29</v>
      </c>
      <c r="K3135" t="s">
        <v>16041</v>
      </c>
      <c r="L3135">
        <v>1.46</v>
      </c>
      <c r="M3135" t="s">
        <v>46</v>
      </c>
      <c r="N3135" t="s">
        <v>6764</v>
      </c>
      <c r="O3135">
        <v>4.32</v>
      </c>
      <c r="P3135">
        <v>4.15</v>
      </c>
      <c r="Q3135">
        <v>4.2</v>
      </c>
      <c r="R3135">
        <v>4.16</v>
      </c>
      <c r="S3135">
        <v>4.09</v>
      </c>
      <c r="T3135">
        <v>1.49</v>
      </c>
      <c r="U3135">
        <v>-18.61</v>
      </c>
      <c r="V3135">
        <v>-1892</v>
      </c>
      <c r="W3135">
        <v>4.25</v>
      </c>
      <c r="X3135" t="s">
        <v>7877</v>
      </c>
      <c r="Y3135" t="s">
        <v>3750</v>
      </c>
      <c r="Z3135">
        <v>0.55</v>
      </c>
      <c r="AA3135">
        <v>1587</v>
      </c>
      <c r="AB3135">
        <v>909</v>
      </c>
      <c r="AC3135">
        <v>1.94</v>
      </c>
      <c r="AD3135" t="s">
        <v>16042</v>
      </c>
      <c r="AE3135" t="s">
        <v>12866</v>
      </c>
      <c r="AF3135" t="s">
        <v>16042</v>
      </c>
      <c r="AG3135" t="s">
        <v>12866</v>
      </c>
      <c r="AH3135">
        <v>2.15</v>
      </c>
      <c r="AI3135">
        <v>1.18</v>
      </c>
      <c r="AJ3135">
        <v>3.23</v>
      </c>
      <c r="AK3135">
        <v>6.38</v>
      </c>
      <c r="AL3135">
        <v>1</v>
      </c>
      <c r="AM3135">
        <v>2.88</v>
      </c>
      <c r="AN3135">
        <v>10.03</v>
      </c>
      <c r="AO3135">
        <v>8.91</v>
      </c>
      <c r="AP3135">
        <v>6.73</v>
      </c>
    </row>
    <row r="3136" spans="1:42">
      <c r="A3136">
        <v>3135</v>
      </c>
      <c r="B3136" t="str">
        <f>"300753"</f>
        <v>300753</v>
      </c>
      <c r="C3136" t="s">
        <v>16043</v>
      </c>
      <c r="D3136">
        <v>18.33</v>
      </c>
      <c r="E3136">
        <v>0.49</v>
      </c>
      <c r="F3136">
        <v>0.09</v>
      </c>
      <c r="G3136" t="s">
        <v>5420</v>
      </c>
      <c r="H3136">
        <v>295</v>
      </c>
      <c r="I3136">
        <v>18.33</v>
      </c>
      <c r="J3136">
        <v>18.34</v>
      </c>
      <c r="K3136" t="s">
        <v>16044</v>
      </c>
      <c r="L3136">
        <v>3.38</v>
      </c>
      <c r="M3136" t="s">
        <v>46</v>
      </c>
      <c r="N3136" t="s">
        <v>4861</v>
      </c>
      <c r="O3136">
        <v>18.48</v>
      </c>
      <c r="P3136">
        <v>18.1</v>
      </c>
      <c r="Q3136">
        <v>18.21</v>
      </c>
      <c r="R3136">
        <v>18.24</v>
      </c>
      <c r="S3136">
        <v>2.08</v>
      </c>
      <c r="T3136">
        <v>1.25</v>
      </c>
      <c r="U3136">
        <v>40.79</v>
      </c>
      <c r="V3136">
        <v>62</v>
      </c>
      <c r="W3136">
        <v>18.33</v>
      </c>
      <c r="X3136" t="s">
        <v>4717</v>
      </c>
      <c r="Y3136" t="s">
        <v>383</v>
      </c>
      <c r="Z3136">
        <v>1.06</v>
      </c>
      <c r="AA3136">
        <v>6</v>
      </c>
      <c r="AB3136">
        <v>15</v>
      </c>
      <c r="AC3136">
        <v>3.33</v>
      </c>
      <c r="AD3136" t="s">
        <v>16045</v>
      </c>
      <c r="AE3136" t="s">
        <v>11522</v>
      </c>
      <c r="AF3136" t="s">
        <v>16046</v>
      </c>
      <c r="AG3136" t="s">
        <v>1579</v>
      </c>
      <c r="AH3136">
        <v>-0.49</v>
      </c>
      <c r="AI3136">
        <v>-0.76</v>
      </c>
      <c r="AJ3136">
        <v>7.44</v>
      </c>
      <c r="AK3136">
        <v>16.85</v>
      </c>
      <c r="AL3136">
        <v>1</v>
      </c>
      <c r="AM3136">
        <v>0.49</v>
      </c>
      <c r="AN3136">
        <v>1.44</v>
      </c>
      <c r="AO3136">
        <v>4.38</v>
      </c>
      <c r="AP3136">
        <v>17.27</v>
      </c>
    </row>
    <row r="3137" spans="1:42">
      <c r="A3137">
        <v>3136</v>
      </c>
      <c r="B3137" t="str">
        <f>"688550"</f>
        <v>688550</v>
      </c>
      <c r="C3137" t="s">
        <v>16047</v>
      </c>
      <c r="D3137">
        <v>35.84</v>
      </c>
      <c r="E3137">
        <v>-0.99</v>
      </c>
      <c r="F3137">
        <v>-0.36</v>
      </c>
      <c r="G3137" t="s">
        <v>10542</v>
      </c>
      <c r="H3137">
        <v>217</v>
      </c>
      <c r="I3137">
        <v>35.84</v>
      </c>
      <c r="J3137">
        <v>35.95</v>
      </c>
      <c r="K3137" t="s">
        <v>16044</v>
      </c>
      <c r="L3137">
        <v>1.37</v>
      </c>
      <c r="M3137" t="s">
        <v>46</v>
      </c>
      <c r="N3137" t="s">
        <v>16048</v>
      </c>
      <c r="O3137">
        <v>36.43</v>
      </c>
      <c r="P3137">
        <v>35.7</v>
      </c>
      <c r="Q3137">
        <v>36.2</v>
      </c>
      <c r="R3137">
        <v>36.2</v>
      </c>
      <c r="S3137">
        <v>2.02</v>
      </c>
      <c r="T3137">
        <v>0.76</v>
      </c>
      <c r="U3137">
        <v>69</v>
      </c>
      <c r="V3137">
        <v>250</v>
      </c>
      <c r="W3137">
        <v>36.03</v>
      </c>
      <c r="X3137">
        <v>6800</v>
      </c>
      <c r="Y3137">
        <v>7108</v>
      </c>
      <c r="Z3137">
        <v>0.96</v>
      </c>
      <c r="AA3137">
        <v>87</v>
      </c>
      <c r="AB3137">
        <v>25</v>
      </c>
      <c r="AC3137">
        <v>1.68</v>
      </c>
      <c r="AD3137" t="s">
        <v>16049</v>
      </c>
      <c r="AE3137" t="s">
        <v>16050</v>
      </c>
      <c r="AF3137" t="s">
        <v>14880</v>
      </c>
      <c r="AG3137" t="s">
        <v>16051</v>
      </c>
      <c r="AH3137">
        <v>2.69</v>
      </c>
      <c r="AI3137">
        <v>1.93</v>
      </c>
      <c r="AJ3137">
        <v>6.58</v>
      </c>
      <c r="AK3137">
        <v>10.38</v>
      </c>
      <c r="AL3137">
        <v>-1</v>
      </c>
      <c r="AM3137">
        <v>-0.99</v>
      </c>
      <c r="AN3137">
        <v>10.48</v>
      </c>
      <c r="AO3137">
        <v>9.27</v>
      </c>
      <c r="AP3137">
        <v>-1.97</v>
      </c>
    </row>
    <row r="3138" spans="1:42">
      <c r="A3138">
        <v>3137</v>
      </c>
      <c r="B3138" t="str">
        <f>"600292"</f>
        <v>600292</v>
      </c>
      <c r="C3138" t="s">
        <v>16052</v>
      </c>
      <c r="D3138">
        <v>6.24</v>
      </c>
      <c r="E3138">
        <v>-0.64</v>
      </c>
      <c r="F3138">
        <v>-0.04</v>
      </c>
      <c r="G3138" t="s">
        <v>4555</v>
      </c>
      <c r="H3138">
        <v>2029</v>
      </c>
      <c r="I3138">
        <v>6.23</v>
      </c>
      <c r="J3138">
        <v>6.24</v>
      </c>
      <c r="K3138" t="s">
        <v>16053</v>
      </c>
      <c r="L3138">
        <v>1.02</v>
      </c>
      <c r="M3138" t="s">
        <v>46</v>
      </c>
      <c r="N3138" t="s">
        <v>15484</v>
      </c>
      <c r="O3138">
        <v>6.31</v>
      </c>
      <c r="P3138">
        <v>6.21</v>
      </c>
      <c r="Q3138">
        <v>6.31</v>
      </c>
      <c r="R3138">
        <v>6.28</v>
      </c>
      <c r="S3138">
        <v>1.59</v>
      </c>
      <c r="T3138">
        <v>0.87</v>
      </c>
      <c r="U3138">
        <v>-6.01</v>
      </c>
      <c r="V3138">
        <v>-401</v>
      </c>
      <c r="W3138">
        <v>6.27</v>
      </c>
      <c r="X3138" t="s">
        <v>3103</v>
      </c>
      <c r="Y3138" t="s">
        <v>4974</v>
      </c>
      <c r="Z3138">
        <v>1.22</v>
      </c>
      <c r="AA3138">
        <v>568</v>
      </c>
      <c r="AB3138">
        <v>1674</v>
      </c>
      <c r="AC3138">
        <v>0.94</v>
      </c>
      <c r="AD3138" t="s">
        <v>16054</v>
      </c>
      <c r="AE3138" t="s">
        <v>16055</v>
      </c>
      <c r="AF3138" t="s">
        <v>16054</v>
      </c>
      <c r="AG3138" t="s">
        <v>16055</v>
      </c>
      <c r="AH3138">
        <v>-0.32</v>
      </c>
      <c r="AI3138">
        <v>-1.73</v>
      </c>
      <c r="AJ3138">
        <v>2.94</v>
      </c>
      <c r="AK3138">
        <v>6.93</v>
      </c>
      <c r="AL3138">
        <v>-1</v>
      </c>
      <c r="AM3138">
        <v>-0.64</v>
      </c>
      <c r="AN3138">
        <v>11.43</v>
      </c>
      <c r="AO3138">
        <v>2.63</v>
      </c>
      <c r="AP3138">
        <v>2.63</v>
      </c>
    </row>
    <row r="3139" spans="1:42">
      <c r="A3139">
        <v>3138</v>
      </c>
      <c r="B3139" t="str">
        <f>"600569"</f>
        <v>600569</v>
      </c>
      <c r="C3139" t="s">
        <v>16056</v>
      </c>
      <c r="D3139">
        <v>2.29</v>
      </c>
      <c r="E3139">
        <v>1.33</v>
      </c>
      <c r="F3139">
        <v>0.03</v>
      </c>
      <c r="G3139" t="s">
        <v>1225</v>
      </c>
      <c r="H3139">
        <v>1306</v>
      </c>
      <c r="I3139">
        <v>2.29</v>
      </c>
      <c r="J3139">
        <v>2.3</v>
      </c>
      <c r="K3139" t="s">
        <v>10455</v>
      </c>
      <c r="L3139">
        <v>0.76</v>
      </c>
      <c r="M3139" t="s">
        <v>46</v>
      </c>
      <c r="N3139" t="s">
        <v>6872</v>
      </c>
      <c r="O3139">
        <v>2.32</v>
      </c>
      <c r="P3139">
        <v>2.26</v>
      </c>
      <c r="Q3139">
        <v>2.27</v>
      </c>
      <c r="R3139">
        <v>2.26</v>
      </c>
      <c r="S3139">
        <v>2.65</v>
      </c>
      <c r="T3139">
        <v>1.47</v>
      </c>
      <c r="U3139">
        <v>-51.62</v>
      </c>
      <c r="V3139" t="s">
        <v>8779</v>
      </c>
      <c r="W3139">
        <v>2.3</v>
      </c>
      <c r="X3139" t="s">
        <v>6985</v>
      </c>
      <c r="Y3139" t="s">
        <v>830</v>
      </c>
      <c r="Z3139">
        <v>0.68</v>
      </c>
      <c r="AA3139">
        <v>273</v>
      </c>
      <c r="AB3139">
        <v>5897</v>
      </c>
      <c r="AC3139">
        <v>1</v>
      </c>
      <c r="AD3139" t="s">
        <v>16057</v>
      </c>
      <c r="AE3139" t="s">
        <v>16058</v>
      </c>
      <c r="AF3139" t="s">
        <v>16057</v>
      </c>
      <c r="AG3139" t="s">
        <v>16058</v>
      </c>
      <c r="AH3139">
        <v>0.44</v>
      </c>
      <c r="AI3139">
        <v>0.44</v>
      </c>
      <c r="AJ3139">
        <v>1.78</v>
      </c>
      <c r="AK3139">
        <v>3.34</v>
      </c>
      <c r="AL3139">
        <v>1</v>
      </c>
      <c r="AM3139">
        <v>1.33</v>
      </c>
      <c r="AN3139">
        <v>10.63</v>
      </c>
      <c r="AO3139">
        <v>1.33</v>
      </c>
      <c r="AP3139">
        <v>8.53</v>
      </c>
    </row>
    <row r="3140" spans="1:42">
      <c r="A3140">
        <v>3139</v>
      </c>
      <c r="B3140" t="str">
        <f>"002290"</f>
        <v>002290</v>
      </c>
      <c r="C3140" t="s">
        <v>16059</v>
      </c>
      <c r="D3140">
        <v>12.78</v>
      </c>
      <c r="E3140">
        <v>-1.08</v>
      </c>
      <c r="F3140">
        <v>-0.14</v>
      </c>
      <c r="G3140" t="s">
        <v>3291</v>
      </c>
      <c r="H3140">
        <v>226</v>
      </c>
      <c r="I3140">
        <v>12.78</v>
      </c>
      <c r="J3140">
        <v>12.79</v>
      </c>
      <c r="K3140" t="s">
        <v>10455</v>
      </c>
      <c r="L3140">
        <v>1.57</v>
      </c>
      <c r="M3140" t="s">
        <v>46</v>
      </c>
      <c r="N3140" t="s">
        <v>3167</v>
      </c>
      <c r="O3140">
        <v>13.19</v>
      </c>
      <c r="P3140">
        <v>12.67</v>
      </c>
      <c r="Q3140">
        <v>13.01</v>
      </c>
      <c r="R3140">
        <v>12.92</v>
      </c>
      <c r="S3140">
        <v>4.02</v>
      </c>
      <c r="T3140">
        <v>0.98</v>
      </c>
      <c r="U3140">
        <v>19.31</v>
      </c>
      <c r="V3140">
        <v>169</v>
      </c>
      <c r="W3140">
        <v>12.89</v>
      </c>
      <c r="X3140" t="s">
        <v>4963</v>
      </c>
      <c r="Y3140" t="s">
        <v>2397</v>
      </c>
      <c r="Z3140">
        <v>1.27</v>
      </c>
      <c r="AA3140">
        <v>22</v>
      </c>
      <c r="AB3140">
        <v>75</v>
      </c>
      <c r="AC3140">
        <v>4.54</v>
      </c>
      <c r="AD3140" t="s">
        <v>16060</v>
      </c>
      <c r="AE3140" t="s">
        <v>16061</v>
      </c>
      <c r="AF3140" t="s">
        <v>16062</v>
      </c>
      <c r="AG3140" t="s">
        <v>16063</v>
      </c>
      <c r="AH3140">
        <v>2</v>
      </c>
      <c r="AI3140">
        <v>7.94</v>
      </c>
      <c r="AJ3140">
        <v>6.14</v>
      </c>
      <c r="AK3140">
        <v>9.57</v>
      </c>
      <c r="AL3140">
        <v>-1</v>
      </c>
      <c r="AM3140">
        <v>-1.08</v>
      </c>
      <c r="AN3140">
        <v>40.13</v>
      </c>
      <c r="AO3140">
        <v>9.7</v>
      </c>
      <c r="AP3140">
        <v>53.79</v>
      </c>
    </row>
    <row r="3141" spans="1:42">
      <c r="A3141">
        <v>3140</v>
      </c>
      <c r="B3141" t="str">
        <f>"300409"</f>
        <v>300409</v>
      </c>
      <c r="C3141" t="s">
        <v>16064</v>
      </c>
      <c r="D3141">
        <v>11.09</v>
      </c>
      <c r="E3141">
        <v>0.27</v>
      </c>
      <c r="F3141">
        <v>0.03</v>
      </c>
      <c r="G3141" t="s">
        <v>5055</v>
      </c>
      <c r="H3141">
        <v>201</v>
      </c>
      <c r="I3141">
        <v>11.09</v>
      </c>
      <c r="J3141">
        <v>11.1</v>
      </c>
      <c r="K3141" t="s">
        <v>16065</v>
      </c>
      <c r="L3141">
        <v>0.93</v>
      </c>
      <c r="M3141" t="s">
        <v>46</v>
      </c>
      <c r="N3141" t="s">
        <v>7052</v>
      </c>
      <c r="O3141">
        <v>11.17</v>
      </c>
      <c r="P3141">
        <v>10.97</v>
      </c>
      <c r="Q3141">
        <v>11.11</v>
      </c>
      <c r="R3141">
        <v>11.06</v>
      </c>
      <c r="S3141">
        <v>1.81</v>
      </c>
      <c r="T3141">
        <v>0.95</v>
      </c>
      <c r="U3141">
        <v>-1.71</v>
      </c>
      <c r="V3141">
        <v>-34</v>
      </c>
      <c r="W3141">
        <v>11.05</v>
      </c>
      <c r="X3141" t="s">
        <v>4017</v>
      </c>
      <c r="Y3141" t="s">
        <v>2716</v>
      </c>
      <c r="Z3141">
        <v>1.12</v>
      </c>
      <c r="AA3141">
        <v>105</v>
      </c>
      <c r="AB3141">
        <v>397</v>
      </c>
      <c r="AC3141">
        <v>1.13</v>
      </c>
      <c r="AD3141" t="s">
        <v>10180</v>
      </c>
      <c r="AE3141" t="s">
        <v>16066</v>
      </c>
      <c r="AF3141" t="s">
        <v>16067</v>
      </c>
      <c r="AG3141" t="s">
        <v>7821</v>
      </c>
      <c r="AH3141">
        <v>-2.2</v>
      </c>
      <c r="AI3141">
        <v>-3.14</v>
      </c>
      <c r="AJ3141">
        <v>2.71</v>
      </c>
      <c r="AK3141">
        <v>5.82</v>
      </c>
      <c r="AL3141">
        <v>1</v>
      </c>
      <c r="AM3141">
        <v>0.27</v>
      </c>
      <c r="AN3141">
        <v>-24.25</v>
      </c>
      <c r="AO3141">
        <v>-2.72</v>
      </c>
      <c r="AP3141">
        <v>-26.85</v>
      </c>
    </row>
    <row r="3142" spans="1:42">
      <c r="A3142">
        <v>3141</v>
      </c>
      <c r="B3142" t="str">
        <f>"300869"</f>
        <v>300869</v>
      </c>
      <c r="C3142" t="s">
        <v>16068</v>
      </c>
      <c r="D3142">
        <v>22.12</v>
      </c>
      <c r="E3142">
        <v>0.55</v>
      </c>
      <c r="F3142">
        <v>0.12</v>
      </c>
      <c r="G3142" t="s">
        <v>1335</v>
      </c>
      <c r="H3142">
        <v>299</v>
      </c>
      <c r="I3142">
        <v>22.12</v>
      </c>
      <c r="J3142">
        <v>22.13</v>
      </c>
      <c r="K3142" t="s">
        <v>16069</v>
      </c>
      <c r="L3142">
        <v>1.14</v>
      </c>
      <c r="M3142" t="s">
        <v>46</v>
      </c>
      <c r="N3142" t="s">
        <v>16070</v>
      </c>
      <c r="O3142">
        <v>22.21</v>
      </c>
      <c r="P3142">
        <v>21.9</v>
      </c>
      <c r="Q3142">
        <v>21.9</v>
      </c>
      <c r="R3142">
        <v>22</v>
      </c>
      <c r="S3142">
        <v>1.41</v>
      </c>
      <c r="T3142">
        <v>0.32</v>
      </c>
      <c r="U3142">
        <v>-64.58</v>
      </c>
      <c r="V3142">
        <v>-485</v>
      </c>
      <c r="W3142">
        <v>22.05</v>
      </c>
      <c r="X3142" t="s">
        <v>2284</v>
      </c>
      <c r="Y3142" t="s">
        <v>734</v>
      </c>
      <c r="Z3142">
        <v>1.03</v>
      </c>
      <c r="AA3142">
        <v>58</v>
      </c>
      <c r="AB3142">
        <v>186</v>
      </c>
      <c r="AC3142">
        <v>4.35</v>
      </c>
      <c r="AD3142" t="s">
        <v>16071</v>
      </c>
      <c r="AE3142" t="s">
        <v>16072</v>
      </c>
      <c r="AF3142" t="s">
        <v>16073</v>
      </c>
      <c r="AG3142" t="s">
        <v>11721</v>
      </c>
      <c r="AH3142">
        <v>-1.73</v>
      </c>
      <c r="AI3142">
        <v>-0.94</v>
      </c>
      <c r="AJ3142">
        <v>4.22</v>
      </c>
      <c r="AK3142">
        <v>18.73</v>
      </c>
      <c r="AL3142">
        <v>1</v>
      </c>
      <c r="AM3142">
        <v>0.55</v>
      </c>
      <c r="AN3142">
        <v>-31.81</v>
      </c>
      <c r="AO3142">
        <v>2.41</v>
      </c>
      <c r="AP3142">
        <v>-15.44</v>
      </c>
    </row>
    <row r="3143" spans="1:42">
      <c r="A3143">
        <v>3142</v>
      </c>
      <c r="B3143" t="str">
        <f>"300726"</f>
        <v>300726</v>
      </c>
      <c r="C3143" t="s">
        <v>16074</v>
      </c>
      <c r="D3143">
        <v>32.31</v>
      </c>
      <c r="E3143">
        <v>0.15</v>
      </c>
      <c r="F3143">
        <v>0.05</v>
      </c>
      <c r="G3143" t="s">
        <v>5951</v>
      </c>
      <c r="H3143">
        <v>280</v>
      </c>
      <c r="I3143">
        <v>32.3</v>
      </c>
      <c r="J3143">
        <v>32.31</v>
      </c>
      <c r="K3143" t="s">
        <v>16069</v>
      </c>
      <c r="L3143">
        <v>0.73</v>
      </c>
      <c r="M3143" t="s">
        <v>46</v>
      </c>
      <c r="N3143" t="s">
        <v>5397</v>
      </c>
      <c r="O3143">
        <v>32.6</v>
      </c>
      <c r="P3143">
        <v>32</v>
      </c>
      <c r="Q3143">
        <v>32.26</v>
      </c>
      <c r="R3143">
        <v>32.26</v>
      </c>
      <c r="S3143">
        <v>1.86</v>
      </c>
      <c r="T3143">
        <v>0.94</v>
      </c>
      <c r="U3143">
        <v>-18.71</v>
      </c>
      <c r="V3143">
        <v>-29</v>
      </c>
      <c r="W3143">
        <v>32.24</v>
      </c>
      <c r="X3143">
        <v>9000</v>
      </c>
      <c r="Y3143">
        <v>6514</v>
      </c>
      <c r="Z3143">
        <v>1.38</v>
      </c>
      <c r="AA3143">
        <v>3</v>
      </c>
      <c r="AB3143">
        <v>10</v>
      </c>
      <c r="AC3143">
        <v>2.84</v>
      </c>
      <c r="AD3143" t="s">
        <v>16075</v>
      </c>
      <c r="AE3143" t="s">
        <v>8200</v>
      </c>
      <c r="AF3143" t="s">
        <v>16076</v>
      </c>
      <c r="AG3143" t="s">
        <v>16077</v>
      </c>
      <c r="AH3143">
        <v>-1.97</v>
      </c>
      <c r="AI3143">
        <v>-4.38</v>
      </c>
      <c r="AJ3143">
        <v>2.23</v>
      </c>
      <c r="AK3143">
        <v>4.59</v>
      </c>
      <c r="AL3143">
        <v>1</v>
      </c>
      <c r="AM3143">
        <v>0.15</v>
      </c>
      <c r="AN3143">
        <v>-25.96</v>
      </c>
      <c r="AO3143">
        <v>-3.18</v>
      </c>
      <c r="AP3143">
        <v>-30.37</v>
      </c>
    </row>
    <row r="3144" spans="1:42">
      <c r="A3144">
        <v>3143</v>
      </c>
      <c r="B3144" t="str">
        <f>"002167"</f>
        <v>002167</v>
      </c>
      <c r="C3144" t="s">
        <v>16078</v>
      </c>
      <c r="D3144">
        <v>6.58</v>
      </c>
      <c r="E3144">
        <v>0.3</v>
      </c>
      <c r="F3144">
        <v>0.02</v>
      </c>
      <c r="G3144" t="s">
        <v>494</v>
      </c>
      <c r="H3144">
        <v>534</v>
      </c>
      <c r="I3144">
        <v>6.58</v>
      </c>
      <c r="J3144">
        <v>6.59</v>
      </c>
      <c r="K3144" t="s">
        <v>16079</v>
      </c>
      <c r="L3144">
        <v>1.11</v>
      </c>
      <c r="M3144" t="s">
        <v>46</v>
      </c>
      <c r="N3144" t="s">
        <v>5944</v>
      </c>
      <c r="O3144">
        <v>6.62</v>
      </c>
      <c r="P3144">
        <v>6.49</v>
      </c>
      <c r="Q3144">
        <v>6.56</v>
      </c>
      <c r="R3144">
        <v>6.56</v>
      </c>
      <c r="S3144">
        <v>1.98</v>
      </c>
      <c r="T3144">
        <v>0.78</v>
      </c>
      <c r="U3144">
        <v>-17.98</v>
      </c>
      <c r="V3144">
        <v>-1204</v>
      </c>
      <c r="W3144">
        <v>6.55</v>
      </c>
      <c r="X3144" t="s">
        <v>6256</v>
      </c>
      <c r="Y3144" t="s">
        <v>5831</v>
      </c>
      <c r="Z3144">
        <v>1.17</v>
      </c>
      <c r="AA3144">
        <v>354</v>
      </c>
      <c r="AB3144">
        <v>202</v>
      </c>
      <c r="AC3144">
        <v>3.37</v>
      </c>
      <c r="AD3144" t="s">
        <v>16080</v>
      </c>
      <c r="AE3144" t="s">
        <v>16081</v>
      </c>
      <c r="AF3144" t="s">
        <v>16082</v>
      </c>
      <c r="AG3144" t="s">
        <v>8811</v>
      </c>
      <c r="AH3144">
        <v>-1.94</v>
      </c>
      <c r="AI3144">
        <v>-3.52</v>
      </c>
      <c r="AJ3144">
        <v>3.75</v>
      </c>
      <c r="AK3144">
        <v>8.27</v>
      </c>
      <c r="AL3144">
        <v>1</v>
      </c>
      <c r="AM3144">
        <v>0.3</v>
      </c>
      <c r="AN3144">
        <v>9.48</v>
      </c>
      <c r="AO3144">
        <v>3.46</v>
      </c>
      <c r="AP3144">
        <v>8.94</v>
      </c>
    </row>
    <row r="3145" spans="1:42">
      <c r="A3145">
        <v>3144</v>
      </c>
      <c r="B3145" t="str">
        <f>"600992"</f>
        <v>600992</v>
      </c>
      <c r="C3145" t="s">
        <v>16083</v>
      </c>
      <c r="D3145">
        <v>15.7</v>
      </c>
      <c r="E3145">
        <v>0.45</v>
      </c>
      <c r="F3145">
        <v>0.07</v>
      </c>
      <c r="G3145" t="s">
        <v>5675</v>
      </c>
      <c r="H3145">
        <v>1106</v>
      </c>
      <c r="I3145">
        <v>15.69</v>
      </c>
      <c r="J3145">
        <v>15.7</v>
      </c>
      <c r="K3145" t="s">
        <v>16079</v>
      </c>
      <c r="L3145">
        <v>1.31</v>
      </c>
      <c r="M3145" t="s">
        <v>46</v>
      </c>
      <c r="N3145" t="s">
        <v>208</v>
      </c>
      <c r="O3145">
        <v>15.73</v>
      </c>
      <c r="P3145">
        <v>15.45</v>
      </c>
      <c r="Q3145">
        <v>15.61</v>
      </c>
      <c r="R3145">
        <v>15.63</v>
      </c>
      <c r="S3145">
        <v>1.79</v>
      </c>
      <c r="T3145">
        <v>0.93</v>
      </c>
      <c r="U3145">
        <v>-22.43</v>
      </c>
      <c r="V3145">
        <v>-416</v>
      </c>
      <c r="W3145">
        <v>15.61</v>
      </c>
      <c r="X3145" t="s">
        <v>3793</v>
      </c>
      <c r="Y3145" t="s">
        <v>2397</v>
      </c>
      <c r="Z3145">
        <v>0.88</v>
      </c>
      <c r="AA3145">
        <v>271</v>
      </c>
      <c r="AB3145">
        <v>225</v>
      </c>
      <c r="AC3145">
        <v>2.58</v>
      </c>
      <c r="AD3145" t="s">
        <v>16084</v>
      </c>
      <c r="AE3145" t="s">
        <v>16085</v>
      </c>
      <c r="AF3145" t="s">
        <v>16084</v>
      </c>
      <c r="AG3145" t="s">
        <v>16085</v>
      </c>
      <c r="AH3145">
        <v>0</v>
      </c>
      <c r="AI3145">
        <v>0.96</v>
      </c>
      <c r="AJ3145">
        <v>4.35</v>
      </c>
      <c r="AK3145">
        <v>8.33</v>
      </c>
      <c r="AL3145">
        <v>1</v>
      </c>
      <c r="AM3145">
        <v>0.45</v>
      </c>
      <c r="AN3145">
        <v>-33.02</v>
      </c>
      <c r="AO3145">
        <v>6.51</v>
      </c>
      <c r="AP3145">
        <v>-35.73</v>
      </c>
    </row>
    <row r="3146" spans="1:42">
      <c r="A3146">
        <v>3145</v>
      </c>
      <c r="B3146" t="str">
        <f>"688621"</f>
        <v>688621</v>
      </c>
      <c r="C3146" t="s">
        <v>16086</v>
      </c>
      <c r="D3146">
        <v>68.64</v>
      </c>
      <c r="E3146">
        <v>0.7</v>
      </c>
      <c r="F3146">
        <v>0.48</v>
      </c>
      <c r="G3146">
        <v>7308</v>
      </c>
      <c r="H3146">
        <v>12</v>
      </c>
      <c r="I3146">
        <v>68.64</v>
      </c>
      <c r="J3146">
        <v>68.81</v>
      </c>
      <c r="K3146" t="s">
        <v>16087</v>
      </c>
      <c r="L3146">
        <v>0.9</v>
      </c>
      <c r="M3146" t="s">
        <v>46</v>
      </c>
      <c r="N3146" t="s">
        <v>13218</v>
      </c>
      <c r="O3146">
        <v>69</v>
      </c>
      <c r="P3146">
        <v>67.62</v>
      </c>
      <c r="Q3146">
        <v>68.1</v>
      </c>
      <c r="R3146">
        <v>68.16</v>
      </c>
      <c r="S3146">
        <v>2.02</v>
      </c>
      <c r="T3146">
        <v>1.09</v>
      </c>
      <c r="U3146">
        <v>18.81</v>
      </c>
      <c r="V3146">
        <v>19</v>
      </c>
      <c r="W3146">
        <v>68.41</v>
      </c>
      <c r="X3146">
        <v>3749</v>
      </c>
      <c r="Y3146">
        <v>3559</v>
      </c>
      <c r="Z3146">
        <v>1.05</v>
      </c>
      <c r="AA3146">
        <v>7</v>
      </c>
      <c r="AB3146">
        <v>3</v>
      </c>
      <c r="AC3146">
        <v>7.54</v>
      </c>
      <c r="AD3146" t="s">
        <v>14495</v>
      </c>
      <c r="AE3146" t="s">
        <v>16088</v>
      </c>
      <c r="AF3146" t="s">
        <v>3376</v>
      </c>
      <c r="AG3146" t="s">
        <v>2861</v>
      </c>
      <c r="AH3146">
        <v>2.07</v>
      </c>
      <c r="AI3146">
        <v>2.69</v>
      </c>
      <c r="AJ3146">
        <v>2.66</v>
      </c>
      <c r="AK3146">
        <v>5.04</v>
      </c>
      <c r="AL3146">
        <v>4</v>
      </c>
      <c r="AM3146">
        <v>0.7</v>
      </c>
      <c r="AN3146">
        <v>-5.6</v>
      </c>
      <c r="AO3146">
        <v>4.36</v>
      </c>
      <c r="AP3146">
        <v>-4.09</v>
      </c>
    </row>
    <row r="3147" spans="1:42">
      <c r="A3147">
        <v>3146</v>
      </c>
      <c r="B3147" t="str">
        <f>"688469"</f>
        <v>688469</v>
      </c>
      <c r="C3147" t="s">
        <v>16089</v>
      </c>
      <c r="D3147">
        <v>5.23</v>
      </c>
      <c r="E3147">
        <v>0.19</v>
      </c>
      <c r="F3147">
        <v>0.01</v>
      </c>
      <c r="G3147" t="s">
        <v>16090</v>
      </c>
      <c r="H3147">
        <v>718</v>
      </c>
      <c r="I3147">
        <v>5.22</v>
      </c>
      <c r="J3147">
        <v>5.23</v>
      </c>
      <c r="K3147" t="s">
        <v>16091</v>
      </c>
      <c r="L3147">
        <v>0.87</v>
      </c>
      <c r="M3147" t="s">
        <v>46</v>
      </c>
      <c r="N3147" t="s">
        <v>10164</v>
      </c>
      <c r="O3147">
        <v>5.25</v>
      </c>
      <c r="P3147">
        <v>5.19</v>
      </c>
      <c r="Q3147">
        <v>5.22</v>
      </c>
      <c r="R3147">
        <v>5.22</v>
      </c>
      <c r="S3147">
        <v>1.15</v>
      </c>
      <c r="T3147">
        <v>0.67</v>
      </c>
      <c r="U3147">
        <v>-9.95</v>
      </c>
      <c r="V3147">
        <v>-2462</v>
      </c>
      <c r="W3147">
        <v>5.22</v>
      </c>
      <c r="X3147" t="s">
        <v>6349</v>
      </c>
      <c r="Y3147" t="s">
        <v>5877</v>
      </c>
      <c r="Z3147">
        <v>1.27</v>
      </c>
      <c r="AA3147">
        <v>1689</v>
      </c>
      <c r="AB3147">
        <v>759</v>
      </c>
      <c r="AC3147">
        <v>2.82</v>
      </c>
      <c r="AD3147" t="s">
        <v>16092</v>
      </c>
      <c r="AE3147" t="s">
        <v>16093</v>
      </c>
      <c r="AF3147" t="s">
        <v>6404</v>
      </c>
      <c r="AG3147" t="s">
        <v>9234</v>
      </c>
      <c r="AH3147">
        <v>0.38</v>
      </c>
      <c r="AI3147">
        <v>-0.19</v>
      </c>
      <c r="AJ3147">
        <v>3.77</v>
      </c>
      <c r="AK3147">
        <v>7.36</v>
      </c>
      <c r="AL3147">
        <v>1</v>
      </c>
      <c r="AM3147">
        <v>0.19</v>
      </c>
      <c r="AN3147">
        <v>-8.08</v>
      </c>
      <c r="AO3147">
        <v>-0.95</v>
      </c>
      <c r="AP3147">
        <v>-8.08</v>
      </c>
    </row>
    <row r="3148" spans="1:42">
      <c r="A3148">
        <v>3147</v>
      </c>
      <c r="B3148" t="str">
        <f>"600305"</f>
        <v>600305</v>
      </c>
      <c r="C3148" t="s">
        <v>16094</v>
      </c>
      <c r="D3148">
        <v>9.58</v>
      </c>
      <c r="E3148">
        <v>0.1</v>
      </c>
      <c r="F3148">
        <v>0.01</v>
      </c>
      <c r="G3148" t="s">
        <v>7340</v>
      </c>
      <c r="H3148">
        <v>210</v>
      </c>
      <c r="I3148">
        <v>9.58</v>
      </c>
      <c r="J3148">
        <v>9.59</v>
      </c>
      <c r="K3148" t="s">
        <v>16095</v>
      </c>
      <c r="L3148">
        <v>0.47</v>
      </c>
      <c r="M3148" t="s">
        <v>46</v>
      </c>
      <c r="N3148" t="s">
        <v>2751</v>
      </c>
      <c r="O3148">
        <v>9.62</v>
      </c>
      <c r="P3148">
        <v>9.49</v>
      </c>
      <c r="Q3148">
        <v>9.57</v>
      </c>
      <c r="R3148">
        <v>9.57</v>
      </c>
      <c r="S3148">
        <v>1.36</v>
      </c>
      <c r="T3148">
        <v>1.19</v>
      </c>
      <c r="U3148">
        <v>-32.29</v>
      </c>
      <c r="V3148">
        <v>-2114</v>
      </c>
      <c r="W3148">
        <v>9.56</v>
      </c>
      <c r="X3148" t="s">
        <v>2976</v>
      </c>
      <c r="Y3148" t="s">
        <v>6431</v>
      </c>
      <c r="Z3148">
        <v>0.63</v>
      </c>
      <c r="AA3148">
        <v>198</v>
      </c>
      <c r="AB3148">
        <v>363</v>
      </c>
      <c r="AC3148">
        <v>3.19</v>
      </c>
      <c r="AD3148" t="s">
        <v>13254</v>
      </c>
      <c r="AE3148" t="s">
        <v>1809</v>
      </c>
      <c r="AF3148" t="s">
        <v>13254</v>
      </c>
      <c r="AG3148" t="s">
        <v>1809</v>
      </c>
      <c r="AH3148">
        <v>0.42</v>
      </c>
      <c r="AI3148">
        <v>-0.42</v>
      </c>
      <c r="AJ3148">
        <v>1.21</v>
      </c>
      <c r="AK3148">
        <v>2.45</v>
      </c>
      <c r="AL3148">
        <v>2</v>
      </c>
      <c r="AM3148">
        <v>0.1</v>
      </c>
      <c r="AN3148">
        <v>-21.48</v>
      </c>
      <c r="AO3148">
        <v>-2.74</v>
      </c>
      <c r="AP3148">
        <v>-15</v>
      </c>
    </row>
    <row r="3149" spans="1:42">
      <c r="A3149">
        <v>3148</v>
      </c>
      <c r="B3149" t="str">
        <f>"002089"</f>
        <v>002089</v>
      </c>
      <c r="C3149" t="s">
        <v>16096</v>
      </c>
      <c r="D3149">
        <v>1.17</v>
      </c>
      <c r="E3149">
        <v>0</v>
      </c>
      <c r="F3149">
        <v>0</v>
      </c>
      <c r="G3149" t="s">
        <v>4340</v>
      </c>
      <c r="H3149" t="s">
        <v>2397</v>
      </c>
      <c r="I3149">
        <v>1.17</v>
      </c>
      <c r="J3149">
        <v>1.18</v>
      </c>
      <c r="K3149" t="s">
        <v>16097</v>
      </c>
      <c r="L3149">
        <v>3.61</v>
      </c>
      <c r="M3149" t="s">
        <v>46</v>
      </c>
      <c r="N3149" t="s">
        <v>16098</v>
      </c>
      <c r="O3149">
        <v>1.21</v>
      </c>
      <c r="P3149">
        <v>1.11</v>
      </c>
      <c r="Q3149">
        <v>1.16</v>
      </c>
      <c r="R3149">
        <v>1.17</v>
      </c>
      <c r="S3149">
        <v>8.55</v>
      </c>
      <c r="T3149">
        <v>1.66</v>
      </c>
      <c r="U3149">
        <v>-35.35</v>
      </c>
      <c r="V3149" t="s">
        <v>16099</v>
      </c>
      <c r="W3149">
        <v>1.16</v>
      </c>
      <c r="X3149" t="s">
        <v>1225</v>
      </c>
      <c r="Y3149" t="s">
        <v>1007</v>
      </c>
      <c r="Z3149">
        <v>1.03</v>
      </c>
      <c r="AA3149">
        <v>2842</v>
      </c>
      <c r="AB3149" t="s">
        <v>2284</v>
      </c>
      <c r="AC3149">
        <v>1.63</v>
      </c>
      <c r="AD3149" t="s">
        <v>13694</v>
      </c>
      <c r="AE3149" t="s">
        <v>678</v>
      </c>
      <c r="AF3149" t="s">
        <v>16100</v>
      </c>
      <c r="AG3149" t="s">
        <v>3730</v>
      </c>
      <c r="AH3149">
        <v>-6.4</v>
      </c>
      <c r="AI3149">
        <v>-7.14</v>
      </c>
      <c r="AJ3149">
        <v>8.56</v>
      </c>
      <c r="AK3149">
        <v>14.49</v>
      </c>
      <c r="AL3149">
        <v>0</v>
      </c>
      <c r="AM3149">
        <v>0</v>
      </c>
      <c r="AN3149">
        <v>-44.81</v>
      </c>
      <c r="AO3149">
        <v>-8.59</v>
      </c>
      <c r="AP3149">
        <v>-48.23</v>
      </c>
    </row>
    <row r="3150" spans="1:42">
      <c r="A3150">
        <v>3149</v>
      </c>
      <c r="B3150" t="str">
        <f>"300103"</f>
        <v>300103</v>
      </c>
      <c r="C3150" t="s">
        <v>16101</v>
      </c>
      <c r="D3150">
        <v>6.83</v>
      </c>
      <c r="E3150">
        <v>1.49</v>
      </c>
      <c r="F3150">
        <v>0.1</v>
      </c>
      <c r="G3150" t="s">
        <v>4320</v>
      </c>
      <c r="H3150">
        <v>414</v>
      </c>
      <c r="I3150">
        <v>6.83</v>
      </c>
      <c r="J3150">
        <v>6.84</v>
      </c>
      <c r="K3150" t="s">
        <v>16102</v>
      </c>
      <c r="L3150">
        <v>2.98</v>
      </c>
      <c r="M3150" t="s">
        <v>46</v>
      </c>
      <c r="N3150" t="s">
        <v>7785</v>
      </c>
      <c r="O3150">
        <v>6.89</v>
      </c>
      <c r="P3150">
        <v>6.64</v>
      </c>
      <c r="Q3150">
        <v>6.75</v>
      </c>
      <c r="R3150">
        <v>6.73</v>
      </c>
      <c r="S3150">
        <v>3.71</v>
      </c>
      <c r="T3150">
        <v>1.91</v>
      </c>
      <c r="U3150">
        <v>20.51</v>
      </c>
      <c r="V3150">
        <v>491</v>
      </c>
      <c r="W3150">
        <v>6.81</v>
      </c>
      <c r="X3150" t="s">
        <v>5831</v>
      </c>
      <c r="Y3150" t="s">
        <v>5975</v>
      </c>
      <c r="Z3150">
        <v>0.92</v>
      </c>
      <c r="AA3150">
        <v>157</v>
      </c>
      <c r="AB3150">
        <v>279</v>
      </c>
      <c r="AC3150">
        <v>3.08</v>
      </c>
      <c r="AD3150" t="s">
        <v>16103</v>
      </c>
      <c r="AE3150" t="s">
        <v>16104</v>
      </c>
      <c r="AF3150" t="s">
        <v>16105</v>
      </c>
      <c r="AG3150" t="s">
        <v>11108</v>
      </c>
      <c r="AH3150">
        <v>-0.15</v>
      </c>
      <c r="AI3150">
        <v>-0.29</v>
      </c>
      <c r="AJ3150">
        <v>5.99</v>
      </c>
      <c r="AK3150">
        <v>10.8</v>
      </c>
      <c r="AL3150">
        <v>1</v>
      </c>
      <c r="AM3150">
        <v>1.49</v>
      </c>
      <c r="AN3150">
        <v>14.02</v>
      </c>
      <c r="AO3150">
        <v>6.89</v>
      </c>
      <c r="AP3150">
        <v>-7.58</v>
      </c>
    </row>
    <row r="3151" spans="1:42">
      <c r="A3151">
        <v>3150</v>
      </c>
      <c r="B3151" t="str">
        <f>"600210"</f>
        <v>600210</v>
      </c>
      <c r="C3151" t="s">
        <v>16106</v>
      </c>
      <c r="D3151">
        <v>4.85</v>
      </c>
      <c r="E3151">
        <v>-0.21</v>
      </c>
      <c r="F3151">
        <v>-0.01</v>
      </c>
      <c r="G3151" t="s">
        <v>3402</v>
      </c>
      <c r="H3151">
        <v>1003</v>
      </c>
      <c r="I3151">
        <v>4.85</v>
      </c>
      <c r="J3151">
        <v>4.86</v>
      </c>
      <c r="K3151" t="s">
        <v>16107</v>
      </c>
      <c r="L3151">
        <v>0.68</v>
      </c>
      <c r="M3151" t="s">
        <v>46</v>
      </c>
      <c r="N3151" t="s">
        <v>10070</v>
      </c>
      <c r="O3151">
        <v>4.87</v>
      </c>
      <c r="P3151">
        <v>4.83</v>
      </c>
      <c r="Q3151">
        <v>4.85</v>
      </c>
      <c r="R3151">
        <v>4.86</v>
      </c>
      <c r="S3151">
        <v>0.82</v>
      </c>
      <c r="T3151">
        <v>0.9</v>
      </c>
      <c r="U3151">
        <v>3.57</v>
      </c>
      <c r="V3151">
        <v>844</v>
      </c>
      <c r="W3151">
        <v>4.85</v>
      </c>
      <c r="X3151" t="s">
        <v>11085</v>
      </c>
      <c r="Y3151" t="s">
        <v>4087</v>
      </c>
      <c r="Z3151">
        <v>1.43</v>
      </c>
      <c r="AA3151">
        <v>287</v>
      </c>
      <c r="AB3151">
        <v>1677</v>
      </c>
      <c r="AC3151">
        <v>1.32</v>
      </c>
      <c r="AD3151" t="s">
        <v>11543</v>
      </c>
      <c r="AE3151" t="s">
        <v>12539</v>
      </c>
      <c r="AF3151" t="s">
        <v>11543</v>
      </c>
      <c r="AG3151" t="s">
        <v>12539</v>
      </c>
      <c r="AH3151">
        <v>-1.22</v>
      </c>
      <c r="AI3151">
        <v>-1.82</v>
      </c>
      <c r="AJ3151">
        <v>2.07</v>
      </c>
      <c r="AK3151">
        <v>4.43</v>
      </c>
      <c r="AL3151">
        <v>-3</v>
      </c>
      <c r="AM3151">
        <v>-0.21</v>
      </c>
      <c r="AN3151">
        <v>2.11</v>
      </c>
      <c r="AO3151">
        <v>-0.61</v>
      </c>
      <c r="AP3151">
        <v>-3</v>
      </c>
    </row>
    <row r="3152" spans="1:42">
      <c r="A3152">
        <v>3151</v>
      </c>
      <c r="B3152" t="str">
        <f>"600639"</f>
        <v>600639</v>
      </c>
      <c r="C3152" t="s">
        <v>16108</v>
      </c>
      <c r="D3152">
        <v>10.7</v>
      </c>
      <c r="E3152">
        <v>0.28</v>
      </c>
      <c r="F3152">
        <v>0.03</v>
      </c>
      <c r="G3152" t="s">
        <v>7299</v>
      </c>
      <c r="H3152">
        <v>170</v>
      </c>
      <c r="I3152">
        <v>10.7</v>
      </c>
      <c r="J3152">
        <v>10.71</v>
      </c>
      <c r="K3152" t="s">
        <v>16109</v>
      </c>
      <c r="L3152">
        <v>0.55</v>
      </c>
      <c r="M3152" t="s">
        <v>46</v>
      </c>
      <c r="N3152" t="s">
        <v>14471</v>
      </c>
      <c r="O3152">
        <v>10.73</v>
      </c>
      <c r="P3152">
        <v>10.6</v>
      </c>
      <c r="Q3152">
        <v>10.67</v>
      </c>
      <c r="R3152">
        <v>10.67</v>
      </c>
      <c r="S3152">
        <v>1.22</v>
      </c>
      <c r="T3152">
        <v>0.59</v>
      </c>
      <c r="U3152">
        <v>13.34</v>
      </c>
      <c r="V3152">
        <v>465</v>
      </c>
      <c r="W3152">
        <v>10.67</v>
      </c>
      <c r="X3152" t="s">
        <v>3662</v>
      </c>
      <c r="Y3152" t="s">
        <v>377</v>
      </c>
      <c r="Z3152">
        <v>1.12</v>
      </c>
      <c r="AA3152">
        <v>252</v>
      </c>
      <c r="AB3152">
        <v>122</v>
      </c>
      <c r="AC3152">
        <v>0.86</v>
      </c>
      <c r="AD3152" t="s">
        <v>957</v>
      </c>
      <c r="AE3152" t="s">
        <v>9903</v>
      </c>
      <c r="AF3152" t="s">
        <v>16110</v>
      </c>
      <c r="AG3152" t="s">
        <v>3800</v>
      </c>
      <c r="AH3152">
        <v>-2.82</v>
      </c>
      <c r="AI3152">
        <v>-6.06</v>
      </c>
      <c r="AJ3152">
        <v>2.7</v>
      </c>
      <c r="AK3152">
        <v>5.19</v>
      </c>
      <c r="AL3152">
        <v>2</v>
      </c>
      <c r="AM3152">
        <v>0.28</v>
      </c>
      <c r="AN3152">
        <v>0.94</v>
      </c>
      <c r="AO3152">
        <v>-3.78</v>
      </c>
      <c r="AP3152">
        <v>1.13</v>
      </c>
    </row>
    <row r="3153" spans="1:42">
      <c r="A3153">
        <v>3152</v>
      </c>
      <c r="B3153" t="str">
        <f>"300742"</f>
        <v>300742</v>
      </c>
      <c r="C3153" t="s">
        <v>16111</v>
      </c>
      <c r="D3153">
        <v>4.76</v>
      </c>
      <c r="E3153">
        <v>-6.3</v>
      </c>
      <c r="F3153">
        <v>-0.32</v>
      </c>
      <c r="G3153" t="s">
        <v>3402</v>
      </c>
      <c r="H3153">
        <v>1965</v>
      </c>
      <c r="I3153">
        <v>4.75</v>
      </c>
      <c r="J3153">
        <v>4.76</v>
      </c>
      <c r="K3153" t="s">
        <v>16112</v>
      </c>
      <c r="L3153">
        <v>8.97</v>
      </c>
      <c r="M3153" t="s">
        <v>46</v>
      </c>
      <c r="N3153" t="s">
        <v>2549</v>
      </c>
      <c r="O3153">
        <v>5.08</v>
      </c>
      <c r="P3153">
        <v>4.72</v>
      </c>
      <c r="Q3153">
        <v>5.08</v>
      </c>
      <c r="R3153">
        <v>5.08</v>
      </c>
      <c r="S3153">
        <v>7.09</v>
      </c>
      <c r="T3153">
        <v>1.22</v>
      </c>
      <c r="U3153">
        <v>15.46</v>
      </c>
      <c r="V3153">
        <v>864</v>
      </c>
      <c r="W3153">
        <v>4.81</v>
      </c>
      <c r="X3153" t="s">
        <v>2836</v>
      </c>
      <c r="Y3153" t="s">
        <v>4780</v>
      </c>
      <c r="Z3153">
        <v>2.03</v>
      </c>
      <c r="AA3153">
        <v>1246</v>
      </c>
      <c r="AB3153">
        <v>1095</v>
      </c>
      <c r="AC3153">
        <v>-3.08</v>
      </c>
      <c r="AD3153" t="s">
        <v>11052</v>
      </c>
      <c r="AE3153" t="s">
        <v>16113</v>
      </c>
      <c r="AF3153" t="s">
        <v>11851</v>
      </c>
      <c r="AG3153" t="s">
        <v>2005</v>
      </c>
      <c r="AH3153">
        <v>-8.81</v>
      </c>
      <c r="AI3153">
        <v>-5.93</v>
      </c>
      <c r="AJ3153">
        <v>20.07</v>
      </c>
      <c r="AK3153">
        <v>45.83</v>
      </c>
      <c r="AL3153">
        <v>-1</v>
      </c>
      <c r="AM3153">
        <v>-6.3</v>
      </c>
      <c r="AN3153">
        <v>-52.87</v>
      </c>
      <c r="AO3153">
        <v>0.21</v>
      </c>
      <c r="AP3153">
        <v>-59.52</v>
      </c>
    </row>
    <row r="3154" spans="1:42">
      <c r="A3154">
        <v>3153</v>
      </c>
      <c r="B3154" t="str">
        <f>"300639"</f>
        <v>300639</v>
      </c>
      <c r="C3154" t="s">
        <v>16114</v>
      </c>
      <c r="D3154">
        <v>9.99</v>
      </c>
      <c r="E3154">
        <v>0.1</v>
      </c>
      <c r="F3154">
        <v>0.01</v>
      </c>
      <c r="G3154" t="s">
        <v>3356</v>
      </c>
      <c r="H3154">
        <v>197</v>
      </c>
      <c r="I3154">
        <v>9.98</v>
      </c>
      <c r="J3154">
        <v>9.99</v>
      </c>
      <c r="K3154" t="s">
        <v>16115</v>
      </c>
      <c r="L3154">
        <v>0.78</v>
      </c>
      <c r="M3154" t="s">
        <v>46</v>
      </c>
      <c r="N3154" t="s">
        <v>1538</v>
      </c>
      <c r="O3154">
        <v>10.08</v>
      </c>
      <c r="P3154">
        <v>9.91</v>
      </c>
      <c r="Q3154">
        <v>9.98</v>
      </c>
      <c r="R3154">
        <v>9.98</v>
      </c>
      <c r="S3154">
        <v>1.7</v>
      </c>
      <c r="T3154">
        <v>1.03</v>
      </c>
      <c r="U3154">
        <v>-19.92</v>
      </c>
      <c r="V3154">
        <v>-586</v>
      </c>
      <c r="W3154">
        <v>10.01</v>
      </c>
      <c r="X3154" t="s">
        <v>1212</v>
      </c>
      <c r="Y3154" t="s">
        <v>6675</v>
      </c>
      <c r="Z3154">
        <v>0.83</v>
      </c>
      <c r="AA3154">
        <v>84</v>
      </c>
      <c r="AB3154">
        <v>16</v>
      </c>
      <c r="AC3154">
        <v>1.33</v>
      </c>
      <c r="AD3154" t="s">
        <v>16116</v>
      </c>
      <c r="AE3154" t="s">
        <v>16117</v>
      </c>
      <c r="AF3154" t="s">
        <v>16118</v>
      </c>
      <c r="AG3154" t="s">
        <v>10785</v>
      </c>
      <c r="AH3154">
        <v>-0.3</v>
      </c>
      <c r="AI3154">
        <v>0.91</v>
      </c>
      <c r="AJ3154">
        <v>2.09</v>
      </c>
      <c r="AK3154">
        <v>4.57</v>
      </c>
      <c r="AL3154">
        <v>2</v>
      </c>
      <c r="AM3154">
        <v>0.1</v>
      </c>
      <c r="AN3154">
        <v>-9.18</v>
      </c>
      <c r="AO3154">
        <v>8.23</v>
      </c>
      <c r="AP3154">
        <v>-24.89</v>
      </c>
    </row>
    <row r="3155" spans="1:42">
      <c r="A3155">
        <v>3154</v>
      </c>
      <c r="B3155" t="str">
        <f>"600551"</f>
        <v>600551</v>
      </c>
      <c r="C3155" t="s">
        <v>16119</v>
      </c>
      <c r="D3155">
        <v>11.61</v>
      </c>
      <c r="E3155">
        <v>3.38</v>
      </c>
      <c r="F3155">
        <v>0.38</v>
      </c>
      <c r="G3155" t="s">
        <v>3758</v>
      </c>
      <c r="H3155">
        <v>271</v>
      </c>
      <c r="I3155">
        <v>11.61</v>
      </c>
      <c r="J3155">
        <v>11.62</v>
      </c>
      <c r="K3155" t="s">
        <v>16120</v>
      </c>
      <c r="L3155">
        <v>0.89</v>
      </c>
      <c r="M3155" t="s">
        <v>46</v>
      </c>
      <c r="N3155" t="s">
        <v>16121</v>
      </c>
      <c r="O3155">
        <v>11.63</v>
      </c>
      <c r="P3155">
        <v>11.2</v>
      </c>
      <c r="Q3155">
        <v>11.21</v>
      </c>
      <c r="R3155">
        <v>11.23</v>
      </c>
      <c r="S3155">
        <v>3.83</v>
      </c>
      <c r="T3155">
        <v>1.4</v>
      </c>
      <c r="U3155">
        <v>37.59</v>
      </c>
      <c r="V3155">
        <v>1313</v>
      </c>
      <c r="W3155">
        <v>11.49</v>
      </c>
      <c r="X3155" t="s">
        <v>8212</v>
      </c>
      <c r="Y3155" t="s">
        <v>1711</v>
      </c>
      <c r="Z3155">
        <v>0.57</v>
      </c>
      <c r="AA3155">
        <v>63</v>
      </c>
      <c r="AB3155">
        <v>335</v>
      </c>
      <c r="AC3155">
        <v>1.04</v>
      </c>
      <c r="AD3155" t="s">
        <v>9491</v>
      </c>
      <c r="AE3155" t="s">
        <v>16122</v>
      </c>
      <c r="AF3155" t="s">
        <v>9491</v>
      </c>
      <c r="AG3155" t="s">
        <v>16122</v>
      </c>
      <c r="AH3155">
        <v>1.84</v>
      </c>
      <c r="AI3155">
        <v>-0.43</v>
      </c>
      <c r="AJ3155">
        <v>2.08</v>
      </c>
      <c r="AK3155">
        <v>4.09</v>
      </c>
      <c r="AL3155">
        <v>1</v>
      </c>
      <c r="AM3155">
        <v>3.38</v>
      </c>
      <c r="AN3155">
        <v>16.92</v>
      </c>
      <c r="AO3155">
        <v>6.81</v>
      </c>
      <c r="AP3155">
        <v>7.2</v>
      </c>
    </row>
    <row r="3156" spans="1:42">
      <c r="A3156">
        <v>3155</v>
      </c>
      <c r="B3156" t="str">
        <f>"002490"</f>
        <v>002490</v>
      </c>
      <c r="C3156" t="s">
        <v>16123</v>
      </c>
      <c r="D3156">
        <v>4.52</v>
      </c>
      <c r="E3156">
        <v>-1.31</v>
      </c>
      <c r="F3156">
        <v>-0.06</v>
      </c>
      <c r="G3156" t="s">
        <v>1949</v>
      </c>
      <c r="H3156">
        <v>1747</v>
      </c>
      <c r="I3156">
        <v>4.52</v>
      </c>
      <c r="J3156">
        <v>4.53</v>
      </c>
      <c r="K3156" t="s">
        <v>16120</v>
      </c>
      <c r="L3156">
        <v>2.02</v>
      </c>
      <c r="M3156" t="s">
        <v>46</v>
      </c>
      <c r="N3156" t="s">
        <v>6876</v>
      </c>
      <c r="O3156">
        <v>4.58</v>
      </c>
      <c r="P3156">
        <v>4.52</v>
      </c>
      <c r="Q3156">
        <v>4.57</v>
      </c>
      <c r="R3156">
        <v>4.58</v>
      </c>
      <c r="S3156">
        <v>1.31</v>
      </c>
      <c r="T3156">
        <v>0.85</v>
      </c>
      <c r="U3156">
        <v>15.81</v>
      </c>
      <c r="V3156">
        <v>1865</v>
      </c>
      <c r="W3156">
        <v>4.54</v>
      </c>
      <c r="X3156" t="s">
        <v>4759</v>
      </c>
      <c r="Y3156" t="s">
        <v>2921</v>
      </c>
      <c r="Z3156">
        <v>1.63</v>
      </c>
      <c r="AA3156">
        <v>671</v>
      </c>
      <c r="AB3156">
        <v>749</v>
      </c>
      <c r="AC3156">
        <v>4.86</v>
      </c>
      <c r="AD3156" t="s">
        <v>16124</v>
      </c>
      <c r="AE3156" t="s">
        <v>16125</v>
      </c>
      <c r="AF3156" t="s">
        <v>16126</v>
      </c>
      <c r="AG3156" t="s">
        <v>7765</v>
      </c>
      <c r="AH3156">
        <v>-0.66</v>
      </c>
      <c r="AI3156">
        <v>-4.64</v>
      </c>
      <c r="AJ3156">
        <v>6.12</v>
      </c>
      <c r="AK3156">
        <v>13.87</v>
      </c>
      <c r="AL3156">
        <v>-1</v>
      </c>
      <c r="AM3156">
        <v>-1.31</v>
      </c>
      <c r="AN3156">
        <v>7.11</v>
      </c>
      <c r="AO3156">
        <v>-8.87</v>
      </c>
      <c r="AP3156">
        <v>4.39</v>
      </c>
    </row>
    <row r="3157" spans="1:42">
      <c r="A3157">
        <v>3156</v>
      </c>
      <c r="B3157" t="str">
        <f>"688588"</f>
        <v>688588</v>
      </c>
      <c r="C3157" t="s">
        <v>16127</v>
      </c>
      <c r="D3157">
        <v>12.28</v>
      </c>
      <c r="E3157">
        <v>2.68</v>
      </c>
      <c r="F3157">
        <v>0.32</v>
      </c>
      <c r="G3157" t="s">
        <v>2752</v>
      </c>
      <c r="H3157">
        <v>337</v>
      </c>
      <c r="I3157">
        <v>12.28</v>
      </c>
      <c r="J3157">
        <v>12.29</v>
      </c>
      <c r="K3157" t="s">
        <v>14068</v>
      </c>
      <c r="L3157">
        <v>1.02</v>
      </c>
      <c r="M3157" t="s">
        <v>46</v>
      </c>
      <c r="N3157" t="s">
        <v>2834</v>
      </c>
      <c r="O3157">
        <v>12.34</v>
      </c>
      <c r="P3157">
        <v>11.87</v>
      </c>
      <c r="Q3157">
        <v>12.04</v>
      </c>
      <c r="R3157">
        <v>11.96</v>
      </c>
      <c r="S3157">
        <v>3.93</v>
      </c>
      <c r="T3157">
        <v>1.27</v>
      </c>
      <c r="U3157">
        <v>-49.62</v>
      </c>
      <c r="V3157">
        <v>-1285</v>
      </c>
      <c r="W3157">
        <v>12.15</v>
      </c>
      <c r="X3157" t="s">
        <v>1177</v>
      </c>
      <c r="Y3157" t="s">
        <v>5620</v>
      </c>
      <c r="Z3157">
        <v>0.76</v>
      </c>
      <c r="AA3157">
        <v>165</v>
      </c>
      <c r="AB3157">
        <v>133</v>
      </c>
      <c r="AC3157">
        <v>3.98</v>
      </c>
      <c r="AD3157" t="s">
        <v>7381</v>
      </c>
      <c r="AE3157" t="s">
        <v>16128</v>
      </c>
      <c r="AF3157" t="s">
        <v>7381</v>
      </c>
      <c r="AG3157" t="s">
        <v>16128</v>
      </c>
      <c r="AH3157">
        <v>1.32</v>
      </c>
      <c r="AI3157">
        <v>-0.41</v>
      </c>
      <c r="AJ3157">
        <v>2.53</v>
      </c>
      <c r="AK3157">
        <v>5.05</v>
      </c>
      <c r="AL3157">
        <v>1</v>
      </c>
      <c r="AM3157">
        <v>2.68</v>
      </c>
      <c r="AN3157">
        <v>23.42</v>
      </c>
      <c r="AO3157">
        <v>8</v>
      </c>
      <c r="AP3157">
        <v>15.09</v>
      </c>
    </row>
    <row r="3158" spans="1:42">
      <c r="A3158">
        <v>3157</v>
      </c>
      <c r="B3158" t="str">
        <f>"600439"</f>
        <v>600439</v>
      </c>
      <c r="C3158" t="s">
        <v>16129</v>
      </c>
      <c r="D3158">
        <v>2.73</v>
      </c>
      <c r="E3158">
        <v>1.11</v>
      </c>
      <c r="F3158">
        <v>0.03</v>
      </c>
      <c r="G3158" t="s">
        <v>859</v>
      </c>
      <c r="H3158">
        <v>2054</v>
      </c>
      <c r="I3158">
        <v>2.73</v>
      </c>
      <c r="J3158">
        <v>2.74</v>
      </c>
      <c r="K3158" t="s">
        <v>12983</v>
      </c>
      <c r="L3158">
        <v>1.61</v>
      </c>
      <c r="M3158" t="s">
        <v>46</v>
      </c>
      <c r="N3158" t="s">
        <v>1500</v>
      </c>
      <c r="O3158">
        <v>2.76</v>
      </c>
      <c r="P3158">
        <v>2.69</v>
      </c>
      <c r="Q3158">
        <v>2.7</v>
      </c>
      <c r="R3158">
        <v>2.7</v>
      </c>
      <c r="S3158">
        <v>2.59</v>
      </c>
      <c r="T3158">
        <v>0.94</v>
      </c>
      <c r="U3158">
        <v>-26.47</v>
      </c>
      <c r="V3158" t="s">
        <v>1548</v>
      </c>
      <c r="W3158">
        <v>2.73</v>
      </c>
      <c r="X3158" t="s">
        <v>8604</v>
      </c>
      <c r="Y3158" t="s">
        <v>740</v>
      </c>
      <c r="Z3158">
        <v>0.74</v>
      </c>
      <c r="AA3158">
        <v>1194</v>
      </c>
      <c r="AB3158">
        <v>6943</v>
      </c>
      <c r="AC3158">
        <v>1.1</v>
      </c>
      <c r="AD3158" t="s">
        <v>649</v>
      </c>
      <c r="AE3158" t="s">
        <v>16130</v>
      </c>
      <c r="AF3158" t="s">
        <v>649</v>
      </c>
      <c r="AG3158" t="s">
        <v>16130</v>
      </c>
      <c r="AH3158">
        <v>-0.73</v>
      </c>
      <c r="AI3158">
        <v>-3.87</v>
      </c>
      <c r="AJ3158">
        <v>4.91</v>
      </c>
      <c r="AK3158">
        <v>10.14</v>
      </c>
      <c r="AL3158">
        <v>1</v>
      </c>
      <c r="AM3158">
        <v>1.11</v>
      </c>
      <c r="AN3158">
        <v>1.49</v>
      </c>
      <c r="AO3158">
        <v>-1.09</v>
      </c>
      <c r="AP3158">
        <v>5.41</v>
      </c>
    </row>
    <row r="3159" spans="1:42">
      <c r="A3159">
        <v>3158</v>
      </c>
      <c r="B3159" t="str">
        <f>"301005"</f>
        <v>301005</v>
      </c>
      <c r="C3159" t="s">
        <v>16131</v>
      </c>
      <c r="D3159">
        <v>32.15</v>
      </c>
      <c r="E3159">
        <v>-1.41</v>
      </c>
      <c r="F3159">
        <v>-0.46</v>
      </c>
      <c r="G3159" t="s">
        <v>578</v>
      </c>
      <c r="H3159">
        <v>248</v>
      </c>
      <c r="I3159">
        <v>32.15</v>
      </c>
      <c r="J3159">
        <v>32.18</v>
      </c>
      <c r="K3159" t="s">
        <v>16132</v>
      </c>
      <c r="L3159">
        <v>3.43</v>
      </c>
      <c r="M3159" t="s">
        <v>46</v>
      </c>
      <c r="N3159" t="s">
        <v>4284</v>
      </c>
      <c r="O3159">
        <v>33.13</v>
      </c>
      <c r="P3159">
        <v>32.01</v>
      </c>
      <c r="Q3159">
        <v>32.78</v>
      </c>
      <c r="R3159">
        <v>32.61</v>
      </c>
      <c r="S3159">
        <v>3.43</v>
      </c>
      <c r="T3159">
        <v>0.57</v>
      </c>
      <c r="U3159">
        <v>-11.38</v>
      </c>
      <c r="V3159">
        <v>-37</v>
      </c>
      <c r="W3159">
        <v>32.36</v>
      </c>
      <c r="X3159">
        <v>8944</v>
      </c>
      <c r="Y3159">
        <v>6397</v>
      </c>
      <c r="Z3159">
        <v>1.4</v>
      </c>
      <c r="AA3159">
        <v>8</v>
      </c>
      <c r="AB3159">
        <v>7</v>
      </c>
      <c r="AC3159">
        <v>4.24</v>
      </c>
      <c r="AD3159" t="s">
        <v>16133</v>
      </c>
      <c r="AE3159" t="s">
        <v>4203</v>
      </c>
      <c r="AF3159" t="s">
        <v>16134</v>
      </c>
      <c r="AG3159" t="s">
        <v>16135</v>
      </c>
      <c r="AH3159">
        <v>-1.38</v>
      </c>
      <c r="AI3159">
        <v>-3.54</v>
      </c>
      <c r="AJ3159">
        <v>13.78</v>
      </c>
      <c r="AK3159">
        <v>33.45</v>
      </c>
      <c r="AL3159">
        <v>-2</v>
      </c>
      <c r="AM3159">
        <v>-1.41</v>
      </c>
      <c r="AN3159">
        <v>28.39</v>
      </c>
      <c r="AO3159">
        <v>9.06</v>
      </c>
      <c r="AP3159">
        <v>47.21</v>
      </c>
    </row>
    <row r="3160" spans="1:42">
      <c r="A3160">
        <v>3159</v>
      </c>
      <c r="B3160" t="str">
        <f>"001227"</f>
        <v>001227</v>
      </c>
      <c r="C3160" t="s">
        <v>16136</v>
      </c>
      <c r="D3160">
        <v>2.75</v>
      </c>
      <c r="E3160">
        <v>0.36</v>
      </c>
      <c r="F3160">
        <v>0.01</v>
      </c>
      <c r="G3160" t="s">
        <v>797</v>
      </c>
      <c r="H3160">
        <v>6275</v>
      </c>
      <c r="I3160">
        <v>2.75</v>
      </c>
      <c r="J3160">
        <v>2.76</v>
      </c>
      <c r="K3160" t="s">
        <v>16137</v>
      </c>
      <c r="L3160">
        <v>0.65</v>
      </c>
      <c r="M3160" t="s">
        <v>46</v>
      </c>
      <c r="N3160" t="s">
        <v>16138</v>
      </c>
      <c r="O3160">
        <v>2.76</v>
      </c>
      <c r="P3160">
        <v>2.74</v>
      </c>
      <c r="Q3160">
        <v>2.74</v>
      </c>
      <c r="R3160">
        <v>2.74</v>
      </c>
      <c r="S3160">
        <v>0.73</v>
      </c>
      <c r="T3160">
        <v>0.69</v>
      </c>
      <c r="U3160">
        <v>-19.78</v>
      </c>
      <c r="V3160" t="s">
        <v>14201</v>
      </c>
      <c r="W3160">
        <v>2.75</v>
      </c>
      <c r="X3160" t="s">
        <v>3903</v>
      </c>
      <c r="Y3160" t="s">
        <v>3812</v>
      </c>
      <c r="Z3160">
        <v>0.94</v>
      </c>
      <c r="AA3160" t="s">
        <v>3328</v>
      </c>
      <c r="AB3160" t="s">
        <v>5645</v>
      </c>
      <c r="AC3160">
        <v>0.57</v>
      </c>
      <c r="AD3160" t="s">
        <v>16139</v>
      </c>
      <c r="AE3160" t="s">
        <v>9090</v>
      </c>
      <c r="AF3160" t="s">
        <v>3544</v>
      </c>
      <c r="AG3160" t="s">
        <v>16140</v>
      </c>
      <c r="AH3160">
        <v>-0.72</v>
      </c>
      <c r="AI3160">
        <v>-2.14</v>
      </c>
      <c r="AJ3160">
        <v>2.78</v>
      </c>
      <c r="AK3160">
        <v>5.4</v>
      </c>
      <c r="AL3160">
        <v>2</v>
      </c>
      <c r="AM3160">
        <v>0.36</v>
      </c>
      <c r="AN3160">
        <v>-24.66</v>
      </c>
      <c r="AO3160">
        <v>-4.51</v>
      </c>
      <c r="AP3160">
        <v>-28.76</v>
      </c>
    </row>
    <row r="3161" spans="1:42">
      <c r="A3161">
        <v>3160</v>
      </c>
      <c r="B3161" t="str">
        <f>"688351"</f>
        <v>688351</v>
      </c>
      <c r="C3161" t="s">
        <v>16141</v>
      </c>
      <c r="D3161">
        <v>26.81</v>
      </c>
      <c r="E3161">
        <v>1.17</v>
      </c>
      <c r="F3161">
        <v>0.31</v>
      </c>
      <c r="G3161" t="s">
        <v>2329</v>
      </c>
      <c r="H3161">
        <v>281</v>
      </c>
      <c r="I3161">
        <v>26.81</v>
      </c>
      <c r="J3161">
        <v>26.82</v>
      </c>
      <c r="K3161" t="s">
        <v>16137</v>
      </c>
      <c r="L3161">
        <v>1.56</v>
      </c>
      <c r="M3161" t="s">
        <v>46</v>
      </c>
      <c r="N3161" t="s">
        <v>6044</v>
      </c>
      <c r="O3161">
        <v>26.82</v>
      </c>
      <c r="P3161">
        <v>25.54</v>
      </c>
      <c r="Q3161">
        <v>26.64</v>
      </c>
      <c r="R3161">
        <v>26.5</v>
      </c>
      <c r="S3161">
        <v>4.83</v>
      </c>
      <c r="T3161">
        <v>0.76</v>
      </c>
      <c r="U3161">
        <v>59.09</v>
      </c>
      <c r="V3161">
        <v>282</v>
      </c>
      <c r="W3161">
        <v>26.03</v>
      </c>
      <c r="X3161">
        <v>9548</v>
      </c>
      <c r="Y3161">
        <v>9519</v>
      </c>
      <c r="Z3161">
        <v>1</v>
      </c>
      <c r="AA3161">
        <v>346</v>
      </c>
      <c r="AB3161">
        <v>55</v>
      </c>
      <c r="AC3161">
        <v>7.46</v>
      </c>
      <c r="AD3161" t="s">
        <v>12963</v>
      </c>
      <c r="AE3161" t="s">
        <v>5406</v>
      </c>
      <c r="AF3161" t="s">
        <v>13105</v>
      </c>
      <c r="AG3161" t="s">
        <v>16142</v>
      </c>
      <c r="AH3161">
        <v>3.87</v>
      </c>
      <c r="AI3161">
        <v>7.37</v>
      </c>
      <c r="AJ3161">
        <v>4.94</v>
      </c>
      <c r="AK3161">
        <v>11.83</v>
      </c>
      <c r="AL3161">
        <v>4</v>
      </c>
      <c r="AM3161">
        <v>1.17</v>
      </c>
      <c r="AN3161">
        <v>1.28</v>
      </c>
      <c r="AO3161">
        <v>20.12</v>
      </c>
      <c r="AP3161">
        <v>18.63</v>
      </c>
    </row>
    <row r="3162" spans="1:42">
      <c r="A3162">
        <v>3161</v>
      </c>
      <c r="B3162" t="str">
        <f>"002154"</f>
        <v>002154</v>
      </c>
      <c r="C3162" t="s">
        <v>16143</v>
      </c>
      <c r="D3162">
        <v>5.96</v>
      </c>
      <c r="E3162">
        <v>0.17</v>
      </c>
      <c r="F3162">
        <v>0.01</v>
      </c>
      <c r="G3162" t="s">
        <v>1317</v>
      </c>
      <c r="H3162">
        <v>534</v>
      </c>
      <c r="I3162">
        <v>5.95</v>
      </c>
      <c r="J3162">
        <v>5.96</v>
      </c>
      <c r="K3162" t="s">
        <v>16144</v>
      </c>
      <c r="L3162">
        <v>0.77</v>
      </c>
      <c r="M3162" t="s">
        <v>46</v>
      </c>
      <c r="N3162" t="s">
        <v>6704</v>
      </c>
      <c r="O3162">
        <v>5.99</v>
      </c>
      <c r="P3162">
        <v>5.91</v>
      </c>
      <c r="Q3162">
        <v>5.92</v>
      </c>
      <c r="R3162">
        <v>5.95</v>
      </c>
      <c r="S3162">
        <v>1.34</v>
      </c>
      <c r="T3162">
        <v>1.39</v>
      </c>
      <c r="U3162">
        <v>-32.21</v>
      </c>
      <c r="V3162">
        <v>-4215</v>
      </c>
      <c r="W3162">
        <v>5.96</v>
      </c>
      <c r="X3162" t="s">
        <v>8166</v>
      </c>
      <c r="Y3162" t="s">
        <v>1502</v>
      </c>
      <c r="Z3162">
        <v>0.85</v>
      </c>
      <c r="AA3162">
        <v>1637</v>
      </c>
      <c r="AB3162">
        <v>153</v>
      </c>
      <c r="AC3162">
        <v>2.07</v>
      </c>
      <c r="AD3162" t="s">
        <v>16145</v>
      </c>
      <c r="AE3162" t="s">
        <v>16146</v>
      </c>
      <c r="AF3162" t="s">
        <v>16147</v>
      </c>
      <c r="AG3162" t="s">
        <v>16148</v>
      </c>
      <c r="AH3162">
        <v>1.02</v>
      </c>
      <c r="AI3162">
        <v>0.51</v>
      </c>
      <c r="AJ3162">
        <v>1.96</v>
      </c>
      <c r="AK3162">
        <v>3.53</v>
      </c>
      <c r="AL3162">
        <v>2</v>
      </c>
      <c r="AM3162">
        <v>0.17</v>
      </c>
      <c r="AN3162">
        <v>52.04</v>
      </c>
      <c r="AO3162">
        <v>0</v>
      </c>
      <c r="AP3162">
        <v>71.76</v>
      </c>
    </row>
    <row r="3163" spans="1:42">
      <c r="A3163">
        <v>3162</v>
      </c>
      <c r="B3163" t="str">
        <f>"000782"</f>
        <v>000782</v>
      </c>
      <c r="C3163" t="s">
        <v>16149</v>
      </c>
      <c r="D3163">
        <v>5.67</v>
      </c>
      <c r="E3163">
        <v>0.35</v>
      </c>
      <c r="F3163">
        <v>0.02</v>
      </c>
      <c r="G3163" t="s">
        <v>2186</v>
      </c>
      <c r="H3163">
        <v>689</v>
      </c>
      <c r="I3163">
        <v>5.66</v>
      </c>
      <c r="J3163">
        <v>5.67</v>
      </c>
      <c r="K3163" t="s">
        <v>16150</v>
      </c>
      <c r="L3163">
        <v>1.66</v>
      </c>
      <c r="M3163" t="s">
        <v>46</v>
      </c>
      <c r="N3163" t="s">
        <v>7262</v>
      </c>
      <c r="O3163">
        <v>5.7</v>
      </c>
      <c r="P3163">
        <v>5.62</v>
      </c>
      <c r="Q3163">
        <v>5.66</v>
      </c>
      <c r="R3163">
        <v>5.65</v>
      </c>
      <c r="S3163">
        <v>1.42</v>
      </c>
      <c r="T3163">
        <v>1</v>
      </c>
      <c r="U3163">
        <v>-30.93</v>
      </c>
      <c r="V3163">
        <v>-2712</v>
      </c>
      <c r="W3163">
        <v>5.67</v>
      </c>
      <c r="X3163" t="s">
        <v>1502</v>
      </c>
      <c r="Y3163" t="s">
        <v>4569</v>
      </c>
      <c r="Z3163">
        <v>1.06</v>
      </c>
      <c r="AA3163">
        <v>665</v>
      </c>
      <c r="AB3163">
        <v>522</v>
      </c>
      <c r="AC3163">
        <v>2.26</v>
      </c>
      <c r="AD3163" t="s">
        <v>16151</v>
      </c>
      <c r="AE3163" t="s">
        <v>6109</v>
      </c>
      <c r="AF3163" t="s">
        <v>16151</v>
      </c>
      <c r="AG3163" t="s">
        <v>6109</v>
      </c>
      <c r="AH3163">
        <v>0.71</v>
      </c>
      <c r="AI3163">
        <v>0.89</v>
      </c>
      <c r="AJ3163">
        <v>5.03</v>
      </c>
      <c r="AK3163">
        <v>9.92</v>
      </c>
      <c r="AL3163">
        <v>2</v>
      </c>
      <c r="AM3163">
        <v>0.35</v>
      </c>
      <c r="AN3163">
        <v>35.65</v>
      </c>
      <c r="AO3163">
        <v>6.98</v>
      </c>
      <c r="AP3163">
        <v>21.94</v>
      </c>
    </row>
    <row r="3164" spans="1:42">
      <c r="A3164">
        <v>3163</v>
      </c>
      <c r="B3164" t="str">
        <f>"688388"</f>
        <v>688388</v>
      </c>
      <c r="C3164" t="s">
        <v>16152</v>
      </c>
      <c r="D3164">
        <v>20.13</v>
      </c>
      <c r="E3164">
        <v>-0.94</v>
      </c>
      <c r="F3164">
        <v>-0.19</v>
      </c>
      <c r="G3164" t="s">
        <v>3662</v>
      </c>
      <c r="H3164">
        <v>128</v>
      </c>
      <c r="I3164">
        <v>20.13</v>
      </c>
      <c r="J3164">
        <v>20.14</v>
      </c>
      <c r="K3164" t="s">
        <v>16153</v>
      </c>
      <c r="L3164">
        <v>0.6</v>
      </c>
      <c r="M3164" t="s">
        <v>46</v>
      </c>
      <c r="N3164" t="s">
        <v>5686</v>
      </c>
      <c r="O3164">
        <v>20.37</v>
      </c>
      <c r="P3164">
        <v>19.97</v>
      </c>
      <c r="Q3164">
        <v>20.37</v>
      </c>
      <c r="R3164">
        <v>20.32</v>
      </c>
      <c r="S3164">
        <v>1.97</v>
      </c>
      <c r="T3164">
        <v>0.99</v>
      </c>
      <c r="U3164">
        <v>32.91</v>
      </c>
      <c r="V3164">
        <v>190</v>
      </c>
      <c r="W3164">
        <v>20.12</v>
      </c>
      <c r="X3164" t="s">
        <v>682</v>
      </c>
      <c r="Y3164" t="s">
        <v>8636</v>
      </c>
      <c r="Z3164">
        <v>1.05</v>
      </c>
      <c r="AA3164">
        <v>3</v>
      </c>
      <c r="AB3164">
        <v>45</v>
      </c>
      <c r="AC3164">
        <v>1.22</v>
      </c>
      <c r="AD3164" t="s">
        <v>16154</v>
      </c>
      <c r="AE3164" t="s">
        <v>8846</v>
      </c>
      <c r="AF3164" t="s">
        <v>16075</v>
      </c>
      <c r="AG3164" t="s">
        <v>16155</v>
      </c>
      <c r="AH3164">
        <v>-1.95</v>
      </c>
      <c r="AI3164">
        <v>-4.05</v>
      </c>
      <c r="AJ3164">
        <v>1.67</v>
      </c>
      <c r="AK3164">
        <v>3.61</v>
      </c>
      <c r="AL3164">
        <v>-2</v>
      </c>
      <c r="AM3164">
        <v>-0.94</v>
      </c>
      <c r="AN3164">
        <v>-36.38</v>
      </c>
      <c r="AO3164">
        <v>-2</v>
      </c>
      <c r="AP3164">
        <v>-46.06</v>
      </c>
    </row>
    <row r="3165" spans="1:42">
      <c r="A3165">
        <v>3164</v>
      </c>
      <c r="B3165" t="str">
        <f>"600743"</f>
        <v>600743</v>
      </c>
      <c r="C3165" t="s">
        <v>16156</v>
      </c>
      <c r="D3165">
        <v>1.64</v>
      </c>
      <c r="E3165">
        <v>1.23</v>
      </c>
      <c r="F3165">
        <v>0.02</v>
      </c>
      <c r="G3165" t="s">
        <v>2578</v>
      </c>
      <c r="H3165">
        <v>4072</v>
      </c>
      <c r="I3165">
        <v>1.64</v>
      </c>
      <c r="J3165">
        <v>1.65</v>
      </c>
      <c r="K3165" t="s">
        <v>16157</v>
      </c>
      <c r="L3165">
        <v>1.29</v>
      </c>
      <c r="M3165" t="s">
        <v>46</v>
      </c>
      <c r="N3165" t="s">
        <v>8188</v>
      </c>
      <c r="O3165">
        <v>1.66</v>
      </c>
      <c r="P3165">
        <v>1.61</v>
      </c>
      <c r="Q3165">
        <v>1.62</v>
      </c>
      <c r="R3165">
        <v>1.62</v>
      </c>
      <c r="S3165">
        <v>3.09</v>
      </c>
      <c r="T3165">
        <v>0.66</v>
      </c>
      <c r="U3165">
        <v>-3.24</v>
      </c>
      <c r="V3165">
        <v>-4433</v>
      </c>
      <c r="W3165">
        <v>1.64</v>
      </c>
      <c r="X3165" t="s">
        <v>2025</v>
      </c>
      <c r="Y3165" t="s">
        <v>625</v>
      </c>
      <c r="Z3165">
        <v>0.71</v>
      </c>
      <c r="AA3165">
        <v>9508</v>
      </c>
      <c r="AB3165" t="s">
        <v>541</v>
      </c>
      <c r="AC3165">
        <v>1.52</v>
      </c>
      <c r="AD3165" t="s">
        <v>16158</v>
      </c>
      <c r="AE3165" t="s">
        <v>16085</v>
      </c>
      <c r="AF3165" t="s">
        <v>16158</v>
      </c>
      <c r="AG3165" t="s">
        <v>16085</v>
      </c>
      <c r="AH3165">
        <v>-1.2</v>
      </c>
      <c r="AI3165">
        <v>-8.89</v>
      </c>
      <c r="AJ3165">
        <v>4.11</v>
      </c>
      <c r="AK3165">
        <v>11.09</v>
      </c>
      <c r="AL3165">
        <v>1</v>
      </c>
      <c r="AM3165">
        <v>1.23</v>
      </c>
      <c r="AN3165">
        <v>-13.23</v>
      </c>
      <c r="AO3165">
        <v>0</v>
      </c>
      <c r="AP3165">
        <v>-13.23</v>
      </c>
    </row>
    <row r="3166" spans="1:42">
      <c r="A3166">
        <v>3165</v>
      </c>
      <c r="B3166" t="str">
        <f>"603359"</f>
        <v>603359</v>
      </c>
      <c r="C3166" t="s">
        <v>16159</v>
      </c>
      <c r="D3166">
        <v>8.2</v>
      </c>
      <c r="E3166">
        <v>1.86</v>
      </c>
      <c r="F3166">
        <v>0.15</v>
      </c>
      <c r="G3166" t="s">
        <v>6801</v>
      </c>
      <c r="H3166">
        <v>1052</v>
      </c>
      <c r="I3166">
        <v>8.19</v>
      </c>
      <c r="J3166">
        <v>8.2</v>
      </c>
      <c r="K3166" t="s">
        <v>16160</v>
      </c>
      <c r="L3166">
        <v>1.37</v>
      </c>
      <c r="M3166" t="s">
        <v>46</v>
      </c>
      <c r="N3166" t="s">
        <v>2139</v>
      </c>
      <c r="O3166">
        <v>8.27</v>
      </c>
      <c r="P3166">
        <v>7.98</v>
      </c>
      <c r="Q3166">
        <v>8.04</v>
      </c>
      <c r="R3166">
        <v>8.05</v>
      </c>
      <c r="S3166">
        <v>3.6</v>
      </c>
      <c r="T3166">
        <v>1.53</v>
      </c>
      <c r="U3166">
        <v>23.68</v>
      </c>
      <c r="V3166">
        <v>656</v>
      </c>
      <c r="W3166">
        <v>8.14</v>
      </c>
      <c r="X3166" t="s">
        <v>299</v>
      </c>
      <c r="Y3166" t="s">
        <v>2189</v>
      </c>
      <c r="Z3166">
        <v>0.65</v>
      </c>
      <c r="AA3166">
        <v>353</v>
      </c>
      <c r="AB3166">
        <v>126</v>
      </c>
      <c r="AC3166">
        <v>1</v>
      </c>
      <c r="AD3166" t="s">
        <v>16161</v>
      </c>
      <c r="AE3166" t="s">
        <v>16162</v>
      </c>
      <c r="AF3166" t="s">
        <v>16161</v>
      </c>
      <c r="AG3166" t="s">
        <v>16162</v>
      </c>
      <c r="AH3166">
        <v>1.36</v>
      </c>
      <c r="AI3166">
        <v>0.49</v>
      </c>
      <c r="AJ3166">
        <v>3.42</v>
      </c>
      <c r="AK3166">
        <v>5.84</v>
      </c>
      <c r="AL3166">
        <v>2</v>
      </c>
      <c r="AM3166">
        <v>1.86</v>
      </c>
      <c r="AN3166">
        <v>-26.72</v>
      </c>
      <c r="AO3166">
        <v>1.49</v>
      </c>
      <c r="AP3166">
        <v>-34.08</v>
      </c>
    </row>
    <row r="3167" spans="1:42">
      <c r="A3167">
        <v>3166</v>
      </c>
      <c r="B3167" t="str">
        <f>"000927"</f>
        <v>000927</v>
      </c>
      <c r="C3167" t="s">
        <v>16163</v>
      </c>
      <c r="D3167">
        <v>2.64</v>
      </c>
      <c r="E3167">
        <v>0.76</v>
      </c>
      <c r="F3167">
        <v>0.02</v>
      </c>
      <c r="G3167" t="s">
        <v>3434</v>
      </c>
      <c r="H3167">
        <v>850</v>
      </c>
      <c r="I3167">
        <v>2.64</v>
      </c>
      <c r="J3167">
        <v>2.65</v>
      </c>
      <c r="K3167" t="s">
        <v>16164</v>
      </c>
      <c r="L3167">
        <v>0.42</v>
      </c>
      <c r="M3167" t="s">
        <v>46</v>
      </c>
      <c r="N3167" t="s">
        <v>6354</v>
      </c>
      <c r="O3167">
        <v>2.65</v>
      </c>
      <c r="P3167">
        <v>2.6</v>
      </c>
      <c r="Q3167">
        <v>2.61</v>
      </c>
      <c r="R3167">
        <v>2.62</v>
      </c>
      <c r="S3167">
        <v>1.91</v>
      </c>
      <c r="T3167">
        <v>1.25</v>
      </c>
      <c r="U3167">
        <v>5.11</v>
      </c>
      <c r="V3167">
        <v>3776</v>
      </c>
      <c r="W3167">
        <v>2.62</v>
      </c>
      <c r="X3167" t="s">
        <v>2674</v>
      </c>
      <c r="Y3167" t="s">
        <v>1937</v>
      </c>
      <c r="Z3167">
        <v>0.57</v>
      </c>
      <c r="AA3167">
        <v>1637</v>
      </c>
      <c r="AB3167" t="s">
        <v>2694</v>
      </c>
      <c r="AC3167">
        <v>1.79</v>
      </c>
      <c r="AD3167" t="s">
        <v>6146</v>
      </c>
      <c r="AE3167" t="s">
        <v>12795</v>
      </c>
      <c r="AF3167" t="s">
        <v>16165</v>
      </c>
      <c r="AG3167" t="s">
        <v>7671</v>
      </c>
      <c r="AH3167">
        <v>-0.75</v>
      </c>
      <c r="AI3167">
        <v>-0.75</v>
      </c>
      <c r="AJ3167">
        <v>1.07</v>
      </c>
      <c r="AK3167">
        <v>2.12</v>
      </c>
      <c r="AL3167">
        <v>1</v>
      </c>
      <c r="AM3167">
        <v>0.76</v>
      </c>
      <c r="AN3167">
        <v>-5.38</v>
      </c>
      <c r="AO3167">
        <v>-0.38</v>
      </c>
      <c r="AP3167">
        <v>-4.69</v>
      </c>
    </row>
    <row r="3168" spans="1:42">
      <c r="A3168">
        <v>3167</v>
      </c>
      <c r="B3168" t="str">
        <f>"300882"</f>
        <v>300882</v>
      </c>
      <c r="C3168" t="s">
        <v>16166</v>
      </c>
      <c r="D3168">
        <v>23.84</v>
      </c>
      <c r="E3168">
        <v>0.76</v>
      </c>
      <c r="F3168">
        <v>0.18</v>
      </c>
      <c r="G3168" t="s">
        <v>156</v>
      </c>
      <c r="H3168">
        <v>163</v>
      </c>
      <c r="I3168">
        <v>23.84</v>
      </c>
      <c r="J3168">
        <v>23.85</v>
      </c>
      <c r="K3168" t="s">
        <v>16167</v>
      </c>
      <c r="L3168">
        <v>1.1</v>
      </c>
      <c r="M3168" t="s">
        <v>46</v>
      </c>
      <c r="N3168" t="s">
        <v>16168</v>
      </c>
      <c r="O3168">
        <v>23.99</v>
      </c>
      <c r="P3168">
        <v>23.31</v>
      </c>
      <c r="Q3168">
        <v>23.63</v>
      </c>
      <c r="R3168">
        <v>23.66</v>
      </c>
      <c r="S3168">
        <v>2.87</v>
      </c>
      <c r="T3168">
        <v>0.68</v>
      </c>
      <c r="U3168">
        <v>36.38</v>
      </c>
      <c r="V3168">
        <v>159</v>
      </c>
      <c r="W3168">
        <v>23.67</v>
      </c>
      <c r="X3168" t="s">
        <v>218</v>
      </c>
      <c r="Y3168" t="s">
        <v>1154</v>
      </c>
      <c r="Z3168">
        <v>1.02</v>
      </c>
      <c r="AA3168">
        <v>24</v>
      </c>
      <c r="AB3168">
        <v>20</v>
      </c>
      <c r="AC3168">
        <v>4.4</v>
      </c>
      <c r="AD3168" t="s">
        <v>16169</v>
      </c>
      <c r="AE3168" t="s">
        <v>16170</v>
      </c>
      <c r="AF3168" t="s">
        <v>3916</v>
      </c>
      <c r="AG3168" t="s">
        <v>1086</v>
      </c>
      <c r="AH3168">
        <v>0.04</v>
      </c>
      <c r="AI3168">
        <v>1.1</v>
      </c>
      <c r="AJ3168">
        <v>4.16</v>
      </c>
      <c r="AK3168">
        <v>9.21</v>
      </c>
      <c r="AL3168">
        <v>1</v>
      </c>
      <c r="AM3168">
        <v>0.76</v>
      </c>
      <c r="AN3168">
        <v>60.65</v>
      </c>
      <c r="AO3168">
        <v>6.52</v>
      </c>
      <c r="AP3168">
        <v>46.08</v>
      </c>
    </row>
    <row r="3169" spans="1:42">
      <c r="A3169">
        <v>3168</v>
      </c>
      <c r="B3169" t="str">
        <f>"002723"</f>
        <v>002723</v>
      </c>
      <c r="C3169" t="s">
        <v>16171</v>
      </c>
      <c r="D3169">
        <v>11.43</v>
      </c>
      <c r="E3169">
        <v>0.18</v>
      </c>
      <c r="F3169">
        <v>0.02</v>
      </c>
      <c r="G3169" t="s">
        <v>3235</v>
      </c>
      <c r="H3169">
        <v>502</v>
      </c>
      <c r="I3169">
        <v>11.43</v>
      </c>
      <c r="J3169">
        <v>11.44</v>
      </c>
      <c r="K3169" t="s">
        <v>16167</v>
      </c>
      <c r="L3169">
        <v>1.39</v>
      </c>
      <c r="M3169" t="s">
        <v>46</v>
      </c>
      <c r="N3169" t="s">
        <v>3125</v>
      </c>
      <c r="O3169">
        <v>11.52</v>
      </c>
      <c r="P3169">
        <v>11.32</v>
      </c>
      <c r="Q3169">
        <v>11.47</v>
      </c>
      <c r="R3169">
        <v>11.41</v>
      </c>
      <c r="S3169">
        <v>1.75</v>
      </c>
      <c r="T3169">
        <v>0.46</v>
      </c>
      <c r="U3169">
        <v>63.75</v>
      </c>
      <c r="V3169">
        <v>2205</v>
      </c>
      <c r="W3169">
        <v>11.44</v>
      </c>
      <c r="X3169" t="s">
        <v>3327</v>
      </c>
      <c r="Y3169" t="s">
        <v>9024</v>
      </c>
      <c r="Z3169">
        <v>1.09</v>
      </c>
      <c r="AA3169">
        <v>200</v>
      </c>
      <c r="AB3169">
        <v>72</v>
      </c>
      <c r="AC3169">
        <v>2.9</v>
      </c>
      <c r="AD3169" t="s">
        <v>9196</v>
      </c>
      <c r="AE3169" t="s">
        <v>13480</v>
      </c>
      <c r="AF3169" t="s">
        <v>16172</v>
      </c>
      <c r="AG3169" t="s">
        <v>16173</v>
      </c>
      <c r="AH3169">
        <v>0.88</v>
      </c>
      <c r="AI3169">
        <v>4</v>
      </c>
      <c r="AJ3169">
        <v>5.43</v>
      </c>
      <c r="AK3169">
        <v>16.67</v>
      </c>
      <c r="AL3169">
        <v>1</v>
      </c>
      <c r="AM3169">
        <v>0.18</v>
      </c>
      <c r="AN3169">
        <v>-18.06</v>
      </c>
      <c r="AO3169">
        <v>13.62</v>
      </c>
      <c r="AP3169">
        <v>-7.07</v>
      </c>
    </row>
    <row r="3170" spans="1:42">
      <c r="A3170">
        <v>3169</v>
      </c>
      <c r="B3170" t="str">
        <f>"600908"</f>
        <v>600908</v>
      </c>
      <c r="C3170" t="s">
        <v>16174</v>
      </c>
      <c r="D3170">
        <v>4.92</v>
      </c>
      <c r="E3170">
        <v>0.2</v>
      </c>
      <c r="F3170">
        <v>0.01</v>
      </c>
      <c r="G3170" t="s">
        <v>110</v>
      </c>
      <c r="H3170">
        <v>882</v>
      </c>
      <c r="I3170">
        <v>4.91</v>
      </c>
      <c r="J3170">
        <v>4.92</v>
      </c>
      <c r="K3170" t="s">
        <v>16167</v>
      </c>
      <c r="L3170">
        <v>0.54</v>
      </c>
      <c r="M3170" t="s">
        <v>46</v>
      </c>
      <c r="N3170" t="s">
        <v>11498</v>
      </c>
      <c r="O3170">
        <v>4.94</v>
      </c>
      <c r="P3170">
        <v>4.9</v>
      </c>
      <c r="Q3170">
        <v>4.91</v>
      </c>
      <c r="R3170">
        <v>4.91</v>
      </c>
      <c r="S3170">
        <v>0.81</v>
      </c>
      <c r="T3170">
        <v>0.83</v>
      </c>
      <c r="U3170">
        <v>-21.78</v>
      </c>
      <c r="V3170">
        <v>-6163</v>
      </c>
      <c r="W3170">
        <v>4.92</v>
      </c>
      <c r="X3170" t="s">
        <v>4035</v>
      </c>
      <c r="Y3170" t="s">
        <v>4953</v>
      </c>
      <c r="Z3170">
        <v>0.99</v>
      </c>
      <c r="AA3170">
        <v>3922</v>
      </c>
      <c r="AB3170">
        <v>147</v>
      </c>
      <c r="AC3170">
        <v>0.59</v>
      </c>
      <c r="AD3170" t="s">
        <v>260</v>
      </c>
      <c r="AE3170" t="s">
        <v>6248</v>
      </c>
      <c r="AF3170" t="s">
        <v>5764</v>
      </c>
      <c r="AG3170" t="s">
        <v>16175</v>
      </c>
      <c r="AH3170">
        <v>-1.4</v>
      </c>
      <c r="AI3170">
        <v>-2.19</v>
      </c>
      <c r="AJ3170">
        <v>1.7</v>
      </c>
      <c r="AK3170">
        <v>3.8</v>
      </c>
      <c r="AL3170">
        <v>1</v>
      </c>
      <c r="AM3170">
        <v>0.2</v>
      </c>
      <c r="AN3170">
        <v>-2.96</v>
      </c>
      <c r="AO3170">
        <v>-2.57</v>
      </c>
      <c r="AP3170">
        <v>0.61</v>
      </c>
    </row>
    <row r="3171" spans="1:42">
      <c r="A3171">
        <v>3170</v>
      </c>
      <c r="B3171" t="str">
        <f>"600510"</f>
        <v>600510</v>
      </c>
      <c r="C3171" t="s">
        <v>16176</v>
      </c>
      <c r="D3171">
        <v>5.86</v>
      </c>
      <c r="E3171">
        <v>1.38</v>
      </c>
      <c r="F3171">
        <v>0.08</v>
      </c>
      <c r="G3171" t="s">
        <v>5122</v>
      </c>
      <c r="H3171">
        <v>198</v>
      </c>
      <c r="I3171">
        <v>5.86</v>
      </c>
      <c r="J3171">
        <v>5.87</v>
      </c>
      <c r="K3171" t="s">
        <v>16177</v>
      </c>
      <c r="L3171">
        <v>0.82</v>
      </c>
      <c r="M3171" t="s">
        <v>46</v>
      </c>
      <c r="N3171" t="s">
        <v>16178</v>
      </c>
      <c r="O3171">
        <v>5.92</v>
      </c>
      <c r="P3171">
        <v>5.75</v>
      </c>
      <c r="Q3171">
        <v>5.79</v>
      </c>
      <c r="R3171">
        <v>5.78</v>
      </c>
      <c r="S3171">
        <v>2.94</v>
      </c>
      <c r="T3171">
        <v>0.87</v>
      </c>
      <c r="U3171">
        <v>-10.8</v>
      </c>
      <c r="V3171">
        <v>-698</v>
      </c>
      <c r="W3171">
        <v>5.86</v>
      </c>
      <c r="X3171" t="s">
        <v>16179</v>
      </c>
      <c r="Y3171" t="s">
        <v>4168</v>
      </c>
      <c r="Z3171">
        <v>0.81</v>
      </c>
      <c r="AA3171">
        <v>1029</v>
      </c>
      <c r="AB3171">
        <v>721</v>
      </c>
      <c r="AC3171">
        <v>0.6</v>
      </c>
      <c r="AD3171" t="s">
        <v>1053</v>
      </c>
      <c r="AE3171" t="s">
        <v>16180</v>
      </c>
      <c r="AF3171" t="s">
        <v>610</v>
      </c>
      <c r="AG3171" t="s">
        <v>16181</v>
      </c>
      <c r="AH3171">
        <v>-0.34</v>
      </c>
      <c r="AI3171">
        <v>-3.14</v>
      </c>
      <c r="AJ3171">
        <v>2.32</v>
      </c>
      <c r="AK3171">
        <v>5.58</v>
      </c>
      <c r="AL3171">
        <v>2</v>
      </c>
      <c r="AM3171">
        <v>1.38</v>
      </c>
      <c r="AN3171">
        <v>-8.29</v>
      </c>
      <c r="AO3171">
        <v>2.81</v>
      </c>
      <c r="AP3171">
        <v>-12.93</v>
      </c>
    </row>
    <row r="3172" spans="1:42">
      <c r="A3172">
        <v>3171</v>
      </c>
      <c r="B3172" t="str">
        <f>"605319"</f>
        <v>605319</v>
      </c>
      <c r="C3172" t="s">
        <v>16182</v>
      </c>
      <c r="D3172">
        <v>21.83</v>
      </c>
      <c r="E3172">
        <v>-0.05</v>
      </c>
      <c r="F3172">
        <v>-0.01</v>
      </c>
      <c r="G3172" t="s">
        <v>1335</v>
      </c>
      <c r="H3172">
        <v>935</v>
      </c>
      <c r="I3172">
        <v>21.82</v>
      </c>
      <c r="J3172">
        <v>21.83</v>
      </c>
      <c r="K3172" t="s">
        <v>16183</v>
      </c>
      <c r="L3172">
        <v>3.41</v>
      </c>
      <c r="M3172" t="s">
        <v>46</v>
      </c>
      <c r="N3172" t="s">
        <v>5941</v>
      </c>
      <c r="O3172">
        <v>22.16</v>
      </c>
      <c r="P3172">
        <v>21.52</v>
      </c>
      <c r="Q3172">
        <v>21.84</v>
      </c>
      <c r="R3172">
        <v>21.84</v>
      </c>
      <c r="S3172">
        <v>2.93</v>
      </c>
      <c r="T3172">
        <v>0.47</v>
      </c>
      <c r="U3172">
        <v>62.37</v>
      </c>
      <c r="V3172">
        <v>421</v>
      </c>
      <c r="W3172">
        <v>21.73</v>
      </c>
      <c r="X3172" t="s">
        <v>905</v>
      </c>
      <c r="Y3172" t="s">
        <v>1154</v>
      </c>
      <c r="Z3172">
        <v>1.21</v>
      </c>
      <c r="AA3172">
        <v>17</v>
      </c>
      <c r="AB3172">
        <v>19</v>
      </c>
      <c r="AC3172">
        <v>2.64</v>
      </c>
      <c r="AD3172" t="s">
        <v>13327</v>
      </c>
      <c r="AE3172" t="s">
        <v>16184</v>
      </c>
      <c r="AF3172" t="s">
        <v>16185</v>
      </c>
      <c r="AG3172" t="s">
        <v>800</v>
      </c>
      <c r="AH3172">
        <v>-1.89</v>
      </c>
      <c r="AI3172">
        <v>0.18</v>
      </c>
      <c r="AJ3172">
        <v>15.25</v>
      </c>
      <c r="AK3172">
        <v>39.32</v>
      </c>
      <c r="AL3172">
        <v>-2</v>
      </c>
      <c r="AM3172">
        <v>-0.05</v>
      </c>
      <c r="AN3172">
        <v>70.15</v>
      </c>
      <c r="AO3172">
        <v>0.83</v>
      </c>
      <c r="AP3172">
        <v>59.58</v>
      </c>
    </row>
    <row r="3173" spans="1:42">
      <c r="A3173">
        <v>3172</v>
      </c>
      <c r="B3173" t="str">
        <f>"688305"</f>
        <v>688305</v>
      </c>
      <c r="C3173" t="s">
        <v>16186</v>
      </c>
      <c r="D3173">
        <v>73.2</v>
      </c>
      <c r="E3173">
        <v>0.23</v>
      </c>
      <c r="F3173">
        <v>0.17</v>
      </c>
      <c r="G3173">
        <v>6795</v>
      </c>
      <c r="H3173">
        <v>23</v>
      </c>
      <c r="I3173">
        <v>73.19</v>
      </c>
      <c r="J3173">
        <v>73.2</v>
      </c>
      <c r="K3173" t="s">
        <v>16187</v>
      </c>
      <c r="L3173">
        <v>1.28</v>
      </c>
      <c r="M3173" t="s">
        <v>46</v>
      </c>
      <c r="N3173" t="s">
        <v>4921</v>
      </c>
      <c r="O3173">
        <v>73.71</v>
      </c>
      <c r="P3173">
        <v>71.69</v>
      </c>
      <c r="Q3173">
        <v>73</v>
      </c>
      <c r="R3173">
        <v>73.03</v>
      </c>
      <c r="S3173">
        <v>2.77</v>
      </c>
      <c r="T3173">
        <v>0.9</v>
      </c>
      <c r="U3173">
        <v>-24.77</v>
      </c>
      <c r="V3173">
        <v>-21</v>
      </c>
      <c r="W3173">
        <v>72.63</v>
      </c>
      <c r="X3173">
        <v>3105</v>
      </c>
      <c r="Y3173">
        <v>3691</v>
      </c>
      <c r="Z3173">
        <v>0.84</v>
      </c>
      <c r="AA3173">
        <v>10</v>
      </c>
      <c r="AB3173">
        <v>3</v>
      </c>
      <c r="AC3173">
        <v>6.22</v>
      </c>
      <c r="AD3173" t="s">
        <v>16188</v>
      </c>
      <c r="AE3173" t="s">
        <v>16189</v>
      </c>
      <c r="AF3173" t="s">
        <v>15627</v>
      </c>
      <c r="AG3173" t="s">
        <v>13188</v>
      </c>
      <c r="AH3173">
        <v>-2.19</v>
      </c>
      <c r="AI3173">
        <v>-3.86</v>
      </c>
      <c r="AJ3173">
        <v>4.36</v>
      </c>
      <c r="AK3173">
        <v>8.37</v>
      </c>
      <c r="AL3173">
        <v>1</v>
      </c>
      <c r="AM3173">
        <v>0.23</v>
      </c>
      <c r="AN3173">
        <v>-17.29</v>
      </c>
      <c r="AO3173">
        <v>1.4</v>
      </c>
      <c r="AP3173">
        <v>-38.94</v>
      </c>
    </row>
    <row r="3174" spans="1:42">
      <c r="A3174">
        <v>3173</v>
      </c>
      <c r="B3174" t="str">
        <f>"002807"</f>
        <v>002807</v>
      </c>
      <c r="C3174" t="s">
        <v>16190</v>
      </c>
      <c r="D3174">
        <v>3.6</v>
      </c>
      <c r="E3174">
        <v>0.84</v>
      </c>
      <c r="F3174">
        <v>0.03</v>
      </c>
      <c r="G3174" t="s">
        <v>2753</v>
      </c>
      <c r="H3174">
        <v>2447</v>
      </c>
      <c r="I3174">
        <v>3.6</v>
      </c>
      <c r="J3174">
        <v>3.61</v>
      </c>
      <c r="K3174" t="s">
        <v>16191</v>
      </c>
      <c r="L3174">
        <v>0.63</v>
      </c>
      <c r="M3174" t="s">
        <v>46</v>
      </c>
      <c r="N3174" t="s">
        <v>9783</v>
      </c>
      <c r="O3174">
        <v>3.6</v>
      </c>
      <c r="P3174">
        <v>3.56</v>
      </c>
      <c r="Q3174">
        <v>3.57</v>
      </c>
      <c r="R3174">
        <v>3.57</v>
      </c>
      <c r="S3174">
        <v>1.12</v>
      </c>
      <c r="T3174">
        <v>1</v>
      </c>
      <c r="U3174">
        <v>-20.18</v>
      </c>
      <c r="V3174" t="s">
        <v>16192</v>
      </c>
      <c r="W3174">
        <v>3.59</v>
      </c>
      <c r="X3174" t="s">
        <v>6026</v>
      </c>
      <c r="Y3174" t="s">
        <v>7256</v>
      </c>
      <c r="Z3174">
        <v>0.59</v>
      </c>
      <c r="AA3174">
        <v>1827</v>
      </c>
      <c r="AB3174" t="s">
        <v>8636</v>
      </c>
      <c r="AC3174">
        <v>0.54</v>
      </c>
      <c r="AD3174" t="s">
        <v>16193</v>
      </c>
      <c r="AE3174" t="s">
        <v>16194</v>
      </c>
      <c r="AF3174" t="s">
        <v>16104</v>
      </c>
      <c r="AG3174" t="s">
        <v>16195</v>
      </c>
      <c r="AH3174">
        <v>-0.28</v>
      </c>
      <c r="AI3174">
        <v>-0.83</v>
      </c>
      <c r="AJ3174">
        <v>1.9</v>
      </c>
      <c r="AK3174">
        <v>3.8</v>
      </c>
      <c r="AL3174">
        <v>1</v>
      </c>
      <c r="AM3174">
        <v>0.84</v>
      </c>
      <c r="AN3174">
        <v>-5.01</v>
      </c>
      <c r="AO3174">
        <v>-1.1</v>
      </c>
      <c r="AP3174">
        <v>-4</v>
      </c>
    </row>
    <row r="3175" spans="1:42">
      <c r="A3175">
        <v>3174</v>
      </c>
      <c r="B3175" t="str">
        <f>"002732"</f>
        <v>002732</v>
      </c>
      <c r="C3175" t="s">
        <v>16196</v>
      </c>
      <c r="D3175">
        <v>20.45</v>
      </c>
      <c r="E3175">
        <v>0.99</v>
      </c>
      <c r="F3175">
        <v>0.2</v>
      </c>
      <c r="G3175" t="s">
        <v>8211</v>
      </c>
      <c r="H3175">
        <v>157</v>
      </c>
      <c r="I3175">
        <v>20.44</v>
      </c>
      <c r="J3175">
        <v>20.45</v>
      </c>
      <c r="K3175" t="s">
        <v>16197</v>
      </c>
      <c r="L3175">
        <v>1.54</v>
      </c>
      <c r="M3175" t="s">
        <v>46</v>
      </c>
      <c r="N3175" t="s">
        <v>2591</v>
      </c>
      <c r="O3175">
        <v>20.64</v>
      </c>
      <c r="P3175">
        <v>20.13</v>
      </c>
      <c r="Q3175">
        <v>20.27</v>
      </c>
      <c r="R3175">
        <v>20.25</v>
      </c>
      <c r="S3175">
        <v>2.52</v>
      </c>
      <c r="T3175">
        <v>1.87</v>
      </c>
      <c r="U3175">
        <v>-29.15</v>
      </c>
      <c r="V3175">
        <v>-93</v>
      </c>
      <c r="W3175">
        <v>20.42</v>
      </c>
      <c r="X3175" t="s">
        <v>8636</v>
      </c>
      <c r="Y3175" t="s">
        <v>1052</v>
      </c>
      <c r="Z3175">
        <v>0.99</v>
      </c>
      <c r="AA3175">
        <v>21</v>
      </c>
      <c r="AB3175">
        <v>25</v>
      </c>
      <c r="AC3175">
        <v>2.37</v>
      </c>
      <c r="AD3175" t="s">
        <v>16198</v>
      </c>
      <c r="AE3175" t="s">
        <v>13999</v>
      </c>
      <c r="AF3175" t="s">
        <v>9367</v>
      </c>
      <c r="AG3175" t="s">
        <v>16199</v>
      </c>
      <c r="AH3175">
        <v>0.49</v>
      </c>
      <c r="AI3175">
        <v>1.04</v>
      </c>
      <c r="AJ3175">
        <v>3.09</v>
      </c>
      <c r="AK3175">
        <v>5.67</v>
      </c>
      <c r="AL3175">
        <v>2</v>
      </c>
      <c r="AM3175">
        <v>0.99</v>
      </c>
      <c r="AN3175">
        <v>-13.2</v>
      </c>
      <c r="AO3175">
        <v>1.64</v>
      </c>
      <c r="AP3175">
        <v>16.99</v>
      </c>
    </row>
    <row r="3176" spans="1:42">
      <c r="A3176">
        <v>3175</v>
      </c>
      <c r="B3176" t="str">
        <f>"600475"</f>
        <v>600475</v>
      </c>
      <c r="C3176" t="s">
        <v>16200</v>
      </c>
      <c r="D3176">
        <v>10.32</v>
      </c>
      <c r="E3176">
        <v>-1.34</v>
      </c>
      <c r="F3176">
        <v>-0.14</v>
      </c>
      <c r="G3176" t="s">
        <v>13012</v>
      </c>
      <c r="H3176">
        <v>91</v>
      </c>
      <c r="I3176">
        <v>10.32</v>
      </c>
      <c r="J3176">
        <v>10.33</v>
      </c>
      <c r="K3176" t="s">
        <v>16201</v>
      </c>
      <c r="L3176">
        <v>0.51</v>
      </c>
      <c r="M3176" t="s">
        <v>46</v>
      </c>
      <c r="N3176" t="s">
        <v>8743</v>
      </c>
      <c r="O3176">
        <v>10.52</v>
      </c>
      <c r="P3176">
        <v>10.25</v>
      </c>
      <c r="Q3176">
        <v>10.52</v>
      </c>
      <c r="R3176">
        <v>10.46</v>
      </c>
      <c r="S3176">
        <v>2.58</v>
      </c>
      <c r="T3176">
        <v>0.57</v>
      </c>
      <c r="U3176">
        <v>-9.73</v>
      </c>
      <c r="V3176">
        <v>-318</v>
      </c>
      <c r="W3176">
        <v>10.32</v>
      </c>
      <c r="X3176" t="s">
        <v>3032</v>
      </c>
      <c r="Y3176" t="s">
        <v>2924</v>
      </c>
      <c r="Z3176">
        <v>1.42</v>
      </c>
      <c r="AA3176">
        <v>183</v>
      </c>
      <c r="AB3176">
        <v>53</v>
      </c>
      <c r="AC3176">
        <v>1.22</v>
      </c>
      <c r="AD3176" t="s">
        <v>9510</v>
      </c>
      <c r="AE3176" t="s">
        <v>16202</v>
      </c>
      <c r="AF3176" t="s">
        <v>16203</v>
      </c>
      <c r="AG3176" t="s">
        <v>16204</v>
      </c>
      <c r="AH3176">
        <v>-1.9</v>
      </c>
      <c r="AI3176">
        <v>3.72</v>
      </c>
      <c r="AJ3176">
        <v>2.13</v>
      </c>
      <c r="AK3176">
        <v>5</v>
      </c>
      <c r="AL3176">
        <v>-2</v>
      </c>
      <c r="AM3176">
        <v>-1.34</v>
      </c>
      <c r="AN3176">
        <v>22.27</v>
      </c>
      <c r="AO3176">
        <v>7.61</v>
      </c>
      <c r="AP3176">
        <v>5.41</v>
      </c>
    </row>
    <row r="3177" spans="1:42">
      <c r="A3177">
        <v>3176</v>
      </c>
      <c r="B3177" t="str">
        <f>"002900"</f>
        <v>002900</v>
      </c>
      <c r="C3177" t="s">
        <v>16205</v>
      </c>
      <c r="D3177">
        <v>14.45</v>
      </c>
      <c r="E3177">
        <v>1.05</v>
      </c>
      <c r="F3177">
        <v>0.15</v>
      </c>
      <c r="G3177" t="s">
        <v>4970</v>
      </c>
      <c r="H3177">
        <v>245</v>
      </c>
      <c r="I3177">
        <v>14.45</v>
      </c>
      <c r="J3177">
        <v>14.46</v>
      </c>
      <c r="K3177" t="s">
        <v>16206</v>
      </c>
      <c r="L3177">
        <v>1.99</v>
      </c>
      <c r="M3177" t="s">
        <v>46</v>
      </c>
      <c r="N3177" t="s">
        <v>1259</v>
      </c>
      <c r="O3177">
        <v>14.62</v>
      </c>
      <c r="P3177">
        <v>14.23</v>
      </c>
      <c r="Q3177">
        <v>14.26</v>
      </c>
      <c r="R3177">
        <v>14.3</v>
      </c>
      <c r="S3177">
        <v>2.73</v>
      </c>
      <c r="T3177">
        <v>0.54</v>
      </c>
      <c r="U3177">
        <v>-21.73</v>
      </c>
      <c r="V3177">
        <v>-176</v>
      </c>
      <c r="W3177">
        <v>14.46</v>
      </c>
      <c r="X3177" t="s">
        <v>141</v>
      </c>
      <c r="Y3177" t="s">
        <v>2878</v>
      </c>
      <c r="Z3177">
        <v>0.86</v>
      </c>
      <c r="AA3177">
        <v>71</v>
      </c>
      <c r="AB3177">
        <v>50</v>
      </c>
      <c r="AC3177">
        <v>2.15</v>
      </c>
      <c r="AD3177" t="s">
        <v>16207</v>
      </c>
      <c r="AE3177" t="s">
        <v>4390</v>
      </c>
      <c r="AF3177" t="s">
        <v>5109</v>
      </c>
      <c r="AG3177" t="s">
        <v>14733</v>
      </c>
      <c r="AH3177">
        <v>1.55</v>
      </c>
      <c r="AI3177">
        <v>-1.97</v>
      </c>
      <c r="AJ3177">
        <v>6.29</v>
      </c>
      <c r="AK3177">
        <v>20.46</v>
      </c>
      <c r="AL3177">
        <v>2</v>
      </c>
      <c r="AM3177">
        <v>1.05</v>
      </c>
      <c r="AN3177">
        <v>6.64</v>
      </c>
      <c r="AO3177">
        <v>6.56</v>
      </c>
      <c r="AP3177">
        <v>-0.28</v>
      </c>
    </row>
    <row r="3178" spans="1:42">
      <c r="A3178">
        <v>3177</v>
      </c>
      <c r="B3178" t="str">
        <f>"000877"</f>
        <v>000877</v>
      </c>
      <c r="C3178" t="s">
        <v>16208</v>
      </c>
      <c r="D3178">
        <v>7</v>
      </c>
      <c r="E3178">
        <v>0.86</v>
      </c>
      <c r="F3178">
        <v>0.06</v>
      </c>
      <c r="G3178" t="s">
        <v>4868</v>
      </c>
      <c r="H3178">
        <v>955</v>
      </c>
      <c r="I3178">
        <v>7</v>
      </c>
      <c r="J3178">
        <v>7.01</v>
      </c>
      <c r="K3178" t="s">
        <v>16209</v>
      </c>
      <c r="L3178">
        <v>0.39</v>
      </c>
      <c r="M3178" t="s">
        <v>46</v>
      </c>
      <c r="N3178" t="s">
        <v>16210</v>
      </c>
      <c r="O3178">
        <v>7.03</v>
      </c>
      <c r="P3178">
        <v>6.87</v>
      </c>
      <c r="Q3178">
        <v>6.94</v>
      </c>
      <c r="R3178">
        <v>6.94</v>
      </c>
      <c r="S3178">
        <v>2.31</v>
      </c>
      <c r="T3178">
        <v>1.1</v>
      </c>
      <c r="U3178">
        <v>-23.54</v>
      </c>
      <c r="V3178">
        <v>-1590</v>
      </c>
      <c r="W3178">
        <v>6.95</v>
      </c>
      <c r="X3178" t="s">
        <v>6675</v>
      </c>
      <c r="Y3178" t="s">
        <v>459</v>
      </c>
      <c r="Z3178">
        <v>0.63</v>
      </c>
      <c r="AA3178">
        <v>58</v>
      </c>
      <c r="AB3178">
        <v>679</v>
      </c>
      <c r="AC3178">
        <v>0.76</v>
      </c>
      <c r="AD3178" t="s">
        <v>16211</v>
      </c>
      <c r="AE3178" t="s">
        <v>16212</v>
      </c>
      <c r="AF3178" t="s">
        <v>16213</v>
      </c>
      <c r="AG3178" t="s">
        <v>16214</v>
      </c>
      <c r="AH3178">
        <v>-0.57</v>
      </c>
      <c r="AI3178">
        <v>-2.64</v>
      </c>
      <c r="AJ3178">
        <v>1.03</v>
      </c>
      <c r="AK3178">
        <v>2.15</v>
      </c>
      <c r="AL3178">
        <v>1</v>
      </c>
      <c r="AM3178">
        <v>0.86</v>
      </c>
      <c r="AN3178">
        <v>-15.15</v>
      </c>
      <c r="AO3178">
        <v>-1.27</v>
      </c>
      <c r="AP3178">
        <v>-18.89</v>
      </c>
    </row>
    <row r="3179" spans="1:42">
      <c r="A3179">
        <v>3178</v>
      </c>
      <c r="B3179" t="str">
        <f>"002581"</f>
        <v>002581</v>
      </c>
      <c r="C3179" t="s">
        <v>16215</v>
      </c>
      <c r="D3179">
        <v>16.13</v>
      </c>
      <c r="E3179">
        <v>-0.31</v>
      </c>
      <c r="F3179">
        <v>-0.05</v>
      </c>
      <c r="G3179" t="s">
        <v>3033</v>
      </c>
      <c r="H3179">
        <v>571</v>
      </c>
      <c r="I3179">
        <v>16.12</v>
      </c>
      <c r="J3179">
        <v>16.13</v>
      </c>
      <c r="K3179" t="s">
        <v>16216</v>
      </c>
      <c r="L3179">
        <v>0.76</v>
      </c>
      <c r="M3179" t="s">
        <v>46</v>
      </c>
      <c r="N3179" t="s">
        <v>11532</v>
      </c>
      <c r="O3179">
        <v>16.33</v>
      </c>
      <c r="P3179">
        <v>16.07</v>
      </c>
      <c r="Q3179">
        <v>16.3</v>
      </c>
      <c r="R3179">
        <v>16.18</v>
      </c>
      <c r="S3179">
        <v>1.61</v>
      </c>
      <c r="T3179">
        <v>0.78</v>
      </c>
      <c r="U3179">
        <v>48.16</v>
      </c>
      <c r="V3179">
        <v>379</v>
      </c>
      <c r="W3179">
        <v>16.16</v>
      </c>
      <c r="X3179" t="s">
        <v>1692</v>
      </c>
      <c r="Y3179" t="s">
        <v>5446</v>
      </c>
      <c r="Z3179">
        <v>1.17</v>
      </c>
      <c r="AA3179">
        <v>41</v>
      </c>
      <c r="AB3179">
        <v>1</v>
      </c>
      <c r="AC3179">
        <v>4.41</v>
      </c>
      <c r="AD3179" t="s">
        <v>16217</v>
      </c>
      <c r="AE3179" t="s">
        <v>8881</v>
      </c>
      <c r="AF3179" t="s">
        <v>4258</v>
      </c>
      <c r="AG3179" t="s">
        <v>10806</v>
      </c>
      <c r="AH3179">
        <v>-1.95</v>
      </c>
      <c r="AI3179">
        <v>-4.89</v>
      </c>
      <c r="AJ3179">
        <v>1.92</v>
      </c>
      <c r="AK3179">
        <v>5.6</v>
      </c>
      <c r="AL3179">
        <v>-3</v>
      </c>
      <c r="AM3179">
        <v>-0.31</v>
      </c>
      <c r="AN3179">
        <v>2.41</v>
      </c>
      <c r="AO3179">
        <v>-5.95</v>
      </c>
      <c r="AP3179">
        <v>-13.74</v>
      </c>
    </row>
    <row r="3180" spans="1:42">
      <c r="A3180">
        <v>3179</v>
      </c>
      <c r="B3180" t="str">
        <f>"002088"</f>
        <v>002088</v>
      </c>
      <c r="C3180" t="s">
        <v>16218</v>
      </c>
      <c r="D3180">
        <v>15.08</v>
      </c>
      <c r="E3180">
        <v>-2.08</v>
      </c>
      <c r="F3180">
        <v>-0.32</v>
      </c>
      <c r="G3180" t="s">
        <v>8255</v>
      </c>
      <c r="H3180">
        <v>76</v>
      </c>
      <c r="I3180">
        <v>15.07</v>
      </c>
      <c r="J3180">
        <v>15.08</v>
      </c>
      <c r="K3180" t="s">
        <v>16219</v>
      </c>
      <c r="L3180">
        <v>0.73</v>
      </c>
      <c r="M3180" t="s">
        <v>46</v>
      </c>
      <c r="N3180" t="s">
        <v>8540</v>
      </c>
      <c r="O3180">
        <v>15.88</v>
      </c>
      <c r="P3180">
        <v>14.95</v>
      </c>
      <c r="Q3180">
        <v>15.88</v>
      </c>
      <c r="R3180">
        <v>15.4</v>
      </c>
      <c r="S3180">
        <v>6.04</v>
      </c>
      <c r="T3180">
        <v>2.56</v>
      </c>
      <c r="U3180">
        <v>-41.55</v>
      </c>
      <c r="V3180">
        <v>-172</v>
      </c>
      <c r="W3180">
        <v>15.14</v>
      </c>
      <c r="X3180" t="s">
        <v>6656</v>
      </c>
      <c r="Y3180" t="s">
        <v>2371</v>
      </c>
      <c r="Z3180">
        <v>1.14</v>
      </c>
      <c r="AA3180">
        <v>12</v>
      </c>
      <c r="AB3180">
        <v>22</v>
      </c>
      <c r="AC3180">
        <v>2.7</v>
      </c>
      <c r="AD3180" t="s">
        <v>11259</v>
      </c>
      <c r="AE3180" t="s">
        <v>16220</v>
      </c>
      <c r="AF3180" t="s">
        <v>16221</v>
      </c>
      <c r="AG3180" t="s">
        <v>13911</v>
      </c>
      <c r="AH3180">
        <v>-3.08</v>
      </c>
      <c r="AI3180">
        <v>-4.25</v>
      </c>
      <c r="AJ3180">
        <v>1.23</v>
      </c>
      <c r="AK3180">
        <v>2.15</v>
      </c>
      <c r="AL3180">
        <v>-3</v>
      </c>
      <c r="AM3180">
        <v>-2.08</v>
      </c>
      <c r="AN3180">
        <v>-32.44</v>
      </c>
      <c r="AO3180">
        <v>-0.98</v>
      </c>
      <c r="AP3180">
        <v>-30.51</v>
      </c>
    </row>
    <row r="3181" spans="1:42">
      <c r="A3181">
        <v>3180</v>
      </c>
      <c r="B3181" t="str">
        <f>"002999"</f>
        <v>002999</v>
      </c>
      <c r="C3181" t="s">
        <v>16222</v>
      </c>
      <c r="D3181">
        <v>7.54</v>
      </c>
      <c r="E3181">
        <v>0.8</v>
      </c>
      <c r="F3181">
        <v>0.06</v>
      </c>
      <c r="G3181" t="s">
        <v>10018</v>
      </c>
      <c r="H3181">
        <v>883</v>
      </c>
      <c r="I3181">
        <v>7.54</v>
      </c>
      <c r="J3181">
        <v>7.55</v>
      </c>
      <c r="K3181" t="s">
        <v>16223</v>
      </c>
      <c r="L3181">
        <v>1.91</v>
      </c>
      <c r="M3181" t="s">
        <v>46</v>
      </c>
      <c r="N3181" t="s">
        <v>16224</v>
      </c>
      <c r="O3181">
        <v>7.62</v>
      </c>
      <c r="P3181">
        <v>7.43</v>
      </c>
      <c r="Q3181">
        <v>7.48</v>
      </c>
      <c r="R3181">
        <v>7.48</v>
      </c>
      <c r="S3181">
        <v>2.54</v>
      </c>
      <c r="T3181">
        <v>0.56</v>
      </c>
      <c r="U3181">
        <v>-32.52</v>
      </c>
      <c r="V3181">
        <v>-1176</v>
      </c>
      <c r="W3181">
        <v>7.53</v>
      </c>
      <c r="X3181" t="s">
        <v>1704</v>
      </c>
      <c r="Y3181" t="s">
        <v>6431</v>
      </c>
      <c r="Z3181">
        <v>1.03</v>
      </c>
      <c r="AA3181">
        <v>162</v>
      </c>
      <c r="AB3181">
        <v>363</v>
      </c>
      <c r="AC3181">
        <v>2.21</v>
      </c>
      <c r="AD3181" t="s">
        <v>8959</v>
      </c>
      <c r="AE3181" t="s">
        <v>10674</v>
      </c>
      <c r="AF3181" t="s">
        <v>16225</v>
      </c>
      <c r="AG3181" t="s">
        <v>12203</v>
      </c>
      <c r="AH3181">
        <v>-3.08</v>
      </c>
      <c r="AI3181">
        <v>-1.95</v>
      </c>
      <c r="AJ3181">
        <v>8.15</v>
      </c>
      <c r="AK3181">
        <v>18.95</v>
      </c>
      <c r="AL3181">
        <v>1</v>
      </c>
      <c r="AM3181">
        <v>0.8</v>
      </c>
      <c r="AN3181">
        <v>-23.92</v>
      </c>
      <c r="AO3181">
        <v>2.45</v>
      </c>
      <c r="AP3181">
        <v>-23.68</v>
      </c>
    </row>
    <row r="3182" spans="1:42">
      <c r="A3182">
        <v>3181</v>
      </c>
      <c r="B3182" t="str">
        <f>"600135"</f>
        <v>600135</v>
      </c>
      <c r="C3182" t="s">
        <v>16226</v>
      </c>
      <c r="D3182">
        <v>7.94</v>
      </c>
      <c r="E3182">
        <v>0.63</v>
      </c>
      <c r="F3182">
        <v>0.05</v>
      </c>
      <c r="G3182" t="s">
        <v>9787</v>
      </c>
      <c r="H3182">
        <v>1090</v>
      </c>
      <c r="I3182">
        <v>7.93</v>
      </c>
      <c r="J3182">
        <v>7.94</v>
      </c>
      <c r="K3182" t="s">
        <v>16227</v>
      </c>
      <c r="L3182">
        <v>1.12</v>
      </c>
      <c r="M3182" t="s">
        <v>46</v>
      </c>
      <c r="N3182" t="s">
        <v>3590</v>
      </c>
      <c r="O3182">
        <v>7.95</v>
      </c>
      <c r="P3182">
        <v>7.83</v>
      </c>
      <c r="Q3182">
        <v>7.93</v>
      </c>
      <c r="R3182">
        <v>7.89</v>
      </c>
      <c r="S3182">
        <v>1.52</v>
      </c>
      <c r="T3182">
        <v>0.78</v>
      </c>
      <c r="U3182">
        <v>-17.65</v>
      </c>
      <c r="V3182">
        <v>-764</v>
      </c>
      <c r="W3182">
        <v>7.89</v>
      </c>
      <c r="X3182" t="s">
        <v>4914</v>
      </c>
      <c r="Y3182" t="s">
        <v>5266</v>
      </c>
      <c r="Z3182">
        <v>1</v>
      </c>
      <c r="AA3182">
        <v>75</v>
      </c>
      <c r="AB3182">
        <v>154</v>
      </c>
      <c r="AC3182">
        <v>1.65</v>
      </c>
      <c r="AD3182" t="s">
        <v>5834</v>
      </c>
      <c r="AE3182" t="s">
        <v>16228</v>
      </c>
      <c r="AF3182" t="s">
        <v>5834</v>
      </c>
      <c r="AG3182" t="s">
        <v>16228</v>
      </c>
      <c r="AH3182">
        <v>1.02</v>
      </c>
      <c r="AI3182">
        <v>0.38</v>
      </c>
      <c r="AJ3182">
        <v>4.98</v>
      </c>
      <c r="AK3182">
        <v>8.34</v>
      </c>
      <c r="AL3182">
        <v>1</v>
      </c>
      <c r="AM3182">
        <v>0.63</v>
      </c>
      <c r="AN3182">
        <v>5.31</v>
      </c>
      <c r="AO3182">
        <v>11.52</v>
      </c>
      <c r="AP3182">
        <v>6.15</v>
      </c>
    </row>
    <row r="3183" spans="1:42">
      <c r="A3183">
        <v>3182</v>
      </c>
      <c r="B3183" t="str">
        <f>"001308"</f>
        <v>001308</v>
      </c>
      <c r="C3183" t="s">
        <v>16229</v>
      </c>
      <c r="D3183">
        <v>25.73</v>
      </c>
      <c r="E3183">
        <v>0.55</v>
      </c>
      <c r="F3183">
        <v>0.14</v>
      </c>
      <c r="G3183" t="s">
        <v>882</v>
      </c>
      <c r="H3183">
        <v>313</v>
      </c>
      <c r="I3183">
        <v>25.72</v>
      </c>
      <c r="J3183">
        <v>25.73</v>
      </c>
      <c r="K3183" t="s">
        <v>16230</v>
      </c>
      <c r="L3183">
        <v>2.54</v>
      </c>
      <c r="M3183" t="s">
        <v>46</v>
      </c>
      <c r="N3183" t="s">
        <v>2238</v>
      </c>
      <c r="O3183">
        <v>25.83</v>
      </c>
      <c r="P3183">
        <v>25</v>
      </c>
      <c r="Q3183">
        <v>25.45</v>
      </c>
      <c r="R3183">
        <v>25.59</v>
      </c>
      <c r="S3183">
        <v>3.24</v>
      </c>
      <c r="T3183">
        <v>0.67</v>
      </c>
      <c r="U3183">
        <v>-73.03</v>
      </c>
      <c r="V3183">
        <v>-228</v>
      </c>
      <c r="W3183">
        <v>25.55</v>
      </c>
      <c r="X3183">
        <v>9655</v>
      </c>
      <c r="Y3183">
        <v>9531</v>
      </c>
      <c r="Z3183">
        <v>1.01</v>
      </c>
      <c r="AA3183">
        <v>1</v>
      </c>
      <c r="AB3183">
        <v>134</v>
      </c>
      <c r="AC3183">
        <v>2.72</v>
      </c>
      <c r="AD3183" t="s">
        <v>16231</v>
      </c>
      <c r="AE3183" t="s">
        <v>16232</v>
      </c>
      <c r="AF3183" t="s">
        <v>16233</v>
      </c>
      <c r="AG3183" t="s">
        <v>6701</v>
      </c>
      <c r="AH3183">
        <v>-2.06</v>
      </c>
      <c r="AI3183">
        <v>-3.16</v>
      </c>
      <c r="AJ3183">
        <v>8.27</v>
      </c>
      <c r="AK3183">
        <v>21.48</v>
      </c>
      <c r="AL3183">
        <v>1</v>
      </c>
      <c r="AM3183">
        <v>0.55</v>
      </c>
      <c r="AN3183">
        <v>10.86</v>
      </c>
      <c r="AO3183">
        <v>6.23</v>
      </c>
      <c r="AP3183">
        <v>-4.21</v>
      </c>
    </row>
    <row r="3184" spans="1:42">
      <c r="A3184">
        <v>3183</v>
      </c>
      <c r="B3184" t="str">
        <f>"000959"</f>
        <v>000959</v>
      </c>
      <c r="C3184" t="s">
        <v>16234</v>
      </c>
      <c r="D3184">
        <v>3.66</v>
      </c>
      <c r="E3184">
        <v>0</v>
      </c>
      <c r="F3184">
        <v>0</v>
      </c>
      <c r="G3184" t="s">
        <v>368</v>
      </c>
      <c r="H3184">
        <v>523</v>
      </c>
      <c r="I3184">
        <v>3.66</v>
      </c>
      <c r="J3184">
        <v>3.68</v>
      </c>
      <c r="K3184" t="s">
        <v>16235</v>
      </c>
      <c r="L3184">
        <v>0.22</v>
      </c>
      <c r="M3184" t="s">
        <v>46</v>
      </c>
      <c r="N3184" t="s">
        <v>16236</v>
      </c>
      <c r="O3184">
        <v>3.69</v>
      </c>
      <c r="P3184">
        <v>3.65</v>
      </c>
      <c r="Q3184">
        <v>3.66</v>
      </c>
      <c r="R3184">
        <v>3.66</v>
      </c>
      <c r="S3184">
        <v>1.09</v>
      </c>
      <c r="T3184">
        <v>0.85</v>
      </c>
      <c r="U3184">
        <v>-4.67</v>
      </c>
      <c r="V3184">
        <v>-1305</v>
      </c>
      <c r="W3184">
        <v>3.67</v>
      </c>
      <c r="X3184" t="s">
        <v>9098</v>
      </c>
      <c r="Y3184" t="s">
        <v>8476</v>
      </c>
      <c r="Z3184">
        <v>1.03</v>
      </c>
      <c r="AA3184">
        <v>4850</v>
      </c>
      <c r="AB3184">
        <v>1021</v>
      </c>
      <c r="AC3184">
        <v>0.58</v>
      </c>
      <c r="AD3184" t="s">
        <v>16237</v>
      </c>
      <c r="AE3184" t="s">
        <v>6013</v>
      </c>
      <c r="AF3184" t="s">
        <v>16238</v>
      </c>
      <c r="AG3184" t="s">
        <v>7404</v>
      </c>
      <c r="AH3184">
        <v>-1.61</v>
      </c>
      <c r="AI3184">
        <v>-1.35</v>
      </c>
      <c r="AJ3184">
        <v>0.7</v>
      </c>
      <c r="AK3184">
        <v>1.53</v>
      </c>
      <c r="AL3184">
        <v>0</v>
      </c>
      <c r="AM3184">
        <v>0</v>
      </c>
      <c r="AN3184">
        <v>-2.92</v>
      </c>
      <c r="AO3184">
        <v>-1.88</v>
      </c>
      <c r="AP3184">
        <v>-8.5</v>
      </c>
    </row>
    <row r="3185" spans="1:42">
      <c r="A3185">
        <v>3184</v>
      </c>
      <c r="B3185" t="str">
        <f>"603590"</f>
        <v>603590</v>
      </c>
      <c r="C3185" t="s">
        <v>16239</v>
      </c>
      <c r="D3185">
        <v>41.12</v>
      </c>
      <c r="E3185">
        <v>-0.39</v>
      </c>
      <c r="F3185">
        <v>-0.16</v>
      </c>
      <c r="G3185" t="s">
        <v>718</v>
      </c>
      <c r="H3185">
        <v>102</v>
      </c>
      <c r="I3185">
        <v>40.97</v>
      </c>
      <c r="J3185">
        <v>41.12</v>
      </c>
      <c r="K3185" t="s">
        <v>16240</v>
      </c>
      <c r="L3185">
        <v>0.76</v>
      </c>
      <c r="M3185" t="s">
        <v>46</v>
      </c>
      <c r="N3185" t="s">
        <v>16241</v>
      </c>
      <c r="O3185">
        <v>41.38</v>
      </c>
      <c r="P3185">
        <v>40.84</v>
      </c>
      <c r="Q3185">
        <v>41.25</v>
      </c>
      <c r="R3185">
        <v>41.28</v>
      </c>
      <c r="S3185">
        <v>1.31</v>
      </c>
      <c r="T3185">
        <v>0.76</v>
      </c>
      <c r="U3185">
        <v>-79.27</v>
      </c>
      <c r="V3185">
        <v>-566</v>
      </c>
      <c r="W3185">
        <v>41.07</v>
      </c>
      <c r="X3185">
        <v>5590</v>
      </c>
      <c r="Y3185">
        <v>6333</v>
      </c>
      <c r="Z3185">
        <v>0.88</v>
      </c>
      <c r="AA3185">
        <v>2</v>
      </c>
      <c r="AB3185">
        <v>33</v>
      </c>
      <c r="AC3185">
        <v>2.1</v>
      </c>
      <c r="AD3185" t="s">
        <v>2521</v>
      </c>
      <c r="AE3185" t="s">
        <v>16242</v>
      </c>
      <c r="AF3185" t="s">
        <v>16243</v>
      </c>
      <c r="AG3185" t="s">
        <v>13766</v>
      </c>
      <c r="AH3185">
        <v>0.39</v>
      </c>
      <c r="AI3185">
        <v>0.32</v>
      </c>
      <c r="AJ3185">
        <v>3.32</v>
      </c>
      <c r="AK3185">
        <v>5.74</v>
      </c>
      <c r="AL3185">
        <v>-1</v>
      </c>
      <c r="AM3185">
        <v>-0.39</v>
      </c>
      <c r="AN3185">
        <v>66.21</v>
      </c>
      <c r="AO3185">
        <v>5.19</v>
      </c>
      <c r="AP3185">
        <v>54.76</v>
      </c>
    </row>
    <row r="3186" spans="1:42">
      <c r="A3186">
        <v>3185</v>
      </c>
      <c r="B3186" t="str">
        <f>"603043"</f>
        <v>603043</v>
      </c>
      <c r="C3186" t="s">
        <v>16244</v>
      </c>
      <c r="D3186">
        <v>20.66</v>
      </c>
      <c r="E3186">
        <v>-0.48</v>
      </c>
      <c r="F3186">
        <v>-0.1</v>
      </c>
      <c r="G3186" t="s">
        <v>6419</v>
      </c>
      <c r="H3186">
        <v>159</v>
      </c>
      <c r="I3186">
        <v>20.65</v>
      </c>
      <c r="J3186">
        <v>20.66</v>
      </c>
      <c r="K3186" t="s">
        <v>16245</v>
      </c>
      <c r="L3186">
        <v>0.42</v>
      </c>
      <c r="M3186" t="s">
        <v>46</v>
      </c>
      <c r="N3186" t="s">
        <v>3031</v>
      </c>
      <c r="O3186">
        <v>20.86</v>
      </c>
      <c r="P3186">
        <v>20.5</v>
      </c>
      <c r="Q3186">
        <v>20.75</v>
      </c>
      <c r="R3186">
        <v>20.76</v>
      </c>
      <c r="S3186">
        <v>1.73</v>
      </c>
      <c r="T3186">
        <v>0.79</v>
      </c>
      <c r="U3186">
        <v>-52.03</v>
      </c>
      <c r="V3186">
        <v>-194</v>
      </c>
      <c r="W3186">
        <v>20.68</v>
      </c>
      <c r="X3186" t="s">
        <v>5183</v>
      </c>
      <c r="Y3186" t="s">
        <v>2074</v>
      </c>
      <c r="Z3186">
        <v>1.35</v>
      </c>
      <c r="AA3186">
        <v>10</v>
      </c>
      <c r="AB3186">
        <v>11</v>
      </c>
      <c r="AC3186">
        <v>3.28</v>
      </c>
      <c r="AD3186" t="s">
        <v>16246</v>
      </c>
      <c r="AE3186" t="s">
        <v>3699</v>
      </c>
      <c r="AF3186" t="s">
        <v>16246</v>
      </c>
      <c r="AG3186" t="s">
        <v>3699</v>
      </c>
      <c r="AH3186">
        <v>-0.15</v>
      </c>
      <c r="AI3186">
        <v>-1.24</v>
      </c>
      <c r="AJ3186">
        <v>1.23</v>
      </c>
      <c r="AK3186">
        <v>3.04</v>
      </c>
      <c r="AL3186">
        <v>-1</v>
      </c>
      <c r="AM3186">
        <v>-0.48</v>
      </c>
      <c r="AN3186">
        <v>-18.73</v>
      </c>
      <c r="AO3186">
        <v>-2.46</v>
      </c>
      <c r="AP3186">
        <v>-5.96</v>
      </c>
    </row>
    <row r="3187" spans="1:42">
      <c r="A3187">
        <v>3186</v>
      </c>
      <c r="B3187" t="str">
        <f>"002216"</f>
        <v>002216</v>
      </c>
      <c r="C3187" t="s">
        <v>16247</v>
      </c>
      <c r="D3187">
        <v>14.29</v>
      </c>
      <c r="E3187">
        <v>-0.69</v>
      </c>
      <c r="F3187">
        <v>-0.1</v>
      </c>
      <c r="G3187" t="s">
        <v>7058</v>
      </c>
      <c r="H3187">
        <v>840</v>
      </c>
      <c r="I3187">
        <v>14.28</v>
      </c>
      <c r="J3187">
        <v>14.29</v>
      </c>
      <c r="K3187" t="s">
        <v>16248</v>
      </c>
      <c r="L3187">
        <v>0.54</v>
      </c>
      <c r="M3187" t="s">
        <v>46</v>
      </c>
      <c r="N3187" t="s">
        <v>16249</v>
      </c>
      <c r="O3187">
        <v>14.53</v>
      </c>
      <c r="P3187">
        <v>14.19</v>
      </c>
      <c r="Q3187">
        <v>14.28</v>
      </c>
      <c r="R3187">
        <v>14.39</v>
      </c>
      <c r="S3187">
        <v>2.36</v>
      </c>
      <c r="T3187">
        <v>0.81</v>
      </c>
      <c r="U3187">
        <v>66.31</v>
      </c>
      <c r="V3187">
        <v>800</v>
      </c>
      <c r="W3187">
        <v>14.32</v>
      </c>
      <c r="X3187" t="s">
        <v>156</v>
      </c>
      <c r="Y3187" t="s">
        <v>383</v>
      </c>
      <c r="Z3187">
        <v>1.58</v>
      </c>
      <c r="AA3187">
        <v>129</v>
      </c>
      <c r="AB3187">
        <v>14</v>
      </c>
      <c r="AC3187">
        <v>3.04</v>
      </c>
      <c r="AD3187" t="s">
        <v>16250</v>
      </c>
      <c r="AE3187" t="s">
        <v>16251</v>
      </c>
      <c r="AF3187" t="s">
        <v>16252</v>
      </c>
      <c r="AG3187" t="s">
        <v>16253</v>
      </c>
      <c r="AH3187">
        <v>0.63</v>
      </c>
      <c r="AI3187">
        <v>0.21</v>
      </c>
      <c r="AJ3187">
        <v>1.54</v>
      </c>
      <c r="AK3187">
        <v>3.89</v>
      </c>
      <c r="AL3187">
        <v>-1</v>
      </c>
      <c r="AM3187">
        <v>-0.69</v>
      </c>
      <c r="AN3187">
        <v>-21.31</v>
      </c>
      <c r="AO3187">
        <v>-1.11</v>
      </c>
      <c r="AP3187">
        <v>-9.56</v>
      </c>
    </row>
    <row r="3188" spans="1:42">
      <c r="A3188">
        <v>3187</v>
      </c>
      <c r="B3188" t="str">
        <f>"000035"</f>
        <v>000035</v>
      </c>
      <c r="C3188" t="s">
        <v>16254</v>
      </c>
      <c r="D3188">
        <v>5.42</v>
      </c>
      <c r="E3188">
        <v>0.18</v>
      </c>
      <c r="F3188">
        <v>0.01</v>
      </c>
      <c r="G3188" t="s">
        <v>3275</v>
      </c>
      <c r="H3188">
        <v>714</v>
      </c>
      <c r="I3188">
        <v>5.41</v>
      </c>
      <c r="J3188">
        <v>5.42</v>
      </c>
      <c r="K3188" t="s">
        <v>16255</v>
      </c>
      <c r="L3188">
        <v>0.37</v>
      </c>
      <c r="M3188" t="s">
        <v>46</v>
      </c>
      <c r="N3188" t="s">
        <v>7786</v>
      </c>
      <c r="O3188">
        <v>5.45</v>
      </c>
      <c r="P3188">
        <v>5.39</v>
      </c>
      <c r="Q3188">
        <v>5.42</v>
      </c>
      <c r="R3188">
        <v>5.41</v>
      </c>
      <c r="S3188">
        <v>1.11</v>
      </c>
      <c r="T3188">
        <v>0.67</v>
      </c>
      <c r="U3188">
        <v>41.61</v>
      </c>
      <c r="V3188">
        <v>5386</v>
      </c>
      <c r="W3188">
        <v>5.42</v>
      </c>
      <c r="X3188" t="s">
        <v>2691</v>
      </c>
      <c r="Y3188" t="s">
        <v>7481</v>
      </c>
      <c r="Z3188">
        <v>0.71</v>
      </c>
      <c r="AA3188">
        <v>601</v>
      </c>
      <c r="AB3188">
        <v>364</v>
      </c>
      <c r="AC3188">
        <v>1.3</v>
      </c>
      <c r="AD3188" t="s">
        <v>16256</v>
      </c>
      <c r="AE3188" t="s">
        <v>5689</v>
      </c>
      <c r="AF3188" t="s">
        <v>3377</v>
      </c>
      <c r="AG3188" t="s">
        <v>3564</v>
      </c>
      <c r="AH3188">
        <v>-0.91</v>
      </c>
      <c r="AI3188">
        <v>-1.99</v>
      </c>
      <c r="AJ3188">
        <v>1.21</v>
      </c>
      <c r="AK3188">
        <v>3.1</v>
      </c>
      <c r="AL3188">
        <v>1</v>
      </c>
      <c r="AM3188">
        <v>0.18</v>
      </c>
      <c r="AN3188">
        <v>6.9</v>
      </c>
      <c r="AO3188">
        <v>-7.67</v>
      </c>
      <c r="AP3188">
        <v>6.27</v>
      </c>
    </row>
    <row r="3189" spans="1:42">
      <c r="A3189">
        <v>3188</v>
      </c>
      <c r="B3189" t="str">
        <f>"601106"</f>
        <v>601106</v>
      </c>
      <c r="C3189" t="s">
        <v>16257</v>
      </c>
      <c r="D3189">
        <v>2.94</v>
      </c>
      <c r="E3189">
        <v>1.38</v>
      </c>
      <c r="F3189">
        <v>0.04</v>
      </c>
      <c r="G3189" t="s">
        <v>1439</v>
      </c>
      <c r="H3189">
        <v>1969</v>
      </c>
      <c r="I3189">
        <v>2.94</v>
      </c>
      <c r="J3189">
        <v>2.95</v>
      </c>
      <c r="K3189" t="s">
        <v>16258</v>
      </c>
      <c r="L3189">
        <v>0.24</v>
      </c>
      <c r="M3189" t="s">
        <v>46</v>
      </c>
      <c r="N3189" t="s">
        <v>9375</v>
      </c>
      <c r="O3189">
        <v>2.95</v>
      </c>
      <c r="P3189">
        <v>2.9</v>
      </c>
      <c r="Q3189">
        <v>2.9</v>
      </c>
      <c r="R3189">
        <v>2.9</v>
      </c>
      <c r="S3189">
        <v>1.72</v>
      </c>
      <c r="T3189">
        <v>1.34</v>
      </c>
      <c r="U3189">
        <v>3.66</v>
      </c>
      <c r="V3189">
        <v>2434</v>
      </c>
      <c r="W3189">
        <v>2.93</v>
      </c>
      <c r="X3189" t="s">
        <v>5785</v>
      </c>
      <c r="Y3189" t="s">
        <v>1261</v>
      </c>
      <c r="Z3189">
        <v>0.34</v>
      </c>
      <c r="AA3189">
        <v>570</v>
      </c>
      <c r="AB3189" t="s">
        <v>6012</v>
      </c>
      <c r="AC3189">
        <v>1.71</v>
      </c>
      <c r="AD3189" t="s">
        <v>16259</v>
      </c>
      <c r="AE3189" t="s">
        <v>16260</v>
      </c>
      <c r="AF3189" t="s">
        <v>16259</v>
      </c>
      <c r="AG3189" t="s">
        <v>16260</v>
      </c>
      <c r="AH3189">
        <v>0</v>
      </c>
      <c r="AI3189">
        <v>-0.68</v>
      </c>
      <c r="AJ3189">
        <v>0.68</v>
      </c>
      <c r="AK3189">
        <v>1.15</v>
      </c>
      <c r="AL3189">
        <v>1</v>
      </c>
      <c r="AM3189">
        <v>1.38</v>
      </c>
      <c r="AN3189">
        <v>0.34</v>
      </c>
      <c r="AO3189">
        <v>1.38</v>
      </c>
      <c r="AP3189">
        <v>-3.61</v>
      </c>
    </row>
    <row r="3190" spans="1:42">
      <c r="A3190">
        <v>3189</v>
      </c>
      <c r="B3190" t="str">
        <f>"600525"</f>
        <v>600525</v>
      </c>
      <c r="C3190" t="s">
        <v>16261</v>
      </c>
      <c r="D3190">
        <v>5.51</v>
      </c>
      <c r="E3190">
        <v>1.1</v>
      </c>
      <c r="F3190">
        <v>0.06</v>
      </c>
      <c r="G3190" t="s">
        <v>8379</v>
      </c>
      <c r="H3190">
        <v>1443</v>
      </c>
      <c r="I3190">
        <v>5.51</v>
      </c>
      <c r="J3190">
        <v>5.52</v>
      </c>
      <c r="K3190" t="s">
        <v>16262</v>
      </c>
      <c r="L3190">
        <v>0.68</v>
      </c>
      <c r="M3190" t="s">
        <v>46</v>
      </c>
      <c r="N3190" t="s">
        <v>16263</v>
      </c>
      <c r="O3190">
        <v>5.52</v>
      </c>
      <c r="P3190">
        <v>5.41</v>
      </c>
      <c r="Q3190">
        <v>5.43</v>
      </c>
      <c r="R3190">
        <v>5.45</v>
      </c>
      <c r="S3190">
        <v>2.02</v>
      </c>
      <c r="T3190">
        <v>0.66</v>
      </c>
      <c r="U3190">
        <v>-24.68</v>
      </c>
      <c r="V3190">
        <v>-3037</v>
      </c>
      <c r="W3190">
        <v>5.47</v>
      </c>
      <c r="X3190" t="s">
        <v>3149</v>
      </c>
      <c r="Y3190" t="s">
        <v>7441</v>
      </c>
      <c r="Z3190">
        <v>0.85</v>
      </c>
      <c r="AA3190">
        <v>1225</v>
      </c>
      <c r="AB3190">
        <v>3548</v>
      </c>
      <c r="AC3190">
        <v>1.4</v>
      </c>
      <c r="AD3190" t="s">
        <v>13950</v>
      </c>
      <c r="AE3190" t="s">
        <v>16264</v>
      </c>
      <c r="AF3190" t="s">
        <v>10685</v>
      </c>
      <c r="AG3190" t="s">
        <v>16265</v>
      </c>
      <c r="AH3190">
        <v>-0.36</v>
      </c>
      <c r="AI3190">
        <v>0</v>
      </c>
      <c r="AJ3190">
        <v>2.42</v>
      </c>
      <c r="AK3190">
        <v>5.87</v>
      </c>
      <c r="AL3190">
        <v>1</v>
      </c>
      <c r="AM3190">
        <v>1.1</v>
      </c>
      <c r="AN3190">
        <v>17.74</v>
      </c>
      <c r="AO3190">
        <v>5.56</v>
      </c>
      <c r="AP3190">
        <v>9.54</v>
      </c>
    </row>
    <row r="3191" spans="1:42">
      <c r="A3191">
        <v>3190</v>
      </c>
      <c r="B3191" t="str">
        <f>"301505"</f>
        <v>301505</v>
      </c>
      <c r="C3191" t="s">
        <v>16266</v>
      </c>
      <c r="D3191">
        <v>40.26</v>
      </c>
      <c r="E3191">
        <v>1.23</v>
      </c>
      <c r="F3191">
        <v>0.49</v>
      </c>
      <c r="G3191" t="s">
        <v>1254</v>
      </c>
      <c r="H3191">
        <v>327</v>
      </c>
      <c r="I3191">
        <v>40.26</v>
      </c>
      <c r="J3191">
        <v>40.27</v>
      </c>
      <c r="K3191" t="s">
        <v>16267</v>
      </c>
      <c r="L3191">
        <v>6.19</v>
      </c>
      <c r="M3191" t="s">
        <v>46</v>
      </c>
      <c r="N3191" t="s">
        <v>6123</v>
      </c>
      <c r="O3191">
        <v>40.37</v>
      </c>
      <c r="P3191">
        <v>39.35</v>
      </c>
      <c r="Q3191">
        <v>39.91</v>
      </c>
      <c r="R3191">
        <v>39.77</v>
      </c>
      <c r="S3191">
        <v>2.56</v>
      </c>
      <c r="T3191">
        <v>0.8</v>
      </c>
      <c r="U3191">
        <v>55.39</v>
      </c>
      <c r="V3191">
        <v>298</v>
      </c>
      <c r="W3191">
        <v>40.05</v>
      </c>
      <c r="X3191">
        <v>6072</v>
      </c>
      <c r="Y3191">
        <v>6128</v>
      </c>
      <c r="Z3191">
        <v>0.99</v>
      </c>
      <c r="AA3191">
        <v>9</v>
      </c>
      <c r="AB3191">
        <v>16</v>
      </c>
      <c r="AC3191">
        <v>3.73</v>
      </c>
      <c r="AD3191" t="s">
        <v>10616</v>
      </c>
      <c r="AE3191" t="s">
        <v>11201</v>
      </c>
      <c r="AF3191" t="s">
        <v>16268</v>
      </c>
      <c r="AG3191" t="s">
        <v>16269</v>
      </c>
      <c r="AH3191">
        <v>-2.04</v>
      </c>
      <c r="AI3191">
        <v>-4.6</v>
      </c>
      <c r="AJ3191">
        <v>19.56</v>
      </c>
      <c r="AK3191">
        <v>45.12</v>
      </c>
      <c r="AL3191">
        <v>1</v>
      </c>
      <c r="AM3191">
        <v>1.23</v>
      </c>
      <c r="AN3191">
        <v>55.14</v>
      </c>
      <c r="AO3191">
        <v>0.35</v>
      </c>
      <c r="AP3191">
        <v>55.14</v>
      </c>
    </row>
    <row r="3192" spans="1:42">
      <c r="A3192">
        <v>3191</v>
      </c>
      <c r="B3192" t="str">
        <f>"002998"</f>
        <v>002998</v>
      </c>
      <c r="C3192" t="s">
        <v>16270</v>
      </c>
      <c r="D3192">
        <v>8.21</v>
      </c>
      <c r="E3192">
        <v>-1.2</v>
      </c>
      <c r="F3192">
        <v>-0.1</v>
      </c>
      <c r="G3192" t="s">
        <v>4900</v>
      </c>
      <c r="H3192">
        <v>1035</v>
      </c>
      <c r="I3192">
        <v>8.21</v>
      </c>
      <c r="J3192">
        <v>8.22</v>
      </c>
      <c r="K3192" t="s">
        <v>16271</v>
      </c>
      <c r="L3192">
        <v>3.88</v>
      </c>
      <c r="M3192" t="s">
        <v>46</v>
      </c>
      <c r="N3192" t="s">
        <v>5340</v>
      </c>
      <c r="O3192">
        <v>8.4</v>
      </c>
      <c r="P3192">
        <v>8.2</v>
      </c>
      <c r="Q3192">
        <v>8.31</v>
      </c>
      <c r="R3192">
        <v>8.31</v>
      </c>
      <c r="S3192">
        <v>2.41</v>
      </c>
      <c r="T3192">
        <v>1.42</v>
      </c>
      <c r="U3192">
        <v>-20.82</v>
      </c>
      <c r="V3192">
        <v>-832</v>
      </c>
      <c r="W3192">
        <v>8.29</v>
      </c>
      <c r="X3192" t="s">
        <v>8329</v>
      </c>
      <c r="Y3192" t="s">
        <v>914</v>
      </c>
      <c r="Z3192">
        <v>1.21</v>
      </c>
      <c r="AA3192">
        <v>100</v>
      </c>
      <c r="AB3192">
        <v>367</v>
      </c>
      <c r="AC3192">
        <v>1.66</v>
      </c>
      <c r="AD3192" t="s">
        <v>3450</v>
      </c>
      <c r="AE3192" t="s">
        <v>10894</v>
      </c>
      <c r="AF3192" t="s">
        <v>11942</v>
      </c>
      <c r="AG3192" t="s">
        <v>15957</v>
      </c>
      <c r="AH3192">
        <v>-3.41</v>
      </c>
      <c r="AI3192">
        <v>-4.09</v>
      </c>
      <c r="AJ3192">
        <v>10.29</v>
      </c>
      <c r="AK3192">
        <v>17.53</v>
      </c>
      <c r="AL3192">
        <v>-3</v>
      </c>
      <c r="AM3192">
        <v>-1.2</v>
      </c>
      <c r="AN3192">
        <v>28.08</v>
      </c>
      <c r="AO3192">
        <v>1.36</v>
      </c>
      <c r="AP3192">
        <v>18.13</v>
      </c>
    </row>
    <row r="3193" spans="1:42">
      <c r="A3193">
        <v>3192</v>
      </c>
      <c r="B3193" t="str">
        <f>"603063"</f>
        <v>603063</v>
      </c>
      <c r="C3193" t="s">
        <v>16272</v>
      </c>
      <c r="D3193">
        <v>23.32</v>
      </c>
      <c r="E3193">
        <v>-0.64</v>
      </c>
      <c r="F3193">
        <v>-0.15</v>
      </c>
      <c r="G3193" t="s">
        <v>5592</v>
      </c>
      <c r="H3193">
        <v>169</v>
      </c>
      <c r="I3193">
        <v>23.32</v>
      </c>
      <c r="J3193">
        <v>23.33</v>
      </c>
      <c r="K3193" t="s">
        <v>9738</v>
      </c>
      <c r="L3193">
        <v>0.47</v>
      </c>
      <c r="M3193" t="s">
        <v>46</v>
      </c>
      <c r="N3193" t="s">
        <v>3661</v>
      </c>
      <c r="O3193">
        <v>23.6</v>
      </c>
      <c r="P3193">
        <v>23.12</v>
      </c>
      <c r="Q3193">
        <v>23.49</v>
      </c>
      <c r="R3193">
        <v>23.47</v>
      </c>
      <c r="S3193">
        <v>2.05</v>
      </c>
      <c r="T3193">
        <v>0.91</v>
      </c>
      <c r="U3193">
        <v>-6.57</v>
      </c>
      <c r="V3193">
        <v>-18</v>
      </c>
      <c r="W3193">
        <v>23.3</v>
      </c>
      <c r="X3193" t="s">
        <v>4959</v>
      </c>
      <c r="Y3193">
        <v>9625</v>
      </c>
      <c r="Z3193">
        <v>1.18</v>
      </c>
      <c r="AA3193">
        <v>43</v>
      </c>
      <c r="AB3193">
        <v>3</v>
      </c>
      <c r="AC3193">
        <v>2.69</v>
      </c>
      <c r="AD3193" t="s">
        <v>16273</v>
      </c>
      <c r="AE3193" t="s">
        <v>2729</v>
      </c>
      <c r="AF3193" t="s">
        <v>16273</v>
      </c>
      <c r="AG3193" t="s">
        <v>2729</v>
      </c>
      <c r="AH3193">
        <v>-2.39</v>
      </c>
      <c r="AI3193">
        <v>-1.81</v>
      </c>
      <c r="AJ3193">
        <v>1.49</v>
      </c>
      <c r="AK3193">
        <v>3.07</v>
      </c>
      <c r="AL3193">
        <v>-3</v>
      </c>
      <c r="AM3193">
        <v>-0.64</v>
      </c>
      <c r="AN3193">
        <v>-16.18</v>
      </c>
      <c r="AO3193">
        <v>-4.07</v>
      </c>
      <c r="AP3193">
        <v>-18.06</v>
      </c>
    </row>
    <row r="3194" spans="1:42">
      <c r="A3194">
        <v>3193</v>
      </c>
      <c r="B3194" t="str">
        <f>"832278"</f>
        <v>832278</v>
      </c>
      <c r="C3194" t="s">
        <v>16274</v>
      </c>
      <c r="D3194">
        <v>7.37</v>
      </c>
      <c r="E3194">
        <v>-9.12</v>
      </c>
      <c r="F3194">
        <v>-0.74</v>
      </c>
      <c r="G3194" t="s">
        <v>10064</v>
      </c>
      <c r="H3194">
        <v>727</v>
      </c>
      <c r="I3194">
        <v>7.37</v>
      </c>
      <c r="J3194">
        <v>7.38</v>
      </c>
      <c r="K3194" t="s">
        <v>16275</v>
      </c>
      <c r="L3194">
        <v>8.7</v>
      </c>
      <c r="M3194" t="s">
        <v>46</v>
      </c>
      <c r="N3194" t="s">
        <v>4655</v>
      </c>
      <c r="O3194">
        <v>8.18</v>
      </c>
      <c r="P3194">
        <v>7.32</v>
      </c>
      <c r="Q3194">
        <v>8.05</v>
      </c>
      <c r="R3194">
        <v>8.11</v>
      </c>
      <c r="S3194">
        <v>10.6</v>
      </c>
      <c r="T3194">
        <v>0.44</v>
      </c>
      <c r="U3194">
        <v>51.33</v>
      </c>
      <c r="V3194">
        <v>516</v>
      </c>
      <c r="W3194">
        <v>7.69</v>
      </c>
      <c r="X3194" t="s">
        <v>5706</v>
      </c>
      <c r="Y3194" t="s">
        <v>299</v>
      </c>
      <c r="Z3194">
        <v>1.64</v>
      </c>
      <c r="AA3194">
        <v>259</v>
      </c>
      <c r="AB3194">
        <v>64</v>
      </c>
      <c r="AC3194">
        <v>3.38</v>
      </c>
      <c r="AD3194" t="s">
        <v>12987</v>
      </c>
      <c r="AE3194" t="s">
        <v>750</v>
      </c>
      <c r="AF3194" t="s">
        <v>13206</v>
      </c>
      <c r="AG3194" t="s">
        <v>16276</v>
      </c>
      <c r="AH3194">
        <v>-19.1</v>
      </c>
      <c r="AI3194">
        <v>19.84</v>
      </c>
      <c r="AJ3194">
        <v>35.21</v>
      </c>
      <c r="AK3194">
        <v>106.58</v>
      </c>
      <c r="AL3194">
        <v>-1</v>
      </c>
      <c r="AM3194">
        <v>-9.12</v>
      </c>
      <c r="AN3194">
        <v>34</v>
      </c>
      <c r="AO3194">
        <v>52.9</v>
      </c>
      <c r="AP3194">
        <v>19.45</v>
      </c>
    </row>
    <row r="3195" spans="1:42">
      <c r="A3195">
        <v>3194</v>
      </c>
      <c r="B3195" t="str">
        <f>"870204"</f>
        <v>870204</v>
      </c>
      <c r="C3195" t="s">
        <v>16277</v>
      </c>
      <c r="D3195">
        <v>10.48</v>
      </c>
      <c r="E3195">
        <v>-6.43</v>
      </c>
      <c r="F3195">
        <v>-0.72</v>
      </c>
      <c r="G3195" t="s">
        <v>4358</v>
      </c>
      <c r="H3195">
        <v>675</v>
      </c>
      <c r="I3195">
        <v>10.47</v>
      </c>
      <c r="J3195">
        <v>10.48</v>
      </c>
      <c r="K3195" t="s">
        <v>16275</v>
      </c>
      <c r="L3195">
        <v>11.54</v>
      </c>
      <c r="M3195" t="s">
        <v>46</v>
      </c>
      <c r="N3195" t="s">
        <v>6946</v>
      </c>
      <c r="O3195">
        <v>11.8</v>
      </c>
      <c r="P3195">
        <v>10.23</v>
      </c>
      <c r="Q3195">
        <v>11.42</v>
      </c>
      <c r="R3195">
        <v>11.2</v>
      </c>
      <c r="S3195">
        <v>14.02</v>
      </c>
      <c r="T3195">
        <v>0.42</v>
      </c>
      <c r="U3195">
        <v>22.54</v>
      </c>
      <c r="V3195">
        <v>185</v>
      </c>
      <c r="W3195">
        <v>11.02</v>
      </c>
      <c r="X3195" t="s">
        <v>6954</v>
      </c>
      <c r="Y3195" t="s">
        <v>2723</v>
      </c>
      <c r="Z3195">
        <v>1.38</v>
      </c>
      <c r="AA3195">
        <v>250</v>
      </c>
      <c r="AB3195">
        <v>125</v>
      </c>
      <c r="AC3195">
        <v>1.68</v>
      </c>
      <c r="AD3195" t="s">
        <v>13262</v>
      </c>
      <c r="AE3195" t="s">
        <v>16278</v>
      </c>
      <c r="AF3195" t="s">
        <v>16279</v>
      </c>
      <c r="AG3195" t="s">
        <v>5090</v>
      </c>
      <c r="AH3195">
        <v>-25.09</v>
      </c>
      <c r="AI3195">
        <v>15.8</v>
      </c>
      <c r="AJ3195">
        <v>52.95</v>
      </c>
      <c r="AK3195">
        <v>147.86</v>
      </c>
      <c r="AL3195">
        <v>-4</v>
      </c>
      <c r="AM3195">
        <v>-6.43</v>
      </c>
      <c r="AN3195">
        <v>85.16</v>
      </c>
      <c r="AO3195">
        <v>66.88</v>
      </c>
      <c r="AP3195">
        <v>56.65</v>
      </c>
    </row>
    <row r="3196" spans="1:42">
      <c r="A3196">
        <v>3195</v>
      </c>
      <c r="B3196" t="str">
        <f>"688302"</f>
        <v>688302</v>
      </c>
      <c r="C3196" t="s">
        <v>16280</v>
      </c>
      <c r="D3196">
        <v>48.77</v>
      </c>
      <c r="E3196">
        <v>0.83</v>
      </c>
      <c r="F3196">
        <v>0.4</v>
      </c>
      <c r="G3196" t="s">
        <v>2074</v>
      </c>
      <c r="H3196">
        <v>46</v>
      </c>
      <c r="I3196">
        <v>48.77</v>
      </c>
      <c r="J3196">
        <v>48.78</v>
      </c>
      <c r="K3196" t="s">
        <v>16281</v>
      </c>
      <c r="L3196">
        <v>1.41</v>
      </c>
      <c r="M3196" t="s">
        <v>46</v>
      </c>
      <c r="N3196">
        <v>0</v>
      </c>
      <c r="O3196">
        <v>49</v>
      </c>
      <c r="P3196">
        <v>47.3</v>
      </c>
      <c r="Q3196">
        <v>47.88</v>
      </c>
      <c r="R3196">
        <v>48.37</v>
      </c>
      <c r="S3196">
        <v>3.51</v>
      </c>
      <c r="T3196">
        <v>0.9</v>
      </c>
      <c r="U3196">
        <v>2.29</v>
      </c>
      <c r="V3196">
        <v>2</v>
      </c>
      <c r="W3196">
        <v>48.19</v>
      </c>
      <c r="X3196">
        <v>4478</v>
      </c>
      <c r="Y3196">
        <v>5646</v>
      </c>
      <c r="Z3196">
        <v>0.79</v>
      </c>
      <c r="AA3196">
        <v>22</v>
      </c>
      <c r="AB3196">
        <v>6</v>
      </c>
      <c r="AC3196">
        <v>3.44</v>
      </c>
      <c r="AD3196" t="s">
        <v>16282</v>
      </c>
      <c r="AE3196" t="s">
        <v>15383</v>
      </c>
      <c r="AF3196" t="s">
        <v>13347</v>
      </c>
      <c r="AG3196" t="s">
        <v>16283</v>
      </c>
      <c r="AH3196">
        <v>4.63</v>
      </c>
      <c r="AI3196">
        <v>6.04</v>
      </c>
      <c r="AJ3196">
        <v>4.92</v>
      </c>
      <c r="AK3196">
        <v>9.26</v>
      </c>
      <c r="AL3196">
        <v>4</v>
      </c>
      <c r="AM3196">
        <v>0.83</v>
      </c>
      <c r="AN3196">
        <v>20.96</v>
      </c>
      <c r="AO3196">
        <v>10.14</v>
      </c>
      <c r="AP3196">
        <v>2.35</v>
      </c>
    </row>
    <row r="3197" spans="1:42">
      <c r="A3197">
        <v>3196</v>
      </c>
      <c r="B3197" t="str">
        <f>"300942"</f>
        <v>300942</v>
      </c>
      <c r="C3197" t="s">
        <v>16284</v>
      </c>
      <c r="D3197">
        <v>13.1</v>
      </c>
      <c r="E3197">
        <v>1.31</v>
      </c>
      <c r="F3197">
        <v>0.17</v>
      </c>
      <c r="G3197" t="s">
        <v>3210</v>
      </c>
      <c r="H3197">
        <v>365</v>
      </c>
      <c r="I3197">
        <v>13.09</v>
      </c>
      <c r="J3197">
        <v>13.1</v>
      </c>
      <c r="K3197" t="s">
        <v>16285</v>
      </c>
      <c r="L3197">
        <v>3.43</v>
      </c>
      <c r="M3197" t="s">
        <v>46</v>
      </c>
      <c r="N3197" t="s">
        <v>3234</v>
      </c>
      <c r="O3197">
        <v>13.17</v>
      </c>
      <c r="P3197">
        <v>12.84</v>
      </c>
      <c r="Q3197">
        <v>12.94</v>
      </c>
      <c r="R3197">
        <v>12.93</v>
      </c>
      <c r="S3197">
        <v>2.55</v>
      </c>
      <c r="T3197">
        <v>0.77</v>
      </c>
      <c r="U3197">
        <v>-16.51</v>
      </c>
      <c r="V3197">
        <v>-362</v>
      </c>
      <c r="W3197">
        <v>13.02</v>
      </c>
      <c r="X3197" t="s">
        <v>390</v>
      </c>
      <c r="Y3197" t="s">
        <v>6580</v>
      </c>
      <c r="Z3197">
        <v>0.8</v>
      </c>
      <c r="AA3197">
        <v>330</v>
      </c>
      <c r="AB3197">
        <v>397</v>
      </c>
      <c r="AC3197">
        <v>6.06</v>
      </c>
      <c r="AD3197" t="s">
        <v>6781</v>
      </c>
      <c r="AE3197" t="s">
        <v>9284</v>
      </c>
      <c r="AF3197" t="s">
        <v>10779</v>
      </c>
      <c r="AG3197" t="s">
        <v>9653</v>
      </c>
      <c r="AH3197">
        <v>0.77</v>
      </c>
      <c r="AI3197">
        <v>-0.08</v>
      </c>
      <c r="AJ3197">
        <v>10.13</v>
      </c>
      <c r="AK3197">
        <v>25.63</v>
      </c>
      <c r="AL3197">
        <v>2</v>
      </c>
      <c r="AM3197">
        <v>1.31</v>
      </c>
      <c r="AN3197">
        <v>-23.48</v>
      </c>
      <c r="AO3197">
        <v>5.65</v>
      </c>
      <c r="AP3197">
        <v>-33.43</v>
      </c>
    </row>
    <row r="3198" spans="1:42">
      <c r="A3198">
        <v>3197</v>
      </c>
      <c r="B3198" t="str">
        <f>"688306"</f>
        <v>688306</v>
      </c>
      <c r="C3198" t="s">
        <v>16286</v>
      </c>
      <c r="D3198">
        <v>5.77</v>
      </c>
      <c r="E3198">
        <v>-0.17</v>
      </c>
      <c r="F3198">
        <v>-0.01</v>
      </c>
      <c r="G3198" t="s">
        <v>3710</v>
      </c>
      <c r="H3198">
        <v>457</v>
      </c>
      <c r="I3198">
        <v>5.76</v>
      </c>
      <c r="J3198">
        <v>5.77</v>
      </c>
      <c r="K3198" t="s">
        <v>16287</v>
      </c>
      <c r="L3198">
        <v>1.86</v>
      </c>
      <c r="M3198" t="s">
        <v>46</v>
      </c>
      <c r="N3198" t="s">
        <v>3590</v>
      </c>
      <c r="O3198">
        <v>5.81</v>
      </c>
      <c r="P3198">
        <v>5.67</v>
      </c>
      <c r="Q3198">
        <v>5.77</v>
      </c>
      <c r="R3198">
        <v>5.78</v>
      </c>
      <c r="S3198">
        <v>2.42</v>
      </c>
      <c r="T3198">
        <v>0.66</v>
      </c>
      <c r="U3198">
        <v>22.72</v>
      </c>
      <c r="V3198">
        <v>1009</v>
      </c>
      <c r="W3198">
        <v>5.76</v>
      </c>
      <c r="X3198" t="s">
        <v>9332</v>
      </c>
      <c r="Y3198" t="s">
        <v>6365</v>
      </c>
      <c r="Z3198">
        <v>1.53</v>
      </c>
      <c r="AA3198">
        <v>330</v>
      </c>
      <c r="AB3198">
        <v>82</v>
      </c>
      <c r="AC3198">
        <v>3.7</v>
      </c>
      <c r="AD3198" t="s">
        <v>813</v>
      </c>
      <c r="AE3198" t="s">
        <v>16288</v>
      </c>
      <c r="AF3198" t="s">
        <v>16289</v>
      </c>
      <c r="AG3198" t="s">
        <v>14952</v>
      </c>
      <c r="AH3198">
        <v>-3.51</v>
      </c>
      <c r="AI3198">
        <v>0.7</v>
      </c>
      <c r="AJ3198">
        <v>6.91</v>
      </c>
      <c r="AK3198">
        <v>15.91</v>
      </c>
      <c r="AL3198">
        <v>-3</v>
      </c>
      <c r="AM3198">
        <v>-0.17</v>
      </c>
      <c r="AN3198">
        <v>21.47</v>
      </c>
      <c r="AO3198">
        <v>9.07</v>
      </c>
      <c r="AP3198">
        <v>9.07</v>
      </c>
    </row>
    <row r="3199" spans="1:42">
      <c r="A3199">
        <v>3198</v>
      </c>
      <c r="B3199" t="str">
        <f>"002337"</f>
        <v>002337</v>
      </c>
      <c r="C3199" t="s">
        <v>16290</v>
      </c>
      <c r="D3199">
        <v>5.95</v>
      </c>
      <c r="E3199">
        <v>-0.34</v>
      </c>
      <c r="F3199">
        <v>-0.02</v>
      </c>
      <c r="G3199" t="s">
        <v>4670</v>
      </c>
      <c r="H3199">
        <v>745</v>
      </c>
      <c r="I3199">
        <v>5.94</v>
      </c>
      <c r="J3199">
        <v>5.95</v>
      </c>
      <c r="K3199" t="s">
        <v>16291</v>
      </c>
      <c r="L3199">
        <v>1.4</v>
      </c>
      <c r="M3199" t="s">
        <v>46</v>
      </c>
      <c r="N3199" t="s">
        <v>3173</v>
      </c>
      <c r="O3199">
        <v>5.98</v>
      </c>
      <c r="P3199">
        <v>5.88</v>
      </c>
      <c r="Q3199">
        <v>5.95</v>
      </c>
      <c r="R3199">
        <v>5.97</v>
      </c>
      <c r="S3199">
        <v>1.68</v>
      </c>
      <c r="T3199">
        <v>0.81</v>
      </c>
      <c r="U3199">
        <v>14.96</v>
      </c>
      <c r="V3199">
        <v>1406</v>
      </c>
      <c r="W3199">
        <v>5.93</v>
      </c>
      <c r="X3199" t="s">
        <v>320</v>
      </c>
      <c r="Y3199" t="s">
        <v>1566</v>
      </c>
      <c r="Z3199">
        <v>1.16</v>
      </c>
      <c r="AA3199">
        <v>1518</v>
      </c>
      <c r="AB3199">
        <v>169</v>
      </c>
      <c r="AC3199">
        <v>2.84</v>
      </c>
      <c r="AD3199" t="s">
        <v>16292</v>
      </c>
      <c r="AE3199" t="s">
        <v>16293</v>
      </c>
      <c r="AF3199" t="s">
        <v>16294</v>
      </c>
      <c r="AG3199" t="s">
        <v>11952</v>
      </c>
      <c r="AH3199">
        <v>-1.82</v>
      </c>
      <c r="AI3199">
        <v>-1.82</v>
      </c>
      <c r="AJ3199">
        <v>4.4</v>
      </c>
      <c r="AK3199">
        <v>10.07</v>
      </c>
      <c r="AL3199">
        <v>-3</v>
      </c>
      <c r="AM3199">
        <v>-0.34</v>
      </c>
      <c r="AN3199">
        <v>33.11</v>
      </c>
      <c r="AO3199">
        <v>-2.94</v>
      </c>
      <c r="AP3199">
        <v>19</v>
      </c>
    </row>
    <row r="3200" spans="1:42">
      <c r="A3200">
        <v>3199</v>
      </c>
      <c r="B3200" t="str">
        <f>"688073"</f>
        <v>688073</v>
      </c>
      <c r="C3200" t="s">
        <v>16295</v>
      </c>
      <c r="D3200">
        <v>61.46</v>
      </c>
      <c r="E3200">
        <v>-1.32</v>
      </c>
      <c r="F3200">
        <v>-0.82</v>
      </c>
      <c r="G3200">
        <v>7946</v>
      </c>
      <c r="H3200">
        <v>13</v>
      </c>
      <c r="I3200">
        <v>61.46</v>
      </c>
      <c r="J3200">
        <v>61.49</v>
      </c>
      <c r="K3200" t="s">
        <v>16291</v>
      </c>
      <c r="L3200">
        <v>2.14</v>
      </c>
      <c r="M3200" t="s">
        <v>46</v>
      </c>
      <c r="N3200" t="s">
        <v>1661</v>
      </c>
      <c r="O3200">
        <v>62.74</v>
      </c>
      <c r="P3200">
        <v>60.52</v>
      </c>
      <c r="Q3200">
        <v>62.3</v>
      </c>
      <c r="R3200">
        <v>62.28</v>
      </c>
      <c r="S3200">
        <v>3.56</v>
      </c>
      <c r="T3200">
        <v>0.86</v>
      </c>
      <c r="U3200">
        <v>32.52</v>
      </c>
      <c r="V3200">
        <v>56</v>
      </c>
      <c r="W3200">
        <v>61.36</v>
      </c>
      <c r="X3200">
        <v>4913</v>
      </c>
      <c r="Y3200">
        <v>3033</v>
      </c>
      <c r="Z3200">
        <v>1.62</v>
      </c>
      <c r="AA3200">
        <v>61</v>
      </c>
      <c r="AB3200">
        <v>10</v>
      </c>
      <c r="AC3200">
        <v>2.68</v>
      </c>
      <c r="AD3200" t="s">
        <v>16296</v>
      </c>
      <c r="AE3200" t="s">
        <v>14920</v>
      </c>
      <c r="AF3200" t="s">
        <v>16297</v>
      </c>
      <c r="AG3200" t="s">
        <v>7265</v>
      </c>
      <c r="AH3200">
        <v>-1.85</v>
      </c>
      <c r="AI3200">
        <v>-2.26</v>
      </c>
      <c r="AJ3200">
        <v>6.64</v>
      </c>
      <c r="AK3200">
        <v>14.58</v>
      </c>
      <c r="AL3200">
        <v>-3</v>
      </c>
      <c r="AM3200">
        <v>-1.32</v>
      </c>
      <c r="AN3200">
        <v>6.74</v>
      </c>
      <c r="AO3200">
        <v>-1.55</v>
      </c>
      <c r="AP3200">
        <v>-3.88</v>
      </c>
    </row>
    <row r="3201" spans="1:42">
      <c r="A3201">
        <v>3200</v>
      </c>
      <c r="B3201" t="str">
        <f>"000885"</f>
        <v>000885</v>
      </c>
      <c r="C3201" t="s">
        <v>16298</v>
      </c>
      <c r="D3201">
        <v>11.08</v>
      </c>
      <c r="E3201">
        <v>0.54</v>
      </c>
      <c r="F3201">
        <v>0.06</v>
      </c>
      <c r="G3201" t="s">
        <v>3103</v>
      </c>
      <c r="H3201">
        <v>370</v>
      </c>
      <c r="I3201">
        <v>11.08</v>
      </c>
      <c r="J3201">
        <v>11.09</v>
      </c>
      <c r="K3201" t="s">
        <v>16299</v>
      </c>
      <c r="L3201">
        <v>0.68</v>
      </c>
      <c r="M3201" t="s">
        <v>46</v>
      </c>
      <c r="N3201" t="s">
        <v>9112</v>
      </c>
      <c r="O3201">
        <v>11.16</v>
      </c>
      <c r="P3201">
        <v>11</v>
      </c>
      <c r="Q3201">
        <v>11.04</v>
      </c>
      <c r="R3201">
        <v>11.02</v>
      </c>
      <c r="S3201">
        <v>1.45</v>
      </c>
      <c r="T3201">
        <v>1.18</v>
      </c>
      <c r="U3201">
        <v>13.05</v>
      </c>
      <c r="V3201">
        <v>422</v>
      </c>
      <c r="W3201">
        <v>11.1</v>
      </c>
      <c r="X3201" t="s">
        <v>1590</v>
      </c>
      <c r="Y3201" t="s">
        <v>299</v>
      </c>
      <c r="Z3201">
        <v>0.83</v>
      </c>
      <c r="AA3201">
        <v>48</v>
      </c>
      <c r="AB3201">
        <v>304</v>
      </c>
      <c r="AC3201">
        <v>0.97</v>
      </c>
      <c r="AD3201" t="s">
        <v>16300</v>
      </c>
      <c r="AE3201" t="s">
        <v>16301</v>
      </c>
      <c r="AF3201" t="s">
        <v>16300</v>
      </c>
      <c r="AG3201" t="s">
        <v>16301</v>
      </c>
      <c r="AH3201">
        <v>0</v>
      </c>
      <c r="AI3201">
        <v>-0.45</v>
      </c>
      <c r="AJ3201">
        <v>1.93</v>
      </c>
      <c r="AK3201">
        <v>3.58</v>
      </c>
      <c r="AL3201">
        <v>2</v>
      </c>
      <c r="AM3201">
        <v>0.54</v>
      </c>
      <c r="AN3201">
        <v>19.01</v>
      </c>
      <c r="AO3201">
        <v>2.12</v>
      </c>
      <c r="AP3201">
        <v>10.69</v>
      </c>
    </row>
    <row r="3202" spans="1:42">
      <c r="A3202">
        <v>3201</v>
      </c>
      <c r="B3202" t="str">
        <f>"688639"</f>
        <v>688639</v>
      </c>
      <c r="C3202" t="s">
        <v>16302</v>
      </c>
      <c r="D3202">
        <v>112.9</v>
      </c>
      <c r="E3202">
        <v>0.7</v>
      </c>
      <c r="F3202">
        <v>0.78</v>
      </c>
      <c r="G3202">
        <v>4318</v>
      </c>
      <c r="H3202">
        <v>34</v>
      </c>
      <c r="I3202">
        <v>112.49</v>
      </c>
      <c r="J3202">
        <v>112.9</v>
      </c>
      <c r="K3202" t="s">
        <v>16299</v>
      </c>
      <c r="L3202">
        <v>0.42</v>
      </c>
      <c r="M3202" t="s">
        <v>46</v>
      </c>
      <c r="N3202" t="s">
        <v>2113</v>
      </c>
      <c r="O3202">
        <v>114.15</v>
      </c>
      <c r="P3202">
        <v>110.63</v>
      </c>
      <c r="Q3202">
        <v>111.11</v>
      </c>
      <c r="R3202">
        <v>112.12</v>
      </c>
      <c r="S3202">
        <v>3.14</v>
      </c>
      <c r="T3202">
        <v>0.99</v>
      </c>
      <c r="U3202">
        <v>-34.51</v>
      </c>
      <c r="V3202">
        <v>-35</v>
      </c>
      <c r="W3202">
        <v>112.88</v>
      </c>
      <c r="X3202">
        <v>1858</v>
      </c>
      <c r="Y3202">
        <v>2460</v>
      </c>
      <c r="Z3202">
        <v>0.76</v>
      </c>
      <c r="AA3202">
        <v>2</v>
      </c>
      <c r="AB3202">
        <v>1</v>
      </c>
      <c r="AC3202">
        <v>10.46</v>
      </c>
      <c r="AD3202" t="s">
        <v>16243</v>
      </c>
      <c r="AE3202" t="s">
        <v>16303</v>
      </c>
      <c r="AF3202" t="s">
        <v>10452</v>
      </c>
      <c r="AG3202" t="s">
        <v>6040</v>
      </c>
      <c r="AH3202">
        <v>-0.27</v>
      </c>
      <c r="AI3202">
        <v>-0.54</v>
      </c>
      <c r="AJ3202">
        <v>1.44</v>
      </c>
      <c r="AK3202">
        <v>2.56</v>
      </c>
      <c r="AL3202">
        <v>1</v>
      </c>
      <c r="AM3202">
        <v>0.7</v>
      </c>
      <c r="AN3202">
        <v>6.06</v>
      </c>
      <c r="AO3202">
        <v>10.34</v>
      </c>
      <c r="AP3202">
        <v>4.67</v>
      </c>
    </row>
    <row r="3203" spans="1:42">
      <c r="A3203">
        <v>3202</v>
      </c>
      <c r="B3203" t="str">
        <f>"001896"</f>
        <v>001896</v>
      </c>
      <c r="C3203" t="s">
        <v>16304</v>
      </c>
      <c r="D3203">
        <v>4.52</v>
      </c>
      <c r="E3203">
        <v>0.89</v>
      </c>
      <c r="F3203">
        <v>0.04</v>
      </c>
      <c r="G3203" t="s">
        <v>2402</v>
      </c>
      <c r="H3203">
        <v>2751</v>
      </c>
      <c r="I3203">
        <v>4.52</v>
      </c>
      <c r="J3203">
        <v>4.53</v>
      </c>
      <c r="K3203" t="s">
        <v>16305</v>
      </c>
      <c r="L3203">
        <v>0.82</v>
      </c>
      <c r="M3203" t="s">
        <v>46</v>
      </c>
      <c r="N3203" t="s">
        <v>16306</v>
      </c>
      <c r="O3203">
        <v>4.54</v>
      </c>
      <c r="P3203">
        <v>4.47</v>
      </c>
      <c r="Q3203">
        <v>4.49</v>
      </c>
      <c r="R3203">
        <v>4.48</v>
      </c>
      <c r="S3203">
        <v>1.56</v>
      </c>
      <c r="T3203">
        <v>0.9</v>
      </c>
      <c r="U3203">
        <v>1.46</v>
      </c>
      <c r="V3203">
        <v>300</v>
      </c>
      <c r="W3203">
        <v>4.51</v>
      </c>
      <c r="X3203" t="s">
        <v>6349</v>
      </c>
      <c r="Y3203" t="s">
        <v>14220</v>
      </c>
      <c r="Z3203">
        <v>0.98</v>
      </c>
      <c r="AA3203">
        <v>148</v>
      </c>
      <c r="AB3203">
        <v>2167</v>
      </c>
      <c r="AC3203">
        <v>2.16</v>
      </c>
      <c r="AD3203" t="s">
        <v>8949</v>
      </c>
      <c r="AE3203" t="s">
        <v>16307</v>
      </c>
      <c r="AF3203" t="s">
        <v>12497</v>
      </c>
      <c r="AG3203" t="s">
        <v>15734</v>
      </c>
      <c r="AH3203">
        <v>-0.44</v>
      </c>
      <c r="AI3203">
        <v>-1.31</v>
      </c>
      <c r="AJ3203">
        <v>2.29</v>
      </c>
      <c r="AK3203">
        <v>5.38</v>
      </c>
      <c r="AL3203">
        <v>1</v>
      </c>
      <c r="AM3203">
        <v>0.89</v>
      </c>
      <c r="AN3203">
        <v>-14.07</v>
      </c>
      <c r="AO3203">
        <v>-5.24</v>
      </c>
      <c r="AP3203">
        <v>-17.82</v>
      </c>
    </row>
    <row r="3204" spans="1:42">
      <c r="A3204">
        <v>3203</v>
      </c>
      <c r="B3204" t="str">
        <f>"600735"</f>
        <v>600735</v>
      </c>
      <c r="C3204" t="s">
        <v>16308</v>
      </c>
      <c r="D3204">
        <v>6.76</v>
      </c>
      <c r="E3204">
        <v>1.2</v>
      </c>
      <c r="F3204">
        <v>0.08</v>
      </c>
      <c r="G3204" t="s">
        <v>3224</v>
      </c>
      <c r="H3204">
        <v>501</v>
      </c>
      <c r="I3204">
        <v>6.76</v>
      </c>
      <c r="J3204">
        <v>6.77</v>
      </c>
      <c r="K3204" t="s">
        <v>16309</v>
      </c>
      <c r="L3204">
        <v>1.69</v>
      </c>
      <c r="M3204" t="s">
        <v>46</v>
      </c>
      <c r="N3204" t="s">
        <v>4024</v>
      </c>
      <c r="O3204">
        <v>6.86</v>
      </c>
      <c r="P3204">
        <v>6.65</v>
      </c>
      <c r="Q3204">
        <v>6.66</v>
      </c>
      <c r="R3204">
        <v>6.68</v>
      </c>
      <c r="S3204">
        <v>3.14</v>
      </c>
      <c r="T3204">
        <v>1.15</v>
      </c>
      <c r="U3204">
        <v>-3.99</v>
      </c>
      <c r="V3204">
        <v>-168</v>
      </c>
      <c r="W3204">
        <v>6.77</v>
      </c>
      <c r="X3204" t="s">
        <v>3211</v>
      </c>
      <c r="Y3204" t="s">
        <v>5975</v>
      </c>
      <c r="Z3204">
        <v>0.89</v>
      </c>
      <c r="AA3204">
        <v>334</v>
      </c>
      <c r="AB3204">
        <v>177</v>
      </c>
      <c r="AC3204">
        <v>2.15</v>
      </c>
      <c r="AD3204" t="s">
        <v>16310</v>
      </c>
      <c r="AE3204" t="s">
        <v>8874</v>
      </c>
      <c r="AF3204" t="s">
        <v>16311</v>
      </c>
      <c r="AG3204" t="s">
        <v>15462</v>
      </c>
      <c r="AH3204">
        <v>1.81</v>
      </c>
      <c r="AI3204">
        <v>0.75</v>
      </c>
      <c r="AJ3204">
        <v>4.16</v>
      </c>
      <c r="AK3204">
        <v>9.07</v>
      </c>
      <c r="AL3204">
        <v>2</v>
      </c>
      <c r="AM3204">
        <v>1.2</v>
      </c>
      <c r="AN3204">
        <v>7.64</v>
      </c>
      <c r="AO3204">
        <v>4.16</v>
      </c>
      <c r="AP3204">
        <v>7.81</v>
      </c>
    </row>
    <row r="3205" spans="1:42">
      <c r="A3205">
        <v>3204</v>
      </c>
      <c r="B3205" t="str">
        <f>"600375"</f>
        <v>600375</v>
      </c>
      <c r="C3205" t="s">
        <v>16312</v>
      </c>
      <c r="D3205">
        <v>6.25</v>
      </c>
      <c r="E3205">
        <v>1.46</v>
      </c>
      <c r="F3205">
        <v>0.09</v>
      </c>
      <c r="G3205" t="s">
        <v>3274</v>
      </c>
      <c r="H3205">
        <v>189</v>
      </c>
      <c r="I3205">
        <v>6.24</v>
      </c>
      <c r="J3205">
        <v>6.25</v>
      </c>
      <c r="K3205" t="s">
        <v>16309</v>
      </c>
      <c r="L3205">
        <v>1.2</v>
      </c>
      <c r="M3205" t="s">
        <v>46</v>
      </c>
      <c r="N3205" t="s">
        <v>12572</v>
      </c>
      <c r="O3205">
        <v>6.29</v>
      </c>
      <c r="P3205">
        <v>6.12</v>
      </c>
      <c r="Q3205">
        <v>6.17</v>
      </c>
      <c r="R3205">
        <v>6.16</v>
      </c>
      <c r="S3205">
        <v>2.76</v>
      </c>
      <c r="T3205">
        <v>1.01</v>
      </c>
      <c r="U3205">
        <v>-22.46</v>
      </c>
      <c r="V3205">
        <v>-1172</v>
      </c>
      <c r="W3205">
        <v>6.2</v>
      </c>
      <c r="X3205" t="s">
        <v>5700</v>
      </c>
      <c r="Y3205" t="s">
        <v>6748</v>
      </c>
      <c r="Z3205">
        <v>0.96</v>
      </c>
      <c r="AA3205">
        <v>1126</v>
      </c>
      <c r="AB3205">
        <v>72</v>
      </c>
      <c r="AC3205">
        <v>172.65</v>
      </c>
      <c r="AD3205" t="s">
        <v>16313</v>
      </c>
      <c r="AE3205" t="s">
        <v>16314</v>
      </c>
      <c r="AF3205" t="s">
        <v>16313</v>
      </c>
      <c r="AG3205" t="s">
        <v>16314</v>
      </c>
      <c r="AH3205">
        <v>-1.73</v>
      </c>
      <c r="AI3205">
        <v>-1.88</v>
      </c>
      <c r="AJ3205">
        <v>3.35</v>
      </c>
      <c r="AK3205">
        <v>7.16</v>
      </c>
      <c r="AL3205">
        <v>1</v>
      </c>
      <c r="AM3205">
        <v>1.46</v>
      </c>
      <c r="AN3205">
        <v>-1.57</v>
      </c>
      <c r="AO3205">
        <v>4.34</v>
      </c>
      <c r="AP3205">
        <v>-6.86</v>
      </c>
    </row>
    <row r="3206" spans="1:42">
      <c r="A3206">
        <v>3205</v>
      </c>
      <c r="B3206" t="str">
        <f>"000777"</f>
        <v>000777</v>
      </c>
      <c r="C3206" t="s">
        <v>16315</v>
      </c>
      <c r="D3206">
        <v>13.04</v>
      </c>
      <c r="E3206">
        <v>1.16</v>
      </c>
      <c r="F3206">
        <v>0.15</v>
      </c>
      <c r="G3206" t="s">
        <v>8009</v>
      </c>
      <c r="H3206">
        <v>502</v>
      </c>
      <c r="I3206">
        <v>13.04</v>
      </c>
      <c r="J3206">
        <v>13.05</v>
      </c>
      <c r="K3206" t="s">
        <v>16309</v>
      </c>
      <c r="L3206">
        <v>0.98</v>
      </c>
      <c r="M3206" t="s">
        <v>46</v>
      </c>
      <c r="N3206" t="s">
        <v>1645</v>
      </c>
      <c r="O3206">
        <v>13.11</v>
      </c>
      <c r="P3206">
        <v>12.79</v>
      </c>
      <c r="Q3206">
        <v>12.93</v>
      </c>
      <c r="R3206">
        <v>12.89</v>
      </c>
      <c r="S3206">
        <v>2.48</v>
      </c>
      <c r="T3206">
        <v>1.14</v>
      </c>
      <c r="U3206">
        <v>-31.42</v>
      </c>
      <c r="V3206">
        <v>-766</v>
      </c>
      <c r="W3206">
        <v>12.95</v>
      </c>
      <c r="X3206" t="s">
        <v>1255</v>
      </c>
      <c r="Y3206" t="s">
        <v>2924</v>
      </c>
      <c r="Z3206">
        <v>0.91</v>
      </c>
      <c r="AA3206">
        <v>108</v>
      </c>
      <c r="AB3206">
        <v>224</v>
      </c>
      <c r="AC3206">
        <v>2.67</v>
      </c>
      <c r="AD3206" t="s">
        <v>16316</v>
      </c>
      <c r="AE3206" t="s">
        <v>13406</v>
      </c>
      <c r="AF3206" t="s">
        <v>16317</v>
      </c>
      <c r="AG3206" t="s">
        <v>3653</v>
      </c>
      <c r="AH3206">
        <v>-0.38</v>
      </c>
      <c r="AI3206">
        <v>-0.53</v>
      </c>
      <c r="AJ3206">
        <v>2.61</v>
      </c>
      <c r="AK3206">
        <v>5.27</v>
      </c>
      <c r="AL3206">
        <v>1</v>
      </c>
      <c r="AM3206">
        <v>1.16</v>
      </c>
      <c r="AN3206">
        <v>27.22</v>
      </c>
      <c r="AO3206">
        <v>2.35</v>
      </c>
      <c r="AP3206">
        <v>19.63</v>
      </c>
    </row>
    <row r="3207" spans="1:42">
      <c r="A3207">
        <v>3206</v>
      </c>
      <c r="B3207" t="str">
        <f>"430090"</f>
        <v>430090</v>
      </c>
      <c r="C3207" t="s">
        <v>16318</v>
      </c>
      <c r="D3207">
        <v>3.84</v>
      </c>
      <c r="E3207">
        <v>-4</v>
      </c>
      <c r="F3207">
        <v>-0.16</v>
      </c>
      <c r="G3207" t="s">
        <v>1986</v>
      </c>
      <c r="H3207">
        <v>1607</v>
      </c>
      <c r="I3207">
        <v>3.84</v>
      </c>
      <c r="J3207">
        <v>3.85</v>
      </c>
      <c r="K3207" t="s">
        <v>16319</v>
      </c>
      <c r="L3207">
        <v>6.83</v>
      </c>
      <c r="M3207" t="s">
        <v>46</v>
      </c>
      <c r="N3207" t="s">
        <v>8753</v>
      </c>
      <c r="O3207">
        <v>4.08</v>
      </c>
      <c r="P3207">
        <v>3.75</v>
      </c>
      <c r="Q3207">
        <v>4.05</v>
      </c>
      <c r="R3207">
        <v>4</v>
      </c>
      <c r="S3207">
        <v>8.25</v>
      </c>
      <c r="T3207">
        <v>0.38</v>
      </c>
      <c r="U3207">
        <v>64.81</v>
      </c>
      <c r="V3207">
        <v>3933</v>
      </c>
      <c r="W3207">
        <v>3.89</v>
      </c>
      <c r="X3207" t="s">
        <v>6691</v>
      </c>
      <c r="Y3207" t="s">
        <v>3319</v>
      </c>
      <c r="Z3207">
        <v>1.52</v>
      </c>
      <c r="AA3207">
        <v>203</v>
      </c>
      <c r="AB3207">
        <v>83</v>
      </c>
      <c r="AC3207">
        <v>2.63</v>
      </c>
      <c r="AD3207" t="s">
        <v>16073</v>
      </c>
      <c r="AE3207" t="s">
        <v>16320</v>
      </c>
      <c r="AF3207" t="s">
        <v>12047</v>
      </c>
      <c r="AG3207" t="s">
        <v>16321</v>
      </c>
      <c r="AH3207">
        <v>-15.04</v>
      </c>
      <c r="AI3207">
        <v>10.03</v>
      </c>
      <c r="AJ3207">
        <v>31.03</v>
      </c>
      <c r="AK3207">
        <v>96.62</v>
      </c>
      <c r="AL3207">
        <v>-1</v>
      </c>
      <c r="AM3207">
        <v>-4</v>
      </c>
      <c r="AN3207">
        <v>41.18</v>
      </c>
      <c r="AO3207">
        <v>64.1</v>
      </c>
      <c r="AP3207">
        <v>21.9</v>
      </c>
    </row>
    <row r="3208" spans="1:42">
      <c r="A3208">
        <v>3207</v>
      </c>
      <c r="B3208" t="str">
        <f>"688380"</f>
        <v>688380</v>
      </c>
      <c r="C3208" t="s">
        <v>16322</v>
      </c>
      <c r="D3208">
        <v>23.45</v>
      </c>
      <c r="E3208">
        <v>0.64</v>
      </c>
      <c r="F3208">
        <v>0.15</v>
      </c>
      <c r="G3208" t="s">
        <v>5592</v>
      </c>
      <c r="H3208">
        <v>197</v>
      </c>
      <c r="I3208">
        <v>23.45</v>
      </c>
      <c r="J3208">
        <v>23.46</v>
      </c>
      <c r="K3208" t="s">
        <v>16323</v>
      </c>
      <c r="L3208">
        <v>1.62</v>
      </c>
      <c r="M3208" t="s">
        <v>46</v>
      </c>
      <c r="N3208" t="s">
        <v>16324</v>
      </c>
      <c r="O3208">
        <v>23.55</v>
      </c>
      <c r="P3208">
        <v>22.9</v>
      </c>
      <c r="Q3208">
        <v>23.4</v>
      </c>
      <c r="R3208">
        <v>23.3</v>
      </c>
      <c r="S3208">
        <v>2.79</v>
      </c>
      <c r="T3208">
        <v>0.83</v>
      </c>
      <c r="U3208">
        <v>-52.98</v>
      </c>
      <c r="V3208">
        <v>-224</v>
      </c>
      <c r="W3208">
        <v>23.18</v>
      </c>
      <c r="X3208" t="s">
        <v>4443</v>
      </c>
      <c r="Y3208">
        <v>9956</v>
      </c>
      <c r="Z3208">
        <v>1.11</v>
      </c>
      <c r="AA3208">
        <v>2</v>
      </c>
      <c r="AB3208">
        <v>15</v>
      </c>
      <c r="AC3208">
        <v>3.13</v>
      </c>
      <c r="AD3208" t="s">
        <v>16325</v>
      </c>
      <c r="AE3208" t="s">
        <v>16326</v>
      </c>
      <c r="AF3208" t="s">
        <v>16327</v>
      </c>
      <c r="AG3208" t="s">
        <v>7854</v>
      </c>
      <c r="AH3208">
        <v>-1.47</v>
      </c>
      <c r="AI3208">
        <v>-1.8</v>
      </c>
      <c r="AJ3208">
        <v>6.75</v>
      </c>
      <c r="AK3208">
        <v>11.37</v>
      </c>
      <c r="AL3208">
        <v>1</v>
      </c>
      <c r="AM3208">
        <v>0.64</v>
      </c>
      <c r="AN3208">
        <v>-12.14</v>
      </c>
      <c r="AO3208">
        <v>-4.6</v>
      </c>
      <c r="AP3208">
        <v>-24.43</v>
      </c>
    </row>
    <row r="3209" spans="1:42">
      <c r="A3209">
        <v>3208</v>
      </c>
      <c r="B3209" t="str">
        <f>"300648"</f>
        <v>300648</v>
      </c>
      <c r="C3209" t="s">
        <v>16328</v>
      </c>
      <c r="D3209">
        <v>27.35</v>
      </c>
      <c r="E3209">
        <v>-0.55</v>
      </c>
      <c r="F3209">
        <v>-0.15</v>
      </c>
      <c r="G3209" t="s">
        <v>60</v>
      </c>
      <c r="H3209">
        <v>404</v>
      </c>
      <c r="I3209">
        <v>27.35</v>
      </c>
      <c r="J3209">
        <v>27.36</v>
      </c>
      <c r="K3209" t="s">
        <v>16323</v>
      </c>
      <c r="L3209">
        <v>1.87</v>
      </c>
      <c r="M3209" t="s">
        <v>46</v>
      </c>
      <c r="N3209" t="s">
        <v>1992</v>
      </c>
      <c r="O3209">
        <v>27.85</v>
      </c>
      <c r="P3209">
        <v>26.91</v>
      </c>
      <c r="Q3209">
        <v>27.48</v>
      </c>
      <c r="R3209">
        <v>27.5</v>
      </c>
      <c r="S3209">
        <v>3.42</v>
      </c>
      <c r="T3209">
        <v>0.78</v>
      </c>
      <c r="U3209">
        <v>41.08</v>
      </c>
      <c r="V3209">
        <v>99</v>
      </c>
      <c r="W3209">
        <v>27.29</v>
      </c>
      <c r="X3209" t="s">
        <v>4443</v>
      </c>
      <c r="Y3209">
        <v>6811</v>
      </c>
      <c r="Z3209">
        <v>1.61</v>
      </c>
      <c r="AA3209">
        <v>3</v>
      </c>
      <c r="AB3209">
        <v>4</v>
      </c>
      <c r="AC3209">
        <v>4.12</v>
      </c>
      <c r="AD3209" t="s">
        <v>3458</v>
      </c>
      <c r="AE3209" t="s">
        <v>11482</v>
      </c>
      <c r="AF3209" t="s">
        <v>16329</v>
      </c>
      <c r="AG3209" t="s">
        <v>6906</v>
      </c>
      <c r="AH3209">
        <v>-2.11</v>
      </c>
      <c r="AI3209">
        <v>-2.88</v>
      </c>
      <c r="AJ3209">
        <v>8.72</v>
      </c>
      <c r="AK3209">
        <v>13.81</v>
      </c>
      <c r="AL3209">
        <v>-2</v>
      </c>
      <c r="AM3209">
        <v>-0.55</v>
      </c>
      <c r="AN3209">
        <v>-26.1</v>
      </c>
      <c r="AO3209">
        <v>-0.55</v>
      </c>
      <c r="AP3209">
        <v>-32.62</v>
      </c>
    </row>
    <row r="3210" spans="1:42">
      <c r="A3210">
        <v>3209</v>
      </c>
      <c r="B3210" t="str">
        <f>"688281"</f>
        <v>688281</v>
      </c>
      <c r="C3210" t="s">
        <v>16330</v>
      </c>
      <c r="D3210">
        <v>146.3</v>
      </c>
      <c r="E3210">
        <v>-1.22</v>
      </c>
      <c r="F3210">
        <v>-1.8</v>
      </c>
      <c r="G3210">
        <v>3295</v>
      </c>
      <c r="H3210">
        <v>41</v>
      </c>
      <c r="I3210">
        <v>146.3</v>
      </c>
      <c r="J3210">
        <v>146.63</v>
      </c>
      <c r="K3210" t="s">
        <v>16331</v>
      </c>
      <c r="L3210">
        <v>0.97</v>
      </c>
      <c r="M3210" t="s">
        <v>46</v>
      </c>
      <c r="N3210" t="s">
        <v>2311</v>
      </c>
      <c r="O3210">
        <v>149.18</v>
      </c>
      <c r="P3210">
        <v>146</v>
      </c>
      <c r="Q3210">
        <v>148.06</v>
      </c>
      <c r="R3210">
        <v>148.1</v>
      </c>
      <c r="S3210">
        <v>2.15</v>
      </c>
      <c r="T3210">
        <v>0.96</v>
      </c>
      <c r="U3210">
        <v>25.25</v>
      </c>
      <c r="V3210">
        <v>7</v>
      </c>
      <c r="W3210">
        <v>147.42</v>
      </c>
      <c r="X3210">
        <v>1674</v>
      </c>
      <c r="Y3210">
        <v>1621</v>
      </c>
      <c r="Z3210">
        <v>1.03</v>
      </c>
      <c r="AA3210">
        <v>6</v>
      </c>
      <c r="AB3210">
        <v>2</v>
      </c>
      <c r="AC3210">
        <v>5.03</v>
      </c>
      <c r="AD3210" t="s">
        <v>16332</v>
      </c>
      <c r="AE3210" t="s">
        <v>16333</v>
      </c>
      <c r="AF3210" t="s">
        <v>16334</v>
      </c>
      <c r="AG3210" t="s">
        <v>12713</v>
      </c>
      <c r="AH3210">
        <v>-2.49</v>
      </c>
      <c r="AI3210">
        <v>-3.12</v>
      </c>
      <c r="AJ3210">
        <v>2.59</v>
      </c>
      <c r="AK3210">
        <v>6.05</v>
      </c>
      <c r="AL3210">
        <v>-2</v>
      </c>
      <c r="AM3210">
        <v>-1.22</v>
      </c>
      <c r="AN3210">
        <v>-23.42</v>
      </c>
      <c r="AO3210">
        <v>6.15</v>
      </c>
      <c r="AP3210">
        <v>-30.73</v>
      </c>
    </row>
    <row r="3211" spans="1:42">
      <c r="A3211">
        <v>3210</v>
      </c>
      <c r="B3211" t="str">
        <f>"002348"</f>
        <v>002348</v>
      </c>
      <c r="C3211" t="s">
        <v>16335</v>
      </c>
      <c r="D3211">
        <v>3.8</v>
      </c>
      <c r="E3211">
        <v>2.7</v>
      </c>
      <c r="F3211">
        <v>0.1</v>
      </c>
      <c r="G3211" t="s">
        <v>1915</v>
      </c>
      <c r="H3211">
        <v>1658</v>
      </c>
      <c r="I3211">
        <v>3.79</v>
      </c>
      <c r="J3211">
        <v>3.8</v>
      </c>
      <c r="K3211" t="s">
        <v>16331</v>
      </c>
      <c r="L3211">
        <v>1.45</v>
      </c>
      <c r="M3211" t="s">
        <v>46</v>
      </c>
      <c r="N3211" t="s">
        <v>6123</v>
      </c>
      <c r="O3211">
        <v>3.8</v>
      </c>
      <c r="P3211">
        <v>3.68</v>
      </c>
      <c r="Q3211">
        <v>3.71</v>
      </c>
      <c r="R3211">
        <v>3.7</v>
      </c>
      <c r="S3211">
        <v>3.24</v>
      </c>
      <c r="T3211">
        <v>1.36</v>
      </c>
      <c r="U3211">
        <v>-54.7</v>
      </c>
      <c r="V3211">
        <v>-7975</v>
      </c>
      <c r="W3211">
        <v>3.77</v>
      </c>
      <c r="X3211" t="s">
        <v>9519</v>
      </c>
      <c r="Y3211" t="s">
        <v>4881</v>
      </c>
      <c r="Z3211">
        <v>0.74</v>
      </c>
      <c r="AA3211">
        <v>421</v>
      </c>
      <c r="AB3211">
        <v>3099</v>
      </c>
      <c r="AC3211">
        <v>6.52</v>
      </c>
      <c r="AD3211" t="s">
        <v>16336</v>
      </c>
      <c r="AE3211" t="s">
        <v>16337</v>
      </c>
      <c r="AF3211" t="s">
        <v>16338</v>
      </c>
      <c r="AG3211" t="s">
        <v>16339</v>
      </c>
      <c r="AH3211">
        <v>2.98</v>
      </c>
      <c r="AI3211">
        <v>2.15</v>
      </c>
      <c r="AJ3211">
        <v>3.3</v>
      </c>
      <c r="AK3211">
        <v>6.79</v>
      </c>
      <c r="AL3211">
        <v>1</v>
      </c>
      <c r="AM3211">
        <v>2.7</v>
      </c>
      <c r="AN3211">
        <v>1.06</v>
      </c>
      <c r="AO3211">
        <v>8.88</v>
      </c>
      <c r="AP3211">
        <v>29.25</v>
      </c>
    </row>
    <row r="3212" spans="1:42">
      <c r="A3212">
        <v>3211</v>
      </c>
      <c r="B3212" t="str">
        <f>"603778"</f>
        <v>603778</v>
      </c>
      <c r="C3212" t="s">
        <v>16340</v>
      </c>
      <c r="D3212">
        <v>5.56</v>
      </c>
      <c r="E3212">
        <v>0.36</v>
      </c>
      <c r="F3212">
        <v>0.02</v>
      </c>
      <c r="G3212" t="s">
        <v>5843</v>
      </c>
      <c r="H3212">
        <v>1165</v>
      </c>
      <c r="I3212">
        <v>5.56</v>
      </c>
      <c r="J3212">
        <v>5.57</v>
      </c>
      <c r="K3212" t="s">
        <v>16341</v>
      </c>
      <c r="L3212">
        <v>1.36</v>
      </c>
      <c r="M3212" t="s">
        <v>46</v>
      </c>
      <c r="N3212" t="s">
        <v>16342</v>
      </c>
      <c r="O3212">
        <v>5.61</v>
      </c>
      <c r="P3212">
        <v>5.5</v>
      </c>
      <c r="Q3212">
        <v>5.52</v>
      </c>
      <c r="R3212">
        <v>5.54</v>
      </c>
      <c r="S3212">
        <v>1.99</v>
      </c>
      <c r="T3212">
        <v>0.47</v>
      </c>
      <c r="U3212">
        <v>-11.22</v>
      </c>
      <c r="V3212">
        <v>-1319</v>
      </c>
      <c r="W3212">
        <v>5.57</v>
      </c>
      <c r="X3212" t="s">
        <v>1320</v>
      </c>
      <c r="Y3212" t="s">
        <v>5644</v>
      </c>
      <c r="Z3212">
        <v>0.87</v>
      </c>
      <c r="AA3212">
        <v>1314</v>
      </c>
      <c r="AB3212">
        <v>2005</v>
      </c>
      <c r="AC3212">
        <v>3.36</v>
      </c>
      <c r="AD3212" t="s">
        <v>16343</v>
      </c>
      <c r="AE3212" t="s">
        <v>16344</v>
      </c>
      <c r="AF3212" t="s">
        <v>16343</v>
      </c>
      <c r="AG3212" t="s">
        <v>16344</v>
      </c>
      <c r="AH3212">
        <v>-2.97</v>
      </c>
      <c r="AI3212">
        <v>-4.3</v>
      </c>
      <c r="AJ3212">
        <v>5.56</v>
      </c>
      <c r="AK3212">
        <v>15.87</v>
      </c>
      <c r="AL3212">
        <v>1</v>
      </c>
      <c r="AM3212">
        <v>0.36</v>
      </c>
      <c r="AN3212">
        <v>-19.65</v>
      </c>
      <c r="AO3212">
        <v>8.38</v>
      </c>
      <c r="AP3212">
        <v>2.02</v>
      </c>
    </row>
    <row r="3213" spans="1:42">
      <c r="A3213">
        <v>3212</v>
      </c>
      <c r="B3213" t="str">
        <f>"600055"</f>
        <v>600055</v>
      </c>
      <c r="C3213" t="s">
        <v>16345</v>
      </c>
      <c r="D3213">
        <v>17.93</v>
      </c>
      <c r="E3213">
        <v>0.22</v>
      </c>
      <c r="F3213">
        <v>0.04</v>
      </c>
      <c r="G3213" t="s">
        <v>6675</v>
      </c>
      <c r="H3213">
        <v>64</v>
      </c>
      <c r="I3213">
        <v>17.92</v>
      </c>
      <c r="J3213">
        <v>17.93</v>
      </c>
      <c r="K3213" t="s">
        <v>16346</v>
      </c>
      <c r="L3213">
        <v>0.5</v>
      </c>
      <c r="M3213" t="s">
        <v>46</v>
      </c>
      <c r="N3213" t="s">
        <v>16347</v>
      </c>
      <c r="O3213">
        <v>17.97</v>
      </c>
      <c r="P3213">
        <v>17.73</v>
      </c>
      <c r="Q3213">
        <v>17.89</v>
      </c>
      <c r="R3213">
        <v>17.89</v>
      </c>
      <c r="S3213">
        <v>1.34</v>
      </c>
      <c r="T3213">
        <v>0.81</v>
      </c>
      <c r="U3213">
        <v>12.77</v>
      </c>
      <c r="V3213">
        <v>82</v>
      </c>
      <c r="W3213">
        <v>17.83</v>
      </c>
      <c r="X3213" t="s">
        <v>5900</v>
      </c>
      <c r="Y3213" t="s">
        <v>1427</v>
      </c>
      <c r="Z3213">
        <v>1.11</v>
      </c>
      <c r="AA3213">
        <v>2</v>
      </c>
      <c r="AB3213">
        <v>33</v>
      </c>
      <c r="AC3213">
        <v>2.71</v>
      </c>
      <c r="AD3213" t="s">
        <v>16348</v>
      </c>
      <c r="AE3213" t="s">
        <v>609</v>
      </c>
      <c r="AF3213" t="s">
        <v>16349</v>
      </c>
      <c r="AG3213" t="s">
        <v>16350</v>
      </c>
      <c r="AH3213">
        <v>-1.48</v>
      </c>
      <c r="AI3213">
        <v>-1.59</v>
      </c>
      <c r="AJ3213">
        <v>1.56</v>
      </c>
      <c r="AK3213">
        <v>3.59</v>
      </c>
      <c r="AL3213">
        <v>1</v>
      </c>
      <c r="AM3213">
        <v>0.22</v>
      </c>
      <c r="AN3213">
        <v>-7.67</v>
      </c>
      <c r="AO3213">
        <v>0.34</v>
      </c>
      <c r="AP3213">
        <v>-11.67</v>
      </c>
    </row>
    <row r="3214" spans="1:42">
      <c r="A3214">
        <v>3213</v>
      </c>
      <c r="B3214" t="str">
        <f>"688661"</f>
        <v>688661</v>
      </c>
      <c r="C3214" t="s">
        <v>16351</v>
      </c>
      <c r="D3214">
        <v>50.2</v>
      </c>
      <c r="E3214">
        <v>1.43</v>
      </c>
      <c r="F3214">
        <v>0.71</v>
      </c>
      <c r="G3214">
        <v>9691</v>
      </c>
      <c r="H3214">
        <v>33</v>
      </c>
      <c r="I3214">
        <v>50.18</v>
      </c>
      <c r="J3214">
        <v>50.2</v>
      </c>
      <c r="K3214" t="s">
        <v>16352</v>
      </c>
      <c r="L3214">
        <v>2.71</v>
      </c>
      <c r="M3214" t="s">
        <v>46</v>
      </c>
      <c r="N3214" t="s">
        <v>2196</v>
      </c>
      <c r="O3214">
        <v>50.8</v>
      </c>
      <c r="P3214">
        <v>49</v>
      </c>
      <c r="Q3214">
        <v>49.49</v>
      </c>
      <c r="R3214">
        <v>49.49</v>
      </c>
      <c r="S3214">
        <v>3.64</v>
      </c>
      <c r="T3214">
        <v>0.97</v>
      </c>
      <c r="U3214">
        <v>5.49</v>
      </c>
      <c r="V3214">
        <v>13</v>
      </c>
      <c r="W3214">
        <v>50.01</v>
      </c>
      <c r="X3214">
        <v>5369</v>
      </c>
      <c r="Y3214">
        <v>4322</v>
      </c>
      <c r="Z3214">
        <v>1.24</v>
      </c>
      <c r="AA3214">
        <v>2</v>
      </c>
      <c r="AB3214">
        <v>2</v>
      </c>
      <c r="AC3214">
        <v>3.68</v>
      </c>
      <c r="AD3214" t="s">
        <v>16353</v>
      </c>
      <c r="AE3214" t="s">
        <v>1360</v>
      </c>
      <c r="AF3214" t="s">
        <v>16354</v>
      </c>
      <c r="AG3214" t="s">
        <v>3675</v>
      </c>
      <c r="AH3214">
        <v>-2.03</v>
      </c>
      <c r="AI3214">
        <v>-2.56</v>
      </c>
      <c r="AJ3214">
        <v>8.2</v>
      </c>
      <c r="AK3214">
        <v>16.63</v>
      </c>
      <c r="AL3214">
        <v>1</v>
      </c>
      <c r="AM3214">
        <v>1.43</v>
      </c>
      <c r="AN3214">
        <v>-16.53</v>
      </c>
      <c r="AO3214">
        <v>-6.34</v>
      </c>
      <c r="AP3214">
        <v>-24</v>
      </c>
    </row>
    <row r="3215" spans="1:42">
      <c r="A3215">
        <v>3214</v>
      </c>
      <c r="B3215" t="str">
        <f>"688201"</f>
        <v>688201</v>
      </c>
      <c r="C3215" t="s">
        <v>16355</v>
      </c>
      <c r="D3215">
        <v>22.19</v>
      </c>
      <c r="E3215">
        <v>1.09</v>
      </c>
      <c r="F3215">
        <v>0.24</v>
      </c>
      <c r="G3215" t="s">
        <v>8267</v>
      </c>
      <c r="H3215">
        <v>29</v>
      </c>
      <c r="I3215">
        <v>22.19</v>
      </c>
      <c r="J3215">
        <v>22.2</v>
      </c>
      <c r="K3215" t="s">
        <v>16352</v>
      </c>
      <c r="L3215">
        <v>2.35</v>
      </c>
      <c r="M3215" t="s">
        <v>46</v>
      </c>
      <c r="N3215" t="s">
        <v>4226</v>
      </c>
      <c r="O3215">
        <v>22.26</v>
      </c>
      <c r="P3215">
        <v>21.49</v>
      </c>
      <c r="Q3215">
        <v>21.95</v>
      </c>
      <c r="R3215">
        <v>21.95</v>
      </c>
      <c r="S3215">
        <v>3.51</v>
      </c>
      <c r="T3215">
        <v>1.29</v>
      </c>
      <c r="U3215">
        <v>15.31</v>
      </c>
      <c r="V3215">
        <v>47</v>
      </c>
      <c r="W3215">
        <v>21.85</v>
      </c>
      <c r="X3215" t="s">
        <v>1400</v>
      </c>
      <c r="Y3215" t="s">
        <v>189</v>
      </c>
      <c r="Z3215">
        <v>0.9</v>
      </c>
      <c r="AA3215">
        <v>19</v>
      </c>
      <c r="AB3215">
        <v>32</v>
      </c>
      <c r="AC3215">
        <v>3.51</v>
      </c>
      <c r="AD3215" t="s">
        <v>4266</v>
      </c>
      <c r="AE3215" t="s">
        <v>7687</v>
      </c>
      <c r="AF3215" t="s">
        <v>16356</v>
      </c>
      <c r="AG3215" t="s">
        <v>15545</v>
      </c>
      <c r="AH3215">
        <v>-2.2</v>
      </c>
      <c r="AI3215">
        <v>-3.77</v>
      </c>
      <c r="AJ3215">
        <v>6.03</v>
      </c>
      <c r="AK3215">
        <v>11.46</v>
      </c>
      <c r="AL3215">
        <v>1</v>
      </c>
      <c r="AM3215">
        <v>1.09</v>
      </c>
      <c r="AN3215">
        <v>-41.79</v>
      </c>
      <c r="AO3215">
        <v>-1.77</v>
      </c>
      <c r="AP3215">
        <v>-47.89</v>
      </c>
    </row>
    <row r="3216" spans="1:42">
      <c r="A3216">
        <v>3215</v>
      </c>
      <c r="B3216" t="str">
        <f>"300268"</f>
        <v>300268</v>
      </c>
      <c r="C3216" t="s">
        <v>16357</v>
      </c>
      <c r="D3216">
        <v>14.13</v>
      </c>
      <c r="E3216">
        <v>-1.19</v>
      </c>
      <c r="F3216">
        <v>-0.17</v>
      </c>
      <c r="G3216" t="s">
        <v>1806</v>
      </c>
      <c r="H3216">
        <v>140</v>
      </c>
      <c r="I3216">
        <v>14.12</v>
      </c>
      <c r="J3216">
        <v>14.13</v>
      </c>
      <c r="K3216" t="s">
        <v>16358</v>
      </c>
      <c r="L3216">
        <v>2.57</v>
      </c>
      <c r="M3216" t="s">
        <v>46</v>
      </c>
      <c r="N3216" t="s">
        <v>14324</v>
      </c>
      <c r="O3216">
        <v>14.55</v>
      </c>
      <c r="P3216">
        <v>13.77</v>
      </c>
      <c r="Q3216">
        <v>14.28</v>
      </c>
      <c r="R3216">
        <v>14.3</v>
      </c>
      <c r="S3216">
        <v>5.45</v>
      </c>
      <c r="T3216">
        <v>1.15</v>
      </c>
      <c r="U3216">
        <v>22.5</v>
      </c>
      <c r="V3216">
        <v>119</v>
      </c>
      <c r="W3216">
        <v>14.12</v>
      </c>
      <c r="X3216" t="s">
        <v>2924</v>
      </c>
      <c r="Y3216" t="s">
        <v>7836</v>
      </c>
      <c r="Z3216">
        <v>1.35</v>
      </c>
      <c r="AA3216">
        <v>66</v>
      </c>
      <c r="AB3216">
        <v>17</v>
      </c>
      <c r="AC3216">
        <v>-1.12</v>
      </c>
      <c r="AD3216" t="s">
        <v>13826</v>
      </c>
      <c r="AE3216" t="s">
        <v>16359</v>
      </c>
      <c r="AF3216" t="s">
        <v>16360</v>
      </c>
      <c r="AG3216" t="s">
        <v>16361</v>
      </c>
      <c r="AH3216">
        <v>7.21</v>
      </c>
      <c r="AI3216">
        <v>8.36</v>
      </c>
      <c r="AJ3216">
        <v>11.12</v>
      </c>
      <c r="AK3216">
        <v>13.76</v>
      </c>
      <c r="AL3216">
        <v>-2</v>
      </c>
      <c r="AM3216">
        <v>-1.19</v>
      </c>
      <c r="AN3216">
        <v>-39.9</v>
      </c>
      <c r="AO3216">
        <v>16.68</v>
      </c>
      <c r="AP3216">
        <v>-22.58</v>
      </c>
    </row>
    <row r="3217" spans="1:42">
      <c r="A3217">
        <v>3216</v>
      </c>
      <c r="B3217" t="str">
        <f>"600202"</f>
        <v>600202</v>
      </c>
      <c r="C3217" t="s">
        <v>16362</v>
      </c>
      <c r="D3217">
        <v>6.06</v>
      </c>
      <c r="E3217">
        <v>0.5</v>
      </c>
      <c r="F3217">
        <v>0.03</v>
      </c>
      <c r="G3217" t="s">
        <v>4243</v>
      </c>
      <c r="H3217">
        <v>1074</v>
      </c>
      <c r="I3217">
        <v>6.06</v>
      </c>
      <c r="J3217">
        <v>6.07</v>
      </c>
      <c r="K3217" t="s">
        <v>16363</v>
      </c>
      <c r="L3217">
        <v>2.09</v>
      </c>
      <c r="M3217" t="s">
        <v>46</v>
      </c>
      <c r="N3217" t="s">
        <v>5944</v>
      </c>
      <c r="O3217">
        <v>6.07</v>
      </c>
      <c r="P3217">
        <v>6</v>
      </c>
      <c r="Q3217">
        <v>6.01</v>
      </c>
      <c r="R3217">
        <v>6.03</v>
      </c>
      <c r="S3217">
        <v>1.16</v>
      </c>
      <c r="T3217">
        <v>0.59</v>
      </c>
      <c r="U3217">
        <v>-21.38</v>
      </c>
      <c r="V3217">
        <v>-1962</v>
      </c>
      <c r="W3217">
        <v>6.05</v>
      </c>
      <c r="X3217" t="s">
        <v>6646</v>
      </c>
      <c r="Y3217" t="s">
        <v>5785</v>
      </c>
      <c r="Z3217">
        <v>0.87</v>
      </c>
      <c r="AA3217">
        <v>703</v>
      </c>
      <c r="AB3217">
        <v>1407</v>
      </c>
      <c r="AC3217">
        <v>2.79</v>
      </c>
      <c r="AD3217" t="s">
        <v>16364</v>
      </c>
      <c r="AE3217" t="s">
        <v>16365</v>
      </c>
      <c r="AF3217" t="s">
        <v>16364</v>
      </c>
      <c r="AG3217" t="s">
        <v>16365</v>
      </c>
      <c r="AH3217">
        <v>-1.78</v>
      </c>
      <c r="AI3217">
        <v>0.83</v>
      </c>
      <c r="AJ3217">
        <v>8.79</v>
      </c>
      <c r="AK3217">
        <v>19.72</v>
      </c>
      <c r="AL3217">
        <v>1</v>
      </c>
      <c r="AM3217">
        <v>0.5</v>
      </c>
      <c r="AN3217">
        <v>20.48</v>
      </c>
      <c r="AO3217">
        <v>7.26</v>
      </c>
      <c r="AP3217">
        <v>17.67</v>
      </c>
    </row>
    <row r="3218" spans="1:42">
      <c r="A3218">
        <v>3217</v>
      </c>
      <c r="B3218" t="str">
        <f>"002388"</f>
        <v>002388</v>
      </c>
      <c r="C3218" t="s">
        <v>16366</v>
      </c>
      <c r="D3218">
        <v>6.59</v>
      </c>
      <c r="E3218">
        <v>0.3</v>
      </c>
      <c r="F3218">
        <v>0.02</v>
      </c>
      <c r="G3218" t="s">
        <v>12883</v>
      </c>
      <c r="H3218">
        <v>530</v>
      </c>
      <c r="I3218">
        <v>6.59</v>
      </c>
      <c r="J3218">
        <v>6.6</v>
      </c>
      <c r="K3218" t="s">
        <v>16367</v>
      </c>
      <c r="L3218">
        <v>1.47</v>
      </c>
      <c r="M3218" t="s">
        <v>46</v>
      </c>
      <c r="N3218" t="s">
        <v>5929</v>
      </c>
      <c r="O3218">
        <v>6.62</v>
      </c>
      <c r="P3218">
        <v>6.53</v>
      </c>
      <c r="Q3218">
        <v>6.58</v>
      </c>
      <c r="R3218">
        <v>6.57</v>
      </c>
      <c r="S3218">
        <v>1.37</v>
      </c>
      <c r="T3218">
        <v>0.78</v>
      </c>
      <c r="U3218">
        <v>-17.79</v>
      </c>
      <c r="V3218">
        <v>-1504</v>
      </c>
      <c r="W3218">
        <v>6.57</v>
      </c>
      <c r="X3218" t="s">
        <v>7531</v>
      </c>
      <c r="Y3218" t="s">
        <v>6302</v>
      </c>
      <c r="Z3218">
        <v>0.92</v>
      </c>
      <c r="AA3218">
        <v>641</v>
      </c>
      <c r="AB3218">
        <v>2277</v>
      </c>
      <c r="AC3218">
        <v>2.31</v>
      </c>
      <c r="AD3218" t="s">
        <v>16368</v>
      </c>
      <c r="AE3218" t="s">
        <v>11834</v>
      </c>
      <c r="AF3218" t="s">
        <v>16369</v>
      </c>
      <c r="AG3218" t="s">
        <v>16370</v>
      </c>
      <c r="AH3218">
        <v>-2.23</v>
      </c>
      <c r="AI3218">
        <v>-2.37</v>
      </c>
      <c r="AJ3218">
        <v>4.88</v>
      </c>
      <c r="AK3218">
        <v>10.98</v>
      </c>
      <c r="AL3218">
        <v>1</v>
      </c>
      <c r="AM3218">
        <v>0.3</v>
      </c>
      <c r="AN3218">
        <v>1.85</v>
      </c>
      <c r="AO3218">
        <v>-2.08</v>
      </c>
      <c r="AP3218">
        <v>-17.11</v>
      </c>
    </row>
    <row r="3219" spans="1:42">
      <c r="A3219">
        <v>3218</v>
      </c>
      <c r="B3219" t="str">
        <f>"600067"</f>
        <v>600067</v>
      </c>
      <c r="C3219" t="s">
        <v>16371</v>
      </c>
      <c r="D3219">
        <v>2.7</v>
      </c>
      <c r="E3219">
        <v>0.75</v>
      </c>
      <c r="F3219">
        <v>0.02</v>
      </c>
      <c r="G3219" t="s">
        <v>797</v>
      </c>
      <c r="H3219">
        <v>1570</v>
      </c>
      <c r="I3219">
        <v>2.69</v>
      </c>
      <c r="J3219">
        <v>2.7</v>
      </c>
      <c r="K3219" t="s">
        <v>16372</v>
      </c>
      <c r="L3219">
        <v>1.3</v>
      </c>
      <c r="M3219" t="s">
        <v>46</v>
      </c>
      <c r="N3219" t="s">
        <v>16373</v>
      </c>
      <c r="O3219">
        <v>2.72</v>
      </c>
      <c r="P3219">
        <v>2.63</v>
      </c>
      <c r="Q3219">
        <v>2.67</v>
      </c>
      <c r="R3219">
        <v>2.68</v>
      </c>
      <c r="S3219">
        <v>3.36</v>
      </c>
      <c r="T3219">
        <v>0.89</v>
      </c>
      <c r="U3219">
        <v>-38.83</v>
      </c>
      <c r="V3219" t="s">
        <v>7925</v>
      </c>
      <c r="W3219">
        <v>2.68</v>
      </c>
      <c r="X3219" t="s">
        <v>3743</v>
      </c>
      <c r="Y3219" t="s">
        <v>3241</v>
      </c>
      <c r="Z3219">
        <v>0.87</v>
      </c>
      <c r="AA3219">
        <v>2880</v>
      </c>
      <c r="AB3219">
        <v>4405</v>
      </c>
      <c r="AC3219">
        <v>0.54</v>
      </c>
      <c r="AD3219" t="s">
        <v>8375</v>
      </c>
      <c r="AE3219" t="s">
        <v>15829</v>
      </c>
      <c r="AF3219" t="s">
        <v>8375</v>
      </c>
      <c r="AG3219" t="s">
        <v>15829</v>
      </c>
      <c r="AH3219">
        <v>-1.1</v>
      </c>
      <c r="AI3219">
        <v>-0.74</v>
      </c>
      <c r="AJ3219">
        <v>4.04</v>
      </c>
      <c r="AK3219">
        <v>8.62</v>
      </c>
      <c r="AL3219">
        <v>2</v>
      </c>
      <c r="AM3219">
        <v>0.75</v>
      </c>
      <c r="AN3219">
        <v>-12.9</v>
      </c>
      <c r="AO3219">
        <v>5.06</v>
      </c>
      <c r="AP3219">
        <v>-18.18</v>
      </c>
    </row>
    <row r="3220" spans="1:42">
      <c r="A3220">
        <v>3219</v>
      </c>
      <c r="B3220" t="str">
        <f>"603990"</f>
        <v>603990</v>
      </c>
      <c r="C3220" t="s">
        <v>16374</v>
      </c>
      <c r="D3220">
        <v>13.55</v>
      </c>
      <c r="E3220">
        <v>0.52</v>
      </c>
      <c r="F3220">
        <v>0.07</v>
      </c>
      <c r="G3220" t="s">
        <v>2124</v>
      </c>
      <c r="H3220">
        <v>260</v>
      </c>
      <c r="I3220">
        <v>13.55</v>
      </c>
      <c r="J3220">
        <v>13.56</v>
      </c>
      <c r="K3220" t="s">
        <v>16375</v>
      </c>
      <c r="L3220">
        <v>1.29</v>
      </c>
      <c r="M3220" t="s">
        <v>46</v>
      </c>
      <c r="N3220" t="s">
        <v>3882</v>
      </c>
      <c r="O3220">
        <v>13.58</v>
      </c>
      <c r="P3220">
        <v>13.34</v>
      </c>
      <c r="Q3220">
        <v>13.5</v>
      </c>
      <c r="R3220">
        <v>13.48</v>
      </c>
      <c r="S3220">
        <v>1.78</v>
      </c>
      <c r="T3220">
        <v>0.93</v>
      </c>
      <c r="U3220">
        <v>4.05</v>
      </c>
      <c r="V3220">
        <v>38</v>
      </c>
      <c r="W3220">
        <v>13.46</v>
      </c>
      <c r="X3220" t="s">
        <v>2878</v>
      </c>
      <c r="Y3220" t="s">
        <v>3165</v>
      </c>
      <c r="Z3220">
        <v>1.03</v>
      </c>
      <c r="AA3220">
        <v>14</v>
      </c>
      <c r="AB3220">
        <v>35</v>
      </c>
      <c r="AC3220">
        <v>3.27</v>
      </c>
      <c r="AD3220" t="s">
        <v>16376</v>
      </c>
      <c r="AE3220" t="s">
        <v>13144</v>
      </c>
      <c r="AF3220" t="s">
        <v>947</v>
      </c>
      <c r="AG3220" t="s">
        <v>1291</v>
      </c>
      <c r="AH3220">
        <v>-3.15</v>
      </c>
      <c r="AI3220">
        <v>-4.58</v>
      </c>
      <c r="AJ3220">
        <v>4.48</v>
      </c>
      <c r="AK3220">
        <v>8.25</v>
      </c>
      <c r="AL3220">
        <v>1</v>
      </c>
      <c r="AM3220">
        <v>0.52</v>
      </c>
      <c r="AN3220">
        <v>-7.63</v>
      </c>
      <c r="AO3220">
        <v>-3.28</v>
      </c>
      <c r="AP3220">
        <v>-22.84</v>
      </c>
    </row>
    <row r="3221" spans="1:42">
      <c r="A3221">
        <v>3220</v>
      </c>
      <c r="B3221" t="str">
        <f>"600846"</f>
        <v>600846</v>
      </c>
      <c r="C3221" t="s">
        <v>16377</v>
      </c>
      <c r="D3221">
        <v>9.78</v>
      </c>
      <c r="E3221">
        <v>2.3</v>
      </c>
      <c r="F3221">
        <v>0.22</v>
      </c>
      <c r="G3221" t="s">
        <v>3356</v>
      </c>
      <c r="H3221">
        <v>625</v>
      </c>
      <c r="I3221">
        <v>9.77</v>
      </c>
      <c r="J3221">
        <v>9.78</v>
      </c>
      <c r="K3221" t="s">
        <v>16375</v>
      </c>
      <c r="L3221">
        <v>0.8</v>
      </c>
      <c r="M3221" t="s">
        <v>46</v>
      </c>
      <c r="N3221" t="s">
        <v>140</v>
      </c>
      <c r="O3221">
        <v>9.8</v>
      </c>
      <c r="P3221">
        <v>9.55</v>
      </c>
      <c r="Q3221">
        <v>9.56</v>
      </c>
      <c r="R3221">
        <v>9.56</v>
      </c>
      <c r="S3221">
        <v>2.62</v>
      </c>
      <c r="T3221">
        <v>1.13</v>
      </c>
      <c r="U3221">
        <v>-91.64</v>
      </c>
      <c r="V3221">
        <v>-4341</v>
      </c>
      <c r="W3221">
        <v>9.72</v>
      </c>
      <c r="X3221" t="s">
        <v>6656</v>
      </c>
      <c r="Y3221" t="s">
        <v>8255</v>
      </c>
      <c r="Z3221">
        <v>0.53</v>
      </c>
      <c r="AA3221">
        <v>9</v>
      </c>
      <c r="AB3221">
        <v>16</v>
      </c>
      <c r="AC3221">
        <v>1.64</v>
      </c>
      <c r="AD3221" t="s">
        <v>16378</v>
      </c>
      <c r="AE3221" t="s">
        <v>8788</v>
      </c>
      <c r="AF3221" t="s">
        <v>16378</v>
      </c>
      <c r="AG3221" t="s">
        <v>8788</v>
      </c>
      <c r="AH3221">
        <v>1.14</v>
      </c>
      <c r="AI3221">
        <v>-1.01</v>
      </c>
      <c r="AJ3221">
        <v>1.98</v>
      </c>
      <c r="AK3221">
        <v>4.31</v>
      </c>
      <c r="AL3221">
        <v>1</v>
      </c>
      <c r="AM3221">
        <v>2.3</v>
      </c>
      <c r="AN3221">
        <v>10.88</v>
      </c>
      <c r="AO3221">
        <v>0.51</v>
      </c>
      <c r="AP3221">
        <v>18.98</v>
      </c>
    </row>
    <row r="3222" spans="1:42">
      <c r="A3222">
        <v>3221</v>
      </c>
      <c r="B3222" t="str">
        <f>"605055"</f>
        <v>605055</v>
      </c>
      <c r="C3222" t="s">
        <v>16379</v>
      </c>
      <c r="D3222">
        <v>7.27</v>
      </c>
      <c r="E3222">
        <v>0.41</v>
      </c>
      <c r="F3222">
        <v>0.03</v>
      </c>
      <c r="G3222" t="s">
        <v>7394</v>
      </c>
      <c r="H3222">
        <v>527</v>
      </c>
      <c r="I3222">
        <v>7.27</v>
      </c>
      <c r="J3222">
        <v>7.28</v>
      </c>
      <c r="K3222" t="s">
        <v>16380</v>
      </c>
      <c r="L3222">
        <v>6.66</v>
      </c>
      <c r="M3222" t="s">
        <v>46</v>
      </c>
      <c r="N3222" t="s">
        <v>3553</v>
      </c>
      <c r="O3222">
        <v>7.41</v>
      </c>
      <c r="P3222">
        <v>7.21</v>
      </c>
      <c r="Q3222">
        <v>7.24</v>
      </c>
      <c r="R3222">
        <v>7.24</v>
      </c>
      <c r="S3222">
        <v>2.76</v>
      </c>
      <c r="T3222">
        <v>1.92</v>
      </c>
      <c r="U3222">
        <v>-14.75</v>
      </c>
      <c r="V3222">
        <v>-127</v>
      </c>
      <c r="W3222">
        <v>7.33</v>
      </c>
      <c r="X3222" t="s">
        <v>4811</v>
      </c>
      <c r="Y3222" t="s">
        <v>6675</v>
      </c>
      <c r="Z3222">
        <v>1.42</v>
      </c>
      <c r="AA3222">
        <v>149</v>
      </c>
      <c r="AB3222">
        <v>215</v>
      </c>
      <c r="AC3222">
        <v>2.82</v>
      </c>
      <c r="AD3222" t="s">
        <v>4678</v>
      </c>
      <c r="AE3222" t="s">
        <v>15726</v>
      </c>
      <c r="AF3222" t="s">
        <v>16381</v>
      </c>
      <c r="AG3222" t="s">
        <v>16382</v>
      </c>
      <c r="AH3222">
        <v>-1.22</v>
      </c>
      <c r="AI3222">
        <v>-1.09</v>
      </c>
      <c r="AJ3222">
        <v>13.53</v>
      </c>
      <c r="AK3222">
        <v>24.02</v>
      </c>
      <c r="AL3222">
        <v>2</v>
      </c>
      <c r="AM3222">
        <v>0.41</v>
      </c>
      <c r="AN3222">
        <v>20.36</v>
      </c>
      <c r="AO3222">
        <v>1.39</v>
      </c>
      <c r="AP3222">
        <v>17.26</v>
      </c>
    </row>
    <row r="3223" spans="1:42">
      <c r="A3223">
        <v>3222</v>
      </c>
      <c r="B3223" t="str">
        <f>"603126"</f>
        <v>603126</v>
      </c>
      <c r="C3223" t="s">
        <v>16383</v>
      </c>
      <c r="D3223">
        <v>7.05</v>
      </c>
      <c r="E3223">
        <v>0.43</v>
      </c>
      <c r="F3223">
        <v>0.03</v>
      </c>
      <c r="G3223" t="s">
        <v>4654</v>
      </c>
      <c r="H3223">
        <v>488</v>
      </c>
      <c r="I3223">
        <v>7.04</v>
      </c>
      <c r="J3223">
        <v>7.05</v>
      </c>
      <c r="K3223" t="s">
        <v>16384</v>
      </c>
      <c r="L3223">
        <v>1.13</v>
      </c>
      <c r="M3223" t="s">
        <v>46</v>
      </c>
      <c r="N3223" t="s">
        <v>5175</v>
      </c>
      <c r="O3223">
        <v>7.1</v>
      </c>
      <c r="P3223">
        <v>6.94</v>
      </c>
      <c r="Q3223">
        <v>7</v>
      </c>
      <c r="R3223">
        <v>7.02</v>
      </c>
      <c r="S3223">
        <v>2.28</v>
      </c>
      <c r="T3223">
        <v>1.42</v>
      </c>
      <c r="U3223">
        <v>-6.41</v>
      </c>
      <c r="V3223">
        <v>-362</v>
      </c>
      <c r="W3223">
        <v>7.02</v>
      </c>
      <c r="X3223" t="s">
        <v>6025</v>
      </c>
      <c r="Y3223" t="s">
        <v>4970</v>
      </c>
      <c r="Z3223">
        <v>1.02</v>
      </c>
      <c r="AA3223">
        <v>496</v>
      </c>
      <c r="AB3223">
        <v>36</v>
      </c>
      <c r="AC3223">
        <v>2.09</v>
      </c>
      <c r="AD3223" t="s">
        <v>12189</v>
      </c>
      <c r="AE3223" t="s">
        <v>16385</v>
      </c>
      <c r="AF3223" t="s">
        <v>12189</v>
      </c>
      <c r="AG3223" t="s">
        <v>16385</v>
      </c>
      <c r="AH3223">
        <v>0.71</v>
      </c>
      <c r="AI3223">
        <v>0.14</v>
      </c>
      <c r="AJ3223">
        <v>2.69</v>
      </c>
      <c r="AK3223">
        <v>5.1</v>
      </c>
      <c r="AL3223">
        <v>2</v>
      </c>
      <c r="AM3223">
        <v>0.43</v>
      </c>
      <c r="AN3223">
        <v>3.98</v>
      </c>
      <c r="AO3223">
        <v>6.02</v>
      </c>
      <c r="AP3223">
        <v>-3.16</v>
      </c>
    </row>
    <row r="3224" spans="1:42">
      <c r="A3224">
        <v>3223</v>
      </c>
      <c r="B3224" t="str">
        <f>"600078"</f>
        <v>600078</v>
      </c>
      <c r="C3224" t="s">
        <v>16386</v>
      </c>
      <c r="D3224">
        <v>8.34</v>
      </c>
      <c r="E3224">
        <v>4.12</v>
      </c>
      <c r="F3224">
        <v>0.33</v>
      </c>
      <c r="G3224" t="s">
        <v>5472</v>
      </c>
      <c r="H3224">
        <v>3952</v>
      </c>
      <c r="I3224">
        <v>8.33</v>
      </c>
      <c r="J3224">
        <v>8.34</v>
      </c>
      <c r="K3224" t="s">
        <v>16387</v>
      </c>
      <c r="L3224">
        <v>0.89</v>
      </c>
      <c r="M3224" t="s">
        <v>46</v>
      </c>
      <c r="N3224" t="s">
        <v>16388</v>
      </c>
      <c r="O3224">
        <v>8.34</v>
      </c>
      <c r="P3224">
        <v>7.97</v>
      </c>
      <c r="Q3224">
        <v>8.04</v>
      </c>
      <c r="R3224">
        <v>8.01</v>
      </c>
      <c r="S3224">
        <v>4.62</v>
      </c>
      <c r="T3224">
        <v>0.98</v>
      </c>
      <c r="U3224">
        <v>-49.31</v>
      </c>
      <c r="V3224">
        <v>-1469</v>
      </c>
      <c r="W3224">
        <v>8.15</v>
      </c>
      <c r="X3224" t="s">
        <v>8072</v>
      </c>
      <c r="Y3224" t="s">
        <v>6247</v>
      </c>
      <c r="Z3224">
        <v>1.02</v>
      </c>
      <c r="AA3224">
        <v>382</v>
      </c>
      <c r="AB3224">
        <v>847</v>
      </c>
      <c r="AC3224">
        <v>3.06</v>
      </c>
      <c r="AD3224" t="s">
        <v>16389</v>
      </c>
      <c r="AE3224" t="s">
        <v>16390</v>
      </c>
      <c r="AF3224" t="s">
        <v>16389</v>
      </c>
      <c r="AG3224" t="s">
        <v>16390</v>
      </c>
      <c r="AH3224">
        <v>3.22</v>
      </c>
      <c r="AI3224">
        <v>8.31</v>
      </c>
      <c r="AJ3224">
        <v>2.03</v>
      </c>
      <c r="AK3224">
        <v>5.46</v>
      </c>
      <c r="AL3224">
        <v>1</v>
      </c>
      <c r="AM3224">
        <v>4.12</v>
      </c>
      <c r="AN3224">
        <v>-27.73</v>
      </c>
      <c r="AO3224">
        <v>12.55</v>
      </c>
      <c r="AP3224">
        <v>-40.22</v>
      </c>
    </row>
    <row r="3225" spans="1:42">
      <c r="A3225">
        <v>3224</v>
      </c>
      <c r="B3225" t="str">
        <f>"000875"</f>
        <v>000875</v>
      </c>
      <c r="C3225" t="s">
        <v>16391</v>
      </c>
      <c r="D3225">
        <v>4.52</v>
      </c>
      <c r="E3225">
        <v>0.67</v>
      </c>
      <c r="F3225">
        <v>0.03</v>
      </c>
      <c r="G3225" t="s">
        <v>1909</v>
      </c>
      <c r="H3225">
        <v>1622</v>
      </c>
      <c r="I3225">
        <v>4.51</v>
      </c>
      <c r="J3225">
        <v>4.52</v>
      </c>
      <c r="K3225" t="s">
        <v>16387</v>
      </c>
      <c r="L3225">
        <v>0.44</v>
      </c>
      <c r="M3225" t="s">
        <v>46</v>
      </c>
      <c r="N3225" t="s">
        <v>1958</v>
      </c>
      <c r="O3225">
        <v>4.53</v>
      </c>
      <c r="P3225">
        <v>4.47</v>
      </c>
      <c r="Q3225">
        <v>4.49</v>
      </c>
      <c r="R3225">
        <v>4.49</v>
      </c>
      <c r="S3225">
        <v>1.34</v>
      </c>
      <c r="T3225">
        <v>0.92</v>
      </c>
      <c r="U3225">
        <v>-43.18</v>
      </c>
      <c r="V3225" t="s">
        <v>6219</v>
      </c>
      <c r="W3225">
        <v>4.5</v>
      </c>
      <c r="X3225" t="s">
        <v>3737</v>
      </c>
      <c r="Y3225" t="s">
        <v>525</v>
      </c>
      <c r="Z3225">
        <v>0.84</v>
      </c>
      <c r="AA3225">
        <v>394</v>
      </c>
      <c r="AB3225">
        <v>1798</v>
      </c>
      <c r="AC3225">
        <v>1.05</v>
      </c>
      <c r="AD3225" t="s">
        <v>16392</v>
      </c>
      <c r="AE3225" t="s">
        <v>609</v>
      </c>
      <c r="AF3225" t="s">
        <v>16393</v>
      </c>
      <c r="AG3225" t="s">
        <v>2978</v>
      </c>
      <c r="AH3225">
        <v>-1.09</v>
      </c>
      <c r="AI3225">
        <v>-1.31</v>
      </c>
      <c r="AJ3225">
        <v>1.31</v>
      </c>
      <c r="AK3225">
        <v>2.83</v>
      </c>
      <c r="AL3225">
        <v>1</v>
      </c>
      <c r="AM3225">
        <v>0.67</v>
      </c>
      <c r="AN3225">
        <v>-24.41</v>
      </c>
      <c r="AO3225">
        <v>-3.62</v>
      </c>
      <c r="AP3225">
        <v>-24.54</v>
      </c>
    </row>
    <row r="3226" spans="1:42">
      <c r="A3226">
        <v>3225</v>
      </c>
      <c r="B3226" t="str">
        <f>"601133"</f>
        <v>601133</v>
      </c>
      <c r="C3226" t="s">
        <v>16394</v>
      </c>
      <c r="D3226">
        <v>13.82</v>
      </c>
      <c r="E3226">
        <v>0.36</v>
      </c>
      <c r="F3226">
        <v>0.05</v>
      </c>
      <c r="G3226" t="s">
        <v>7177</v>
      </c>
      <c r="H3226">
        <v>686</v>
      </c>
      <c r="I3226">
        <v>13.81</v>
      </c>
      <c r="J3226">
        <v>13.82</v>
      </c>
      <c r="K3226" t="s">
        <v>16395</v>
      </c>
      <c r="L3226">
        <v>2.69</v>
      </c>
      <c r="M3226" t="s">
        <v>46</v>
      </c>
      <c r="N3226" t="s">
        <v>9299</v>
      </c>
      <c r="O3226">
        <v>13.89</v>
      </c>
      <c r="P3226">
        <v>13.6</v>
      </c>
      <c r="Q3226">
        <v>13.69</v>
      </c>
      <c r="R3226">
        <v>13.77</v>
      </c>
      <c r="S3226">
        <v>2.11</v>
      </c>
      <c r="T3226">
        <v>0.59</v>
      </c>
      <c r="U3226">
        <v>4.53</v>
      </c>
      <c r="V3226">
        <v>75</v>
      </c>
      <c r="W3226">
        <v>13.78</v>
      </c>
      <c r="X3226" t="s">
        <v>2878</v>
      </c>
      <c r="Y3226" t="s">
        <v>5997</v>
      </c>
      <c r="Z3226">
        <v>1.09</v>
      </c>
      <c r="AA3226">
        <v>342</v>
      </c>
      <c r="AB3226">
        <v>134</v>
      </c>
      <c r="AC3226">
        <v>2.67</v>
      </c>
      <c r="AD3226" t="s">
        <v>16396</v>
      </c>
      <c r="AE3226" t="s">
        <v>16397</v>
      </c>
      <c r="AF3226" t="s">
        <v>7462</v>
      </c>
      <c r="AG3226" t="s">
        <v>5318</v>
      </c>
      <c r="AH3226">
        <v>-1.71</v>
      </c>
      <c r="AI3226">
        <v>-3.96</v>
      </c>
      <c r="AJ3226">
        <v>11.45</v>
      </c>
      <c r="AK3226">
        <v>25.59</v>
      </c>
      <c r="AL3226">
        <v>1</v>
      </c>
      <c r="AM3226">
        <v>0.36</v>
      </c>
      <c r="AN3226">
        <v>20.59</v>
      </c>
      <c r="AO3226">
        <v>2.45</v>
      </c>
      <c r="AP3226">
        <v>20.59</v>
      </c>
    </row>
    <row r="3227" spans="1:42">
      <c r="A3227">
        <v>3226</v>
      </c>
      <c r="B3227" t="str">
        <f>"300470"</f>
        <v>300470</v>
      </c>
      <c r="C3227" t="s">
        <v>16398</v>
      </c>
      <c r="D3227">
        <v>37.09</v>
      </c>
      <c r="E3227">
        <v>-2.24</v>
      </c>
      <c r="F3227">
        <v>-0.85</v>
      </c>
      <c r="G3227" t="s">
        <v>9445</v>
      </c>
      <c r="H3227">
        <v>46</v>
      </c>
      <c r="I3227">
        <v>37.08</v>
      </c>
      <c r="J3227">
        <v>37.09</v>
      </c>
      <c r="K3227" t="s">
        <v>16395</v>
      </c>
      <c r="L3227">
        <v>0.65</v>
      </c>
      <c r="M3227" t="s">
        <v>46</v>
      </c>
      <c r="N3227" t="s">
        <v>16399</v>
      </c>
      <c r="O3227">
        <v>37.81</v>
      </c>
      <c r="P3227">
        <v>36.83</v>
      </c>
      <c r="Q3227">
        <v>37.8</v>
      </c>
      <c r="R3227">
        <v>37.94</v>
      </c>
      <c r="S3227">
        <v>2.58</v>
      </c>
      <c r="T3227">
        <v>1.82</v>
      </c>
      <c r="U3227">
        <v>84.86</v>
      </c>
      <c r="V3227">
        <v>157</v>
      </c>
      <c r="W3227">
        <v>37.15</v>
      </c>
      <c r="X3227">
        <v>8082</v>
      </c>
      <c r="Y3227">
        <v>4905</v>
      </c>
      <c r="Z3227">
        <v>1.65</v>
      </c>
      <c r="AA3227">
        <v>74</v>
      </c>
      <c r="AB3227">
        <v>2</v>
      </c>
      <c r="AC3227">
        <v>3.15</v>
      </c>
      <c r="AD3227" t="s">
        <v>16400</v>
      </c>
      <c r="AE3227" t="s">
        <v>16401</v>
      </c>
      <c r="AF3227" t="s">
        <v>1649</v>
      </c>
      <c r="AG3227" t="s">
        <v>8656</v>
      </c>
      <c r="AH3227">
        <v>-3.66</v>
      </c>
      <c r="AI3227">
        <v>-4.06</v>
      </c>
      <c r="AJ3227">
        <v>1.39</v>
      </c>
      <c r="AK3227">
        <v>2.45</v>
      </c>
      <c r="AL3227">
        <v>-3</v>
      </c>
      <c r="AM3227">
        <v>-2.24</v>
      </c>
      <c r="AN3227">
        <v>-2.16</v>
      </c>
      <c r="AO3227">
        <v>-5.38</v>
      </c>
      <c r="AP3227">
        <v>-7.9</v>
      </c>
    </row>
    <row r="3228" spans="1:42">
      <c r="A3228">
        <v>3227</v>
      </c>
      <c r="B3228" t="str">
        <f>"600888"</f>
        <v>600888</v>
      </c>
      <c r="C3228" t="s">
        <v>16402</v>
      </c>
      <c r="D3228">
        <v>7.29</v>
      </c>
      <c r="E3228">
        <v>0.28</v>
      </c>
      <c r="F3228">
        <v>0.02</v>
      </c>
      <c r="G3228" t="s">
        <v>1762</v>
      </c>
      <c r="H3228">
        <v>344</v>
      </c>
      <c r="I3228">
        <v>7.29</v>
      </c>
      <c r="J3228">
        <v>7.3</v>
      </c>
      <c r="K3228" t="s">
        <v>16403</v>
      </c>
      <c r="L3228">
        <v>0.49</v>
      </c>
      <c r="M3228" t="s">
        <v>46</v>
      </c>
      <c r="N3228" t="s">
        <v>16404</v>
      </c>
      <c r="O3228">
        <v>7.31</v>
      </c>
      <c r="P3228">
        <v>7.25</v>
      </c>
      <c r="Q3228">
        <v>7.28</v>
      </c>
      <c r="R3228">
        <v>7.27</v>
      </c>
      <c r="S3228">
        <v>0.83</v>
      </c>
      <c r="T3228">
        <v>0.76</v>
      </c>
      <c r="U3228">
        <v>-42.14</v>
      </c>
      <c r="V3228">
        <v>-7137</v>
      </c>
      <c r="W3228">
        <v>7.28</v>
      </c>
      <c r="X3228" t="s">
        <v>4527</v>
      </c>
      <c r="Y3228" t="s">
        <v>5266</v>
      </c>
      <c r="Z3228">
        <v>1.13</v>
      </c>
      <c r="AA3228">
        <v>19</v>
      </c>
      <c r="AB3228">
        <v>1350</v>
      </c>
      <c r="AC3228">
        <v>1.08</v>
      </c>
      <c r="AD3228" t="s">
        <v>8436</v>
      </c>
      <c r="AE3228" t="s">
        <v>16405</v>
      </c>
      <c r="AF3228" t="s">
        <v>6686</v>
      </c>
      <c r="AG3228" t="s">
        <v>16406</v>
      </c>
      <c r="AH3228">
        <v>-1.35</v>
      </c>
      <c r="AI3228">
        <v>-1.75</v>
      </c>
      <c r="AJ3228">
        <v>1.84</v>
      </c>
      <c r="AK3228">
        <v>3.74</v>
      </c>
      <c r="AL3228">
        <v>1</v>
      </c>
      <c r="AM3228">
        <v>0.28</v>
      </c>
      <c r="AN3228">
        <v>-7.02</v>
      </c>
      <c r="AO3228">
        <v>-2.8</v>
      </c>
      <c r="AP3228">
        <v>-8.76</v>
      </c>
    </row>
    <row r="3229" spans="1:42">
      <c r="A3229">
        <v>3228</v>
      </c>
      <c r="B3229" t="str">
        <f>"603237"</f>
        <v>603237</v>
      </c>
      <c r="C3229" t="s">
        <v>16407</v>
      </c>
      <c r="D3229">
        <v>29.74</v>
      </c>
      <c r="E3229">
        <v>-0.87</v>
      </c>
      <c r="F3229">
        <v>-0.26</v>
      </c>
      <c r="G3229" t="s">
        <v>7487</v>
      </c>
      <c r="H3229">
        <v>339</v>
      </c>
      <c r="I3229">
        <v>29.73</v>
      </c>
      <c r="J3229">
        <v>29.74</v>
      </c>
      <c r="K3229" t="s">
        <v>16408</v>
      </c>
      <c r="L3229">
        <v>1.85</v>
      </c>
      <c r="M3229" t="s">
        <v>46</v>
      </c>
      <c r="N3229" t="s">
        <v>2966</v>
      </c>
      <c r="O3229">
        <v>30.27</v>
      </c>
      <c r="P3229">
        <v>29.71</v>
      </c>
      <c r="Q3229">
        <v>29.75</v>
      </c>
      <c r="R3229">
        <v>30</v>
      </c>
      <c r="S3229">
        <v>1.87</v>
      </c>
      <c r="T3229">
        <v>0.66</v>
      </c>
      <c r="U3229">
        <v>1.66</v>
      </c>
      <c r="V3229">
        <v>6</v>
      </c>
      <c r="W3229">
        <v>29.96</v>
      </c>
      <c r="X3229">
        <v>7455</v>
      </c>
      <c r="Y3229">
        <v>8640</v>
      </c>
      <c r="Z3229">
        <v>0.86</v>
      </c>
      <c r="AA3229">
        <v>8</v>
      </c>
      <c r="AB3229">
        <v>37</v>
      </c>
      <c r="AC3229">
        <v>2.25</v>
      </c>
      <c r="AD3229" t="s">
        <v>16409</v>
      </c>
      <c r="AE3229" t="s">
        <v>16410</v>
      </c>
      <c r="AF3229" t="s">
        <v>11968</v>
      </c>
      <c r="AG3229" t="s">
        <v>16411</v>
      </c>
      <c r="AH3229">
        <v>-2.4</v>
      </c>
      <c r="AI3229">
        <v>-0.73</v>
      </c>
      <c r="AJ3229">
        <v>6.12</v>
      </c>
      <c r="AK3229">
        <v>15.8</v>
      </c>
      <c r="AL3229">
        <v>-3</v>
      </c>
      <c r="AM3229">
        <v>-0.87</v>
      </c>
      <c r="AN3229">
        <v>-10.93</v>
      </c>
      <c r="AO3229">
        <v>9.18</v>
      </c>
      <c r="AP3229">
        <v>8.18</v>
      </c>
    </row>
    <row r="3230" spans="1:42">
      <c r="A3230">
        <v>3229</v>
      </c>
      <c r="B3230" t="str">
        <f>"300848"</f>
        <v>300848</v>
      </c>
      <c r="C3230" t="s">
        <v>16412</v>
      </c>
      <c r="D3230">
        <v>20.59</v>
      </c>
      <c r="E3230">
        <v>-3.33</v>
      </c>
      <c r="F3230">
        <v>-0.71</v>
      </c>
      <c r="G3230" t="s">
        <v>3151</v>
      </c>
      <c r="H3230">
        <v>167</v>
      </c>
      <c r="I3230">
        <v>20.59</v>
      </c>
      <c r="J3230">
        <v>20.6</v>
      </c>
      <c r="K3230" t="s">
        <v>16413</v>
      </c>
      <c r="L3230">
        <v>1.31</v>
      </c>
      <c r="M3230" t="s">
        <v>46</v>
      </c>
      <c r="N3230" t="s">
        <v>1645</v>
      </c>
      <c r="O3230">
        <v>21.25</v>
      </c>
      <c r="P3230">
        <v>20.16</v>
      </c>
      <c r="Q3230">
        <v>21.16</v>
      </c>
      <c r="R3230">
        <v>21.3</v>
      </c>
      <c r="S3230">
        <v>5.12</v>
      </c>
      <c r="T3230">
        <v>2.54</v>
      </c>
      <c r="U3230">
        <v>-39.75</v>
      </c>
      <c r="V3230">
        <v>-120</v>
      </c>
      <c r="W3230">
        <v>20.56</v>
      </c>
      <c r="X3230" t="s">
        <v>8212</v>
      </c>
      <c r="Y3230">
        <v>7874</v>
      </c>
      <c r="Z3230">
        <v>1.98</v>
      </c>
      <c r="AA3230">
        <v>1</v>
      </c>
      <c r="AB3230">
        <v>1</v>
      </c>
      <c r="AC3230">
        <v>5.22</v>
      </c>
      <c r="AD3230" t="s">
        <v>4727</v>
      </c>
      <c r="AE3230" t="s">
        <v>16414</v>
      </c>
      <c r="AF3230" t="s">
        <v>16415</v>
      </c>
      <c r="AG3230" t="s">
        <v>16416</v>
      </c>
      <c r="AH3230">
        <v>-4.45</v>
      </c>
      <c r="AI3230">
        <v>-3.7</v>
      </c>
      <c r="AJ3230">
        <v>2.36</v>
      </c>
      <c r="AK3230">
        <v>3.88</v>
      </c>
      <c r="AL3230">
        <v>-2</v>
      </c>
      <c r="AM3230">
        <v>-3.33</v>
      </c>
      <c r="AN3230">
        <v>17.26</v>
      </c>
      <c r="AO3230">
        <v>0.68</v>
      </c>
      <c r="AP3230">
        <v>35.73</v>
      </c>
    </row>
    <row r="3231" spans="1:42">
      <c r="A3231">
        <v>3230</v>
      </c>
      <c r="B3231" t="str">
        <f>"301372"</f>
        <v>301372</v>
      </c>
      <c r="C3231" t="s">
        <v>16417</v>
      </c>
      <c r="D3231">
        <v>48.1</v>
      </c>
      <c r="E3231">
        <v>-0.6</v>
      </c>
      <c r="F3231">
        <v>-0.29</v>
      </c>
      <c r="G3231" t="s">
        <v>2615</v>
      </c>
      <c r="H3231">
        <v>107</v>
      </c>
      <c r="I3231">
        <v>48.09</v>
      </c>
      <c r="J3231">
        <v>48.1</v>
      </c>
      <c r="K3231" t="s">
        <v>16418</v>
      </c>
      <c r="L3231">
        <v>6.18</v>
      </c>
      <c r="M3231" t="s">
        <v>46</v>
      </c>
      <c r="N3231" t="s">
        <v>4400</v>
      </c>
      <c r="O3231">
        <v>48.53</v>
      </c>
      <c r="P3231">
        <v>47.48</v>
      </c>
      <c r="Q3231">
        <v>48.01</v>
      </c>
      <c r="R3231">
        <v>48.39</v>
      </c>
      <c r="S3231">
        <v>2.17</v>
      </c>
      <c r="T3231">
        <v>0.64</v>
      </c>
      <c r="U3231">
        <v>-31.43</v>
      </c>
      <c r="V3231">
        <v>-22</v>
      </c>
      <c r="W3231">
        <v>47.92</v>
      </c>
      <c r="X3231">
        <v>5357</v>
      </c>
      <c r="Y3231">
        <v>4690</v>
      </c>
      <c r="Z3231">
        <v>1.14</v>
      </c>
      <c r="AA3231">
        <v>2</v>
      </c>
      <c r="AB3231">
        <v>18</v>
      </c>
      <c r="AC3231">
        <v>3.44</v>
      </c>
      <c r="AD3231" t="s">
        <v>16419</v>
      </c>
      <c r="AE3231" t="s">
        <v>16420</v>
      </c>
      <c r="AF3231" t="s">
        <v>16421</v>
      </c>
      <c r="AG3231" t="s">
        <v>16422</v>
      </c>
      <c r="AH3231">
        <v>-4.92</v>
      </c>
      <c r="AI3231">
        <v>-9.74</v>
      </c>
      <c r="AJ3231">
        <v>21.37</v>
      </c>
      <c r="AK3231">
        <v>54.69</v>
      </c>
      <c r="AL3231">
        <v>-3</v>
      </c>
      <c r="AM3231">
        <v>-0.6</v>
      </c>
      <c r="AN3231">
        <v>6.89</v>
      </c>
      <c r="AO3231">
        <v>-5.13</v>
      </c>
      <c r="AP3231">
        <v>6.89</v>
      </c>
    </row>
    <row r="3232" spans="1:42">
      <c r="A3232">
        <v>3231</v>
      </c>
      <c r="B3232" t="str">
        <f>"300105"</f>
        <v>300105</v>
      </c>
      <c r="C3232" t="s">
        <v>16423</v>
      </c>
      <c r="D3232">
        <v>6.75</v>
      </c>
      <c r="E3232">
        <v>0.9</v>
      </c>
      <c r="F3232">
        <v>0.06</v>
      </c>
      <c r="G3232" t="s">
        <v>2675</v>
      </c>
      <c r="H3232">
        <v>622</v>
      </c>
      <c r="I3232">
        <v>6.75</v>
      </c>
      <c r="J3232">
        <v>6.76</v>
      </c>
      <c r="K3232" t="s">
        <v>9280</v>
      </c>
      <c r="L3232">
        <v>1.39</v>
      </c>
      <c r="M3232" t="s">
        <v>46</v>
      </c>
      <c r="N3232" t="s">
        <v>2254</v>
      </c>
      <c r="O3232">
        <v>6.8</v>
      </c>
      <c r="P3232">
        <v>6.66</v>
      </c>
      <c r="Q3232">
        <v>6.7</v>
      </c>
      <c r="R3232">
        <v>6.69</v>
      </c>
      <c r="S3232">
        <v>2.09</v>
      </c>
      <c r="T3232">
        <v>0.67</v>
      </c>
      <c r="U3232">
        <v>13.2</v>
      </c>
      <c r="V3232">
        <v>393</v>
      </c>
      <c r="W3232">
        <v>6.75</v>
      </c>
      <c r="X3232" t="s">
        <v>6431</v>
      </c>
      <c r="Y3232" t="s">
        <v>2973</v>
      </c>
      <c r="Z3232">
        <v>0.82</v>
      </c>
      <c r="AA3232">
        <v>227</v>
      </c>
      <c r="AB3232">
        <v>43</v>
      </c>
      <c r="AC3232">
        <v>1.92</v>
      </c>
      <c r="AD3232" t="s">
        <v>16424</v>
      </c>
      <c r="AE3232" t="s">
        <v>16425</v>
      </c>
      <c r="AF3232" t="s">
        <v>16426</v>
      </c>
      <c r="AG3232" t="s">
        <v>6316</v>
      </c>
      <c r="AH3232">
        <v>-0.88</v>
      </c>
      <c r="AI3232">
        <v>-3.02</v>
      </c>
      <c r="AJ3232">
        <v>4.02</v>
      </c>
      <c r="AK3232">
        <v>11.73</v>
      </c>
      <c r="AL3232">
        <v>1</v>
      </c>
      <c r="AM3232">
        <v>0.9</v>
      </c>
      <c r="AN3232">
        <v>-12.45</v>
      </c>
      <c r="AO3232">
        <v>3.05</v>
      </c>
      <c r="AP3232">
        <v>-14.34</v>
      </c>
    </row>
    <row r="3233" spans="1:42">
      <c r="A3233">
        <v>3232</v>
      </c>
      <c r="B3233" t="str">
        <f>"600833"</f>
        <v>600833</v>
      </c>
      <c r="C3233" t="s">
        <v>16427</v>
      </c>
      <c r="D3233">
        <v>12.69</v>
      </c>
      <c r="E3233">
        <v>0</v>
      </c>
      <c r="F3233">
        <v>0</v>
      </c>
      <c r="G3233" t="s">
        <v>16179</v>
      </c>
      <c r="H3233">
        <v>252</v>
      </c>
      <c r="I3233">
        <v>12.69</v>
      </c>
      <c r="J3233">
        <v>12.7</v>
      </c>
      <c r="K3233" t="s">
        <v>16428</v>
      </c>
      <c r="L3233">
        <v>1.7</v>
      </c>
      <c r="M3233" t="s">
        <v>46</v>
      </c>
      <c r="N3233" t="s">
        <v>2480</v>
      </c>
      <c r="O3233">
        <v>12.83</v>
      </c>
      <c r="P3233">
        <v>12.62</v>
      </c>
      <c r="Q3233">
        <v>12.71</v>
      </c>
      <c r="R3233">
        <v>12.69</v>
      </c>
      <c r="S3233">
        <v>1.65</v>
      </c>
      <c r="T3233">
        <v>0.77</v>
      </c>
      <c r="U3233">
        <v>3.92</v>
      </c>
      <c r="V3233">
        <v>63</v>
      </c>
      <c r="W3233">
        <v>12.7</v>
      </c>
      <c r="X3233" t="s">
        <v>7210</v>
      </c>
      <c r="Y3233" t="s">
        <v>1112</v>
      </c>
      <c r="Z3233">
        <v>1.27</v>
      </c>
      <c r="AA3233">
        <v>25</v>
      </c>
      <c r="AB3233">
        <v>204</v>
      </c>
      <c r="AC3233">
        <v>2.83</v>
      </c>
      <c r="AD3233" t="s">
        <v>11034</v>
      </c>
      <c r="AE3233" t="s">
        <v>7301</v>
      </c>
      <c r="AF3233" t="s">
        <v>11034</v>
      </c>
      <c r="AG3233" t="s">
        <v>7301</v>
      </c>
      <c r="AH3233">
        <v>0.32</v>
      </c>
      <c r="AI3233">
        <v>-0.24</v>
      </c>
      <c r="AJ3233">
        <v>4.37</v>
      </c>
      <c r="AK3233">
        <v>12.72</v>
      </c>
      <c r="AL3233">
        <v>0</v>
      </c>
      <c r="AM3233">
        <v>0</v>
      </c>
      <c r="AN3233">
        <v>14.43</v>
      </c>
      <c r="AO3233">
        <v>11.02</v>
      </c>
      <c r="AP3233">
        <v>1.6</v>
      </c>
    </row>
    <row r="3234" spans="1:42">
      <c r="A3234">
        <v>3233</v>
      </c>
      <c r="B3234" t="str">
        <f>"300449"</f>
        <v>300449</v>
      </c>
      <c r="C3234" t="s">
        <v>16429</v>
      </c>
      <c r="D3234">
        <v>6.33</v>
      </c>
      <c r="E3234">
        <v>1.77</v>
      </c>
      <c r="F3234">
        <v>0.11</v>
      </c>
      <c r="G3234" t="s">
        <v>700</v>
      </c>
      <c r="H3234">
        <v>1039</v>
      </c>
      <c r="I3234">
        <v>6.32</v>
      </c>
      <c r="J3234">
        <v>6.33</v>
      </c>
      <c r="K3234" t="s">
        <v>16430</v>
      </c>
      <c r="L3234">
        <v>2.58</v>
      </c>
      <c r="M3234" t="s">
        <v>46</v>
      </c>
      <c r="N3234" t="s">
        <v>16431</v>
      </c>
      <c r="O3234">
        <v>6.35</v>
      </c>
      <c r="P3234">
        <v>6.17</v>
      </c>
      <c r="Q3234">
        <v>6.21</v>
      </c>
      <c r="R3234">
        <v>6.22</v>
      </c>
      <c r="S3234">
        <v>2.89</v>
      </c>
      <c r="T3234">
        <v>1.17</v>
      </c>
      <c r="U3234">
        <v>-4.82</v>
      </c>
      <c r="V3234">
        <v>-376</v>
      </c>
      <c r="W3234">
        <v>6.29</v>
      </c>
      <c r="X3234" t="s">
        <v>8622</v>
      </c>
      <c r="Y3234" t="s">
        <v>1236</v>
      </c>
      <c r="Z3234">
        <v>0.63</v>
      </c>
      <c r="AA3234">
        <v>1183</v>
      </c>
      <c r="AB3234">
        <v>1821</v>
      </c>
      <c r="AC3234">
        <v>-228.03</v>
      </c>
      <c r="AD3234" t="s">
        <v>16432</v>
      </c>
      <c r="AE3234" t="s">
        <v>16361</v>
      </c>
      <c r="AF3234" t="s">
        <v>16433</v>
      </c>
      <c r="AG3234" t="s">
        <v>433</v>
      </c>
      <c r="AH3234">
        <v>0.32</v>
      </c>
      <c r="AI3234">
        <v>0.16</v>
      </c>
      <c r="AJ3234">
        <v>6.31</v>
      </c>
      <c r="AK3234">
        <v>13.59</v>
      </c>
      <c r="AL3234">
        <v>1</v>
      </c>
      <c r="AM3234">
        <v>1.77</v>
      </c>
      <c r="AN3234">
        <v>34.97</v>
      </c>
      <c r="AO3234">
        <v>6.75</v>
      </c>
      <c r="AP3234">
        <v>16.15</v>
      </c>
    </row>
    <row r="3235" spans="1:42">
      <c r="A3235">
        <v>3234</v>
      </c>
      <c r="B3235" t="str">
        <f>"002636"</f>
        <v>002636</v>
      </c>
      <c r="C3235" t="s">
        <v>16434</v>
      </c>
      <c r="D3235">
        <v>9.53</v>
      </c>
      <c r="E3235">
        <v>0.32</v>
      </c>
      <c r="F3235">
        <v>0.03</v>
      </c>
      <c r="G3235" t="s">
        <v>7022</v>
      </c>
      <c r="H3235">
        <v>60</v>
      </c>
      <c r="I3235">
        <v>9.52</v>
      </c>
      <c r="J3235">
        <v>9.53</v>
      </c>
      <c r="K3235" t="s">
        <v>16430</v>
      </c>
      <c r="L3235">
        <v>0.7</v>
      </c>
      <c r="M3235" t="s">
        <v>46</v>
      </c>
      <c r="N3235" t="s">
        <v>16435</v>
      </c>
      <c r="O3235">
        <v>9.57</v>
      </c>
      <c r="P3235">
        <v>9.36</v>
      </c>
      <c r="Q3235">
        <v>9.52</v>
      </c>
      <c r="R3235">
        <v>9.5</v>
      </c>
      <c r="S3235">
        <v>2.21</v>
      </c>
      <c r="T3235">
        <v>0.86</v>
      </c>
      <c r="U3235">
        <v>-24.84</v>
      </c>
      <c r="V3235">
        <v>-392</v>
      </c>
      <c r="W3235">
        <v>9.46</v>
      </c>
      <c r="X3235" t="s">
        <v>688</v>
      </c>
      <c r="Y3235" t="s">
        <v>9766</v>
      </c>
      <c r="Z3235">
        <v>1.07</v>
      </c>
      <c r="AA3235">
        <v>7</v>
      </c>
      <c r="AB3235">
        <v>145</v>
      </c>
      <c r="AC3235">
        <v>2</v>
      </c>
      <c r="AD3235" t="s">
        <v>16436</v>
      </c>
      <c r="AE3235" t="s">
        <v>16437</v>
      </c>
      <c r="AF3235" t="s">
        <v>16438</v>
      </c>
      <c r="AG3235" t="s">
        <v>565</v>
      </c>
      <c r="AH3235">
        <v>-2.85</v>
      </c>
      <c r="AI3235">
        <v>-2.56</v>
      </c>
      <c r="AJ3235">
        <v>2.98</v>
      </c>
      <c r="AK3235">
        <v>4.79</v>
      </c>
      <c r="AL3235">
        <v>1</v>
      </c>
      <c r="AM3235">
        <v>0.32</v>
      </c>
      <c r="AN3235">
        <v>23.77</v>
      </c>
      <c r="AO3235">
        <v>-0.94</v>
      </c>
      <c r="AP3235">
        <v>16.93</v>
      </c>
    </row>
    <row r="3236" spans="1:42">
      <c r="A3236">
        <v>3235</v>
      </c>
      <c r="B3236" t="str">
        <f>"301396"</f>
        <v>301396</v>
      </c>
      <c r="C3236" t="s">
        <v>16439</v>
      </c>
      <c r="D3236">
        <v>29.27</v>
      </c>
      <c r="E3236">
        <v>3.14</v>
      </c>
      <c r="F3236">
        <v>0.89</v>
      </c>
      <c r="G3236" t="s">
        <v>390</v>
      </c>
      <c r="H3236">
        <v>290</v>
      </c>
      <c r="I3236">
        <v>29.26</v>
      </c>
      <c r="J3236">
        <v>29.27</v>
      </c>
      <c r="K3236" t="s">
        <v>16440</v>
      </c>
      <c r="L3236">
        <v>3.56</v>
      </c>
      <c r="M3236" t="s">
        <v>46</v>
      </c>
      <c r="N3236" t="s">
        <v>943</v>
      </c>
      <c r="O3236">
        <v>29.33</v>
      </c>
      <c r="P3236">
        <v>28.32</v>
      </c>
      <c r="Q3236">
        <v>28.39</v>
      </c>
      <c r="R3236">
        <v>28.38</v>
      </c>
      <c r="S3236">
        <v>3.56</v>
      </c>
      <c r="T3236">
        <v>1.41</v>
      </c>
      <c r="U3236">
        <v>8.2</v>
      </c>
      <c r="V3236">
        <v>20</v>
      </c>
      <c r="W3236">
        <v>28.91</v>
      </c>
      <c r="X3236">
        <v>6716</v>
      </c>
      <c r="Y3236">
        <v>9888</v>
      </c>
      <c r="Z3236">
        <v>0.68</v>
      </c>
      <c r="AA3236">
        <v>56</v>
      </c>
      <c r="AB3236">
        <v>11</v>
      </c>
      <c r="AC3236">
        <v>2.57</v>
      </c>
      <c r="AD3236" t="s">
        <v>16441</v>
      </c>
      <c r="AE3236" t="s">
        <v>5140</v>
      </c>
      <c r="AF3236" t="s">
        <v>16442</v>
      </c>
      <c r="AG3236" t="s">
        <v>16443</v>
      </c>
      <c r="AH3236">
        <v>0.38</v>
      </c>
      <c r="AI3236">
        <v>-2.63</v>
      </c>
      <c r="AJ3236">
        <v>8.09</v>
      </c>
      <c r="AK3236">
        <v>16.2</v>
      </c>
      <c r="AL3236">
        <v>1</v>
      </c>
      <c r="AM3236">
        <v>3.14</v>
      </c>
      <c r="AN3236">
        <v>3.54</v>
      </c>
      <c r="AO3236">
        <v>-0.2</v>
      </c>
      <c r="AP3236">
        <v>-13.99</v>
      </c>
    </row>
    <row r="3237" spans="1:42">
      <c r="A3237">
        <v>3236</v>
      </c>
      <c r="B3237" t="str">
        <f>"300160"</f>
        <v>300160</v>
      </c>
      <c r="C3237" t="s">
        <v>16444</v>
      </c>
      <c r="D3237">
        <v>6.12</v>
      </c>
      <c r="E3237">
        <v>0.33</v>
      </c>
      <c r="F3237">
        <v>0.02</v>
      </c>
      <c r="G3237" t="s">
        <v>2239</v>
      </c>
      <c r="H3237">
        <v>1194</v>
      </c>
      <c r="I3237">
        <v>6.11</v>
      </c>
      <c r="J3237">
        <v>6.12</v>
      </c>
      <c r="K3237" t="s">
        <v>12988</v>
      </c>
      <c r="L3237">
        <v>1.08</v>
      </c>
      <c r="M3237" t="s">
        <v>46</v>
      </c>
      <c r="N3237" t="s">
        <v>5944</v>
      </c>
      <c r="O3237">
        <v>6.18</v>
      </c>
      <c r="P3237">
        <v>6.05</v>
      </c>
      <c r="Q3237">
        <v>6.09</v>
      </c>
      <c r="R3237">
        <v>6.1</v>
      </c>
      <c r="S3237">
        <v>2.13</v>
      </c>
      <c r="T3237">
        <v>0.5</v>
      </c>
      <c r="U3237">
        <v>-26.12</v>
      </c>
      <c r="V3237">
        <v>-1537</v>
      </c>
      <c r="W3237">
        <v>6.12</v>
      </c>
      <c r="X3237" t="s">
        <v>2921</v>
      </c>
      <c r="Y3237" t="s">
        <v>8663</v>
      </c>
      <c r="Z3237">
        <v>1.14</v>
      </c>
      <c r="AA3237">
        <v>703</v>
      </c>
      <c r="AB3237">
        <v>77</v>
      </c>
      <c r="AC3237">
        <v>2.01</v>
      </c>
      <c r="AD3237" t="s">
        <v>16445</v>
      </c>
      <c r="AE3237" t="s">
        <v>16446</v>
      </c>
      <c r="AF3237" t="s">
        <v>16447</v>
      </c>
      <c r="AG3237" t="s">
        <v>16448</v>
      </c>
      <c r="AH3237">
        <v>-4.67</v>
      </c>
      <c r="AI3237">
        <v>-2.7</v>
      </c>
      <c r="AJ3237">
        <v>6.05</v>
      </c>
      <c r="AK3237">
        <v>12.02</v>
      </c>
      <c r="AL3237">
        <v>1</v>
      </c>
      <c r="AM3237">
        <v>0.33</v>
      </c>
      <c r="AN3237">
        <v>-0.97</v>
      </c>
      <c r="AO3237">
        <v>0.16</v>
      </c>
      <c r="AP3237">
        <v>-5.41</v>
      </c>
    </row>
    <row r="3238" spans="1:42">
      <c r="A3238">
        <v>3237</v>
      </c>
      <c r="B3238" t="str">
        <f>"300323"</f>
        <v>300323</v>
      </c>
      <c r="C3238" t="s">
        <v>16449</v>
      </c>
      <c r="D3238">
        <v>6.83</v>
      </c>
      <c r="E3238">
        <v>0.74</v>
      </c>
      <c r="F3238">
        <v>0.05</v>
      </c>
      <c r="G3238" t="s">
        <v>4228</v>
      </c>
      <c r="H3238">
        <v>486</v>
      </c>
      <c r="I3238">
        <v>6.83</v>
      </c>
      <c r="J3238">
        <v>6.84</v>
      </c>
      <c r="K3238" t="s">
        <v>16450</v>
      </c>
      <c r="L3238">
        <v>0.95</v>
      </c>
      <c r="M3238" t="s">
        <v>46</v>
      </c>
      <c r="N3238" t="s">
        <v>507</v>
      </c>
      <c r="O3238">
        <v>6.87</v>
      </c>
      <c r="P3238">
        <v>6.72</v>
      </c>
      <c r="Q3238">
        <v>6.79</v>
      </c>
      <c r="R3238">
        <v>6.78</v>
      </c>
      <c r="S3238">
        <v>2.21</v>
      </c>
      <c r="T3238">
        <v>0.7</v>
      </c>
      <c r="U3238">
        <v>-11</v>
      </c>
      <c r="V3238">
        <v>-550</v>
      </c>
      <c r="W3238">
        <v>6.79</v>
      </c>
      <c r="X3238" t="s">
        <v>2550</v>
      </c>
      <c r="Y3238" t="s">
        <v>7781</v>
      </c>
      <c r="Z3238">
        <v>0.97</v>
      </c>
      <c r="AA3238">
        <v>343</v>
      </c>
      <c r="AB3238">
        <v>246</v>
      </c>
      <c r="AC3238">
        <v>1.41</v>
      </c>
      <c r="AD3238" t="s">
        <v>1371</v>
      </c>
      <c r="AE3238" t="s">
        <v>10134</v>
      </c>
      <c r="AF3238" t="s">
        <v>16451</v>
      </c>
      <c r="AG3238" t="s">
        <v>16452</v>
      </c>
      <c r="AH3238">
        <v>-2.01</v>
      </c>
      <c r="AI3238">
        <v>-1.16</v>
      </c>
      <c r="AJ3238">
        <v>3.45</v>
      </c>
      <c r="AK3238">
        <v>7.76</v>
      </c>
      <c r="AL3238">
        <v>1</v>
      </c>
      <c r="AM3238">
        <v>0.74</v>
      </c>
      <c r="AN3238">
        <v>5.89</v>
      </c>
      <c r="AO3238">
        <v>0.74</v>
      </c>
      <c r="AP3238">
        <v>-5.53</v>
      </c>
    </row>
    <row r="3239" spans="1:42">
      <c r="A3239">
        <v>3238</v>
      </c>
      <c r="B3239" t="str">
        <f>"603933"</f>
        <v>603933</v>
      </c>
      <c r="C3239" t="s">
        <v>16453</v>
      </c>
      <c r="D3239">
        <v>16.38</v>
      </c>
      <c r="E3239">
        <v>1.42</v>
      </c>
      <c r="F3239">
        <v>0.23</v>
      </c>
      <c r="G3239" t="s">
        <v>7649</v>
      </c>
      <c r="H3239">
        <v>298</v>
      </c>
      <c r="I3239">
        <v>16.38</v>
      </c>
      <c r="J3239">
        <v>16.39</v>
      </c>
      <c r="K3239" t="s">
        <v>16450</v>
      </c>
      <c r="L3239">
        <v>1.42</v>
      </c>
      <c r="M3239" t="s">
        <v>46</v>
      </c>
      <c r="N3239" t="s">
        <v>5236</v>
      </c>
      <c r="O3239">
        <v>16.4</v>
      </c>
      <c r="P3239">
        <v>16.08</v>
      </c>
      <c r="Q3239">
        <v>16.2</v>
      </c>
      <c r="R3239">
        <v>16.15</v>
      </c>
      <c r="S3239">
        <v>1.98</v>
      </c>
      <c r="T3239">
        <v>0.85</v>
      </c>
      <c r="U3239">
        <v>74.61</v>
      </c>
      <c r="V3239">
        <v>3203</v>
      </c>
      <c r="W3239">
        <v>16.24</v>
      </c>
      <c r="X3239" t="s">
        <v>5446</v>
      </c>
      <c r="Y3239" t="s">
        <v>7178</v>
      </c>
      <c r="Z3239">
        <v>0.91</v>
      </c>
      <c r="AA3239">
        <v>263</v>
      </c>
      <c r="AB3239">
        <v>138</v>
      </c>
      <c r="AC3239">
        <v>2.68</v>
      </c>
      <c r="AD3239" t="s">
        <v>16454</v>
      </c>
      <c r="AE3239" t="s">
        <v>16455</v>
      </c>
      <c r="AF3239" t="s">
        <v>16456</v>
      </c>
      <c r="AG3239" t="s">
        <v>16457</v>
      </c>
      <c r="AH3239">
        <v>-1.62</v>
      </c>
      <c r="AI3239">
        <v>-2.79</v>
      </c>
      <c r="AJ3239">
        <v>4.78</v>
      </c>
      <c r="AK3239">
        <v>9.83</v>
      </c>
      <c r="AL3239">
        <v>1</v>
      </c>
      <c r="AM3239">
        <v>1.42</v>
      </c>
      <c r="AN3239">
        <v>37.76</v>
      </c>
      <c r="AO3239">
        <v>0.43</v>
      </c>
      <c r="AP3239">
        <v>42.93</v>
      </c>
    </row>
    <row r="3240" spans="1:42">
      <c r="A3240">
        <v>3239</v>
      </c>
      <c r="B3240" t="str">
        <f>"000061"</f>
        <v>000061</v>
      </c>
      <c r="C3240" t="s">
        <v>16458</v>
      </c>
      <c r="D3240">
        <v>6.87</v>
      </c>
      <c r="E3240">
        <v>0.88</v>
      </c>
      <c r="F3240">
        <v>0.06</v>
      </c>
      <c r="G3240" t="s">
        <v>3462</v>
      </c>
      <c r="H3240">
        <v>362</v>
      </c>
      <c r="I3240">
        <v>6.86</v>
      </c>
      <c r="J3240">
        <v>6.87</v>
      </c>
      <c r="K3240" t="s">
        <v>16459</v>
      </c>
      <c r="L3240">
        <v>0.41</v>
      </c>
      <c r="M3240" t="s">
        <v>46</v>
      </c>
      <c r="N3240" t="s">
        <v>543</v>
      </c>
      <c r="O3240">
        <v>6.89</v>
      </c>
      <c r="P3240">
        <v>6.77</v>
      </c>
      <c r="Q3240">
        <v>6.82</v>
      </c>
      <c r="R3240">
        <v>6.81</v>
      </c>
      <c r="S3240">
        <v>1.76</v>
      </c>
      <c r="T3240">
        <v>1.2</v>
      </c>
      <c r="U3240">
        <v>-67.36</v>
      </c>
      <c r="V3240">
        <v>-3430</v>
      </c>
      <c r="W3240">
        <v>6.85</v>
      </c>
      <c r="X3240" t="s">
        <v>4780</v>
      </c>
      <c r="Y3240" t="s">
        <v>7781</v>
      </c>
      <c r="Z3240">
        <v>0.95</v>
      </c>
      <c r="AA3240">
        <v>118</v>
      </c>
      <c r="AB3240">
        <v>413</v>
      </c>
      <c r="AC3240">
        <v>1.95</v>
      </c>
      <c r="AD3240" t="s">
        <v>16460</v>
      </c>
      <c r="AE3240" t="s">
        <v>8864</v>
      </c>
      <c r="AF3240" t="s">
        <v>16460</v>
      </c>
      <c r="AG3240" t="s">
        <v>8864</v>
      </c>
      <c r="AH3240">
        <v>1.48</v>
      </c>
      <c r="AI3240">
        <v>1.78</v>
      </c>
      <c r="AJ3240">
        <v>1.01</v>
      </c>
      <c r="AK3240">
        <v>2.13</v>
      </c>
      <c r="AL3240">
        <v>2</v>
      </c>
      <c r="AM3240">
        <v>0.88</v>
      </c>
      <c r="AN3240">
        <v>21.38</v>
      </c>
      <c r="AO3240">
        <v>5.86</v>
      </c>
      <c r="AP3240">
        <v>24.01</v>
      </c>
    </row>
    <row r="3241" spans="1:42">
      <c r="A3241">
        <v>3240</v>
      </c>
      <c r="B3241" t="str">
        <f>"301178"</f>
        <v>301178</v>
      </c>
      <c r="C3241" t="s">
        <v>16461</v>
      </c>
      <c r="D3241">
        <v>34.98</v>
      </c>
      <c r="E3241">
        <v>2.88</v>
      </c>
      <c r="F3241">
        <v>0.98</v>
      </c>
      <c r="G3241" t="s">
        <v>10542</v>
      </c>
      <c r="H3241">
        <v>198</v>
      </c>
      <c r="I3241">
        <v>34.93</v>
      </c>
      <c r="J3241">
        <v>34.98</v>
      </c>
      <c r="K3241" t="s">
        <v>16462</v>
      </c>
      <c r="L3241">
        <v>3.18</v>
      </c>
      <c r="M3241" t="s">
        <v>46</v>
      </c>
      <c r="N3241" t="s">
        <v>7654</v>
      </c>
      <c r="O3241">
        <v>35.17</v>
      </c>
      <c r="P3241">
        <v>33.78</v>
      </c>
      <c r="Q3241">
        <v>33.94</v>
      </c>
      <c r="R3241">
        <v>34</v>
      </c>
      <c r="S3241">
        <v>4.09</v>
      </c>
      <c r="T3241">
        <v>1.1</v>
      </c>
      <c r="U3241">
        <v>-51.32</v>
      </c>
      <c r="V3241">
        <v>-96</v>
      </c>
      <c r="W3241">
        <v>34.47</v>
      </c>
      <c r="X3241">
        <v>5905</v>
      </c>
      <c r="Y3241">
        <v>7976</v>
      </c>
      <c r="Z3241">
        <v>0.74</v>
      </c>
      <c r="AA3241">
        <v>2</v>
      </c>
      <c r="AB3241">
        <v>17</v>
      </c>
      <c r="AC3241">
        <v>2.81</v>
      </c>
      <c r="AD3241" t="s">
        <v>16463</v>
      </c>
      <c r="AE3241" t="s">
        <v>8047</v>
      </c>
      <c r="AF3241" t="s">
        <v>16464</v>
      </c>
      <c r="AG3241" t="s">
        <v>16465</v>
      </c>
      <c r="AH3241">
        <v>2.25</v>
      </c>
      <c r="AI3241">
        <v>-0.6</v>
      </c>
      <c r="AJ3241">
        <v>7.86</v>
      </c>
      <c r="AK3241">
        <v>17.7</v>
      </c>
      <c r="AL3241">
        <v>2</v>
      </c>
      <c r="AM3241">
        <v>2.88</v>
      </c>
      <c r="AN3241">
        <v>45.75</v>
      </c>
      <c r="AO3241">
        <v>8.77</v>
      </c>
      <c r="AP3241">
        <v>26.65</v>
      </c>
    </row>
    <row r="3242" spans="1:42">
      <c r="A3242">
        <v>3241</v>
      </c>
      <c r="B3242" t="str">
        <f>"603026"</f>
        <v>603026</v>
      </c>
      <c r="C3242" t="s">
        <v>16466</v>
      </c>
      <c r="D3242">
        <v>48.66</v>
      </c>
      <c r="E3242">
        <v>-0.02</v>
      </c>
      <c r="F3242">
        <v>-0.01</v>
      </c>
      <c r="G3242">
        <v>9871</v>
      </c>
      <c r="H3242">
        <v>134</v>
      </c>
      <c r="I3242">
        <v>48.66</v>
      </c>
      <c r="J3242">
        <v>48.67</v>
      </c>
      <c r="K3242" t="s">
        <v>16467</v>
      </c>
      <c r="L3242">
        <v>0.49</v>
      </c>
      <c r="M3242" t="s">
        <v>46</v>
      </c>
      <c r="N3242" t="s">
        <v>16468</v>
      </c>
      <c r="O3242">
        <v>48.99</v>
      </c>
      <c r="P3242">
        <v>48</v>
      </c>
      <c r="Q3242">
        <v>48.62</v>
      </c>
      <c r="R3242">
        <v>48.67</v>
      </c>
      <c r="S3242">
        <v>2.03</v>
      </c>
      <c r="T3242">
        <v>0.92</v>
      </c>
      <c r="U3242">
        <v>41.66</v>
      </c>
      <c r="V3242">
        <v>22</v>
      </c>
      <c r="W3242">
        <v>48.44</v>
      </c>
      <c r="X3242">
        <v>5469</v>
      </c>
      <c r="Y3242">
        <v>4401</v>
      </c>
      <c r="Z3242">
        <v>1.24</v>
      </c>
      <c r="AA3242">
        <v>21</v>
      </c>
      <c r="AB3242">
        <v>1</v>
      </c>
      <c r="AC3242">
        <v>2.5</v>
      </c>
      <c r="AD3242" t="s">
        <v>16469</v>
      </c>
      <c r="AE3242" t="s">
        <v>16470</v>
      </c>
      <c r="AF3242" t="s">
        <v>16469</v>
      </c>
      <c r="AG3242" t="s">
        <v>16470</v>
      </c>
      <c r="AH3242">
        <v>-1.52</v>
      </c>
      <c r="AI3242">
        <v>-4.98</v>
      </c>
      <c r="AJ3242">
        <v>1.34</v>
      </c>
      <c r="AK3242">
        <v>3.14</v>
      </c>
      <c r="AL3242">
        <v>-3</v>
      </c>
      <c r="AM3242">
        <v>-0.02</v>
      </c>
      <c r="AN3242">
        <v>-47.11</v>
      </c>
      <c r="AO3242">
        <v>-6.51</v>
      </c>
      <c r="AP3242">
        <v>-52.1</v>
      </c>
    </row>
    <row r="3243" spans="1:42">
      <c r="A3243">
        <v>3242</v>
      </c>
      <c r="B3243" t="str">
        <f>"600054"</f>
        <v>600054</v>
      </c>
      <c r="C3243" t="s">
        <v>16471</v>
      </c>
      <c r="D3243">
        <v>11.5</v>
      </c>
      <c r="E3243">
        <v>-0.26</v>
      </c>
      <c r="F3243">
        <v>-0.03</v>
      </c>
      <c r="G3243" t="s">
        <v>5666</v>
      </c>
      <c r="H3243">
        <v>187</v>
      </c>
      <c r="I3243">
        <v>11.5</v>
      </c>
      <c r="J3243">
        <v>11.51</v>
      </c>
      <c r="K3243" t="s">
        <v>16472</v>
      </c>
      <c r="L3243">
        <v>0.81</v>
      </c>
      <c r="M3243" t="s">
        <v>46</v>
      </c>
      <c r="N3243" t="s">
        <v>11419</v>
      </c>
      <c r="O3243">
        <v>11.66</v>
      </c>
      <c r="P3243">
        <v>11.45</v>
      </c>
      <c r="Q3243">
        <v>11.55</v>
      </c>
      <c r="R3243">
        <v>11.53</v>
      </c>
      <c r="S3243">
        <v>1.82</v>
      </c>
      <c r="T3243">
        <v>1.11</v>
      </c>
      <c r="U3243">
        <v>10.4</v>
      </c>
      <c r="V3243">
        <v>163</v>
      </c>
      <c r="W3243">
        <v>11.53</v>
      </c>
      <c r="X3243" t="s">
        <v>314</v>
      </c>
      <c r="Y3243" t="s">
        <v>432</v>
      </c>
      <c r="Z3243">
        <v>1.3</v>
      </c>
      <c r="AA3243">
        <v>110</v>
      </c>
      <c r="AB3243">
        <v>85</v>
      </c>
      <c r="AC3243">
        <v>1.87</v>
      </c>
      <c r="AD3243" t="s">
        <v>16473</v>
      </c>
      <c r="AE3243" t="s">
        <v>3955</v>
      </c>
      <c r="AF3243" t="s">
        <v>13277</v>
      </c>
      <c r="AG3243" t="s">
        <v>9763</v>
      </c>
      <c r="AH3243">
        <v>-0.78</v>
      </c>
      <c r="AI3243">
        <v>0</v>
      </c>
      <c r="AJ3243">
        <v>2.36</v>
      </c>
      <c r="AK3243">
        <v>4.44</v>
      </c>
      <c r="AL3243">
        <v>-1</v>
      </c>
      <c r="AM3243">
        <v>-0.26</v>
      </c>
      <c r="AN3243">
        <v>-9.73</v>
      </c>
      <c r="AO3243">
        <v>1.86</v>
      </c>
      <c r="AP3243">
        <v>6.48</v>
      </c>
    </row>
    <row r="3244" spans="1:42">
      <c r="A3244">
        <v>3243</v>
      </c>
      <c r="B3244" t="str">
        <f>"601212"</f>
        <v>601212</v>
      </c>
      <c r="C3244" t="s">
        <v>16474</v>
      </c>
      <c r="D3244">
        <v>2.69</v>
      </c>
      <c r="E3244">
        <v>0.37</v>
      </c>
      <c r="F3244">
        <v>0.01</v>
      </c>
      <c r="G3244" t="s">
        <v>3347</v>
      </c>
      <c r="H3244">
        <v>1937</v>
      </c>
      <c r="I3244">
        <v>2.69</v>
      </c>
      <c r="J3244">
        <v>2.7</v>
      </c>
      <c r="K3244" t="s">
        <v>16475</v>
      </c>
      <c r="L3244">
        <v>0.24</v>
      </c>
      <c r="M3244" t="s">
        <v>46</v>
      </c>
      <c r="N3244" t="s">
        <v>16476</v>
      </c>
      <c r="O3244">
        <v>2.7</v>
      </c>
      <c r="P3244">
        <v>2.67</v>
      </c>
      <c r="Q3244">
        <v>2.68</v>
      </c>
      <c r="R3244">
        <v>2.68</v>
      </c>
      <c r="S3244">
        <v>1.12</v>
      </c>
      <c r="T3244">
        <v>0.65</v>
      </c>
      <c r="U3244">
        <v>1.79</v>
      </c>
      <c r="V3244">
        <v>1830</v>
      </c>
      <c r="W3244">
        <v>2.69</v>
      </c>
      <c r="X3244" t="s">
        <v>371</v>
      </c>
      <c r="Y3244" t="s">
        <v>4775</v>
      </c>
      <c r="Z3244">
        <v>0.84</v>
      </c>
      <c r="AA3244">
        <v>9387</v>
      </c>
      <c r="AB3244" t="s">
        <v>905</v>
      </c>
      <c r="AC3244">
        <v>1.31</v>
      </c>
      <c r="AD3244" t="s">
        <v>16477</v>
      </c>
      <c r="AE3244" t="s">
        <v>16478</v>
      </c>
      <c r="AF3244" t="s">
        <v>16477</v>
      </c>
      <c r="AG3244" t="s">
        <v>16478</v>
      </c>
      <c r="AH3244">
        <v>-0.74</v>
      </c>
      <c r="AI3244">
        <v>-0.74</v>
      </c>
      <c r="AJ3244">
        <v>1.21</v>
      </c>
      <c r="AK3244">
        <v>2.08</v>
      </c>
      <c r="AL3244">
        <v>1</v>
      </c>
      <c r="AM3244">
        <v>0.37</v>
      </c>
      <c r="AN3244">
        <v>3.46</v>
      </c>
      <c r="AO3244">
        <v>-1.82</v>
      </c>
      <c r="AP3244">
        <v>2.67</v>
      </c>
    </row>
    <row r="3245" spans="1:42">
      <c r="A3245">
        <v>3244</v>
      </c>
      <c r="B3245" t="str">
        <f>"601226"</f>
        <v>601226</v>
      </c>
      <c r="C3245" t="s">
        <v>16479</v>
      </c>
      <c r="D3245">
        <v>5.62</v>
      </c>
      <c r="E3245">
        <v>0.18</v>
      </c>
      <c r="F3245">
        <v>0.01</v>
      </c>
      <c r="G3245" t="s">
        <v>2502</v>
      </c>
      <c r="H3245">
        <v>4318</v>
      </c>
      <c r="I3245">
        <v>5.62</v>
      </c>
      <c r="J3245">
        <v>5.63</v>
      </c>
      <c r="K3245" t="s">
        <v>16480</v>
      </c>
      <c r="L3245">
        <v>0.74</v>
      </c>
      <c r="M3245" t="s">
        <v>46</v>
      </c>
      <c r="N3245" t="s">
        <v>445</v>
      </c>
      <c r="O3245">
        <v>5.65</v>
      </c>
      <c r="P3245">
        <v>5.48</v>
      </c>
      <c r="Q3245">
        <v>5.6</v>
      </c>
      <c r="R3245">
        <v>5.61</v>
      </c>
      <c r="S3245">
        <v>3.03</v>
      </c>
      <c r="T3245">
        <v>0.72</v>
      </c>
      <c r="U3245">
        <v>-10.83</v>
      </c>
      <c r="V3245">
        <v>-653</v>
      </c>
      <c r="W3245">
        <v>5.58</v>
      </c>
      <c r="X3245" t="s">
        <v>778</v>
      </c>
      <c r="Y3245" t="s">
        <v>6302</v>
      </c>
      <c r="Z3245">
        <v>1.23</v>
      </c>
      <c r="AA3245">
        <v>168</v>
      </c>
      <c r="AB3245">
        <v>245</v>
      </c>
      <c r="AC3245">
        <v>1.57</v>
      </c>
      <c r="AD3245" t="s">
        <v>10535</v>
      </c>
      <c r="AE3245" t="s">
        <v>16481</v>
      </c>
      <c r="AF3245" t="s">
        <v>16482</v>
      </c>
      <c r="AG3245" t="s">
        <v>15053</v>
      </c>
      <c r="AH3245">
        <v>-4.58</v>
      </c>
      <c r="AI3245">
        <v>-2.77</v>
      </c>
      <c r="AJ3245">
        <v>3.1</v>
      </c>
      <c r="AK3245">
        <v>5.9</v>
      </c>
      <c r="AL3245">
        <v>1</v>
      </c>
      <c r="AM3245">
        <v>0.18</v>
      </c>
      <c r="AN3245">
        <v>0.72</v>
      </c>
      <c r="AO3245">
        <v>-1.23</v>
      </c>
      <c r="AP3245">
        <v>-14.33</v>
      </c>
    </row>
    <row r="3246" spans="1:42">
      <c r="A3246">
        <v>3245</v>
      </c>
      <c r="B3246" t="str">
        <f>"301041"</f>
        <v>301041</v>
      </c>
      <c r="C3246" t="s">
        <v>16483</v>
      </c>
      <c r="D3246">
        <v>28</v>
      </c>
      <c r="E3246">
        <v>0.61</v>
      </c>
      <c r="F3246">
        <v>0.17</v>
      </c>
      <c r="G3246" t="s">
        <v>2397</v>
      </c>
      <c r="H3246">
        <v>670</v>
      </c>
      <c r="I3246">
        <v>27.99</v>
      </c>
      <c r="J3246">
        <v>28</v>
      </c>
      <c r="K3246" t="s">
        <v>16484</v>
      </c>
      <c r="L3246">
        <v>2.79</v>
      </c>
      <c r="M3246" t="s">
        <v>46</v>
      </c>
      <c r="N3246" t="s">
        <v>3067</v>
      </c>
      <c r="O3246">
        <v>28.17</v>
      </c>
      <c r="P3246">
        <v>27.4</v>
      </c>
      <c r="Q3246">
        <v>27.79</v>
      </c>
      <c r="R3246">
        <v>27.83</v>
      </c>
      <c r="S3246">
        <v>2.77</v>
      </c>
      <c r="T3246">
        <v>0.62</v>
      </c>
      <c r="U3246">
        <v>-10.53</v>
      </c>
      <c r="V3246">
        <v>-12</v>
      </c>
      <c r="W3246">
        <v>27.79</v>
      </c>
      <c r="X3246">
        <v>8435</v>
      </c>
      <c r="Y3246">
        <v>8706</v>
      </c>
      <c r="Z3246">
        <v>0.97</v>
      </c>
      <c r="AA3246">
        <v>9</v>
      </c>
      <c r="AB3246">
        <v>15</v>
      </c>
      <c r="AC3246">
        <v>4.56</v>
      </c>
      <c r="AD3246" t="s">
        <v>4856</v>
      </c>
      <c r="AE3246" t="s">
        <v>16485</v>
      </c>
      <c r="AF3246" t="s">
        <v>14548</v>
      </c>
      <c r="AG3246" t="s">
        <v>10721</v>
      </c>
      <c r="AH3246">
        <v>-1.16</v>
      </c>
      <c r="AI3246">
        <v>-1.41</v>
      </c>
      <c r="AJ3246">
        <v>11.1</v>
      </c>
      <c r="AK3246">
        <v>25.25</v>
      </c>
      <c r="AL3246">
        <v>1</v>
      </c>
      <c r="AM3246">
        <v>0.61</v>
      </c>
      <c r="AN3246">
        <v>46.75</v>
      </c>
      <c r="AO3246">
        <v>1.89</v>
      </c>
      <c r="AP3246">
        <v>50.05</v>
      </c>
    </row>
    <row r="3247" spans="1:42">
      <c r="A3247">
        <v>3246</v>
      </c>
      <c r="B3247" t="str">
        <f>"002498"</f>
        <v>002498</v>
      </c>
      <c r="C3247" t="s">
        <v>16486</v>
      </c>
      <c r="D3247">
        <v>3.91</v>
      </c>
      <c r="E3247">
        <v>0.51</v>
      </c>
      <c r="F3247">
        <v>0.02</v>
      </c>
      <c r="G3247" t="s">
        <v>447</v>
      </c>
      <c r="H3247">
        <v>620</v>
      </c>
      <c r="I3247">
        <v>3.9</v>
      </c>
      <c r="J3247">
        <v>3.91</v>
      </c>
      <c r="K3247" t="s">
        <v>16484</v>
      </c>
      <c r="L3247">
        <v>0.37</v>
      </c>
      <c r="M3247" t="s">
        <v>46</v>
      </c>
      <c r="N3247" t="s">
        <v>8905</v>
      </c>
      <c r="O3247">
        <v>3.92</v>
      </c>
      <c r="P3247">
        <v>3.87</v>
      </c>
      <c r="Q3247">
        <v>3.89</v>
      </c>
      <c r="R3247">
        <v>3.89</v>
      </c>
      <c r="S3247">
        <v>1.29</v>
      </c>
      <c r="T3247">
        <v>1.16</v>
      </c>
      <c r="U3247">
        <v>-44.47</v>
      </c>
      <c r="V3247" t="s">
        <v>16487</v>
      </c>
      <c r="W3247">
        <v>3.9</v>
      </c>
      <c r="X3247" t="s">
        <v>7430</v>
      </c>
      <c r="Y3247" t="s">
        <v>4741</v>
      </c>
      <c r="Z3247">
        <v>0.72</v>
      </c>
      <c r="AA3247">
        <v>1052</v>
      </c>
      <c r="AB3247">
        <v>1327</v>
      </c>
      <c r="AC3247">
        <v>1.71</v>
      </c>
      <c r="AD3247" t="s">
        <v>16488</v>
      </c>
      <c r="AE3247" t="s">
        <v>265</v>
      </c>
      <c r="AF3247" t="s">
        <v>16488</v>
      </c>
      <c r="AG3247" t="s">
        <v>265</v>
      </c>
      <c r="AH3247">
        <v>0</v>
      </c>
      <c r="AI3247">
        <v>0.51</v>
      </c>
      <c r="AJ3247">
        <v>0.97</v>
      </c>
      <c r="AK3247">
        <v>1.95</v>
      </c>
      <c r="AL3247">
        <v>1</v>
      </c>
      <c r="AM3247">
        <v>0.51</v>
      </c>
      <c r="AN3247">
        <v>-5.56</v>
      </c>
      <c r="AO3247">
        <v>1.03</v>
      </c>
      <c r="AP3247">
        <v>-9.49</v>
      </c>
    </row>
    <row r="3248" spans="1:42">
      <c r="A3248">
        <v>3247</v>
      </c>
      <c r="B3248" t="str">
        <f>"601882"</f>
        <v>601882</v>
      </c>
      <c r="C3248" t="s">
        <v>16489</v>
      </c>
      <c r="D3248">
        <v>25.29</v>
      </c>
      <c r="E3248">
        <v>-0.08</v>
      </c>
      <c r="F3248">
        <v>-0.02</v>
      </c>
      <c r="G3248" t="s">
        <v>2694</v>
      </c>
      <c r="H3248">
        <v>25</v>
      </c>
      <c r="I3248">
        <v>25.28</v>
      </c>
      <c r="J3248">
        <v>25.29</v>
      </c>
      <c r="K3248" t="s">
        <v>16490</v>
      </c>
      <c r="L3248">
        <v>0.36</v>
      </c>
      <c r="M3248" t="s">
        <v>46</v>
      </c>
      <c r="N3248" t="s">
        <v>3334</v>
      </c>
      <c r="O3248">
        <v>25.45</v>
      </c>
      <c r="P3248">
        <v>24.86</v>
      </c>
      <c r="Q3248">
        <v>25.3</v>
      </c>
      <c r="R3248">
        <v>25.31</v>
      </c>
      <c r="S3248">
        <v>2.33</v>
      </c>
      <c r="T3248">
        <v>0.69</v>
      </c>
      <c r="U3248">
        <v>17.02</v>
      </c>
      <c r="V3248">
        <v>51</v>
      </c>
      <c r="W3248">
        <v>25.11</v>
      </c>
      <c r="X3248" t="s">
        <v>4443</v>
      </c>
      <c r="Y3248">
        <v>7994</v>
      </c>
      <c r="Z3248">
        <v>1.37</v>
      </c>
      <c r="AA3248">
        <v>44</v>
      </c>
      <c r="AB3248">
        <v>15</v>
      </c>
      <c r="AC3248">
        <v>5.83</v>
      </c>
      <c r="AD3248" t="s">
        <v>10524</v>
      </c>
      <c r="AE3248" t="s">
        <v>8644</v>
      </c>
      <c r="AF3248" t="s">
        <v>10524</v>
      </c>
      <c r="AG3248" t="s">
        <v>8644</v>
      </c>
      <c r="AH3248">
        <v>-1.67</v>
      </c>
      <c r="AI3248">
        <v>-2.36</v>
      </c>
      <c r="AJ3248">
        <v>1.91</v>
      </c>
      <c r="AK3248">
        <v>3</v>
      </c>
      <c r="AL3248">
        <v>-2</v>
      </c>
      <c r="AM3248">
        <v>-0.08</v>
      </c>
      <c r="AN3248">
        <v>-1.44</v>
      </c>
      <c r="AO3248">
        <v>-4.71</v>
      </c>
      <c r="AP3248">
        <v>-16.04</v>
      </c>
    </row>
    <row r="3249" spans="1:42">
      <c r="A3249">
        <v>3248</v>
      </c>
      <c r="B3249" t="str">
        <f>"002321"</f>
        <v>002321</v>
      </c>
      <c r="C3249" t="s">
        <v>16491</v>
      </c>
      <c r="D3249">
        <v>2.49</v>
      </c>
      <c r="E3249">
        <v>1.63</v>
      </c>
      <c r="F3249">
        <v>0.04</v>
      </c>
      <c r="G3249" t="s">
        <v>1960</v>
      </c>
      <c r="H3249">
        <v>800</v>
      </c>
      <c r="I3249">
        <v>2.48</v>
      </c>
      <c r="J3249">
        <v>2.49</v>
      </c>
      <c r="K3249" t="s">
        <v>16492</v>
      </c>
      <c r="L3249">
        <v>0.9</v>
      </c>
      <c r="M3249" t="s">
        <v>46</v>
      </c>
      <c r="N3249" t="s">
        <v>7209</v>
      </c>
      <c r="O3249">
        <v>2.53</v>
      </c>
      <c r="P3249">
        <v>2.43</v>
      </c>
      <c r="Q3249">
        <v>2.44</v>
      </c>
      <c r="R3249">
        <v>2.45</v>
      </c>
      <c r="S3249">
        <v>4.08</v>
      </c>
      <c r="T3249">
        <v>1.12</v>
      </c>
      <c r="U3249">
        <v>-58.09</v>
      </c>
      <c r="V3249" t="s">
        <v>5073</v>
      </c>
      <c r="W3249">
        <v>2.49</v>
      </c>
      <c r="X3249" t="s">
        <v>4243</v>
      </c>
      <c r="Y3249" t="s">
        <v>829</v>
      </c>
      <c r="Z3249">
        <v>0.72</v>
      </c>
      <c r="AA3249">
        <v>1563</v>
      </c>
      <c r="AB3249">
        <v>6825</v>
      </c>
      <c r="AC3249">
        <v>5.11</v>
      </c>
      <c r="AD3249" t="s">
        <v>16493</v>
      </c>
      <c r="AE3249" t="s">
        <v>16494</v>
      </c>
      <c r="AF3249" t="s">
        <v>16493</v>
      </c>
      <c r="AG3249" t="s">
        <v>16494</v>
      </c>
      <c r="AH3249">
        <v>0.81</v>
      </c>
      <c r="AI3249">
        <v>1.22</v>
      </c>
      <c r="AJ3249">
        <v>2.1</v>
      </c>
      <c r="AK3249">
        <v>4.9</v>
      </c>
      <c r="AL3249">
        <v>2</v>
      </c>
      <c r="AM3249">
        <v>1.63</v>
      </c>
      <c r="AN3249">
        <v>7.79</v>
      </c>
      <c r="AO3249">
        <v>4.18</v>
      </c>
      <c r="AP3249">
        <v>5.51</v>
      </c>
    </row>
    <row r="3250" spans="1:42">
      <c r="A3250">
        <v>3249</v>
      </c>
      <c r="B3250" t="str">
        <f>"688693"</f>
        <v>688693</v>
      </c>
      <c r="C3250" t="s">
        <v>16495</v>
      </c>
      <c r="D3250">
        <v>48.77</v>
      </c>
      <c r="E3250">
        <v>-1.89</v>
      </c>
      <c r="F3250">
        <v>-0.94</v>
      </c>
      <c r="G3250">
        <v>9728</v>
      </c>
      <c r="H3250">
        <v>276</v>
      </c>
      <c r="I3250">
        <v>48.77</v>
      </c>
      <c r="J3250">
        <v>48.83</v>
      </c>
      <c r="K3250" t="s">
        <v>16496</v>
      </c>
      <c r="L3250">
        <v>5.91</v>
      </c>
      <c r="M3250" t="s">
        <v>46</v>
      </c>
      <c r="N3250" t="s">
        <v>6883</v>
      </c>
      <c r="O3250">
        <v>49.7</v>
      </c>
      <c r="P3250">
        <v>48.12</v>
      </c>
      <c r="Q3250">
        <v>49.61</v>
      </c>
      <c r="R3250">
        <v>49.71</v>
      </c>
      <c r="S3250">
        <v>3.18</v>
      </c>
      <c r="T3250">
        <v>0.89</v>
      </c>
      <c r="U3250">
        <v>46.37</v>
      </c>
      <c r="V3250">
        <v>57</v>
      </c>
      <c r="W3250">
        <v>48.85</v>
      </c>
      <c r="X3250">
        <v>5327</v>
      </c>
      <c r="Y3250">
        <v>4401</v>
      </c>
      <c r="Z3250">
        <v>1.21</v>
      </c>
      <c r="AA3250">
        <v>18</v>
      </c>
      <c r="AB3250">
        <v>0</v>
      </c>
      <c r="AC3250">
        <v>3.5</v>
      </c>
      <c r="AD3250" t="s">
        <v>16497</v>
      </c>
      <c r="AE3250" t="s">
        <v>11035</v>
      </c>
      <c r="AF3250" t="s">
        <v>16498</v>
      </c>
      <c r="AG3250" t="s">
        <v>8259</v>
      </c>
      <c r="AH3250">
        <v>-3.25</v>
      </c>
      <c r="AI3250">
        <v>-6.21</v>
      </c>
      <c r="AJ3250">
        <v>21.86</v>
      </c>
      <c r="AK3250">
        <v>39.14</v>
      </c>
      <c r="AL3250">
        <v>-2</v>
      </c>
      <c r="AM3250">
        <v>-1.89</v>
      </c>
      <c r="AN3250">
        <v>19.45</v>
      </c>
      <c r="AO3250">
        <v>-7.69</v>
      </c>
      <c r="AP3250">
        <v>19.45</v>
      </c>
    </row>
    <row r="3251" spans="1:42">
      <c r="A3251">
        <v>3250</v>
      </c>
      <c r="B3251" t="str">
        <f>"600684"</f>
        <v>600684</v>
      </c>
      <c r="C3251" t="s">
        <v>16499</v>
      </c>
      <c r="D3251">
        <v>3.8</v>
      </c>
      <c r="E3251">
        <v>1.33</v>
      </c>
      <c r="F3251">
        <v>0.05</v>
      </c>
      <c r="G3251" t="s">
        <v>1986</v>
      </c>
      <c r="H3251">
        <v>2625</v>
      </c>
      <c r="I3251">
        <v>3.79</v>
      </c>
      <c r="J3251">
        <v>3.8</v>
      </c>
      <c r="K3251" t="s">
        <v>16496</v>
      </c>
      <c r="L3251">
        <v>1.46</v>
      </c>
      <c r="M3251" t="s">
        <v>46</v>
      </c>
      <c r="N3251" t="s">
        <v>5034</v>
      </c>
      <c r="O3251">
        <v>3.84</v>
      </c>
      <c r="P3251">
        <v>3.74</v>
      </c>
      <c r="Q3251">
        <v>3.75</v>
      </c>
      <c r="R3251">
        <v>3.75</v>
      </c>
      <c r="S3251">
        <v>2.67</v>
      </c>
      <c r="T3251">
        <v>0.7</v>
      </c>
      <c r="U3251">
        <v>-1.19</v>
      </c>
      <c r="V3251">
        <v>-171</v>
      </c>
      <c r="W3251">
        <v>3.8</v>
      </c>
      <c r="X3251" t="s">
        <v>9139</v>
      </c>
      <c r="Y3251" t="s">
        <v>9787</v>
      </c>
      <c r="Z3251">
        <v>1.01</v>
      </c>
      <c r="AA3251">
        <v>2618</v>
      </c>
      <c r="AB3251">
        <v>526</v>
      </c>
      <c r="AC3251">
        <v>7.54</v>
      </c>
      <c r="AD3251" t="s">
        <v>16500</v>
      </c>
      <c r="AE3251" t="s">
        <v>1448</v>
      </c>
      <c r="AF3251" t="s">
        <v>16500</v>
      </c>
      <c r="AG3251" t="s">
        <v>1448</v>
      </c>
      <c r="AH3251">
        <v>-2.06</v>
      </c>
      <c r="AI3251">
        <v>-6.17</v>
      </c>
      <c r="AJ3251">
        <v>5.66</v>
      </c>
      <c r="AK3251">
        <v>11.91</v>
      </c>
      <c r="AL3251">
        <v>1</v>
      </c>
      <c r="AM3251">
        <v>1.33</v>
      </c>
      <c r="AN3251">
        <v>-0.26</v>
      </c>
      <c r="AO3251">
        <v>2.98</v>
      </c>
      <c r="AP3251">
        <v>4.4</v>
      </c>
    </row>
    <row r="3252" spans="1:42">
      <c r="A3252">
        <v>3251</v>
      </c>
      <c r="B3252" t="str">
        <f>"000869"</f>
        <v>000869</v>
      </c>
      <c r="C3252" t="s">
        <v>16501</v>
      </c>
      <c r="D3252">
        <v>26.06</v>
      </c>
      <c r="E3252">
        <v>-0.61</v>
      </c>
      <c r="F3252">
        <v>-0.16</v>
      </c>
      <c r="G3252" t="s">
        <v>2878</v>
      </c>
      <c r="H3252">
        <v>193</v>
      </c>
      <c r="I3252">
        <v>26.06</v>
      </c>
      <c r="J3252">
        <v>26.08</v>
      </c>
      <c r="K3252" t="s">
        <v>16502</v>
      </c>
      <c r="L3252">
        <v>0.4</v>
      </c>
      <c r="M3252" t="s">
        <v>46</v>
      </c>
      <c r="N3252" t="s">
        <v>8416</v>
      </c>
      <c r="O3252">
        <v>26.33</v>
      </c>
      <c r="P3252">
        <v>25.86</v>
      </c>
      <c r="Q3252">
        <v>26.25</v>
      </c>
      <c r="R3252">
        <v>26.22</v>
      </c>
      <c r="S3252">
        <v>1.79</v>
      </c>
      <c r="T3252">
        <v>1.5</v>
      </c>
      <c r="U3252">
        <v>22.02</v>
      </c>
      <c r="V3252">
        <v>43</v>
      </c>
      <c r="W3252">
        <v>26.06</v>
      </c>
      <c r="X3252" t="s">
        <v>2807</v>
      </c>
      <c r="Y3252">
        <v>7108</v>
      </c>
      <c r="Z3252">
        <v>1.56</v>
      </c>
      <c r="AA3252">
        <v>10</v>
      </c>
      <c r="AB3252">
        <v>5</v>
      </c>
      <c r="AC3252">
        <v>1.68</v>
      </c>
      <c r="AD3252" t="s">
        <v>16503</v>
      </c>
      <c r="AE3252" t="s">
        <v>6457</v>
      </c>
      <c r="AF3252" t="s">
        <v>8275</v>
      </c>
      <c r="AG3252" t="s">
        <v>6536</v>
      </c>
      <c r="AH3252">
        <v>-1.03</v>
      </c>
      <c r="AI3252">
        <v>-2.69</v>
      </c>
      <c r="AJ3252">
        <v>0.97</v>
      </c>
      <c r="AK3252">
        <v>1.74</v>
      </c>
      <c r="AL3252">
        <v>-1</v>
      </c>
      <c r="AM3252">
        <v>-0.61</v>
      </c>
      <c r="AN3252">
        <v>-12.52</v>
      </c>
      <c r="AO3252">
        <v>-5.17</v>
      </c>
      <c r="AP3252">
        <v>-9.86</v>
      </c>
    </row>
    <row r="3253" spans="1:42">
      <c r="A3253">
        <v>3252</v>
      </c>
      <c r="B3253" t="str">
        <f>"002470"</f>
        <v>002470</v>
      </c>
      <c r="C3253" t="s">
        <v>16504</v>
      </c>
      <c r="D3253">
        <v>1.79</v>
      </c>
      <c r="E3253">
        <v>0</v>
      </c>
      <c r="F3253">
        <v>0</v>
      </c>
      <c r="G3253" t="s">
        <v>5163</v>
      </c>
      <c r="H3253">
        <v>6909</v>
      </c>
      <c r="I3253">
        <v>1.79</v>
      </c>
      <c r="J3253">
        <v>1.8</v>
      </c>
      <c r="K3253" t="s">
        <v>16505</v>
      </c>
      <c r="L3253">
        <v>0.83</v>
      </c>
      <c r="M3253" t="s">
        <v>46</v>
      </c>
      <c r="N3253" t="s">
        <v>1127</v>
      </c>
      <c r="O3253">
        <v>1.8</v>
      </c>
      <c r="P3253">
        <v>1.77</v>
      </c>
      <c r="Q3253">
        <v>1.78</v>
      </c>
      <c r="R3253">
        <v>1.79</v>
      </c>
      <c r="S3253">
        <v>1.68</v>
      </c>
      <c r="T3253">
        <v>0.5</v>
      </c>
      <c r="U3253">
        <v>-14.16</v>
      </c>
      <c r="V3253" t="s">
        <v>16506</v>
      </c>
      <c r="W3253">
        <v>1.79</v>
      </c>
      <c r="X3253" t="s">
        <v>2081</v>
      </c>
      <c r="Y3253" t="s">
        <v>447</v>
      </c>
      <c r="Z3253">
        <v>1.17</v>
      </c>
      <c r="AA3253" t="s">
        <v>1639</v>
      </c>
      <c r="AB3253" t="s">
        <v>5644</v>
      </c>
      <c r="AC3253">
        <v>2.37</v>
      </c>
      <c r="AD3253" t="s">
        <v>16507</v>
      </c>
      <c r="AE3253" t="s">
        <v>3136</v>
      </c>
      <c r="AF3253" t="s">
        <v>2823</v>
      </c>
      <c r="AG3253" t="s">
        <v>16508</v>
      </c>
      <c r="AH3253">
        <v>-0.56</v>
      </c>
      <c r="AI3253">
        <v>-2.19</v>
      </c>
      <c r="AJ3253">
        <v>3.38</v>
      </c>
      <c r="AK3253">
        <v>9.13</v>
      </c>
      <c r="AL3253">
        <v>0</v>
      </c>
      <c r="AM3253">
        <v>0</v>
      </c>
      <c r="AN3253">
        <v>-13.53</v>
      </c>
      <c r="AO3253">
        <v>1.7</v>
      </c>
      <c r="AP3253">
        <v>-12.68</v>
      </c>
    </row>
    <row r="3254" spans="1:42">
      <c r="A3254">
        <v>3253</v>
      </c>
      <c r="B3254" t="str">
        <f>"000825"</f>
        <v>000825</v>
      </c>
      <c r="C3254" t="s">
        <v>16509</v>
      </c>
      <c r="D3254">
        <v>3.87</v>
      </c>
      <c r="E3254">
        <v>0.26</v>
      </c>
      <c r="F3254">
        <v>0.01</v>
      </c>
      <c r="G3254" t="s">
        <v>422</v>
      </c>
      <c r="H3254">
        <v>953</v>
      </c>
      <c r="I3254">
        <v>3.86</v>
      </c>
      <c r="J3254">
        <v>3.87</v>
      </c>
      <c r="K3254" t="s">
        <v>16510</v>
      </c>
      <c r="L3254">
        <v>0.22</v>
      </c>
      <c r="M3254" t="s">
        <v>46</v>
      </c>
      <c r="N3254" t="s">
        <v>16210</v>
      </c>
      <c r="O3254">
        <v>3.88</v>
      </c>
      <c r="P3254">
        <v>3.84</v>
      </c>
      <c r="Q3254">
        <v>3.86</v>
      </c>
      <c r="R3254">
        <v>3.86</v>
      </c>
      <c r="S3254">
        <v>1.04</v>
      </c>
      <c r="T3254">
        <v>0.61</v>
      </c>
      <c r="U3254">
        <v>-16.05</v>
      </c>
      <c r="V3254">
        <v>-6514</v>
      </c>
      <c r="W3254">
        <v>3.86</v>
      </c>
      <c r="X3254" t="s">
        <v>6754</v>
      </c>
      <c r="Y3254" t="s">
        <v>5957</v>
      </c>
      <c r="Z3254">
        <v>1.31</v>
      </c>
      <c r="AA3254">
        <v>3814</v>
      </c>
      <c r="AB3254">
        <v>1850</v>
      </c>
      <c r="AC3254">
        <v>0.64</v>
      </c>
      <c r="AD3254" t="s">
        <v>11905</v>
      </c>
      <c r="AE3254" t="s">
        <v>16511</v>
      </c>
      <c r="AF3254" t="s">
        <v>16139</v>
      </c>
      <c r="AG3254" t="s">
        <v>16512</v>
      </c>
      <c r="AH3254">
        <v>-1.28</v>
      </c>
      <c r="AI3254">
        <v>-0.77</v>
      </c>
      <c r="AJ3254">
        <v>0.92</v>
      </c>
      <c r="AK3254">
        <v>1.97</v>
      </c>
      <c r="AL3254">
        <v>1</v>
      </c>
      <c r="AM3254">
        <v>0.26</v>
      </c>
      <c r="AN3254">
        <v>-10</v>
      </c>
      <c r="AO3254">
        <v>-0.51</v>
      </c>
      <c r="AP3254">
        <v>-12.24</v>
      </c>
    </row>
    <row r="3255" spans="1:42">
      <c r="A3255">
        <v>3254</v>
      </c>
      <c r="B3255" t="str">
        <f>"688189"</f>
        <v>688189</v>
      </c>
      <c r="C3255" t="s">
        <v>16513</v>
      </c>
      <c r="D3255">
        <v>10.67</v>
      </c>
      <c r="E3255">
        <v>0.19</v>
      </c>
      <c r="F3255">
        <v>0.02</v>
      </c>
      <c r="G3255" t="s">
        <v>2559</v>
      </c>
      <c r="H3255">
        <v>722</v>
      </c>
      <c r="I3255">
        <v>10.67</v>
      </c>
      <c r="J3255">
        <v>10.68</v>
      </c>
      <c r="K3255" t="s">
        <v>16510</v>
      </c>
      <c r="L3255">
        <v>1.62</v>
      </c>
      <c r="M3255" t="s">
        <v>46</v>
      </c>
      <c r="N3255" t="s">
        <v>2506</v>
      </c>
      <c r="O3255">
        <v>10.78</v>
      </c>
      <c r="P3255">
        <v>10.56</v>
      </c>
      <c r="Q3255">
        <v>10.65</v>
      </c>
      <c r="R3255">
        <v>10.65</v>
      </c>
      <c r="S3255">
        <v>2.07</v>
      </c>
      <c r="T3255">
        <v>0.5</v>
      </c>
      <c r="U3255">
        <v>-3.05</v>
      </c>
      <c r="V3255">
        <v>-49</v>
      </c>
      <c r="W3255">
        <v>10.64</v>
      </c>
      <c r="X3255" t="s">
        <v>7210</v>
      </c>
      <c r="Y3255" t="s">
        <v>314</v>
      </c>
      <c r="Z3255">
        <v>0.9</v>
      </c>
      <c r="AA3255">
        <v>15</v>
      </c>
      <c r="AB3255">
        <v>367</v>
      </c>
      <c r="AC3255">
        <v>2.23</v>
      </c>
      <c r="AD3255" t="s">
        <v>16514</v>
      </c>
      <c r="AE3255" t="s">
        <v>16515</v>
      </c>
      <c r="AF3255" t="s">
        <v>16514</v>
      </c>
      <c r="AG3255" t="s">
        <v>16515</v>
      </c>
      <c r="AH3255">
        <v>-0.65</v>
      </c>
      <c r="AI3255">
        <v>-3.53</v>
      </c>
      <c r="AJ3255">
        <v>5.29</v>
      </c>
      <c r="AK3255">
        <v>17.82</v>
      </c>
      <c r="AL3255">
        <v>2</v>
      </c>
      <c r="AM3255">
        <v>0.19</v>
      </c>
      <c r="AN3255">
        <v>-13.46</v>
      </c>
      <c r="AO3255">
        <v>8.66</v>
      </c>
      <c r="AP3255">
        <v>-7.78</v>
      </c>
    </row>
    <row r="3256" spans="1:42">
      <c r="A3256">
        <v>3255</v>
      </c>
      <c r="B3256" t="str">
        <f>"601789"</f>
        <v>601789</v>
      </c>
      <c r="C3256" t="s">
        <v>16516</v>
      </c>
      <c r="D3256">
        <v>4.31</v>
      </c>
      <c r="E3256">
        <v>0.7</v>
      </c>
      <c r="F3256">
        <v>0.03</v>
      </c>
      <c r="G3256" t="s">
        <v>1438</v>
      </c>
      <c r="H3256">
        <v>769</v>
      </c>
      <c r="I3256">
        <v>4.31</v>
      </c>
      <c r="J3256">
        <v>4.32</v>
      </c>
      <c r="K3256" t="s">
        <v>16517</v>
      </c>
      <c r="L3256">
        <v>1.02</v>
      </c>
      <c r="M3256" t="s">
        <v>46</v>
      </c>
      <c r="N3256" t="s">
        <v>10057</v>
      </c>
      <c r="O3256">
        <v>4.33</v>
      </c>
      <c r="P3256">
        <v>4.23</v>
      </c>
      <c r="Q3256">
        <v>4.27</v>
      </c>
      <c r="R3256">
        <v>4.28</v>
      </c>
      <c r="S3256">
        <v>2.34</v>
      </c>
      <c r="T3256">
        <v>0.81</v>
      </c>
      <c r="U3256">
        <v>-27.28</v>
      </c>
      <c r="V3256">
        <v>-5716</v>
      </c>
      <c r="W3256">
        <v>4.29</v>
      </c>
      <c r="X3256" t="s">
        <v>7817</v>
      </c>
      <c r="Y3256" t="s">
        <v>9192</v>
      </c>
      <c r="Z3256">
        <v>0.75</v>
      </c>
      <c r="AA3256">
        <v>1873</v>
      </c>
      <c r="AB3256">
        <v>1566</v>
      </c>
      <c r="AC3256">
        <v>1.11</v>
      </c>
      <c r="AD3256" t="s">
        <v>16147</v>
      </c>
      <c r="AE3256" t="s">
        <v>16518</v>
      </c>
      <c r="AF3256" t="s">
        <v>16147</v>
      </c>
      <c r="AG3256" t="s">
        <v>16518</v>
      </c>
      <c r="AH3256">
        <v>-1.37</v>
      </c>
      <c r="AI3256">
        <v>-3.58</v>
      </c>
      <c r="AJ3256">
        <v>3.22</v>
      </c>
      <c r="AK3256">
        <v>7.26</v>
      </c>
      <c r="AL3256">
        <v>1</v>
      </c>
      <c r="AM3256">
        <v>0.7</v>
      </c>
      <c r="AN3256">
        <v>2.13</v>
      </c>
      <c r="AO3256">
        <v>2.13</v>
      </c>
      <c r="AP3256">
        <v>-4.22</v>
      </c>
    </row>
    <row r="3257" spans="1:42">
      <c r="A3257">
        <v>3256</v>
      </c>
      <c r="B3257" t="str">
        <f>"600967"</f>
        <v>600967</v>
      </c>
      <c r="C3257" t="s">
        <v>16519</v>
      </c>
      <c r="D3257">
        <v>8.7</v>
      </c>
      <c r="E3257">
        <v>1.05</v>
      </c>
      <c r="F3257">
        <v>0.09</v>
      </c>
      <c r="G3257" t="s">
        <v>5734</v>
      </c>
      <c r="H3257">
        <v>1556</v>
      </c>
      <c r="I3257">
        <v>8.7</v>
      </c>
      <c r="J3257">
        <v>8.71</v>
      </c>
      <c r="K3257" t="s">
        <v>16520</v>
      </c>
      <c r="L3257">
        <v>0.32</v>
      </c>
      <c r="M3257" t="s">
        <v>46</v>
      </c>
      <c r="N3257" t="s">
        <v>16521</v>
      </c>
      <c r="O3257">
        <v>8.73</v>
      </c>
      <c r="P3257">
        <v>8.59</v>
      </c>
      <c r="Q3257">
        <v>8.6</v>
      </c>
      <c r="R3257">
        <v>8.61</v>
      </c>
      <c r="S3257">
        <v>1.63</v>
      </c>
      <c r="T3257">
        <v>1.1</v>
      </c>
      <c r="U3257">
        <v>-32.93</v>
      </c>
      <c r="V3257">
        <v>-1256</v>
      </c>
      <c r="W3257">
        <v>8.65</v>
      </c>
      <c r="X3257" t="s">
        <v>3328</v>
      </c>
      <c r="Y3257" t="s">
        <v>6657</v>
      </c>
      <c r="Z3257">
        <v>0.77</v>
      </c>
      <c r="AA3257">
        <v>487</v>
      </c>
      <c r="AB3257">
        <v>289</v>
      </c>
      <c r="AC3257">
        <v>1.33</v>
      </c>
      <c r="AD3257" t="s">
        <v>9892</v>
      </c>
      <c r="AE3257" t="s">
        <v>1033</v>
      </c>
      <c r="AF3257" t="s">
        <v>10109</v>
      </c>
      <c r="AG3257" t="s">
        <v>16522</v>
      </c>
      <c r="AH3257">
        <v>-0.34</v>
      </c>
      <c r="AI3257">
        <v>-0.57</v>
      </c>
      <c r="AJ3257">
        <v>0.88</v>
      </c>
      <c r="AK3257">
        <v>1.8</v>
      </c>
      <c r="AL3257">
        <v>1</v>
      </c>
      <c r="AM3257">
        <v>1.05</v>
      </c>
      <c r="AN3257">
        <v>8.48</v>
      </c>
      <c r="AO3257">
        <v>1.52</v>
      </c>
      <c r="AP3257">
        <v>2.84</v>
      </c>
    </row>
    <row r="3258" spans="1:42">
      <c r="A3258">
        <v>3257</v>
      </c>
      <c r="B3258" t="str">
        <f>"600493"</f>
        <v>600493</v>
      </c>
      <c r="C3258" t="s">
        <v>16523</v>
      </c>
      <c r="D3258">
        <v>6.82</v>
      </c>
      <c r="E3258">
        <v>1.64</v>
      </c>
      <c r="F3258">
        <v>0.11</v>
      </c>
      <c r="G3258" t="s">
        <v>2836</v>
      </c>
      <c r="H3258">
        <v>922</v>
      </c>
      <c r="I3258">
        <v>6.82</v>
      </c>
      <c r="J3258">
        <v>6.83</v>
      </c>
      <c r="K3258" t="s">
        <v>16524</v>
      </c>
      <c r="L3258">
        <v>2.54</v>
      </c>
      <c r="M3258" t="s">
        <v>46</v>
      </c>
      <c r="N3258" t="s">
        <v>1891</v>
      </c>
      <c r="O3258">
        <v>6.9</v>
      </c>
      <c r="P3258">
        <v>6.69</v>
      </c>
      <c r="Q3258">
        <v>6.71</v>
      </c>
      <c r="R3258">
        <v>6.71</v>
      </c>
      <c r="S3258">
        <v>3.13</v>
      </c>
      <c r="T3258">
        <v>0.95</v>
      </c>
      <c r="U3258">
        <v>-10.25</v>
      </c>
      <c r="V3258">
        <v>-381</v>
      </c>
      <c r="W3258">
        <v>6.84</v>
      </c>
      <c r="X3258" t="s">
        <v>7679</v>
      </c>
      <c r="Y3258" t="s">
        <v>2464</v>
      </c>
      <c r="Z3258">
        <v>0.9</v>
      </c>
      <c r="AA3258">
        <v>210</v>
      </c>
      <c r="AB3258">
        <v>116</v>
      </c>
      <c r="AC3258">
        <v>2.06</v>
      </c>
      <c r="AD3258" t="s">
        <v>16525</v>
      </c>
      <c r="AE3258" t="s">
        <v>9478</v>
      </c>
      <c r="AF3258" t="s">
        <v>16525</v>
      </c>
      <c r="AG3258" t="s">
        <v>9478</v>
      </c>
      <c r="AH3258">
        <v>0.74</v>
      </c>
      <c r="AI3258">
        <v>-1.02</v>
      </c>
      <c r="AJ3258">
        <v>6.99</v>
      </c>
      <c r="AK3258">
        <v>15.92</v>
      </c>
      <c r="AL3258">
        <v>1</v>
      </c>
      <c r="AM3258">
        <v>1.64</v>
      </c>
      <c r="AN3258">
        <v>9.82</v>
      </c>
      <c r="AO3258">
        <v>4.44</v>
      </c>
      <c r="AP3258">
        <v>19.65</v>
      </c>
    </row>
    <row r="3259" spans="1:42">
      <c r="A3259">
        <v>3258</v>
      </c>
      <c r="B3259" t="str">
        <f>"603222"</f>
        <v>603222</v>
      </c>
      <c r="C3259" t="s">
        <v>16526</v>
      </c>
      <c r="D3259">
        <v>9.1</v>
      </c>
      <c r="E3259">
        <v>0.55</v>
      </c>
      <c r="F3259">
        <v>0.05</v>
      </c>
      <c r="G3259" t="s">
        <v>3915</v>
      </c>
      <c r="H3259">
        <v>2511</v>
      </c>
      <c r="I3259">
        <v>9.09</v>
      </c>
      <c r="J3259">
        <v>9.1</v>
      </c>
      <c r="K3259" t="s">
        <v>16527</v>
      </c>
      <c r="L3259">
        <v>0.97</v>
      </c>
      <c r="M3259" t="s">
        <v>46</v>
      </c>
      <c r="N3259" t="s">
        <v>2026</v>
      </c>
      <c r="O3259">
        <v>9.13</v>
      </c>
      <c r="P3259">
        <v>9.02</v>
      </c>
      <c r="Q3259">
        <v>9.06</v>
      </c>
      <c r="R3259">
        <v>9.05</v>
      </c>
      <c r="S3259">
        <v>1.22</v>
      </c>
      <c r="T3259">
        <v>0.72</v>
      </c>
      <c r="U3259">
        <v>3.1</v>
      </c>
      <c r="V3259">
        <v>192</v>
      </c>
      <c r="W3259">
        <v>9.08</v>
      </c>
      <c r="X3259" t="s">
        <v>1711</v>
      </c>
      <c r="Y3259" t="s">
        <v>9272</v>
      </c>
      <c r="Z3259">
        <v>1.13</v>
      </c>
      <c r="AA3259">
        <v>240</v>
      </c>
      <c r="AB3259">
        <v>986</v>
      </c>
      <c r="AC3259">
        <v>2.9</v>
      </c>
      <c r="AD3259" t="s">
        <v>16528</v>
      </c>
      <c r="AE3259" t="s">
        <v>16529</v>
      </c>
      <c r="AF3259" t="s">
        <v>16528</v>
      </c>
      <c r="AG3259" t="s">
        <v>16529</v>
      </c>
      <c r="AH3259">
        <v>-2.88</v>
      </c>
      <c r="AI3259">
        <v>-4.71</v>
      </c>
      <c r="AJ3259">
        <v>3.61</v>
      </c>
      <c r="AK3259">
        <v>7.69</v>
      </c>
      <c r="AL3259">
        <v>1</v>
      </c>
      <c r="AM3259">
        <v>0.55</v>
      </c>
      <c r="AN3259">
        <v>4.24</v>
      </c>
      <c r="AO3259">
        <v>-3.29</v>
      </c>
      <c r="AP3259">
        <v>-4.01</v>
      </c>
    </row>
    <row r="3260" spans="1:42">
      <c r="A3260">
        <v>3259</v>
      </c>
      <c r="B3260" t="str">
        <f>"002219"</f>
        <v>002219</v>
      </c>
      <c r="C3260" t="s">
        <v>16530</v>
      </c>
      <c r="D3260">
        <v>3.3</v>
      </c>
      <c r="E3260">
        <v>0.61</v>
      </c>
      <c r="F3260">
        <v>0.02</v>
      </c>
      <c r="G3260" t="s">
        <v>44</v>
      </c>
      <c r="H3260">
        <v>584</v>
      </c>
      <c r="I3260">
        <v>3.3</v>
      </c>
      <c r="J3260">
        <v>3.31</v>
      </c>
      <c r="K3260" t="s">
        <v>16527</v>
      </c>
      <c r="L3260">
        <v>0.44</v>
      </c>
      <c r="M3260" t="s">
        <v>46</v>
      </c>
      <c r="N3260" t="s">
        <v>3334</v>
      </c>
      <c r="O3260">
        <v>3.32</v>
      </c>
      <c r="P3260">
        <v>3.23</v>
      </c>
      <c r="Q3260">
        <v>3.26</v>
      </c>
      <c r="R3260">
        <v>3.28</v>
      </c>
      <c r="S3260">
        <v>2.74</v>
      </c>
      <c r="T3260">
        <v>0.79</v>
      </c>
      <c r="U3260">
        <v>-41.48</v>
      </c>
      <c r="V3260" t="s">
        <v>16531</v>
      </c>
      <c r="W3260">
        <v>3.28</v>
      </c>
      <c r="X3260" t="s">
        <v>7940</v>
      </c>
      <c r="Y3260" t="s">
        <v>6703</v>
      </c>
      <c r="Z3260">
        <v>0.84</v>
      </c>
      <c r="AA3260">
        <v>87</v>
      </c>
      <c r="AB3260">
        <v>3536</v>
      </c>
      <c r="AC3260">
        <v>5.18</v>
      </c>
      <c r="AD3260" t="s">
        <v>139</v>
      </c>
      <c r="AE3260" t="s">
        <v>15525</v>
      </c>
      <c r="AF3260" t="s">
        <v>1448</v>
      </c>
      <c r="AG3260" t="s">
        <v>14186</v>
      </c>
      <c r="AH3260">
        <v>-0.6</v>
      </c>
      <c r="AI3260">
        <v>0</v>
      </c>
      <c r="AJ3260">
        <v>1.25</v>
      </c>
      <c r="AK3260">
        <v>3.27</v>
      </c>
      <c r="AL3260">
        <v>2</v>
      </c>
      <c r="AM3260">
        <v>0.61</v>
      </c>
      <c r="AN3260">
        <v>-16.24</v>
      </c>
      <c r="AO3260">
        <v>2.48</v>
      </c>
      <c r="AP3260">
        <v>-15.38</v>
      </c>
    </row>
    <row r="3261" spans="1:42">
      <c r="A3261">
        <v>3260</v>
      </c>
      <c r="B3261" t="str">
        <f>"002595"</f>
        <v>002595</v>
      </c>
      <c r="C3261" t="s">
        <v>16532</v>
      </c>
      <c r="D3261">
        <v>29.37</v>
      </c>
      <c r="E3261">
        <v>-1.21</v>
      </c>
      <c r="F3261">
        <v>-0.36</v>
      </c>
      <c r="G3261" t="s">
        <v>7487</v>
      </c>
      <c r="H3261">
        <v>217</v>
      </c>
      <c r="I3261">
        <v>29.37</v>
      </c>
      <c r="J3261">
        <v>29.39</v>
      </c>
      <c r="K3261" t="s">
        <v>16533</v>
      </c>
      <c r="L3261">
        <v>0.3</v>
      </c>
      <c r="M3261" t="s">
        <v>46</v>
      </c>
      <c r="N3261" t="s">
        <v>13036</v>
      </c>
      <c r="O3261">
        <v>29.58</v>
      </c>
      <c r="P3261">
        <v>29.26</v>
      </c>
      <c r="Q3261">
        <v>29.58</v>
      </c>
      <c r="R3261">
        <v>29.73</v>
      </c>
      <c r="S3261">
        <v>1.08</v>
      </c>
      <c r="T3261">
        <v>0.85</v>
      </c>
      <c r="U3261">
        <v>-57.7</v>
      </c>
      <c r="V3261">
        <v>-352</v>
      </c>
      <c r="W3261">
        <v>29.38</v>
      </c>
      <c r="X3261">
        <v>9221</v>
      </c>
      <c r="Y3261">
        <v>6859</v>
      </c>
      <c r="Z3261">
        <v>1.34</v>
      </c>
      <c r="AA3261">
        <v>34</v>
      </c>
      <c r="AB3261">
        <v>54</v>
      </c>
      <c r="AC3261">
        <v>2.88</v>
      </c>
      <c r="AD3261" t="s">
        <v>7590</v>
      </c>
      <c r="AE3261" t="s">
        <v>10358</v>
      </c>
      <c r="AF3261" t="s">
        <v>16534</v>
      </c>
      <c r="AG3261" t="s">
        <v>11494</v>
      </c>
      <c r="AH3261">
        <v>-2.03</v>
      </c>
      <c r="AI3261">
        <v>-2.17</v>
      </c>
      <c r="AJ3261">
        <v>1.08</v>
      </c>
      <c r="AK3261">
        <v>2.07</v>
      </c>
      <c r="AL3261">
        <v>-1</v>
      </c>
      <c r="AM3261">
        <v>-1.21</v>
      </c>
      <c r="AN3261">
        <v>28.99</v>
      </c>
      <c r="AO3261">
        <v>-5.26</v>
      </c>
      <c r="AP3261">
        <v>10.41</v>
      </c>
    </row>
    <row r="3262" spans="1:42">
      <c r="A3262">
        <v>3261</v>
      </c>
      <c r="B3262" t="str">
        <f>"833394"</f>
        <v>833394</v>
      </c>
      <c r="C3262" t="s">
        <v>16535</v>
      </c>
      <c r="D3262">
        <v>15.78</v>
      </c>
      <c r="E3262">
        <v>-3.37</v>
      </c>
      <c r="F3262">
        <v>-0.55</v>
      </c>
      <c r="G3262" t="s">
        <v>6097</v>
      </c>
      <c r="H3262">
        <v>172</v>
      </c>
      <c r="I3262">
        <v>15.78</v>
      </c>
      <c r="J3262">
        <v>15.79</v>
      </c>
      <c r="K3262" t="s">
        <v>16536</v>
      </c>
      <c r="L3262">
        <v>6.86</v>
      </c>
      <c r="M3262" t="s">
        <v>46</v>
      </c>
      <c r="N3262" t="s">
        <v>936</v>
      </c>
      <c r="O3262">
        <v>16.96</v>
      </c>
      <c r="P3262">
        <v>15.71</v>
      </c>
      <c r="Q3262">
        <v>16.41</v>
      </c>
      <c r="R3262">
        <v>16.33</v>
      </c>
      <c r="S3262">
        <v>7.65</v>
      </c>
      <c r="T3262">
        <v>0.61</v>
      </c>
      <c r="U3262">
        <v>36.38</v>
      </c>
      <c r="V3262">
        <v>189</v>
      </c>
      <c r="W3262">
        <v>16.26</v>
      </c>
      <c r="X3262" t="s">
        <v>1072</v>
      </c>
      <c r="Y3262" t="s">
        <v>1154</v>
      </c>
      <c r="Z3262">
        <v>1.81</v>
      </c>
      <c r="AA3262">
        <v>50</v>
      </c>
      <c r="AB3262">
        <v>85</v>
      </c>
      <c r="AC3262">
        <v>3.69</v>
      </c>
      <c r="AD3262" t="s">
        <v>3460</v>
      </c>
      <c r="AE3262" t="s">
        <v>13058</v>
      </c>
      <c r="AF3262" t="s">
        <v>16537</v>
      </c>
      <c r="AG3262" t="s">
        <v>16538</v>
      </c>
      <c r="AH3262">
        <v>-5.9</v>
      </c>
      <c r="AI3262">
        <v>8.83</v>
      </c>
      <c r="AJ3262">
        <v>25.43</v>
      </c>
      <c r="AK3262">
        <v>62.77</v>
      </c>
      <c r="AL3262">
        <v>-1</v>
      </c>
      <c r="AM3262">
        <v>-3.37</v>
      </c>
      <c r="AN3262">
        <v>-21.41</v>
      </c>
      <c r="AO3262">
        <v>27.98</v>
      </c>
      <c r="AP3262">
        <v>-21.41</v>
      </c>
    </row>
    <row r="3263" spans="1:42">
      <c r="A3263">
        <v>3262</v>
      </c>
      <c r="B3263" t="str">
        <f>"002427"</f>
        <v>002427</v>
      </c>
      <c r="C3263" t="s">
        <v>16539</v>
      </c>
      <c r="D3263">
        <v>5.71</v>
      </c>
      <c r="E3263">
        <v>-0.35</v>
      </c>
      <c r="F3263">
        <v>-0.02</v>
      </c>
      <c r="G3263" t="s">
        <v>7154</v>
      </c>
      <c r="H3263">
        <v>1576</v>
      </c>
      <c r="I3263">
        <v>5.71</v>
      </c>
      <c r="J3263">
        <v>5.72</v>
      </c>
      <c r="K3263" t="s">
        <v>16540</v>
      </c>
      <c r="L3263">
        <v>0.84</v>
      </c>
      <c r="M3263" t="s">
        <v>46</v>
      </c>
      <c r="N3263" t="s">
        <v>507</v>
      </c>
      <c r="O3263">
        <v>5.77</v>
      </c>
      <c r="P3263">
        <v>5.67</v>
      </c>
      <c r="Q3263">
        <v>5.76</v>
      </c>
      <c r="R3263">
        <v>5.73</v>
      </c>
      <c r="S3263">
        <v>1.75</v>
      </c>
      <c r="T3263">
        <v>0.56</v>
      </c>
      <c r="U3263">
        <v>17.66</v>
      </c>
      <c r="V3263">
        <v>1086</v>
      </c>
      <c r="W3263">
        <v>5.71</v>
      </c>
      <c r="X3263" t="s">
        <v>3758</v>
      </c>
      <c r="Y3263" t="s">
        <v>5706</v>
      </c>
      <c r="Z3263">
        <v>1.09</v>
      </c>
      <c r="AA3263">
        <v>128</v>
      </c>
      <c r="AB3263">
        <v>242</v>
      </c>
      <c r="AC3263">
        <v>5.52</v>
      </c>
      <c r="AD3263" t="s">
        <v>16541</v>
      </c>
      <c r="AE3263" t="s">
        <v>8723</v>
      </c>
      <c r="AF3263" t="s">
        <v>10235</v>
      </c>
      <c r="AG3263" t="s">
        <v>16542</v>
      </c>
      <c r="AH3263">
        <v>-2.06</v>
      </c>
      <c r="AI3263">
        <v>-2.56</v>
      </c>
      <c r="AJ3263">
        <v>3.54</v>
      </c>
      <c r="AK3263">
        <v>8.29</v>
      </c>
      <c r="AL3263">
        <v>-2</v>
      </c>
      <c r="AM3263">
        <v>-0.35</v>
      </c>
      <c r="AN3263">
        <v>-14.14</v>
      </c>
      <c r="AO3263">
        <v>6.33</v>
      </c>
      <c r="AP3263">
        <v>-16.03</v>
      </c>
    </row>
    <row r="3264" spans="1:42">
      <c r="A3264">
        <v>3263</v>
      </c>
      <c r="B3264" t="str">
        <f>"688179"</f>
        <v>688179</v>
      </c>
      <c r="C3264" t="s">
        <v>16543</v>
      </c>
      <c r="D3264">
        <v>20.9</v>
      </c>
      <c r="E3264">
        <v>1.51</v>
      </c>
      <c r="F3264">
        <v>0.31</v>
      </c>
      <c r="G3264" t="s">
        <v>587</v>
      </c>
      <c r="H3264">
        <v>526</v>
      </c>
      <c r="I3264">
        <v>20.89</v>
      </c>
      <c r="J3264">
        <v>20.9</v>
      </c>
      <c r="K3264" t="s">
        <v>16544</v>
      </c>
      <c r="L3264">
        <v>1.15</v>
      </c>
      <c r="M3264" t="s">
        <v>46</v>
      </c>
      <c r="N3264" t="s">
        <v>1288</v>
      </c>
      <c r="O3264">
        <v>20.9</v>
      </c>
      <c r="P3264">
        <v>20.33</v>
      </c>
      <c r="Q3264">
        <v>20.6</v>
      </c>
      <c r="R3264">
        <v>20.59</v>
      </c>
      <c r="S3264">
        <v>2.77</v>
      </c>
      <c r="T3264">
        <v>0.95</v>
      </c>
      <c r="U3264">
        <v>-7.25</v>
      </c>
      <c r="V3264">
        <v>-52</v>
      </c>
      <c r="W3264">
        <v>20.64</v>
      </c>
      <c r="X3264" t="s">
        <v>2547</v>
      </c>
      <c r="Y3264" t="s">
        <v>239</v>
      </c>
      <c r="Z3264">
        <v>1.21</v>
      </c>
      <c r="AA3264">
        <v>47</v>
      </c>
      <c r="AB3264">
        <v>10</v>
      </c>
      <c r="AC3264">
        <v>4.34</v>
      </c>
      <c r="AD3264" t="s">
        <v>16545</v>
      </c>
      <c r="AE3264" t="s">
        <v>14825</v>
      </c>
      <c r="AF3264" t="s">
        <v>16545</v>
      </c>
      <c r="AG3264" t="s">
        <v>14825</v>
      </c>
      <c r="AH3264">
        <v>-0.43</v>
      </c>
      <c r="AI3264">
        <v>-0.05</v>
      </c>
      <c r="AJ3264">
        <v>3.1</v>
      </c>
      <c r="AK3264">
        <v>7.23</v>
      </c>
      <c r="AL3264">
        <v>1</v>
      </c>
      <c r="AM3264">
        <v>1.51</v>
      </c>
      <c r="AN3264">
        <v>-18.49</v>
      </c>
      <c r="AO3264">
        <v>4.24</v>
      </c>
      <c r="AP3264">
        <v>-17.52</v>
      </c>
    </row>
    <row r="3265" spans="1:42">
      <c r="A3265">
        <v>3264</v>
      </c>
      <c r="B3265" t="str">
        <f>"603989"</f>
        <v>603989</v>
      </c>
      <c r="C3265" t="s">
        <v>16546</v>
      </c>
      <c r="D3265">
        <v>22.4</v>
      </c>
      <c r="E3265">
        <v>-0.62</v>
      </c>
      <c r="F3265">
        <v>-0.14</v>
      </c>
      <c r="G3265" t="s">
        <v>153</v>
      </c>
      <c r="H3265">
        <v>86</v>
      </c>
      <c r="I3265">
        <v>22.4</v>
      </c>
      <c r="J3265">
        <v>22.41</v>
      </c>
      <c r="K3265" t="s">
        <v>16547</v>
      </c>
      <c r="L3265">
        <v>0.53</v>
      </c>
      <c r="M3265" t="s">
        <v>46</v>
      </c>
      <c r="N3265" t="s">
        <v>10041</v>
      </c>
      <c r="O3265">
        <v>22.58</v>
      </c>
      <c r="P3265">
        <v>22.16</v>
      </c>
      <c r="Q3265">
        <v>22.58</v>
      </c>
      <c r="R3265">
        <v>22.54</v>
      </c>
      <c r="S3265">
        <v>1.86</v>
      </c>
      <c r="T3265">
        <v>1.04</v>
      </c>
      <c r="U3265">
        <v>-4.2</v>
      </c>
      <c r="V3265">
        <v>-24</v>
      </c>
      <c r="W3265">
        <v>22.37</v>
      </c>
      <c r="X3265">
        <v>9981</v>
      </c>
      <c r="Y3265" t="s">
        <v>2807</v>
      </c>
      <c r="Z3265">
        <v>0.9</v>
      </c>
      <c r="AA3265">
        <v>107</v>
      </c>
      <c r="AB3265">
        <v>50</v>
      </c>
      <c r="AC3265">
        <v>2.6</v>
      </c>
      <c r="AD3265" t="s">
        <v>4258</v>
      </c>
      <c r="AE3265" t="s">
        <v>16548</v>
      </c>
      <c r="AF3265" t="s">
        <v>4258</v>
      </c>
      <c r="AG3265" t="s">
        <v>16548</v>
      </c>
      <c r="AH3265">
        <v>-1.67</v>
      </c>
      <c r="AI3265">
        <v>-1.97</v>
      </c>
      <c r="AJ3265">
        <v>1.59</v>
      </c>
      <c r="AK3265">
        <v>3.05</v>
      </c>
      <c r="AL3265">
        <v>-2</v>
      </c>
      <c r="AM3265">
        <v>-0.62</v>
      </c>
      <c r="AN3265">
        <v>-11.74</v>
      </c>
      <c r="AO3265">
        <v>-3.82</v>
      </c>
      <c r="AP3265">
        <v>-16.1</v>
      </c>
    </row>
    <row r="3266" spans="1:42">
      <c r="A3266">
        <v>3265</v>
      </c>
      <c r="B3266" t="str">
        <f>"688332"</f>
        <v>688332</v>
      </c>
      <c r="C3266" t="s">
        <v>16549</v>
      </c>
      <c r="D3266">
        <v>72.22</v>
      </c>
      <c r="E3266">
        <v>-0.47</v>
      </c>
      <c r="F3266">
        <v>-0.34</v>
      </c>
      <c r="G3266">
        <v>6554</v>
      </c>
      <c r="H3266">
        <v>35</v>
      </c>
      <c r="I3266">
        <v>72.22</v>
      </c>
      <c r="J3266">
        <v>72.25</v>
      </c>
      <c r="K3266" t="s">
        <v>16550</v>
      </c>
      <c r="L3266">
        <v>1.53</v>
      </c>
      <c r="M3266" t="s">
        <v>46</v>
      </c>
      <c r="N3266" t="s">
        <v>289</v>
      </c>
      <c r="O3266">
        <v>72.72</v>
      </c>
      <c r="P3266">
        <v>71.16</v>
      </c>
      <c r="Q3266">
        <v>72.48</v>
      </c>
      <c r="R3266">
        <v>72.56</v>
      </c>
      <c r="S3266">
        <v>2.15</v>
      </c>
      <c r="T3266">
        <v>0.89</v>
      </c>
      <c r="U3266">
        <v>67.55</v>
      </c>
      <c r="V3266">
        <v>43</v>
      </c>
      <c r="W3266">
        <v>71.93</v>
      </c>
      <c r="X3266">
        <v>3794</v>
      </c>
      <c r="Y3266">
        <v>2760</v>
      </c>
      <c r="Z3266">
        <v>1.37</v>
      </c>
      <c r="AA3266">
        <v>25</v>
      </c>
      <c r="AB3266">
        <v>1</v>
      </c>
      <c r="AC3266">
        <v>2.34</v>
      </c>
      <c r="AD3266" t="s">
        <v>5210</v>
      </c>
      <c r="AE3266" t="s">
        <v>501</v>
      </c>
      <c r="AF3266" t="s">
        <v>16551</v>
      </c>
      <c r="AG3266" t="s">
        <v>12423</v>
      </c>
      <c r="AH3266">
        <v>-1.67</v>
      </c>
      <c r="AI3266">
        <v>-1.87</v>
      </c>
      <c r="AJ3266">
        <v>4.91</v>
      </c>
      <c r="AK3266">
        <v>10.15</v>
      </c>
      <c r="AL3266">
        <v>-4</v>
      </c>
      <c r="AM3266">
        <v>-0.47</v>
      </c>
      <c r="AN3266">
        <v>42.25</v>
      </c>
      <c r="AO3266">
        <v>-3.23</v>
      </c>
      <c r="AP3266">
        <v>37.54</v>
      </c>
    </row>
    <row r="3267" spans="1:42">
      <c r="A3267">
        <v>3266</v>
      </c>
      <c r="B3267" t="str">
        <f>"301383"</f>
        <v>301383</v>
      </c>
      <c r="C3267" t="s">
        <v>16552</v>
      </c>
      <c r="D3267">
        <v>41.9</v>
      </c>
      <c r="E3267">
        <v>-0.95</v>
      </c>
      <c r="F3267">
        <v>-0.4</v>
      </c>
      <c r="G3267" t="s">
        <v>734</v>
      </c>
      <c r="H3267">
        <v>180</v>
      </c>
      <c r="I3267">
        <v>41.9</v>
      </c>
      <c r="J3267">
        <v>41.91</v>
      </c>
      <c r="K3267" t="s">
        <v>16553</v>
      </c>
      <c r="L3267">
        <v>4.08</v>
      </c>
      <c r="M3267" t="s">
        <v>46</v>
      </c>
      <c r="N3267" t="s">
        <v>2636</v>
      </c>
      <c r="O3267">
        <v>42.6</v>
      </c>
      <c r="P3267">
        <v>41.63</v>
      </c>
      <c r="Q3267">
        <v>42.31</v>
      </c>
      <c r="R3267">
        <v>42.3</v>
      </c>
      <c r="S3267">
        <v>2.29</v>
      </c>
      <c r="T3267">
        <v>0.65</v>
      </c>
      <c r="U3267">
        <v>28.08</v>
      </c>
      <c r="V3267">
        <v>85</v>
      </c>
      <c r="W3267">
        <v>41.89</v>
      </c>
      <c r="X3267">
        <v>5869</v>
      </c>
      <c r="Y3267">
        <v>5374</v>
      </c>
      <c r="Z3267">
        <v>1.09</v>
      </c>
      <c r="AA3267">
        <v>11</v>
      </c>
      <c r="AB3267">
        <v>40</v>
      </c>
      <c r="AC3267">
        <v>2.65</v>
      </c>
      <c r="AD3267" t="s">
        <v>12483</v>
      </c>
      <c r="AE3267" t="s">
        <v>16554</v>
      </c>
      <c r="AF3267" t="s">
        <v>16555</v>
      </c>
      <c r="AG3267" t="s">
        <v>16556</v>
      </c>
      <c r="AH3267">
        <v>-4.38</v>
      </c>
      <c r="AI3267">
        <v>-5.97</v>
      </c>
      <c r="AJ3267">
        <v>15.01</v>
      </c>
      <c r="AK3267">
        <v>35.55</v>
      </c>
      <c r="AL3267">
        <v>-4</v>
      </c>
      <c r="AM3267">
        <v>-0.95</v>
      </c>
      <c r="AN3267">
        <v>-9.23</v>
      </c>
      <c r="AO3267">
        <v>1.26</v>
      </c>
      <c r="AP3267">
        <v>-9.23</v>
      </c>
    </row>
    <row r="3268" spans="1:42">
      <c r="A3268">
        <v>3267</v>
      </c>
      <c r="B3268" t="str">
        <f>"836077"</f>
        <v>836077</v>
      </c>
      <c r="C3268" t="s">
        <v>16557</v>
      </c>
      <c r="D3268">
        <v>15.73</v>
      </c>
      <c r="E3268">
        <v>-4.26</v>
      </c>
      <c r="F3268">
        <v>-0.7</v>
      </c>
      <c r="G3268" t="s">
        <v>6247</v>
      </c>
      <c r="H3268">
        <v>84</v>
      </c>
      <c r="I3268">
        <v>15.73</v>
      </c>
      <c r="J3268">
        <v>15.74</v>
      </c>
      <c r="K3268" t="s">
        <v>16558</v>
      </c>
      <c r="L3268">
        <v>1.08</v>
      </c>
      <c r="M3268" t="s">
        <v>46</v>
      </c>
      <c r="N3268" t="s">
        <v>13180</v>
      </c>
      <c r="O3268">
        <v>16.62</v>
      </c>
      <c r="P3268">
        <v>15.45</v>
      </c>
      <c r="Q3268">
        <v>16.6</v>
      </c>
      <c r="R3268">
        <v>16.43</v>
      </c>
      <c r="S3268">
        <v>7.12</v>
      </c>
      <c r="T3268">
        <v>0.42</v>
      </c>
      <c r="U3268">
        <v>41.51</v>
      </c>
      <c r="V3268">
        <v>144</v>
      </c>
      <c r="W3268">
        <v>16.05</v>
      </c>
      <c r="X3268" t="s">
        <v>60</v>
      </c>
      <c r="Y3268" t="s">
        <v>2284</v>
      </c>
      <c r="Z3268">
        <v>1.54</v>
      </c>
      <c r="AA3268">
        <v>35</v>
      </c>
      <c r="AB3268">
        <v>19</v>
      </c>
      <c r="AC3268">
        <v>3.7</v>
      </c>
      <c r="AD3268" t="s">
        <v>10044</v>
      </c>
      <c r="AE3268" t="s">
        <v>4755</v>
      </c>
      <c r="AF3268" t="s">
        <v>16559</v>
      </c>
      <c r="AG3268" t="s">
        <v>16560</v>
      </c>
      <c r="AH3268">
        <v>-14.51</v>
      </c>
      <c r="AI3268">
        <v>-7.2</v>
      </c>
      <c r="AJ3268">
        <v>4.59</v>
      </c>
      <c r="AK3268">
        <v>13.87</v>
      </c>
      <c r="AL3268">
        <v>-4</v>
      </c>
      <c r="AM3268">
        <v>-4.26</v>
      </c>
      <c r="AN3268">
        <v>-42.97</v>
      </c>
      <c r="AO3268">
        <v>9.62</v>
      </c>
      <c r="AP3268">
        <v>-46.59</v>
      </c>
    </row>
    <row r="3269" spans="1:42">
      <c r="A3269">
        <v>3268</v>
      </c>
      <c r="B3269" t="str">
        <f>"300314"</f>
        <v>300314</v>
      </c>
      <c r="C3269" t="s">
        <v>16561</v>
      </c>
      <c r="D3269">
        <v>15.05</v>
      </c>
      <c r="E3269">
        <v>0.4</v>
      </c>
      <c r="F3269">
        <v>0.06</v>
      </c>
      <c r="G3269" t="s">
        <v>2628</v>
      </c>
      <c r="H3269">
        <v>158</v>
      </c>
      <c r="I3269">
        <v>15.05</v>
      </c>
      <c r="J3269">
        <v>15.06</v>
      </c>
      <c r="K3269" t="s">
        <v>16562</v>
      </c>
      <c r="L3269">
        <v>1.65</v>
      </c>
      <c r="M3269" t="s">
        <v>46</v>
      </c>
      <c r="N3269" t="s">
        <v>3124</v>
      </c>
      <c r="O3269">
        <v>15.17</v>
      </c>
      <c r="P3269">
        <v>14.91</v>
      </c>
      <c r="Q3269">
        <v>14.99</v>
      </c>
      <c r="R3269">
        <v>14.99</v>
      </c>
      <c r="S3269">
        <v>1.73</v>
      </c>
      <c r="T3269">
        <v>0.88</v>
      </c>
      <c r="U3269">
        <v>24.81</v>
      </c>
      <c r="V3269">
        <v>165</v>
      </c>
      <c r="W3269">
        <v>15.03</v>
      </c>
      <c r="X3269" t="s">
        <v>61</v>
      </c>
      <c r="Y3269" t="s">
        <v>1118</v>
      </c>
      <c r="Z3269">
        <v>0.94</v>
      </c>
      <c r="AA3269">
        <v>271</v>
      </c>
      <c r="AB3269">
        <v>57</v>
      </c>
      <c r="AC3269">
        <v>3.81</v>
      </c>
      <c r="AD3269" t="s">
        <v>8157</v>
      </c>
      <c r="AE3269" t="s">
        <v>16563</v>
      </c>
      <c r="AF3269" t="s">
        <v>5145</v>
      </c>
      <c r="AG3269" t="s">
        <v>16564</v>
      </c>
      <c r="AH3269">
        <v>-0.13</v>
      </c>
      <c r="AI3269">
        <v>-1.05</v>
      </c>
      <c r="AJ3269">
        <v>5.09</v>
      </c>
      <c r="AK3269">
        <v>11.04</v>
      </c>
      <c r="AL3269">
        <v>1</v>
      </c>
      <c r="AM3269">
        <v>0.4</v>
      </c>
      <c r="AN3269">
        <v>17.3</v>
      </c>
      <c r="AO3269">
        <v>8.43</v>
      </c>
      <c r="AP3269">
        <v>5.39</v>
      </c>
    </row>
    <row r="3270" spans="1:42">
      <c r="A3270">
        <v>3269</v>
      </c>
      <c r="B3270" t="str">
        <f>"688117"</f>
        <v>688117</v>
      </c>
      <c r="C3270" t="s">
        <v>16565</v>
      </c>
      <c r="D3270">
        <v>28.48</v>
      </c>
      <c r="E3270">
        <v>1.5</v>
      </c>
      <c r="F3270">
        <v>0.42</v>
      </c>
      <c r="G3270" t="s">
        <v>8137</v>
      </c>
      <c r="H3270">
        <v>255</v>
      </c>
      <c r="I3270">
        <v>28.48</v>
      </c>
      <c r="J3270">
        <v>28.51</v>
      </c>
      <c r="K3270" t="s">
        <v>16566</v>
      </c>
      <c r="L3270">
        <v>2.5</v>
      </c>
      <c r="M3270" t="s">
        <v>46</v>
      </c>
      <c r="N3270" t="s">
        <v>4960</v>
      </c>
      <c r="O3270">
        <v>28.74</v>
      </c>
      <c r="P3270">
        <v>28.12</v>
      </c>
      <c r="Q3270">
        <v>28.35</v>
      </c>
      <c r="R3270">
        <v>28.06</v>
      </c>
      <c r="S3270">
        <v>2.21</v>
      </c>
      <c r="T3270">
        <v>0.92</v>
      </c>
      <c r="U3270">
        <v>62.43</v>
      </c>
      <c r="V3270">
        <v>105</v>
      </c>
      <c r="W3270">
        <v>28.46</v>
      </c>
      <c r="X3270">
        <v>6993</v>
      </c>
      <c r="Y3270">
        <v>9532</v>
      </c>
      <c r="Z3270">
        <v>0.73</v>
      </c>
      <c r="AA3270">
        <v>16</v>
      </c>
      <c r="AB3270">
        <v>1</v>
      </c>
      <c r="AC3270">
        <v>3.79</v>
      </c>
      <c r="AD3270" t="s">
        <v>14495</v>
      </c>
      <c r="AE3270" t="s">
        <v>16567</v>
      </c>
      <c r="AF3270" t="s">
        <v>1616</v>
      </c>
      <c r="AG3270" t="s">
        <v>16568</v>
      </c>
      <c r="AH3270">
        <v>-1.96</v>
      </c>
      <c r="AI3270">
        <v>-3.16</v>
      </c>
      <c r="AJ3270">
        <v>7.85</v>
      </c>
      <c r="AK3270">
        <v>16.04</v>
      </c>
      <c r="AL3270">
        <v>1</v>
      </c>
      <c r="AM3270">
        <v>1.5</v>
      </c>
      <c r="AN3270">
        <v>81.52</v>
      </c>
      <c r="AO3270">
        <v>-5.7</v>
      </c>
      <c r="AP3270">
        <v>56.74</v>
      </c>
    </row>
    <row r="3271" spans="1:42">
      <c r="A3271">
        <v>3270</v>
      </c>
      <c r="B3271" t="str">
        <f>"002549"</f>
        <v>002549</v>
      </c>
      <c r="C3271" t="s">
        <v>16569</v>
      </c>
      <c r="D3271">
        <v>10.9</v>
      </c>
      <c r="E3271">
        <v>0.28</v>
      </c>
      <c r="F3271">
        <v>0.03</v>
      </c>
      <c r="G3271" t="s">
        <v>3235</v>
      </c>
      <c r="H3271">
        <v>458</v>
      </c>
      <c r="I3271">
        <v>10.9</v>
      </c>
      <c r="J3271">
        <v>10.91</v>
      </c>
      <c r="K3271" t="s">
        <v>16566</v>
      </c>
      <c r="L3271">
        <v>0.7</v>
      </c>
      <c r="M3271" t="s">
        <v>46</v>
      </c>
      <c r="N3271" t="s">
        <v>1531</v>
      </c>
      <c r="O3271">
        <v>10.95</v>
      </c>
      <c r="P3271">
        <v>10.76</v>
      </c>
      <c r="Q3271">
        <v>10.83</v>
      </c>
      <c r="R3271">
        <v>10.87</v>
      </c>
      <c r="S3271">
        <v>1.75</v>
      </c>
      <c r="T3271">
        <v>0.62</v>
      </c>
      <c r="U3271">
        <v>12.9</v>
      </c>
      <c r="V3271">
        <v>312</v>
      </c>
      <c r="W3271">
        <v>10.86</v>
      </c>
      <c r="X3271" t="s">
        <v>1710</v>
      </c>
      <c r="Y3271" t="s">
        <v>985</v>
      </c>
      <c r="Z3271">
        <v>1.13</v>
      </c>
      <c r="AA3271">
        <v>152</v>
      </c>
      <c r="AB3271">
        <v>8</v>
      </c>
      <c r="AC3271">
        <v>3.95</v>
      </c>
      <c r="AD3271" t="s">
        <v>16570</v>
      </c>
      <c r="AE3271" t="s">
        <v>16571</v>
      </c>
      <c r="AF3271" t="s">
        <v>1433</v>
      </c>
      <c r="AG3271" t="s">
        <v>16572</v>
      </c>
      <c r="AH3271">
        <v>-2.15</v>
      </c>
      <c r="AI3271">
        <v>-6.84</v>
      </c>
      <c r="AJ3271">
        <v>2.44</v>
      </c>
      <c r="AK3271">
        <v>6.29</v>
      </c>
      <c r="AL3271">
        <v>1</v>
      </c>
      <c r="AM3271">
        <v>0.28</v>
      </c>
      <c r="AN3271">
        <v>-27.86</v>
      </c>
      <c r="AO3271">
        <v>-0.27</v>
      </c>
      <c r="AP3271">
        <v>-48.8</v>
      </c>
    </row>
    <row r="3272" spans="1:42">
      <c r="A3272">
        <v>3271</v>
      </c>
      <c r="B3272" t="str">
        <f>"001206"</f>
        <v>001206</v>
      </c>
      <c r="C3272" t="s">
        <v>16573</v>
      </c>
      <c r="D3272">
        <v>16.57</v>
      </c>
      <c r="E3272">
        <v>-1.66</v>
      </c>
      <c r="F3272">
        <v>-0.28</v>
      </c>
      <c r="G3272" t="s">
        <v>8966</v>
      </c>
      <c r="H3272">
        <v>245</v>
      </c>
      <c r="I3272">
        <v>16.55</v>
      </c>
      <c r="J3272">
        <v>16.57</v>
      </c>
      <c r="K3272" t="s">
        <v>16574</v>
      </c>
      <c r="L3272">
        <v>3.15</v>
      </c>
      <c r="M3272" t="s">
        <v>46</v>
      </c>
      <c r="N3272" t="s">
        <v>1135</v>
      </c>
      <c r="O3272">
        <v>16.84</v>
      </c>
      <c r="P3272">
        <v>16.51</v>
      </c>
      <c r="Q3272">
        <v>16.84</v>
      </c>
      <c r="R3272">
        <v>16.85</v>
      </c>
      <c r="S3272">
        <v>1.96</v>
      </c>
      <c r="T3272">
        <v>1.26</v>
      </c>
      <c r="U3272">
        <v>52.69</v>
      </c>
      <c r="V3272">
        <v>590</v>
      </c>
      <c r="W3272">
        <v>16.62</v>
      </c>
      <c r="X3272" t="s">
        <v>432</v>
      </c>
      <c r="Y3272" t="s">
        <v>1154</v>
      </c>
      <c r="Z3272">
        <v>1.76</v>
      </c>
      <c r="AA3272">
        <v>99</v>
      </c>
      <c r="AB3272">
        <v>25</v>
      </c>
      <c r="AC3272">
        <v>1.69</v>
      </c>
      <c r="AD3272" t="s">
        <v>16575</v>
      </c>
      <c r="AE3272" t="s">
        <v>16576</v>
      </c>
      <c r="AF3272" t="s">
        <v>16577</v>
      </c>
      <c r="AG3272" t="s">
        <v>16578</v>
      </c>
      <c r="AH3272">
        <v>-1.02</v>
      </c>
      <c r="AI3272">
        <v>-0.3</v>
      </c>
      <c r="AJ3272">
        <v>7.5</v>
      </c>
      <c r="AK3272">
        <v>15.69</v>
      </c>
      <c r="AL3272">
        <v>-1</v>
      </c>
      <c r="AM3272">
        <v>-1.66</v>
      </c>
      <c r="AN3272">
        <v>-2.59</v>
      </c>
      <c r="AO3272">
        <v>5.81</v>
      </c>
      <c r="AP3272">
        <v>-6.54</v>
      </c>
    </row>
    <row r="3273" spans="1:42">
      <c r="A3273">
        <v>3272</v>
      </c>
      <c r="B3273" t="str">
        <f>"000922"</f>
        <v>000922</v>
      </c>
      <c r="C3273" t="s">
        <v>16579</v>
      </c>
      <c r="D3273">
        <v>10.08</v>
      </c>
      <c r="E3273">
        <v>0</v>
      </c>
      <c r="F3273">
        <v>0</v>
      </c>
      <c r="G3273" t="s">
        <v>7735</v>
      </c>
      <c r="H3273">
        <v>837</v>
      </c>
      <c r="I3273">
        <v>10.07</v>
      </c>
      <c r="J3273">
        <v>10.08</v>
      </c>
      <c r="K3273" t="s">
        <v>16574</v>
      </c>
      <c r="L3273">
        <v>0.8</v>
      </c>
      <c r="M3273" t="s">
        <v>46</v>
      </c>
      <c r="N3273" t="s">
        <v>7648</v>
      </c>
      <c r="O3273">
        <v>10.11</v>
      </c>
      <c r="P3273">
        <v>9.95</v>
      </c>
      <c r="Q3273">
        <v>10.08</v>
      </c>
      <c r="R3273">
        <v>10.08</v>
      </c>
      <c r="S3273">
        <v>1.59</v>
      </c>
      <c r="T3273">
        <v>0.84</v>
      </c>
      <c r="U3273">
        <v>-43.34</v>
      </c>
      <c r="V3273">
        <v>-1711</v>
      </c>
      <c r="W3273">
        <v>10.02</v>
      </c>
      <c r="X3273" t="s">
        <v>3121</v>
      </c>
      <c r="Y3273" t="s">
        <v>5585</v>
      </c>
      <c r="Z3273">
        <v>1.4</v>
      </c>
      <c r="AA3273">
        <v>165</v>
      </c>
      <c r="AB3273">
        <v>46</v>
      </c>
      <c r="AC3273">
        <v>1.87</v>
      </c>
      <c r="AD3273" t="s">
        <v>16580</v>
      </c>
      <c r="AE3273" t="s">
        <v>16581</v>
      </c>
      <c r="AF3273" t="s">
        <v>16582</v>
      </c>
      <c r="AG3273" t="s">
        <v>16583</v>
      </c>
      <c r="AH3273">
        <v>-2.14</v>
      </c>
      <c r="AI3273">
        <v>-1.27</v>
      </c>
      <c r="AJ3273">
        <v>3.08</v>
      </c>
      <c r="AK3273">
        <v>5.6</v>
      </c>
      <c r="AL3273">
        <v>0</v>
      </c>
      <c r="AM3273">
        <v>0</v>
      </c>
      <c r="AN3273">
        <v>13.9</v>
      </c>
      <c r="AO3273">
        <v>1.31</v>
      </c>
      <c r="AP3273">
        <v>-0.59</v>
      </c>
    </row>
    <row r="3274" spans="1:42">
      <c r="A3274">
        <v>3273</v>
      </c>
      <c r="B3274" t="str">
        <f>"002793"</f>
        <v>002793</v>
      </c>
      <c r="C3274" t="s">
        <v>16584</v>
      </c>
      <c r="D3274">
        <v>5.92</v>
      </c>
      <c r="E3274">
        <v>-0.34</v>
      </c>
      <c r="F3274">
        <v>-0.02</v>
      </c>
      <c r="G3274" t="s">
        <v>6910</v>
      </c>
      <c r="H3274">
        <v>1188</v>
      </c>
      <c r="I3274">
        <v>5.92</v>
      </c>
      <c r="J3274">
        <v>5.93</v>
      </c>
      <c r="K3274" t="s">
        <v>16574</v>
      </c>
      <c r="L3274">
        <v>0.73</v>
      </c>
      <c r="M3274" t="s">
        <v>46</v>
      </c>
      <c r="N3274" t="s">
        <v>6402</v>
      </c>
      <c r="O3274">
        <v>5.98</v>
      </c>
      <c r="P3274">
        <v>5.89</v>
      </c>
      <c r="Q3274">
        <v>5.95</v>
      </c>
      <c r="R3274">
        <v>5.94</v>
      </c>
      <c r="S3274">
        <v>1.52</v>
      </c>
      <c r="T3274">
        <v>0.46</v>
      </c>
      <c r="U3274">
        <v>23.35</v>
      </c>
      <c r="V3274">
        <v>1852</v>
      </c>
      <c r="W3274">
        <v>5.92</v>
      </c>
      <c r="X3274" t="s">
        <v>7817</v>
      </c>
      <c r="Y3274" t="s">
        <v>3558</v>
      </c>
      <c r="Z3274">
        <v>1.5</v>
      </c>
      <c r="AA3274">
        <v>542</v>
      </c>
      <c r="AB3274">
        <v>319</v>
      </c>
      <c r="AC3274">
        <v>2.18</v>
      </c>
      <c r="AD3274" t="s">
        <v>5100</v>
      </c>
      <c r="AE3274" t="s">
        <v>16585</v>
      </c>
      <c r="AF3274" t="s">
        <v>16586</v>
      </c>
      <c r="AG3274" t="s">
        <v>16587</v>
      </c>
      <c r="AH3274">
        <v>-1.82</v>
      </c>
      <c r="AI3274">
        <v>-3.11</v>
      </c>
      <c r="AJ3274">
        <v>2.72</v>
      </c>
      <c r="AK3274">
        <v>8.73</v>
      </c>
      <c r="AL3274">
        <v>-3</v>
      </c>
      <c r="AM3274">
        <v>-0.34</v>
      </c>
      <c r="AN3274">
        <v>-22.82</v>
      </c>
      <c r="AO3274">
        <v>4.78</v>
      </c>
      <c r="AP3274">
        <v>-31.95</v>
      </c>
    </row>
    <row r="3275" spans="1:42">
      <c r="A3275">
        <v>3274</v>
      </c>
      <c r="B3275" t="str">
        <f>"688800"</f>
        <v>688800</v>
      </c>
      <c r="C3275" t="s">
        <v>16588</v>
      </c>
      <c r="D3275">
        <v>43.53</v>
      </c>
      <c r="E3275">
        <v>-0.5</v>
      </c>
      <c r="F3275">
        <v>-0.22</v>
      </c>
      <c r="G3275" t="s">
        <v>7974</v>
      </c>
      <c r="H3275">
        <v>275</v>
      </c>
      <c r="I3275">
        <v>43.51</v>
      </c>
      <c r="J3275">
        <v>43.53</v>
      </c>
      <c r="K3275" t="s">
        <v>16589</v>
      </c>
      <c r="L3275">
        <v>1.01</v>
      </c>
      <c r="M3275" t="s">
        <v>46</v>
      </c>
      <c r="N3275" t="s">
        <v>1419</v>
      </c>
      <c r="O3275">
        <v>43.93</v>
      </c>
      <c r="P3275">
        <v>43.04</v>
      </c>
      <c r="Q3275">
        <v>43.75</v>
      </c>
      <c r="R3275">
        <v>43.75</v>
      </c>
      <c r="S3275">
        <v>2.03</v>
      </c>
      <c r="T3275">
        <v>0.71</v>
      </c>
      <c r="U3275">
        <v>-38.34</v>
      </c>
      <c r="V3275">
        <v>-56</v>
      </c>
      <c r="W3275">
        <v>43.4</v>
      </c>
      <c r="X3275">
        <v>6250</v>
      </c>
      <c r="Y3275">
        <v>4565</v>
      </c>
      <c r="Z3275">
        <v>1.37</v>
      </c>
      <c r="AA3275">
        <v>5</v>
      </c>
      <c r="AB3275">
        <v>5</v>
      </c>
      <c r="AC3275">
        <v>3.55</v>
      </c>
      <c r="AD3275" t="s">
        <v>938</v>
      </c>
      <c r="AE3275" t="s">
        <v>16590</v>
      </c>
      <c r="AF3275" t="s">
        <v>16591</v>
      </c>
      <c r="AG3275" t="s">
        <v>16592</v>
      </c>
      <c r="AH3275">
        <v>-3.18</v>
      </c>
      <c r="AI3275">
        <v>-3.89</v>
      </c>
      <c r="AJ3275">
        <v>4.23</v>
      </c>
      <c r="AK3275">
        <v>8.12</v>
      </c>
      <c r="AL3275">
        <v>-3</v>
      </c>
      <c r="AM3275">
        <v>-0.5</v>
      </c>
      <c r="AN3275">
        <v>-42.6</v>
      </c>
      <c r="AO3275">
        <v>11.64</v>
      </c>
      <c r="AP3275">
        <v>-45.53</v>
      </c>
    </row>
    <row r="3276" spans="1:42">
      <c r="A3276">
        <v>3275</v>
      </c>
      <c r="B3276" t="str">
        <f>"002231"</f>
        <v>002231</v>
      </c>
      <c r="C3276" t="s">
        <v>16593</v>
      </c>
      <c r="D3276">
        <v>6.99</v>
      </c>
      <c r="E3276">
        <v>2.04</v>
      </c>
      <c r="F3276">
        <v>0.14</v>
      </c>
      <c r="G3276" t="s">
        <v>4833</v>
      </c>
      <c r="H3276">
        <v>606</v>
      </c>
      <c r="I3276">
        <v>6.98</v>
      </c>
      <c r="J3276">
        <v>6.99</v>
      </c>
      <c r="K3276" t="s">
        <v>14661</v>
      </c>
      <c r="L3276">
        <v>2.3</v>
      </c>
      <c r="M3276" t="s">
        <v>46</v>
      </c>
      <c r="N3276" t="s">
        <v>10956</v>
      </c>
      <c r="O3276">
        <v>7</v>
      </c>
      <c r="P3276">
        <v>6.79</v>
      </c>
      <c r="Q3276">
        <v>6.85</v>
      </c>
      <c r="R3276">
        <v>6.85</v>
      </c>
      <c r="S3276">
        <v>3.07</v>
      </c>
      <c r="T3276">
        <v>0.77</v>
      </c>
      <c r="U3276">
        <v>-36.7</v>
      </c>
      <c r="V3276">
        <v>-2617</v>
      </c>
      <c r="W3276">
        <v>6.92</v>
      </c>
      <c r="X3276" t="s">
        <v>7472</v>
      </c>
      <c r="Y3276" t="s">
        <v>3149</v>
      </c>
      <c r="Z3276">
        <v>0.65</v>
      </c>
      <c r="AA3276">
        <v>262</v>
      </c>
      <c r="AB3276">
        <v>769</v>
      </c>
      <c r="AC3276">
        <v>6.97</v>
      </c>
      <c r="AD3276" t="s">
        <v>16594</v>
      </c>
      <c r="AE3276" t="s">
        <v>13829</v>
      </c>
      <c r="AF3276" t="s">
        <v>16595</v>
      </c>
      <c r="AG3276" t="s">
        <v>3670</v>
      </c>
      <c r="AH3276">
        <v>0.14</v>
      </c>
      <c r="AI3276">
        <v>-0.85</v>
      </c>
      <c r="AJ3276">
        <v>7.11</v>
      </c>
      <c r="AK3276">
        <v>17.17</v>
      </c>
      <c r="AL3276">
        <v>1</v>
      </c>
      <c r="AM3276">
        <v>2.04</v>
      </c>
      <c r="AN3276">
        <v>-15.48</v>
      </c>
      <c r="AO3276">
        <v>4.02</v>
      </c>
      <c r="AP3276">
        <v>-16.88</v>
      </c>
    </row>
    <row r="3277" spans="1:42">
      <c r="A3277">
        <v>3276</v>
      </c>
      <c r="B3277" t="str">
        <f>"300870"</f>
        <v>300870</v>
      </c>
      <c r="C3277" t="s">
        <v>16596</v>
      </c>
      <c r="D3277">
        <v>47.93</v>
      </c>
      <c r="E3277">
        <v>0.44</v>
      </c>
      <c r="F3277">
        <v>0.21</v>
      </c>
      <c r="G3277">
        <v>9804</v>
      </c>
      <c r="H3277">
        <v>62</v>
      </c>
      <c r="I3277">
        <v>47.93</v>
      </c>
      <c r="J3277">
        <v>47.95</v>
      </c>
      <c r="K3277" t="s">
        <v>16597</v>
      </c>
      <c r="L3277">
        <v>0.97</v>
      </c>
      <c r="M3277" t="s">
        <v>46</v>
      </c>
      <c r="N3277" t="s">
        <v>2474</v>
      </c>
      <c r="O3277">
        <v>48.2</v>
      </c>
      <c r="P3277">
        <v>47.32</v>
      </c>
      <c r="Q3277">
        <v>47.84</v>
      </c>
      <c r="R3277">
        <v>47.72</v>
      </c>
      <c r="S3277">
        <v>1.84</v>
      </c>
      <c r="T3277">
        <v>1.29</v>
      </c>
      <c r="U3277">
        <v>1.33</v>
      </c>
      <c r="V3277">
        <v>1</v>
      </c>
      <c r="W3277">
        <v>47.78</v>
      </c>
      <c r="X3277">
        <v>5298</v>
      </c>
      <c r="Y3277">
        <v>4506</v>
      </c>
      <c r="Z3277">
        <v>1.18</v>
      </c>
      <c r="AA3277">
        <v>11</v>
      </c>
      <c r="AB3277">
        <v>1</v>
      </c>
      <c r="AC3277">
        <v>2.85</v>
      </c>
      <c r="AD3277" t="s">
        <v>11882</v>
      </c>
      <c r="AE3277" t="s">
        <v>16598</v>
      </c>
      <c r="AF3277" t="s">
        <v>11882</v>
      </c>
      <c r="AG3277" t="s">
        <v>16598</v>
      </c>
      <c r="AH3277">
        <v>-1.07</v>
      </c>
      <c r="AI3277">
        <v>-3.05</v>
      </c>
      <c r="AJ3277">
        <v>2.69</v>
      </c>
      <c r="AK3277">
        <v>4.72</v>
      </c>
      <c r="AL3277">
        <v>1</v>
      </c>
      <c r="AM3277">
        <v>0.44</v>
      </c>
      <c r="AN3277">
        <v>8.27</v>
      </c>
      <c r="AO3277">
        <v>1.25</v>
      </c>
      <c r="AP3277">
        <v>-4.31</v>
      </c>
    </row>
    <row r="3278" spans="1:42">
      <c r="A3278">
        <v>3277</v>
      </c>
      <c r="B3278" t="str">
        <f>"300737"</f>
        <v>300737</v>
      </c>
      <c r="C3278" t="s">
        <v>16599</v>
      </c>
      <c r="D3278">
        <v>6.67</v>
      </c>
      <c r="E3278">
        <v>-0.3</v>
      </c>
      <c r="F3278">
        <v>-0.02</v>
      </c>
      <c r="G3278" t="s">
        <v>4169</v>
      </c>
      <c r="H3278">
        <v>1569</v>
      </c>
      <c r="I3278">
        <v>6.67</v>
      </c>
      <c r="J3278">
        <v>6.68</v>
      </c>
      <c r="K3278" t="s">
        <v>16600</v>
      </c>
      <c r="L3278">
        <v>0.78</v>
      </c>
      <c r="M3278" t="s">
        <v>46</v>
      </c>
      <c r="N3278" t="s">
        <v>16138</v>
      </c>
      <c r="O3278">
        <v>6.75</v>
      </c>
      <c r="P3278">
        <v>6.62</v>
      </c>
      <c r="Q3278">
        <v>6.68</v>
      </c>
      <c r="R3278">
        <v>6.69</v>
      </c>
      <c r="S3278">
        <v>1.94</v>
      </c>
      <c r="T3278">
        <v>0.66</v>
      </c>
      <c r="U3278">
        <v>18.26</v>
      </c>
      <c r="V3278">
        <v>1260</v>
      </c>
      <c r="W3278">
        <v>6.66</v>
      </c>
      <c r="X3278" t="s">
        <v>3373</v>
      </c>
      <c r="Y3278" t="s">
        <v>8050</v>
      </c>
      <c r="Z3278">
        <v>1.36</v>
      </c>
      <c r="AA3278">
        <v>664</v>
      </c>
      <c r="AB3278">
        <v>123</v>
      </c>
      <c r="AC3278">
        <v>1.41</v>
      </c>
      <c r="AD3278" t="s">
        <v>16601</v>
      </c>
      <c r="AE3278" t="s">
        <v>16602</v>
      </c>
      <c r="AF3278" t="s">
        <v>6027</v>
      </c>
      <c r="AG3278" t="s">
        <v>16181</v>
      </c>
      <c r="AH3278">
        <v>-3.19</v>
      </c>
      <c r="AI3278">
        <v>-6.19</v>
      </c>
      <c r="AJ3278">
        <v>3.15</v>
      </c>
      <c r="AK3278">
        <v>6.68</v>
      </c>
      <c r="AL3278">
        <v>-1</v>
      </c>
      <c r="AM3278">
        <v>-0.3</v>
      </c>
      <c r="AN3278">
        <v>-46.77</v>
      </c>
      <c r="AO3278">
        <v>2.14</v>
      </c>
      <c r="AP3278">
        <v>-45.73</v>
      </c>
    </row>
    <row r="3279" spans="1:42">
      <c r="A3279">
        <v>3278</v>
      </c>
      <c r="B3279" t="str">
        <f>"000978"</f>
        <v>000978</v>
      </c>
      <c r="C3279" t="s">
        <v>16603</v>
      </c>
      <c r="D3279">
        <v>7.37</v>
      </c>
      <c r="E3279">
        <v>-0.14</v>
      </c>
      <c r="F3279">
        <v>-0.01</v>
      </c>
      <c r="G3279" t="s">
        <v>8539</v>
      </c>
      <c r="H3279">
        <v>384</v>
      </c>
      <c r="I3279">
        <v>7.37</v>
      </c>
      <c r="J3279">
        <v>7.38</v>
      </c>
      <c r="K3279" t="s">
        <v>16604</v>
      </c>
      <c r="L3279">
        <v>1.76</v>
      </c>
      <c r="M3279" t="s">
        <v>46</v>
      </c>
      <c r="N3279" t="s">
        <v>3981</v>
      </c>
      <c r="O3279">
        <v>7.47</v>
      </c>
      <c r="P3279">
        <v>7.34</v>
      </c>
      <c r="Q3279">
        <v>7.39</v>
      </c>
      <c r="R3279">
        <v>7.38</v>
      </c>
      <c r="S3279">
        <v>1.76</v>
      </c>
      <c r="T3279">
        <v>1.18</v>
      </c>
      <c r="U3279">
        <v>-1.73</v>
      </c>
      <c r="V3279">
        <v>-65</v>
      </c>
      <c r="W3279">
        <v>7.4</v>
      </c>
      <c r="X3279" t="s">
        <v>925</v>
      </c>
      <c r="Y3279" t="s">
        <v>8255</v>
      </c>
      <c r="Z3279">
        <v>0.95</v>
      </c>
      <c r="AA3279">
        <v>221</v>
      </c>
      <c r="AB3279">
        <v>483</v>
      </c>
      <c r="AC3279">
        <v>2.61</v>
      </c>
      <c r="AD3279" t="s">
        <v>16605</v>
      </c>
      <c r="AE3279" t="s">
        <v>4099</v>
      </c>
      <c r="AF3279" t="s">
        <v>11740</v>
      </c>
      <c r="AG3279" t="s">
        <v>16606</v>
      </c>
      <c r="AH3279">
        <v>0.27</v>
      </c>
      <c r="AI3279">
        <v>0.55</v>
      </c>
      <c r="AJ3279">
        <v>4.37</v>
      </c>
      <c r="AK3279">
        <v>9.22</v>
      </c>
      <c r="AL3279">
        <v>-1</v>
      </c>
      <c r="AM3279">
        <v>-0.14</v>
      </c>
      <c r="AN3279">
        <v>-19.63</v>
      </c>
      <c r="AO3279">
        <v>8.54</v>
      </c>
      <c r="AP3279">
        <v>10</v>
      </c>
    </row>
    <row r="3280" spans="1:42">
      <c r="A3280">
        <v>3279</v>
      </c>
      <c r="B3280" t="str">
        <f>"600539"</f>
        <v>600539</v>
      </c>
      <c r="C3280" t="s">
        <v>16607</v>
      </c>
      <c r="D3280">
        <v>7.46</v>
      </c>
      <c r="E3280">
        <v>1.5</v>
      </c>
      <c r="F3280">
        <v>0.11</v>
      </c>
      <c r="G3280" t="s">
        <v>5779</v>
      </c>
      <c r="H3280">
        <v>234</v>
      </c>
      <c r="I3280">
        <v>7.46</v>
      </c>
      <c r="J3280">
        <v>7.49</v>
      </c>
      <c r="K3280" t="s">
        <v>16608</v>
      </c>
      <c r="L3280">
        <v>2.72</v>
      </c>
      <c r="M3280" t="s">
        <v>46</v>
      </c>
      <c r="N3280" t="s">
        <v>4501</v>
      </c>
      <c r="O3280">
        <v>7.55</v>
      </c>
      <c r="P3280">
        <v>7.31</v>
      </c>
      <c r="Q3280">
        <v>7.31</v>
      </c>
      <c r="R3280">
        <v>7.35</v>
      </c>
      <c r="S3280">
        <v>3.27</v>
      </c>
      <c r="T3280">
        <v>1.48</v>
      </c>
      <c r="U3280">
        <v>-0.4</v>
      </c>
      <c r="V3280">
        <v>-8</v>
      </c>
      <c r="W3280">
        <v>7.48</v>
      </c>
      <c r="X3280" t="s">
        <v>1077</v>
      </c>
      <c r="Y3280" t="s">
        <v>8663</v>
      </c>
      <c r="Z3280">
        <v>0.7</v>
      </c>
      <c r="AA3280">
        <v>265</v>
      </c>
      <c r="AB3280">
        <v>215</v>
      </c>
      <c r="AC3280">
        <v>4.15</v>
      </c>
      <c r="AD3280" t="s">
        <v>1791</v>
      </c>
      <c r="AE3280" t="s">
        <v>9322</v>
      </c>
      <c r="AF3280" t="s">
        <v>1791</v>
      </c>
      <c r="AG3280" t="s">
        <v>9322</v>
      </c>
      <c r="AH3280">
        <v>1.36</v>
      </c>
      <c r="AI3280">
        <v>0.13</v>
      </c>
      <c r="AJ3280">
        <v>5.75</v>
      </c>
      <c r="AK3280">
        <v>11.88</v>
      </c>
      <c r="AL3280">
        <v>2</v>
      </c>
      <c r="AM3280">
        <v>1.5</v>
      </c>
      <c r="AN3280">
        <v>14.42</v>
      </c>
      <c r="AO3280">
        <v>7.8</v>
      </c>
      <c r="AP3280">
        <v>10.19</v>
      </c>
    </row>
    <row r="3281" spans="1:42">
      <c r="A3281">
        <v>3280</v>
      </c>
      <c r="B3281" t="str">
        <f>"600596"</f>
        <v>600596</v>
      </c>
      <c r="C3281" t="s">
        <v>16609</v>
      </c>
      <c r="D3281">
        <v>9.33</v>
      </c>
      <c r="E3281">
        <v>-0.21</v>
      </c>
      <c r="F3281">
        <v>-0.02</v>
      </c>
      <c r="G3281" t="s">
        <v>3736</v>
      </c>
      <c r="H3281">
        <v>278</v>
      </c>
      <c r="I3281">
        <v>9.32</v>
      </c>
      <c r="J3281">
        <v>9.33</v>
      </c>
      <c r="K3281" t="s">
        <v>16608</v>
      </c>
      <c r="L3281">
        <v>0.44</v>
      </c>
      <c r="M3281" t="s">
        <v>46</v>
      </c>
      <c r="N3281" t="s">
        <v>8046</v>
      </c>
      <c r="O3281">
        <v>9.39</v>
      </c>
      <c r="P3281">
        <v>9.26</v>
      </c>
      <c r="Q3281">
        <v>9.35</v>
      </c>
      <c r="R3281">
        <v>9.35</v>
      </c>
      <c r="S3281">
        <v>1.39</v>
      </c>
      <c r="T3281">
        <v>0.81</v>
      </c>
      <c r="U3281">
        <v>28.37</v>
      </c>
      <c r="V3281">
        <v>1191</v>
      </c>
      <c r="W3281">
        <v>9.3</v>
      </c>
      <c r="X3281" t="s">
        <v>7966</v>
      </c>
      <c r="Y3281" t="s">
        <v>128</v>
      </c>
      <c r="Z3281">
        <v>1.72</v>
      </c>
      <c r="AA3281">
        <v>201</v>
      </c>
      <c r="AB3281">
        <v>482</v>
      </c>
      <c r="AC3281">
        <v>0.98</v>
      </c>
      <c r="AD3281" t="s">
        <v>16610</v>
      </c>
      <c r="AE3281" t="s">
        <v>1332</v>
      </c>
      <c r="AF3281" t="s">
        <v>16610</v>
      </c>
      <c r="AG3281" t="s">
        <v>1332</v>
      </c>
      <c r="AH3281">
        <v>-1.89</v>
      </c>
      <c r="AI3281">
        <v>-3.62</v>
      </c>
      <c r="AJ3281">
        <v>1.38</v>
      </c>
      <c r="AK3281">
        <v>3.16</v>
      </c>
      <c r="AL3281">
        <v>-2</v>
      </c>
      <c r="AM3281">
        <v>-0.21</v>
      </c>
      <c r="AN3281">
        <v>-35.16</v>
      </c>
      <c r="AO3281">
        <v>-4.5</v>
      </c>
      <c r="AP3281">
        <v>-38.13</v>
      </c>
    </row>
    <row r="3282" spans="1:42">
      <c r="A3282">
        <v>3281</v>
      </c>
      <c r="B3282" t="str">
        <f>"603826"</f>
        <v>603826</v>
      </c>
      <c r="C3282" t="s">
        <v>16611</v>
      </c>
      <c r="D3282">
        <v>56.26</v>
      </c>
      <c r="E3282">
        <v>1.31</v>
      </c>
      <c r="F3282">
        <v>0.73</v>
      </c>
      <c r="G3282">
        <v>8352</v>
      </c>
      <c r="H3282">
        <v>51</v>
      </c>
      <c r="I3282">
        <v>56.26</v>
      </c>
      <c r="J3282">
        <v>56.28</v>
      </c>
      <c r="K3282" t="s">
        <v>16612</v>
      </c>
      <c r="L3282">
        <v>0.18</v>
      </c>
      <c r="M3282" t="s">
        <v>46</v>
      </c>
      <c r="N3282" t="s">
        <v>9198</v>
      </c>
      <c r="O3282">
        <v>56.35</v>
      </c>
      <c r="P3282">
        <v>55.38</v>
      </c>
      <c r="Q3282">
        <v>55.68</v>
      </c>
      <c r="R3282">
        <v>55.53</v>
      </c>
      <c r="S3282">
        <v>1.75</v>
      </c>
      <c r="T3282">
        <v>1.17</v>
      </c>
      <c r="U3282">
        <v>-45.64</v>
      </c>
      <c r="V3282">
        <v>-136</v>
      </c>
      <c r="W3282">
        <v>55.93</v>
      </c>
      <c r="X3282">
        <v>2902</v>
      </c>
      <c r="Y3282">
        <v>5450</v>
      </c>
      <c r="Z3282">
        <v>0.53</v>
      </c>
      <c r="AA3282">
        <v>12</v>
      </c>
      <c r="AB3282">
        <v>1</v>
      </c>
      <c r="AC3282">
        <v>14.15</v>
      </c>
      <c r="AD3282" t="s">
        <v>16613</v>
      </c>
      <c r="AE3282" t="s">
        <v>817</v>
      </c>
      <c r="AF3282" t="s">
        <v>16613</v>
      </c>
      <c r="AG3282" t="s">
        <v>817</v>
      </c>
      <c r="AH3282">
        <v>1.48</v>
      </c>
      <c r="AI3282">
        <v>0.68</v>
      </c>
      <c r="AJ3282">
        <v>0.41</v>
      </c>
      <c r="AK3282">
        <v>0.94</v>
      </c>
      <c r="AL3282">
        <v>2</v>
      </c>
      <c r="AM3282">
        <v>1.31</v>
      </c>
      <c r="AN3282">
        <v>7.35</v>
      </c>
      <c r="AO3282">
        <v>5.04</v>
      </c>
      <c r="AP3282">
        <v>-4.22</v>
      </c>
    </row>
    <row r="3283" spans="1:42">
      <c r="A3283">
        <v>3282</v>
      </c>
      <c r="B3283" t="str">
        <f>"002910"</f>
        <v>002910</v>
      </c>
      <c r="C3283" t="s">
        <v>16614</v>
      </c>
      <c r="D3283">
        <v>11.35</v>
      </c>
      <c r="E3283">
        <v>0.8</v>
      </c>
      <c r="F3283">
        <v>0.09</v>
      </c>
      <c r="G3283" t="s">
        <v>3925</v>
      </c>
      <c r="H3283">
        <v>229</v>
      </c>
      <c r="I3283">
        <v>11.34</v>
      </c>
      <c r="J3283">
        <v>11.35</v>
      </c>
      <c r="K3283" t="s">
        <v>16612</v>
      </c>
      <c r="L3283">
        <v>2.4</v>
      </c>
      <c r="M3283" t="s">
        <v>46</v>
      </c>
      <c r="N3283" t="s">
        <v>16615</v>
      </c>
      <c r="O3283">
        <v>11.45</v>
      </c>
      <c r="P3283">
        <v>11.17</v>
      </c>
      <c r="Q3283">
        <v>11.28</v>
      </c>
      <c r="R3283">
        <v>11.26</v>
      </c>
      <c r="S3283">
        <v>2.49</v>
      </c>
      <c r="T3283">
        <v>1.84</v>
      </c>
      <c r="U3283">
        <v>-31.63</v>
      </c>
      <c r="V3283">
        <v>-520</v>
      </c>
      <c r="W3283">
        <v>11.36</v>
      </c>
      <c r="X3283" t="s">
        <v>2924</v>
      </c>
      <c r="Y3283" t="s">
        <v>2716</v>
      </c>
      <c r="Z3283">
        <v>0.92</v>
      </c>
      <c r="AA3283">
        <v>20</v>
      </c>
      <c r="AB3283">
        <v>23</v>
      </c>
      <c r="AC3283">
        <v>1.67</v>
      </c>
      <c r="AD3283" t="s">
        <v>14889</v>
      </c>
      <c r="AE3283" t="s">
        <v>13323</v>
      </c>
      <c r="AF3283" t="s">
        <v>11476</v>
      </c>
      <c r="AG3283" t="s">
        <v>5178</v>
      </c>
      <c r="AH3283">
        <v>0.71</v>
      </c>
      <c r="AI3283">
        <v>1.89</v>
      </c>
      <c r="AJ3283">
        <v>4.87</v>
      </c>
      <c r="AK3283">
        <v>8.93</v>
      </c>
      <c r="AL3283">
        <v>2</v>
      </c>
      <c r="AM3283">
        <v>0.8</v>
      </c>
      <c r="AN3283">
        <v>-24.78</v>
      </c>
      <c r="AO3283">
        <v>4.32</v>
      </c>
      <c r="AP3283">
        <v>6.97</v>
      </c>
    </row>
    <row r="3284" spans="1:42">
      <c r="A3284">
        <v>3283</v>
      </c>
      <c r="B3284" t="str">
        <f>"300382"</f>
        <v>300382</v>
      </c>
      <c r="C3284" t="s">
        <v>16616</v>
      </c>
      <c r="D3284">
        <v>10.21</v>
      </c>
      <c r="E3284">
        <v>0.2</v>
      </c>
      <c r="F3284">
        <v>0.02</v>
      </c>
      <c r="G3284" t="s">
        <v>2300</v>
      </c>
      <c r="H3284">
        <v>235</v>
      </c>
      <c r="I3284">
        <v>10.2</v>
      </c>
      <c r="J3284">
        <v>10.21</v>
      </c>
      <c r="K3284" t="s">
        <v>16617</v>
      </c>
      <c r="L3284">
        <v>0.73</v>
      </c>
      <c r="M3284" t="s">
        <v>46</v>
      </c>
      <c r="N3284" t="s">
        <v>1778</v>
      </c>
      <c r="O3284">
        <v>10.3</v>
      </c>
      <c r="P3284">
        <v>10.05</v>
      </c>
      <c r="Q3284">
        <v>10.17</v>
      </c>
      <c r="R3284">
        <v>10.19</v>
      </c>
      <c r="S3284">
        <v>2.45</v>
      </c>
      <c r="T3284">
        <v>1.11</v>
      </c>
      <c r="U3284">
        <v>-12.24</v>
      </c>
      <c r="V3284">
        <v>-341</v>
      </c>
      <c r="W3284">
        <v>10.15</v>
      </c>
      <c r="X3284" t="s">
        <v>9211</v>
      </c>
      <c r="Y3284" t="s">
        <v>6580</v>
      </c>
      <c r="Z3284">
        <v>1.21</v>
      </c>
      <c r="AA3284">
        <v>513</v>
      </c>
      <c r="AB3284">
        <v>215</v>
      </c>
      <c r="AC3284">
        <v>2.88</v>
      </c>
      <c r="AD3284" t="s">
        <v>16618</v>
      </c>
      <c r="AE3284" t="s">
        <v>10770</v>
      </c>
      <c r="AF3284" t="s">
        <v>16619</v>
      </c>
      <c r="AG3284" t="s">
        <v>16620</v>
      </c>
      <c r="AH3284">
        <v>-1.83</v>
      </c>
      <c r="AI3284">
        <v>-3.5</v>
      </c>
      <c r="AJ3284">
        <v>2.06</v>
      </c>
      <c r="AK3284">
        <v>4.05</v>
      </c>
      <c r="AL3284">
        <v>1</v>
      </c>
      <c r="AM3284">
        <v>0.2</v>
      </c>
      <c r="AN3284">
        <v>-45.05</v>
      </c>
      <c r="AO3284">
        <v>-0.68</v>
      </c>
      <c r="AP3284">
        <v>-54.3</v>
      </c>
    </row>
    <row r="3285" spans="1:42">
      <c r="A3285">
        <v>3284</v>
      </c>
      <c r="B3285" t="str">
        <f>"300138"</f>
        <v>300138</v>
      </c>
      <c r="C3285" t="s">
        <v>16621</v>
      </c>
      <c r="D3285">
        <v>13.81</v>
      </c>
      <c r="E3285">
        <v>-0.07</v>
      </c>
      <c r="F3285">
        <v>-0.01</v>
      </c>
      <c r="G3285" t="s">
        <v>5454</v>
      </c>
      <c r="H3285">
        <v>144</v>
      </c>
      <c r="I3285">
        <v>13.8</v>
      </c>
      <c r="J3285">
        <v>13.81</v>
      </c>
      <c r="K3285" t="s">
        <v>16622</v>
      </c>
      <c r="L3285">
        <v>0.78</v>
      </c>
      <c r="M3285" t="s">
        <v>46</v>
      </c>
      <c r="N3285" t="s">
        <v>16623</v>
      </c>
      <c r="O3285">
        <v>14.03</v>
      </c>
      <c r="P3285">
        <v>13.75</v>
      </c>
      <c r="Q3285">
        <v>13.82</v>
      </c>
      <c r="R3285">
        <v>13.82</v>
      </c>
      <c r="S3285">
        <v>2.03</v>
      </c>
      <c r="T3285">
        <v>1.27</v>
      </c>
      <c r="U3285">
        <v>9.45</v>
      </c>
      <c r="V3285">
        <v>91</v>
      </c>
      <c r="W3285">
        <v>13.89</v>
      </c>
      <c r="X3285" t="s">
        <v>1520</v>
      </c>
      <c r="Y3285" t="s">
        <v>8636</v>
      </c>
      <c r="Z3285">
        <v>1.81</v>
      </c>
      <c r="AA3285">
        <v>84</v>
      </c>
      <c r="AB3285">
        <v>169</v>
      </c>
      <c r="AC3285">
        <v>2.11</v>
      </c>
      <c r="AD3285" t="s">
        <v>16624</v>
      </c>
      <c r="AE3285" t="s">
        <v>15941</v>
      </c>
      <c r="AF3285" t="s">
        <v>16625</v>
      </c>
      <c r="AG3285" t="s">
        <v>16626</v>
      </c>
      <c r="AH3285">
        <v>-0.79</v>
      </c>
      <c r="AI3285">
        <v>-1.36</v>
      </c>
      <c r="AJ3285">
        <v>1.81</v>
      </c>
      <c r="AK3285">
        <v>3.86</v>
      </c>
      <c r="AL3285">
        <v>-3</v>
      </c>
      <c r="AM3285">
        <v>-0.07</v>
      </c>
      <c r="AN3285">
        <v>-21.4</v>
      </c>
      <c r="AO3285">
        <v>-1.78</v>
      </c>
      <c r="AP3285">
        <v>-16.45</v>
      </c>
    </row>
    <row r="3286" spans="1:42">
      <c r="A3286">
        <v>3285</v>
      </c>
      <c r="B3286" t="str">
        <f>"301559"</f>
        <v>301559</v>
      </c>
      <c r="C3286" t="s">
        <v>16627</v>
      </c>
      <c r="D3286">
        <v>19.43</v>
      </c>
      <c r="E3286">
        <v>0.62</v>
      </c>
      <c r="F3286">
        <v>0.12</v>
      </c>
      <c r="G3286" t="s">
        <v>4037</v>
      </c>
      <c r="H3286">
        <v>339</v>
      </c>
      <c r="I3286">
        <v>19.42</v>
      </c>
      <c r="J3286">
        <v>19.43</v>
      </c>
      <c r="K3286" t="s">
        <v>16628</v>
      </c>
      <c r="L3286">
        <v>2.86</v>
      </c>
      <c r="M3286" t="s">
        <v>46</v>
      </c>
      <c r="N3286" t="s">
        <v>16629</v>
      </c>
      <c r="O3286">
        <v>19.48</v>
      </c>
      <c r="P3286">
        <v>19.15</v>
      </c>
      <c r="Q3286">
        <v>19.31</v>
      </c>
      <c r="R3286">
        <v>19.31</v>
      </c>
      <c r="S3286">
        <v>1.71</v>
      </c>
      <c r="T3286">
        <v>0.8</v>
      </c>
      <c r="U3286">
        <v>-21.68</v>
      </c>
      <c r="V3286">
        <v>-186</v>
      </c>
      <c r="W3286">
        <v>19.28</v>
      </c>
      <c r="X3286" t="s">
        <v>8636</v>
      </c>
      <c r="Y3286" t="s">
        <v>1052</v>
      </c>
      <c r="Z3286">
        <v>0.99</v>
      </c>
      <c r="AA3286">
        <v>41</v>
      </c>
      <c r="AB3286">
        <v>95</v>
      </c>
      <c r="AC3286">
        <v>1.77</v>
      </c>
      <c r="AD3286" t="s">
        <v>6426</v>
      </c>
      <c r="AE3286" t="s">
        <v>8864</v>
      </c>
      <c r="AF3286" t="s">
        <v>16630</v>
      </c>
      <c r="AG3286" t="s">
        <v>2092</v>
      </c>
      <c r="AH3286">
        <v>-2.56</v>
      </c>
      <c r="AI3286">
        <v>-2.56</v>
      </c>
      <c r="AJ3286">
        <v>9.57</v>
      </c>
      <c r="AK3286">
        <v>20.87</v>
      </c>
      <c r="AL3286">
        <v>1</v>
      </c>
      <c r="AM3286">
        <v>0.62</v>
      </c>
      <c r="AN3286">
        <v>-16.89</v>
      </c>
      <c r="AO3286">
        <v>-0.56</v>
      </c>
      <c r="AP3286">
        <v>-16.89</v>
      </c>
    </row>
    <row r="3287" spans="1:42">
      <c r="A3287">
        <v>3286</v>
      </c>
      <c r="B3287" t="str">
        <f>"000920"</f>
        <v>000920</v>
      </c>
      <c r="C3287" t="s">
        <v>16631</v>
      </c>
      <c r="D3287">
        <v>9.64</v>
      </c>
      <c r="E3287">
        <v>-0.62</v>
      </c>
      <c r="F3287">
        <v>-0.06</v>
      </c>
      <c r="G3287" t="s">
        <v>2650</v>
      </c>
      <c r="H3287">
        <v>262</v>
      </c>
      <c r="I3287">
        <v>9.63</v>
      </c>
      <c r="J3287">
        <v>9.64</v>
      </c>
      <c r="K3287" t="s">
        <v>16632</v>
      </c>
      <c r="L3287">
        <v>1.14</v>
      </c>
      <c r="M3287" t="s">
        <v>46</v>
      </c>
      <c r="N3287" t="s">
        <v>5105</v>
      </c>
      <c r="O3287">
        <v>9.74</v>
      </c>
      <c r="P3287">
        <v>9.61</v>
      </c>
      <c r="Q3287">
        <v>9.69</v>
      </c>
      <c r="R3287">
        <v>9.7</v>
      </c>
      <c r="S3287">
        <v>1.34</v>
      </c>
      <c r="T3287">
        <v>1.1</v>
      </c>
      <c r="U3287">
        <v>8.34</v>
      </c>
      <c r="V3287">
        <v>155</v>
      </c>
      <c r="W3287">
        <v>9.65</v>
      </c>
      <c r="X3287" t="s">
        <v>10910</v>
      </c>
      <c r="Y3287" t="s">
        <v>7053</v>
      </c>
      <c r="Z3287">
        <v>1.25</v>
      </c>
      <c r="AA3287">
        <v>70</v>
      </c>
      <c r="AB3287">
        <v>4</v>
      </c>
      <c r="AC3287">
        <v>2.58</v>
      </c>
      <c r="AD3287" t="s">
        <v>14206</v>
      </c>
      <c r="AE3287" t="s">
        <v>16633</v>
      </c>
      <c r="AF3287" t="s">
        <v>7065</v>
      </c>
      <c r="AG3287" t="s">
        <v>16634</v>
      </c>
      <c r="AH3287">
        <v>-1.23</v>
      </c>
      <c r="AI3287">
        <v>0.31</v>
      </c>
      <c r="AJ3287">
        <v>3.28</v>
      </c>
      <c r="AK3287">
        <v>6.34</v>
      </c>
      <c r="AL3287">
        <v>-2</v>
      </c>
      <c r="AM3287">
        <v>-0.62</v>
      </c>
      <c r="AN3287">
        <v>7.47</v>
      </c>
      <c r="AO3287">
        <v>6.99</v>
      </c>
      <c r="AP3287">
        <v>0.1</v>
      </c>
    </row>
    <row r="3288" spans="1:42">
      <c r="A3288">
        <v>3287</v>
      </c>
      <c r="B3288" t="str">
        <f>"003043"</f>
        <v>003043</v>
      </c>
      <c r="C3288" t="s">
        <v>16635</v>
      </c>
      <c r="D3288">
        <v>52.5</v>
      </c>
      <c r="E3288">
        <v>-1.78</v>
      </c>
      <c r="F3288">
        <v>-0.95</v>
      </c>
      <c r="G3288">
        <v>8854</v>
      </c>
      <c r="H3288">
        <v>100</v>
      </c>
      <c r="I3288">
        <v>52.5</v>
      </c>
      <c r="J3288">
        <v>52.52</v>
      </c>
      <c r="K3288" t="s">
        <v>3307</v>
      </c>
      <c r="L3288">
        <v>3.05</v>
      </c>
      <c r="M3288" t="s">
        <v>46</v>
      </c>
      <c r="N3288" t="s">
        <v>3977</v>
      </c>
      <c r="O3288">
        <v>53.75</v>
      </c>
      <c r="P3288">
        <v>52.2</v>
      </c>
      <c r="Q3288">
        <v>53.45</v>
      </c>
      <c r="R3288">
        <v>53.45</v>
      </c>
      <c r="S3288">
        <v>2.9</v>
      </c>
      <c r="T3288">
        <v>1.07</v>
      </c>
      <c r="U3288">
        <v>84.51</v>
      </c>
      <c r="V3288">
        <v>120</v>
      </c>
      <c r="W3288">
        <v>52.59</v>
      </c>
      <c r="X3288">
        <v>4795</v>
      </c>
      <c r="Y3288">
        <v>4059</v>
      </c>
      <c r="Z3288">
        <v>1.18</v>
      </c>
      <c r="AA3288">
        <v>36</v>
      </c>
      <c r="AB3288">
        <v>2</v>
      </c>
      <c r="AC3288">
        <v>4.09</v>
      </c>
      <c r="AD3288" t="s">
        <v>3612</v>
      </c>
      <c r="AE3288" t="s">
        <v>16636</v>
      </c>
      <c r="AF3288" t="s">
        <v>16637</v>
      </c>
      <c r="AG3288" t="s">
        <v>16638</v>
      </c>
      <c r="AH3288">
        <v>-5.08</v>
      </c>
      <c r="AI3288">
        <v>-4.53</v>
      </c>
      <c r="AJ3288">
        <v>8.19</v>
      </c>
      <c r="AK3288">
        <v>17.39</v>
      </c>
      <c r="AL3288">
        <v>-4</v>
      </c>
      <c r="AM3288">
        <v>-1.78</v>
      </c>
      <c r="AN3288">
        <v>-13.35</v>
      </c>
      <c r="AO3288">
        <v>-6.08</v>
      </c>
      <c r="AP3288">
        <v>-24.59</v>
      </c>
    </row>
    <row r="3289" spans="1:42">
      <c r="A3289">
        <v>3288</v>
      </c>
      <c r="B3289" t="str">
        <f>"301456"</f>
        <v>301456</v>
      </c>
      <c r="C3289" t="s">
        <v>16639</v>
      </c>
      <c r="D3289">
        <v>33</v>
      </c>
      <c r="E3289">
        <v>1.95</v>
      </c>
      <c r="F3289">
        <v>0.63</v>
      </c>
      <c r="G3289" t="s">
        <v>4105</v>
      </c>
      <c r="H3289">
        <v>165</v>
      </c>
      <c r="I3289">
        <v>32.99</v>
      </c>
      <c r="J3289">
        <v>33</v>
      </c>
      <c r="K3289" t="s">
        <v>16640</v>
      </c>
      <c r="L3289">
        <v>4.1</v>
      </c>
      <c r="M3289" t="s">
        <v>46</v>
      </c>
      <c r="N3289" t="s">
        <v>4994</v>
      </c>
      <c r="O3289">
        <v>33.29</v>
      </c>
      <c r="P3289">
        <v>32.08</v>
      </c>
      <c r="Q3289">
        <v>32.35</v>
      </c>
      <c r="R3289">
        <v>32.37</v>
      </c>
      <c r="S3289">
        <v>3.74</v>
      </c>
      <c r="T3289">
        <v>1.01</v>
      </c>
      <c r="U3289">
        <v>-2.06</v>
      </c>
      <c r="V3289">
        <v>-4</v>
      </c>
      <c r="W3289">
        <v>32.81</v>
      </c>
      <c r="X3289">
        <v>5320</v>
      </c>
      <c r="Y3289">
        <v>8860</v>
      </c>
      <c r="Z3289">
        <v>0.6</v>
      </c>
      <c r="AA3289">
        <v>46</v>
      </c>
      <c r="AB3289">
        <v>37</v>
      </c>
      <c r="AC3289">
        <v>2.41</v>
      </c>
      <c r="AD3289" t="s">
        <v>16641</v>
      </c>
      <c r="AE3289" t="s">
        <v>16642</v>
      </c>
      <c r="AF3289" t="s">
        <v>16643</v>
      </c>
      <c r="AG3289" t="s">
        <v>16644</v>
      </c>
      <c r="AH3289">
        <v>0.46</v>
      </c>
      <c r="AI3289">
        <v>-2.16</v>
      </c>
      <c r="AJ3289">
        <v>11.97</v>
      </c>
      <c r="AK3289">
        <v>24.3</v>
      </c>
      <c r="AL3289">
        <v>1</v>
      </c>
      <c r="AM3289">
        <v>1.95</v>
      </c>
      <c r="AN3289">
        <v>-12.77</v>
      </c>
      <c r="AO3289">
        <v>-0.63</v>
      </c>
      <c r="AP3289">
        <v>-12.77</v>
      </c>
    </row>
    <row r="3290" spans="1:42">
      <c r="A3290">
        <v>3289</v>
      </c>
      <c r="B3290" t="str">
        <f>"601828"</f>
        <v>601828</v>
      </c>
      <c r="C3290" t="s">
        <v>16645</v>
      </c>
      <c r="D3290">
        <v>4.29</v>
      </c>
      <c r="E3290">
        <v>0.94</v>
      </c>
      <c r="F3290">
        <v>0.04</v>
      </c>
      <c r="G3290" t="s">
        <v>2402</v>
      </c>
      <c r="H3290">
        <v>949</v>
      </c>
      <c r="I3290">
        <v>4.29</v>
      </c>
      <c r="J3290">
        <v>4.3</v>
      </c>
      <c r="K3290" t="s">
        <v>16646</v>
      </c>
      <c r="L3290">
        <v>0.3</v>
      </c>
      <c r="M3290" t="s">
        <v>46</v>
      </c>
      <c r="N3290" t="s">
        <v>684</v>
      </c>
      <c r="O3290">
        <v>4.32</v>
      </c>
      <c r="P3290">
        <v>4.25</v>
      </c>
      <c r="Q3290">
        <v>4.25</v>
      </c>
      <c r="R3290">
        <v>4.25</v>
      </c>
      <c r="S3290">
        <v>1.65</v>
      </c>
      <c r="T3290">
        <v>1.02</v>
      </c>
      <c r="U3290">
        <v>-30.03</v>
      </c>
      <c r="V3290">
        <v>-5338</v>
      </c>
      <c r="W3290">
        <v>4.29</v>
      </c>
      <c r="X3290" t="s">
        <v>6573</v>
      </c>
      <c r="Y3290" t="s">
        <v>5027</v>
      </c>
      <c r="Z3290">
        <v>0.95</v>
      </c>
      <c r="AA3290">
        <v>668</v>
      </c>
      <c r="AB3290">
        <v>1291</v>
      </c>
      <c r="AC3290">
        <v>0.36</v>
      </c>
      <c r="AD3290" t="s">
        <v>16647</v>
      </c>
      <c r="AE3290" t="s">
        <v>1407</v>
      </c>
      <c r="AF3290" t="s">
        <v>15419</v>
      </c>
      <c r="AG3290" t="s">
        <v>6480</v>
      </c>
      <c r="AH3290">
        <v>0.23</v>
      </c>
      <c r="AI3290">
        <v>-2.05</v>
      </c>
      <c r="AJ3290">
        <v>0.85</v>
      </c>
      <c r="AK3290">
        <v>1.77</v>
      </c>
      <c r="AL3290">
        <v>2</v>
      </c>
      <c r="AM3290">
        <v>0.94</v>
      </c>
      <c r="AN3290">
        <v>-6.94</v>
      </c>
      <c r="AO3290">
        <v>2.14</v>
      </c>
      <c r="AP3290">
        <v>-7.14</v>
      </c>
    </row>
    <row r="3291" spans="1:42">
      <c r="A3291">
        <v>3290</v>
      </c>
      <c r="B3291" t="str">
        <f>"603130"</f>
        <v>603130</v>
      </c>
      <c r="C3291" t="s">
        <v>16648</v>
      </c>
      <c r="D3291">
        <v>22.26</v>
      </c>
      <c r="E3291">
        <v>1.69</v>
      </c>
      <c r="F3291">
        <v>0.37</v>
      </c>
      <c r="G3291" t="s">
        <v>5592</v>
      </c>
      <c r="H3291">
        <v>329</v>
      </c>
      <c r="I3291">
        <v>22.26</v>
      </c>
      <c r="J3291">
        <v>22.27</v>
      </c>
      <c r="K3291" t="s">
        <v>16646</v>
      </c>
      <c r="L3291">
        <v>3.92</v>
      </c>
      <c r="M3291" t="s">
        <v>46</v>
      </c>
      <c r="N3291" t="s">
        <v>5282</v>
      </c>
      <c r="O3291">
        <v>22.47</v>
      </c>
      <c r="P3291">
        <v>21.71</v>
      </c>
      <c r="Q3291">
        <v>21.81</v>
      </c>
      <c r="R3291">
        <v>21.89</v>
      </c>
      <c r="S3291">
        <v>3.47</v>
      </c>
      <c r="T3291">
        <v>1.18</v>
      </c>
      <c r="U3291">
        <v>-38.91</v>
      </c>
      <c r="V3291">
        <v>-293</v>
      </c>
      <c r="W3291">
        <v>22.16</v>
      </c>
      <c r="X3291">
        <v>8970</v>
      </c>
      <c r="Y3291" t="s">
        <v>8636</v>
      </c>
      <c r="Z3291">
        <v>0.75</v>
      </c>
      <c r="AA3291">
        <v>21</v>
      </c>
      <c r="AB3291">
        <v>23</v>
      </c>
      <c r="AC3291">
        <v>2.39</v>
      </c>
      <c r="AD3291" t="s">
        <v>16649</v>
      </c>
      <c r="AE3291" t="s">
        <v>7526</v>
      </c>
      <c r="AF3291" t="s">
        <v>16650</v>
      </c>
      <c r="AG3291" t="s">
        <v>7275</v>
      </c>
      <c r="AH3291">
        <v>3.01</v>
      </c>
      <c r="AI3291">
        <v>-1.81</v>
      </c>
      <c r="AJ3291">
        <v>9.14</v>
      </c>
      <c r="AK3291">
        <v>20.46</v>
      </c>
      <c r="AL3291">
        <v>4</v>
      </c>
      <c r="AM3291">
        <v>1.69</v>
      </c>
      <c r="AN3291">
        <v>-18.25</v>
      </c>
      <c r="AO3291">
        <v>3.82</v>
      </c>
      <c r="AP3291">
        <v>-34.8</v>
      </c>
    </row>
    <row r="3292" spans="1:42">
      <c r="A3292">
        <v>3291</v>
      </c>
      <c r="B3292" t="str">
        <f>"301181"</f>
        <v>301181</v>
      </c>
      <c r="C3292" t="s">
        <v>16651</v>
      </c>
      <c r="D3292">
        <v>30.03</v>
      </c>
      <c r="E3292">
        <v>-1.67</v>
      </c>
      <c r="F3292">
        <v>-0.51</v>
      </c>
      <c r="G3292" t="s">
        <v>5951</v>
      </c>
      <c r="H3292">
        <v>118</v>
      </c>
      <c r="I3292">
        <v>30.03</v>
      </c>
      <c r="J3292">
        <v>30.04</v>
      </c>
      <c r="K3292" t="s">
        <v>16652</v>
      </c>
      <c r="L3292">
        <v>3.97</v>
      </c>
      <c r="M3292" t="s">
        <v>46</v>
      </c>
      <c r="N3292" t="s">
        <v>3501</v>
      </c>
      <c r="O3292">
        <v>30.54</v>
      </c>
      <c r="P3292">
        <v>29.74</v>
      </c>
      <c r="Q3292">
        <v>30.53</v>
      </c>
      <c r="R3292">
        <v>30.54</v>
      </c>
      <c r="S3292">
        <v>2.62</v>
      </c>
      <c r="T3292">
        <v>0.97</v>
      </c>
      <c r="U3292">
        <v>51.74</v>
      </c>
      <c r="V3292">
        <v>223</v>
      </c>
      <c r="W3292">
        <v>30</v>
      </c>
      <c r="X3292">
        <v>9610</v>
      </c>
      <c r="Y3292">
        <v>5879</v>
      </c>
      <c r="Z3292">
        <v>1.63</v>
      </c>
      <c r="AA3292">
        <v>43</v>
      </c>
      <c r="AB3292">
        <v>13</v>
      </c>
      <c r="AC3292">
        <v>2.56</v>
      </c>
      <c r="AD3292" t="s">
        <v>15359</v>
      </c>
      <c r="AE3292" t="s">
        <v>16653</v>
      </c>
      <c r="AF3292" t="s">
        <v>16654</v>
      </c>
      <c r="AG3292" t="s">
        <v>1514</v>
      </c>
      <c r="AH3292">
        <v>-4.39</v>
      </c>
      <c r="AI3292">
        <v>-4.21</v>
      </c>
      <c r="AJ3292">
        <v>11.15</v>
      </c>
      <c r="AK3292">
        <v>24.42</v>
      </c>
      <c r="AL3292">
        <v>-3</v>
      </c>
      <c r="AM3292">
        <v>-1.67</v>
      </c>
      <c r="AN3292">
        <v>11.02</v>
      </c>
      <c r="AO3292">
        <v>2.42</v>
      </c>
      <c r="AP3292">
        <v>0.81</v>
      </c>
    </row>
    <row r="3293" spans="1:42">
      <c r="A3293">
        <v>3292</v>
      </c>
      <c r="B3293" t="str">
        <f>"603915"</f>
        <v>603915</v>
      </c>
      <c r="C3293" t="s">
        <v>16655</v>
      </c>
      <c r="D3293">
        <v>17.29</v>
      </c>
      <c r="E3293">
        <v>-1.26</v>
      </c>
      <c r="F3293">
        <v>-0.22</v>
      </c>
      <c r="G3293" t="s">
        <v>5444</v>
      </c>
      <c r="H3293">
        <v>131</v>
      </c>
      <c r="I3293">
        <v>17.28</v>
      </c>
      <c r="J3293">
        <v>17.29</v>
      </c>
      <c r="K3293" t="s">
        <v>16656</v>
      </c>
      <c r="L3293">
        <v>0.41</v>
      </c>
      <c r="M3293" t="s">
        <v>46</v>
      </c>
      <c r="N3293" t="s">
        <v>322</v>
      </c>
      <c r="O3293">
        <v>17.48</v>
      </c>
      <c r="P3293">
        <v>17.07</v>
      </c>
      <c r="Q3293">
        <v>17.32</v>
      </c>
      <c r="R3293">
        <v>17.51</v>
      </c>
      <c r="S3293">
        <v>2.34</v>
      </c>
      <c r="T3293">
        <v>0.85</v>
      </c>
      <c r="U3293">
        <v>33.94</v>
      </c>
      <c r="V3293">
        <v>263</v>
      </c>
      <c r="W3293">
        <v>17.25</v>
      </c>
      <c r="X3293" t="s">
        <v>7836</v>
      </c>
      <c r="Y3293" t="s">
        <v>4792</v>
      </c>
      <c r="Z3293">
        <v>1.19</v>
      </c>
      <c r="AA3293">
        <v>72</v>
      </c>
      <c r="AB3293">
        <v>188</v>
      </c>
      <c r="AC3293">
        <v>3.29</v>
      </c>
      <c r="AD3293" t="s">
        <v>16657</v>
      </c>
      <c r="AE3293" t="s">
        <v>7759</v>
      </c>
      <c r="AF3293" t="s">
        <v>16658</v>
      </c>
      <c r="AG3293" t="s">
        <v>11133</v>
      </c>
      <c r="AH3293">
        <v>-1.26</v>
      </c>
      <c r="AI3293">
        <v>-2.7</v>
      </c>
      <c r="AJ3293">
        <v>1.23</v>
      </c>
      <c r="AK3293">
        <v>2.81</v>
      </c>
      <c r="AL3293">
        <v>-1</v>
      </c>
      <c r="AM3293">
        <v>-1.26</v>
      </c>
      <c r="AN3293">
        <v>-16.23</v>
      </c>
      <c r="AO3293">
        <v>0.58</v>
      </c>
      <c r="AP3293">
        <v>-24.43</v>
      </c>
    </row>
    <row r="3294" spans="1:42">
      <c r="A3294">
        <v>3293</v>
      </c>
      <c r="B3294" t="str">
        <f>"600729"</f>
        <v>600729</v>
      </c>
      <c r="C3294" t="s">
        <v>16659</v>
      </c>
      <c r="D3294">
        <v>27.45</v>
      </c>
      <c r="E3294">
        <v>-0.18</v>
      </c>
      <c r="F3294">
        <v>-0.05</v>
      </c>
      <c r="G3294" t="s">
        <v>1110</v>
      </c>
      <c r="H3294">
        <v>205</v>
      </c>
      <c r="I3294">
        <v>27.45</v>
      </c>
      <c r="J3294">
        <v>27.46</v>
      </c>
      <c r="K3294" t="s">
        <v>16660</v>
      </c>
      <c r="L3294">
        <v>0.42</v>
      </c>
      <c r="M3294" t="s">
        <v>46</v>
      </c>
      <c r="N3294" t="s">
        <v>8281</v>
      </c>
      <c r="O3294">
        <v>27.75</v>
      </c>
      <c r="P3294">
        <v>27.3</v>
      </c>
      <c r="Q3294">
        <v>27.58</v>
      </c>
      <c r="R3294">
        <v>27.5</v>
      </c>
      <c r="S3294">
        <v>1.64</v>
      </c>
      <c r="T3294">
        <v>0.52</v>
      </c>
      <c r="U3294">
        <v>85.98</v>
      </c>
      <c r="V3294">
        <v>258</v>
      </c>
      <c r="W3294">
        <v>27.51</v>
      </c>
      <c r="X3294">
        <v>8809</v>
      </c>
      <c r="Y3294">
        <v>8047</v>
      </c>
      <c r="Z3294">
        <v>1.09</v>
      </c>
      <c r="AA3294">
        <v>2</v>
      </c>
      <c r="AB3294">
        <v>4</v>
      </c>
      <c r="AC3294">
        <v>1.85</v>
      </c>
      <c r="AD3294" t="s">
        <v>16661</v>
      </c>
      <c r="AE3294" t="s">
        <v>3781</v>
      </c>
      <c r="AF3294" t="s">
        <v>16071</v>
      </c>
      <c r="AG3294" t="s">
        <v>4843</v>
      </c>
      <c r="AH3294">
        <v>-3.45</v>
      </c>
      <c r="AI3294">
        <v>-4.69</v>
      </c>
      <c r="AJ3294">
        <v>1.45</v>
      </c>
      <c r="AK3294">
        <v>4.46</v>
      </c>
      <c r="AL3294">
        <v>-4</v>
      </c>
      <c r="AM3294">
        <v>-0.18</v>
      </c>
      <c r="AN3294">
        <v>19.5</v>
      </c>
      <c r="AO3294">
        <v>-0.65</v>
      </c>
      <c r="AP3294">
        <v>34.69</v>
      </c>
    </row>
    <row r="3295" spans="1:42">
      <c r="A3295">
        <v>3294</v>
      </c>
      <c r="B3295" t="str">
        <f>"300461"</f>
        <v>300461</v>
      </c>
      <c r="C3295" t="s">
        <v>16662</v>
      </c>
      <c r="D3295">
        <v>21.23</v>
      </c>
      <c r="E3295">
        <v>-0.23</v>
      </c>
      <c r="F3295">
        <v>-0.05</v>
      </c>
      <c r="G3295" t="s">
        <v>377</v>
      </c>
      <c r="H3295">
        <v>280</v>
      </c>
      <c r="I3295">
        <v>21.23</v>
      </c>
      <c r="J3295">
        <v>21.24</v>
      </c>
      <c r="K3295" t="s">
        <v>16663</v>
      </c>
      <c r="L3295">
        <v>2.69</v>
      </c>
      <c r="M3295" t="s">
        <v>46</v>
      </c>
      <c r="N3295" t="s">
        <v>7108</v>
      </c>
      <c r="O3295">
        <v>21.36</v>
      </c>
      <c r="P3295">
        <v>20.74</v>
      </c>
      <c r="Q3295">
        <v>21.12</v>
      </c>
      <c r="R3295">
        <v>21.28</v>
      </c>
      <c r="S3295">
        <v>2.91</v>
      </c>
      <c r="T3295">
        <v>0.42</v>
      </c>
      <c r="U3295">
        <v>-17.09</v>
      </c>
      <c r="V3295">
        <v>-40</v>
      </c>
      <c r="W3295">
        <v>21.06</v>
      </c>
      <c r="X3295" t="s">
        <v>1743</v>
      </c>
      <c r="Y3295" t="s">
        <v>239</v>
      </c>
      <c r="Z3295">
        <v>1.11</v>
      </c>
      <c r="AA3295">
        <v>2</v>
      </c>
      <c r="AB3295">
        <v>26</v>
      </c>
      <c r="AC3295">
        <v>4.94</v>
      </c>
      <c r="AD3295" t="s">
        <v>16664</v>
      </c>
      <c r="AE3295" t="s">
        <v>16665</v>
      </c>
      <c r="AF3295" t="s">
        <v>12442</v>
      </c>
      <c r="AG3295" t="s">
        <v>6583</v>
      </c>
      <c r="AH3295">
        <v>-7.37</v>
      </c>
      <c r="AI3295">
        <v>-9.74</v>
      </c>
      <c r="AJ3295">
        <v>12.76</v>
      </c>
      <c r="AK3295">
        <v>35.13</v>
      </c>
      <c r="AL3295">
        <v>-4</v>
      </c>
      <c r="AM3295">
        <v>-0.23</v>
      </c>
      <c r="AN3295">
        <v>54.62</v>
      </c>
      <c r="AO3295">
        <v>-1.26</v>
      </c>
      <c r="AP3295">
        <v>47.64</v>
      </c>
    </row>
    <row r="3296" spans="1:42">
      <c r="A3296">
        <v>3295</v>
      </c>
      <c r="B3296" t="str">
        <f>"301131"</f>
        <v>301131</v>
      </c>
      <c r="C3296" t="s">
        <v>16666</v>
      </c>
      <c r="D3296">
        <v>46.44</v>
      </c>
      <c r="E3296">
        <v>0.06</v>
      </c>
      <c r="F3296">
        <v>0.03</v>
      </c>
      <c r="G3296" t="s">
        <v>2615</v>
      </c>
      <c r="H3296">
        <v>350</v>
      </c>
      <c r="I3296">
        <v>46.43</v>
      </c>
      <c r="J3296">
        <v>46.44</v>
      </c>
      <c r="K3296" t="s">
        <v>14712</v>
      </c>
      <c r="L3296">
        <v>4.35</v>
      </c>
      <c r="M3296" t="s">
        <v>46</v>
      </c>
      <c r="N3296" t="s">
        <v>1419</v>
      </c>
      <c r="O3296">
        <v>46.6</v>
      </c>
      <c r="P3296">
        <v>45.8</v>
      </c>
      <c r="Q3296">
        <v>46.38</v>
      </c>
      <c r="R3296">
        <v>46.41</v>
      </c>
      <c r="S3296">
        <v>1.72</v>
      </c>
      <c r="T3296">
        <v>0.58</v>
      </c>
      <c r="U3296">
        <v>-84.2</v>
      </c>
      <c r="V3296">
        <v>-213</v>
      </c>
      <c r="W3296">
        <v>46.21</v>
      </c>
      <c r="X3296">
        <v>5286</v>
      </c>
      <c r="Y3296">
        <v>4742</v>
      </c>
      <c r="Z3296">
        <v>1.11</v>
      </c>
      <c r="AA3296">
        <v>5</v>
      </c>
      <c r="AB3296">
        <v>18</v>
      </c>
      <c r="AC3296">
        <v>2.77</v>
      </c>
      <c r="AD3296" t="s">
        <v>16667</v>
      </c>
      <c r="AE3296" t="s">
        <v>13323</v>
      </c>
      <c r="AF3296" t="s">
        <v>16668</v>
      </c>
      <c r="AG3296" t="s">
        <v>1022</v>
      </c>
      <c r="AH3296">
        <v>-3.35</v>
      </c>
      <c r="AI3296">
        <v>-1.09</v>
      </c>
      <c r="AJ3296">
        <v>15.82</v>
      </c>
      <c r="AK3296">
        <v>41.54</v>
      </c>
      <c r="AL3296">
        <v>1</v>
      </c>
      <c r="AM3296">
        <v>0.06</v>
      </c>
      <c r="AN3296">
        <v>15.38</v>
      </c>
      <c r="AO3296">
        <v>-5.28</v>
      </c>
      <c r="AP3296">
        <v>14.41</v>
      </c>
    </row>
    <row r="3297" spans="1:42">
      <c r="A3297">
        <v>3296</v>
      </c>
      <c r="B3297" t="str">
        <f>"002445"</f>
        <v>002445</v>
      </c>
      <c r="C3297" t="s">
        <v>16669</v>
      </c>
      <c r="D3297">
        <v>2.29</v>
      </c>
      <c r="E3297">
        <v>2.23</v>
      </c>
      <c r="F3297">
        <v>0.05</v>
      </c>
      <c r="G3297" t="s">
        <v>2160</v>
      </c>
      <c r="H3297">
        <v>1255</v>
      </c>
      <c r="I3297">
        <v>2.28</v>
      </c>
      <c r="J3297">
        <v>2.29</v>
      </c>
      <c r="K3297" t="s">
        <v>16670</v>
      </c>
      <c r="L3297">
        <v>0.86</v>
      </c>
      <c r="M3297" t="s">
        <v>46</v>
      </c>
      <c r="N3297" t="s">
        <v>2585</v>
      </c>
      <c r="O3297">
        <v>2.29</v>
      </c>
      <c r="P3297">
        <v>2.23</v>
      </c>
      <c r="Q3297">
        <v>2.23</v>
      </c>
      <c r="R3297">
        <v>2.24</v>
      </c>
      <c r="S3297">
        <v>2.68</v>
      </c>
      <c r="T3297">
        <v>1.13</v>
      </c>
      <c r="U3297">
        <v>-12</v>
      </c>
      <c r="V3297">
        <v>-8385</v>
      </c>
      <c r="W3297">
        <v>2.27</v>
      </c>
      <c r="X3297" t="s">
        <v>3091</v>
      </c>
      <c r="Y3297" t="s">
        <v>1987</v>
      </c>
      <c r="Z3297">
        <v>0.55</v>
      </c>
      <c r="AA3297">
        <v>3854</v>
      </c>
      <c r="AB3297" t="s">
        <v>5951</v>
      </c>
      <c r="AC3297">
        <v>2.54</v>
      </c>
      <c r="AD3297" t="s">
        <v>16671</v>
      </c>
      <c r="AE3297" t="s">
        <v>13968</v>
      </c>
      <c r="AF3297" t="s">
        <v>16672</v>
      </c>
      <c r="AG3297" t="s">
        <v>11822</v>
      </c>
      <c r="AH3297">
        <v>1.33</v>
      </c>
      <c r="AI3297">
        <v>-0.87</v>
      </c>
      <c r="AJ3297">
        <v>2.36</v>
      </c>
      <c r="AK3297">
        <v>4.66</v>
      </c>
      <c r="AL3297">
        <v>2</v>
      </c>
      <c r="AM3297">
        <v>2.23</v>
      </c>
      <c r="AN3297">
        <v>-6.91</v>
      </c>
      <c r="AO3297">
        <v>2.23</v>
      </c>
      <c r="AP3297">
        <v>-1.72</v>
      </c>
    </row>
    <row r="3298" spans="1:42">
      <c r="A3298">
        <v>3297</v>
      </c>
      <c r="B3298" t="str">
        <f>"002629"</f>
        <v>002629</v>
      </c>
      <c r="C3298" t="s">
        <v>16673</v>
      </c>
      <c r="D3298">
        <v>4.2</v>
      </c>
      <c r="E3298">
        <v>0.24</v>
      </c>
      <c r="F3298">
        <v>0.01</v>
      </c>
      <c r="G3298" t="s">
        <v>1438</v>
      </c>
      <c r="H3298">
        <v>1641</v>
      </c>
      <c r="I3298">
        <v>4.19</v>
      </c>
      <c r="J3298">
        <v>4.2</v>
      </c>
      <c r="K3298" t="s">
        <v>16674</v>
      </c>
      <c r="L3298">
        <v>3.09</v>
      </c>
      <c r="M3298" t="s">
        <v>46</v>
      </c>
      <c r="N3298" t="s">
        <v>8349</v>
      </c>
      <c r="O3298">
        <v>4.23</v>
      </c>
      <c r="P3298">
        <v>4.16</v>
      </c>
      <c r="Q3298">
        <v>4.17</v>
      </c>
      <c r="R3298">
        <v>4.19</v>
      </c>
      <c r="S3298">
        <v>1.67</v>
      </c>
      <c r="T3298">
        <v>1.48</v>
      </c>
      <c r="U3298">
        <v>-4.94</v>
      </c>
      <c r="V3298">
        <v>-581</v>
      </c>
      <c r="W3298">
        <v>4.19</v>
      </c>
      <c r="X3298" t="s">
        <v>4988</v>
      </c>
      <c r="Y3298" t="s">
        <v>3102</v>
      </c>
      <c r="Z3298">
        <v>0.78</v>
      </c>
      <c r="AA3298">
        <v>1208</v>
      </c>
      <c r="AB3298">
        <v>54</v>
      </c>
      <c r="AC3298">
        <v>28.87</v>
      </c>
      <c r="AD3298" t="s">
        <v>16675</v>
      </c>
      <c r="AE3298" t="s">
        <v>6897</v>
      </c>
      <c r="AF3298" t="s">
        <v>11513</v>
      </c>
      <c r="AG3298" t="s">
        <v>16676</v>
      </c>
      <c r="AH3298">
        <v>0.48</v>
      </c>
      <c r="AI3298">
        <v>-0.71</v>
      </c>
      <c r="AJ3298">
        <v>7.18</v>
      </c>
      <c r="AK3298">
        <v>13.54</v>
      </c>
      <c r="AL3298">
        <v>2</v>
      </c>
      <c r="AM3298">
        <v>0.24</v>
      </c>
      <c r="AN3298">
        <v>3.45</v>
      </c>
      <c r="AO3298">
        <v>3.96</v>
      </c>
      <c r="AP3298">
        <v>-8.3</v>
      </c>
    </row>
    <row r="3299" spans="1:42">
      <c r="A3299">
        <v>3298</v>
      </c>
      <c r="B3299" t="str">
        <f>"603111"</f>
        <v>603111</v>
      </c>
      <c r="C3299" t="s">
        <v>16677</v>
      </c>
      <c r="D3299">
        <v>5.6</v>
      </c>
      <c r="E3299">
        <v>0.54</v>
      </c>
      <c r="F3299">
        <v>0.03</v>
      </c>
      <c r="G3299" t="s">
        <v>6356</v>
      </c>
      <c r="H3299">
        <v>501</v>
      </c>
      <c r="I3299">
        <v>5.59</v>
      </c>
      <c r="J3299">
        <v>5.6</v>
      </c>
      <c r="K3299" t="s">
        <v>16674</v>
      </c>
      <c r="L3299">
        <v>0.99</v>
      </c>
      <c r="M3299" t="s">
        <v>46</v>
      </c>
      <c r="N3299" t="s">
        <v>570</v>
      </c>
      <c r="O3299">
        <v>5.65</v>
      </c>
      <c r="P3299">
        <v>5.54</v>
      </c>
      <c r="Q3299">
        <v>5.55</v>
      </c>
      <c r="R3299">
        <v>5.57</v>
      </c>
      <c r="S3299">
        <v>1.97</v>
      </c>
      <c r="T3299">
        <v>0.95</v>
      </c>
      <c r="U3299">
        <v>25.29</v>
      </c>
      <c r="V3299">
        <v>1419</v>
      </c>
      <c r="W3299">
        <v>5.59</v>
      </c>
      <c r="X3299" t="s">
        <v>762</v>
      </c>
      <c r="Y3299" t="s">
        <v>4928</v>
      </c>
      <c r="Z3299">
        <v>0.73</v>
      </c>
      <c r="AA3299">
        <v>99</v>
      </c>
      <c r="AB3299">
        <v>379</v>
      </c>
      <c r="AC3299">
        <v>1.47</v>
      </c>
      <c r="AD3299" t="s">
        <v>16678</v>
      </c>
      <c r="AE3299" t="s">
        <v>6665</v>
      </c>
      <c r="AF3299" t="s">
        <v>16679</v>
      </c>
      <c r="AG3299" t="s">
        <v>16680</v>
      </c>
      <c r="AH3299">
        <v>-0.18</v>
      </c>
      <c r="AI3299">
        <v>1.63</v>
      </c>
      <c r="AJ3299">
        <v>2.97</v>
      </c>
      <c r="AK3299">
        <v>6.21</v>
      </c>
      <c r="AL3299">
        <v>1</v>
      </c>
      <c r="AM3299">
        <v>0.54</v>
      </c>
      <c r="AN3299">
        <v>35.27</v>
      </c>
      <c r="AO3299">
        <v>7.9</v>
      </c>
      <c r="AP3299">
        <v>27.56</v>
      </c>
    </row>
    <row r="3300" spans="1:42">
      <c r="A3300">
        <v>3299</v>
      </c>
      <c r="B3300" t="str">
        <f>"300718"</f>
        <v>300718</v>
      </c>
      <c r="C3300" t="s">
        <v>16681</v>
      </c>
      <c r="D3300">
        <v>18.96</v>
      </c>
      <c r="E3300">
        <v>-0.37</v>
      </c>
      <c r="F3300">
        <v>-0.07</v>
      </c>
      <c r="G3300" t="s">
        <v>9766</v>
      </c>
      <c r="H3300">
        <v>157</v>
      </c>
      <c r="I3300">
        <v>18.94</v>
      </c>
      <c r="J3300">
        <v>18.96</v>
      </c>
      <c r="K3300" t="s">
        <v>16682</v>
      </c>
      <c r="L3300">
        <v>1.28</v>
      </c>
      <c r="M3300" t="s">
        <v>46</v>
      </c>
      <c r="N3300" t="s">
        <v>1637</v>
      </c>
      <c r="O3300">
        <v>19.13</v>
      </c>
      <c r="P3300">
        <v>18.68</v>
      </c>
      <c r="Q3300">
        <v>19.11</v>
      </c>
      <c r="R3300">
        <v>19.03</v>
      </c>
      <c r="S3300">
        <v>2.36</v>
      </c>
      <c r="T3300">
        <v>0.81</v>
      </c>
      <c r="U3300">
        <v>-47.75</v>
      </c>
      <c r="V3300">
        <v>-170</v>
      </c>
      <c r="W3300">
        <v>18.88</v>
      </c>
      <c r="X3300" t="s">
        <v>383</v>
      </c>
      <c r="Y3300" t="s">
        <v>2807</v>
      </c>
      <c r="Z3300">
        <v>1.2</v>
      </c>
      <c r="AA3300">
        <v>19</v>
      </c>
      <c r="AB3300">
        <v>183</v>
      </c>
      <c r="AC3300">
        <v>3.83</v>
      </c>
      <c r="AD3300" t="s">
        <v>16683</v>
      </c>
      <c r="AE3300" t="s">
        <v>5239</v>
      </c>
      <c r="AF3300" t="s">
        <v>14607</v>
      </c>
      <c r="AG3300" t="s">
        <v>4244</v>
      </c>
      <c r="AH3300">
        <v>-1.86</v>
      </c>
      <c r="AI3300">
        <v>-1.46</v>
      </c>
      <c r="AJ3300">
        <v>4.75</v>
      </c>
      <c r="AK3300">
        <v>9.21</v>
      </c>
      <c r="AL3300">
        <v>-3</v>
      </c>
      <c r="AM3300">
        <v>-0.37</v>
      </c>
      <c r="AN3300">
        <v>-15.02</v>
      </c>
      <c r="AO3300">
        <v>10.17</v>
      </c>
      <c r="AP3300">
        <v>-26.63</v>
      </c>
    </row>
    <row r="3301" spans="1:42">
      <c r="A3301">
        <v>3300</v>
      </c>
      <c r="B3301" t="str">
        <f>"833429"</f>
        <v>833429</v>
      </c>
      <c r="C3301" t="s">
        <v>16684</v>
      </c>
      <c r="D3301">
        <v>9.32</v>
      </c>
      <c r="E3301">
        <v>-8.54</v>
      </c>
      <c r="F3301">
        <v>-0.87</v>
      </c>
      <c r="G3301" t="s">
        <v>778</v>
      </c>
      <c r="H3301">
        <v>1054</v>
      </c>
      <c r="I3301">
        <v>9.32</v>
      </c>
      <c r="J3301">
        <v>9.36</v>
      </c>
      <c r="K3301" t="s">
        <v>16685</v>
      </c>
      <c r="L3301">
        <v>9.27</v>
      </c>
      <c r="M3301" t="s">
        <v>46</v>
      </c>
      <c r="N3301" t="s">
        <v>2780</v>
      </c>
      <c r="O3301">
        <v>10.55</v>
      </c>
      <c r="P3301">
        <v>9.3</v>
      </c>
      <c r="Q3301">
        <v>10.3</v>
      </c>
      <c r="R3301">
        <v>10.19</v>
      </c>
      <c r="S3301">
        <v>12.27</v>
      </c>
      <c r="T3301">
        <v>0.71</v>
      </c>
      <c r="U3301">
        <v>1.02</v>
      </c>
      <c r="V3301">
        <v>15</v>
      </c>
      <c r="W3301">
        <v>9.78</v>
      </c>
      <c r="X3301" t="s">
        <v>1711</v>
      </c>
      <c r="Y3301" t="s">
        <v>1455</v>
      </c>
      <c r="Z3301">
        <v>1.4</v>
      </c>
      <c r="AA3301">
        <v>574</v>
      </c>
      <c r="AB3301">
        <v>2</v>
      </c>
      <c r="AC3301">
        <v>1.51</v>
      </c>
      <c r="AD3301" t="s">
        <v>16686</v>
      </c>
      <c r="AE3301" t="s">
        <v>10762</v>
      </c>
      <c r="AF3301" t="s">
        <v>16687</v>
      </c>
      <c r="AG3301" t="s">
        <v>10663</v>
      </c>
      <c r="AH3301">
        <v>-15.81</v>
      </c>
      <c r="AI3301">
        <v>4.95</v>
      </c>
      <c r="AJ3301">
        <v>34.74</v>
      </c>
      <c r="AK3301">
        <v>74.92</v>
      </c>
      <c r="AL3301">
        <v>-2</v>
      </c>
      <c r="AM3301">
        <v>-8.54</v>
      </c>
      <c r="AN3301">
        <v>35.07</v>
      </c>
      <c r="AO3301">
        <v>26.12</v>
      </c>
      <c r="AP3301">
        <v>-8.63</v>
      </c>
    </row>
    <row r="3302" spans="1:42">
      <c r="A3302">
        <v>3301</v>
      </c>
      <c r="B3302" t="str">
        <f>"300981"</f>
        <v>300981</v>
      </c>
      <c r="C3302" t="s">
        <v>16688</v>
      </c>
      <c r="D3302">
        <v>16.25</v>
      </c>
      <c r="E3302">
        <v>-0.79</v>
      </c>
      <c r="F3302">
        <v>-0.13</v>
      </c>
      <c r="G3302" t="s">
        <v>8681</v>
      </c>
      <c r="H3302">
        <v>69</v>
      </c>
      <c r="I3302">
        <v>16.25</v>
      </c>
      <c r="J3302">
        <v>16.27</v>
      </c>
      <c r="K3302" t="s">
        <v>16689</v>
      </c>
      <c r="L3302">
        <v>2.31</v>
      </c>
      <c r="M3302" t="s">
        <v>46</v>
      </c>
      <c r="N3302" t="s">
        <v>720</v>
      </c>
      <c r="O3302">
        <v>16.44</v>
      </c>
      <c r="P3302">
        <v>16.06</v>
      </c>
      <c r="Q3302">
        <v>16.4</v>
      </c>
      <c r="R3302">
        <v>16.38</v>
      </c>
      <c r="S3302">
        <v>2.32</v>
      </c>
      <c r="T3302">
        <v>1.4</v>
      </c>
      <c r="U3302">
        <v>53.48</v>
      </c>
      <c r="V3302">
        <v>189</v>
      </c>
      <c r="W3302">
        <v>16.23</v>
      </c>
      <c r="X3302" t="s">
        <v>3130</v>
      </c>
      <c r="Y3302" t="s">
        <v>3284</v>
      </c>
      <c r="Z3302">
        <v>1.08</v>
      </c>
      <c r="AA3302">
        <v>57</v>
      </c>
      <c r="AB3302">
        <v>19</v>
      </c>
      <c r="AC3302">
        <v>1.07</v>
      </c>
      <c r="AD3302" t="s">
        <v>4730</v>
      </c>
      <c r="AE3302" t="s">
        <v>16690</v>
      </c>
      <c r="AF3302" t="s">
        <v>12655</v>
      </c>
      <c r="AG3302" t="s">
        <v>3515</v>
      </c>
      <c r="AH3302">
        <v>-1.81</v>
      </c>
      <c r="AI3302">
        <v>-2.52</v>
      </c>
      <c r="AJ3302">
        <v>5.38</v>
      </c>
      <c r="AK3302">
        <v>10.54</v>
      </c>
      <c r="AL3302">
        <v>-1</v>
      </c>
      <c r="AM3302">
        <v>-0.79</v>
      </c>
      <c r="AN3302">
        <v>16.82</v>
      </c>
      <c r="AO3302">
        <v>2.65</v>
      </c>
      <c r="AP3302">
        <v>6.28</v>
      </c>
    </row>
    <row r="3303" spans="1:42">
      <c r="A3303">
        <v>3302</v>
      </c>
      <c r="B3303" t="str">
        <f>"301257"</f>
        <v>301257</v>
      </c>
      <c r="C3303" t="s">
        <v>16691</v>
      </c>
      <c r="D3303">
        <v>70.48</v>
      </c>
      <c r="E3303">
        <v>-1.61</v>
      </c>
      <c r="F3303">
        <v>-1.15</v>
      </c>
      <c r="G3303">
        <v>6521</v>
      </c>
      <c r="H3303">
        <v>98</v>
      </c>
      <c r="I3303">
        <v>70.48</v>
      </c>
      <c r="J3303">
        <v>70.49</v>
      </c>
      <c r="K3303" t="s">
        <v>16689</v>
      </c>
      <c r="L3303">
        <v>1.8</v>
      </c>
      <c r="M3303" t="s">
        <v>46</v>
      </c>
      <c r="N3303" t="s">
        <v>2585</v>
      </c>
      <c r="O3303">
        <v>72.2</v>
      </c>
      <c r="P3303">
        <v>70.17</v>
      </c>
      <c r="Q3303">
        <v>71.5</v>
      </c>
      <c r="R3303">
        <v>71.63</v>
      </c>
      <c r="S3303">
        <v>2.83</v>
      </c>
      <c r="T3303">
        <v>0.61</v>
      </c>
      <c r="U3303">
        <v>-73.15</v>
      </c>
      <c r="V3303">
        <v>-109</v>
      </c>
      <c r="W3303">
        <v>70.69</v>
      </c>
      <c r="X3303">
        <v>4256</v>
      </c>
      <c r="Y3303">
        <v>2265</v>
      </c>
      <c r="Z3303">
        <v>1.88</v>
      </c>
      <c r="AA3303">
        <v>14</v>
      </c>
      <c r="AB3303">
        <v>14</v>
      </c>
      <c r="AC3303">
        <v>4.16</v>
      </c>
      <c r="AD3303" t="s">
        <v>16692</v>
      </c>
      <c r="AE3303" t="s">
        <v>14753</v>
      </c>
      <c r="AF3303" t="s">
        <v>14150</v>
      </c>
      <c r="AG3303" t="s">
        <v>5754</v>
      </c>
      <c r="AH3303">
        <v>-1.25</v>
      </c>
      <c r="AI3303">
        <v>-1.39</v>
      </c>
      <c r="AJ3303">
        <v>6.84</v>
      </c>
      <c r="AK3303">
        <v>16.49</v>
      </c>
      <c r="AL3303">
        <v>-1</v>
      </c>
      <c r="AM3303">
        <v>-1.61</v>
      </c>
      <c r="AN3303">
        <v>47.42</v>
      </c>
      <c r="AO3303">
        <v>0.67</v>
      </c>
      <c r="AP3303">
        <v>29.99</v>
      </c>
    </row>
    <row r="3304" spans="1:42">
      <c r="A3304">
        <v>3303</v>
      </c>
      <c r="B3304" t="str">
        <f>"603163"</f>
        <v>603163</v>
      </c>
      <c r="C3304" t="s">
        <v>16693</v>
      </c>
      <c r="D3304">
        <v>35</v>
      </c>
      <c r="E3304">
        <v>0</v>
      </c>
      <c r="F3304">
        <v>0</v>
      </c>
      <c r="G3304" t="s">
        <v>1967</v>
      </c>
      <c r="H3304">
        <v>70</v>
      </c>
      <c r="I3304">
        <v>34.99</v>
      </c>
      <c r="J3304">
        <v>35</v>
      </c>
      <c r="K3304" t="s">
        <v>8002</v>
      </c>
      <c r="L3304">
        <v>3.78</v>
      </c>
      <c r="M3304" t="s">
        <v>46</v>
      </c>
      <c r="N3304" t="s">
        <v>4326</v>
      </c>
      <c r="O3304">
        <v>35.16</v>
      </c>
      <c r="P3304">
        <v>34.45</v>
      </c>
      <c r="Q3304">
        <v>35</v>
      </c>
      <c r="R3304">
        <v>35</v>
      </c>
      <c r="S3304">
        <v>2.03</v>
      </c>
      <c r="T3304">
        <v>1.02</v>
      </c>
      <c r="U3304">
        <v>40.18</v>
      </c>
      <c r="V3304">
        <v>395</v>
      </c>
      <c r="W3304">
        <v>34.8</v>
      </c>
      <c r="X3304">
        <v>7099</v>
      </c>
      <c r="Y3304">
        <v>6148</v>
      </c>
      <c r="Z3304">
        <v>1.15</v>
      </c>
      <c r="AA3304">
        <v>650</v>
      </c>
      <c r="AB3304">
        <v>276</v>
      </c>
      <c r="AC3304">
        <v>3.31</v>
      </c>
      <c r="AD3304" t="s">
        <v>5976</v>
      </c>
      <c r="AE3304" t="s">
        <v>12393</v>
      </c>
      <c r="AF3304" t="s">
        <v>16694</v>
      </c>
      <c r="AG3304" t="s">
        <v>16695</v>
      </c>
      <c r="AH3304">
        <v>-1.55</v>
      </c>
      <c r="AI3304">
        <v>-3.61</v>
      </c>
      <c r="AJ3304">
        <v>10.64</v>
      </c>
      <c r="AK3304">
        <v>22.35</v>
      </c>
      <c r="AL3304">
        <v>0</v>
      </c>
      <c r="AM3304">
        <v>0</v>
      </c>
      <c r="AN3304">
        <v>53.98</v>
      </c>
      <c r="AO3304">
        <v>-9.35</v>
      </c>
      <c r="AP3304">
        <v>37.15</v>
      </c>
    </row>
    <row r="3305" spans="1:42">
      <c r="A3305">
        <v>3304</v>
      </c>
      <c r="B3305" t="str">
        <f>"000561"</f>
        <v>000561</v>
      </c>
      <c r="C3305" t="s">
        <v>16696</v>
      </c>
      <c r="D3305">
        <v>8.75</v>
      </c>
      <c r="E3305">
        <v>1.04</v>
      </c>
      <c r="F3305">
        <v>0.09</v>
      </c>
      <c r="G3305" t="s">
        <v>5957</v>
      </c>
      <c r="H3305">
        <v>468</v>
      </c>
      <c r="I3305">
        <v>8.74</v>
      </c>
      <c r="J3305">
        <v>8.75</v>
      </c>
      <c r="K3305" t="s">
        <v>16697</v>
      </c>
      <c r="L3305">
        <v>0.88</v>
      </c>
      <c r="M3305" t="s">
        <v>46</v>
      </c>
      <c r="N3305" t="s">
        <v>8390</v>
      </c>
      <c r="O3305">
        <v>8.77</v>
      </c>
      <c r="P3305">
        <v>8.54</v>
      </c>
      <c r="Q3305">
        <v>8.66</v>
      </c>
      <c r="R3305">
        <v>8.66</v>
      </c>
      <c r="S3305">
        <v>2.66</v>
      </c>
      <c r="T3305">
        <v>1.09</v>
      </c>
      <c r="U3305">
        <v>-16.1</v>
      </c>
      <c r="V3305">
        <v>-578</v>
      </c>
      <c r="W3305">
        <v>8.68</v>
      </c>
      <c r="X3305" t="s">
        <v>4013</v>
      </c>
      <c r="Y3305" t="s">
        <v>6418</v>
      </c>
      <c r="Z3305">
        <v>0.88</v>
      </c>
      <c r="AA3305">
        <v>150</v>
      </c>
      <c r="AB3305">
        <v>11</v>
      </c>
      <c r="AC3305">
        <v>2.91</v>
      </c>
      <c r="AD3305" t="s">
        <v>16698</v>
      </c>
      <c r="AE3305" t="s">
        <v>3250</v>
      </c>
      <c r="AF3305" t="s">
        <v>16699</v>
      </c>
      <c r="AG3305" t="s">
        <v>1697</v>
      </c>
      <c r="AH3305">
        <v>-0.79</v>
      </c>
      <c r="AI3305">
        <v>-2.13</v>
      </c>
      <c r="AJ3305">
        <v>2.43</v>
      </c>
      <c r="AK3305">
        <v>4.93</v>
      </c>
      <c r="AL3305">
        <v>1</v>
      </c>
      <c r="AM3305">
        <v>1.04</v>
      </c>
      <c r="AN3305">
        <v>-3.63</v>
      </c>
      <c r="AO3305">
        <v>0.92</v>
      </c>
      <c r="AP3305">
        <v>7.49</v>
      </c>
    </row>
    <row r="3306" spans="1:42">
      <c r="A3306">
        <v>3305</v>
      </c>
      <c r="B3306" t="str">
        <f>"600120"</f>
        <v>600120</v>
      </c>
      <c r="C3306" t="s">
        <v>16700</v>
      </c>
      <c r="D3306">
        <v>3.72</v>
      </c>
      <c r="E3306">
        <v>0.81</v>
      </c>
      <c r="F3306">
        <v>0.03</v>
      </c>
      <c r="G3306" t="s">
        <v>1261</v>
      </c>
      <c r="H3306">
        <v>747</v>
      </c>
      <c r="I3306">
        <v>3.72</v>
      </c>
      <c r="J3306">
        <v>3.73</v>
      </c>
      <c r="K3306" t="s">
        <v>16701</v>
      </c>
      <c r="L3306">
        <v>0.36</v>
      </c>
      <c r="M3306" t="s">
        <v>46</v>
      </c>
      <c r="N3306" t="s">
        <v>2055</v>
      </c>
      <c r="O3306">
        <v>3.73</v>
      </c>
      <c r="P3306">
        <v>3.68</v>
      </c>
      <c r="Q3306">
        <v>3.71</v>
      </c>
      <c r="R3306">
        <v>3.69</v>
      </c>
      <c r="S3306">
        <v>1.36</v>
      </c>
      <c r="T3306">
        <v>0.9</v>
      </c>
      <c r="U3306">
        <v>-56.49</v>
      </c>
      <c r="V3306" t="s">
        <v>2827</v>
      </c>
      <c r="W3306">
        <v>3.72</v>
      </c>
      <c r="X3306" t="s">
        <v>6545</v>
      </c>
      <c r="Y3306" t="s">
        <v>2359</v>
      </c>
      <c r="Z3306">
        <v>0.84</v>
      </c>
      <c r="AA3306">
        <v>513</v>
      </c>
      <c r="AB3306">
        <v>4182</v>
      </c>
      <c r="AC3306">
        <v>0.81</v>
      </c>
      <c r="AD3306" t="s">
        <v>5683</v>
      </c>
      <c r="AE3306" t="s">
        <v>10295</v>
      </c>
      <c r="AF3306" t="s">
        <v>5683</v>
      </c>
      <c r="AG3306" t="s">
        <v>10295</v>
      </c>
      <c r="AH3306">
        <v>-0.27</v>
      </c>
      <c r="AI3306">
        <v>-1.33</v>
      </c>
      <c r="AJ3306">
        <v>1.18</v>
      </c>
      <c r="AK3306">
        <v>2.39</v>
      </c>
      <c r="AL3306">
        <v>2</v>
      </c>
      <c r="AM3306">
        <v>0.81</v>
      </c>
      <c r="AN3306">
        <v>6.59</v>
      </c>
      <c r="AO3306">
        <v>1.92</v>
      </c>
      <c r="AP3306">
        <v>3.05</v>
      </c>
    </row>
    <row r="3307" spans="1:42">
      <c r="A3307">
        <v>3306</v>
      </c>
      <c r="B3307" t="str">
        <f>"300739"</f>
        <v>300739</v>
      </c>
      <c r="C3307" t="s">
        <v>16702</v>
      </c>
      <c r="D3307">
        <v>15.25</v>
      </c>
      <c r="E3307">
        <v>0.66</v>
      </c>
      <c r="F3307">
        <v>0.1</v>
      </c>
      <c r="G3307" t="s">
        <v>5302</v>
      </c>
      <c r="H3307">
        <v>273</v>
      </c>
      <c r="I3307">
        <v>15.25</v>
      </c>
      <c r="J3307">
        <v>15.26</v>
      </c>
      <c r="K3307" t="s">
        <v>16703</v>
      </c>
      <c r="L3307">
        <v>1.04</v>
      </c>
      <c r="M3307" t="s">
        <v>46</v>
      </c>
      <c r="N3307" t="s">
        <v>5397</v>
      </c>
      <c r="O3307">
        <v>15.27</v>
      </c>
      <c r="P3307">
        <v>14.93</v>
      </c>
      <c r="Q3307">
        <v>15.14</v>
      </c>
      <c r="R3307">
        <v>15.15</v>
      </c>
      <c r="S3307">
        <v>2.24</v>
      </c>
      <c r="T3307">
        <v>0.71</v>
      </c>
      <c r="U3307">
        <v>18.66</v>
      </c>
      <c r="V3307">
        <v>106</v>
      </c>
      <c r="W3307">
        <v>15.11</v>
      </c>
      <c r="X3307" t="s">
        <v>578</v>
      </c>
      <c r="Y3307" t="s">
        <v>61</v>
      </c>
      <c r="Z3307">
        <v>1</v>
      </c>
      <c r="AA3307">
        <v>54</v>
      </c>
      <c r="AB3307">
        <v>43</v>
      </c>
      <c r="AC3307">
        <v>2.52</v>
      </c>
      <c r="AD3307" t="s">
        <v>16704</v>
      </c>
      <c r="AE3307" t="s">
        <v>16633</v>
      </c>
      <c r="AF3307" t="s">
        <v>16705</v>
      </c>
      <c r="AG3307" t="s">
        <v>6542</v>
      </c>
      <c r="AH3307">
        <v>-1.61</v>
      </c>
      <c r="AI3307">
        <v>0.93</v>
      </c>
      <c r="AJ3307">
        <v>3.18</v>
      </c>
      <c r="AK3307">
        <v>8.39</v>
      </c>
      <c r="AL3307">
        <v>1</v>
      </c>
      <c r="AM3307">
        <v>0.66</v>
      </c>
      <c r="AN3307">
        <v>21.71</v>
      </c>
      <c r="AO3307">
        <v>3.39</v>
      </c>
      <c r="AP3307">
        <v>7.47</v>
      </c>
    </row>
    <row r="3308" spans="1:42">
      <c r="A3308">
        <v>3307</v>
      </c>
      <c r="B3308" t="str">
        <f>"600635"</f>
        <v>600635</v>
      </c>
      <c r="C3308" t="s">
        <v>16706</v>
      </c>
      <c r="D3308">
        <v>3.1</v>
      </c>
      <c r="E3308">
        <v>0.32</v>
      </c>
      <c r="F3308">
        <v>0.01</v>
      </c>
      <c r="G3308" t="s">
        <v>959</v>
      </c>
      <c r="H3308">
        <v>906</v>
      </c>
      <c r="I3308">
        <v>3.1</v>
      </c>
      <c r="J3308">
        <v>3.11</v>
      </c>
      <c r="K3308" t="s">
        <v>16703</v>
      </c>
      <c r="L3308">
        <v>0.61</v>
      </c>
      <c r="M3308" t="s">
        <v>46</v>
      </c>
      <c r="N3308" t="s">
        <v>12935</v>
      </c>
      <c r="O3308">
        <v>3.11</v>
      </c>
      <c r="P3308">
        <v>3.07</v>
      </c>
      <c r="Q3308">
        <v>3.08</v>
      </c>
      <c r="R3308">
        <v>3.09</v>
      </c>
      <c r="S3308">
        <v>1.29</v>
      </c>
      <c r="T3308">
        <v>0.84</v>
      </c>
      <c r="U3308">
        <v>-2.32</v>
      </c>
      <c r="V3308">
        <v>-1399</v>
      </c>
      <c r="W3308">
        <v>3.09</v>
      </c>
      <c r="X3308" t="s">
        <v>16707</v>
      </c>
      <c r="Y3308" t="s">
        <v>4542</v>
      </c>
      <c r="Z3308">
        <v>1.03</v>
      </c>
      <c r="AA3308">
        <v>1319</v>
      </c>
      <c r="AB3308" t="s">
        <v>1384</v>
      </c>
      <c r="AC3308">
        <v>1.09</v>
      </c>
      <c r="AD3308" t="s">
        <v>15647</v>
      </c>
      <c r="AE3308" t="s">
        <v>16708</v>
      </c>
      <c r="AF3308" t="s">
        <v>16709</v>
      </c>
      <c r="AG3308" t="s">
        <v>16710</v>
      </c>
      <c r="AH3308">
        <v>-0.32</v>
      </c>
      <c r="AI3308">
        <v>-0.96</v>
      </c>
      <c r="AJ3308">
        <v>2.04</v>
      </c>
      <c r="AK3308">
        <v>4.3</v>
      </c>
      <c r="AL3308">
        <v>2</v>
      </c>
      <c r="AM3308">
        <v>0.32</v>
      </c>
      <c r="AN3308">
        <v>5.8</v>
      </c>
      <c r="AO3308">
        <v>1.97</v>
      </c>
      <c r="AP3308">
        <v>3.68</v>
      </c>
    </row>
    <row r="3309" spans="1:42">
      <c r="A3309">
        <v>3308</v>
      </c>
      <c r="B3309" t="str">
        <f>"301500"</f>
        <v>301500</v>
      </c>
      <c r="C3309" t="s">
        <v>16711</v>
      </c>
      <c r="D3309">
        <v>22.5</v>
      </c>
      <c r="E3309">
        <v>0.54</v>
      </c>
      <c r="F3309">
        <v>0.12</v>
      </c>
      <c r="G3309" t="s">
        <v>8073</v>
      </c>
      <c r="H3309">
        <v>314</v>
      </c>
      <c r="I3309">
        <v>22.5</v>
      </c>
      <c r="J3309">
        <v>22.51</v>
      </c>
      <c r="K3309" t="s">
        <v>16712</v>
      </c>
      <c r="L3309">
        <v>5.48</v>
      </c>
      <c r="M3309" t="s">
        <v>46</v>
      </c>
      <c r="N3309" t="s">
        <v>8188</v>
      </c>
      <c r="O3309">
        <v>22.6</v>
      </c>
      <c r="P3309">
        <v>22.15</v>
      </c>
      <c r="Q3309">
        <v>22.4</v>
      </c>
      <c r="R3309">
        <v>22.38</v>
      </c>
      <c r="S3309">
        <v>2.01</v>
      </c>
      <c r="T3309">
        <v>0.89</v>
      </c>
      <c r="U3309">
        <v>18.85</v>
      </c>
      <c r="V3309">
        <v>216</v>
      </c>
      <c r="W3309">
        <v>22.36</v>
      </c>
      <c r="X3309" t="s">
        <v>1646</v>
      </c>
      <c r="Y3309" t="s">
        <v>239</v>
      </c>
      <c r="Z3309">
        <v>0.99</v>
      </c>
      <c r="AA3309">
        <v>621</v>
      </c>
      <c r="AB3309">
        <v>312</v>
      </c>
      <c r="AC3309">
        <v>2.06</v>
      </c>
      <c r="AD3309" t="s">
        <v>7381</v>
      </c>
      <c r="AE3309" t="s">
        <v>16713</v>
      </c>
      <c r="AF3309" t="s">
        <v>16714</v>
      </c>
      <c r="AG3309" t="s">
        <v>2097</v>
      </c>
      <c r="AH3309">
        <v>-2.09</v>
      </c>
      <c r="AI3309">
        <v>-3.89</v>
      </c>
      <c r="AJ3309">
        <v>14.14</v>
      </c>
      <c r="AK3309">
        <v>36.29</v>
      </c>
      <c r="AL3309">
        <v>1</v>
      </c>
      <c r="AM3309">
        <v>0.54</v>
      </c>
      <c r="AN3309">
        <v>-6.13</v>
      </c>
      <c r="AO3309">
        <v>-1.79</v>
      </c>
      <c r="AP3309">
        <v>-6.13</v>
      </c>
    </row>
    <row r="3310" spans="1:42">
      <c r="A3310">
        <v>3309</v>
      </c>
      <c r="B3310" t="str">
        <f>"301175"</f>
        <v>301175</v>
      </c>
      <c r="C3310" t="s">
        <v>16715</v>
      </c>
      <c r="D3310">
        <v>5.32</v>
      </c>
      <c r="E3310">
        <v>1.14</v>
      </c>
      <c r="F3310">
        <v>0.06</v>
      </c>
      <c r="G3310" t="s">
        <v>5843</v>
      </c>
      <c r="H3310">
        <v>411</v>
      </c>
      <c r="I3310">
        <v>5.31</v>
      </c>
      <c r="J3310">
        <v>5.32</v>
      </c>
      <c r="K3310" t="s">
        <v>16716</v>
      </c>
      <c r="L3310">
        <v>1.4</v>
      </c>
      <c r="M3310" t="s">
        <v>46</v>
      </c>
      <c r="N3310" t="s">
        <v>7120</v>
      </c>
      <c r="O3310">
        <v>5.33</v>
      </c>
      <c r="P3310">
        <v>5.22</v>
      </c>
      <c r="Q3310">
        <v>5.27</v>
      </c>
      <c r="R3310">
        <v>5.26</v>
      </c>
      <c r="S3310">
        <v>2.09</v>
      </c>
      <c r="T3310">
        <v>1.18</v>
      </c>
      <c r="U3310">
        <v>-14.3</v>
      </c>
      <c r="V3310">
        <v>-1488</v>
      </c>
      <c r="W3310">
        <v>5.28</v>
      </c>
      <c r="X3310" t="s">
        <v>5983</v>
      </c>
      <c r="Y3310" t="s">
        <v>4053</v>
      </c>
      <c r="Z3310">
        <v>0.82</v>
      </c>
      <c r="AA3310">
        <v>1207</v>
      </c>
      <c r="AB3310">
        <v>158</v>
      </c>
      <c r="AC3310">
        <v>2.34</v>
      </c>
      <c r="AD3310" t="s">
        <v>133</v>
      </c>
      <c r="AE3310" t="s">
        <v>16717</v>
      </c>
      <c r="AF3310" t="s">
        <v>16718</v>
      </c>
      <c r="AG3310" t="s">
        <v>2955</v>
      </c>
      <c r="AH3310">
        <v>-0.56</v>
      </c>
      <c r="AI3310">
        <v>-1.66</v>
      </c>
      <c r="AJ3310">
        <v>3.77</v>
      </c>
      <c r="AK3310">
        <v>7.32</v>
      </c>
      <c r="AL3310">
        <v>1</v>
      </c>
      <c r="AM3310">
        <v>1.14</v>
      </c>
      <c r="AN3310">
        <v>-11.63</v>
      </c>
      <c r="AO3310">
        <v>0.57</v>
      </c>
      <c r="AP3310">
        <v>-13.92</v>
      </c>
    </row>
    <row r="3311" spans="1:42">
      <c r="A3311">
        <v>3310</v>
      </c>
      <c r="B3311" t="str">
        <f>"002242"</f>
        <v>002242</v>
      </c>
      <c r="C3311" t="s">
        <v>16719</v>
      </c>
      <c r="D3311">
        <v>13.42</v>
      </c>
      <c r="E3311">
        <v>-0.67</v>
      </c>
      <c r="F3311">
        <v>-0.09</v>
      </c>
      <c r="G3311" t="s">
        <v>7058</v>
      </c>
      <c r="H3311">
        <v>149</v>
      </c>
      <c r="I3311">
        <v>13.41</v>
      </c>
      <c r="J3311">
        <v>13.42</v>
      </c>
      <c r="K3311" t="s">
        <v>16720</v>
      </c>
      <c r="L3311">
        <v>0.45</v>
      </c>
      <c r="M3311" t="s">
        <v>46</v>
      </c>
      <c r="N3311" t="s">
        <v>16721</v>
      </c>
      <c r="O3311">
        <v>13.53</v>
      </c>
      <c r="P3311">
        <v>13.33</v>
      </c>
      <c r="Q3311">
        <v>13.52</v>
      </c>
      <c r="R3311">
        <v>13.51</v>
      </c>
      <c r="S3311">
        <v>1.48</v>
      </c>
      <c r="T3311">
        <v>1.07</v>
      </c>
      <c r="U3311">
        <v>34.89</v>
      </c>
      <c r="V3311">
        <v>449</v>
      </c>
      <c r="W3311">
        <v>13.43</v>
      </c>
      <c r="X3311" t="s">
        <v>876</v>
      </c>
      <c r="Y3311" t="s">
        <v>1110</v>
      </c>
      <c r="Z3311">
        <v>1.03</v>
      </c>
      <c r="AA3311">
        <v>146</v>
      </c>
      <c r="AB3311">
        <v>20</v>
      </c>
      <c r="AC3311">
        <v>2.97</v>
      </c>
      <c r="AD3311" t="s">
        <v>16722</v>
      </c>
      <c r="AE3311" t="s">
        <v>16723</v>
      </c>
      <c r="AF3311" t="s">
        <v>15156</v>
      </c>
      <c r="AG3311" t="s">
        <v>3459</v>
      </c>
      <c r="AH3311">
        <v>-1.47</v>
      </c>
      <c r="AI3311">
        <v>-3.38</v>
      </c>
      <c r="AJ3311">
        <v>1.13</v>
      </c>
      <c r="AK3311">
        <v>2.53</v>
      </c>
      <c r="AL3311">
        <v>-3</v>
      </c>
      <c r="AM3311">
        <v>-0.67</v>
      </c>
      <c r="AN3311">
        <v>-17.06</v>
      </c>
      <c r="AO3311">
        <v>1.05</v>
      </c>
      <c r="AP3311">
        <v>-9.57</v>
      </c>
    </row>
    <row r="3312" spans="1:42">
      <c r="A3312">
        <v>3311</v>
      </c>
      <c r="B3312" t="str">
        <f>"300445"</f>
        <v>300445</v>
      </c>
      <c r="C3312" t="s">
        <v>16724</v>
      </c>
      <c r="D3312">
        <v>15.9</v>
      </c>
      <c r="E3312">
        <v>-2.03</v>
      </c>
      <c r="F3312">
        <v>-0.33</v>
      </c>
      <c r="G3312" t="s">
        <v>6097</v>
      </c>
      <c r="H3312">
        <v>143</v>
      </c>
      <c r="I3312">
        <v>15.89</v>
      </c>
      <c r="J3312">
        <v>15.9</v>
      </c>
      <c r="K3312" t="s">
        <v>16725</v>
      </c>
      <c r="L3312">
        <v>2.1</v>
      </c>
      <c r="M3312" t="s">
        <v>46</v>
      </c>
      <c r="N3312" t="s">
        <v>4325</v>
      </c>
      <c r="O3312">
        <v>16.28</v>
      </c>
      <c r="P3312">
        <v>15.74</v>
      </c>
      <c r="Q3312">
        <v>16.08</v>
      </c>
      <c r="R3312">
        <v>16.23</v>
      </c>
      <c r="S3312">
        <v>3.33</v>
      </c>
      <c r="T3312">
        <v>0.88</v>
      </c>
      <c r="U3312">
        <v>-63.23</v>
      </c>
      <c r="V3312">
        <v>-313</v>
      </c>
      <c r="W3312">
        <v>15.87</v>
      </c>
      <c r="X3312" t="s">
        <v>4943</v>
      </c>
      <c r="Y3312" t="s">
        <v>682</v>
      </c>
      <c r="Z3312">
        <v>1.29</v>
      </c>
      <c r="AA3312">
        <v>6</v>
      </c>
      <c r="AB3312">
        <v>120</v>
      </c>
      <c r="AC3312">
        <v>3.21</v>
      </c>
      <c r="AD3312" t="s">
        <v>16726</v>
      </c>
      <c r="AE3312" t="s">
        <v>16339</v>
      </c>
      <c r="AF3312" t="s">
        <v>16727</v>
      </c>
      <c r="AG3312" t="s">
        <v>16728</v>
      </c>
      <c r="AH3312">
        <v>-3.34</v>
      </c>
      <c r="AI3312">
        <v>-0.13</v>
      </c>
      <c r="AJ3312">
        <v>8.07</v>
      </c>
      <c r="AK3312">
        <v>14.07</v>
      </c>
      <c r="AL3312">
        <v>-2</v>
      </c>
      <c r="AM3312">
        <v>-2.03</v>
      </c>
      <c r="AN3312">
        <v>31.08</v>
      </c>
      <c r="AO3312">
        <v>3.45</v>
      </c>
      <c r="AP3312">
        <v>15.05</v>
      </c>
    </row>
    <row r="3313" spans="1:42">
      <c r="A3313">
        <v>3312</v>
      </c>
      <c r="B3313" t="str">
        <f>"600307"</f>
        <v>600307</v>
      </c>
      <c r="C3313" t="s">
        <v>16729</v>
      </c>
      <c r="D3313">
        <v>1.57</v>
      </c>
      <c r="E3313">
        <v>0.64</v>
      </c>
      <c r="F3313">
        <v>0.01</v>
      </c>
      <c r="G3313" t="s">
        <v>3126</v>
      </c>
      <c r="H3313">
        <v>2513</v>
      </c>
      <c r="I3313">
        <v>1.56</v>
      </c>
      <c r="J3313">
        <v>1.57</v>
      </c>
      <c r="K3313" t="s">
        <v>15515</v>
      </c>
      <c r="L3313">
        <v>0.47</v>
      </c>
      <c r="M3313" t="s">
        <v>46</v>
      </c>
      <c r="N3313" t="s">
        <v>16730</v>
      </c>
      <c r="O3313">
        <v>1.58</v>
      </c>
      <c r="P3313">
        <v>1.55</v>
      </c>
      <c r="Q3313">
        <v>1.55</v>
      </c>
      <c r="R3313">
        <v>1.56</v>
      </c>
      <c r="S3313">
        <v>1.92</v>
      </c>
      <c r="T3313">
        <v>1.43</v>
      </c>
      <c r="U3313">
        <v>-19.83</v>
      </c>
      <c r="V3313" t="s">
        <v>16731</v>
      </c>
      <c r="W3313">
        <v>1.57</v>
      </c>
      <c r="X3313" t="s">
        <v>1261</v>
      </c>
      <c r="Y3313" t="s">
        <v>2859</v>
      </c>
      <c r="Z3313">
        <v>0.73</v>
      </c>
      <c r="AA3313" t="s">
        <v>4941</v>
      </c>
      <c r="AB3313">
        <v>458</v>
      </c>
      <c r="AC3313">
        <v>0.91</v>
      </c>
      <c r="AD3313" t="s">
        <v>14328</v>
      </c>
      <c r="AE3313" t="s">
        <v>16732</v>
      </c>
      <c r="AF3313" t="s">
        <v>14328</v>
      </c>
      <c r="AG3313" t="s">
        <v>16732</v>
      </c>
      <c r="AH3313">
        <v>0</v>
      </c>
      <c r="AI3313">
        <v>-1.26</v>
      </c>
      <c r="AJ3313">
        <v>1.14</v>
      </c>
      <c r="AK3313">
        <v>2.1</v>
      </c>
      <c r="AL3313">
        <v>1</v>
      </c>
      <c r="AM3313">
        <v>0.64</v>
      </c>
      <c r="AN3313">
        <v>-4.85</v>
      </c>
      <c r="AO3313">
        <v>0.64</v>
      </c>
      <c r="AP3313">
        <v>-5.99</v>
      </c>
    </row>
    <row r="3314" spans="1:42">
      <c r="A3314">
        <v>3313</v>
      </c>
      <c r="B3314" t="str">
        <f>"000031"</f>
        <v>000031</v>
      </c>
      <c r="C3314" t="s">
        <v>16733</v>
      </c>
      <c r="D3314">
        <v>3.24</v>
      </c>
      <c r="E3314">
        <v>0.62</v>
      </c>
      <c r="F3314">
        <v>0.02</v>
      </c>
      <c r="G3314" t="s">
        <v>3385</v>
      </c>
      <c r="H3314">
        <v>1782</v>
      </c>
      <c r="I3314">
        <v>3.24</v>
      </c>
      <c r="J3314">
        <v>3.25</v>
      </c>
      <c r="K3314" t="s">
        <v>16734</v>
      </c>
      <c r="L3314">
        <v>0.35</v>
      </c>
      <c r="M3314" t="s">
        <v>46</v>
      </c>
      <c r="N3314" t="s">
        <v>7933</v>
      </c>
      <c r="O3314">
        <v>3.25</v>
      </c>
      <c r="P3314">
        <v>3.19</v>
      </c>
      <c r="Q3314">
        <v>3.22</v>
      </c>
      <c r="R3314">
        <v>3.22</v>
      </c>
      <c r="S3314">
        <v>1.86</v>
      </c>
      <c r="T3314">
        <v>0.7</v>
      </c>
      <c r="U3314">
        <v>22.36</v>
      </c>
      <c r="V3314">
        <v>8212</v>
      </c>
      <c r="W3314">
        <v>3.23</v>
      </c>
      <c r="X3314" t="s">
        <v>2534</v>
      </c>
      <c r="Y3314" t="s">
        <v>4913</v>
      </c>
      <c r="Z3314">
        <v>1.19</v>
      </c>
      <c r="AA3314">
        <v>1829</v>
      </c>
      <c r="AB3314">
        <v>8117</v>
      </c>
      <c r="AC3314">
        <v>0.94</v>
      </c>
      <c r="AD3314" t="s">
        <v>16735</v>
      </c>
      <c r="AE3314" t="s">
        <v>14103</v>
      </c>
      <c r="AF3314" t="s">
        <v>6120</v>
      </c>
      <c r="AG3314" t="s">
        <v>5654</v>
      </c>
      <c r="AH3314">
        <v>-2.41</v>
      </c>
      <c r="AI3314">
        <v>-6.9</v>
      </c>
      <c r="AJ3314">
        <v>1.16</v>
      </c>
      <c r="AK3314">
        <v>2.9</v>
      </c>
      <c r="AL3314">
        <v>1</v>
      </c>
      <c r="AM3314">
        <v>0.62</v>
      </c>
      <c r="AN3314">
        <v>-13.83</v>
      </c>
      <c r="AO3314">
        <v>-4.42</v>
      </c>
      <c r="AP3314">
        <v>-8.73</v>
      </c>
    </row>
    <row r="3315" spans="1:42">
      <c r="A3315">
        <v>3314</v>
      </c>
      <c r="B3315" t="str">
        <f>"300690"</f>
        <v>300690</v>
      </c>
      <c r="C3315" t="s">
        <v>16736</v>
      </c>
      <c r="D3315">
        <v>17.78</v>
      </c>
      <c r="E3315">
        <v>1.37</v>
      </c>
      <c r="F3315">
        <v>0.24</v>
      </c>
      <c r="G3315" t="s">
        <v>4012</v>
      </c>
      <c r="H3315">
        <v>771</v>
      </c>
      <c r="I3315">
        <v>17.78</v>
      </c>
      <c r="J3315">
        <v>17.79</v>
      </c>
      <c r="K3315" t="s">
        <v>16737</v>
      </c>
      <c r="L3315">
        <v>2.38</v>
      </c>
      <c r="M3315" t="s">
        <v>46</v>
      </c>
      <c r="N3315" t="s">
        <v>6625</v>
      </c>
      <c r="O3315">
        <v>17.78</v>
      </c>
      <c r="P3315">
        <v>17.28</v>
      </c>
      <c r="Q3315">
        <v>17.65</v>
      </c>
      <c r="R3315">
        <v>17.54</v>
      </c>
      <c r="S3315">
        <v>2.85</v>
      </c>
      <c r="T3315">
        <v>0.86</v>
      </c>
      <c r="U3315">
        <v>-30.05</v>
      </c>
      <c r="V3315">
        <v>-122</v>
      </c>
      <c r="W3315">
        <v>17.56</v>
      </c>
      <c r="X3315" t="s">
        <v>7836</v>
      </c>
      <c r="Y3315" t="s">
        <v>2284</v>
      </c>
      <c r="Z3315">
        <v>1.26</v>
      </c>
      <c r="AA3315">
        <v>14</v>
      </c>
      <c r="AB3315">
        <v>96</v>
      </c>
      <c r="AC3315">
        <v>2.1</v>
      </c>
      <c r="AD3315" t="s">
        <v>16738</v>
      </c>
      <c r="AE3315" t="s">
        <v>14496</v>
      </c>
      <c r="AF3315" t="s">
        <v>16739</v>
      </c>
      <c r="AG3315" t="s">
        <v>16740</v>
      </c>
      <c r="AH3315">
        <v>-1.17</v>
      </c>
      <c r="AI3315">
        <v>-0.84</v>
      </c>
      <c r="AJ3315">
        <v>6.78</v>
      </c>
      <c r="AK3315">
        <v>16.31</v>
      </c>
      <c r="AL3315">
        <v>1</v>
      </c>
      <c r="AM3315">
        <v>1.37</v>
      </c>
      <c r="AN3315">
        <v>11.19</v>
      </c>
      <c r="AO3315">
        <v>-0.84</v>
      </c>
      <c r="AP3315">
        <v>1.31</v>
      </c>
    </row>
    <row r="3316" spans="1:42">
      <c r="A3316">
        <v>3315</v>
      </c>
      <c r="B3316" t="str">
        <f>"000409"</f>
        <v>000409</v>
      </c>
      <c r="C3316" t="s">
        <v>16741</v>
      </c>
      <c r="D3316">
        <v>8.08</v>
      </c>
      <c r="E3316">
        <v>2.02</v>
      </c>
      <c r="F3316">
        <v>0.16</v>
      </c>
      <c r="G3316" t="s">
        <v>2685</v>
      </c>
      <c r="H3316">
        <v>275</v>
      </c>
      <c r="I3316">
        <v>8.08</v>
      </c>
      <c r="J3316">
        <v>8.09</v>
      </c>
      <c r="K3316" t="s">
        <v>16742</v>
      </c>
      <c r="L3316">
        <v>1.35</v>
      </c>
      <c r="M3316" t="s">
        <v>46</v>
      </c>
      <c r="N3316" t="s">
        <v>858</v>
      </c>
      <c r="O3316">
        <v>8.11</v>
      </c>
      <c r="P3316">
        <v>7.91</v>
      </c>
      <c r="Q3316">
        <v>7.91</v>
      </c>
      <c r="R3316">
        <v>7.92</v>
      </c>
      <c r="S3316">
        <v>2.53</v>
      </c>
      <c r="T3316">
        <v>1.02</v>
      </c>
      <c r="U3316">
        <v>-19.11</v>
      </c>
      <c r="V3316">
        <v>-1105</v>
      </c>
      <c r="W3316">
        <v>8.04</v>
      </c>
      <c r="X3316" t="s">
        <v>6266</v>
      </c>
      <c r="Y3316" t="s">
        <v>729</v>
      </c>
      <c r="Z3316">
        <v>0.68</v>
      </c>
      <c r="AA3316">
        <v>555</v>
      </c>
      <c r="AB3316">
        <v>1090</v>
      </c>
      <c r="AC3316">
        <v>3.76</v>
      </c>
      <c r="AD3316" t="s">
        <v>16743</v>
      </c>
      <c r="AE3316" t="s">
        <v>16744</v>
      </c>
      <c r="AF3316" t="s">
        <v>2510</v>
      </c>
      <c r="AG3316" t="s">
        <v>10864</v>
      </c>
      <c r="AH3316">
        <v>0</v>
      </c>
      <c r="AI3316">
        <v>-1.34</v>
      </c>
      <c r="AJ3316">
        <v>3.81</v>
      </c>
      <c r="AK3316">
        <v>7.95</v>
      </c>
      <c r="AL3316">
        <v>1</v>
      </c>
      <c r="AM3316">
        <v>2.02</v>
      </c>
      <c r="AN3316">
        <v>26.05</v>
      </c>
      <c r="AO3316">
        <v>7.88</v>
      </c>
      <c r="AP3316">
        <v>15.76</v>
      </c>
    </row>
    <row r="3317" spans="1:42">
      <c r="A3317">
        <v>3316</v>
      </c>
      <c r="B3317" t="str">
        <f>"600243"</f>
        <v>600243</v>
      </c>
      <c r="C3317" t="s">
        <v>16745</v>
      </c>
      <c r="D3317">
        <v>4.62</v>
      </c>
      <c r="E3317">
        <v>0</v>
      </c>
      <c r="F3317">
        <v>0</v>
      </c>
      <c r="G3317" t="s">
        <v>7189</v>
      </c>
      <c r="H3317">
        <v>697</v>
      </c>
      <c r="I3317">
        <v>4.62</v>
      </c>
      <c r="J3317">
        <v>4.63</v>
      </c>
      <c r="K3317" t="s">
        <v>16742</v>
      </c>
      <c r="L3317">
        <v>2.26</v>
      </c>
      <c r="M3317" t="s">
        <v>46</v>
      </c>
      <c r="N3317" t="s">
        <v>1917</v>
      </c>
      <c r="O3317">
        <v>4.66</v>
      </c>
      <c r="P3317">
        <v>4.58</v>
      </c>
      <c r="Q3317">
        <v>4.62</v>
      </c>
      <c r="R3317">
        <v>4.62</v>
      </c>
      <c r="S3317">
        <v>1.73</v>
      </c>
      <c r="T3317">
        <v>1.31</v>
      </c>
      <c r="U3317">
        <v>-6.08</v>
      </c>
      <c r="V3317">
        <v>-552</v>
      </c>
      <c r="W3317">
        <v>4.61</v>
      </c>
      <c r="X3317" t="s">
        <v>4053</v>
      </c>
      <c r="Y3317" t="s">
        <v>1951</v>
      </c>
      <c r="Z3317">
        <v>0.93</v>
      </c>
      <c r="AA3317">
        <v>46</v>
      </c>
      <c r="AB3317">
        <v>251</v>
      </c>
      <c r="AC3317">
        <v>2.35</v>
      </c>
      <c r="AD3317" t="s">
        <v>4112</v>
      </c>
      <c r="AE3317" t="s">
        <v>14442</v>
      </c>
      <c r="AF3317" t="s">
        <v>4112</v>
      </c>
      <c r="AG3317" t="s">
        <v>14442</v>
      </c>
      <c r="AH3317">
        <v>-1.28</v>
      </c>
      <c r="AI3317">
        <v>-1.49</v>
      </c>
      <c r="AJ3317">
        <v>5.49</v>
      </c>
      <c r="AK3317">
        <v>10.9</v>
      </c>
      <c r="AL3317">
        <v>0</v>
      </c>
      <c r="AM3317">
        <v>0</v>
      </c>
      <c r="AN3317">
        <v>11.59</v>
      </c>
      <c r="AO3317">
        <v>1.99</v>
      </c>
      <c r="AP3317">
        <v>2.21</v>
      </c>
    </row>
    <row r="3318" spans="1:42">
      <c r="A3318">
        <v>3317</v>
      </c>
      <c r="B3318" t="str">
        <f>"603318"</f>
        <v>603318</v>
      </c>
      <c r="C3318" t="s">
        <v>16746</v>
      </c>
      <c r="D3318">
        <v>7.84</v>
      </c>
      <c r="E3318">
        <v>-0.88</v>
      </c>
      <c r="F3318">
        <v>-0.07</v>
      </c>
      <c r="G3318" t="s">
        <v>1577</v>
      </c>
      <c r="H3318">
        <v>467</v>
      </c>
      <c r="I3318">
        <v>7.84</v>
      </c>
      <c r="J3318">
        <v>7.85</v>
      </c>
      <c r="K3318" t="s">
        <v>16747</v>
      </c>
      <c r="L3318">
        <v>1.52</v>
      </c>
      <c r="M3318" t="s">
        <v>46</v>
      </c>
      <c r="N3318" t="s">
        <v>5803</v>
      </c>
      <c r="O3318">
        <v>7.95</v>
      </c>
      <c r="P3318">
        <v>7.8</v>
      </c>
      <c r="Q3318">
        <v>7.9</v>
      </c>
      <c r="R3318">
        <v>7.91</v>
      </c>
      <c r="S3318">
        <v>1.9</v>
      </c>
      <c r="T3318">
        <v>1.21</v>
      </c>
      <c r="U3318">
        <v>25.48</v>
      </c>
      <c r="V3318">
        <v>1569</v>
      </c>
      <c r="W3318">
        <v>7.86</v>
      </c>
      <c r="X3318" t="s">
        <v>4915</v>
      </c>
      <c r="Y3318" t="s">
        <v>9766</v>
      </c>
      <c r="Z3318">
        <v>1.37</v>
      </c>
      <c r="AA3318">
        <v>450</v>
      </c>
      <c r="AB3318">
        <v>86</v>
      </c>
      <c r="AC3318">
        <v>2.21</v>
      </c>
      <c r="AD3318" t="s">
        <v>16748</v>
      </c>
      <c r="AE3318" t="s">
        <v>16337</v>
      </c>
      <c r="AF3318" t="s">
        <v>16749</v>
      </c>
      <c r="AG3318" t="s">
        <v>11675</v>
      </c>
      <c r="AH3318">
        <v>-1.51</v>
      </c>
      <c r="AI3318">
        <v>-2.97</v>
      </c>
      <c r="AJ3318">
        <v>4.24</v>
      </c>
      <c r="AK3318">
        <v>7.81</v>
      </c>
      <c r="AL3318">
        <v>-1</v>
      </c>
      <c r="AM3318">
        <v>-0.88</v>
      </c>
      <c r="AN3318">
        <v>-7.87</v>
      </c>
      <c r="AO3318">
        <v>-1.26</v>
      </c>
      <c r="AP3318">
        <v>-29.81</v>
      </c>
    </row>
    <row r="3319" spans="1:42">
      <c r="A3319">
        <v>3318</v>
      </c>
      <c r="B3319" t="str">
        <f>"603527"</f>
        <v>603527</v>
      </c>
      <c r="C3319" t="s">
        <v>16750</v>
      </c>
      <c r="D3319">
        <v>11.02</v>
      </c>
      <c r="E3319">
        <v>0.82</v>
      </c>
      <c r="F3319">
        <v>0.09</v>
      </c>
      <c r="G3319" t="s">
        <v>2921</v>
      </c>
      <c r="H3319">
        <v>588</v>
      </c>
      <c r="I3319">
        <v>11.01</v>
      </c>
      <c r="J3319">
        <v>11.02</v>
      </c>
      <c r="K3319" t="s">
        <v>16751</v>
      </c>
      <c r="L3319">
        <v>1.71</v>
      </c>
      <c r="M3319" t="s">
        <v>46</v>
      </c>
      <c r="N3319" t="s">
        <v>10435</v>
      </c>
      <c r="O3319">
        <v>11.04</v>
      </c>
      <c r="P3319">
        <v>10.86</v>
      </c>
      <c r="Q3319">
        <v>10.88</v>
      </c>
      <c r="R3319">
        <v>10.93</v>
      </c>
      <c r="S3319">
        <v>1.65</v>
      </c>
      <c r="T3319">
        <v>0.56</v>
      </c>
      <c r="U3319">
        <v>-48.7</v>
      </c>
      <c r="V3319">
        <v>-710</v>
      </c>
      <c r="W3319">
        <v>10.97</v>
      </c>
      <c r="X3319" t="s">
        <v>10934</v>
      </c>
      <c r="Y3319" t="s">
        <v>7195</v>
      </c>
      <c r="Z3319">
        <v>0.86</v>
      </c>
      <c r="AA3319">
        <v>3</v>
      </c>
      <c r="AB3319">
        <v>46</v>
      </c>
      <c r="AC3319">
        <v>1.84</v>
      </c>
      <c r="AD3319" t="s">
        <v>6554</v>
      </c>
      <c r="AE3319" t="s">
        <v>11883</v>
      </c>
      <c r="AF3319" t="s">
        <v>1614</v>
      </c>
      <c r="AG3319" t="s">
        <v>10860</v>
      </c>
      <c r="AH3319">
        <v>-2.39</v>
      </c>
      <c r="AI3319">
        <v>-4.42</v>
      </c>
      <c r="AJ3319">
        <v>6.23</v>
      </c>
      <c r="AK3319">
        <v>16.92</v>
      </c>
      <c r="AL3319">
        <v>1</v>
      </c>
      <c r="AM3319">
        <v>0.82</v>
      </c>
      <c r="AN3319">
        <v>-20.61</v>
      </c>
      <c r="AO3319">
        <v>4.65</v>
      </c>
      <c r="AP3319">
        <v>-24.05</v>
      </c>
    </row>
    <row r="3320" spans="1:42">
      <c r="A3320">
        <v>3319</v>
      </c>
      <c r="B3320" t="str">
        <f>"601619"</f>
        <v>601619</v>
      </c>
      <c r="C3320" t="s">
        <v>16752</v>
      </c>
      <c r="D3320">
        <v>3.51</v>
      </c>
      <c r="E3320">
        <v>0.57</v>
      </c>
      <c r="F3320">
        <v>0.02</v>
      </c>
      <c r="G3320" t="s">
        <v>1987</v>
      </c>
      <c r="H3320">
        <v>2111</v>
      </c>
      <c r="I3320">
        <v>3.51</v>
      </c>
      <c r="J3320">
        <v>3.52</v>
      </c>
      <c r="K3320" t="s">
        <v>16753</v>
      </c>
      <c r="L3320">
        <v>0.54</v>
      </c>
      <c r="M3320" t="s">
        <v>46</v>
      </c>
      <c r="N3320" t="s">
        <v>6402</v>
      </c>
      <c r="O3320">
        <v>3.52</v>
      </c>
      <c r="P3320">
        <v>3.47</v>
      </c>
      <c r="Q3320">
        <v>3.49</v>
      </c>
      <c r="R3320">
        <v>3.49</v>
      </c>
      <c r="S3320">
        <v>1.43</v>
      </c>
      <c r="T3320">
        <v>0.82</v>
      </c>
      <c r="U3320">
        <v>-10.54</v>
      </c>
      <c r="V3320">
        <v>-5495</v>
      </c>
      <c r="W3320">
        <v>3.5</v>
      </c>
      <c r="X3320" t="s">
        <v>3030</v>
      </c>
      <c r="Y3320" t="s">
        <v>4797</v>
      </c>
      <c r="Z3320">
        <v>0.81</v>
      </c>
      <c r="AA3320">
        <v>3384</v>
      </c>
      <c r="AB3320">
        <v>6074</v>
      </c>
      <c r="AC3320">
        <v>1.35</v>
      </c>
      <c r="AD3320" t="s">
        <v>16754</v>
      </c>
      <c r="AE3320" t="s">
        <v>16755</v>
      </c>
      <c r="AF3320" t="s">
        <v>16756</v>
      </c>
      <c r="AG3320" t="s">
        <v>3751</v>
      </c>
      <c r="AH3320">
        <v>-1.68</v>
      </c>
      <c r="AI3320">
        <v>-2.23</v>
      </c>
      <c r="AJ3320">
        <v>1.84</v>
      </c>
      <c r="AK3320">
        <v>3.85</v>
      </c>
      <c r="AL3320">
        <v>1</v>
      </c>
      <c r="AM3320">
        <v>0.57</v>
      </c>
      <c r="AN3320">
        <v>-4.88</v>
      </c>
      <c r="AO3320">
        <v>-1.68</v>
      </c>
      <c r="AP3320">
        <v>-11.36</v>
      </c>
    </row>
    <row r="3321" spans="1:42">
      <c r="A3321">
        <v>3320</v>
      </c>
      <c r="B3321" t="str">
        <f>"000902"</f>
        <v>000902</v>
      </c>
      <c r="C3321" t="s">
        <v>16757</v>
      </c>
      <c r="D3321">
        <v>11.29</v>
      </c>
      <c r="E3321">
        <v>-0.62</v>
      </c>
      <c r="F3321">
        <v>-0.07</v>
      </c>
      <c r="G3321" t="s">
        <v>3373</v>
      </c>
      <c r="H3321">
        <v>180</v>
      </c>
      <c r="I3321">
        <v>11.29</v>
      </c>
      <c r="J3321">
        <v>11.3</v>
      </c>
      <c r="K3321" t="s">
        <v>16758</v>
      </c>
      <c r="L3321">
        <v>0.34</v>
      </c>
      <c r="M3321" t="s">
        <v>46</v>
      </c>
      <c r="N3321" t="s">
        <v>16224</v>
      </c>
      <c r="O3321">
        <v>11.38</v>
      </c>
      <c r="P3321">
        <v>11.25</v>
      </c>
      <c r="Q3321">
        <v>11.32</v>
      </c>
      <c r="R3321">
        <v>11.36</v>
      </c>
      <c r="S3321">
        <v>1.14</v>
      </c>
      <c r="T3321">
        <v>0.86</v>
      </c>
      <c r="U3321">
        <v>-6.69</v>
      </c>
      <c r="V3321">
        <v>-104</v>
      </c>
      <c r="W3321">
        <v>11.3</v>
      </c>
      <c r="X3321" t="s">
        <v>7472</v>
      </c>
      <c r="Y3321" t="s">
        <v>3284</v>
      </c>
      <c r="Z3321">
        <v>1.95</v>
      </c>
      <c r="AA3321">
        <v>4</v>
      </c>
      <c r="AB3321">
        <v>124</v>
      </c>
      <c r="AC3321">
        <v>1.59</v>
      </c>
      <c r="AD3321" t="s">
        <v>16759</v>
      </c>
      <c r="AE3321" t="s">
        <v>16760</v>
      </c>
      <c r="AF3321" t="s">
        <v>5244</v>
      </c>
      <c r="AG3321" t="s">
        <v>11831</v>
      </c>
      <c r="AH3321">
        <v>-2.17</v>
      </c>
      <c r="AI3321">
        <v>-1.83</v>
      </c>
      <c r="AJ3321">
        <v>1.22</v>
      </c>
      <c r="AK3321">
        <v>2.33</v>
      </c>
      <c r="AL3321">
        <v>-3</v>
      </c>
      <c r="AM3321">
        <v>-0.62</v>
      </c>
      <c r="AN3321">
        <v>-0.18</v>
      </c>
      <c r="AO3321">
        <v>-1.83</v>
      </c>
      <c r="AP3321">
        <v>-4.32</v>
      </c>
    </row>
    <row r="3322" spans="1:42">
      <c r="A3322">
        <v>3321</v>
      </c>
      <c r="B3322" t="str">
        <f>"000078"</f>
        <v>000078</v>
      </c>
      <c r="C3322" t="s">
        <v>16761</v>
      </c>
      <c r="D3322">
        <v>3.17</v>
      </c>
      <c r="E3322">
        <v>0.32</v>
      </c>
      <c r="F3322">
        <v>0.01</v>
      </c>
      <c r="G3322" t="s">
        <v>44</v>
      </c>
      <c r="H3322">
        <v>995</v>
      </c>
      <c r="I3322">
        <v>3.16</v>
      </c>
      <c r="J3322">
        <v>3.17</v>
      </c>
      <c r="K3322" t="s">
        <v>16758</v>
      </c>
      <c r="L3322">
        <v>0.55</v>
      </c>
      <c r="M3322" t="s">
        <v>46</v>
      </c>
      <c r="N3322" t="s">
        <v>2936</v>
      </c>
      <c r="O3322">
        <v>3.19</v>
      </c>
      <c r="P3322">
        <v>3.15</v>
      </c>
      <c r="Q3322">
        <v>3.16</v>
      </c>
      <c r="R3322">
        <v>3.16</v>
      </c>
      <c r="S3322">
        <v>1.27</v>
      </c>
      <c r="T3322">
        <v>0.54</v>
      </c>
      <c r="U3322">
        <v>-32.1</v>
      </c>
      <c r="V3322" t="s">
        <v>8510</v>
      </c>
      <c r="W3322">
        <v>3.17</v>
      </c>
      <c r="X3322" t="s">
        <v>13322</v>
      </c>
      <c r="Y3322" t="s">
        <v>7743</v>
      </c>
      <c r="Z3322">
        <v>1.21</v>
      </c>
      <c r="AA3322">
        <v>893</v>
      </c>
      <c r="AB3322">
        <v>1143</v>
      </c>
      <c r="AC3322">
        <v>1.83</v>
      </c>
      <c r="AD3322" t="s">
        <v>16762</v>
      </c>
      <c r="AE3322" t="s">
        <v>16763</v>
      </c>
      <c r="AF3322" t="s">
        <v>13892</v>
      </c>
      <c r="AG3322" t="s">
        <v>648</v>
      </c>
      <c r="AH3322">
        <v>-0.31</v>
      </c>
      <c r="AI3322">
        <v>-0.94</v>
      </c>
      <c r="AJ3322">
        <v>1.74</v>
      </c>
      <c r="AK3322">
        <v>5.66</v>
      </c>
      <c r="AL3322">
        <v>2</v>
      </c>
      <c r="AM3322">
        <v>0.32</v>
      </c>
      <c r="AN3322">
        <v>-4.52</v>
      </c>
      <c r="AO3322">
        <v>3.59</v>
      </c>
      <c r="AP3322">
        <v>-9.43</v>
      </c>
    </row>
    <row r="3323" spans="1:42">
      <c r="A3323">
        <v>3322</v>
      </c>
      <c r="B3323" t="str">
        <f>"002394"</f>
        <v>002394</v>
      </c>
      <c r="C3323" t="s">
        <v>16764</v>
      </c>
      <c r="D3323">
        <v>8.51</v>
      </c>
      <c r="E3323">
        <v>1.31</v>
      </c>
      <c r="F3323">
        <v>0.11</v>
      </c>
      <c r="G3323" t="s">
        <v>6237</v>
      </c>
      <c r="H3323">
        <v>519</v>
      </c>
      <c r="I3323">
        <v>8.5</v>
      </c>
      <c r="J3323">
        <v>8.51</v>
      </c>
      <c r="K3323" t="s">
        <v>16765</v>
      </c>
      <c r="L3323">
        <v>1.66</v>
      </c>
      <c r="M3323" t="s">
        <v>46</v>
      </c>
      <c r="N3323" t="s">
        <v>4564</v>
      </c>
      <c r="O3323">
        <v>8.68</v>
      </c>
      <c r="P3323">
        <v>8.37</v>
      </c>
      <c r="Q3323">
        <v>8.4</v>
      </c>
      <c r="R3323">
        <v>8.4</v>
      </c>
      <c r="S3323">
        <v>3.69</v>
      </c>
      <c r="T3323">
        <v>1.29</v>
      </c>
      <c r="U3323">
        <v>-48.22</v>
      </c>
      <c r="V3323">
        <v>-637</v>
      </c>
      <c r="W3323">
        <v>8.52</v>
      </c>
      <c r="X3323" t="s">
        <v>7946</v>
      </c>
      <c r="Y3323" t="s">
        <v>8966</v>
      </c>
      <c r="Z3323">
        <v>0.9</v>
      </c>
      <c r="AA3323">
        <v>59</v>
      </c>
      <c r="AB3323">
        <v>98</v>
      </c>
      <c r="AC3323">
        <v>0.71</v>
      </c>
      <c r="AD3323" t="s">
        <v>16766</v>
      </c>
      <c r="AE3323" t="s">
        <v>16767</v>
      </c>
      <c r="AF3323" t="s">
        <v>3853</v>
      </c>
      <c r="AG3323" t="s">
        <v>16768</v>
      </c>
      <c r="AH3323">
        <v>0.47</v>
      </c>
      <c r="AI3323">
        <v>-0.23</v>
      </c>
      <c r="AJ3323">
        <v>4.06</v>
      </c>
      <c r="AK3323">
        <v>8.09</v>
      </c>
      <c r="AL3323">
        <v>2</v>
      </c>
      <c r="AM3323">
        <v>1.31</v>
      </c>
      <c r="AN3323">
        <v>16.74</v>
      </c>
      <c r="AO3323">
        <v>3.91</v>
      </c>
      <c r="AP3323">
        <v>35.29</v>
      </c>
    </row>
    <row r="3324" spans="1:42">
      <c r="A3324">
        <v>3323</v>
      </c>
      <c r="B3324" t="str">
        <f>"603602"</f>
        <v>603602</v>
      </c>
      <c r="C3324" t="s">
        <v>16769</v>
      </c>
      <c r="D3324">
        <v>16.04</v>
      </c>
      <c r="E3324">
        <v>-0.74</v>
      </c>
      <c r="F3324">
        <v>-0.12</v>
      </c>
      <c r="G3324" t="s">
        <v>8681</v>
      </c>
      <c r="H3324">
        <v>973</v>
      </c>
      <c r="I3324">
        <v>16.03</v>
      </c>
      <c r="J3324">
        <v>16.04</v>
      </c>
      <c r="K3324" t="s">
        <v>16770</v>
      </c>
      <c r="L3324">
        <v>1.39</v>
      </c>
      <c r="M3324" t="s">
        <v>46</v>
      </c>
      <c r="N3324" t="s">
        <v>16771</v>
      </c>
      <c r="O3324">
        <v>16.29</v>
      </c>
      <c r="P3324">
        <v>15.99</v>
      </c>
      <c r="Q3324">
        <v>16.13</v>
      </c>
      <c r="R3324">
        <v>16.16</v>
      </c>
      <c r="S3324">
        <v>1.86</v>
      </c>
      <c r="T3324">
        <v>1.22</v>
      </c>
      <c r="U3324">
        <v>61.51</v>
      </c>
      <c r="V3324">
        <v>675</v>
      </c>
      <c r="W3324">
        <v>16.12</v>
      </c>
      <c r="X3324" t="s">
        <v>2371</v>
      </c>
      <c r="Y3324" t="s">
        <v>383</v>
      </c>
      <c r="Z3324">
        <v>1.14</v>
      </c>
      <c r="AA3324">
        <v>49</v>
      </c>
      <c r="AB3324">
        <v>64</v>
      </c>
      <c r="AC3324">
        <v>4.32</v>
      </c>
      <c r="AD3324" t="s">
        <v>16772</v>
      </c>
      <c r="AE3324" t="s">
        <v>5573</v>
      </c>
      <c r="AF3324" t="s">
        <v>16772</v>
      </c>
      <c r="AG3324" t="s">
        <v>5573</v>
      </c>
      <c r="AH3324">
        <v>-0.74</v>
      </c>
      <c r="AI3324">
        <v>-0.8</v>
      </c>
      <c r="AJ3324">
        <v>4.26</v>
      </c>
      <c r="AK3324">
        <v>7.07</v>
      </c>
      <c r="AL3324">
        <v>-2</v>
      </c>
      <c r="AM3324">
        <v>-0.74</v>
      </c>
      <c r="AN3324">
        <v>41.07</v>
      </c>
      <c r="AO3324">
        <v>4.63</v>
      </c>
      <c r="AP3324">
        <v>42.45</v>
      </c>
    </row>
    <row r="3325" spans="1:42">
      <c r="A3325">
        <v>3324</v>
      </c>
      <c r="B3325" t="str">
        <f>"300883"</f>
        <v>300883</v>
      </c>
      <c r="C3325" t="s">
        <v>16773</v>
      </c>
      <c r="D3325">
        <v>7.02</v>
      </c>
      <c r="E3325">
        <v>1.74</v>
      </c>
      <c r="F3325">
        <v>0.12</v>
      </c>
      <c r="G3325" t="s">
        <v>4250</v>
      </c>
      <c r="H3325">
        <v>743</v>
      </c>
      <c r="I3325">
        <v>7.01</v>
      </c>
      <c r="J3325">
        <v>7.02</v>
      </c>
      <c r="K3325" t="s">
        <v>16774</v>
      </c>
      <c r="L3325">
        <v>1.99</v>
      </c>
      <c r="M3325" t="s">
        <v>46</v>
      </c>
      <c r="N3325" t="s">
        <v>8879</v>
      </c>
      <c r="O3325">
        <v>7.04</v>
      </c>
      <c r="P3325">
        <v>6.88</v>
      </c>
      <c r="Q3325">
        <v>6.92</v>
      </c>
      <c r="R3325">
        <v>6.9</v>
      </c>
      <c r="S3325">
        <v>2.32</v>
      </c>
      <c r="T3325">
        <v>0.76</v>
      </c>
      <c r="U3325">
        <v>-22.54</v>
      </c>
      <c r="V3325">
        <v>-1664</v>
      </c>
      <c r="W3325">
        <v>6.99</v>
      </c>
      <c r="X3325" t="s">
        <v>6803</v>
      </c>
      <c r="Y3325" t="s">
        <v>5831</v>
      </c>
      <c r="Z3325">
        <v>0.86</v>
      </c>
      <c r="AA3325">
        <v>640</v>
      </c>
      <c r="AB3325">
        <v>849</v>
      </c>
      <c r="AC3325">
        <v>1.7</v>
      </c>
      <c r="AD3325" t="s">
        <v>16775</v>
      </c>
      <c r="AE3325" t="s">
        <v>13114</v>
      </c>
      <c r="AF3325" t="s">
        <v>16776</v>
      </c>
      <c r="AG3325" t="s">
        <v>16777</v>
      </c>
      <c r="AH3325">
        <v>-0.99</v>
      </c>
      <c r="AI3325">
        <v>-1.96</v>
      </c>
      <c r="AJ3325">
        <v>6.51</v>
      </c>
      <c r="AK3325">
        <v>15.16</v>
      </c>
      <c r="AL3325">
        <v>1</v>
      </c>
      <c r="AM3325">
        <v>1.74</v>
      </c>
      <c r="AN3325">
        <v>18.38</v>
      </c>
      <c r="AO3325">
        <v>0.43</v>
      </c>
      <c r="AP3325">
        <v>9.35</v>
      </c>
    </row>
    <row r="3326" spans="1:42">
      <c r="A3326">
        <v>3325</v>
      </c>
      <c r="B3326" t="str">
        <f>"000848"</f>
        <v>000848</v>
      </c>
      <c r="C3326" t="s">
        <v>16778</v>
      </c>
      <c r="D3326">
        <v>8.24</v>
      </c>
      <c r="E3326">
        <v>0.61</v>
      </c>
      <c r="F3326">
        <v>0.05</v>
      </c>
      <c r="G3326" t="s">
        <v>5027</v>
      </c>
      <c r="H3326">
        <v>226</v>
      </c>
      <c r="I3326">
        <v>8.24</v>
      </c>
      <c r="J3326">
        <v>8.25</v>
      </c>
      <c r="K3326" t="s">
        <v>16779</v>
      </c>
      <c r="L3326">
        <v>0.53</v>
      </c>
      <c r="M3326" t="s">
        <v>46</v>
      </c>
      <c r="N3326" t="s">
        <v>8839</v>
      </c>
      <c r="O3326">
        <v>8.28</v>
      </c>
      <c r="P3326">
        <v>8.17</v>
      </c>
      <c r="Q3326">
        <v>8.18</v>
      </c>
      <c r="R3326">
        <v>8.19</v>
      </c>
      <c r="S3326">
        <v>1.34</v>
      </c>
      <c r="T3326">
        <v>0.88</v>
      </c>
      <c r="U3326">
        <v>-34.01</v>
      </c>
      <c r="V3326">
        <v>-1942</v>
      </c>
      <c r="W3326">
        <v>8.23</v>
      </c>
      <c r="X3326" t="s">
        <v>4013</v>
      </c>
      <c r="Y3326" t="s">
        <v>925</v>
      </c>
      <c r="Z3326">
        <v>0.8</v>
      </c>
      <c r="AA3326">
        <v>46</v>
      </c>
      <c r="AB3326">
        <v>1710</v>
      </c>
      <c r="AC3326">
        <v>3</v>
      </c>
      <c r="AD3326" t="s">
        <v>16780</v>
      </c>
      <c r="AE3326" t="s">
        <v>16781</v>
      </c>
      <c r="AF3326" t="s">
        <v>16780</v>
      </c>
      <c r="AG3326" t="s">
        <v>16781</v>
      </c>
      <c r="AH3326">
        <v>-0.72</v>
      </c>
      <c r="AI3326">
        <v>-1.2</v>
      </c>
      <c r="AJ3326">
        <v>2.1</v>
      </c>
      <c r="AK3326">
        <v>3.53</v>
      </c>
      <c r="AL3326">
        <v>2</v>
      </c>
      <c r="AM3326">
        <v>0.61</v>
      </c>
      <c r="AN3326">
        <v>0.73</v>
      </c>
      <c r="AO3326">
        <v>-2.37</v>
      </c>
      <c r="AP3326">
        <v>4.97</v>
      </c>
    </row>
    <row r="3327" spans="1:42">
      <c r="A3327">
        <v>3326</v>
      </c>
      <c r="B3327" t="str">
        <f>"002758"</f>
        <v>002758</v>
      </c>
      <c r="C3327" t="s">
        <v>16782</v>
      </c>
      <c r="D3327">
        <v>11.13</v>
      </c>
      <c r="E3327">
        <v>0.63</v>
      </c>
      <c r="F3327">
        <v>0.07</v>
      </c>
      <c r="G3327" t="s">
        <v>3149</v>
      </c>
      <c r="H3327">
        <v>475</v>
      </c>
      <c r="I3327">
        <v>11.13</v>
      </c>
      <c r="J3327">
        <v>11.14</v>
      </c>
      <c r="K3327" t="s">
        <v>16783</v>
      </c>
      <c r="L3327">
        <v>0.8</v>
      </c>
      <c r="M3327" t="s">
        <v>46</v>
      </c>
      <c r="N3327" t="s">
        <v>7384</v>
      </c>
      <c r="O3327">
        <v>11.28</v>
      </c>
      <c r="P3327">
        <v>10.95</v>
      </c>
      <c r="Q3327">
        <v>11.03</v>
      </c>
      <c r="R3327">
        <v>11.06</v>
      </c>
      <c r="S3327">
        <v>2.98</v>
      </c>
      <c r="T3327">
        <v>0.71</v>
      </c>
      <c r="U3327">
        <v>-13.94</v>
      </c>
      <c r="V3327">
        <v>-257</v>
      </c>
      <c r="W3327">
        <v>11.12</v>
      </c>
      <c r="X3327" t="s">
        <v>5592</v>
      </c>
      <c r="Y3327" t="s">
        <v>1280</v>
      </c>
      <c r="Z3327">
        <v>1.05</v>
      </c>
      <c r="AA3327">
        <v>81</v>
      </c>
      <c r="AB3327">
        <v>296</v>
      </c>
      <c r="AC3327">
        <v>1.33</v>
      </c>
      <c r="AD3327" t="s">
        <v>16396</v>
      </c>
      <c r="AE3327" t="s">
        <v>9156</v>
      </c>
      <c r="AF3327" t="s">
        <v>16784</v>
      </c>
      <c r="AG3327" t="s">
        <v>16785</v>
      </c>
      <c r="AH3327">
        <v>-1.15</v>
      </c>
      <c r="AI3327">
        <v>-0.27</v>
      </c>
      <c r="AJ3327">
        <v>2.42</v>
      </c>
      <c r="AK3327">
        <v>6.41</v>
      </c>
      <c r="AL3327">
        <v>2</v>
      </c>
      <c r="AM3327">
        <v>0.63</v>
      </c>
      <c r="AN3327">
        <v>-19.11</v>
      </c>
      <c r="AO3327">
        <v>2.49</v>
      </c>
      <c r="AP3327">
        <v>-29.78</v>
      </c>
    </row>
    <row r="3328" spans="1:42">
      <c r="A3328">
        <v>3327</v>
      </c>
      <c r="B3328" t="str">
        <f>"688671"</f>
        <v>688671</v>
      </c>
      <c r="C3328" t="s">
        <v>16786</v>
      </c>
      <c r="D3328">
        <v>38.17</v>
      </c>
      <c r="E3328">
        <v>-1.42</v>
      </c>
      <c r="F3328">
        <v>-0.55</v>
      </c>
      <c r="G3328" t="s">
        <v>718</v>
      </c>
      <c r="H3328">
        <v>67</v>
      </c>
      <c r="I3328">
        <v>38.16</v>
      </c>
      <c r="J3328">
        <v>38.17</v>
      </c>
      <c r="K3328" t="s">
        <v>5422</v>
      </c>
      <c r="L3328">
        <v>7.19</v>
      </c>
      <c r="M3328" t="s">
        <v>46</v>
      </c>
      <c r="N3328" t="s">
        <v>6308</v>
      </c>
      <c r="O3328">
        <v>39.15</v>
      </c>
      <c r="P3328">
        <v>37.51</v>
      </c>
      <c r="Q3328">
        <v>38.92</v>
      </c>
      <c r="R3328">
        <v>38.72</v>
      </c>
      <c r="S3328">
        <v>4.24</v>
      </c>
      <c r="T3328">
        <v>1.42</v>
      </c>
      <c r="U3328">
        <v>36.44</v>
      </c>
      <c r="V3328">
        <v>89</v>
      </c>
      <c r="W3328">
        <v>38.18</v>
      </c>
      <c r="X3328">
        <v>6258</v>
      </c>
      <c r="Y3328">
        <v>5682</v>
      </c>
      <c r="Z3328">
        <v>1.1</v>
      </c>
      <c r="AA3328">
        <v>20</v>
      </c>
      <c r="AB3328">
        <v>50</v>
      </c>
      <c r="AC3328">
        <v>2.63</v>
      </c>
      <c r="AD3328" t="s">
        <v>12665</v>
      </c>
      <c r="AE3328" t="s">
        <v>8851</v>
      </c>
      <c r="AF3328" t="s">
        <v>16787</v>
      </c>
      <c r="AG3328" t="s">
        <v>16788</v>
      </c>
      <c r="AH3328">
        <v>-6.12</v>
      </c>
      <c r="AI3328">
        <v>-9.1</v>
      </c>
      <c r="AJ3328">
        <v>17.95</v>
      </c>
      <c r="AK3328">
        <v>32.44</v>
      </c>
      <c r="AL3328">
        <v>-3</v>
      </c>
      <c r="AM3328">
        <v>-1.42</v>
      </c>
      <c r="AN3328">
        <v>5.68</v>
      </c>
      <c r="AO3328">
        <v>-5.73</v>
      </c>
      <c r="AP3328">
        <v>5.68</v>
      </c>
    </row>
    <row r="3329" spans="1:42">
      <c r="A3329">
        <v>3328</v>
      </c>
      <c r="B3329" t="str">
        <f>"600488"</f>
        <v>600488</v>
      </c>
      <c r="C3329" t="s">
        <v>16789</v>
      </c>
      <c r="D3329">
        <v>5.36</v>
      </c>
      <c r="E3329">
        <v>0.94</v>
      </c>
      <c r="F3329">
        <v>0.05</v>
      </c>
      <c r="G3329" t="s">
        <v>7164</v>
      </c>
      <c r="H3329">
        <v>362</v>
      </c>
      <c r="I3329">
        <v>5.35</v>
      </c>
      <c r="J3329">
        <v>5.36</v>
      </c>
      <c r="K3329" t="s">
        <v>16790</v>
      </c>
      <c r="L3329">
        <v>0.78</v>
      </c>
      <c r="M3329" t="s">
        <v>46</v>
      </c>
      <c r="N3329" t="s">
        <v>9829</v>
      </c>
      <c r="O3329">
        <v>5.38</v>
      </c>
      <c r="P3329">
        <v>5.3</v>
      </c>
      <c r="Q3329">
        <v>5.3</v>
      </c>
      <c r="R3329">
        <v>5.31</v>
      </c>
      <c r="S3329">
        <v>1.51</v>
      </c>
      <c r="T3329">
        <v>0.8</v>
      </c>
      <c r="U3329">
        <v>-1.64</v>
      </c>
      <c r="V3329">
        <v>-119</v>
      </c>
      <c r="W3329">
        <v>5.35</v>
      </c>
      <c r="X3329" t="s">
        <v>1313</v>
      </c>
      <c r="Y3329" t="s">
        <v>5612</v>
      </c>
      <c r="Z3329">
        <v>0.75</v>
      </c>
      <c r="AA3329">
        <v>147</v>
      </c>
      <c r="AB3329">
        <v>60</v>
      </c>
      <c r="AC3329">
        <v>1.88</v>
      </c>
      <c r="AD3329" t="s">
        <v>1005</v>
      </c>
      <c r="AE3329" t="s">
        <v>10061</v>
      </c>
      <c r="AF3329" t="s">
        <v>7276</v>
      </c>
      <c r="AG3329" t="s">
        <v>16791</v>
      </c>
      <c r="AH3329">
        <v>0.75</v>
      </c>
      <c r="AI3329">
        <v>-1.29</v>
      </c>
      <c r="AJ3329">
        <v>2.23</v>
      </c>
      <c r="AK3329">
        <v>5.64</v>
      </c>
      <c r="AL3329">
        <v>2</v>
      </c>
      <c r="AM3329">
        <v>0.94</v>
      </c>
      <c r="AN3329">
        <v>21.82</v>
      </c>
      <c r="AO3329">
        <v>3.68</v>
      </c>
      <c r="AP3329">
        <v>14.04</v>
      </c>
    </row>
    <row r="3330" spans="1:42">
      <c r="A3330">
        <v>3329</v>
      </c>
      <c r="B3330" t="str">
        <f>"600512"</f>
        <v>600512</v>
      </c>
      <c r="C3330" t="s">
        <v>16792</v>
      </c>
      <c r="D3330">
        <v>2.61</v>
      </c>
      <c r="E3330">
        <v>0.77</v>
      </c>
      <c r="F3330">
        <v>0.02</v>
      </c>
      <c r="G3330" t="s">
        <v>1470</v>
      </c>
      <c r="H3330">
        <v>1528</v>
      </c>
      <c r="I3330">
        <v>2.6</v>
      </c>
      <c r="J3330">
        <v>2.61</v>
      </c>
      <c r="K3330" t="s">
        <v>16790</v>
      </c>
      <c r="L3330">
        <v>1.1</v>
      </c>
      <c r="M3330" t="s">
        <v>46</v>
      </c>
      <c r="N3330" t="s">
        <v>10840</v>
      </c>
      <c r="O3330">
        <v>2.63</v>
      </c>
      <c r="P3330">
        <v>2.57</v>
      </c>
      <c r="Q3330">
        <v>2.59</v>
      </c>
      <c r="R3330">
        <v>2.59</v>
      </c>
      <c r="S3330">
        <v>2.32</v>
      </c>
      <c r="T3330">
        <v>1.5</v>
      </c>
      <c r="U3330">
        <v>-50.15</v>
      </c>
      <c r="V3330" t="s">
        <v>16099</v>
      </c>
      <c r="W3330">
        <v>2.61</v>
      </c>
      <c r="X3330" t="s">
        <v>7498</v>
      </c>
      <c r="Y3330" t="s">
        <v>5122</v>
      </c>
      <c r="Z3330">
        <v>1.07</v>
      </c>
      <c r="AA3330">
        <v>7667</v>
      </c>
      <c r="AB3330">
        <v>124</v>
      </c>
      <c r="AC3330">
        <v>0.67</v>
      </c>
      <c r="AD3330" t="s">
        <v>2542</v>
      </c>
      <c r="AE3330" t="s">
        <v>16793</v>
      </c>
      <c r="AF3330" t="s">
        <v>16794</v>
      </c>
      <c r="AG3330" t="s">
        <v>16795</v>
      </c>
      <c r="AH3330">
        <v>-1.51</v>
      </c>
      <c r="AI3330">
        <v>-1.88</v>
      </c>
      <c r="AJ3330">
        <v>2.47</v>
      </c>
      <c r="AK3330">
        <v>4.77</v>
      </c>
      <c r="AL3330">
        <v>1</v>
      </c>
      <c r="AM3330">
        <v>0.77</v>
      </c>
      <c r="AN3330">
        <v>1.95</v>
      </c>
      <c r="AO3330">
        <v>0.77</v>
      </c>
      <c r="AP3330">
        <v>-5.43</v>
      </c>
    </row>
    <row r="3331" spans="1:42">
      <c r="A3331">
        <v>3330</v>
      </c>
      <c r="B3331" t="str">
        <f>"300084"</f>
        <v>300084</v>
      </c>
      <c r="C3331" t="s">
        <v>16796</v>
      </c>
      <c r="D3331">
        <v>7.65</v>
      </c>
      <c r="E3331">
        <v>0.39</v>
      </c>
      <c r="F3331">
        <v>0.03</v>
      </c>
      <c r="G3331" t="s">
        <v>3090</v>
      </c>
      <c r="H3331">
        <v>615</v>
      </c>
      <c r="I3331">
        <v>7.63</v>
      </c>
      <c r="J3331">
        <v>7.65</v>
      </c>
      <c r="K3331" t="s">
        <v>16797</v>
      </c>
      <c r="L3331">
        <v>1.81</v>
      </c>
      <c r="M3331" t="s">
        <v>46</v>
      </c>
      <c r="N3331" t="s">
        <v>4134</v>
      </c>
      <c r="O3331">
        <v>7.7</v>
      </c>
      <c r="P3331">
        <v>7.54</v>
      </c>
      <c r="Q3331">
        <v>7.64</v>
      </c>
      <c r="R3331">
        <v>7.62</v>
      </c>
      <c r="S3331">
        <v>2.1</v>
      </c>
      <c r="T3331">
        <v>1.01</v>
      </c>
      <c r="U3331">
        <v>-9.03</v>
      </c>
      <c r="V3331">
        <v>-546</v>
      </c>
      <c r="W3331">
        <v>7.65</v>
      </c>
      <c r="X3331" t="s">
        <v>6247</v>
      </c>
      <c r="Y3331" t="s">
        <v>8915</v>
      </c>
      <c r="Z3331">
        <v>0.97</v>
      </c>
      <c r="AA3331">
        <v>582</v>
      </c>
      <c r="AB3331">
        <v>18</v>
      </c>
      <c r="AC3331">
        <v>2.81</v>
      </c>
      <c r="AD3331" t="s">
        <v>16798</v>
      </c>
      <c r="AE3331" t="s">
        <v>1874</v>
      </c>
      <c r="AF3331" t="s">
        <v>16799</v>
      </c>
      <c r="AG3331" t="s">
        <v>16800</v>
      </c>
      <c r="AH3331">
        <v>0.26</v>
      </c>
      <c r="AI3331">
        <v>0.92</v>
      </c>
      <c r="AJ3331">
        <v>5.19</v>
      </c>
      <c r="AK3331">
        <v>10.76</v>
      </c>
      <c r="AL3331">
        <v>1</v>
      </c>
      <c r="AM3331">
        <v>0.39</v>
      </c>
      <c r="AN3331">
        <v>73.47</v>
      </c>
      <c r="AO3331">
        <v>6.55</v>
      </c>
      <c r="AP3331">
        <v>72.69</v>
      </c>
    </row>
    <row r="3332" spans="1:42">
      <c r="A3332">
        <v>3331</v>
      </c>
      <c r="B3332" t="str">
        <f>"300489"</f>
        <v>300489</v>
      </c>
      <c r="C3332" t="s">
        <v>16801</v>
      </c>
      <c r="D3332">
        <v>20.36</v>
      </c>
      <c r="E3332">
        <v>-0.73</v>
      </c>
      <c r="F3332">
        <v>-0.15</v>
      </c>
      <c r="G3332" t="s">
        <v>1212</v>
      </c>
      <c r="H3332">
        <v>754</v>
      </c>
      <c r="I3332">
        <v>20.35</v>
      </c>
      <c r="J3332">
        <v>20.36</v>
      </c>
      <c r="K3332" t="s">
        <v>16797</v>
      </c>
      <c r="L3332">
        <v>1.65</v>
      </c>
      <c r="M3332" t="s">
        <v>46</v>
      </c>
      <c r="N3332" t="s">
        <v>16802</v>
      </c>
      <c r="O3332">
        <v>20.47</v>
      </c>
      <c r="P3332">
        <v>19.95</v>
      </c>
      <c r="Q3332">
        <v>20.3</v>
      </c>
      <c r="R3332">
        <v>20.51</v>
      </c>
      <c r="S3332">
        <v>2.54</v>
      </c>
      <c r="T3332">
        <v>0.44</v>
      </c>
      <c r="U3332">
        <v>-45.13</v>
      </c>
      <c r="V3332">
        <v>-408</v>
      </c>
      <c r="W3332">
        <v>20.24</v>
      </c>
      <c r="X3332" t="s">
        <v>2807</v>
      </c>
      <c r="Y3332" t="s">
        <v>2667</v>
      </c>
      <c r="Z3332">
        <v>0.98</v>
      </c>
      <c r="AA3332">
        <v>62</v>
      </c>
      <c r="AB3332">
        <v>219</v>
      </c>
      <c r="AC3332">
        <v>14.67</v>
      </c>
      <c r="AD3332" t="s">
        <v>264</v>
      </c>
      <c r="AE3332" t="s">
        <v>16803</v>
      </c>
      <c r="AF3332" t="s">
        <v>5309</v>
      </c>
      <c r="AG3332" t="s">
        <v>8005</v>
      </c>
      <c r="AH3332">
        <v>-5.04</v>
      </c>
      <c r="AI3332">
        <v>-4.77</v>
      </c>
      <c r="AJ3332">
        <v>8.39</v>
      </c>
      <c r="AK3332">
        <v>20.2</v>
      </c>
      <c r="AL3332">
        <v>-3</v>
      </c>
      <c r="AM3332">
        <v>-0.73</v>
      </c>
      <c r="AN3332">
        <v>12.49</v>
      </c>
      <c r="AO3332">
        <v>8.07</v>
      </c>
      <c r="AP3332">
        <v>25.22</v>
      </c>
    </row>
    <row r="3333" spans="1:42">
      <c r="A3333">
        <v>3332</v>
      </c>
      <c r="B3333" t="str">
        <f>"603616"</f>
        <v>603616</v>
      </c>
      <c r="C3333" t="s">
        <v>16804</v>
      </c>
      <c r="D3333">
        <v>5.75</v>
      </c>
      <c r="E3333">
        <v>0.52</v>
      </c>
      <c r="F3333">
        <v>0.03</v>
      </c>
      <c r="G3333" t="s">
        <v>6910</v>
      </c>
      <c r="H3333">
        <v>449</v>
      </c>
      <c r="I3333">
        <v>5.75</v>
      </c>
      <c r="J3333">
        <v>5.76</v>
      </c>
      <c r="K3333" t="s">
        <v>16805</v>
      </c>
      <c r="L3333">
        <v>2.08</v>
      </c>
      <c r="M3333" t="s">
        <v>46</v>
      </c>
      <c r="N3333" t="s">
        <v>3101</v>
      </c>
      <c r="O3333">
        <v>5.77</v>
      </c>
      <c r="P3333">
        <v>5.7</v>
      </c>
      <c r="Q3333">
        <v>5.72</v>
      </c>
      <c r="R3333">
        <v>5.72</v>
      </c>
      <c r="S3333">
        <v>1.22</v>
      </c>
      <c r="T3333">
        <v>0.87</v>
      </c>
      <c r="U3333">
        <v>1.93</v>
      </c>
      <c r="V3333">
        <v>255</v>
      </c>
      <c r="W3333">
        <v>5.74</v>
      </c>
      <c r="X3333" t="s">
        <v>57</v>
      </c>
      <c r="Y3333" t="s">
        <v>4559</v>
      </c>
      <c r="Z3333">
        <v>0.72</v>
      </c>
      <c r="AA3333">
        <v>686</v>
      </c>
      <c r="AB3333">
        <v>946</v>
      </c>
      <c r="AC3333">
        <v>3.34</v>
      </c>
      <c r="AD3333" t="s">
        <v>12007</v>
      </c>
      <c r="AE3333" t="s">
        <v>5903</v>
      </c>
      <c r="AF3333" t="s">
        <v>10075</v>
      </c>
      <c r="AG3333" t="s">
        <v>15755</v>
      </c>
      <c r="AH3333">
        <v>-1.03</v>
      </c>
      <c r="AI3333">
        <v>-2.04</v>
      </c>
      <c r="AJ3333">
        <v>6.62</v>
      </c>
      <c r="AK3333">
        <v>14.03</v>
      </c>
      <c r="AL3333">
        <v>1</v>
      </c>
      <c r="AM3333">
        <v>0.52</v>
      </c>
      <c r="AN3333">
        <v>8.29</v>
      </c>
      <c r="AO3333">
        <v>-4.01</v>
      </c>
      <c r="AP3333">
        <v>1.59</v>
      </c>
    </row>
    <row r="3334" spans="1:42">
      <c r="A3334">
        <v>3333</v>
      </c>
      <c r="B3334" t="str">
        <f>"000767"</f>
        <v>000767</v>
      </c>
      <c r="C3334" t="s">
        <v>16806</v>
      </c>
      <c r="D3334">
        <v>3.09</v>
      </c>
      <c r="E3334">
        <v>0.65</v>
      </c>
      <c r="F3334">
        <v>0.02</v>
      </c>
      <c r="G3334" t="s">
        <v>2217</v>
      </c>
      <c r="H3334">
        <v>4289</v>
      </c>
      <c r="I3334">
        <v>3.08</v>
      </c>
      <c r="J3334">
        <v>3.09</v>
      </c>
      <c r="K3334" t="s">
        <v>16805</v>
      </c>
      <c r="L3334">
        <v>0.51</v>
      </c>
      <c r="M3334" t="s">
        <v>46</v>
      </c>
      <c r="N3334" t="s">
        <v>1319</v>
      </c>
      <c r="O3334">
        <v>3.1</v>
      </c>
      <c r="P3334">
        <v>3.06</v>
      </c>
      <c r="Q3334">
        <v>3.07</v>
      </c>
      <c r="R3334">
        <v>3.07</v>
      </c>
      <c r="S3334">
        <v>1.3</v>
      </c>
      <c r="T3334">
        <v>1.24</v>
      </c>
      <c r="U3334">
        <v>-8.25</v>
      </c>
      <c r="V3334">
        <v>-5411</v>
      </c>
      <c r="W3334">
        <v>3.09</v>
      </c>
      <c r="X3334" t="s">
        <v>9550</v>
      </c>
      <c r="Y3334" t="s">
        <v>82</v>
      </c>
      <c r="Z3334">
        <v>0.61</v>
      </c>
      <c r="AA3334">
        <v>8986</v>
      </c>
      <c r="AB3334">
        <v>2600</v>
      </c>
      <c r="AC3334">
        <v>1.44</v>
      </c>
      <c r="AD3334" t="s">
        <v>1479</v>
      </c>
      <c r="AE3334" t="s">
        <v>16807</v>
      </c>
      <c r="AF3334" t="s">
        <v>16808</v>
      </c>
      <c r="AG3334" t="s">
        <v>16809</v>
      </c>
      <c r="AH3334">
        <v>0.65</v>
      </c>
      <c r="AI3334">
        <v>0</v>
      </c>
      <c r="AJ3334">
        <v>1.32</v>
      </c>
      <c r="AK3334">
        <v>2.54</v>
      </c>
      <c r="AL3334">
        <v>2</v>
      </c>
      <c r="AM3334">
        <v>0.65</v>
      </c>
      <c r="AN3334">
        <v>-8.85</v>
      </c>
      <c r="AO3334">
        <v>1.31</v>
      </c>
      <c r="AP3334">
        <v>-13.69</v>
      </c>
    </row>
    <row r="3335" spans="1:42">
      <c r="A3335">
        <v>3334</v>
      </c>
      <c r="B3335" t="str">
        <f>"002205"</f>
        <v>002205</v>
      </c>
      <c r="C3335" t="s">
        <v>16810</v>
      </c>
      <c r="D3335">
        <v>10.47</v>
      </c>
      <c r="E3335">
        <v>0.87</v>
      </c>
      <c r="F3335">
        <v>0.09</v>
      </c>
      <c r="G3335" t="s">
        <v>3176</v>
      </c>
      <c r="H3335">
        <v>1042</v>
      </c>
      <c r="I3335">
        <v>10.47</v>
      </c>
      <c r="J3335">
        <v>10.48</v>
      </c>
      <c r="K3335" t="s">
        <v>16811</v>
      </c>
      <c r="L3335">
        <v>2.35</v>
      </c>
      <c r="M3335" t="s">
        <v>46</v>
      </c>
      <c r="N3335" t="s">
        <v>6126</v>
      </c>
      <c r="O3335">
        <v>10.48</v>
      </c>
      <c r="P3335">
        <v>10.32</v>
      </c>
      <c r="Q3335">
        <v>10.4</v>
      </c>
      <c r="R3335">
        <v>10.38</v>
      </c>
      <c r="S3335">
        <v>1.54</v>
      </c>
      <c r="T3335">
        <v>0.91</v>
      </c>
      <c r="U3335">
        <v>14.58</v>
      </c>
      <c r="V3335">
        <v>697</v>
      </c>
      <c r="W3335">
        <v>10.42</v>
      </c>
      <c r="X3335" t="s">
        <v>390</v>
      </c>
      <c r="Y3335" t="s">
        <v>3456</v>
      </c>
      <c r="Z3335">
        <v>0.62</v>
      </c>
      <c r="AA3335">
        <v>849</v>
      </c>
      <c r="AB3335">
        <v>465</v>
      </c>
      <c r="AC3335">
        <v>3</v>
      </c>
      <c r="AD3335" t="s">
        <v>13173</v>
      </c>
      <c r="AE3335" t="s">
        <v>13115</v>
      </c>
      <c r="AF3335" t="s">
        <v>13173</v>
      </c>
      <c r="AG3335" t="s">
        <v>13115</v>
      </c>
      <c r="AH3335">
        <v>-0.66</v>
      </c>
      <c r="AI3335">
        <v>-2.33</v>
      </c>
      <c r="AJ3335">
        <v>7.96</v>
      </c>
      <c r="AK3335">
        <v>15.29</v>
      </c>
      <c r="AL3335">
        <v>1</v>
      </c>
      <c r="AM3335">
        <v>0.87</v>
      </c>
      <c r="AN3335">
        <v>-4.9</v>
      </c>
      <c r="AO3335">
        <v>0.87</v>
      </c>
      <c r="AP3335">
        <v>-1.41</v>
      </c>
    </row>
    <row r="3336" spans="1:42">
      <c r="A3336">
        <v>3335</v>
      </c>
      <c r="B3336" t="str">
        <f>"603125"</f>
        <v>603125</v>
      </c>
      <c r="C3336" t="s">
        <v>16812</v>
      </c>
      <c r="D3336">
        <v>29.88</v>
      </c>
      <c r="E3336">
        <v>-0.1</v>
      </c>
      <c r="F3336">
        <v>-0.03</v>
      </c>
      <c r="G3336" t="s">
        <v>578</v>
      </c>
      <c r="H3336">
        <v>296</v>
      </c>
      <c r="I3336">
        <v>29.88</v>
      </c>
      <c r="J3336">
        <v>29.89</v>
      </c>
      <c r="K3336" t="s">
        <v>16813</v>
      </c>
      <c r="L3336">
        <v>3.17</v>
      </c>
      <c r="M3336" t="s">
        <v>46</v>
      </c>
      <c r="N3336" t="s">
        <v>251</v>
      </c>
      <c r="O3336">
        <v>30</v>
      </c>
      <c r="P3336">
        <v>29.6</v>
      </c>
      <c r="Q3336">
        <v>30</v>
      </c>
      <c r="R3336">
        <v>29.91</v>
      </c>
      <c r="S3336">
        <v>1.34</v>
      </c>
      <c r="T3336">
        <v>0.85</v>
      </c>
      <c r="U3336">
        <v>39.08</v>
      </c>
      <c r="V3336">
        <v>213</v>
      </c>
      <c r="W3336">
        <v>29.77</v>
      </c>
      <c r="X3336">
        <v>7686</v>
      </c>
      <c r="Y3336">
        <v>7578</v>
      </c>
      <c r="Z3336">
        <v>1.01</v>
      </c>
      <c r="AA3336">
        <v>301</v>
      </c>
      <c r="AB3336">
        <v>11</v>
      </c>
      <c r="AC3336">
        <v>2.71</v>
      </c>
      <c r="AD3336" t="s">
        <v>16814</v>
      </c>
      <c r="AE3336" t="s">
        <v>16815</v>
      </c>
      <c r="AF3336" t="s">
        <v>16816</v>
      </c>
      <c r="AG3336" t="s">
        <v>16817</v>
      </c>
      <c r="AH3336">
        <v>-1.55</v>
      </c>
      <c r="AI3336">
        <v>-3.86</v>
      </c>
      <c r="AJ3336">
        <v>11.28</v>
      </c>
      <c r="AK3336">
        <v>21.94</v>
      </c>
      <c r="AL3336">
        <v>-2</v>
      </c>
      <c r="AM3336">
        <v>-0.1</v>
      </c>
      <c r="AN3336">
        <v>15.41</v>
      </c>
      <c r="AO3336">
        <v>-2.38</v>
      </c>
      <c r="AP3336">
        <v>15.41</v>
      </c>
    </row>
    <row r="3337" spans="1:42">
      <c r="A3337">
        <v>3336</v>
      </c>
      <c r="B3337" t="str">
        <f>"688004"</f>
        <v>688004</v>
      </c>
      <c r="C3337" t="s">
        <v>16818</v>
      </c>
      <c r="D3337">
        <v>31.75</v>
      </c>
      <c r="E3337">
        <v>2.62</v>
      </c>
      <c r="F3337">
        <v>0.81</v>
      </c>
      <c r="G3337" t="s">
        <v>1769</v>
      </c>
      <c r="H3337">
        <v>167</v>
      </c>
      <c r="I3337">
        <v>31.73</v>
      </c>
      <c r="J3337">
        <v>31.75</v>
      </c>
      <c r="K3337" t="s">
        <v>16819</v>
      </c>
      <c r="L3337">
        <v>2.55</v>
      </c>
      <c r="M3337" t="s">
        <v>46</v>
      </c>
      <c r="N3337" t="s">
        <v>8233</v>
      </c>
      <c r="O3337">
        <v>32.1</v>
      </c>
      <c r="P3337">
        <v>30.5</v>
      </c>
      <c r="Q3337">
        <v>31.18</v>
      </c>
      <c r="R3337">
        <v>30.94</v>
      </c>
      <c r="S3337">
        <v>5.17</v>
      </c>
      <c r="T3337">
        <v>0.69</v>
      </c>
      <c r="U3337">
        <v>15.72</v>
      </c>
      <c r="V3337">
        <v>88</v>
      </c>
      <c r="W3337">
        <v>31.42</v>
      </c>
      <c r="X3337">
        <v>5883</v>
      </c>
      <c r="Y3337">
        <v>8576</v>
      </c>
      <c r="Z3337">
        <v>0.69</v>
      </c>
      <c r="AA3337">
        <v>52</v>
      </c>
      <c r="AB3337">
        <v>51</v>
      </c>
      <c r="AC3337">
        <v>2.64</v>
      </c>
      <c r="AD3337" t="s">
        <v>16820</v>
      </c>
      <c r="AE3337" t="s">
        <v>13867</v>
      </c>
      <c r="AF3337" t="s">
        <v>16820</v>
      </c>
      <c r="AG3337" t="s">
        <v>13867</v>
      </c>
      <c r="AH3337">
        <v>1.8</v>
      </c>
      <c r="AI3337">
        <v>0.41</v>
      </c>
      <c r="AJ3337">
        <v>6.93</v>
      </c>
      <c r="AK3337">
        <v>21.08</v>
      </c>
      <c r="AL3337">
        <v>2</v>
      </c>
      <c r="AM3337">
        <v>2.62</v>
      </c>
      <c r="AN3337">
        <v>53.23</v>
      </c>
      <c r="AO3337">
        <v>8.25</v>
      </c>
      <c r="AP3337">
        <v>35.22</v>
      </c>
    </row>
    <row r="3338" spans="1:42">
      <c r="A3338">
        <v>3337</v>
      </c>
      <c r="B3338" t="str">
        <f>"603612"</f>
        <v>603612</v>
      </c>
      <c r="C3338" t="s">
        <v>16821</v>
      </c>
      <c r="D3338">
        <v>16.05</v>
      </c>
      <c r="E3338">
        <v>0.06</v>
      </c>
      <c r="F3338">
        <v>0.01</v>
      </c>
      <c r="G3338" t="s">
        <v>8966</v>
      </c>
      <c r="H3338">
        <v>320</v>
      </c>
      <c r="I3338">
        <v>16.05</v>
      </c>
      <c r="J3338">
        <v>16.06</v>
      </c>
      <c r="K3338" t="s">
        <v>16822</v>
      </c>
      <c r="L3338">
        <v>0.6</v>
      </c>
      <c r="M3338" t="s">
        <v>46</v>
      </c>
      <c r="N3338" t="s">
        <v>16224</v>
      </c>
      <c r="O3338">
        <v>16.17</v>
      </c>
      <c r="P3338">
        <v>15.9</v>
      </c>
      <c r="Q3338">
        <v>16.01</v>
      </c>
      <c r="R3338">
        <v>16.04</v>
      </c>
      <c r="S3338">
        <v>1.68</v>
      </c>
      <c r="T3338">
        <v>0.61</v>
      </c>
      <c r="U3338">
        <v>45.22</v>
      </c>
      <c r="V3338">
        <v>438</v>
      </c>
      <c r="W3338">
        <v>16.06</v>
      </c>
      <c r="X3338" t="s">
        <v>383</v>
      </c>
      <c r="Y3338" t="s">
        <v>3793</v>
      </c>
      <c r="Z3338">
        <v>0.88</v>
      </c>
      <c r="AA3338">
        <v>218</v>
      </c>
      <c r="AB3338">
        <v>35</v>
      </c>
      <c r="AC3338">
        <v>1.44</v>
      </c>
      <c r="AD3338" t="s">
        <v>16349</v>
      </c>
      <c r="AE3338" t="s">
        <v>16823</v>
      </c>
      <c r="AF3338" t="s">
        <v>16824</v>
      </c>
      <c r="AG3338" t="s">
        <v>16825</v>
      </c>
      <c r="AH3338">
        <v>-3.31</v>
      </c>
      <c r="AI3338">
        <v>-3.83</v>
      </c>
      <c r="AJ3338">
        <v>2.53</v>
      </c>
      <c r="AK3338">
        <v>5.51</v>
      </c>
      <c r="AL3338">
        <v>1</v>
      </c>
      <c r="AM3338">
        <v>0.06</v>
      </c>
      <c r="AN3338">
        <v>-35.93</v>
      </c>
      <c r="AO3338">
        <v>-2.73</v>
      </c>
      <c r="AP3338">
        <v>-43.76</v>
      </c>
    </row>
    <row r="3339" spans="1:42">
      <c r="A3339">
        <v>3338</v>
      </c>
      <c r="B3339" t="str">
        <f>"300977"</f>
        <v>300977</v>
      </c>
      <c r="C3339" t="s">
        <v>16826</v>
      </c>
      <c r="D3339">
        <v>19.52</v>
      </c>
      <c r="E3339">
        <v>2.2</v>
      </c>
      <c r="F3339">
        <v>0.42</v>
      </c>
      <c r="G3339" t="s">
        <v>314</v>
      </c>
      <c r="H3339">
        <v>588</v>
      </c>
      <c r="I3339">
        <v>19.51</v>
      </c>
      <c r="J3339">
        <v>19.53</v>
      </c>
      <c r="K3339" t="s">
        <v>16827</v>
      </c>
      <c r="L3339">
        <v>6.05</v>
      </c>
      <c r="M3339" t="s">
        <v>46</v>
      </c>
      <c r="N3339" t="s">
        <v>4149</v>
      </c>
      <c r="O3339">
        <v>19.61</v>
      </c>
      <c r="P3339">
        <v>18.96</v>
      </c>
      <c r="Q3339">
        <v>19.33</v>
      </c>
      <c r="R3339">
        <v>19.1</v>
      </c>
      <c r="S3339">
        <v>3.4</v>
      </c>
      <c r="T3339">
        <v>0.61</v>
      </c>
      <c r="U3339">
        <v>16.15</v>
      </c>
      <c r="V3339">
        <v>119</v>
      </c>
      <c r="W3339">
        <v>19.36</v>
      </c>
      <c r="X3339">
        <v>9766</v>
      </c>
      <c r="Y3339" t="s">
        <v>3284</v>
      </c>
      <c r="Z3339">
        <v>0.71</v>
      </c>
      <c r="AA3339">
        <v>166</v>
      </c>
      <c r="AB3339">
        <v>127</v>
      </c>
      <c r="AC3339">
        <v>2.1</v>
      </c>
      <c r="AD3339" t="s">
        <v>10604</v>
      </c>
      <c r="AE3339" t="s">
        <v>13885</v>
      </c>
      <c r="AF3339" t="s">
        <v>16828</v>
      </c>
      <c r="AG3339" t="s">
        <v>16829</v>
      </c>
      <c r="AH3339">
        <v>-1.16</v>
      </c>
      <c r="AI3339">
        <v>-9.38</v>
      </c>
      <c r="AJ3339">
        <v>20.91</v>
      </c>
      <c r="AK3339">
        <v>55.43</v>
      </c>
      <c r="AL3339">
        <v>1</v>
      </c>
      <c r="AM3339">
        <v>2.2</v>
      </c>
      <c r="AN3339">
        <v>57.04</v>
      </c>
      <c r="AO3339">
        <v>0.83</v>
      </c>
      <c r="AP3339">
        <v>39.83</v>
      </c>
    </row>
    <row r="3340" spans="1:42">
      <c r="A3340">
        <v>3339</v>
      </c>
      <c r="B3340" t="str">
        <f>"300605"</f>
        <v>300605</v>
      </c>
      <c r="C3340" t="s">
        <v>16830</v>
      </c>
      <c r="D3340">
        <v>15.3</v>
      </c>
      <c r="E3340">
        <v>2.27</v>
      </c>
      <c r="F3340">
        <v>0.34</v>
      </c>
      <c r="G3340" t="s">
        <v>8072</v>
      </c>
      <c r="H3340">
        <v>313</v>
      </c>
      <c r="I3340">
        <v>15.29</v>
      </c>
      <c r="J3340">
        <v>15.3</v>
      </c>
      <c r="K3340" t="s">
        <v>16831</v>
      </c>
      <c r="L3340">
        <v>2.62</v>
      </c>
      <c r="M3340" t="s">
        <v>46</v>
      </c>
      <c r="N3340" t="s">
        <v>3546</v>
      </c>
      <c r="O3340">
        <v>15.44</v>
      </c>
      <c r="P3340">
        <v>14.92</v>
      </c>
      <c r="Q3340">
        <v>15</v>
      </c>
      <c r="R3340">
        <v>14.96</v>
      </c>
      <c r="S3340">
        <v>3.48</v>
      </c>
      <c r="T3340">
        <v>1.14</v>
      </c>
      <c r="U3340">
        <v>-52.22</v>
      </c>
      <c r="V3340">
        <v>-188</v>
      </c>
      <c r="W3340">
        <v>15.18</v>
      </c>
      <c r="X3340" t="s">
        <v>3130</v>
      </c>
      <c r="Y3340" t="s">
        <v>61</v>
      </c>
      <c r="Z3340">
        <v>0.97</v>
      </c>
      <c r="AA3340">
        <v>27</v>
      </c>
      <c r="AB3340">
        <v>19</v>
      </c>
      <c r="AC3340">
        <v>4.5</v>
      </c>
      <c r="AD3340" t="s">
        <v>16832</v>
      </c>
      <c r="AE3340" t="s">
        <v>1784</v>
      </c>
      <c r="AF3340" t="s">
        <v>4281</v>
      </c>
      <c r="AG3340" t="s">
        <v>920</v>
      </c>
      <c r="AH3340">
        <v>0.99</v>
      </c>
      <c r="AI3340">
        <v>-0.58</v>
      </c>
      <c r="AJ3340">
        <v>6.25</v>
      </c>
      <c r="AK3340">
        <v>14.16</v>
      </c>
      <c r="AL3340">
        <v>1</v>
      </c>
      <c r="AM3340">
        <v>2.27</v>
      </c>
      <c r="AN3340">
        <v>11.6</v>
      </c>
      <c r="AO3340">
        <v>8.13</v>
      </c>
      <c r="AP3340">
        <v>11.43</v>
      </c>
    </row>
    <row r="3341" spans="1:42">
      <c r="A3341">
        <v>3340</v>
      </c>
      <c r="B3341" t="str">
        <f>"300261"</f>
        <v>300261</v>
      </c>
      <c r="C3341" t="s">
        <v>16833</v>
      </c>
      <c r="D3341">
        <v>7.63</v>
      </c>
      <c r="E3341">
        <v>0.79</v>
      </c>
      <c r="F3341">
        <v>0.06</v>
      </c>
      <c r="G3341" t="s">
        <v>7400</v>
      </c>
      <c r="H3341">
        <v>339</v>
      </c>
      <c r="I3341">
        <v>7.62</v>
      </c>
      <c r="J3341">
        <v>7.63</v>
      </c>
      <c r="K3341" t="s">
        <v>16831</v>
      </c>
      <c r="L3341">
        <v>0.64</v>
      </c>
      <c r="M3341" t="s">
        <v>46</v>
      </c>
      <c r="N3341" t="s">
        <v>261</v>
      </c>
      <c r="O3341">
        <v>7.67</v>
      </c>
      <c r="P3341">
        <v>7.56</v>
      </c>
      <c r="Q3341">
        <v>7.61</v>
      </c>
      <c r="R3341">
        <v>7.57</v>
      </c>
      <c r="S3341">
        <v>1.45</v>
      </c>
      <c r="T3341">
        <v>0.54</v>
      </c>
      <c r="U3341">
        <v>3.24</v>
      </c>
      <c r="V3341">
        <v>249</v>
      </c>
      <c r="W3341">
        <v>7.6</v>
      </c>
      <c r="X3341" t="s">
        <v>7205</v>
      </c>
      <c r="Y3341" t="s">
        <v>6097</v>
      </c>
      <c r="Z3341">
        <v>1.06</v>
      </c>
      <c r="AA3341">
        <v>1003</v>
      </c>
      <c r="AB3341">
        <v>428</v>
      </c>
      <c r="AC3341">
        <v>3.03</v>
      </c>
      <c r="AD3341" t="s">
        <v>16834</v>
      </c>
      <c r="AE3341" t="s">
        <v>16835</v>
      </c>
      <c r="AF3341" t="s">
        <v>16836</v>
      </c>
      <c r="AG3341" t="s">
        <v>16837</v>
      </c>
      <c r="AH3341">
        <v>-2.8</v>
      </c>
      <c r="AI3341">
        <v>-5.22</v>
      </c>
      <c r="AJ3341">
        <v>2.31</v>
      </c>
      <c r="AK3341">
        <v>6.56</v>
      </c>
      <c r="AL3341">
        <v>1</v>
      </c>
      <c r="AM3341">
        <v>0.79</v>
      </c>
      <c r="AN3341">
        <v>-30.51</v>
      </c>
      <c r="AO3341">
        <v>-0.52</v>
      </c>
      <c r="AP3341">
        <v>-43.19</v>
      </c>
    </row>
    <row r="3342" spans="1:42">
      <c r="A3342">
        <v>3341</v>
      </c>
      <c r="B3342" t="str">
        <f>"603153"</f>
        <v>603153</v>
      </c>
      <c r="C3342" t="s">
        <v>16838</v>
      </c>
      <c r="D3342">
        <v>16.35</v>
      </c>
      <c r="E3342">
        <v>-0.91</v>
      </c>
      <c r="F3342">
        <v>-0.15</v>
      </c>
      <c r="G3342" t="s">
        <v>5553</v>
      </c>
      <c r="H3342">
        <v>522</v>
      </c>
      <c r="I3342">
        <v>16.35</v>
      </c>
      <c r="J3342">
        <v>16.36</v>
      </c>
      <c r="K3342" t="s">
        <v>16839</v>
      </c>
      <c r="L3342">
        <v>5.06</v>
      </c>
      <c r="M3342" t="s">
        <v>46</v>
      </c>
      <c r="N3342" t="s">
        <v>2035</v>
      </c>
      <c r="O3342">
        <v>16.52</v>
      </c>
      <c r="P3342">
        <v>16.15</v>
      </c>
      <c r="Q3342">
        <v>16.52</v>
      </c>
      <c r="R3342">
        <v>16.5</v>
      </c>
      <c r="S3342">
        <v>2.24</v>
      </c>
      <c r="T3342">
        <v>0.93</v>
      </c>
      <c r="U3342">
        <v>6.27</v>
      </c>
      <c r="V3342">
        <v>52</v>
      </c>
      <c r="W3342">
        <v>16.31</v>
      </c>
      <c r="X3342" t="s">
        <v>1177</v>
      </c>
      <c r="Y3342" t="s">
        <v>1646</v>
      </c>
      <c r="Z3342">
        <v>1.73</v>
      </c>
      <c r="AA3342">
        <v>84</v>
      </c>
      <c r="AB3342">
        <v>98</v>
      </c>
      <c r="AC3342">
        <v>2.05</v>
      </c>
      <c r="AD3342" t="s">
        <v>10519</v>
      </c>
      <c r="AE3342" t="s">
        <v>16840</v>
      </c>
      <c r="AF3342" t="s">
        <v>16841</v>
      </c>
      <c r="AG3342" t="s">
        <v>16842</v>
      </c>
      <c r="AH3342">
        <v>-1.57</v>
      </c>
      <c r="AI3342">
        <v>-3.65</v>
      </c>
      <c r="AJ3342">
        <v>13.74</v>
      </c>
      <c r="AK3342">
        <v>32.15</v>
      </c>
      <c r="AL3342">
        <v>-1</v>
      </c>
      <c r="AM3342">
        <v>-0.91</v>
      </c>
      <c r="AN3342">
        <v>45.2</v>
      </c>
      <c r="AO3342">
        <v>-3.37</v>
      </c>
      <c r="AP3342">
        <v>45.2</v>
      </c>
    </row>
    <row r="3343" spans="1:42">
      <c r="A3343">
        <v>3342</v>
      </c>
      <c r="B3343" t="str">
        <f>"300320"</f>
        <v>300320</v>
      </c>
      <c r="C3343" t="s">
        <v>16843</v>
      </c>
      <c r="D3343">
        <v>7.91</v>
      </c>
      <c r="E3343">
        <v>1.54</v>
      </c>
      <c r="F3343">
        <v>0.12</v>
      </c>
      <c r="G3343" t="s">
        <v>7787</v>
      </c>
      <c r="H3343">
        <v>2232</v>
      </c>
      <c r="I3343">
        <v>7.9</v>
      </c>
      <c r="J3343">
        <v>7.91</v>
      </c>
      <c r="K3343" t="s">
        <v>16844</v>
      </c>
      <c r="L3343">
        <v>1.18</v>
      </c>
      <c r="M3343" t="s">
        <v>46</v>
      </c>
      <c r="N3343" t="s">
        <v>2027</v>
      </c>
      <c r="O3343">
        <v>7.92</v>
      </c>
      <c r="P3343">
        <v>7.73</v>
      </c>
      <c r="Q3343">
        <v>7.8</v>
      </c>
      <c r="R3343">
        <v>7.79</v>
      </c>
      <c r="S3343">
        <v>2.44</v>
      </c>
      <c r="T3343">
        <v>0.9</v>
      </c>
      <c r="U3343">
        <v>22.45</v>
      </c>
      <c r="V3343">
        <v>1197</v>
      </c>
      <c r="W3343">
        <v>7.84</v>
      </c>
      <c r="X3343" t="s">
        <v>1251</v>
      </c>
      <c r="Y3343" t="s">
        <v>5553</v>
      </c>
      <c r="Z3343">
        <v>1.08</v>
      </c>
      <c r="AA3343">
        <v>2719</v>
      </c>
      <c r="AB3343">
        <v>325</v>
      </c>
      <c r="AC3343">
        <v>2.21</v>
      </c>
      <c r="AD3343" t="s">
        <v>16845</v>
      </c>
      <c r="AE3343" t="s">
        <v>4950</v>
      </c>
      <c r="AF3343" t="s">
        <v>16846</v>
      </c>
      <c r="AG3343" t="s">
        <v>10339</v>
      </c>
      <c r="AH3343">
        <v>0.38</v>
      </c>
      <c r="AI3343">
        <v>-1.25</v>
      </c>
      <c r="AJ3343">
        <v>3.9</v>
      </c>
      <c r="AK3343">
        <v>7.7</v>
      </c>
      <c r="AL3343">
        <v>1</v>
      </c>
      <c r="AM3343">
        <v>1.54</v>
      </c>
      <c r="AN3343">
        <v>-22.75</v>
      </c>
      <c r="AO3343">
        <v>10.47</v>
      </c>
      <c r="AP3343">
        <v>-34.3</v>
      </c>
    </row>
    <row r="3344" spans="1:42">
      <c r="A3344">
        <v>3343</v>
      </c>
      <c r="B3344" t="str">
        <f>"000548"</f>
        <v>000548</v>
      </c>
      <c r="C3344" t="s">
        <v>16847</v>
      </c>
      <c r="D3344">
        <v>5.5</v>
      </c>
      <c r="E3344">
        <v>1.1</v>
      </c>
      <c r="F3344">
        <v>0.06</v>
      </c>
      <c r="G3344" t="s">
        <v>9404</v>
      </c>
      <c r="H3344">
        <v>392</v>
      </c>
      <c r="I3344">
        <v>5.5</v>
      </c>
      <c r="J3344">
        <v>5.51</v>
      </c>
      <c r="K3344" t="s">
        <v>16844</v>
      </c>
      <c r="L3344">
        <v>1.65</v>
      </c>
      <c r="M3344" t="s">
        <v>46</v>
      </c>
      <c r="N3344" t="s">
        <v>4468</v>
      </c>
      <c r="O3344">
        <v>5.55</v>
      </c>
      <c r="P3344">
        <v>5.43</v>
      </c>
      <c r="Q3344">
        <v>5.44</v>
      </c>
      <c r="R3344">
        <v>5.44</v>
      </c>
      <c r="S3344">
        <v>2.21</v>
      </c>
      <c r="T3344">
        <v>1.02</v>
      </c>
      <c r="U3344">
        <v>-52.36</v>
      </c>
      <c r="V3344">
        <v>-5634</v>
      </c>
      <c r="W3344">
        <v>5.51</v>
      </c>
      <c r="X3344" t="s">
        <v>8663</v>
      </c>
      <c r="Y3344" t="s">
        <v>4827</v>
      </c>
      <c r="Z3344">
        <v>0.8</v>
      </c>
      <c r="AA3344">
        <v>119</v>
      </c>
      <c r="AB3344">
        <v>535</v>
      </c>
      <c r="AC3344">
        <v>1.43</v>
      </c>
      <c r="AD3344" t="s">
        <v>16848</v>
      </c>
      <c r="AE3344" t="s">
        <v>16849</v>
      </c>
      <c r="AF3344" t="s">
        <v>16848</v>
      </c>
      <c r="AG3344" t="s">
        <v>16849</v>
      </c>
      <c r="AH3344">
        <v>0.73</v>
      </c>
      <c r="AI3344">
        <v>-0.54</v>
      </c>
      <c r="AJ3344">
        <v>3.94</v>
      </c>
      <c r="AK3344">
        <v>9.74</v>
      </c>
      <c r="AL3344">
        <v>2</v>
      </c>
      <c r="AM3344">
        <v>1.1</v>
      </c>
      <c r="AN3344">
        <v>4.76</v>
      </c>
      <c r="AO3344">
        <v>6.18</v>
      </c>
      <c r="AP3344">
        <v>21.95</v>
      </c>
    </row>
    <row r="3345" spans="1:42">
      <c r="A3345">
        <v>3344</v>
      </c>
      <c r="B3345" t="str">
        <f>"603096"</f>
        <v>603096</v>
      </c>
      <c r="C3345" t="s">
        <v>16850</v>
      </c>
      <c r="D3345">
        <v>20.02</v>
      </c>
      <c r="E3345">
        <v>3.2</v>
      </c>
      <c r="F3345">
        <v>0.62</v>
      </c>
      <c r="G3345" t="s">
        <v>3611</v>
      </c>
      <c r="H3345">
        <v>190</v>
      </c>
      <c r="I3345">
        <v>20.02</v>
      </c>
      <c r="J3345">
        <v>20.03</v>
      </c>
      <c r="K3345" t="s">
        <v>16851</v>
      </c>
      <c r="L3345">
        <v>1.4</v>
      </c>
      <c r="M3345" t="s">
        <v>46</v>
      </c>
      <c r="N3345" t="s">
        <v>16852</v>
      </c>
      <c r="O3345">
        <v>20.24</v>
      </c>
      <c r="P3345">
        <v>19.31</v>
      </c>
      <c r="Q3345">
        <v>19.45</v>
      </c>
      <c r="R3345">
        <v>19.4</v>
      </c>
      <c r="S3345">
        <v>4.79</v>
      </c>
      <c r="T3345">
        <v>1.22</v>
      </c>
      <c r="U3345">
        <v>-67.39</v>
      </c>
      <c r="V3345">
        <v>-389</v>
      </c>
      <c r="W3345">
        <v>19.88</v>
      </c>
      <c r="X3345">
        <v>9574</v>
      </c>
      <c r="Y3345" t="s">
        <v>1967</v>
      </c>
      <c r="Z3345">
        <v>0.72</v>
      </c>
      <c r="AA3345">
        <v>50</v>
      </c>
      <c r="AB3345">
        <v>12</v>
      </c>
      <c r="AC3345">
        <v>1.64</v>
      </c>
      <c r="AD3345" t="s">
        <v>16853</v>
      </c>
      <c r="AE3345" t="s">
        <v>9691</v>
      </c>
      <c r="AF3345" t="s">
        <v>16853</v>
      </c>
      <c r="AG3345" t="s">
        <v>9691</v>
      </c>
      <c r="AH3345">
        <v>2.35</v>
      </c>
      <c r="AI3345">
        <v>0.65</v>
      </c>
      <c r="AJ3345">
        <v>2.9</v>
      </c>
      <c r="AK3345">
        <v>7.15</v>
      </c>
      <c r="AL3345">
        <v>1</v>
      </c>
      <c r="AM3345">
        <v>3.2</v>
      </c>
      <c r="AN3345">
        <v>4.93</v>
      </c>
      <c r="AO3345">
        <v>9.64</v>
      </c>
      <c r="AP3345">
        <v>9.1</v>
      </c>
    </row>
    <row r="3346" spans="1:42">
      <c r="A3346">
        <v>3345</v>
      </c>
      <c r="B3346" t="str">
        <f>"603280"</f>
        <v>603280</v>
      </c>
      <c r="C3346" t="s">
        <v>16854</v>
      </c>
      <c r="D3346">
        <v>24.38</v>
      </c>
      <c r="E3346">
        <v>0.04</v>
      </c>
      <c r="F3346">
        <v>0.01</v>
      </c>
      <c r="G3346" t="s">
        <v>128</v>
      </c>
      <c r="H3346">
        <v>257</v>
      </c>
      <c r="I3346">
        <v>24.38</v>
      </c>
      <c r="J3346">
        <v>24.39</v>
      </c>
      <c r="K3346" t="s">
        <v>16855</v>
      </c>
      <c r="L3346">
        <v>6.64</v>
      </c>
      <c r="M3346" t="s">
        <v>46</v>
      </c>
      <c r="N3346" t="s">
        <v>4341</v>
      </c>
      <c r="O3346">
        <v>24.56</v>
      </c>
      <c r="P3346">
        <v>24.2</v>
      </c>
      <c r="Q3346">
        <v>24.36</v>
      </c>
      <c r="R3346">
        <v>24.37</v>
      </c>
      <c r="S3346">
        <v>1.48</v>
      </c>
      <c r="T3346">
        <v>1.79</v>
      </c>
      <c r="U3346">
        <v>62.81</v>
      </c>
      <c r="V3346">
        <v>179</v>
      </c>
      <c r="W3346">
        <v>24.4</v>
      </c>
      <c r="X3346">
        <v>9945</v>
      </c>
      <c r="Y3346">
        <v>8597</v>
      </c>
      <c r="Z3346">
        <v>1.16</v>
      </c>
      <c r="AA3346">
        <v>82</v>
      </c>
      <c r="AB3346">
        <v>6</v>
      </c>
      <c r="AC3346">
        <v>2.16</v>
      </c>
      <c r="AD3346" t="s">
        <v>12950</v>
      </c>
      <c r="AE3346" t="s">
        <v>10642</v>
      </c>
      <c r="AF3346" t="s">
        <v>16856</v>
      </c>
      <c r="AG3346" t="s">
        <v>16857</v>
      </c>
      <c r="AH3346">
        <v>-0.33</v>
      </c>
      <c r="AI3346">
        <v>-1.02</v>
      </c>
      <c r="AJ3346">
        <v>14.04</v>
      </c>
      <c r="AK3346">
        <v>25.2</v>
      </c>
      <c r="AL3346">
        <v>2</v>
      </c>
      <c r="AM3346">
        <v>0.04</v>
      </c>
      <c r="AN3346">
        <v>0.83</v>
      </c>
      <c r="AO3346">
        <v>2.83</v>
      </c>
      <c r="AP3346">
        <v>-12.87</v>
      </c>
    </row>
    <row r="3347" spans="1:42">
      <c r="A3347">
        <v>3346</v>
      </c>
      <c r="B3347" t="str">
        <f>"300817"</f>
        <v>300817</v>
      </c>
      <c r="C3347" t="s">
        <v>16858</v>
      </c>
      <c r="D3347">
        <v>16.34</v>
      </c>
      <c r="E3347">
        <v>-1.63</v>
      </c>
      <c r="F3347">
        <v>-0.27</v>
      </c>
      <c r="G3347" t="s">
        <v>1711</v>
      </c>
      <c r="H3347">
        <v>473</v>
      </c>
      <c r="I3347">
        <v>16.33</v>
      </c>
      <c r="J3347">
        <v>16.34</v>
      </c>
      <c r="K3347" t="s">
        <v>16855</v>
      </c>
      <c r="L3347">
        <v>2.78</v>
      </c>
      <c r="M3347" t="s">
        <v>46</v>
      </c>
      <c r="N3347" t="s">
        <v>4609</v>
      </c>
      <c r="O3347">
        <v>16.58</v>
      </c>
      <c r="P3347">
        <v>16.28</v>
      </c>
      <c r="Q3347">
        <v>16.58</v>
      </c>
      <c r="R3347">
        <v>16.61</v>
      </c>
      <c r="S3347">
        <v>1.81</v>
      </c>
      <c r="T3347">
        <v>1.02</v>
      </c>
      <c r="U3347">
        <v>-8.98</v>
      </c>
      <c r="V3347">
        <v>-59</v>
      </c>
      <c r="W3347">
        <v>16.37</v>
      </c>
      <c r="X3347" t="s">
        <v>6595</v>
      </c>
      <c r="Y3347" t="s">
        <v>6212</v>
      </c>
      <c r="Z3347">
        <v>1.18</v>
      </c>
      <c r="AA3347">
        <v>29</v>
      </c>
      <c r="AB3347">
        <v>167</v>
      </c>
      <c r="AC3347">
        <v>2.85</v>
      </c>
      <c r="AD3347" t="s">
        <v>16859</v>
      </c>
      <c r="AE3347" t="s">
        <v>16860</v>
      </c>
      <c r="AF3347" t="s">
        <v>5131</v>
      </c>
      <c r="AG3347" t="s">
        <v>16861</v>
      </c>
      <c r="AH3347">
        <v>-2.27</v>
      </c>
      <c r="AI3347">
        <v>-1.45</v>
      </c>
      <c r="AJ3347">
        <v>8.22</v>
      </c>
      <c r="AK3347">
        <v>16.43</v>
      </c>
      <c r="AL3347">
        <v>-3</v>
      </c>
      <c r="AM3347">
        <v>-1.63</v>
      </c>
      <c r="AN3347">
        <v>16.05</v>
      </c>
      <c r="AO3347">
        <v>0.68</v>
      </c>
      <c r="AP3347">
        <v>7.01</v>
      </c>
    </row>
    <row r="3348" spans="1:42">
      <c r="A3348">
        <v>3347</v>
      </c>
      <c r="B3348" t="str">
        <f>"600748"</f>
        <v>600748</v>
      </c>
      <c r="C3348" t="s">
        <v>16862</v>
      </c>
      <c r="D3348">
        <v>3.68</v>
      </c>
      <c r="E3348">
        <v>1.1</v>
      </c>
      <c r="F3348">
        <v>0.04</v>
      </c>
      <c r="G3348" t="s">
        <v>1261</v>
      </c>
      <c r="H3348">
        <v>3174</v>
      </c>
      <c r="I3348">
        <v>3.67</v>
      </c>
      <c r="J3348">
        <v>3.68</v>
      </c>
      <c r="K3348" t="s">
        <v>16863</v>
      </c>
      <c r="L3348">
        <v>0.67</v>
      </c>
      <c r="M3348" t="s">
        <v>46</v>
      </c>
      <c r="N3348" t="s">
        <v>16864</v>
      </c>
      <c r="O3348">
        <v>3.68</v>
      </c>
      <c r="P3348">
        <v>3.59</v>
      </c>
      <c r="Q3348">
        <v>3.63</v>
      </c>
      <c r="R3348">
        <v>3.64</v>
      </c>
      <c r="S3348">
        <v>2.47</v>
      </c>
      <c r="T3348">
        <v>0.58</v>
      </c>
      <c r="U3348">
        <v>-23.06</v>
      </c>
      <c r="V3348">
        <v>-4422</v>
      </c>
      <c r="W3348">
        <v>3.65</v>
      </c>
      <c r="X3348" t="s">
        <v>4009</v>
      </c>
      <c r="Y3348" t="s">
        <v>183</v>
      </c>
      <c r="Z3348">
        <v>0.7</v>
      </c>
      <c r="AA3348">
        <v>508</v>
      </c>
      <c r="AB3348">
        <v>5512</v>
      </c>
      <c r="AC3348">
        <v>0.66</v>
      </c>
      <c r="AD3348" t="s">
        <v>16865</v>
      </c>
      <c r="AE3348" t="s">
        <v>7175</v>
      </c>
      <c r="AF3348" t="s">
        <v>16865</v>
      </c>
      <c r="AG3348" t="s">
        <v>7175</v>
      </c>
      <c r="AH3348">
        <v>-1.87</v>
      </c>
      <c r="AI3348">
        <v>-5.88</v>
      </c>
      <c r="AJ3348">
        <v>2.42</v>
      </c>
      <c r="AK3348">
        <v>6.44</v>
      </c>
      <c r="AL3348">
        <v>2</v>
      </c>
      <c r="AM3348">
        <v>1.1</v>
      </c>
      <c r="AN3348">
        <v>7.6</v>
      </c>
      <c r="AO3348">
        <v>0.82</v>
      </c>
      <c r="AP3348">
        <v>16.09</v>
      </c>
    </row>
    <row r="3349" spans="1:42">
      <c r="A3349">
        <v>3348</v>
      </c>
      <c r="B3349" t="str">
        <f>"301047"</f>
        <v>301047</v>
      </c>
      <c r="C3349" t="s">
        <v>16866</v>
      </c>
      <c r="D3349">
        <v>88.46</v>
      </c>
      <c r="E3349">
        <v>0.2</v>
      </c>
      <c r="F3349">
        <v>0.18</v>
      </c>
      <c r="G3349">
        <v>5107</v>
      </c>
      <c r="H3349">
        <v>26</v>
      </c>
      <c r="I3349">
        <v>88.45</v>
      </c>
      <c r="J3349">
        <v>88.46</v>
      </c>
      <c r="K3349" t="s">
        <v>16867</v>
      </c>
      <c r="L3349">
        <v>0.87</v>
      </c>
      <c r="M3349" t="s">
        <v>46</v>
      </c>
      <c r="N3349" t="s">
        <v>11396</v>
      </c>
      <c r="O3349">
        <v>88.98</v>
      </c>
      <c r="P3349">
        <v>87.83</v>
      </c>
      <c r="Q3349">
        <v>88.27</v>
      </c>
      <c r="R3349">
        <v>88.28</v>
      </c>
      <c r="S3349">
        <v>1.3</v>
      </c>
      <c r="T3349">
        <v>1.11</v>
      </c>
      <c r="U3349">
        <v>14.55</v>
      </c>
      <c r="V3349">
        <v>9</v>
      </c>
      <c r="W3349">
        <v>88.33</v>
      </c>
      <c r="X3349">
        <v>2180</v>
      </c>
      <c r="Y3349">
        <v>2927</v>
      </c>
      <c r="Z3349">
        <v>0.74</v>
      </c>
      <c r="AA3349">
        <v>1</v>
      </c>
      <c r="AB3349">
        <v>2</v>
      </c>
      <c r="AC3349">
        <v>1.81</v>
      </c>
      <c r="AD3349" t="s">
        <v>16868</v>
      </c>
      <c r="AE3349" t="s">
        <v>7848</v>
      </c>
      <c r="AF3349" t="s">
        <v>16869</v>
      </c>
      <c r="AG3349" t="s">
        <v>16870</v>
      </c>
      <c r="AH3349">
        <v>-1.16</v>
      </c>
      <c r="AI3349">
        <v>-0.55</v>
      </c>
      <c r="AJ3349">
        <v>2.26</v>
      </c>
      <c r="AK3349">
        <v>4.82</v>
      </c>
      <c r="AL3349">
        <v>1</v>
      </c>
      <c r="AM3349">
        <v>0.2</v>
      </c>
      <c r="AN3349">
        <v>-9.42</v>
      </c>
      <c r="AO3349">
        <v>2.25</v>
      </c>
      <c r="AP3349">
        <v>-18.02</v>
      </c>
    </row>
    <row r="3350" spans="1:42">
      <c r="A3350">
        <v>3349</v>
      </c>
      <c r="B3350" t="str">
        <f>"001328"</f>
        <v>001328</v>
      </c>
      <c r="C3350" t="s">
        <v>16871</v>
      </c>
      <c r="D3350">
        <v>29.07</v>
      </c>
      <c r="E3350">
        <v>1.47</v>
      </c>
      <c r="F3350">
        <v>0.42</v>
      </c>
      <c r="G3350" t="s">
        <v>5951</v>
      </c>
      <c r="H3350">
        <v>134</v>
      </c>
      <c r="I3350">
        <v>29.03</v>
      </c>
      <c r="J3350">
        <v>29.07</v>
      </c>
      <c r="K3350" t="s">
        <v>16872</v>
      </c>
      <c r="L3350">
        <v>3.61</v>
      </c>
      <c r="M3350" t="s">
        <v>46</v>
      </c>
      <c r="N3350" t="s">
        <v>241</v>
      </c>
      <c r="O3350">
        <v>29.39</v>
      </c>
      <c r="P3350">
        <v>28.59</v>
      </c>
      <c r="Q3350">
        <v>28.6</v>
      </c>
      <c r="R3350">
        <v>28.65</v>
      </c>
      <c r="S3350">
        <v>2.79</v>
      </c>
      <c r="T3350">
        <v>1.05</v>
      </c>
      <c r="U3350">
        <v>-21.39</v>
      </c>
      <c r="V3350">
        <v>-41</v>
      </c>
      <c r="W3350">
        <v>29.04</v>
      </c>
      <c r="X3350">
        <v>7543</v>
      </c>
      <c r="Y3350">
        <v>7988</v>
      </c>
      <c r="Z3350">
        <v>0.94</v>
      </c>
      <c r="AA3350">
        <v>12</v>
      </c>
      <c r="AB3350">
        <v>4</v>
      </c>
      <c r="AC3350">
        <v>3.65</v>
      </c>
      <c r="AD3350" t="s">
        <v>13476</v>
      </c>
      <c r="AE3350" t="s">
        <v>12769</v>
      </c>
      <c r="AF3350" t="s">
        <v>16873</v>
      </c>
      <c r="AG3350" t="s">
        <v>6688</v>
      </c>
      <c r="AH3350">
        <v>-0.99</v>
      </c>
      <c r="AI3350">
        <v>-2.06</v>
      </c>
      <c r="AJ3350">
        <v>8.99</v>
      </c>
      <c r="AK3350">
        <v>20.73</v>
      </c>
      <c r="AL3350">
        <v>1</v>
      </c>
      <c r="AM3350">
        <v>1.47</v>
      </c>
      <c r="AN3350">
        <v>44.77</v>
      </c>
      <c r="AO3350">
        <v>-0.85</v>
      </c>
      <c r="AP3350">
        <v>44.77</v>
      </c>
    </row>
    <row r="3351" spans="1:42">
      <c r="A3351">
        <v>3350</v>
      </c>
      <c r="B3351" t="str">
        <f>"002191"</f>
        <v>002191</v>
      </c>
      <c r="C3351" t="s">
        <v>16874</v>
      </c>
      <c r="D3351">
        <v>5.89</v>
      </c>
      <c r="E3351">
        <v>-0.17</v>
      </c>
      <c r="F3351">
        <v>-0.01</v>
      </c>
      <c r="G3351" t="s">
        <v>8008</v>
      </c>
      <c r="H3351">
        <v>153</v>
      </c>
      <c r="I3351">
        <v>5.88</v>
      </c>
      <c r="J3351">
        <v>5.89</v>
      </c>
      <c r="K3351" t="s">
        <v>16875</v>
      </c>
      <c r="L3351">
        <v>0.54</v>
      </c>
      <c r="M3351" t="s">
        <v>46</v>
      </c>
      <c r="N3351" t="s">
        <v>6721</v>
      </c>
      <c r="O3351">
        <v>5.93</v>
      </c>
      <c r="P3351">
        <v>5.85</v>
      </c>
      <c r="Q3351">
        <v>5.93</v>
      </c>
      <c r="R3351">
        <v>5.9</v>
      </c>
      <c r="S3351">
        <v>1.36</v>
      </c>
      <c r="T3351">
        <v>1.06</v>
      </c>
      <c r="U3351">
        <v>14.43</v>
      </c>
      <c r="V3351">
        <v>3189</v>
      </c>
      <c r="W3351">
        <v>5.88</v>
      </c>
      <c r="X3351" t="s">
        <v>6748</v>
      </c>
      <c r="Y3351" t="s">
        <v>1313</v>
      </c>
      <c r="Z3351">
        <v>1.1</v>
      </c>
      <c r="AA3351">
        <v>530</v>
      </c>
      <c r="AB3351">
        <v>1443</v>
      </c>
      <c r="AC3351">
        <v>1.22</v>
      </c>
      <c r="AD3351" t="s">
        <v>16876</v>
      </c>
      <c r="AE3351" t="s">
        <v>16877</v>
      </c>
      <c r="AF3351" t="s">
        <v>16878</v>
      </c>
      <c r="AG3351" t="s">
        <v>16879</v>
      </c>
      <c r="AH3351">
        <v>-1.01</v>
      </c>
      <c r="AI3351">
        <v>-2</v>
      </c>
      <c r="AJ3351">
        <v>1.43</v>
      </c>
      <c r="AK3351">
        <v>3.07</v>
      </c>
      <c r="AL3351">
        <v>-3</v>
      </c>
      <c r="AM3351">
        <v>-0.17</v>
      </c>
      <c r="AN3351">
        <v>-13.76</v>
      </c>
      <c r="AO3351">
        <v>0.17</v>
      </c>
      <c r="AP3351">
        <v>-19.65</v>
      </c>
    </row>
    <row r="3352" spans="1:42">
      <c r="A3352">
        <v>3351</v>
      </c>
      <c r="B3352" t="str">
        <f>"600218"</f>
        <v>600218</v>
      </c>
      <c r="C3352" t="s">
        <v>16880</v>
      </c>
      <c r="D3352">
        <v>9.04</v>
      </c>
      <c r="E3352">
        <v>-0.55</v>
      </c>
      <c r="F3352">
        <v>-0.05</v>
      </c>
      <c r="G3352" t="s">
        <v>3255</v>
      </c>
      <c r="H3352">
        <v>209</v>
      </c>
      <c r="I3352">
        <v>9.03</v>
      </c>
      <c r="J3352">
        <v>9.04</v>
      </c>
      <c r="K3352" t="s">
        <v>16881</v>
      </c>
      <c r="L3352">
        <v>1.21</v>
      </c>
      <c r="M3352" t="s">
        <v>46</v>
      </c>
      <c r="N3352" t="s">
        <v>16629</v>
      </c>
      <c r="O3352">
        <v>9.15</v>
      </c>
      <c r="P3352">
        <v>8.97</v>
      </c>
      <c r="Q3352">
        <v>9.07</v>
      </c>
      <c r="R3352">
        <v>9.09</v>
      </c>
      <c r="S3352">
        <v>1.98</v>
      </c>
      <c r="T3352">
        <v>0.92</v>
      </c>
      <c r="U3352">
        <v>41.55</v>
      </c>
      <c r="V3352">
        <v>1204</v>
      </c>
      <c r="W3352">
        <v>9.04</v>
      </c>
      <c r="X3352" t="s">
        <v>9272</v>
      </c>
      <c r="Y3352" t="s">
        <v>7946</v>
      </c>
      <c r="Z3352">
        <v>0.96</v>
      </c>
      <c r="AA3352">
        <v>262</v>
      </c>
      <c r="AB3352">
        <v>84</v>
      </c>
      <c r="AC3352">
        <v>1.26</v>
      </c>
      <c r="AD3352" t="s">
        <v>15837</v>
      </c>
      <c r="AE3352" t="s">
        <v>2948</v>
      </c>
      <c r="AF3352" t="s">
        <v>16882</v>
      </c>
      <c r="AG3352" t="s">
        <v>16883</v>
      </c>
      <c r="AH3352">
        <v>-1.63</v>
      </c>
      <c r="AI3352">
        <v>0</v>
      </c>
      <c r="AJ3352">
        <v>3.77</v>
      </c>
      <c r="AK3352">
        <v>7.8</v>
      </c>
      <c r="AL3352">
        <v>-3</v>
      </c>
      <c r="AM3352">
        <v>-0.55</v>
      </c>
      <c r="AN3352">
        <v>5.12</v>
      </c>
      <c r="AO3352">
        <v>6.73</v>
      </c>
      <c r="AP3352">
        <v>-2.59</v>
      </c>
    </row>
    <row r="3353" spans="1:42">
      <c r="A3353">
        <v>3352</v>
      </c>
      <c r="B3353" t="str">
        <f>"600928"</f>
        <v>600928</v>
      </c>
      <c r="C3353" t="s">
        <v>16884</v>
      </c>
      <c r="D3353">
        <v>3.41</v>
      </c>
      <c r="E3353">
        <v>0.89</v>
      </c>
      <c r="F3353">
        <v>0.03</v>
      </c>
      <c r="G3353" t="s">
        <v>263</v>
      </c>
      <c r="H3353">
        <v>1522</v>
      </c>
      <c r="I3353">
        <v>3.4</v>
      </c>
      <c r="J3353">
        <v>3.41</v>
      </c>
      <c r="K3353" t="s">
        <v>16881</v>
      </c>
      <c r="L3353">
        <v>0.39</v>
      </c>
      <c r="M3353" t="s">
        <v>46</v>
      </c>
      <c r="N3353" t="s">
        <v>8603</v>
      </c>
      <c r="O3353">
        <v>3.42</v>
      </c>
      <c r="P3353">
        <v>3.37</v>
      </c>
      <c r="Q3353">
        <v>3.38</v>
      </c>
      <c r="R3353">
        <v>3.38</v>
      </c>
      <c r="S3353">
        <v>1.48</v>
      </c>
      <c r="T3353">
        <v>0.91</v>
      </c>
      <c r="U3353">
        <v>6.46</v>
      </c>
      <c r="V3353">
        <v>3124</v>
      </c>
      <c r="W3353">
        <v>3.4</v>
      </c>
      <c r="X3353" t="s">
        <v>7877</v>
      </c>
      <c r="Y3353" t="s">
        <v>3159</v>
      </c>
      <c r="Z3353">
        <v>0.46</v>
      </c>
      <c r="AA3353">
        <v>7714</v>
      </c>
      <c r="AB3353">
        <v>229</v>
      </c>
      <c r="AC3353">
        <v>0.5</v>
      </c>
      <c r="AD3353" t="s">
        <v>12459</v>
      </c>
      <c r="AE3353" t="s">
        <v>16885</v>
      </c>
      <c r="AF3353" t="s">
        <v>7327</v>
      </c>
      <c r="AG3353" t="s">
        <v>16886</v>
      </c>
      <c r="AH3353">
        <v>-0.29</v>
      </c>
      <c r="AI3353">
        <v>-1.45</v>
      </c>
      <c r="AJ3353">
        <v>1.22</v>
      </c>
      <c r="AK3353">
        <v>2.55</v>
      </c>
      <c r="AL3353">
        <v>1</v>
      </c>
      <c r="AM3353">
        <v>0.89</v>
      </c>
      <c r="AN3353">
        <v>1.49</v>
      </c>
      <c r="AO3353">
        <v>-1.45</v>
      </c>
      <c r="AP3353">
        <v>4.28</v>
      </c>
    </row>
    <row r="3354" spans="1:42">
      <c r="A3354">
        <v>3353</v>
      </c>
      <c r="B3354" t="str">
        <f>"600649"</f>
        <v>600649</v>
      </c>
      <c r="C3354" t="s">
        <v>16887</v>
      </c>
      <c r="D3354">
        <v>4.03</v>
      </c>
      <c r="E3354">
        <v>1</v>
      </c>
      <c r="F3354">
        <v>0.04</v>
      </c>
      <c r="G3354" t="s">
        <v>656</v>
      </c>
      <c r="H3354">
        <v>1691</v>
      </c>
      <c r="I3354">
        <v>4.03</v>
      </c>
      <c r="J3354">
        <v>4.04</v>
      </c>
      <c r="K3354" t="s">
        <v>16888</v>
      </c>
      <c r="L3354">
        <v>0.44</v>
      </c>
      <c r="M3354" t="s">
        <v>46</v>
      </c>
      <c r="N3354" t="s">
        <v>1907</v>
      </c>
      <c r="O3354">
        <v>4.05</v>
      </c>
      <c r="P3354">
        <v>3.96</v>
      </c>
      <c r="Q3354">
        <v>3.98</v>
      </c>
      <c r="R3354">
        <v>3.99</v>
      </c>
      <c r="S3354">
        <v>2.26</v>
      </c>
      <c r="T3354">
        <v>0.69</v>
      </c>
      <c r="U3354">
        <v>-56.31</v>
      </c>
      <c r="V3354" t="s">
        <v>16889</v>
      </c>
      <c r="W3354">
        <v>4.02</v>
      </c>
      <c r="X3354" t="s">
        <v>616</v>
      </c>
      <c r="Y3354" t="s">
        <v>3002</v>
      </c>
      <c r="Z3354">
        <v>0.63</v>
      </c>
      <c r="AA3354">
        <v>93</v>
      </c>
      <c r="AB3354">
        <v>1613</v>
      </c>
      <c r="AC3354">
        <v>0.49</v>
      </c>
      <c r="AD3354" t="s">
        <v>16890</v>
      </c>
      <c r="AE3354" t="s">
        <v>7382</v>
      </c>
      <c r="AF3354" t="s">
        <v>16890</v>
      </c>
      <c r="AG3354" t="s">
        <v>7382</v>
      </c>
      <c r="AH3354">
        <v>-0.98</v>
      </c>
      <c r="AI3354">
        <v>-3.82</v>
      </c>
      <c r="AJ3354">
        <v>1.62</v>
      </c>
      <c r="AK3354">
        <v>3.64</v>
      </c>
      <c r="AL3354">
        <v>1</v>
      </c>
      <c r="AM3354">
        <v>1</v>
      </c>
      <c r="AN3354">
        <v>4.13</v>
      </c>
      <c r="AO3354">
        <v>0.5</v>
      </c>
      <c r="AP3354">
        <v>9.51</v>
      </c>
    </row>
    <row r="3355" spans="1:42">
      <c r="A3355">
        <v>3354</v>
      </c>
      <c r="B3355" t="str">
        <f>"002435"</f>
        <v>002435</v>
      </c>
      <c r="C3355" t="s">
        <v>16891</v>
      </c>
      <c r="D3355">
        <v>4.71</v>
      </c>
      <c r="E3355">
        <v>0.21</v>
      </c>
      <c r="F3355">
        <v>0.01</v>
      </c>
      <c r="G3355" t="s">
        <v>6697</v>
      </c>
      <c r="H3355">
        <v>1657</v>
      </c>
      <c r="I3355">
        <v>4.7</v>
      </c>
      <c r="J3355">
        <v>4.71</v>
      </c>
      <c r="K3355" t="s">
        <v>16892</v>
      </c>
      <c r="L3355">
        <v>0.79</v>
      </c>
      <c r="M3355" t="s">
        <v>46</v>
      </c>
      <c r="N3355" t="s">
        <v>9299</v>
      </c>
      <c r="O3355">
        <v>4.75</v>
      </c>
      <c r="P3355">
        <v>4.66</v>
      </c>
      <c r="Q3355">
        <v>4.7</v>
      </c>
      <c r="R3355">
        <v>4.7</v>
      </c>
      <c r="S3355">
        <v>1.91</v>
      </c>
      <c r="T3355">
        <v>0.54</v>
      </c>
      <c r="U3355">
        <v>-49.08</v>
      </c>
      <c r="V3355">
        <v>-6484</v>
      </c>
      <c r="W3355">
        <v>4.72</v>
      </c>
      <c r="X3355" t="s">
        <v>5316</v>
      </c>
      <c r="Y3355" t="s">
        <v>2752</v>
      </c>
      <c r="Z3355">
        <v>1.33</v>
      </c>
      <c r="AA3355">
        <v>1402</v>
      </c>
      <c r="AB3355">
        <v>175</v>
      </c>
      <c r="AC3355">
        <v>1.28</v>
      </c>
      <c r="AD3355" t="s">
        <v>16893</v>
      </c>
      <c r="AE3355" t="s">
        <v>16894</v>
      </c>
      <c r="AF3355" t="s">
        <v>3684</v>
      </c>
      <c r="AG3355" t="s">
        <v>16895</v>
      </c>
      <c r="AH3355">
        <v>-1.05</v>
      </c>
      <c r="AI3355">
        <v>-0.42</v>
      </c>
      <c r="AJ3355">
        <v>2.81</v>
      </c>
      <c r="AK3355">
        <v>8.12</v>
      </c>
      <c r="AL3355">
        <v>2</v>
      </c>
      <c r="AM3355">
        <v>0.21</v>
      </c>
      <c r="AN3355">
        <v>0.86</v>
      </c>
      <c r="AO3355">
        <v>3.06</v>
      </c>
      <c r="AP3355">
        <v>-5.61</v>
      </c>
    </row>
    <row r="3356" spans="1:42">
      <c r="A3356">
        <v>3355</v>
      </c>
      <c r="B3356" t="str">
        <f>"600545"</f>
        <v>600545</v>
      </c>
      <c r="C3356" t="s">
        <v>16896</v>
      </c>
      <c r="D3356">
        <v>2.86</v>
      </c>
      <c r="E3356">
        <v>1.78</v>
      </c>
      <c r="F3356">
        <v>0.05</v>
      </c>
      <c r="G3356" t="s">
        <v>3584</v>
      </c>
      <c r="H3356">
        <v>2054</v>
      </c>
      <c r="I3356">
        <v>2.85</v>
      </c>
      <c r="J3356">
        <v>2.86</v>
      </c>
      <c r="K3356" t="s">
        <v>16897</v>
      </c>
      <c r="L3356">
        <v>0.89</v>
      </c>
      <c r="M3356" t="s">
        <v>46</v>
      </c>
      <c r="N3356" t="s">
        <v>7363</v>
      </c>
      <c r="O3356">
        <v>2.86</v>
      </c>
      <c r="P3356">
        <v>2.79</v>
      </c>
      <c r="Q3356">
        <v>2.82</v>
      </c>
      <c r="R3356">
        <v>2.81</v>
      </c>
      <c r="S3356">
        <v>2.49</v>
      </c>
      <c r="T3356">
        <v>1.04</v>
      </c>
      <c r="U3356">
        <v>-10.31</v>
      </c>
      <c r="V3356">
        <v>-3672</v>
      </c>
      <c r="W3356">
        <v>2.83</v>
      </c>
      <c r="X3356" t="s">
        <v>8775</v>
      </c>
      <c r="Y3356" t="s">
        <v>6312</v>
      </c>
      <c r="Z3356">
        <v>0.84</v>
      </c>
      <c r="AA3356">
        <v>2827</v>
      </c>
      <c r="AB3356">
        <v>7241</v>
      </c>
      <c r="AC3356">
        <v>1.57</v>
      </c>
      <c r="AD3356" t="s">
        <v>16898</v>
      </c>
      <c r="AE3356" t="s">
        <v>16899</v>
      </c>
      <c r="AF3356" t="s">
        <v>16898</v>
      </c>
      <c r="AG3356" t="s">
        <v>16899</v>
      </c>
      <c r="AH3356">
        <v>0.35</v>
      </c>
      <c r="AI3356">
        <v>-1.04</v>
      </c>
      <c r="AJ3356">
        <v>2.49</v>
      </c>
      <c r="AK3356">
        <v>5.16</v>
      </c>
      <c r="AL3356">
        <v>1</v>
      </c>
      <c r="AM3356">
        <v>1.78</v>
      </c>
      <c r="AN3356">
        <v>1.06</v>
      </c>
      <c r="AO3356">
        <v>3.25</v>
      </c>
      <c r="AP3356">
        <v>-6.23</v>
      </c>
    </row>
    <row r="3357" spans="1:42">
      <c r="A3357">
        <v>3356</v>
      </c>
      <c r="B3357" t="str">
        <f>"603187"</f>
        <v>603187</v>
      </c>
      <c r="C3357" t="s">
        <v>16900</v>
      </c>
      <c r="D3357">
        <v>16.26</v>
      </c>
      <c r="E3357">
        <v>-1.57</v>
      </c>
      <c r="F3357">
        <v>-0.26</v>
      </c>
      <c r="G3357" t="s">
        <v>1711</v>
      </c>
      <c r="H3357">
        <v>198</v>
      </c>
      <c r="I3357">
        <v>16.26</v>
      </c>
      <c r="J3357">
        <v>16.27</v>
      </c>
      <c r="K3357" t="s">
        <v>16897</v>
      </c>
      <c r="L3357">
        <v>0.72</v>
      </c>
      <c r="M3357" t="s">
        <v>46</v>
      </c>
      <c r="N3357" t="s">
        <v>12941</v>
      </c>
      <c r="O3357">
        <v>16.5</v>
      </c>
      <c r="P3357">
        <v>16.16</v>
      </c>
      <c r="Q3357">
        <v>16.5</v>
      </c>
      <c r="R3357">
        <v>16.52</v>
      </c>
      <c r="S3357">
        <v>2.06</v>
      </c>
      <c r="T3357">
        <v>1.15</v>
      </c>
      <c r="U3357">
        <v>-26.99</v>
      </c>
      <c r="V3357">
        <v>-58</v>
      </c>
      <c r="W3357">
        <v>16.27</v>
      </c>
      <c r="X3357" t="s">
        <v>1427</v>
      </c>
      <c r="Y3357" t="s">
        <v>7656</v>
      </c>
      <c r="Z3357">
        <v>0.87</v>
      </c>
      <c r="AA3357">
        <v>2</v>
      </c>
      <c r="AB3357">
        <v>20</v>
      </c>
      <c r="AC3357">
        <v>1.59</v>
      </c>
      <c r="AD3357" t="s">
        <v>3257</v>
      </c>
      <c r="AE3357" t="s">
        <v>16901</v>
      </c>
      <c r="AF3357" t="s">
        <v>16902</v>
      </c>
      <c r="AG3357" t="s">
        <v>16903</v>
      </c>
      <c r="AH3357">
        <v>-2.75</v>
      </c>
      <c r="AI3357">
        <v>-2.69</v>
      </c>
      <c r="AJ3357">
        <v>1.82</v>
      </c>
      <c r="AK3357">
        <v>3.84</v>
      </c>
      <c r="AL3357">
        <v>-3</v>
      </c>
      <c r="AM3357">
        <v>-1.57</v>
      </c>
      <c r="AN3357">
        <v>-27.44</v>
      </c>
      <c r="AO3357">
        <v>-0.79</v>
      </c>
      <c r="AP3357">
        <v>-20.68</v>
      </c>
    </row>
    <row r="3358" spans="1:42">
      <c r="A3358">
        <v>3357</v>
      </c>
      <c r="B3358" t="str">
        <f>"300016"</f>
        <v>300016</v>
      </c>
      <c r="C3358" t="s">
        <v>16904</v>
      </c>
      <c r="D3358">
        <v>7.64</v>
      </c>
      <c r="E3358">
        <v>-0.39</v>
      </c>
      <c r="F3358">
        <v>-0.03</v>
      </c>
      <c r="G3358" t="s">
        <v>4901</v>
      </c>
      <c r="H3358">
        <v>647</v>
      </c>
      <c r="I3358">
        <v>7.64</v>
      </c>
      <c r="J3358">
        <v>7.65</v>
      </c>
      <c r="K3358" t="s">
        <v>16897</v>
      </c>
      <c r="L3358">
        <v>1.19</v>
      </c>
      <c r="M3358" t="s">
        <v>46</v>
      </c>
      <c r="N3358" t="s">
        <v>12849</v>
      </c>
      <c r="O3358">
        <v>7.77</v>
      </c>
      <c r="P3358">
        <v>7.61</v>
      </c>
      <c r="Q3358">
        <v>7.66</v>
      </c>
      <c r="R3358">
        <v>7.67</v>
      </c>
      <c r="S3358">
        <v>2.09</v>
      </c>
      <c r="T3358">
        <v>0.5</v>
      </c>
      <c r="U3358">
        <v>27.49</v>
      </c>
      <c r="V3358">
        <v>1004</v>
      </c>
      <c r="W3358">
        <v>7.67</v>
      </c>
      <c r="X3358" t="s">
        <v>2628</v>
      </c>
      <c r="Y3358" t="s">
        <v>3121</v>
      </c>
      <c r="Z3358">
        <v>1.15</v>
      </c>
      <c r="AA3358">
        <v>433</v>
      </c>
      <c r="AB3358">
        <v>608</v>
      </c>
      <c r="AC3358">
        <v>2.33</v>
      </c>
      <c r="AD3358" t="s">
        <v>16905</v>
      </c>
      <c r="AE3358" t="s">
        <v>15829</v>
      </c>
      <c r="AF3358" t="s">
        <v>16906</v>
      </c>
      <c r="AG3358" t="s">
        <v>14079</v>
      </c>
      <c r="AH3358">
        <v>-1.29</v>
      </c>
      <c r="AI3358">
        <v>-2.92</v>
      </c>
      <c r="AJ3358">
        <v>4.74</v>
      </c>
      <c r="AK3358">
        <v>13.14</v>
      </c>
      <c r="AL3358">
        <v>-1</v>
      </c>
      <c r="AM3358">
        <v>-0.39</v>
      </c>
      <c r="AN3358">
        <v>18.45</v>
      </c>
      <c r="AO3358">
        <v>7.45</v>
      </c>
      <c r="AP3358">
        <v>4.95</v>
      </c>
    </row>
    <row r="3359" spans="1:42">
      <c r="A3359">
        <v>3358</v>
      </c>
      <c r="B3359" t="str">
        <f>"688539"</f>
        <v>688539</v>
      </c>
      <c r="C3359" t="s">
        <v>16907</v>
      </c>
      <c r="D3359">
        <v>40.37</v>
      </c>
      <c r="E3359">
        <v>-2.49</v>
      </c>
      <c r="F3359">
        <v>-1.03</v>
      </c>
      <c r="G3359" t="s">
        <v>734</v>
      </c>
      <c r="H3359">
        <v>56</v>
      </c>
      <c r="I3359">
        <v>40.37</v>
      </c>
      <c r="J3359">
        <v>40.39</v>
      </c>
      <c r="K3359" t="s">
        <v>1062</v>
      </c>
      <c r="L3359">
        <v>3.62</v>
      </c>
      <c r="M3359" t="s">
        <v>46</v>
      </c>
      <c r="N3359" t="s">
        <v>5496</v>
      </c>
      <c r="O3359">
        <v>41.5</v>
      </c>
      <c r="P3359">
        <v>39.67</v>
      </c>
      <c r="Q3359">
        <v>41.4</v>
      </c>
      <c r="R3359">
        <v>41.4</v>
      </c>
      <c r="S3359">
        <v>4.42</v>
      </c>
      <c r="T3359">
        <v>1.26</v>
      </c>
      <c r="U3359">
        <v>35.37</v>
      </c>
      <c r="V3359">
        <v>60</v>
      </c>
      <c r="W3359">
        <v>40.29</v>
      </c>
      <c r="X3359">
        <v>5669</v>
      </c>
      <c r="Y3359">
        <v>5495</v>
      </c>
      <c r="Z3359">
        <v>1.03</v>
      </c>
      <c r="AA3359">
        <v>18</v>
      </c>
      <c r="AB3359">
        <v>22</v>
      </c>
      <c r="AC3359">
        <v>3.09</v>
      </c>
      <c r="AD3359" t="s">
        <v>16908</v>
      </c>
      <c r="AE3359" t="s">
        <v>14236</v>
      </c>
      <c r="AF3359" t="s">
        <v>16909</v>
      </c>
      <c r="AG3359" t="s">
        <v>5080</v>
      </c>
      <c r="AH3359">
        <v>-4.27</v>
      </c>
      <c r="AI3359">
        <v>-5.9</v>
      </c>
      <c r="AJ3359">
        <v>8.37</v>
      </c>
      <c r="AK3359">
        <v>18.03</v>
      </c>
      <c r="AL3359">
        <v>-4</v>
      </c>
      <c r="AM3359">
        <v>-2.49</v>
      </c>
      <c r="AN3359">
        <v>6.46</v>
      </c>
      <c r="AO3359">
        <v>1.1</v>
      </c>
      <c r="AP3359">
        <v>6.46</v>
      </c>
    </row>
    <row r="3360" spans="1:42">
      <c r="A3360">
        <v>3359</v>
      </c>
      <c r="B3360" t="str">
        <f>"301386"</f>
        <v>301386</v>
      </c>
      <c r="C3360" t="s">
        <v>16910</v>
      </c>
      <c r="D3360">
        <v>25.77</v>
      </c>
      <c r="E3360">
        <v>-0.04</v>
      </c>
      <c r="F3360">
        <v>-0.01</v>
      </c>
      <c r="G3360" t="s">
        <v>2575</v>
      </c>
      <c r="H3360">
        <v>272</v>
      </c>
      <c r="I3360">
        <v>25.77</v>
      </c>
      <c r="J3360">
        <v>25.78</v>
      </c>
      <c r="K3360" t="s">
        <v>1062</v>
      </c>
      <c r="L3360">
        <v>5.01</v>
      </c>
      <c r="M3360" t="s">
        <v>46</v>
      </c>
      <c r="N3360" t="s">
        <v>3363</v>
      </c>
      <c r="O3360">
        <v>25.92</v>
      </c>
      <c r="P3360">
        <v>25.43</v>
      </c>
      <c r="Q3360">
        <v>25.88</v>
      </c>
      <c r="R3360">
        <v>25.78</v>
      </c>
      <c r="S3360">
        <v>1.9</v>
      </c>
      <c r="T3360">
        <v>0.6</v>
      </c>
      <c r="U3360">
        <v>-20.96</v>
      </c>
      <c r="V3360">
        <v>-82</v>
      </c>
      <c r="W3360">
        <v>25.65</v>
      </c>
      <c r="X3360">
        <v>8706</v>
      </c>
      <c r="Y3360">
        <v>8827</v>
      </c>
      <c r="Z3360">
        <v>0.99</v>
      </c>
      <c r="AA3360">
        <v>42</v>
      </c>
      <c r="AB3360">
        <v>10</v>
      </c>
      <c r="AC3360">
        <v>2.44</v>
      </c>
      <c r="AD3360" t="s">
        <v>16649</v>
      </c>
      <c r="AE3360" t="s">
        <v>1867</v>
      </c>
      <c r="AF3360" t="s">
        <v>16694</v>
      </c>
      <c r="AG3360" t="s">
        <v>16911</v>
      </c>
      <c r="AH3360">
        <v>-2.86</v>
      </c>
      <c r="AI3360">
        <v>-4.87</v>
      </c>
      <c r="AJ3360">
        <v>21.1</v>
      </c>
      <c r="AK3360">
        <v>46.49</v>
      </c>
      <c r="AL3360">
        <v>-3</v>
      </c>
      <c r="AM3360">
        <v>-0.04</v>
      </c>
      <c r="AN3360">
        <v>-11.41</v>
      </c>
      <c r="AO3360">
        <v>1.62</v>
      </c>
      <c r="AP3360">
        <v>-11.41</v>
      </c>
    </row>
    <row r="3361" spans="1:42">
      <c r="A3361">
        <v>3360</v>
      </c>
      <c r="B3361" t="str">
        <f>"300768"</f>
        <v>300768</v>
      </c>
      <c r="C3361" t="s">
        <v>16912</v>
      </c>
      <c r="D3361">
        <v>15.64</v>
      </c>
      <c r="E3361">
        <v>2.36</v>
      </c>
      <c r="F3361">
        <v>0.36</v>
      </c>
      <c r="G3361" t="s">
        <v>6395</v>
      </c>
      <c r="H3361">
        <v>225</v>
      </c>
      <c r="I3361">
        <v>15.64</v>
      </c>
      <c r="J3361">
        <v>15.65</v>
      </c>
      <c r="K3361" t="s">
        <v>16913</v>
      </c>
      <c r="L3361">
        <v>0.78</v>
      </c>
      <c r="M3361" t="s">
        <v>46</v>
      </c>
      <c r="N3361" t="s">
        <v>16241</v>
      </c>
      <c r="O3361">
        <v>15.74</v>
      </c>
      <c r="P3361">
        <v>15.17</v>
      </c>
      <c r="Q3361">
        <v>15.46</v>
      </c>
      <c r="R3361">
        <v>15.28</v>
      </c>
      <c r="S3361">
        <v>3.73</v>
      </c>
      <c r="T3361">
        <v>1.12</v>
      </c>
      <c r="U3361">
        <v>7.28</v>
      </c>
      <c r="V3361">
        <v>52</v>
      </c>
      <c r="W3361">
        <v>15.45</v>
      </c>
      <c r="X3361" t="s">
        <v>1743</v>
      </c>
      <c r="Y3361" t="s">
        <v>2575</v>
      </c>
      <c r="Z3361">
        <v>0.67</v>
      </c>
      <c r="AA3361">
        <v>71</v>
      </c>
      <c r="AB3361">
        <v>32</v>
      </c>
      <c r="AC3361">
        <v>3.13</v>
      </c>
      <c r="AD3361" t="s">
        <v>16914</v>
      </c>
      <c r="AE3361" t="s">
        <v>3439</v>
      </c>
      <c r="AF3361" t="s">
        <v>16915</v>
      </c>
      <c r="AG3361" t="s">
        <v>16916</v>
      </c>
      <c r="AH3361">
        <v>1.3</v>
      </c>
      <c r="AI3361">
        <v>-0.57</v>
      </c>
      <c r="AJ3361">
        <v>2.02</v>
      </c>
      <c r="AK3361">
        <v>4.25</v>
      </c>
      <c r="AL3361">
        <v>1</v>
      </c>
      <c r="AM3361">
        <v>2.36</v>
      </c>
      <c r="AN3361">
        <v>19.57</v>
      </c>
      <c r="AO3361">
        <v>6.61</v>
      </c>
      <c r="AP3361">
        <v>-5.27</v>
      </c>
    </row>
    <row r="3362" spans="1:42">
      <c r="A3362">
        <v>3361</v>
      </c>
      <c r="B3362" t="str">
        <f>"300263"</f>
        <v>300263</v>
      </c>
      <c r="C3362" t="s">
        <v>16917</v>
      </c>
      <c r="D3362">
        <v>7.22</v>
      </c>
      <c r="E3362">
        <v>-0.28</v>
      </c>
      <c r="F3362">
        <v>-0.02</v>
      </c>
      <c r="G3362" t="s">
        <v>3365</v>
      </c>
      <c r="H3362">
        <v>735</v>
      </c>
      <c r="I3362">
        <v>7.21</v>
      </c>
      <c r="J3362">
        <v>7.22</v>
      </c>
      <c r="K3362" t="s">
        <v>16918</v>
      </c>
      <c r="L3362">
        <v>0.81</v>
      </c>
      <c r="M3362" t="s">
        <v>46</v>
      </c>
      <c r="N3362" t="s">
        <v>4263</v>
      </c>
      <c r="O3362">
        <v>7.27</v>
      </c>
      <c r="P3362">
        <v>7.18</v>
      </c>
      <c r="Q3362">
        <v>7.24</v>
      </c>
      <c r="R3362">
        <v>7.24</v>
      </c>
      <c r="S3362">
        <v>1.24</v>
      </c>
      <c r="T3362">
        <v>0.9</v>
      </c>
      <c r="U3362">
        <v>30.28</v>
      </c>
      <c r="V3362">
        <v>1538</v>
      </c>
      <c r="W3362">
        <v>7.21</v>
      </c>
      <c r="X3362" t="s">
        <v>1718</v>
      </c>
      <c r="Y3362" t="s">
        <v>48</v>
      </c>
      <c r="Z3362">
        <v>1.5</v>
      </c>
      <c r="AA3362">
        <v>886</v>
      </c>
      <c r="AB3362">
        <v>144</v>
      </c>
      <c r="AC3362">
        <v>2.12</v>
      </c>
      <c r="AD3362" t="s">
        <v>16919</v>
      </c>
      <c r="AE3362" t="s">
        <v>2144</v>
      </c>
      <c r="AF3362" t="s">
        <v>16920</v>
      </c>
      <c r="AG3362" t="s">
        <v>16921</v>
      </c>
      <c r="AH3362">
        <v>-2.04</v>
      </c>
      <c r="AI3362">
        <v>-2.3</v>
      </c>
      <c r="AJ3362">
        <v>2.49</v>
      </c>
      <c r="AK3362">
        <v>5.3</v>
      </c>
      <c r="AL3362">
        <v>-3</v>
      </c>
      <c r="AM3362">
        <v>-0.28</v>
      </c>
      <c r="AN3362">
        <v>2.41</v>
      </c>
      <c r="AO3362">
        <v>-0.41</v>
      </c>
      <c r="AP3362">
        <v>-8.84</v>
      </c>
    </row>
    <row r="3363" spans="1:42">
      <c r="A3363">
        <v>3362</v>
      </c>
      <c r="B3363" t="str">
        <f>"000608"</f>
        <v>000608</v>
      </c>
      <c r="C3363" t="s">
        <v>16922</v>
      </c>
      <c r="D3363">
        <v>3.04</v>
      </c>
      <c r="E3363">
        <v>2.36</v>
      </c>
      <c r="F3363">
        <v>0.07</v>
      </c>
      <c r="G3363" t="s">
        <v>598</v>
      </c>
      <c r="H3363">
        <v>1441</v>
      </c>
      <c r="I3363">
        <v>3.03</v>
      </c>
      <c r="J3363">
        <v>3.04</v>
      </c>
      <c r="K3363" t="s">
        <v>16918</v>
      </c>
      <c r="L3363">
        <v>1.97</v>
      </c>
      <c r="M3363" t="s">
        <v>46</v>
      </c>
      <c r="N3363" t="s">
        <v>4345</v>
      </c>
      <c r="O3363">
        <v>3.06</v>
      </c>
      <c r="P3363">
        <v>2.97</v>
      </c>
      <c r="Q3363">
        <v>2.99</v>
      </c>
      <c r="R3363">
        <v>2.97</v>
      </c>
      <c r="S3363">
        <v>3.03</v>
      </c>
      <c r="T3363">
        <v>0.93</v>
      </c>
      <c r="U3363">
        <v>-24.57</v>
      </c>
      <c r="V3363">
        <v>-2950</v>
      </c>
      <c r="W3363">
        <v>3.04</v>
      </c>
      <c r="X3363" t="s">
        <v>6873</v>
      </c>
      <c r="Y3363" t="s">
        <v>5795</v>
      </c>
      <c r="Z3363">
        <v>0.71</v>
      </c>
      <c r="AA3363">
        <v>341</v>
      </c>
      <c r="AB3363">
        <v>167</v>
      </c>
      <c r="AC3363">
        <v>0.87</v>
      </c>
      <c r="AD3363" t="s">
        <v>5930</v>
      </c>
      <c r="AE3363" t="s">
        <v>16923</v>
      </c>
      <c r="AF3363" t="s">
        <v>5930</v>
      </c>
      <c r="AG3363" t="s">
        <v>16923</v>
      </c>
      <c r="AH3363">
        <v>0</v>
      </c>
      <c r="AI3363">
        <v>-3.8</v>
      </c>
      <c r="AJ3363">
        <v>5.68</v>
      </c>
      <c r="AK3363">
        <v>12.54</v>
      </c>
      <c r="AL3363">
        <v>1</v>
      </c>
      <c r="AM3363">
        <v>2.36</v>
      </c>
      <c r="AN3363">
        <v>-9.79</v>
      </c>
      <c r="AO3363">
        <v>6.29</v>
      </c>
      <c r="AP3363">
        <v>4.47</v>
      </c>
    </row>
    <row r="3364" spans="1:42">
      <c r="A3364">
        <v>3363</v>
      </c>
      <c r="B3364" t="str">
        <f>"002776"</f>
        <v>002776</v>
      </c>
      <c r="C3364" t="s">
        <v>16924</v>
      </c>
      <c r="D3364">
        <v>0.94</v>
      </c>
      <c r="E3364">
        <v>4.44</v>
      </c>
      <c r="F3364">
        <v>0.04</v>
      </c>
      <c r="G3364" t="s">
        <v>5118</v>
      </c>
      <c r="H3364">
        <v>6363</v>
      </c>
      <c r="I3364">
        <v>0.93</v>
      </c>
      <c r="J3364">
        <v>0.94</v>
      </c>
      <c r="K3364" t="s">
        <v>16925</v>
      </c>
      <c r="L3364">
        <v>9.01</v>
      </c>
      <c r="M3364" t="s">
        <v>46</v>
      </c>
      <c r="N3364" t="s">
        <v>14710</v>
      </c>
      <c r="O3364">
        <v>0.95</v>
      </c>
      <c r="P3364">
        <v>0.88</v>
      </c>
      <c r="Q3364">
        <v>0.88</v>
      </c>
      <c r="R3364">
        <v>0.9</v>
      </c>
      <c r="S3364">
        <v>7.78</v>
      </c>
      <c r="T3364">
        <v>0.68</v>
      </c>
      <c r="U3364">
        <v>-46.77</v>
      </c>
      <c r="V3364" t="s">
        <v>16926</v>
      </c>
      <c r="W3364">
        <v>0.93</v>
      </c>
      <c r="X3364" t="s">
        <v>1934</v>
      </c>
      <c r="Y3364" t="s">
        <v>352</v>
      </c>
      <c r="Z3364">
        <v>0.91</v>
      </c>
      <c r="AA3364">
        <v>6517</v>
      </c>
      <c r="AB3364" t="s">
        <v>7679</v>
      </c>
      <c r="AC3364">
        <v>-0.73</v>
      </c>
      <c r="AD3364" t="s">
        <v>16927</v>
      </c>
      <c r="AE3364" t="s">
        <v>16928</v>
      </c>
      <c r="AF3364" t="s">
        <v>16927</v>
      </c>
      <c r="AG3364" t="s">
        <v>16928</v>
      </c>
      <c r="AH3364">
        <v>-6</v>
      </c>
      <c r="AI3364">
        <v>-4.08</v>
      </c>
      <c r="AJ3364">
        <v>26.86</v>
      </c>
      <c r="AK3364">
        <v>75.1</v>
      </c>
      <c r="AL3364">
        <v>1</v>
      </c>
      <c r="AM3364">
        <v>4.44</v>
      </c>
      <c r="AN3364">
        <v>-69.18</v>
      </c>
      <c r="AO3364">
        <v>-20.34</v>
      </c>
      <c r="AP3364">
        <v>-59.13</v>
      </c>
    </row>
    <row r="3365" spans="1:42">
      <c r="A3365">
        <v>3364</v>
      </c>
      <c r="B3365" t="str">
        <f>"000652"</f>
        <v>000652</v>
      </c>
      <c r="C3365" t="s">
        <v>16929</v>
      </c>
      <c r="D3365">
        <v>4.11</v>
      </c>
      <c r="E3365">
        <v>0.74</v>
      </c>
      <c r="F3365">
        <v>0.03</v>
      </c>
      <c r="G3365" t="s">
        <v>1949</v>
      </c>
      <c r="H3365">
        <v>1219</v>
      </c>
      <c r="I3365">
        <v>4.1</v>
      </c>
      <c r="J3365">
        <v>4.11</v>
      </c>
      <c r="K3365" t="s">
        <v>16930</v>
      </c>
      <c r="L3365">
        <v>0.74</v>
      </c>
      <c r="M3365" t="s">
        <v>46</v>
      </c>
      <c r="N3365" t="s">
        <v>11309</v>
      </c>
      <c r="O3365">
        <v>4.12</v>
      </c>
      <c r="P3365">
        <v>4.04</v>
      </c>
      <c r="Q3365">
        <v>4.06</v>
      </c>
      <c r="R3365">
        <v>4.08</v>
      </c>
      <c r="S3365">
        <v>1.96</v>
      </c>
      <c r="T3365">
        <v>0.66</v>
      </c>
      <c r="U3365">
        <v>-25.04</v>
      </c>
      <c r="V3365">
        <v>-6580</v>
      </c>
      <c r="W3365">
        <v>4.1</v>
      </c>
      <c r="X3365" t="s">
        <v>7763</v>
      </c>
      <c r="Y3365" t="s">
        <v>1503</v>
      </c>
      <c r="Z3365">
        <v>0.92</v>
      </c>
      <c r="AA3365">
        <v>3676</v>
      </c>
      <c r="AB3365">
        <v>809</v>
      </c>
      <c r="AC3365">
        <v>1.08</v>
      </c>
      <c r="AD3365" t="s">
        <v>8434</v>
      </c>
      <c r="AE3365" t="s">
        <v>5296</v>
      </c>
      <c r="AF3365" t="s">
        <v>7368</v>
      </c>
      <c r="AG3365" t="s">
        <v>4533</v>
      </c>
      <c r="AH3365">
        <v>-1.2</v>
      </c>
      <c r="AI3365">
        <v>-1.67</v>
      </c>
      <c r="AJ3365">
        <v>2.51</v>
      </c>
      <c r="AK3365">
        <v>6.32</v>
      </c>
      <c r="AL3365">
        <v>1</v>
      </c>
      <c r="AM3365">
        <v>0.74</v>
      </c>
      <c r="AN3365">
        <v>2.49</v>
      </c>
      <c r="AO3365">
        <v>1.99</v>
      </c>
      <c r="AP3365">
        <v>1.23</v>
      </c>
    </row>
    <row r="3366" spans="1:42">
      <c r="A3366">
        <v>3365</v>
      </c>
      <c r="B3366" t="str">
        <f>"300755"</f>
        <v>300755</v>
      </c>
      <c r="C3366" t="s">
        <v>16931</v>
      </c>
      <c r="D3366">
        <v>19.49</v>
      </c>
      <c r="E3366">
        <v>0.05</v>
      </c>
      <c r="F3366">
        <v>0.01</v>
      </c>
      <c r="G3366" t="s">
        <v>6266</v>
      </c>
      <c r="H3366">
        <v>905</v>
      </c>
      <c r="I3366">
        <v>19.48</v>
      </c>
      <c r="J3366">
        <v>19.49</v>
      </c>
      <c r="K3366" t="s">
        <v>16932</v>
      </c>
      <c r="L3366">
        <v>0.55</v>
      </c>
      <c r="M3366" t="s">
        <v>46</v>
      </c>
      <c r="N3366" t="s">
        <v>16933</v>
      </c>
      <c r="O3366">
        <v>19.59</v>
      </c>
      <c r="P3366">
        <v>19.19</v>
      </c>
      <c r="Q3366">
        <v>19.55</v>
      </c>
      <c r="R3366">
        <v>19.48</v>
      </c>
      <c r="S3366">
        <v>2.05</v>
      </c>
      <c r="T3366">
        <v>1.15</v>
      </c>
      <c r="U3366">
        <v>60.29</v>
      </c>
      <c r="V3366">
        <v>495</v>
      </c>
      <c r="W3366">
        <v>19.4</v>
      </c>
      <c r="X3366" t="s">
        <v>383</v>
      </c>
      <c r="Y3366">
        <v>9828</v>
      </c>
      <c r="Z3366">
        <v>1.35</v>
      </c>
      <c r="AA3366">
        <v>5</v>
      </c>
      <c r="AB3366">
        <v>27</v>
      </c>
      <c r="AC3366">
        <v>2.14</v>
      </c>
      <c r="AD3366" t="s">
        <v>15772</v>
      </c>
      <c r="AE3366" t="s">
        <v>16934</v>
      </c>
      <c r="AF3366" t="s">
        <v>13165</v>
      </c>
      <c r="AG3366" t="s">
        <v>13650</v>
      </c>
      <c r="AH3366">
        <v>-0.2</v>
      </c>
      <c r="AI3366">
        <v>-2.31</v>
      </c>
      <c r="AJ3366">
        <v>1.46</v>
      </c>
      <c r="AK3366">
        <v>2.97</v>
      </c>
      <c r="AL3366">
        <v>2</v>
      </c>
      <c r="AM3366">
        <v>0.05</v>
      </c>
      <c r="AN3366">
        <v>-36.49</v>
      </c>
      <c r="AO3366">
        <v>-2.21</v>
      </c>
      <c r="AP3366">
        <v>-24.66</v>
      </c>
    </row>
    <row r="3367" spans="1:42">
      <c r="A3367">
        <v>3366</v>
      </c>
      <c r="B3367" t="str">
        <f>"688173"</f>
        <v>688173</v>
      </c>
      <c r="C3367" t="s">
        <v>16935</v>
      </c>
      <c r="D3367">
        <v>18.43</v>
      </c>
      <c r="E3367">
        <v>1.54</v>
      </c>
      <c r="F3367">
        <v>0.28</v>
      </c>
      <c r="G3367" t="s">
        <v>2389</v>
      </c>
      <c r="H3367">
        <v>502</v>
      </c>
      <c r="I3367">
        <v>18.41</v>
      </c>
      <c r="J3367">
        <v>18.43</v>
      </c>
      <c r="K3367" t="s">
        <v>16936</v>
      </c>
      <c r="L3367">
        <v>1.03</v>
      </c>
      <c r="M3367" t="s">
        <v>46</v>
      </c>
      <c r="N3367" t="s">
        <v>3617</v>
      </c>
      <c r="O3367">
        <v>18.54</v>
      </c>
      <c r="P3367">
        <v>17.81</v>
      </c>
      <c r="Q3367">
        <v>18.14</v>
      </c>
      <c r="R3367">
        <v>18.15</v>
      </c>
      <c r="S3367">
        <v>4.02</v>
      </c>
      <c r="T3367">
        <v>0.89</v>
      </c>
      <c r="U3367">
        <v>-49.76</v>
      </c>
      <c r="V3367">
        <v>-277</v>
      </c>
      <c r="W3367">
        <v>18.12</v>
      </c>
      <c r="X3367" t="s">
        <v>682</v>
      </c>
      <c r="Y3367" t="s">
        <v>1052</v>
      </c>
      <c r="Z3367">
        <v>1.04</v>
      </c>
      <c r="AA3367">
        <v>12</v>
      </c>
      <c r="AB3367">
        <v>219</v>
      </c>
      <c r="AC3367">
        <v>3.96</v>
      </c>
      <c r="AD3367" t="s">
        <v>16937</v>
      </c>
      <c r="AE3367" t="s">
        <v>16938</v>
      </c>
      <c r="AF3367" t="s">
        <v>16939</v>
      </c>
      <c r="AG3367" t="s">
        <v>3592</v>
      </c>
      <c r="AH3367">
        <v>0.82</v>
      </c>
      <c r="AI3367">
        <v>-0.54</v>
      </c>
      <c r="AJ3367">
        <v>3.48</v>
      </c>
      <c r="AK3367">
        <v>6.86</v>
      </c>
      <c r="AL3367">
        <v>1</v>
      </c>
      <c r="AM3367">
        <v>1.54</v>
      </c>
      <c r="AN3367">
        <v>-18.92</v>
      </c>
      <c r="AO3367">
        <v>0.44</v>
      </c>
      <c r="AP3367">
        <v>-33.25</v>
      </c>
    </row>
    <row r="3368" spans="1:42">
      <c r="A3368">
        <v>3367</v>
      </c>
      <c r="B3368" t="str">
        <f>"688312"</f>
        <v>688312</v>
      </c>
      <c r="C3368" t="s">
        <v>16940</v>
      </c>
      <c r="D3368">
        <v>20.16</v>
      </c>
      <c r="E3368">
        <v>-1.42</v>
      </c>
      <c r="F3368">
        <v>-0.29</v>
      </c>
      <c r="G3368" t="s">
        <v>8267</v>
      </c>
      <c r="H3368">
        <v>145</v>
      </c>
      <c r="I3368">
        <v>20.16</v>
      </c>
      <c r="J3368">
        <v>20.18</v>
      </c>
      <c r="K3368" t="s">
        <v>16941</v>
      </c>
      <c r="L3368">
        <v>1.54</v>
      </c>
      <c r="M3368" t="s">
        <v>46</v>
      </c>
      <c r="N3368" t="s">
        <v>6674</v>
      </c>
      <c r="O3368">
        <v>20.43</v>
      </c>
      <c r="P3368">
        <v>19.88</v>
      </c>
      <c r="Q3368">
        <v>20.38</v>
      </c>
      <c r="R3368">
        <v>20.45</v>
      </c>
      <c r="S3368">
        <v>2.69</v>
      </c>
      <c r="T3368">
        <v>1.19</v>
      </c>
      <c r="U3368">
        <v>-24.65</v>
      </c>
      <c r="V3368">
        <v>-107</v>
      </c>
      <c r="W3368">
        <v>20.11</v>
      </c>
      <c r="X3368" t="s">
        <v>4717</v>
      </c>
      <c r="Y3368">
        <v>8181</v>
      </c>
      <c r="Z3368">
        <v>1.72</v>
      </c>
      <c r="AA3368">
        <v>6</v>
      </c>
      <c r="AB3368">
        <v>164</v>
      </c>
      <c r="AC3368">
        <v>2.22</v>
      </c>
      <c r="AD3368" t="s">
        <v>8471</v>
      </c>
      <c r="AE3368" t="s">
        <v>16942</v>
      </c>
      <c r="AF3368" t="s">
        <v>8471</v>
      </c>
      <c r="AG3368" t="s">
        <v>16942</v>
      </c>
      <c r="AH3368">
        <v>0.4</v>
      </c>
      <c r="AI3368">
        <v>-1.18</v>
      </c>
      <c r="AJ3368">
        <v>5.6</v>
      </c>
      <c r="AK3368">
        <v>7.99</v>
      </c>
      <c r="AL3368">
        <v>-2</v>
      </c>
      <c r="AM3368">
        <v>-1.42</v>
      </c>
      <c r="AN3368">
        <v>31.68</v>
      </c>
      <c r="AO3368">
        <v>10.83</v>
      </c>
      <c r="AP3368">
        <v>16.53</v>
      </c>
    </row>
    <row r="3369" spans="1:42">
      <c r="A3369">
        <v>3368</v>
      </c>
      <c r="B3369" t="str">
        <f>"300149"</f>
        <v>300149</v>
      </c>
      <c r="C3369" t="s">
        <v>16943</v>
      </c>
      <c r="D3369">
        <v>8.7</v>
      </c>
      <c r="E3369">
        <v>0.69</v>
      </c>
      <c r="F3369">
        <v>0.06</v>
      </c>
      <c r="G3369" t="s">
        <v>7430</v>
      </c>
      <c r="H3369">
        <v>699</v>
      </c>
      <c r="I3369">
        <v>8.69</v>
      </c>
      <c r="J3369">
        <v>8.7</v>
      </c>
      <c r="K3369" t="s">
        <v>16944</v>
      </c>
      <c r="L3369">
        <v>1.03</v>
      </c>
      <c r="M3369" t="s">
        <v>46</v>
      </c>
      <c r="N3369" t="s">
        <v>1556</v>
      </c>
      <c r="O3369">
        <v>8.77</v>
      </c>
      <c r="P3369">
        <v>8.55</v>
      </c>
      <c r="Q3369">
        <v>8.64</v>
      </c>
      <c r="R3369">
        <v>8.64</v>
      </c>
      <c r="S3369">
        <v>2.55</v>
      </c>
      <c r="T3369">
        <v>0.67</v>
      </c>
      <c r="U3369">
        <v>35.94</v>
      </c>
      <c r="V3369">
        <v>1215</v>
      </c>
      <c r="W3369">
        <v>8.71</v>
      </c>
      <c r="X3369" t="s">
        <v>3033</v>
      </c>
      <c r="Y3369" t="s">
        <v>156</v>
      </c>
      <c r="Z3369">
        <v>1.45</v>
      </c>
      <c r="AA3369">
        <v>45</v>
      </c>
      <c r="AB3369">
        <v>55</v>
      </c>
      <c r="AC3369">
        <v>1.87</v>
      </c>
      <c r="AD3369" t="s">
        <v>15363</v>
      </c>
      <c r="AE3369" t="s">
        <v>4272</v>
      </c>
      <c r="AF3369" t="s">
        <v>3878</v>
      </c>
      <c r="AG3369" t="s">
        <v>16945</v>
      </c>
      <c r="AH3369">
        <v>-1.14</v>
      </c>
      <c r="AI3369">
        <v>-3.23</v>
      </c>
      <c r="AJ3369">
        <v>3.39</v>
      </c>
      <c r="AK3369">
        <v>8.72</v>
      </c>
      <c r="AL3369">
        <v>1</v>
      </c>
      <c r="AM3369">
        <v>0.69</v>
      </c>
      <c r="AN3369">
        <v>-16.43</v>
      </c>
      <c r="AO3369">
        <v>-0.8</v>
      </c>
      <c r="AP3369">
        <v>-25.45</v>
      </c>
    </row>
    <row r="3370" spans="1:42">
      <c r="A3370">
        <v>3369</v>
      </c>
      <c r="B3370" t="str">
        <f>"832469"</f>
        <v>832469</v>
      </c>
      <c r="C3370" t="s">
        <v>16946</v>
      </c>
      <c r="D3370">
        <v>9.12</v>
      </c>
      <c r="E3370">
        <v>-8.25</v>
      </c>
      <c r="F3370">
        <v>-0.82</v>
      </c>
      <c r="G3370" t="s">
        <v>5435</v>
      </c>
      <c r="H3370">
        <v>496</v>
      </c>
      <c r="I3370">
        <v>9.12</v>
      </c>
      <c r="J3370">
        <v>9.13</v>
      </c>
      <c r="K3370" t="s">
        <v>16947</v>
      </c>
      <c r="L3370">
        <v>14.7</v>
      </c>
      <c r="M3370" t="s">
        <v>46</v>
      </c>
      <c r="N3370" t="s">
        <v>3680</v>
      </c>
      <c r="O3370">
        <v>10.25</v>
      </c>
      <c r="P3370">
        <v>9.12</v>
      </c>
      <c r="Q3370">
        <v>9.91</v>
      </c>
      <c r="R3370">
        <v>9.94</v>
      </c>
      <c r="S3370">
        <v>11.37</v>
      </c>
      <c r="T3370">
        <v>0.54</v>
      </c>
      <c r="U3370">
        <v>31.94</v>
      </c>
      <c r="V3370">
        <v>250</v>
      </c>
      <c r="W3370">
        <v>9.55</v>
      </c>
      <c r="X3370" t="s">
        <v>6768</v>
      </c>
      <c r="Y3370" t="s">
        <v>2878</v>
      </c>
      <c r="Z3370">
        <v>1.57</v>
      </c>
      <c r="AA3370">
        <v>333</v>
      </c>
      <c r="AB3370">
        <v>4</v>
      </c>
      <c r="AC3370">
        <v>2.31</v>
      </c>
      <c r="AD3370" t="s">
        <v>12950</v>
      </c>
      <c r="AE3370" t="s">
        <v>16948</v>
      </c>
      <c r="AF3370" t="s">
        <v>16949</v>
      </c>
      <c r="AG3370" t="s">
        <v>16950</v>
      </c>
      <c r="AH3370">
        <v>-26.45</v>
      </c>
      <c r="AI3370">
        <v>12.73</v>
      </c>
      <c r="AJ3370">
        <v>53.13</v>
      </c>
      <c r="AK3370">
        <v>151.21</v>
      </c>
      <c r="AL3370">
        <v>-4</v>
      </c>
      <c r="AM3370">
        <v>-8.25</v>
      </c>
      <c r="AN3370">
        <v>13.86</v>
      </c>
      <c r="AO3370">
        <v>44.3</v>
      </c>
      <c r="AP3370">
        <v>14</v>
      </c>
    </row>
    <row r="3371" spans="1:42">
      <c r="A3371">
        <v>3370</v>
      </c>
      <c r="B3371" t="str">
        <f>"000850"</f>
        <v>000850</v>
      </c>
      <c r="C3371" t="s">
        <v>16951</v>
      </c>
      <c r="D3371">
        <v>3.9</v>
      </c>
      <c r="E3371">
        <v>1.3</v>
      </c>
      <c r="F3371">
        <v>0.05</v>
      </c>
      <c r="G3371" t="s">
        <v>4369</v>
      </c>
      <c r="H3371">
        <v>495</v>
      </c>
      <c r="I3371">
        <v>3.89</v>
      </c>
      <c r="J3371">
        <v>3.9</v>
      </c>
      <c r="K3371" t="s">
        <v>16952</v>
      </c>
      <c r="L3371">
        <v>1.21</v>
      </c>
      <c r="M3371" t="s">
        <v>46</v>
      </c>
      <c r="N3371" t="s">
        <v>16388</v>
      </c>
      <c r="O3371">
        <v>3.93</v>
      </c>
      <c r="P3371">
        <v>3.84</v>
      </c>
      <c r="Q3371">
        <v>3.84</v>
      </c>
      <c r="R3371">
        <v>3.85</v>
      </c>
      <c r="S3371">
        <v>2.34</v>
      </c>
      <c r="T3371">
        <v>1.53</v>
      </c>
      <c r="U3371">
        <v>-32.62</v>
      </c>
      <c r="V3371">
        <v>-4632</v>
      </c>
      <c r="W3371">
        <v>3.9</v>
      </c>
      <c r="X3371" t="s">
        <v>3736</v>
      </c>
      <c r="Y3371" t="s">
        <v>9204</v>
      </c>
      <c r="Z3371">
        <v>0.79</v>
      </c>
      <c r="AA3371">
        <v>249</v>
      </c>
      <c r="AB3371">
        <v>366</v>
      </c>
      <c r="AC3371">
        <v>0.84</v>
      </c>
      <c r="AD3371" t="s">
        <v>9510</v>
      </c>
      <c r="AE3371" t="s">
        <v>16953</v>
      </c>
      <c r="AF3371" t="s">
        <v>16954</v>
      </c>
      <c r="AG3371" t="s">
        <v>15621</v>
      </c>
      <c r="AH3371">
        <v>-0.26</v>
      </c>
      <c r="AI3371">
        <v>-1.02</v>
      </c>
      <c r="AJ3371">
        <v>2.88</v>
      </c>
      <c r="AK3371">
        <v>5.17</v>
      </c>
      <c r="AL3371">
        <v>1</v>
      </c>
      <c r="AM3371">
        <v>1.3</v>
      </c>
      <c r="AN3371">
        <v>19.63</v>
      </c>
      <c r="AO3371">
        <v>2.09</v>
      </c>
      <c r="AP3371">
        <v>17.12</v>
      </c>
    </row>
    <row r="3372" spans="1:42">
      <c r="A3372">
        <v>3371</v>
      </c>
      <c r="B3372" t="str">
        <f>"000531"</f>
        <v>000531</v>
      </c>
      <c r="C3372" t="s">
        <v>16955</v>
      </c>
      <c r="D3372">
        <v>6.99</v>
      </c>
      <c r="E3372">
        <v>0.87</v>
      </c>
      <c r="F3372">
        <v>0.06</v>
      </c>
      <c r="G3372" t="s">
        <v>9204</v>
      </c>
      <c r="H3372">
        <v>176</v>
      </c>
      <c r="I3372">
        <v>6.98</v>
      </c>
      <c r="J3372">
        <v>6.99</v>
      </c>
      <c r="K3372" t="s">
        <v>16952</v>
      </c>
      <c r="L3372">
        <v>0.78</v>
      </c>
      <c r="M3372" t="s">
        <v>46</v>
      </c>
      <c r="N3372" t="s">
        <v>9178</v>
      </c>
      <c r="O3372">
        <v>7.01</v>
      </c>
      <c r="P3372">
        <v>6.85</v>
      </c>
      <c r="Q3372">
        <v>6.94</v>
      </c>
      <c r="R3372">
        <v>6.93</v>
      </c>
      <c r="S3372">
        <v>2.31</v>
      </c>
      <c r="T3372">
        <v>1.74</v>
      </c>
      <c r="U3372">
        <v>-36.99</v>
      </c>
      <c r="V3372">
        <v>-2971</v>
      </c>
      <c r="W3372">
        <v>6.98</v>
      </c>
      <c r="X3372" t="s">
        <v>9272</v>
      </c>
      <c r="Y3372" t="s">
        <v>5706</v>
      </c>
      <c r="Z3372">
        <v>0.62</v>
      </c>
      <c r="AA3372">
        <v>316</v>
      </c>
      <c r="AB3372">
        <v>569</v>
      </c>
      <c r="AC3372">
        <v>1.1</v>
      </c>
      <c r="AD3372" t="s">
        <v>16956</v>
      </c>
      <c r="AE3372" t="s">
        <v>16957</v>
      </c>
      <c r="AF3372" t="s">
        <v>16956</v>
      </c>
      <c r="AG3372" t="s">
        <v>16957</v>
      </c>
      <c r="AH3372">
        <v>1.16</v>
      </c>
      <c r="AI3372">
        <v>1.3</v>
      </c>
      <c r="AJ3372">
        <v>1.68</v>
      </c>
      <c r="AK3372">
        <v>3.02</v>
      </c>
      <c r="AL3372">
        <v>2</v>
      </c>
      <c r="AM3372">
        <v>0.87</v>
      </c>
      <c r="AN3372">
        <v>14.4</v>
      </c>
      <c r="AO3372">
        <v>2.49</v>
      </c>
      <c r="AP3372">
        <v>11.13</v>
      </c>
    </row>
    <row r="3373" spans="1:42">
      <c r="A3373">
        <v>3372</v>
      </c>
      <c r="B3373" t="str">
        <f>"002350"</f>
        <v>002350</v>
      </c>
      <c r="C3373" t="s">
        <v>16958</v>
      </c>
      <c r="D3373">
        <v>6.67</v>
      </c>
      <c r="E3373">
        <v>0</v>
      </c>
      <c r="F3373">
        <v>0</v>
      </c>
      <c r="G3373" t="s">
        <v>6993</v>
      </c>
      <c r="H3373">
        <v>971</v>
      </c>
      <c r="I3373">
        <v>6.66</v>
      </c>
      <c r="J3373">
        <v>6.67</v>
      </c>
      <c r="K3373" t="s">
        <v>16959</v>
      </c>
      <c r="L3373">
        <v>1.27</v>
      </c>
      <c r="M3373" t="s">
        <v>46</v>
      </c>
      <c r="N3373" t="s">
        <v>2636</v>
      </c>
      <c r="O3373">
        <v>6.7</v>
      </c>
      <c r="P3373">
        <v>6.59</v>
      </c>
      <c r="Q3373">
        <v>6.68</v>
      </c>
      <c r="R3373">
        <v>6.67</v>
      </c>
      <c r="S3373">
        <v>1.65</v>
      </c>
      <c r="T3373">
        <v>0.54</v>
      </c>
      <c r="U3373">
        <v>-56.93</v>
      </c>
      <c r="V3373">
        <v>-6792</v>
      </c>
      <c r="W3373">
        <v>6.64</v>
      </c>
      <c r="X3373" t="s">
        <v>6314</v>
      </c>
      <c r="Y3373" t="s">
        <v>6657</v>
      </c>
      <c r="Z3373">
        <v>1.17</v>
      </c>
      <c r="AA3373">
        <v>1106</v>
      </c>
      <c r="AB3373">
        <v>4205</v>
      </c>
      <c r="AC3373">
        <v>1.97</v>
      </c>
      <c r="AD3373" t="s">
        <v>16960</v>
      </c>
      <c r="AE3373" t="s">
        <v>14948</v>
      </c>
      <c r="AF3373" t="s">
        <v>15223</v>
      </c>
      <c r="AG3373" t="s">
        <v>3387</v>
      </c>
      <c r="AH3373">
        <v>-2.77</v>
      </c>
      <c r="AI3373">
        <v>2.62</v>
      </c>
      <c r="AJ3373">
        <v>6.25</v>
      </c>
      <c r="AK3373">
        <v>13.01</v>
      </c>
      <c r="AL3373">
        <v>0</v>
      </c>
      <c r="AM3373">
        <v>0</v>
      </c>
      <c r="AN3373">
        <v>0.15</v>
      </c>
      <c r="AO3373">
        <v>5.87</v>
      </c>
      <c r="AP3373">
        <v>-12.7</v>
      </c>
    </row>
    <row r="3374" spans="1:42">
      <c r="A3374">
        <v>3373</v>
      </c>
      <c r="B3374" t="str">
        <f>"600858"</f>
        <v>600858</v>
      </c>
      <c r="C3374" t="s">
        <v>16961</v>
      </c>
      <c r="D3374">
        <v>5.69</v>
      </c>
      <c r="E3374">
        <v>0.89</v>
      </c>
      <c r="F3374">
        <v>0.05</v>
      </c>
      <c r="G3374" t="s">
        <v>9644</v>
      </c>
      <c r="H3374">
        <v>224</v>
      </c>
      <c r="I3374">
        <v>5.69</v>
      </c>
      <c r="J3374">
        <v>5.7</v>
      </c>
      <c r="K3374" t="s">
        <v>16962</v>
      </c>
      <c r="L3374">
        <v>1.51</v>
      </c>
      <c r="M3374" t="s">
        <v>46</v>
      </c>
      <c r="N3374" t="s">
        <v>14190</v>
      </c>
      <c r="O3374">
        <v>5.77</v>
      </c>
      <c r="P3374">
        <v>5.61</v>
      </c>
      <c r="Q3374">
        <v>5.64</v>
      </c>
      <c r="R3374">
        <v>5.64</v>
      </c>
      <c r="S3374">
        <v>2.84</v>
      </c>
      <c r="T3374">
        <v>1.37</v>
      </c>
      <c r="U3374">
        <v>30.61</v>
      </c>
      <c r="V3374">
        <v>1749</v>
      </c>
      <c r="W3374">
        <v>5.7</v>
      </c>
      <c r="X3374" t="s">
        <v>1566</v>
      </c>
      <c r="Y3374" t="s">
        <v>6748</v>
      </c>
      <c r="Z3374">
        <v>0.95</v>
      </c>
      <c r="AA3374">
        <v>527</v>
      </c>
      <c r="AB3374">
        <v>1171</v>
      </c>
      <c r="AC3374">
        <v>1.16</v>
      </c>
      <c r="AD3374" t="s">
        <v>5595</v>
      </c>
      <c r="AE3374" t="s">
        <v>15461</v>
      </c>
      <c r="AF3374" t="s">
        <v>16963</v>
      </c>
      <c r="AG3374" t="s">
        <v>16964</v>
      </c>
      <c r="AH3374">
        <v>1.07</v>
      </c>
      <c r="AI3374">
        <v>0.53</v>
      </c>
      <c r="AJ3374">
        <v>3.73</v>
      </c>
      <c r="AK3374">
        <v>7</v>
      </c>
      <c r="AL3374">
        <v>2</v>
      </c>
      <c r="AM3374">
        <v>0.89</v>
      </c>
      <c r="AN3374">
        <v>-12.06</v>
      </c>
      <c r="AO3374">
        <v>4.02</v>
      </c>
      <c r="AP3374">
        <v>1.07</v>
      </c>
    </row>
    <row r="3375" spans="1:42">
      <c r="A3375">
        <v>3374</v>
      </c>
      <c r="B3375" t="str">
        <f>"600826"</f>
        <v>600826</v>
      </c>
      <c r="C3375" t="s">
        <v>16965</v>
      </c>
      <c r="D3375">
        <v>9.42</v>
      </c>
      <c r="E3375">
        <v>2.84</v>
      </c>
      <c r="F3375">
        <v>0.26</v>
      </c>
      <c r="G3375" t="s">
        <v>4399</v>
      </c>
      <c r="H3375">
        <v>476</v>
      </c>
      <c r="I3375">
        <v>9.41</v>
      </c>
      <c r="J3375">
        <v>9.42</v>
      </c>
      <c r="K3375" t="s">
        <v>16966</v>
      </c>
      <c r="L3375">
        <v>1.14</v>
      </c>
      <c r="M3375" t="s">
        <v>46</v>
      </c>
      <c r="N3375" t="s">
        <v>16967</v>
      </c>
      <c r="O3375">
        <v>9.45</v>
      </c>
      <c r="P3375">
        <v>9.12</v>
      </c>
      <c r="Q3375">
        <v>9.18</v>
      </c>
      <c r="R3375">
        <v>9.16</v>
      </c>
      <c r="S3375">
        <v>3.6</v>
      </c>
      <c r="T3375">
        <v>1.02</v>
      </c>
      <c r="U3375">
        <v>-56.98</v>
      </c>
      <c r="V3375">
        <v>-4437</v>
      </c>
      <c r="W3375">
        <v>9.34</v>
      </c>
      <c r="X3375" t="s">
        <v>1072</v>
      </c>
      <c r="Y3375" t="s">
        <v>541</v>
      </c>
      <c r="Z3375">
        <v>0.65</v>
      </c>
      <c r="AA3375">
        <v>432</v>
      </c>
      <c r="AB3375">
        <v>4238</v>
      </c>
      <c r="AC3375">
        <v>1.29</v>
      </c>
      <c r="AD3375" t="s">
        <v>6127</v>
      </c>
      <c r="AE3375" t="s">
        <v>16968</v>
      </c>
      <c r="AF3375" t="s">
        <v>16969</v>
      </c>
      <c r="AG3375" t="s">
        <v>16970</v>
      </c>
      <c r="AH3375">
        <v>1.62</v>
      </c>
      <c r="AI3375">
        <v>-1.77</v>
      </c>
      <c r="AJ3375">
        <v>3.22</v>
      </c>
      <c r="AK3375">
        <v>6.72</v>
      </c>
      <c r="AL3375">
        <v>2</v>
      </c>
      <c r="AM3375">
        <v>2.84</v>
      </c>
      <c r="AN3375">
        <v>3.74</v>
      </c>
      <c r="AO3375">
        <v>0.43</v>
      </c>
      <c r="AP3375">
        <v>11.74</v>
      </c>
    </row>
    <row r="3376" spans="1:42">
      <c r="A3376">
        <v>3375</v>
      </c>
      <c r="B3376" t="str">
        <f>"600284"</f>
        <v>600284</v>
      </c>
      <c r="C3376" t="s">
        <v>16971</v>
      </c>
      <c r="D3376">
        <v>6.46</v>
      </c>
      <c r="E3376">
        <v>0.78</v>
      </c>
      <c r="F3376">
        <v>0.05</v>
      </c>
      <c r="G3376" t="s">
        <v>5725</v>
      </c>
      <c r="H3376">
        <v>251</v>
      </c>
      <c r="I3376">
        <v>6.46</v>
      </c>
      <c r="J3376">
        <v>6.47</v>
      </c>
      <c r="K3376" t="s">
        <v>16972</v>
      </c>
      <c r="L3376">
        <v>0.71</v>
      </c>
      <c r="M3376" t="s">
        <v>46</v>
      </c>
      <c r="N3376" t="s">
        <v>2983</v>
      </c>
      <c r="O3376">
        <v>6.48</v>
      </c>
      <c r="P3376">
        <v>6.4</v>
      </c>
      <c r="Q3376">
        <v>6.43</v>
      </c>
      <c r="R3376">
        <v>6.41</v>
      </c>
      <c r="S3376">
        <v>1.25</v>
      </c>
      <c r="T3376">
        <v>0.51</v>
      </c>
      <c r="U3376">
        <v>-55.73</v>
      </c>
      <c r="V3376">
        <v>-4750</v>
      </c>
      <c r="W3376">
        <v>6.44</v>
      </c>
      <c r="X3376" t="s">
        <v>7679</v>
      </c>
      <c r="Y3376" t="s">
        <v>6314</v>
      </c>
      <c r="Z3376">
        <v>0.91</v>
      </c>
      <c r="AA3376">
        <v>501</v>
      </c>
      <c r="AB3376">
        <v>1020</v>
      </c>
      <c r="AC3376">
        <v>0.84</v>
      </c>
      <c r="AD3376" t="s">
        <v>16973</v>
      </c>
      <c r="AE3376" t="s">
        <v>16974</v>
      </c>
      <c r="AF3376" t="s">
        <v>16973</v>
      </c>
      <c r="AG3376" t="s">
        <v>16974</v>
      </c>
      <c r="AH3376">
        <v>-0.46</v>
      </c>
      <c r="AI3376">
        <v>-3.87</v>
      </c>
      <c r="AJ3376">
        <v>2.41</v>
      </c>
      <c r="AK3376">
        <v>7.65</v>
      </c>
      <c r="AL3376">
        <v>1</v>
      </c>
      <c r="AM3376">
        <v>0.78</v>
      </c>
      <c r="AN3376">
        <v>-1.07</v>
      </c>
      <c r="AO3376">
        <v>1.1</v>
      </c>
      <c r="AP3376">
        <v>-5</v>
      </c>
    </row>
    <row r="3377" spans="1:42">
      <c r="A3377">
        <v>3376</v>
      </c>
      <c r="B3377" t="str">
        <f>"002303"</f>
        <v>002303</v>
      </c>
      <c r="C3377" t="s">
        <v>16975</v>
      </c>
      <c r="D3377">
        <v>3.62</v>
      </c>
      <c r="E3377">
        <v>0.84</v>
      </c>
      <c r="F3377">
        <v>0.03</v>
      </c>
      <c r="G3377" t="s">
        <v>422</v>
      </c>
      <c r="H3377">
        <v>826</v>
      </c>
      <c r="I3377">
        <v>3.62</v>
      </c>
      <c r="J3377">
        <v>3.63</v>
      </c>
      <c r="K3377" t="s">
        <v>16972</v>
      </c>
      <c r="L3377">
        <v>1.29</v>
      </c>
      <c r="M3377" t="s">
        <v>46</v>
      </c>
      <c r="N3377" t="s">
        <v>10840</v>
      </c>
      <c r="O3377">
        <v>3.64</v>
      </c>
      <c r="P3377">
        <v>3.59</v>
      </c>
      <c r="Q3377">
        <v>3.59</v>
      </c>
      <c r="R3377">
        <v>3.59</v>
      </c>
      <c r="S3377">
        <v>1.39</v>
      </c>
      <c r="T3377">
        <v>1.1</v>
      </c>
      <c r="U3377">
        <v>-50.7</v>
      </c>
      <c r="V3377">
        <v>-7467</v>
      </c>
      <c r="W3377">
        <v>3.62</v>
      </c>
      <c r="X3377" t="s">
        <v>7400</v>
      </c>
      <c r="Y3377" t="s">
        <v>2705</v>
      </c>
      <c r="Z3377">
        <v>0.95</v>
      </c>
      <c r="AA3377">
        <v>444</v>
      </c>
      <c r="AB3377">
        <v>1417</v>
      </c>
      <c r="AC3377">
        <v>1.09</v>
      </c>
      <c r="AD3377" t="s">
        <v>12627</v>
      </c>
      <c r="AE3377" t="s">
        <v>16976</v>
      </c>
      <c r="AF3377" t="s">
        <v>16977</v>
      </c>
      <c r="AG3377" t="s">
        <v>7706</v>
      </c>
      <c r="AH3377">
        <v>0.28</v>
      </c>
      <c r="AI3377">
        <v>0</v>
      </c>
      <c r="AJ3377">
        <v>3.49</v>
      </c>
      <c r="AK3377">
        <v>7.13</v>
      </c>
      <c r="AL3377">
        <v>1</v>
      </c>
      <c r="AM3377">
        <v>0.84</v>
      </c>
      <c r="AN3377">
        <v>4.32</v>
      </c>
      <c r="AO3377">
        <v>3.43</v>
      </c>
      <c r="AP3377">
        <v>1.12</v>
      </c>
    </row>
    <row r="3378" spans="1:42">
      <c r="A3378">
        <v>3377</v>
      </c>
      <c r="B3378" t="str">
        <f>"601996"</f>
        <v>601996</v>
      </c>
      <c r="C3378" t="s">
        <v>16978</v>
      </c>
      <c r="D3378">
        <v>2.78</v>
      </c>
      <c r="E3378">
        <v>2.58</v>
      </c>
      <c r="F3378">
        <v>0.07</v>
      </c>
      <c r="G3378" t="s">
        <v>561</v>
      </c>
      <c r="H3378">
        <v>2024</v>
      </c>
      <c r="I3378">
        <v>2.77</v>
      </c>
      <c r="J3378">
        <v>2.78</v>
      </c>
      <c r="K3378" t="s">
        <v>15964</v>
      </c>
      <c r="L3378">
        <v>1.4</v>
      </c>
      <c r="M3378" t="s">
        <v>46</v>
      </c>
      <c r="N3378" t="s">
        <v>4602</v>
      </c>
      <c r="O3378">
        <v>2.78</v>
      </c>
      <c r="P3378">
        <v>2.69</v>
      </c>
      <c r="Q3378">
        <v>2.71</v>
      </c>
      <c r="R3378">
        <v>2.71</v>
      </c>
      <c r="S3378">
        <v>3.32</v>
      </c>
      <c r="T3378">
        <v>1.42</v>
      </c>
      <c r="U3378">
        <v>-51.25</v>
      </c>
      <c r="V3378" t="s">
        <v>15551</v>
      </c>
      <c r="W3378">
        <v>2.76</v>
      </c>
      <c r="X3378" t="s">
        <v>9519</v>
      </c>
      <c r="Y3378" t="s">
        <v>1128</v>
      </c>
      <c r="Z3378">
        <v>0.52</v>
      </c>
      <c r="AA3378">
        <v>32</v>
      </c>
      <c r="AB3378">
        <v>1823</v>
      </c>
      <c r="AC3378">
        <v>1.1</v>
      </c>
      <c r="AD3378" t="s">
        <v>16610</v>
      </c>
      <c r="AE3378" t="s">
        <v>11154</v>
      </c>
      <c r="AF3378" t="s">
        <v>16610</v>
      </c>
      <c r="AG3378" t="s">
        <v>11154</v>
      </c>
      <c r="AH3378">
        <v>0.72</v>
      </c>
      <c r="AI3378">
        <v>-1.42</v>
      </c>
      <c r="AJ3378">
        <v>3.23</v>
      </c>
      <c r="AK3378">
        <v>6.34</v>
      </c>
      <c r="AL3378">
        <v>1</v>
      </c>
      <c r="AM3378">
        <v>2.58</v>
      </c>
      <c r="AN3378">
        <v>2.96</v>
      </c>
      <c r="AO3378">
        <v>3.35</v>
      </c>
      <c r="AP3378">
        <v>-0.36</v>
      </c>
    </row>
    <row r="3379" spans="1:42">
      <c r="A3379">
        <v>3378</v>
      </c>
      <c r="B3379" t="str">
        <f>"002285"</f>
        <v>002285</v>
      </c>
      <c r="C3379" t="s">
        <v>16979</v>
      </c>
      <c r="D3379">
        <v>2.68</v>
      </c>
      <c r="E3379">
        <v>1.9</v>
      </c>
      <c r="F3379">
        <v>0.05</v>
      </c>
      <c r="G3379" t="s">
        <v>1439</v>
      </c>
      <c r="H3379">
        <v>2073</v>
      </c>
      <c r="I3379">
        <v>2.68</v>
      </c>
      <c r="J3379">
        <v>2.69</v>
      </c>
      <c r="K3379" t="s">
        <v>16980</v>
      </c>
      <c r="L3379">
        <v>0.84</v>
      </c>
      <c r="M3379" t="s">
        <v>46</v>
      </c>
      <c r="N3379" t="s">
        <v>4524</v>
      </c>
      <c r="O3379">
        <v>2.69</v>
      </c>
      <c r="P3379">
        <v>2.61</v>
      </c>
      <c r="Q3379">
        <v>2.63</v>
      </c>
      <c r="R3379">
        <v>2.63</v>
      </c>
      <c r="S3379">
        <v>3.04</v>
      </c>
      <c r="T3379">
        <v>0.88</v>
      </c>
      <c r="U3379">
        <v>10.99</v>
      </c>
      <c r="V3379">
        <v>3616</v>
      </c>
      <c r="W3379">
        <v>2.66</v>
      </c>
      <c r="X3379" t="s">
        <v>13346</v>
      </c>
      <c r="Y3379" t="s">
        <v>1499</v>
      </c>
      <c r="Z3379">
        <v>0.63</v>
      </c>
      <c r="AA3379">
        <v>168</v>
      </c>
      <c r="AB3379">
        <v>5358</v>
      </c>
      <c r="AC3379">
        <v>1.61</v>
      </c>
      <c r="AD3379" t="s">
        <v>15677</v>
      </c>
      <c r="AE3379" t="s">
        <v>16981</v>
      </c>
      <c r="AF3379" t="s">
        <v>12853</v>
      </c>
      <c r="AG3379" t="s">
        <v>13024</v>
      </c>
      <c r="AH3379">
        <v>0</v>
      </c>
      <c r="AI3379">
        <v>-3.94</v>
      </c>
      <c r="AJ3379">
        <v>2.7</v>
      </c>
      <c r="AK3379">
        <v>5.61</v>
      </c>
      <c r="AL3379">
        <v>2</v>
      </c>
      <c r="AM3379">
        <v>1.9</v>
      </c>
      <c r="AN3379">
        <v>-18.54</v>
      </c>
      <c r="AO3379">
        <v>4.28</v>
      </c>
      <c r="AP3379">
        <v>-10.96</v>
      </c>
    </row>
    <row r="3380" spans="1:42">
      <c r="A3380">
        <v>3379</v>
      </c>
      <c r="B3380" t="str">
        <f>"688058"</f>
        <v>688058</v>
      </c>
      <c r="C3380" t="s">
        <v>16982</v>
      </c>
      <c r="D3380">
        <v>51.85</v>
      </c>
      <c r="E3380">
        <v>3.35</v>
      </c>
      <c r="F3380">
        <v>1.68</v>
      </c>
      <c r="G3380">
        <v>8732</v>
      </c>
      <c r="H3380">
        <v>57</v>
      </c>
      <c r="I3380">
        <v>51.8</v>
      </c>
      <c r="J3380">
        <v>51.85</v>
      </c>
      <c r="K3380" t="s">
        <v>16983</v>
      </c>
      <c r="L3380">
        <v>1.56</v>
      </c>
      <c r="M3380" t="s">
        <v>46</v>
      </c>
      <c r="N3380" t="s">
        <v>6517</v>
      </c>
      <c r="O3380">
        <v>52.22</v>
      </c>
      <c r="P3380">
        <v>49.28</v>
      </c>
      <c r="Q3380">
        <v>50.17</v>
      </c>
      <c r="R3380">
        <v>50.17</v>
      </c>
      <c r="S3380">
        <v>5.86</v>
      </c>
      <c r="T3380">
        <v>1.39</v>
      </c>
      <c r="U3380">
        <v>55.9</v>
      </c>
      <c r="V3380">
        <v>142</v>
      </c>
      <c r="W3380">
        <v>50.79</v>
      </c>
      <c r="X3380">
        <v>3920</v>
      </c>
      <c r="Y3380">
        <v>4812</v>
      </c>
      <c r="Z3380">
        <v>0.81</v>
      </c>
      <c r="AA3380">
        <v>3</v>
      </c>
      <c r="AB3380">
        <v>1</v>
      </c>
      <c r="AC3380">
        <v>3.44</v>
      </c>
      <c r="AD3380" t="s">
        <v>16984</v>
      </c>
      <c r="AE3380" t="s">
        <v>16985</v>
      </c>
      <c r="AF3380" t="s">
        <v>16984</v>
      </c>
      <c r="AG3380" t="s">
        <v>16985</v>
      </c>
      <c r="AH3380">
        <v>1.79</v>
      </c>
      <c r="AI3380">
        <v>-0.92</v>
      </c>
      <c r="AJ3380">
        <v>3.56</v>
      </c>
      <c r="AK3380">
        <v>7.15</v>
      </c>
      <c r="AL3380">
        <v>1</v>
      </c>
      <c r="AM3380">
        <v>3.35</v>
      </c>
      <c r="AN3380">
        <v>26.9</v>
      </c>
      <c r="AO3380">
        <v>10.58</v>
      </c>
      <c r="AP3380">
        <v>14.21</v>
      </c>
    </row>
    <row r="3381" spans="1:42">
      <c r="A3381">
        <v>3380</v>
      </c>
      <c r="B3381" t="str">
        <f>"300506"</f>
        <v>300506</v>
      </c>
      <c r="C3381" t="s">
        <v>16986</v>
      </c>
      <c r="D3381">
        <v>6.23</v>
      </c>
      <c r="E3381">
        <v>3.15</v>
      </c>
      <c r="F3381">
        <v>0.19</v>
      </c>
      <c r="G3381" t="s">
        <v>7753</v>
      </c>
      <c r="H3381">
        <v>2031</v>
      </c>
      <c r="I3381">
        <v>6.22</v>
      </c>
      <c r="J3381">
        <v>6.23</v>
      </c>
      <c r="K3381" t="s">
        <v>16987</v>
      </c>
      <c r="L3381">
        <v>1.25</v>
      </c>
      <c r="M3381" t="s">
        <v>46</v>
      </c>
      <c r="N3381" t="s">
        <v>14388</v>
      </c>
      <c r="O3381">
        <v>6.28</v>
      </c>
      <c r="P3381">
        <v>6.03</v>
      </c>
      <c r="Q3381">
        <v>6.06</v>
      </c>
      <c r="R3381">
        <v>6.04</v>
      </c>
      <c r="S3381">
        <v>4.14</v>
      </c>
      <c r="T3381">
        <v>1.6</v>
      </c>
      <c r="U3381">
        <v>-21.11</v>
      </c>
      <c r="V3381">
        <v>-1525</v>
      </c>
      <c r="W3381">
        <v>6.18</v>
      </c>
      <c r="X3381" t="s">
        <v>401</v>
      </c>
      <c r="Y3381" t="s">
        <v>3925</v>
      </c>
      <c r="Z3381">
        <v>0.75</v>
      </c>
      <c r="AA3381">
        <v>266</v>
      </c>
      <c r="AB3381">
        <v>1063</v>
      </c>
      <c r="AC3381">
        <v>10.51</v>
      </c>
      <c r="AD3381" t="s">
        <v>16988</v>
      </c>
      <c r="AE3381" t="s">
        <v>16563</v>
      </c>
      <c r="AF3381" t="s">
        <v>16989</v>
      </c>
      <c r="AG3381" t="s">
        <v>16990</v>
      </c>
      <c r="AH3381">
        <v>-0.32</v>
      </c>
      <c r="AI3381">
        <v>-1.27</v>
      </c>
      <c r="AJ3381">
        <v>2.79</v>
      </c>
      <c r="AK3381">
        <v>5.17</v>
      </c>
      <c r="AL3381">
        <v>1</v>
      </c>
      <c r="AM3381">
        <v>3.15</v>
      </c>
      <c r="AN3381">
        <v>2.47</v>
      </c>
      <c r="AO3381">
        <v>-4.89</v>
      </c>
      <c r="AP3381">
        <v>-8.25</v>
      </c>
    </row>
    <row r="3382" spans="1:42">
      <c r="A3382">
        <v>3381</v>
      </c>
      <c r="B3382" t="str">
        <f>"301201"</f>
        <v>301201</v>
      </c>
      <c r="C3382" t="s">
        <v>16991</v>
      </c>
      <c r="D3382">
        <v>27.52</v>
      </c>
      <c r="E3382">
        <v>0.7</v>
      </c>
      <c r="F3382">
        <v>0.19</v>
      </c>
      <c r="G3382" t="s">
        <v>7487</v>
      </c>
      <c r="H3382">
        <v>135</v>
      </c>
      <c r="I3382">
        <v>27.52</v>
      </c>
      <c r="J3382">
        <v>27.53</v>
      </c>
      <c r="K3382" t="s">
        <v>16992</v>
      </c>
      <c r="L3382">
        <v>1.85</v>
      </c>
      <c r="M3382" t="s">
        <v>46</v>
      </c>
      <c r="N3382" t="s">
        <v>5583</v>
      </c>
      <c r="O3382">
        <v>27.77</v>
      </c>
      <c r="P3382">
        <v>27.25</v>
      </c>
      <c r="Q3382">
        <v>27.25</v>
      </c>
      <c r="R3382">
        <v>27.33</v>
      </c>
      <c r="S3382">
        <v>1.9</v>
      </c>
      <c r="T3382">
        <v>0.6</v>
      </c>
      <c r="U3382">
        <v>62.69</v>
      </c>
      <c r="V3382">
        <v>205</v>
      </c>
      <c r="W3382">
        <v>27.48</v>
      </c>
      <c r="X3382">
        <v>7185</v>
      </c>
      <c r="Y3382">
        <v>8936</v>
      </c>
      <c r="Z3382">
        <v>0.8</v>
      </c>
      <c r="AA3382">
        <v>86</v>
      </c>
      <c r="AB3382">
        <v>1</v>
      </c>
      <c r="AC3382">
        <v>1.89</v>
      </c>
      <c r="AD3382" t="s">
        <v>16993</v>
      </c>
      <c r="AE3382" t="s">
        <v>16994</v>
      </c>
      <c r="AF3382" t="s">
        <v>16995</v>
      </c>
      <c r="AG3382" t="s">
        <v>1952</v>
      </c>
      <c r="AH3382">
        <v>-1.5</v>
      </c>
      <c r="AI3382">
        <v>-1.96</v>
      </c>
      <c r="AJ3382">
        <v>6.31</v>
      </c>
      <c r="AK3382">
        <v>17.34</v>
      </c>
      <c r="AL3382">
        <v>1</v>
      </c>
      <c r="AM3382">
        <v>0.7</v>
      </c>
      <c r="AN3382">
        <v>-12.8</v>
      </c>
      <c r="AO3382">
        <v>1.85</v>
      </c>
      <c r="AP3382">
        <v>-25.12</v>
      </c>
    </row>
    <row r="3383" spans="1:42">
      <c r="A3383">
        <v>3382</v>
      </c>
      <c r="B3383" t="str">
        <f>"300938"</f>
        <v>300938</v>
      </c>
      <c r="C3383" t="s">
        <v>16996</v>
      </c>
      <c r="D3383">
        <v>35.4</v>
      </c>
      <c r="E3383">
        <v>-1.28</v>
      </c>
      <c r="F3383">
        <v>-0.46</v>
      </c>
      <c r="G3383" t="s">
        <v>2547</v>
      </c>
      <c r="H3383">
        <v>102</v>
      </c>
      <c r="I3383">
        <v>35.4</v>
      </c>
      <c r="J3383">
        <v>35.41</v>
      </c>
      <c r="K3383" t="s">
        <v>16997</v>
      </c>
      <c r="L3383">
        <v>2.34</v>
      </c>
      <c r="M3383" t="s">
        <v>46</v>
      </c>
      <c r="N3383" t="s">
        <v>8879</v>
      </c>
      <c r="O3383">
        <v>36.03</v>
      </c>
      <c r="P3383">
        <v>35.3</v>
      </c>
      <c r="Q3383">
        <v>36.03</v>
      </c>
      <c r="R3383">
        <v>35.86</v>
      </c>
      <c r="S3383">
        <v>2.04</v>
      </c>
      <c r="T3383">
        <v>0.79</v>
      </c>
      <c r="U3383">
        <v>52.51</v>
      </c>
      <c r="V3383">
        <v>115</v>
      </c>
      <c r="W3383">
        <v>35.46</v>
      </c>
      <c r="X3383">
        <v>8223</v>
      </c>
      <c r="Y3383">
        <v>4266</v>
      </c>
      <c r="Z3383">
        <v>1.93</v>
      </c>
      <c r="AA3383">
        <v>32</v>
      </c>
      <c r="AB3383">
        <v>9</v>
      </c>
      <c r="AC3383">
        <v>3.22</v>
      </c>
      <c r="AD3383" t="s">
        <v>1473</v>
      </c>
      <c r="AE3383" t="s">
        <v>16998</v>
      </c>
      <c r="AF3383" t="s">
        <v>16999</v>
      </c>
      <c r="AG3383" t="s">
        <v>5405</v>
      </c>
      <c r="AH3383">
        <v>-5.6</v>
      </c>
      <c r="AI3383">
        <v>-2.72</v>
      </c>
      <c r="AJ3383">
        <v>7.86</v>
      </c>
      <c r="AK3383">
        <v>17.21</v>
      </c>
      <c r="AL3383">
        <v>-3</v>
      </c>
      <c r="AM3383">
        <v>-1.28</v>
      </c>
      <c r="AN3383">
        <v>6.82</v>
      </c>
      <c r="AO3383">
        <v>-3.07</v>
      </c>
      <c r="AP3383">
        <v>-5.55</v>
      </c>
    </row>
    <row r="3384" spans="1:42">
      <c r="A3384">
        <v>3383</v>
      </c>
      <c r="B3384" t="str">
        <f>"300696"</f>
        <v>300696</v>
      </c>
      <c r="C3384" t="s">
        <v>17000</v>
      </c>
      <c r="D3384">
        <v>17.88</v>
      </c>
      <c r="E3384">
        <v>-0.78</v>
      </c>
      <c r="F3384">
        <v>-0.14</v>
      </c>
      <c r="G3384" t="s">
        <v>48</v>
      </c>
      <c r="H3384">
        <v>188</v>
      </c>
      <c r="I3384">
        <v>17.87</v>
      </c>
      <c r="J3384">
        <v>17.88</v>
      </c>
      <c r="K3384" t="s">
        <v>17001</v>
      </c>
      <c r="L3384">
        <v>1.4</v>
      </c>
      <c r="M3384" t="s">
        <v>46</v>
      </c>
      <c r="N3384" t="s">
        <v>5161</v>
      </c>
      <c r="O3384">
        <v>18.03</v>
      </c>
      <c r="P3384">
        <v>17.63</v>
      </c>
      <c r="Q3384">
        <v>18.03</v>
      </c>
      <c r="R3384">
        <v>18.02</v>
      </c>
      <c r="S3384">
        <v>2.22</v>
      </c>
      <c r="T3384">
        <v>1.05</v>
      </c>
      <c r="U3384">
        <v>-0.71</v>
      </c>
      <c r="V3384">
        <v>-4</v>
      </c>
      <c r="W3384">
        <v>17.78</v>
      </c>
      <c r="X3384" t="s">
        <v>383</v>
      </c>
      <c r="Y3384" t="s">
        <v>1743</v>
      </c>
      <c r="Z3384">
        <v>1.15</v>
      </c>
      <c r="AA3384">
        <v>19</v>
      </c>
      <c r="AB3384">
        <v>45</v>
      </c>
      <c r="AC3384">
        <v>2.73</v>
      </c>
      <c r="AD3384" t="s">
        <v>12616</v>
      </c>
      <c r="AE3384" t="s">
        <v>939</v>
      </c>
      <c r="AF3384" t="s">
        <v>8457</v>
      </c>
      <c r="AG3384" t="s">
        <v>12169</v>
      </c>
      <c r="AH3384">
        <v>-5.05</v>
      </c>
      <c r="AI3384">
        <v>-6.83</v>
      </c>
      <c r="AJ3384">
        <v>4.68</v>
      </c>
      <c r="AK3384">
        <v>8.06</v>
      </c>
      <c r="AL3384">
        <v>-3</v>
      </c>
      <c r="AM3384">
        <v>-0.78</v>
      </c>
      <c r="AN3384">
        <v>-32.09</v>
      </c>
      <c r="AO3384">
        <v>-5.2</v>
      </c>
      <c r="AP3384">
        <v>-39.68</v>
      </c>
    </row>
    <row r="3385" spans="1:42">
      <c r="A3385">
        <v>3384</v>
      </c>
      <c r="B3385" t="str">
        <f>"688657"</f>
        <v>688657</v>
      </c>
      <c r="C3385" t="s">
        <v>17002</v>
      </c>
      <c r="D3385">
        <v>81.5</v>
      </c>
      <c r="E3385">
        <v>1.86</v>
      </c>
      <c r="F3385">
        <v>1.49</v>
      </c>
      <c r="G3385">
        <v>5471</v>
      </c>
      <c r="H3385">
        <v>42</v>
      </c>
      <c r="I3385">
        <v>81.35</v>
      </c>
      <c r="J3385">
        <v>81.5</v>
      </c>
      <c r="K3385" t="s">
        <v>17003</v>
      </c>
      <c r="L3385">
        <v>5.78</v>
      </c>
      <c r="M3385" t="s">
        <v>46</v>
      </c>
      <c r="N3385" t="s">
        <v>7077</v>
      </c>
      <c r="O3385">
        <v>82.11</v>
      </c>
      <c r="P3385">
        <v>79.91</v>
      </c>
      <c r="Q3385">
        <v>80.19</v>
      </c>
      <c r="R3385">
        <v>80.01</v>
      </c>
      <c r="S3385">
        <v>2.75</v>
      </c>
      <c r="T3385">
        <v>1.55</v>
      </c>
      <c r="U3385">
        <v>6.32</v>
      </c>
      <c r="V3385">
        <v>4</v>
      </c>
      <c r="W3385">
        <v>80.91</v>
      </c>
      <c r="X3385">
        <v>2262</v>
      </c>
      <c r="Y3385">
        <v>3209</v>
      </c>
      <c r="Z3385">
        <v>0.7</v>
      </c>
      <c r="AA3385">
        <v>2</v>
      </c>
      <c r="AB3385">
        <v>6</v>
      </c>
      <c r="AC3385">
        <v>1.5</v>
      </c>
      <c r="AD3385" t="s">
        <v>17004</v>
      </c>
      <c r="AE3385" t="s">
        <v>13827</v>
      </c>
      <c r="AF3385" t="s">
        <v>17005</v>
      </c>
      <c r="AG3385" t="s">
        <v>17006</v>
      </c>
      <c r="AH3385">
        <v>-1.51</v>
      </c>
      <c r="AI3385">
        <v>-2.7</v>
      </c>
      <c r="AJ3385">
        <v>14</v>
      </c>
      <c r="AK3385">
        <v>24.38</v>
      </c>
      <c r="AL3385">
        <v>1</v>
      </c>
      <c r="AM3385">
        <v>1.86</v>
      </c>
      <c r="AN3385">
        <v>-21.18</v>
      </c>
      <c r="AO3385">
        <v>-1.91</v>
      </c>
      <c r="AP3385">
        <v>-21.18</v>
      </c>
    </row>
    <row r="3386" spans="1:42">
      <c r="A3386">
        <v>3385</v>
      </c>
      <c r="B3386" t="str">
        <f>"603012"</f>
        <v>603012</v>
      </c>
      <c r="C3386" t="s">
        <v>17007</v>
      </c>
      <c r="D3386">
        <v>5.9</v>
      </c>
      <c r="E3386">
        <v>-0.34</v>
      </c>
      <c r="F3386">
        <v>-0.02</v>
      </c>
      <c r="G3386" t="s">
        <v>4221</v>
      </c>
      <c r="H3386">
        <v>374</v>
      </c>
      <c r="I3386">
        <v>5.9</v>
      </c>
      <c r="J3386">
        <v>5.91</v>
      </c>
      <c r="K3386" t="s">
        <v>17008</v>
      </c>
      <c r="L3386">
        <v>1.17</v>
      </c>
      <c r="M3386" t="s">
        <v>46</v>
      </c>
      <c r="N3386" t="s">
        <v>1511</v>
      </c>
      <c r="O3386">
        <v>5.94</v>
      </c>
      <c r="P3386">
        <v>5.88</v>
      </c>
      <c r="Q3386">
        <v>5.92</v>
      </c>
      <c r="R3386">
        <v>5.92</v>
      </c>
      <c r="S3386">
        <v>1.01</v>
      </c>
      <c r="T3386">
        <v>1.09</v>
      </c>
      <c r="U3386">
        <v>29.11</v>
      </c>
      <c r="V3386">
        <v>6789</v>
      </c>
      <c r="W3386">
        <v>5.91</v>
      </c>
      <c r="X3386" t="s">
        <v>5693</v>
      </c>
      <c r="Y3386" t="s">
        <v>5871</v>
      </c>
      <c r="Z3386">
        <v>0.91</v>
      </c>
      <c r="AA3386">
        <v>54</v>
      </c>
      <c r="AB3386">
        <v>1336</v>
      </c>
      <c r="AC3386">
        <v>1.11</v>
      </c>
      <c r="AD3386" t="s">
        <v>15347</v>
      </c>
      <c r="AE3386" t="s">
        <v>17009</v>
      </c>
      <c r="AF3386" t="s">
        <v>14959</v>
      </c>
      <c r="AG3386" t="s">
        <v>17010</v>
      </c>
      <c r="AH3386">
        <v>-1.5</v>
      </c>
      <c r="AI3386">
        <v>-0.51</v>
      </c>
      <c r="AJ3386">
        <v>3.41</v>
      </c>
      <c r="AK3386">
        <v>6.5</v>
      </c>
      <c r="AL3386">
        <v>-3</v>
      </c>
      <c r="AM3386">
        <v>-0.34</v>
      </c>
      <c r="AN3386">
        <v>11.74</v>
      </c>
      <c r="AO3386">
        <v>2.25</v>
      </c>
      <c r="AP3386">
        <v>2.61</v>
      </c>
    </row>
    <row r="3387" spans="1:42">
      <c r="A3387">
        <v>3386</v>
      </c>
      <c r="B3387" t="str">
        <f>"000852"</f>
        <v>000852</v>
      </c>
      <c r="C3387" t="s">
        <v>17011</v>
      </c>
      <c r="D3387">
        <v>6.4</v>
      </c>
      <c r="E3387">
        <v>-0.16</v>
      </c>
      <c r="F3387">
        <v>-0.01</v>
      </c>
      <c r="G3387" t="s">
        <v>2836</v>
      </c>
      <c r="H3387">
        <v>709</v>
      </c>
      <c r="I3387">
        <v>6.4</v>
      </c>
      <c r="J3387">
        <v>6.41</v>
      </c>
      <c r="K3387" t="s">
        <v>17008</v>
      </c>
      <c r="L3387">
        <v>0.77</v>
      </c>
      <c r="M3387" t="s">
        <v>46</v>
      </c>
      <c r="N3387" t="s">
        <v>17012</v>
      </c>
      <c r="O3387">
        <v>6.43</v>
      </c>
      <c r="P3387">
        <v>6.35</v>
      </c>
      <c r="Q3387">
        <v>6.43</v>
      </c>
      <c r="R3387">
        <v>6.41</v>
      </c>
      <c r="S3387">
        <v>1.25</v>
      </c>
      <c r="T3387">
        <v>0.92</v>
      </c>
      <c r="U3387">
        <v>-4.42</v>
      </c>
      <c r="V3387">
        <v>-362</v>
      </c>
      <c r="W3387">
        <v>6.39</v>
      </c>
      <c r="X3387" t="s">
        <v>5666</v>
      </c>
      <c r="Y3387" t="s">
        <v>5553</v>
      </c>
      <c r="Z3387">
        <v>1.49</v>
      </c>
      <c r="AA3387">
        <v>347</v>
      </c>
      <c r="AB3387">
        <v>377</v>
      </c>
      <c r="AC3387">
        <v>2</v>
      </c>
      <c r="AD3387" t="s">
        <v>17013</v>
      </c>
      <c r="AE3387" t="s">
        <v>15732</v>
      </c>
      <c r="AF3387" t="s">
        <v>17014</v>
      </c>
      <c r="AG3387" t="s">
        <v>17015</v>
      </c>
      <c r="AH3387">
        <v>-1.99</v>
      </c>
      <c r="AI3387">
        <v>-2.14</v>
      </c>
      <c r="AJ3387">
        <v>2.03</v>
      </c>
      <c r="AK3387">
        <v>4.92</v>
      </c>
      <c r="AL3387">
        <v>-3</v>
      </c>
      <c r="AM3387">
        <v>-0.16</v>
      </c>
      <c r="AN3387">
        <v>12.08</v>
      </c>
      <c r="AO3387">
        <v>-3.32</v>
      </c>
      <c r="AP3387">
        <v>5.96</v>
      </c>
    </row>
    <row r="3388" spans="1:42">
      <c r="A3388">
        <v>3387</v>
      </c>
      <c r="B3388" t="str">
        <f>"003002"</f>
        <v>003002</v>
      </c>
      <c r="C3388" t="s">
        <v>17016</v>
      </c>
      <c r="D3388">
        <v>15.01</v>
      </c>
      <c r="E3388">
        <v>-1.38</v>
      </c>
      <c r="F3388">
        <v>-0.21</v>
      </c>
      <c r="G3388" t="s">
        <v>7649</v>
      </c>
      <c r="H3388">
        <v>79</v>
      </c>
      <c r="I3388">
        <v>15</v>
      </c>
      <c r="J3388">
        <v>15.01</v>
      </c>
      <c r="K3388" t="s">
        <v>17008</v>
      </c>
      <c r="L3388">
        <v>1.49</v>
      </c>
      <c r="M3388" t="s">
        <v>46</v>
      </c>
      <c r="N3388" t="s">
        <v>1469</v>
      </c>
      <c r="O3388">
        <v>15.3</v>
      </c>
      <c r="P3388">
        <v>14.83</v>
      </c>
      <c r="Q3388">
        <v>15.28</v>
      </c>
      <c r="R3388">
        <v>15.22</v>
      </c>
      <c r="S3388">
        <v>3.09</v>
      </c>
      <c r="T3388">
        <v>1.39</v>
      </c>
      <c r="U3388">
        <v>16.39</v>
      </c>
      <c r="V3388">
        <v>80</v>
      </c>
      <c r="W3388">
        <v>15.01</v>
      </c>
      <c r="X3388" t="s">
        <v>6656</v>
      </c>
      <c r="Y3388" t="s">
        <v>1254</v>
      </c>
      <c r="Z3388">
        <v>1.42</v>
      </c>
      <c r="AA3388">
        <v>33</v>
      </c>
      <c r="AB3388">
        <v>2</v>
      </c>
      <c r="AC3388">
        <v>2.39</v>
      </c>
      <c r="AD3388" t="s">
        <v>5838</v>
      </c>
      <c r="AE3388" t="s">
        <v>17017</v>
      </c>
      <c r="AF3388" t="s">
        <v>17018</v>
      </c>
      <c r="AG3388" t="s">
        <v>17019</v>
      </c>
      <c r="AH3388">
        <v>-3.91</v>
      </c>
      <c r="AI3388">
        <v>-5.18</v>
      </c>
      <c r="AJ3388">
        <v>3.77</v>
      </c>
      <c r="AK3388">
        <v>6.85</v>
      </c>
      <c r="AL3388">
        <v>-3</v>
      </c>
      <c r="AM3388">
        <v>-1.38</v>
      </c>
      <c r="AN3388">
        <v>-17.75</v>
      </c>
      <c r="AO3388">
        <v>-7.23</v>
      </c>
      <c r="AP3388">
        <v>-33.79</v>
      </c>
    </row>
    <row r="3389" spans="1:42">
      <c r="A3389">
        <v>3388</v>
      </c>
      <c r="B3389" t="str">
        <f>"300108"</f>
        <v>300108</v>
      </c>
      <c r="C3389" t="s">
        <v>17020</v>
      </c>
      <c r="D3389">
        <v>3.27</v>
      </c>
      <c r="E3389">
        <v>-0.3</v>
      </c>
      <c r="F3389">
        <v>-0.01</v>
      </c>
      <c r="G3389" t="s">
        <v>4247</v>
      </c>
      <c r="H3389">
        <v>2571</v>
      </c>
      <c r="I3389">
        <v>3.27</v>
      </c>
      <c r="J3389">
        <v>3.28</v>
      </c>
      <c r="K3389" t="s">
        <v>17021</v>
      </c>
      <c r="L3389">
        <v>2.06</v>
      </c>
      <c r="M3389" t="s">
        <v>46</v>
      </c>
      <c r="N3389" t="s">
        <v>4655</v>
      </c>
      <c r="O3389">
        <v>3.35</v>
      </c>
      <c r="P3389">
        <v>3.22</v>
      </c>
      <c r="Q3389">
        <v>3.31</v>
      </c>
      <c r="R3389">
        <v>3.28</v>
      </c>
      <c r="S3389">
        <v>3.96</v>
      </c>
      <c r="T3389">
        <v>0.53</v>
      </c>
      <c r="U3389">
        <v>42.44</v>
      </c>
      <c r="V3389">
        <v>5448</v>
      </c>
      <c r="W3389">
        <v>3.27</v>
      </c>
      <c r="X3389" t="s">
        <v>6210</v>
      </c>
      <c r="Y3389" t="s">
        <v>6203</v>
      </c>
      <c r="Z3389">
        <v>1.81</v>
      </c>
      <c r="AA3389">
        <v>146</v>
      </c>
      <c r="AB3389">
        <v>225</v>
      </c>
      <c r="AC3389">
        <v>-32.39</v>
      </c>
      <c r="AD3389" t="s">
        <v>1681</v>
      </c>
      <c r="AE3389" t="s">
        <v>17022</v>
      </c>
      <c r="AF3389" t="s">
        <v>16658</v>
      </c>
      <c r="AG3389" t="s">
        <v>4124</v>
      </c>
      <c r="AH3389">
        <v>-4.66</v>
      </c>
      <c r="AI3389">
        <v>-6.57</v>
      </c>
      <c r="AJ3389">
        <v>7.98</v>
      </c>
      <c r="AK3389">
        <v>21.65</v>
      </c>
      <c r="AL3389">
        <v>-1</v>
      </c>
      <c r="AM3389">
        <v>-0.3</v>
      </c>
      <c r="AN3389">
        <v>68.56</v>
      </c>
      <c r="AO3389">
        <v>-3.82</v>
      </c>
      <c r="AP3389">
        <v>71.2</v>
      </c>
    </row>
    <row r="3390" spans="1:42">
      <c r="A3390">
        <v>3389</v>
      </c>
      <c r="B3390" t="str">
        <f>"601187"</f>
        <v>601187</v>
      </c>
      <c r="C3390" t="s">
        <v>17023</v>
      </c>
      <c r="D3390">
        <v>5.15</v>
      </c>
      <c r="E3390">
        <v>1.18</v>
      </c>
      <c r="F3390">
        <v>0.06</v>
      </c>
      <c r="G3390" t="s">
        <v>6475</v>
      </c>
      <c r="H3390">
        <v>612</v>
      </c>
      <c r="I3390">
        <v>5.14</v>
      </c>
      <c r="J3390">
        <v>5.15</v>
      </c>
      <c r="K3390" t="s">
        <v>17024</v>
      </c>
      <c r="L3390">
        <v>0.67</v>
      </c>
      <c r="M3390" t="s">
        <v>46</v>
      </c>
      <c r="N3390" t="s">
        <v>7363</v>
      </c>
      <c r="O3390">
        <v>5.15</v>
      </c>
      <c r="P3390">
        <v>5.1</v>
      </c>
      <c r="Q3390">
        <v>5.1</v>
      </c>
      <c r="R3390">
        <v>5.09</v>
      </c>
      <c r="S3390">
        <v>0.98</v>
      </c>
      <c r="T3390">
        <v>0.98</v>
      </c>
      <c r="U3390">
        <v>-23.82</v>
      </c>
      <c r="V3390">
        <v>-4135</v>
      </c>
      <c r="W3390">
        <v>5.13</v>
      </c>
      <c r="X3390" t="s">
        <v>8255</v>
      </c>
      <c r="Y3390" t="s">
        <v>2649</v>
      </c>
      <c r="Z3390">
        <v>0.6</v>
      </c>
      <c r="AA3390">
        <v>242</v>
      </c>
      <c r="AB3390">
        <v>1720</v>
      </c>
      <c r="AC3390">
        <v>0.58</v>
      </c>
      <c r="AD3390" t="s">
        <v>15421</v>
      </c>
      <c r="AE3390" t="s">
        <v>17025</v>
      </c>
      <c r="AF3390" t="s">
        <v>5521</v>
      </c>
      <c r="AG3390" t="s">
        <v>17026</v>
      </c>
      <c r="AH3390">
        <v>-0.19</v>
      </c>
      <c r="AI3390">
        <v>-0.39</v>
      </c>
      <c r="AJ3390">
        <v>1.93</v>
      </c>
      <c r="AK3390">
        <v>4.12</v>
      </c>
      <c r="AL3390">
        <v>1</v>
      </c>
      <c r="AM3390">
        <v>1.18</v>
      </c>
      <c r="AN3390">
        <v>-5.33</v>
      </c>
      <c r="AO3390">
        <v>-3.38</v>
      </c>
      <c r="AP3390">
        <v>0.39</v>
      </c>
    </row>
    <row r="3391" spans="1:42">
      <c r="A3391">
        <v>3390</v>
      </c>
      <c r="B3391" t="str">
        <f>"301222"</f>
        <v>301222</v>
      </c>
      <c r="C3391" t="s">
        <v>17027</v>
      </c>
      <c r="D3391">
        <v>29.3</v>
      </c>
      <c r="E3391">
        <v>0</v>
      </c>
      <c r="F3391">
        <v>0</v>
      </c>
      <c r="G3391" t="s">
        <v>2371</v>
      </c>
      <c r="H3391">
        <v>287</v>
      </c>
      <c r="I3391">
        <v>29.3</v>
      </c>
      <c r="J3391">
        <v>29.31</v>
      </c>
      <c r="K3391" t="s">
        <v>17028</v>
      </c>
      <c r="L3391">
        <v>5.16</v>
      </c>
      <c r="M3391" t="s">
        <v>46</v>
      </c>
      <c r="N3391" t="s">
        <v>3310</v>
      </c>
      <c r="O3391">
        <v>29.56</v>
      </c>
      <c r="P3391">
        <v>28.99</v>
      </c>
      <c r="Q3391">
        <v>29.35</v>
      </c>
      <c r="R3391">
        <v>29.3</v>
      </c>
      <c r="S3391">
        <v>1.95</v>
      </c>
      <c r="T3391">
        <v>0.6</v>
      </c>
      <c r="U3391">
        <v>26.08</v>
      </c>
      <c r="V3391">
        <v>48</v>
      </c>
      <c r="W3391">
        <v>29.33</v>
      </c>
      <c r="X3391">
        <v>8311</v>
      </c>
      <c r="Y3391">
        <v>6761</v>
      </c>
      <c r="Z3391">
        <v>1.23</v>
      </c>
      <c r="AA3391">
        <v>30</v>
      </c>
      <c r="AB3391">
        <v>6</v>
      </c>
      <c r="AC3391">
        <v>2.29</v>
      </c>
      <c r="AD3391" t="s">
        <v>13135</v>
      </c>
      <c r="AE3391" t="s">
        <v>702</v>
      </c>
      <c r="AF3391" t="s">
        <v>17029</v>
      </c>
      <c r="AG3391" t="s">
        <v>17030</v>
      </c>
      <c r="AH3391">
        <v>-6.15</v>
      </c>
      <c r="AI3391">
        <v>-1.68</v>
      </c>
      <c r="AJ3391">
        <v>25.84</v>
      </c>
      <c r="AK3391">
        <v>48.05</v>
      </c>
      <c r="AL3391">
        <v>0</v>
      </c>
      <c r="AM3391">
        <v>0</v>
      </c>
      <c r="AN3391">
        <v>18.53</v>
      </c>
      <c r="AO3391">
        <v>-2.69</v>
      </c>
      <c r="AP3391">
        <v>5.74</v>
      </c>
    </row>
    <row r="3392" spans="1:42">
      <c r="A3392">
        <v>3391</v>
      </c>
      <c r="B3392" t="str">
        <f>"601158"</f>
        <v>601158</v>
      </c>
      <c r="C3392" t="s">
        <v>17031</v>
      </c>
      <c r="D3392">
        <v>5.78</v>
      </c>
      <c r="E3392">
        <v>-0.52</v>
      </c>
      <c r="F3392">
        <v>-0.03</v>
      </c>
      <c r="G3392" t="s">
        <v>3691</v>
      </c>
      <c r="H3392">
        <v>188</v>
      </c>
      <c r="I3392">
        <v>5.78</v>
      </c>
      <c r="J3392">
        <v>5.8</v>
      </c>
      <c r="K3392" t="s">
        <v>17032</v>
      </c>
      <c r="L3392">
        <v>0.16</v>
      </c>
      <c r="M3392" t="s">
        <v>46</v>
      </c>
      <c r="N3392" t="s">
        <v>13919</v>
      </c>
      <c r="O3392">
        <v>5.85</v>
      </c>
      <c r="P3392">
        <v>5.76</v>
      </c>
      <c r="Q3392">
        <v>5.84</v>
      </c>
      <c r="R3392">
        <v>5.81</v>
      </c>
      <c r="S3392">
        <v>1.55</v>
      </c>
      <c r="T3392">
        <v>0.84</v>
      </c>
      <c r="U3392">
        <v>-28.24</v>
      </c>
      <c r="V3392">
        <v>-2574</v>
      </c>
      <c r="W3392">
        <v>5.81</v>
      </c>
      <c r="X3392" t="s">
        <v>2464</v>
      </c>
      <c r="Y3392" t="s">
        <v>534</v>
      </c>
      <c r="Z3392">
        <v>0.91</v>
      </c>
      <c r="AA3392">
        <v>138</v>
      </c>
      <c r="AB3392">
        <v>1323</v>
      </c>
      <c r="AC3392">
        <v>1.61</v>
      </c>
      <c r="AD3392" t="s">
        <v>9637</v>
      </c>
      <c r="AE3392" t="s">
        <v>277</v>
      </c>
      <c r="AF3392" t="s">
        <v>9637</v>
      </c>
      <c r="AG3392" t="s">
        <v>277</v>
      </c>
      <c r="AH3392">
        <v>-0.86</v>
      </c>
      <c r="AI3392">
        <v>0.35</v>
      </c>
      <c r="AJ3392">
        <v>0.45</v>
      </c>
      <c r="AK3392">
        <v>1.1</v>
      </c>
      <c r="AL3392">
        <v>-1</v>
      </c>
      <c r="AM3392">
        <v>-0.52</v>
      </c>
      <c r="AN3392">
        <v>18.93</v>
      </c>
      <c r="AO3392">
        <v>4.9</v>
      </c>
      <c r="AP3392">
        <v>16.3</v>
      </c>
    </row>
    <row r="3393" spans="1:42">
      <c r="A3393">
        <v>3392</v>
      </c>
      <c r="B3393" t="str">
        <f>"600573"</f>
        <v>600573</v>
      </c>
      <c r="C3393" t="s">
        <v>17033</v>
      </c>
      <c r="D3393">
        <v>10.79</v>
      </c>
      <c r="E3393">
        <v>0.28</v>
      </c>
      <c r="F3393">
        <v>0.03</v>
      </c>
      <c r="G3393" t="s">
        <v>2752</v>
      </c>
      <c r="H3393">
        <v>307</v>
      </c>
      <c r="I3393">
        <v>10.78</v>
      </c>
      <c r="J3393">
        <v>10.79</v>
      </c>
      <c r="K3393" t="s">
        <v>17034</v>
      </c>
      <c r="L3393">
        <v>1.64</v>
      </c>
      <c r="M3393" t="s">
        <v>46</v>
      </c>
      <c r="N3393" t="s">
        <v>2372</v>
      </c>
      <c r="O3393">
        <v>10.87</v>
      </c>
      <c r="P3393">
        <v>10.71</v>
      </c>
      <c r="Q3393">
        <v>10.79</v>
      </c>
      <c r="R3393">
        <v>10.76</v>
      </c>
      <c r="S3393">
        <v>1.49</v>
      </c>
      <c r="T3393">
        <v>1.64</v>
      </c>
      <c r="U3393">
        <v>4.98</v>
      </c>
      <c r="V3393">
        <v>66</v>
      </c>
      <c r="W3393">
        <v>10.79</v>
      </c>
      <c r="X3393" t="s">
        <v>1255</v>
      </c>
      <c r="Y3393" t="s">
        <v>1710</v>
      </c>
      <c r="Z3393">
        <v>0.78</v>
      </c>
      <c r="AA3393">
        <v>16</v>
      </c>
      <c r="AB3393">
        <v>6</v>
      </c>
      <c r="AC3393">
        <v>2.14</v>
      </c>
      <c r="AD3393" t="s">
        <v>17035</v>
      </c>
      <c r="AE3393" t="s">
        <v>17036</v>
      </c>
      <c r="AF3393" t="s">
        <v>17035</v>
      </c>
      <c r="AG3393" t="s">
        <v>17036</v>
      </c>
      <c r="AH3393">
        <v>0.47</v>
      </c>
      <c r="AI3393">
        <v>-0.19</v>
      </c>
      <c r="AJ3393">
        <v>3.5</v>
      </c>
      <c r="AK3393">
        <v>6.62</v>
      </c>
      <c r="AL3393">
        <v>4</v>
      </c>
      <c r="AM3393">
        <v>0.28</v>
      </c>
      <c r="AN3393">
        <v>-1.19</v>
      </c>
      <c r="AO3393">
        <v>2.76</v>
      </c>
      <c r="AP3393">
        <v>9.1</v>
      </c>
    </row>
    <row r="3394" spans="1:42">
      <c r="A3394">
        <v>3393</v>
      </c>
      <c r="B3394" t="str">
        <f>"300335"</f>
        <v>300335</v>
      </c>
      <c r="C3394" t="s">
        <v>17037</v>
      </c>
      <c r="D3394">
        <v>5.69</v>
      </c>
      <c r="E3394">
        <v>0.53</v>
      </c>
      <c r="F3394">
        <v>0.03</v>
      </c>
      <c r="G3394" t="s">
        <v>5794</v>
      </c>
      <c r="H3394">
        <v>473</v>
      </c>
      <c r="I3394">
        <v>5.69</v>
      </c>
      <c r="J3394">
        <v>5.7</v>
      </c>
      <c r="K3394" t="s">
        <v>17034</v>
      </c>
      <c r="L3394">
        <v>2.01</v>
      </c>
      <c r="M3394" t="s">
        <v>46</v>
      </c>
      <c r="N3394" t="s">
        <v>17038</v>
      </c>
      <c r="O3394">
        <v>5.72</v>
      </c>
      <c r="P3394">
        <v>5.64</v>
      </c>
      <c r="Q3394">
        <v>5.67</v>
      </c>
      <c r="R3394">
        <v>5.66</v>
      </c>
      <c r="S3394">
        <v>1.41</v>
      </c>
      <c r="T3394">
        <v>0.94</v>
      </c>
      <c r="U3394">
        <v>-27.79</v>
      </c>
      <c r="V3394">
        <v>-2312</v>
      </c>
      <c r="W3394">
        <v>5.69</v>
      </c>
      <c r="X3394" t="s">
        <v>3227</v>
      </c>
      <c r="Y3394" t="s">
        <v>6646</v>
      </c>
      <c r="Z3394">
        <v>1.08</v>
      </c>
      <c r="AA3394">
        <v>1683</v>
      </c>
      <c r="AB3394">
        <v>858</v>
      </c>
      <c r="AC3394">
        <v>1.41</v>
      </c>
      <c r="AD3394" t="s">
        <v>17039</v>
      </c>
      <c r="AE3394" t="s">
        <v>17040</v>
      </c>
      <c r="AF3394" t="s">
        <v>17041</v>
      </c>
      <c r="AG3394" t="s">
        <v>500</v>
      </c>
      <c r="AH3394">
        <v>-0.35</v>
      </c>
      <c r="AI3394">
        <v>-1.56</v>
      </c>
      <c r="AJ3394">
        <v>5.95</v>
      </c>
      <c r="AK3394">
        <v>12.7</v>
      </c>
      <c r="AL3394">
        <v>1</v>
      </c>
      <c r="AM3394">
        <v>0.53</v>
      </c>
      <c r="AN3394">
        <v>28.15</v>
      </c>
      <c r="AO3394">
        <v>1.43</v>
      </c>
      <c r="AP3394">
        <v>20.81</v>
      </c>
    </row>
    <row r="3395" spans="1:42">
      <c r="A3395">
        <v>3394</v>
      </c>
      <c r="B3395" t="str">
        <f>"603165"</f>
        <v>603165</v>
      </c>
      <c r="C3395" t="s">
        <v>17042</v>
      </c>
      <c r="D3395">
        <v>12.62</v>
      </c>
      <c r="E3395">
        <v>0.08</v>
      </c>
      <c r="F3395">
        <v>0.01</v>
      </c>
      <c r="G3395" t="s">
        <v>7177</v>
      </c>
      <c r="H3395">
        <v>335</v>
      </c>
      <c r="I3395">
        <v>12.61</v>
      </c>
      <c r="J3395">
        <v>12.62</v>
      </c>
      <c r="K3395" t="s">
        <v>17043</v>
      </c>
      <c r="L3395">
        <v>1.26</v>
      </c>
      <c r="M3395" t="s">
        <v>46</v>
      </c>
      <c r="N3395" t="s">
        <v>9029</v>
      </c>
      <c r="O3395">
        <v>12.73</v>
      </c>
      <c r="P3395">
        <v>12.5</v>
      </c>
      <c r="Q3395">
        <v>12.61</v>
      </c>
      <c r="R3395">
        <v>12.61</v>
      </c>
      <c r="S3395">
        <v>1.82</v>
      </c>
      <c r="T3395">
        <v>0.94</v>
      </c>
      <c r="U3395">
        <v>16.37</v>
      </c>
      <c r="V3395">
        <v>200</v>
      </c>
      <c r="W3395">
        <v>12.62</v>
      </c>
      <c r="X3395" t="s">
        <v>2371</v>
      </c>
      <c r="Y3395" t="s">
        <v>1590</v>
      </c>
      <c r="Z3395">
        <v>0.76</v>
      </c>
      <c r="AA3395">
        <v>6</v>
      </c>
      <c r="AB3395">
        <v>12</v>
      </c>
      <c r="AC3395">
        <v>1.68</v>
      </c>
      <c r="AD3395" t="s">
        <v>947</v>
      </c>
      <c r="AE3395" t="s">
        <v>16653</v>
      </c>
      <c r="AF3395" t="s">
        <v>947</v>
      </c>
      <c r="AG3395" t="s">
        <v>16653</v>
      </c>
      <c r="AH3395">
        <v>-2.4</v>
      </c>
      <c r="AI3395">
        <v>-3.74</v>
      </c>
      <c r="AJ3395">
        <v>3.49</v>
      </c>
      <c r="AK3395">
        <v>7.96</v>
      </c>
      <c r="AL3395">
        <v>1</v>
      </c>
      <c r="AM3395">
        <v>0.08</v>
      </c>
      <c r="AN3395">
        <v>20.88</v>
      </c>
      <c r="AO3395">
        <v>-3.81</v>
      </c>
      <c r="AP3395">
        <v>15.15</v>
      </c>
    </row>
    <row r="3396" spans="1:42">
      <c r="A3396">
        <v>3395</v>
      </c>
      <c r="B3396" t="str">
        <f>"601107"</f>
        <v>601107</v>
      </c>
      <c r="C3396" t="s">
        <v>17044</v>
      </c>
      <c r="D3396">
        <v>4.31</v>
      </c>
      <c r="E3396">
        <v>-0.92</v>
      </c>
      <c r="F3396">
        <v>-0.04</v>
      </c>
      <c r="G3396" t="s">
        <v>110</v>
      </c>
      <c r="H3396">
        <v>730</v>
      </c>
      <c r="I3396">
        <v>4.3</v>
      </c>
      <c r="J3396">
        <v>4.31</v>
      </c>
      <c r="K3396" t="s">
        <v>17045</v>
      </c>
      <c r="L3396">
        <v>0.47</v>
      </c>
      <c r="M3396" t="s">
        <v>46</v>
      </c>
      <c r="N3396" t="s">
        <v>8014</v>
      </c>
      <c r="O3396">
        <v>4.39</v>
      </c>
      <c r="P3396">
        <v>4.3</v>
      </c>
      <c r="Q3396">
        <v>4.33</v>
      </c>
      <c r="R3396">
        <v>4.35</v>
      </c>
      <c r="S3396">
        <v>2.07</v>
      </c>
      <c r="T3396">
        <v>0.88</v>
      </c>
      <c r="U3396">
        <v>-34.34</v>
      </c>
      <c r="V3396">
        <v>-2872</v>
      </c>
      <c r="W3396">
        <v>4.34</v>
      </c>
      <c r="X3396" t="s">
        <v>9519</v>
      </c>
      <c r="Y3396" t="s">
        <v>5644</v>
      </c>
      <c r="Z3396">
        <v>1.18</v>
      </c>
      <c r="AA3396">
        <v>1033</v>
      </c>
      <c r="AB3396">
        <v>38</v>
      </c>
      <c r="AC3396">
        <v>0.84</v>
      </c>
      <c r="AD3396" t="s">
        <v>17046</v>
      </c>
      <c r="AE3396" t="s">
        <v>14982</v>
      </c>
      <c r="AF3396" t="s">
        <v>17047</v>
      </c>
      <c r="AG3396" t="s">
        <v>17048</v>
      </c>
      <c r="AH3396">
        <v>0.7</v>
      </c>
      <c r="AI3396">
        <v>0.23</v>
      </c>
      <c r="AJ3396">
        <v>1.66</v>
      </c>
      <c r="AK3396">
        <v>3.14</v>
      </c>
      <c r="AL3396">
        <v>-1</v>
      </c>
      <c r="AM3396">
        <v>-0.92</v>
      </c>
      <c r="AN3396">
        <v>16.49</v>
      </c>
      <c r="AO3396">
        <v>8.56</v>
      </c>
      <c r="AP3396">
        <v>15.86</v>
      </c>
    </row>
    <row r="3397" spans="1:42">
      <c r="A3397">
        <v>3396</v>
      </c>
      <c r="B3397" t="str">
        <f>"600490"</f>
        <v>600490</v>
      </c>
      <c r="C3397" t="s">
        <v>17049</v>
      </c>
      <c r="D3397">
        <v>3.01</v>
      </c>
      <c r="E3397">
        <v>1.01</v>
      </c>
      <c r="F3397">
        <v>0.03</v>
      </c>
      <c r="G3397" t="s">
        <v>2217</v>
      </c>
      <c r="H3397">
        <v>1397</v>
      </c>
      <c r="I3397">
        <v>3.01</v>
      </c>
      <c r="J3397">
        <v>3.02</v>
      </c>
      <c r="K3397" t="s">
        <v>17045</v>
      </c>
      <c r="L3397">
        <v>0.74</v>
      </c>
      <c r="M3397" t="s">
        <v>46</v>
      </c>
      <c r="N3397" t="s">
        <v>3089</v>
      </c>
      <c r="O3397">
        <v>3.02</v>
      </c>
      <c r="P3397">
        <v>2.97</v>
      </c>
      <c r="Q3397">
        <v>2.99</v>
      </c>
      <c r="R3397">
        <v>2.98</v>
      </c>
      <c r="S3397">
        <v>1.68</v>
      </c>
      <c r="T3397">
        <v>0.79</v>
      </c>
      <c r="U3397">
        <v>-6.54</v>
      </c>
      <c r="V3397">
        <v>-3946</v>
      </c>
      <c r="W3397">
        <v>2.99</v>
      </c>
      <c r="X3397" t="s">
        <v>1900</v>
      </c>
      <c r="Y3397" t="s">
        <v>7154</v>
      </c>
      <c r="Z3397">
        <v>0.78</v>
      </c>
      <c r="AA3397">
        <v>855</v>
      </c>
      <c r="AB3397" t="s">
        <v>2284</v>
      </c>
      <c r="AC3397">
        <v>1.09</v>
      </c>
      <c r="AD3397" t="s">
        <v>12221</v>
      </c>
      <c r="AE3397" t="s">
        <v>17050</v>
      </c>
      <c r="AF3397" t="s">
        <v>15677</v>
      </c>
      <c r="AG3397" t="s">
        <v>5938</v>
      </c>
      <c r="AH3397">
        <v>-0.33</v>
      </c>
      <c r="AI3397">
        <v>-1.63</v>
      </c>
      <c r="AJ3397">
        <v>2.84</v>
      </c>
      <c r="AK3397">
        <v>5.42</v>
      </c>
      <c r="AL3397">
        <v>1</v>
      </c>
      <c r="AM3397">
        <v>1.01</v>
      </c>
      <c r="AN3397">
        <v>0.33</v>
      </c>
      <c r="AO3397">
        <v>0.67</v>
      </c>
      <c r="AP3397">
        <v>-5.05</v>
      </c>
    </row>
    <row r="3398" spans="1:42">
      <c r="A3398">
        <v>3397</v>
      </c>
      <c r="B3398" t="str">
        <f>"600323"</f>
        <v>600323</v>
      </c>
      <c r="C3398" t="s">
        <v>17051</v>
      </c>
      <c r="D3398">
        <v>17.11</v>
      </c>
      <c r="E3398">
        <v>-0.29</v>
      </c>
      <c r="F3398">
        <v>-0.05</v>
      </c>
      <c r="G3398" t="s">
        <v>1077</v>
      </c>
      <c r="H3398">
        <v>120</v>
      </c>
      <c r="I3398">
        <v>17.11</v>
      </c>
      <c r="J3398">
        <v>17.12</v>
      </c>
      <c r="K3398" t="s">
        <v>17052</v>
      </c>
      <c r="L3398">
        <v>0.32</v>
      </c>
      <c r="M3398" t="s">
        <v>46</v>
      </c>
      <c r="N3398" t="s">
        <v>17053</v>
      </c>
      <c r="O3398">
        <v>17.21</v>
      </c>
      <c r="P3398">
        <v>17.03</v>
      </c>
      <c r="Q3398">
        <v>17.19</v>
      </c>
      <c r="R3398">
        <v>17.16</v>
      </c>
      <c r="S3398">
        <v>1.05</v>
      </c>
      <c r="T3398">
        <v>0.94</v>
      </c>
      <c r="U3398">
        <v>17.3</v>
      </c>
      <c r="V3398">
        <v>133</v>
      </c>
      <c r="W3398">
        <v>17.09</v>
      </c>
      <c r="X3398" t="s">
        <v>4105</v>
      </c>
      <c r="Y3398" t="s">
        <v>1743</v>
      </c>
      <c r="Z3398">
        <v>1.23</v>
      </c>
      <c r="AA3398">
        <v>1</v>
      </c>
      <c r="AB3398">
        <v>40</v>
      </c>
      <c r="AC3398">
        <v>1.18</v>
      </c>
      <c r="AD3398" t="s">
        <v>17054</v>
      </c>
      <c r="AE3398" t="s">
        <v>15006</v>
      </c>
      <c r="AF3398" t="s">
        <v>17054</v>
      </c>
      <c r="AG3398" t="s">
        <v>15006</v>
      </c>
      <c r="AH3398">
        <v>-0.98</v>
      </c>
      <c r="AI3398">
        <v>-1.55</v>
      </c>
      <c r="AJ3398">
        <v>1.13</v>
      </c>
      <c r="AK3398">
        <v>1.99</v>
      </c>
      <c r="AL3398">
        <v>-1</v>
      </c>
      <c r="AM3398">
        <v>-0.29</v>
      </c>
      <c r="AN3398">
        <v>-6.2</v>
      </c>
      <c r="AO3398">
        <v>-4.79</v>
      </c>
      <c r="AP3398">
        <v>-9.61</v>
      </c>
    </row>
    <row r="3399" spans="1:42">
      <c r="A3399">
        <v>3398</v>
      </c>
      <c r="B3399" t="str">
        <f>"002361"</f>
        <v>002361</v>
      </c>
      <c r="C3399" t="s">
        <v>17055</v>
      </c>
      <c r="D3399">
        <v>4.07</v>
      </c>
      <c r="E3399">
        <v>0.74</v>
      </c>
      <c r="F3399">
        <v>0.03</v>
      </c>
      <c r="G3399" t="s">
        <v>2402</v>
      </c>
      <c r="H3399">
        <v>853</v>
      </c>
      <c r="I3399">
        <v>4.07</v>
      </c>
      <c r="J3399">
        <v>4.08</v>
      </c>
      <c r="K3399" t="s">
        <v>9638</v>
      </c>
      <c r="L3399">
        <v>1.36</v>
      </c>
      <c r="M3399" t="s">
        <v>46</v>
      </c>
      <c r="N3399" t="s">
        <v>2452</v>
      </c>
      <c r="O3399">
        <v>4.09</v>
      </c>
      <c r="P3399">
        <v>4.01</v>
      </c>
      <c r="Q3399">
        <v>4.04</v>
      </c>
      <c r="R3399">
        <v>4.04</v>
      </c>
      <c r="S3399">
        <v>1.98</v>
      </c>
      <c r="T3399">
        <v>0.86</v>
      </c>
      <c r="U3399">
        <v>-44.76</v>
      </c>
      <c r="V3399">
        <v>-6786</v>
      </c>
      <c r="W3399">
        <v>4.05</v>
      </c>
      <c r="X3399" t="s">
        <v>6392</v>
      </c>
      <c r="Y3399" t="s">
        <v>5289</v>
      </c>
      <c r="Z3399">
        <v>0.92</v>
      </c>
      <c r="AA3399">
        <v>52</v>
      </c>
      <c r="AB3399">
        <v>1753</v>
      </c>
      <c r="AC3399">
        <v>1.69</v>
      </c>
      <c r="AD3399" t="s">
        <v>17056</v>
      </c>
      <c r="AE3399" t="s">
        <v>7335</v>
      </c>
      <c r="AF3399" t="s">
        <v>17057</v>
      </c>
      <c r="AG3399" t="s">
        <v>17058</v>
      </c>
      <c r="AH3399">
        <v>-1.45</v>
      </c>
      <c r="AI3399">
        <v>-1.93</v>
      </c>
      <c r="AJ3399">
        <v>4.87</v>
      </c>
      <c r="AK3399">
        <v>9.29</v>
      </c>
      <c r="AL3399">
        <v>1</v>
      </c>
      <c r="AM3399">
        <v>0.74</v>
      </c>
      <c r="AN3399">
        <v>4.63</v>
      </c>
      <c r="AO3399">
        <v>0.74</v>
      </c>
      <c r="AP3399">
        <v>-7.29</v>
      </c>
    </row>
    <row r="3400" spans="1:42">
      <c r="A3400">
        <v>3399</v>
      </c>
      <c r="B3400" t="str">
        <f>"605188"</f>
        <v>605188</v>
      </c>
      <c r="C3400" t="s">
        <v>17059</v>
      </c>
      <c r="D3400">
        <v>11.58</v>
      </c>
      <c r="E3400">
        <v>-0.17</v>
      </c>
      <c r="F3400">
        <v>-0.02</v>
      </c>
      <c r="G3400" t="s">
        <v>1566</v>
      </c>
      <c r="H3400">
        <v>449</v>
      </c>
      <c r="I3400">
        <v>11.57</v>
      </c>
      <c r="J3400">
        <v>11.58</v>
      </c>
      <c r="K3400" t="s">
        <v>17060</v>
      </c>
      <c r="L3400">
        <v>0.77</v>
      </c>
      <c r="M3400" t="s">
        <v>46</v>
      </c>
      <c r="N3400" t="s">
        <v>6377</v>
      </c>
      <c r="O3400">
        <v>11.67</v>
      </c>
      <c r="P3400">
        <v>11.48</v>
      </c>
      <c r="Q3400">
        <v>11.6</v>
      </c>
      <c r="R3400">
        <v>11.6</v>
      </c>
      <c r="S3400">
        <v>1.64</v>
      </c>
      <c r="T3400">
        <v>0.51</v>
      </c>
      <c r="U3400">
        <v>-65.79</v>
      </c>
      <c r="V3400">
        <v>-1204</v>
      </c>
      <c r="W3400">
        <v>11.58</v>
      </c>
      <c r="X3400" t="s">
        <v>6656</v>
      </c>
      <c r="Y3400" t="s">
        <v>8073</v>
      </c>
      <c r="Z3400">
        <v>0.84</v>
      </c>
      <c r="AA3400">
        <v>24</v>
      </c>
      <c r="AB3400">
        <v>517</v>
      </c>
      <c r="AC3400">
        <v>5.16</v>
      </c>
      <c r="AD3400" t="s">
        <v>395</v>
      </c>
      <c r="AE3400" t="s">
        <v>6663</v>
      </c>
      <c r="AF3400" t="s">
        <v>395</v>
      </c>
      <c r="AG3400" t="s">
        <v>6663</v>
      </c>
      <c r="AH3400">
        <v>-0.43</v>
      </c>
      <c r="AI3400">
        <v>-4.53</v>
      </c>
      <c r="AJ3400">
        <v>3.55</v>
      </c>
      <c r="AK3400">
        <v>8.3</v>
      </c>
      <c r="AL3400">
        <v>-2</v>
      </c>
      <c r="AM3400">
        <v>-0.17</v>
      </c>
      <c r="AN3400">
        <v>13.64</v>
      </c>
      <c r="AO3400">
        <v>17.8</v>
      </c>
      <c r="AP3400">
        <v>38.35</v>
      </c>
    </row>
    <row r="3401" spans="1:42">
      <c r="A3401">
        <v>3400</v>
      </c>
      <c r="B3401" t="str">
        <f>"688133"</f>
        <v>688133</v>
      </c>
      <c r="C3401" t="s">
        <v>17061</v>
      </c>
      <c r="D3401">
        <v>55.14</v>
      </c>
      <c r="E3401">
        <v>0.38</v>
      </c>
      <c r="F3401">
        <v>0.21</v>
      </c>
      <c r="G3401">
        <v>8024</v>
      </c>
      <c r="H3401">
        <v>80</v>
      </c>
      <c r="I3401">
        <v>55.14</v>
      </c>
      <c r="J3401">
        <v>55.19</v>
      </c>
      <c r="K3401" t="s">
        <v>17060</v>
      </c>
      <c r="L3401">
        <v>0.68</v>
      </c>
      <c r="M3401" t="s">
        <v>46</v>
      </c>
      <c r="N3401" t="s">
        <v>5809</v>
      </c>
      <c r="O3401">
        <v>55.87</v>
      </c>
      <c r="P3401">
        <v>54.1</v>
      </c>
      <c r="Q3401">
        <v>54.74</v>
      </c>
      <c r="R3401">
        <v>54.93</v>
      </c>
      <c r="S3401">
        <v>3.22</v>
      </c>
      <c r="T3401">
        <v>0.63</v>
      </c>
      <c r="U3401">
        <v>25.05</v>
      </c>
      <c r="V3401">
        <v>40</v>
      </c>
      <c r="W3401">
        <v>54.77</v>
      </c>
      <c r="X3401">
        <v>4174</v>
      </c>
      <c r="Y3401">
        <v>3849</v>
      </c>
      <c r="Z3401">
        <v>1.08</v>
      </c>
      <c r="AA3401">
        <v>37</v>
      </c>
      <c r="AB3401">
        <v>5</v>
      </c>
      <c r="AC3401">
        <v>2.31</v>
      </c>
      <c r="AD3401" t="s">
        <v>8563</v>
      </c>
      <c r="AE3401" t="s">
        <v>17062</v>
      </c>
      <c r="AF3401" t="s">
        <v>8563</v>
      </c>
      <c r="AG3401" t="s">
        <v>17062</v>
      </c>
      <c r="AH3401">
        <v>-2.6</v>
      </c>
      <c r="AI3401">
        <v>1.45</v>
      </c>
      <c r="AJ3401">
        <v>2.71</v>
      </c>
      <c r="AK3401">
        <v>6.12</v>
      </c>
      <c r="AL3401">
        <v>1</v>
      </c>
      <c r="AM3401">
        <v>0.38</v>
      </c>
      <c r="AN3401">
        <v>-44.17</v>
      </c>
      <c r="AO3401">
        <v>8.99</v>
      </c>
      <c r="AP3401">
        <v>-43.69</v>
      </c>
    </row>
    <row r="3402" spans="1:42">
      <c r="A3402">
        <v>3401</v>
      </c>
      <c r="B3402" t="str">
        <f>"603529"</f>
        <v>603529</v>
      </c>
      <c r="C3402" t="s">
        <v>17063</v>
      </c>
      <c r="D3402">
        <v>28.55</v>
      </c>
      <c r="E3402">
        <v>-0.59</v>
      </c>
      <c r="F3402">
        <v>-0.17</v>
      </c>
      <c r="G3402" t="s">
        <v>7178</v>
      </c>
      <c r="H3402">
        <v>235</v>
      </c>
      <c r="I3402">
        <v>28.53</v>
      </c>
      <c r="J3402">
        <v>28.55</v>
      </c>
      <c r="K3402" t="s">
        <v>17064</v>
      </c>
      <c r="L3402">
        <v>0.69</v>
      </c>
      <c r="M3402" t="s">
        <v>46</v>
      </c>
      <c r="N3402" t="s">
        <v>1847</v>
      </c>
      <c r="O3402">
        <v>28.8</v>
      </c>
      <c r="P3402">
        <v>28.33</v>
      </c>
      <c r="Q3402">
        <v>28.69</v>
      </c>
      <c r="R3402">
        <v>28.72</v>
      </c>
      <c r="S3402">
        <v>1.64</v>
      </c>
      <c r="T3402">
        <v>0.55</v>
      </c>
      <c r="U3402">
        <v>9.93</v>
      </c>
      <c r="V3402">
        <v>43</v>
      </c>
      <c r="W3402">
        <v>28.55</v>
      </c>
      <c r="X3402">
        <v>8596</v>
      </c>
      <c r="Y3402">
        <v>6795</v>
      </c>
      <c r="Z3402">
        <v>1.27</v>
      </c>
      <c r="AA3402">
        <v>16</v>
      </c>
      <c r="AB3402">
        <v>16</v>
      </c>
      <c r="AC3402">
        <v>3.37</v>
      </c>
      <c r="AD3402" t="s">
        <v>17065</v>
      </c>
      <c r="AE3402" t="s">
        <v>17066</v>
      </c>
      <c r="AF3402" t="s">
        <v>17067</v>
      </c>
      <c r="AG3402" t="s">
        <v>17068</v>
      </c>
      <c r="AH3402">
        <v>-3.15</v>
      </c>
      <c r="AI3402">
        <v>-1.38</v>
      </c>
      <c r="AJ3402">
        <v>2.63</v>
      </c>
      <c r="AK3402">
        <v>6.98</v>
      </c>
      <c r="AL3402">
        <v>-3</v>
      </c>
      <c r="AM3402">
        <v>-0.59</v>
      </c>
      <c r="AN3402">
        <v>-2.76</v>
      </c>
      <c r="AO3402">
        <v>0.53</v>
      </c>
      <c r="AP3402">
        <v>-15.48</v>
      </c>
    </row>
    <row r="3403" spans="1:42">
      <c r="A3403">
        <v>3402</v>
      </c>
      <c r="B3403" t="str">
        <f>"000703"</f>
        <v>000703</v>
      </c>
      <c r="C3403" t="s">
        <v>17069</v>
      </c>
      <c r="D3403">
        <v>6.79</v>
      </c>
      <c r="E3403">
        <v>-1.02</v>
      </c>
      <c r="F3403">
        <v>-0.07</v>
      </c>
      <c r="G3403" t="s">
        <v>6465</v>
      </c>
      <c r="H3403">
        <v>843</v>
      </c>
      <c r="I3403">
        <v>6.79</v>
      </c>
      <c r="J3403">
        <v>6.8</v>
      </c>
      <c r="K3403" t="s">
        <v>17070</v>
      </c>
      <c r="L3403">
        <v>0.18</v>
      </c>
      <c r="M3403" t="s">
        <v>46</v>
      </c>
      <c r="N3403" t="s">
        <v>17071</v>
      </c>
      <c r="O3403">
        <v>6.88</v>
      </c>
      <c r="P3403">
        <v>6.76</v>
      </c>
      <c r="Q3403">
        <v>6.85</v>
      </c>
      <c r="R3403">
        <v>6.86</v>
      </c>
      <c r="S3403">
        <v>1.75</v>
      </c>
      <c r="T3403">
        <v>1.23</v>
      </c>
      <c r="U3403">
        <v>21.12</v>
      </c>
      <c r="V3403">
        <v>1533</v>
      </c>
      <c r="W3403">
        <v>6.81</v>
      </c>
      <c r="X3403" t="s">
        <v>5692</v>
      </c>
      <c r="Y3403" t="s">
        <v>3662</v>
      </c>
      <c r="Z3403">
        <v>1.63</v>
      </c>
      <c r="AA3403">
        <v>1056</v>
      </c>
      <c r="AB3403">
        <v>297</v>
      </c>
      <c r="AC3403">
        <v>1.04</v>
      </c>
      <c r="AD3403" t="s">
        <v>17072</v>
      </c>
      <c r="AE3403" t="s">
        <v>17073</v>
      </c>
      <c r="AF3403" t="s">
        <v>17074</v>
      </c>
      <c r="AG3403" t="s">
        <v>17075</v>
      </c>
      <c r="AH3403">
        <v>-2.16</v>
      </c>
      <c r="AI3403">
        <v>-2.72</v>
      </c>
      <c r="AJ3403">
        <v>0.42</v>
      </c>
      <c r="AK3403">
        <v>0.9</v>
      </c>
      <c r="AL3403">
        <v>-3</v>
      </c>
      <c r="AM3403">
        <v>-1.02</v>
      </c>
      <c r="AN3403">
        <v>-3.41</v>
      </c>
      <c r="AO3403">
        <v>-5.96</v>
      </c>
      <c r="AP3403">
        <v>-3.96</v>
      </c>
    </row>
    <row r="3404" spans="1:42">
      <c r="A3404">
        <v>3403</v>
      </c>
      <c r="B3404" t="str">
        <f>"600007"</f>
        <v>600007</v>
      </c>
      <c r="C3404" t="s">
        <v>17076</v>
      </c>
      <c r="D3404">
        <v>20.31</v>
      </c>
      <c r="E3404">
        <v>-0.29</v>
      </c>
      <c r="F3404">
        <v>-0.06</v>
      </c>
      <c r="G3404" t="s">
        <v>2716</v>
      </c>
      <c r="H3404">
        <v>221</v>
      </c>
      <c r="I3404">
        <v>20.3</v>
      </c>
      <c r="J3404">
        <v>20.31</v>
      </c>
      <c r="K3404" t="s">
        <v>17077</v>
      </c>
      <c r="L3404">
        <v>0.21</v>
      </c>
      <c r="M3404" t="s">
        <v>46</v>
      </c>
      <c r="N3404" t="s">
        <v>6721</v>
      </c>
      <c r="O3404">
        <v>20.69</v>
      </c>
      <c r="P3404">
        <v>20.24</v>
      </c>
      <c r="Q3404">
        <v>20.41</v>
      </c>
      <c r="R3404">
        <v>20.37</v>
      </c>
      <c r="S3404">
        <v>2.21</v>
      </c>
      <c r="T3404">
        <v>0.98</v>
      </c>
      <c r="U3404">
        <v>-34.98</v>
      </c>
      <c r="V3404">
        <v>-142</v>
      </c>
      <c r="W3404">
        <v>20.46</v>
      </c>
      <c r="X3404" t="s">
        <v>734</v>
      </c>
      <c r="Y3404" t="s">
        <v>1154</v>
      </c>
      <c r="Z3404">
        <v>1.09</v>
      </c>
      <c r="AA3404">
        <v>8</v>
      </c>
      <c r="AB3404">
        <v>42</v>
      </c>
      <c r="AC3404">
        <v>2.17</v>
      </c>
      <c r="AD3404" t="s">
        <v>1119</v>
      </c>
      <c r="AE3404" t="s">
        <v>17078</v>
      </c>
      <c r="AF3404" t="s">
        <v>1119</v>
      </c>
      <c r="AG3404" t="s">
        <v>17078</v>
      </c>
      <c r="AH3404">
        <v>-0.44</v>
      </c>
      <c r="AI3404">
        <v>-2.26</v>
      </c>
      <c r="AJ3404">
        <v>0.72</v>
      </c>
      <c r="AK3404">
        <v>1.3</v>
      </c>
      <c r="AL3404">
        <v>-1</v>
      </c>
      <c r="AM3404">
        <v>-0.29</v>
      </c>
      <c r="AN3404">
        <v>34.24</v>
      </c>
      <c r="AO3404">
        <v>0</v>
      </c>
      <c r="AP3404">
        <v>48.25</v>
      </c>
    </row>
    <row r="3405" spans="1:42">
      <c r="A3405">
        <v>3404</v>
      </c>
      <c r="B3405" t="str">
        <f>"688425"</f>
        <v>688425</v>
      </c>
      <c r="C3405" t="s">
        <v>17079</v>
      </c>
      <c r="D3405">
        <v>4.13</v>
      </c>
      <c r="E3405">
        <v>0.24</v>
      </c>
      <c r="F3405">
        <v>0.01</v>
      </c>
      <c r="G3405" t="s">
        <v>1128</v>
      </c>
      <c r="H3405">
        <v>991</v>
      </c>
      <c r="I3405">
        <v>4.13</v>
      </c>
      <c r="J3405">
        <v>4.14</v>
      </c>
      <c r="K3405" t="s">
        <v>17080</v>
      </c>
      <c r="L3405">
        <v>0.72</v>
      </c>
      <c r="M3405" t="s">
        <v>46</v>
      </c>
      <c r="N3405" t="s">
        <v>10984</v>
      </c>
      <c r="O3405">
        <v>4.15</v>
      </c>
      <c r="P3405">
        <v>4.09</v>
      </c>
      <c r="Q3405">
        <v>4.13</v>
      </c>
      <c r="R3405">
        <v>4.12</v>
      </c>
      <c r="S3405">
        <v>1.46</v>
      </c>
      <c r="T3405">
        <v>0.74</v>
      </c>
      <c r="U3405">
        <v>-43.17</v>
      </c>
      <c r="V3405" t="s">
        <v>4491</v>
      </c>
      <c r="W3405">
        <v>4.12</v>
      </c>
      <c r="X3405" t="s">
        <v>2386</v>
      </c>
      <c r="Y3405" t="s">
        <v>5734</v>
      </c>
      <c r="Z3405">
        <v>0.95</v>
      </c>
      <c r="AA3405">
        <v>809</v>
      </c>
      <c r="AB3405">
        <v>138</v>
      </c>
      <c r="AC3405">
        <v>1.36</v>
      </c>
      <c r="AD3405" t="s">
        <v>4674</v>
      </c>
      <c r="AE3405" t="s">
        <v>8114</v>
      </c>
      <c r="AF3405" t="s">
        <v>9790</v>
      </c>
      <c r="AG3405" t="s">
        <v>17081</v>
      </c>
      <c r="AH3405">
        <v>-1.2</v>
      </c>
      <c r="AI3405">
        <v>-1.2</v>
      </c>
      <c r="AJ3405">
        <v>2.48</v>
      </c>
      <c r="AK3405">
        <v>5.6</v>
      </c>
      <c r="AL3405">
        <v>2</v>
      </c>
      <c r="AM3405">
        <v>0.24</v>
      </c>
      <c r="AN3405">
        <v>7.27</v>
      </c>
      <c r="AO3405">
        <v>2.48</v>
      </c>
      <c r="AP3405">
        <v>5.09</v>
      </c>
    </row>
    <row r="3406" spans="1:42">
      <c r="A3406">
        <v>3405</v>
      </c>
      <c r="B3406" t="str">
        <f>"301011"</f>
        <v>301011</v>
      </c>
      <c r="C3406" t="s">
        <v>17082</v>
      </c>
      <c r="D3406">
        <v>21.59</v>
      </c>
      <c r="E3406">
        <v>2.76</v>
      </c>
      <c r="F3406">
        <v>0.58</v>
      </c>
      <c r="G3406" t="s">
        <v>3372</v>
      </c>
      <c r="H3406">
        <v>204</v>
      </c>
      <c r="I3406">
        <v>21.58</v>
      </c>
      <c r="J3406">
        <v>21.59</v>
      </c>
      <c r="K3406" t="s">
        <v>17080</v>
      </c>
      <c r="L3406">
        <v>2.62</v>
      </c>
      <c r="M3406" t="s">
        <v>46</v>
      </c>
      <c r="N3406" t="s">
        <v>2350</v>
      </c>
      <c r="O3406">
        <v>21.7</v>
      </c>
      <c r="P3406">
        <v>20.9</v>
      </c>
      <c r="Q3406">
        <v>21.02</v>
      </c>
      <c r="R3406">
        <v>21.01</v>
      </c>
      <c r="S3406">
        <v>3.81</v>
      </c>
      <c r="T3406">
        <v>1.3</v>
      </c>
      <c r="U3406">
        <v>33.88</v>
      </c>
      <c r="V3406">
        <v>123</v>
      </c>
      <c r="W3406">
        <v>21.43</v>
      </c>
      <c r="X3406">
        <v>8725</v>
      </c>
      <c r="Y3406" t="s">
        <v>189</v>
      </c>
      <c r="Z3406">
        <v>0.74</v>
      </c>
      <c r="AA3406">
        <v>36</v>
      </c>
      <c r="AB3406">
        <v>25</v>
      </c>
      <c r="AC3406">
        <v>4.63</v>
      </c>
      <c r="AD3406" t="s">
        <v>6574</v>
      </c>
      <c r="AE3406" t="s">
        <v>17083</v>
      </c>
      <c r="AF3406" t="s">
        <v>14550</v>
      </c>
      <c r="AG3406" t="s">
        <v>3479</v>
      </c>
      <c r="AH3406">
        <v>2.03</v>
      </c>
      <c r="AI3406">
        <v>-0.05</v>
      </c>
      <c r="AJ3406">
        <v>5.86</v>
      </c>
      <c r="AK3406">
        <v>12.68</v>
      </c>
      <c r="AL3406">
        <v>1</v>
      </c>
      <c r="AM3406">
        <v>2.76</v>
      </c>
      <c r="AN3406">
        <v>0.56</v>
      </c>
      <c r="AO3406">
        <v>4</v>
      </c>
      <c r="AP3406">
        <v>2.57</v>
      </c>
    </row>
    <row r="3407" spans="1:42">
      <c r="A3407">
        <v>3406</v>
      </c>
      <c r="B3407" t="str">
        <f>"300727"</f>
        <v>300727</v>
      </c>
      <c r="C3407" t="s">
        <v>17084</v>
      </c>
      <c r="D3407">
        <v>27.57</v>
      </c>
      <c r="E3407">
        <v>0.66</v>
      </c>
      <c r="F3407">
        <v>0.18</v>
      </c>
      <c r="G3407" t="s">
        <v>4977</v>
      </c>
      <c r="H3407">
        <v>231</v>
      </c>
      <c r="I3407">
        <v>27.57</v>
      </c>
      <c r="J3407">
        <v>27.58</v>
      </c>
      <c r="K3407" t="s">
        <v>17085</v>
      </c>
      <c r="L3407">
        <v>1.4</v>
      </c>
      <c r="M3407" t="s">
        <v>46</v>
      </c>
      <c r="N3407" t="s">
        <v>5584</v>
      </c>
      <c r="O3407">
        <v>27.83</v>
      </c>
      <c r="P3407">
        <v>27.16</v>
      </c>
      <c r="Q3407">
        <v>27.39</v>
      </c>
      <c r="R3407">
        <v>27.39</v>
      </c>
      <c r="S3407">
        <v>2.45</v>
      </c>
      <c r="T3407">
        <v>0.69</v>
      </c>
      <c r="U3407">
        <v>1.89</v>
      </c>
      <c r="V3407">
        <v>7</v>
      </c>
      <c r="W3407">
        <v>27.53</v>
      </c>
      <c r="X3407">
        <v>7081</v>
      </c>
      <c r="Y3407">
        <v>8851</v>
      </c>
      <c r="Z3407">
        <v>0.8</v>
      </c>
      <c r="AA3407">
        <v>11</v>
      </c>
      <c r="AB3407">
        <v>24</v>
      </c>
      <c r="AC3407">
        <v>4.26</v>
      </c>
      <c r="AD3407" t="s">
        <v>15703</v>
      </c>
      <c r="AE3407" t="s">
        <v>190</v>
      </c>
      <c r="AF3407" t="s">
        <v>1473</v>
      </c>
      <c r="AG3407" t="s">
        <v>3979</v>
      </c>
      <c r="AH3407">
        <v>-2.89</v>
      </c>
      <c r="AI3407">
        <v>-0.83</v>
      </c>
      <c r="AJ3407">
        <v>5.33</v>
      </c>
      <c r="AK3407">
        <v>11.55</v>
      </c>
      <c r="AL3407">
        <v>1</v>
      </c>
      <c r="AM3407">
        <v>0.66</v>
      </c>
      <c r="AN3407">
        <v>14.11</v>
      </c>
      <c r="AO3407">
        <v>10.55</v>
      </c>
      <c r="AP3407">
        <v>3.22</v>
      </c>
    </row>
    <row r="3408" spans="1:42">
      <c r="A3408">
        <v>3407</v>
      </c>
      <c r="B3408" t="str">
        <f>"300076"</f>
        <v>300076</v>
      </c>
      <c r="C3408" t="s">
        <v>17086</v>
      </c>
      <c r="D3408">
        <v>5.59</v>
      </c>
      <c r="E3408">
        <v>1.08</v>
      </c>
      <c r="F3408">
        <v>0.06</v>
      </c>
      <c r="G3408" t="s">
        <v>4175</v>
      </c>
      <c r="H3408">
        <v>1021</v>
      </c>
      <c r="I3408">
        <v>5.59</v>
      </c>
      <c r="J3408">
        <v>5.6</v>
      </c>
      <c r="K3408" t="s">
        <v>11858</v>
      </c>
      <c r="L3408">
        <v>1.86</v>
      </c>
      <c r="M3408" t="s">
        <v>46</v>
      </c>
      <c r="N3408" t="s">
        <v>11689</v>
      </c>
      <c r="O3408">
        <v>5.62</v>
      </c>
      <c r="P3408">
        <v>5.48</v>
      </c>
      <c r="Q3408">
        <v>5.53</v>
      </c>
      <c r="R3408">
        <v>5.53</v>
      </c>
      <c r="S3408">
        <v>2.53</v>
      </c>
      <c r="T3408">
        <v>0.77</v>
      </c>
      <c r="U3408">
        <v>9.23</v>
      </c>
      <c r="V3408">
        <v>527</v>
      </c>
      <c r="W3408">
        <v>5.57</v>
      </c>
      <c r="X3408" t="s">
        <v>2124</v>
      </c>
      <c r="Y3408" t="s">
        <v>5785</v>
      </c>
      <c r="Z3408">
        <v>0.84</v>
      </c>
      <c r="AA3408">
        <v>483</v>
      </c>
      <c r="AB3408">
        <v>564</v>
      </c>
      <c r="AC3408">
        <v>2.37</v>
      </c>
      <c r="AD3408" t="s">
        <v>14230</v>
      </c>
      <c r="AE3408" t="s">
        <v>6341</v>
      </c>
      <c r="AF3408" t="s">
        <v>14230</v>
      </c>
      <c r="AG3408" t="s">
        <v>6341</v>
      </c>
      <c r="AH3408">
        <v>0</v>
      </c>
      <c r="AI3408">
        <v>-0.53</v>
      </c>
      <c r="AJ3408">
        <v>5.84</v>
      </c>
      <c r="AK3408">
        <v>13.84</v>
      </c>
      <c r="AL3408">
        <v>1</v>
      </c>
      <c r="AM3408">
        <v>1.08</v>
      </c>
      <c r="AN3408">
        <v>9.39</v>
      </c>
      <c r="AO3408">
        <v>9.61</v>
      </c>
      <c r="AP3408">
        <v>-3.79</v>
      </c>
    </row>
    <row r="3409" spans="1:42">
      <c r="A3409">
        <v>3408</v>
      </c>
      <c r="B3409" t="str">
        <f>"000909"</f>
        <v>000909</v>
      </c>
      <c r="C3409" t="s">
        <v>17087</v>
      </c>
      <c r="D3409">
        <v>6.5</v>
      </c>
      <c r="E3409">
        <v>0.31</v>
      </c>
      <c r="F3409">
        <v>0.02</v>
      </c>
      <c r="G3409" t="s">
        <v>6113</v>
      </c>
      <c r="H3409">
        <v>1086</v>
      </c>
      <c r="I3409">
        <v>6.49</v>
      </c>
      <c r="J3409">
        <v>6.5</v>
      </c>
      <c r="K3409" t="s">
        <v>17088</v>
      </c>
      <c r="L3409">
        <v>1.74</v>
      </c>
      <c r="M3409" t="s">
        <v>46</v>
      </c>
      <c r="N3409" t="s">
        <v>17089</v>
      </c>
      <c r="O3409">
        <v>6.62</v>
      </c>
      <c r="P3409">
        <v>6.43</v>
      </c>
      <c r="Q3409">
        <v>6.48</v>
      </c>
      <c r="R3409">
        <v>6.48</v>
      </c>
      <c r="S3409">
        <v>2.93</v>
      </c>
      <c r="T3409">
        <v>0.86</v>
      </c>
      <c r="U3409">
        <v>-9.41</v>
      </c>
      <c r="V3409">
        <v>-497</v>
      </c>
      <c r="W3409">
        <v>6.51</v>
      </c>
      <c r="X3409" t="s">
        <v>5205</v>
      </c>
      <c r="Y3409" t="s">
        <v>3110</v>
      </c>
      <c r="Z3409">
        <v>1.68</v>
      </c>
      <c r="AA3409">
        <v>52</v>
      </c>
      <c r="AB3409">
        <v>770</v>
      </c>
      <c r="AC3409">
        <v>1.89</v>
      </c>
      <c r="AD3409" t="s">
        <v>17090</v>
      </c>
      <c r="AE3409" t="s">
        <v>11118</v>
      </c>
      <c r="AF3409" t="s">
        <v>15237</v>
      </c>
      <c r="AG3409" t="s">
        <v>1631</v>
      </c>
      <c r="AH3409">
        <v>4.17</v>
      </c>
      <c r="AI3409">
        <v>4.84</v>
      </c>
      <c r="AJ3409">
        <v>7.51</v>
      </c>
      <c r="AK3409">
        <v>11.86</v>
      </c>
      <c r="AL3409">
        <v>4</v>
      </c>
      <c r="AM3409">
        <v>0.31</v>
      </c>
      <c r="AN3409">
        <v>-18.55</v>
      </c>
      <c r="AO3409">
        <v>12.07</v>
      </c>
      <c r="AP3409">
        <v>-30.33</v>
      </c>
    </row>
    <row r="3410" spans="1:42">
      <c r="A3410">
        <v>3409</v>
      </c>
      <c r="B3410" t="str">
        <f>"002950"</f>
        <v>002950</v>
      </c>
      <c r="C3410" t="s">
        <v>17091</v>
      </c>
      <c r="D3410">
        <v>10.25</v>
      </c>
      <c r="E3410">
        <v>-0.39</v>
      </c>
      <c r="F3410">
        <v>-0.04</v>
      </c>
      <c r="G3410" t="s">
        <v>1321</v>
      </c>
      <c r="H3410">
        <v>249</v>
      </c>
      <c r="I3410">
        <v>10.24</v>
      </c>
      <c r="J3410">
        <v>10.25</v>
      </c>
      <c r="K3410" t="s">
        <v>17092</v>
      </c>
      <c r="L3410">
        <v>0.94</v>
      </c>
      <c r="M3410" t="s">
        <v>46</v>
      </c>
      <c r="N3410" t="s">
        <v>2596</v>
      </c>
      <c r="O3410">
        <v>10.36</v>
      </c>
      <c r="P3410">
        <v>10.22</v>
      </c>
      <c r="Q3410">
        <v>10.3</v>
      </c>
      <c r="R3410">
        <v>10.29</v>
      </c>
      <c r="S3410">
        <v>1.36</v>
      </c>
      <c r="T3410">
        <v>0.89</v>
      </c>
      <c r="U3410">
        <v>66.55</v>
      </c>
      <c r="V3410">
        <v>2008</v>
      </c>
      <c r="W3410">
        <v>10.28</v>
      </c>
      <c r="X3410" t="s">
        <v>1520</v>
      </c>
      <c r="Y3410" t="s">
        <v>5592</v>
      </c>
      <c r="Z3410">
        <v>1.03</v>
      </c>
      <c r="AA3410">
        <v>84</v>
      </c>
      <c r="AB3410">
        <v>49</v>
      </c>
      <c r="AC3410">
        <v>2.02</v>
      </c>
      <c r="AD3410" t="s">
        <v>5367</v>
      </c>
      <c r="AE3410" t="s">
        <v>14335</v>
      </c>
      <c r="AF3410" t="s">
        <v>17093</v>
      </c>
      <c r="AG3410" t="s">
        <v>17094</v>
      </c>
      <c r="AH3410">
        <v>-1.35</v>
      </c>
      <c r="AI3410">
        <v>-0.1</v>
      </c>
      <c r="AJ3410">
        <v>2.45</v>
      </c>
      <c r="AK3410">
        <v>6.21</v>
      </c>
      <c r="AL3410">
        <v>-1</v>
      </c>
      <c r="AM3410">
        <v>-0.39</v>
      </c>
      <c r="AN3410">
        <v>-15.91</v>
      </c>
      <c r="AO3410">
        <v>0.39</v>
      </c>
      <c r="AP3410">
        <v>-19.42</v>
      </c>
    </row>
    <row r="3411" spans="1:42">
      <c r="A3411">
        <v>3410</v>
      </c>
      <c r="B3411" t="str">
        <f>"600097"</f>
        <v>600097</v>
      </c>
      <c r="C3411" t="s">
        <v>17095</v>
      </c>
      <c r="D3411">
        <v>10.58</v>
      </c>
      <c r="E3411">
        <v>1.05</v>
      </c>
      <c r="F3411">
        <v>0.11</v>
      </c>
      <c r="G3411" t="s">
        <v>10547</v>
      </c>
      <c r="H3411">
        <v>296</v>
      </c>
      <c r="I3411">
        <v>10.57</v>
      </c>
      <c r="J3411">
        <v>10.6</v>
      </c>
      <c r="K3411" t="s">
        <v>17092</v>
      </c>
      <c r="L3411">
        <v>1.72</v>
      </c>
      <c r="M3411" t="s">
        <v>46</v>
      </c>
      <c r="N3411" t="s">
        <v>654</v>
      </c>
      <c r="O3411">
        <v>10.68</v>
      </c>
      <c r="P3411">
        <v>10.36</v>
      </c>
      <c r="Q3411">
        <v>10.36</v>
      </c>
      <c r="R3411">
        <v>10.47</v>
      </c>
      <c r="S3411">
        <v>3.06</v>
      </c>
      <c r="T3411">
        <v>1.32</v>
      </c>
      <c r="U3411">
        <v>-8.63</v>
      </c>
      <c r="V3411">
        <v>-91</v>
      </c>
      <c r="W3411">
        <v>10.58</v>
      </c>
      <c r="X3411" t="s">
        <v>9024</v>
      </c>
      <c r="Y3411" t="s">
        <v>9024</v>
      </c>
      <c r="Z3411">
        <v>1</v>
      </c>
      <c r="AA3411">
        <v>49</v>
      </c>
      <c r="AB3411">
        <v>20</v>
      </c>
      <c r="AC3411">
        <v>1.21</v>
      </c>
      <c r="AD3411" t="s">
        <v>17096</v>
      </c>
      <c r="AE3411" t="s">
        <v>17097</v>
      </c>
      <c r="AF3411" t="s">
        <v>17096</v>
      </c>
      <c r="AG3411" t="s">
        <v>17097</v>
      </c>
      <c r="AH3411">
        <v>1.44</v>
      </c>
      <c r="AI3411">
        <v>3.02</v>
      </c>
      <c r="AJ3411">
        <v>3.74</v>
      </c>
      <c r="AK3411">
        <v>8.24</v>
      </c>
      <c r="AL3411">
        <v>2</v>
      </c>
      <c r="AM3411">
        <v>1.05</v>
      </c>
      <c r="AN3411">
        <v>-0.19</v>
      </c>
      <c r="AO3411">
        <v>7.3</v>
      </c>
      <c r="AP3411">
        <v>13.52</v>
      </c>
    </row>
    <row r="3412" spans="1:42">
      <c r="A3412">
        <v>3411</v>
      </c>
      <c r="B3412" t="str">
        <f>"002263"</f>
        <v>002263</v>
      </c>
      <c r="C3412" t="s">
        <v>17098</v>
      </c>
      <c r="D3412">
        <v>2.64</v>
      </c>
      <c r="E3412">
        <v>0.76</v>
      </c>
      <c r="F3412">
        <v>0.02</v>
      </c>
      <c r="G3412" t="s">
        <v>2778</v>
      </c>
      <c r="H3412">
        <v>2935</v>
      </c>
      <c r="I3412">
        <v>2.64</v>
      </c>
      <c r="J3412">
        <v>2.65</v>
      </c>
      <c r="K3412" t="s">
        <v>17099</v>
      </c>
      <c r="L3412">
        <v>0.88</v>
      </c>
      <c r="M3412" t="s">
        <v>46</v>
      </c>
      <c r="N3412" t="s">
        <v>1126</v>
      </c>
      <c r="O3412">
        <v>2.66</v>
      </c>
      <c r="P3412">
        <v>2.6</v>
      </c>
      <c r="Q3412">
        <v>2.62</v>
      </c>
      <c r="R3412">
        <v>2.62</v>
      </c>
      <c r="S3412">
        <v>2.29</v>
      </c>
      <c r="T3412">
        <v>1.1</v>
      </c>
      <c r="U3412">
        <v>13.71</v>
      </c>
      <c r="V3412">
        <v>6476</v>
      </c>
      <c r="W3412">
        <v>2.63</v>
      </c>
      <c r="X3412" t="s">
        <v>5918</v>
      </c>
      <c r="Y3412" t="s">
        <v>3254</v>
      </c>
      <c r="Z3412">
        <v>0.67</v>
      </c>
      <c r="AA3412">
        <v>1682</v>
      </c>
      <c r="AB3412">
        <v>3828</v>
      </c>
      <c r="AC3412">
        <v>1.83</v>
      </c>
      <c r="AD3412" t="s">
        <v>17100</v>
      </c>
      <c r="AE3412" t="s">
        <v>12713</v>
      </c>
      <c r="AF3412" t="s">
        <v>17100</v>
      </c>
      <c r="AG3412" t="s">
        <v>12713</v>
      </c>
      <c r="AH3412">
        <v>-0.75</v>
      </c>
      <c r="AI3412">
        <v>-2.58</v>
      </c>
      <c r="AJ3412">
        <v>2.15</v>
      </c>
      <c r="AK3412">
        <v>4.89</v>
      </c>
      <c r="AL3412">
        <v>1</v>
      </c>
      <c r="AM3412">
        <v>0.76</v>
      </c>
      <c r="AN3412">
        <v>-8.33</v>
      </c>
      <c r="AO3412">
        <v>3.53</v>
      </c>
      <c r="AP3412">
        <v>-17.76</v>
      </c>
    </row>
    <row r="3413" spans="1:42">
      <c r="A3413">
        <v>3412</v>
      </c>
      <c r="B3413" t="str">
        <f>"600495"</f>
        <v>600495</v>
      </c>
      <c r="C3413" t="s">
        <v>17101</v>
      </c>
      <c r="D3413">
        <v>4.03</v>
      </c>
      <c r="E3413">
        <v>1.26</v>
      </c>
      <c r="F3413">
        <v>0.05</v>
      </c>
      <c r="G3413" t="s">
        <v>1949</v>
      </c>
      <c r="H3413">
        <v>1014</v>
      </c>
      <c r="I3413">
        <v>4.02</v>
      </c>
      <c r="J3413">
        <v>4.03</v>
      </c>
      <c r="K3413" t="s">
        <v>17102</v>
      </c>
      <c r="L3413">
        <v>0.91</v>
      </c>
      <c r="M3413" t="s">
        <v>46</v>
      </c>
      <c r="N3413" t="s">
        <v>9520</v>
      </c>
      <c r="O3413">
        <v>4.05</v>
      </c>
      <c r="P3413">
        <v>3.94</v>
      </c>
      <c r="Q3413">
        <v>3.98</v>
      </c>
      <c r="R3413">
        <v>3.98</v>
      </c>
      <c r="S3413">
        <v>2.76</v>
      </c>
      <c r="T3413">
        <v>1.12</v>
      </c>
      <c r="U3413">
        <v>-52.8</v>
      </c>
      <c r="V3413" t="s">
        <v>17103</v>
      </c>
      <c r="W3413">
        <v>4</v>
      </c>
      <c r="X3413" t="s">
        <v>7735</v>
      </c>
      <c r="Y3413" t="s">
        <v>8972</v>
      </c>
      <c r="Z3413">
        <v>0.75</v>
      </c>
      <c r="AA3413">
        <v>2215</v>
      </c>
      <c r="AB3413">
        <v>425</v>
      </c>
      <c r="AC3413">
        <v>1.51</v>
      </c>
      <c r="AD3413" t="s">
        <v>9053</v>
      </c>
      <c r="AE3413" t="s">
        <v>17104</v>
      </c>
      <c r="AF3413" t="s">
        <v>9053</v>
      </c>
      <c r="AG3413" t="s">
        <v>17104</v>
      </c>
      <c r="AH3413">
        <v>-0.49</v>
      </c>
      <c r="AI3413">
        <v>0.25</v>
      </c>
      <c r="AJ3413">
        <v>2.4</v>
      </c>
      <c r="AK3413">
        <v>4.95</v>
      </c>
      <c r="AL3413">
        <v>1</v>
      </c>
      <c r="AM3413">
        <v>1.26</v>
      </c>
      <c r="AN3413">
        <v>13.84</v>
      </c>
      <c r="AO3413">
        <v>3.6</v>
      </c>
      <c r="AP3413">
        <v>6.61</v>
      </c>
    </row>
    <row r="3414" spans="1:42">
      <c r="A3414">
        <v>3413</v>
      </c>
      <c r="B3414" t="str">
        <f>"600663"</f>
        <v>600663</v>
      </c>
      <c r="C3414" t="s">
        <v>17105</v>
      </c>
      <c r="D3414">
        <v>8.99</v>
      </c>
      <c r="E3414">
        <v>0.11</v>
      </c>
      <c r="F3414">
        <v>0.01</v>
      </c>
      <c r="G3414" t="s">
        <v>5612</v>
      </c>
      <c r="H3414">
        <v>302</v>
      </c>
      <c r="I3414">
        <v>8.99</v>
      </c>
      <c r="J3414">
        <v>9</v>
      </c>
      <c r="K3414" t="s">
        <v>17102</v>
      </c>
      <c r="L3414">
        <v>0.17</v>
      </c>
      <c r="M3414" t="s">
        <v>46</v>
      </c>
      <c r="N3414" t="s">
        <v>17106</v>
      </c>
      <c r="O3414">
        <v>9.04</v>
      </c>
      <c r="P3414">
        <v>8.95</v>
      </c>
      <c r="Q3414">
        <v>9</v>
      </c>
      <c r="R3414">
        <v>8.98</v>
      </c>
      <c r="S3414">
        <v>1</v>
      </c>
      <c r="T3414">
        <v>0.71</v>
      </c>
      <c r="U3414">
        <v>17.19</v>
      </c>
      <c r="V3414">
        <v>615</v>
      </c>
      <c r="W3414">
        <v>9</v>
      </c>
      <c r="X3414" t="s">
        <v>5710</v>
      </c>
      <c r="Y3414" t="s">
        <v>9251</v>
      </c>
      <c r="Z3414">
        <v>0.92</v>
      </c>
      <c r="AA3414">
        <v>99</v>
      </c>
      <c r="AB3414">
        <v>3</v>
      </c>
      <c r="AC3414">
        <v>1.92</v>
      </c>
      <c r="AD3414" t="s">
        <v>6785</v>
      </c>
      <c r="AE3414" t="s">
        <v>17107</v>
      </c>
      <c r="AF3414" t="s">
        <v>15533</v>
      </c>
      <c r="AG3414" t="s">
        <v>4763</v>
      </c>
      <c r="AH3414">
        <v>-0.22</v>
      </c>
      <c r="AI3414">
        <v>0.67</v>
      </c>
      <c r="AJ3414">
        <v>0.52</v>
      </c>
      <c r="AK3414">
        <v>1.34</v>
      </c>
      <c r="AL3414">
        <v>2</v>
      </c>
      <c r="AM3414">
        <v>0.11</v>
      </c>
      <c r="AN3414">
        <v>-6.35</v>
      </c>
      <c r="AO3414">
        <v>-2.39</v>
      </c>
      <c r="AP3414">
        <v>-5.07</v>
      </c>
    </row>
    <row r="3415" spans="1:42">
      <c r="A3415">
        <v>3414</v>
      </c>
      <c r="B3415" t="str">
        <f>"300736"</f>
        <v>300736</v>
      </c>
      <c r="C3415" t="s">
        <v>17108</v>
      </c>
      <c r="D3415">
        <v>13.51</v>
      </c>
      <c r="E3415">
        <v>-0.95</v>
      </c>
      <c r="F3415">
        <v>-0.13</v>
      </c>
      <c r="G3415" t="s">
        <v>10177</v>
      </c>
      <c r="H3415">
        <v>166</v>
      </c>
      <c r="I3415">
        <v>13.51</v>
      </c>
      <c r="J3415">
        <v>13.54</v>
      </c>
      <c r="K3415" t="s">
        <v>17109</v>
      </c>
      <c r="L3415">
        <v>2.5</v>
      </c>
      <c r="M3415" t="s">
        <v>46</v>
      </c>
      <c r="N3415" t="s">
        <v>17110</v>
      </c>
      <c r="O3415">
        <v>13.75</v>
      </c>
      <c r="P3415">
        <v>13.42</v>
      </c>
      <c r="Q3415">
        <v>13.75</v>
      </c>
      <c r="R3415">
        <v>13.64</v>
      </c>
      <c r="S3415">
        <v>2.42</v>
      </c>
      <c r="T3415">
        <v>1.52</v>
      </c>
      <c r="U3415">
        <v>-67.39</v>
      </c>
      <c r="V3415">
        <v>-748</v>
      </c>
      <c r="W3415">
        <v>13.56</v>
      </c>
      <c r="X3415" t="s">
        <v>6425</v>
      </c>
      <c r="Y3415" t="s">
        <v>209</v>
      </c>
      <c r="Z3415">
        <v>1.52</v>
      </c>
      <c r="AA3415">
        <v>62</v>
      </c>
      <c r="AB3415">
        <v>50</v>
      </c>
      <c r="AC3415">
        <v>15.21</v>
      </c>
      <c r="AD3415" t="s">
        <v>17111</v>
      </c>
      <c r="AE3415" t="s">
        <v>11912</v>
      </c>
      <c r="AF3415" t="s">
        <v>14641</v>
      </c>
      <c r="AG3415" t="s">
        <v>5491</v>
      </c>
      <c r="AH3415">
        <v>-2.88</v>
      </c>
      <c r="AI3415">
        <v>-2.45</v>
      </c>
      <c r="AJ3415">
        <v>5.94</v>
      </c>
      <c r="AK3415">
        <v>10.77</v>
      </c>
      <c r="AL3415">
        <v>-3</v>
      </c>
      <c r="AM3415">
        <v>-0.95</v>
      </c>
      <c r="AN3415">
        <v>-14.55</v>
      </c>
      <c r="AO3415">
        <v>-4.32</v>
      </c>
      <c r="AP3415">
        <v>-9.93</v>
      </c>
    </row>
    <row r="3416" spans="1:42">
      <c r="A3416">
        <v>3415</v>
      </c>
      <c r="B3416" t="str">
        <f>"300835"</f>
        <v>300835</v>
      </c>
      <c r="C3416" t="s">
        <v>17112</v>
      </c>
      <c r="D3416">
        <v>28.77</v>
      </c>
      <c r="E3416">
        <v>0.07</v>
      </c>
      <c r="F3416">
        <v>0.02</v>
      </c>
      <c r="G3416" t="s">
        <v>578</v>
      </c>
      <c r="H3416">
        <v>160</v>
      </c>
      <c r="I3416">
        <v>28.77</v>
      </c>
      <c r="J3416">
        <v>28.78</v>
      </c>
      <c r="K3416" t="s">
        <v>17109</v>
      </c>
      <c r="L3416">
        <v>1.89</v>
      </c>
      <c r="M3416" t="s">
        <v>46</v>
      </c>
      <c r="N3416" t="s">
        <v>5637</v>
      </c>
      <c r="O3416">
        <v>28.97</v>
      </c>
      <c r="P3416">
        <v>28.32</v>
      </c>
      <c r="Q3416">
        <v>28.67</v>
      </c>
      <c r="R3416">
        <v>28.75</v>
      </c>
      <c r="S3416">
        <v>2.26</v>
      </c>
      <c r="T3416">
        <v>0.87</v>
      </c>
      <c r="U3416">
        <v>17.54</v>
      </c>
      <c r="V3416">
        <v>20</v>
      </c>
      <c r="W3416">
        <v>28.62</v>
      </c>
      <c r="X3416">
        <v>7786</v>
      </c>
      <c r="Y3416">
        <v>7483</v>
      </c>
      <c r="Z3416">
        <v>1.04</v>
      </c>
      <c r="AA3416">
        <v>3</v>
      </c>
      <c r="AB3416">
        <v>9</v>
      </c>
      <c r="AC3416">
        <v>3.31</v>
      </c>
      <c r="AD3416" t="s">
        <v>3104</v>
      </c>
      <c r="AE3416" t="s">
        <v>17113</v>
      </c>
      <c r="AF3416" t="s">
        <v>17114</v>
      </c>
      <c r="AG3416" t="s">
        <v>17115</v>
      </c>
      <c r="AH3416">
        <v>-0.96</v>
      </c>
      <c r="AI3416">
        <v>-1.07</v>
      </c>
      <c r="AJ3416">
        <v>6.58</v>
      </c>
      <c r="AK3416">
        <v>12.76</v>
      </c>
      <c r="AL3416">
        <v>1</v>
      </c>
      <c r="AM3416">
        <v>0.07</v>
      </c>
      <c r="AN3416">
        <v>-19.64</v>
      </c>
      <c r="AO3416">
        <v>-6.65</v>
      </c>
      <c r="AP3416">
        <v>4.28</v>
      </c>
    </row>
    <row r="3417" spans="1:42">
      <c r="A3417">
        <v>3416</v>
      </c>
      <c r="B3417" t="str">
        <f>"300120"</f>
        <v>300120</v>
      </c>
      <c r="C3417" t="s">
        <v>17116</v>
      </c>
      <c r="D3417">
        <v>7.43</v>
      </c>
      <c r="E3417">
        <v>0.81</v>
      </c>
      <c r="F3417">
        <v>0.06</v>
      </c>
      <c r="G3417" t="s">
        <v>8037</v>
      </c>
      <c r="H3417">
        <v>821</v>
      </c>
      <c r="I3417">
        <v>7.42</v>
      </c>
      <c r="J3417">
        <v>7.43</v>
      </c>
      <c r="K3417" t="s">
        <v>17117</v>
      </c>
      <c r="L3417">
        <v>1.13</v>
      </c>
      <c r="M3417" t="s">
        <v>46</v>
      </c>
      <c r="N3417" t="s">
        <v>9900</v>
      </c>
      <c r="O3417">
        <v>7.46</v>
      </c>
      <c r="P3417">
        <v>7.3</v>
      </c>
      <c r="Q3417">
        <v>7.42</v>
      </c>
      <c r="R3417">
        <v>7.37</v>
      </c>
      <c r="S3417">
        <v>2.17</v>
      </c>
      <c r="T3417">
        <v>0.95</v>
      </c>
      <c r="U3417">
        <v>11.33</v>
      </c>
      <c r="V3417">
        <v>494</v>
      </c>
      <c r="W3417">
        <v>7.4</v>
      </c>
      <c r="X3417" t="s">
        <v>5746</v>
      </c>
      <c r="Y3417" t="s">
        <v>4761</v>
      </c>
      <c r="Z3417">
        <v>0.82</v>
      </c>
      <c r="AA3417">
        <v>234</v>
      </c>
      <c r="AB3417">
        <v>336</v>
      </c>
      <c r="AC3417">
        <v>1.3</v>
      </c>
      <c r="AD3417" t="s">
        <v>17118</v>
      </c>
      <c r="AE3417" t="s">
        <v>4829</v>
      </c>
      <c r="AF3417" t="s">
        <v>17119</v>
      </c>
      <c r="AG3417" t="s">
        <v>17120</v>
      </c>
      <c r="AH3417">
        <v>-1.59</v>
      </c>
      <c r="AI3417">
        <v>-1.46</v>
      </c>
      <c r="AJ3417">
        <v>3.6</v>
      </c>
      <c r="AK3417">
        <v>7.1</v>
      </c>
      <c r="AL3417">
        <v>1</v>
      </c>
      <c r="AM3417">
        <v>0.81</v>
      </c>
      <c r="AN3417">
        <v>24.04</v>
      </c>
      <c r="AO3417">
        <v>1.23</v>
      </c>
      <c r="AP3417">
        <v>8.47</v>
      </c>
    </row>
    <row r="3418" spans="1:42">
      <c r="A3418">
        <v>3417</v>
      </c>
      <c r="B3418" t="str">
        <f>"002022"</f>
        <v>002022</v>
      </c>
      <c r="C3418" t="s">
        <v>17121</v>
      </c>
      <c r="D3418">
        <v>9.27</v>
      </c>
      <c r="E3418">
        <v>0.43</v>
      </c>
      <c r="F3418">
        <v>0.04</v>
      </c>
      <c r="G3418" t="s">
        <v>778</v>
      </c>
      <c r="H3418">
        <v>116</v>
      </c>
      <c r="I3418">
        <v>9.27</v>
      </c>
      <c r="J3418">
        <v>9.28</v>
      </c>
      <c r="K3418" t="s">
        <v>17122</v>
      </c>
      <c r="L3418">
        <v>0.92</v>
      </c>
      <c r="M3418" t="s">
        <v>46</v>
      </c>
      <c r="N3418" t="s">
        <v>1511</v>
      </c>
      <c r="O3418">
        <v>9.32</v>
      </c>
      <c r="P3418">
        <v>9.16</v>
      </c>
      <c r="Q3418">
        <v>9.28</v>
      </c>
      <c r="R3418">
        <v>9.23</v>
      </c>
      <c r="S3418">
        <v>1.73</v>
      </c>
      <c r="T3418">
        <v>0.81</v>
      </c>
      <c r="U3418">
        <v>-48.01</v>
      </c>
      <c r="V3418">
        <v>-2152</v>
      </c>
      <c r="W3418">
        <v>9.25</v>
      </c>
      <c r="X3418" t="s">
        <v>2716</v>
      </c>
      <c r="Y3418" t="s">
        <v>1077</v>
      </c>
      <c r="Z3418">
        <v>0.83</v>
      </c>
      <c r="AA3418">
        <v>101</v>
      </c>
      <c r="AB3418">
        <v>78</v>
      </c>
      <c r="AC3418">
        <v>1.12</v>
      </c>
      <c r="AD3418" t="s">
        <v>17123</v>
      </c>
      <c r="AE3418" t="s">
        <v>17124</v>
      </c>
      <c r="AF3418" t="s">
        <v>17125</v>
      </c>
      <c r="AG3418" t="s">
        <v>17126</v>
      </c>
      <c r="AH3418">
        <v>-0.64</v>
      </c>
      <c r="AI3418">
        <v>0.65</v>
      </c>
      <c r="AJ3418">
        <v>2.28</v>
      </c>
      <c r="AK3418">
        <v>6.56</v>
      </c>
      <c r="AL3418">
        <v>2</v>
      </c>
      <c r="AM3418">
        <v>0.43</v>
      </c>
      <c r="AN3418">
        <v>-21.24</v>
      </c>
      <c r="AO3418">
        <v>6.55</v>
      </c>
      <c r="AP3418">
        <v>-28.08</v>
      </c>
    </row>
    <row r="3419" spans="1:42">
      <c r="A3419">
        <v>3418</v>
      </c>
      <c r="B3419" t="str">
        <f>"300669"</f>
        <v>300669</v>
      </c>
      <c r="C3419" t="s">
        <v>17127</v>
      </c>
      <c r="D3419">
        <v>16.88</v>
      </c>
      <c r="E3419">
        <v>1.38</v>
      </c>
      <c r="F3419">
        <v>0.23</v>
      </c>
      <c r="G3419" t="s">
        <v>4036</v>
      </c>
      <c r="H3419">
        <v>373</v>
      </c>
      <c r="I3419">
        <v>16.88</v>
      </c>
      <c r="J3419">
        <v>16.89</v>
      </c>
      <c r="K3419" t="s">
        <v>17128</v>
      </c>
      <c r="L3419">
        <v>1.45</v>
      </c>
      <c r="M3419" t="s">
        <v>46</v>
      </c>
      <c r="N3419" t="s">
        <v>5071</v>
      </c>
      <c r="O3419">
        <v>17.03</v>
      </c>
      <c r="P3419">
        <v>16.52</v>
      </c>
      <c r="Q3419">
        <v>16.67</v>
      </c>
      <c r="R3419">
        <v>16.65</v>
      </c>
      <c r="S3419">
        <v>3.06</v>
      </c>
      <c r="T3419">
        <v>0.91</v>
      </c>
      <c r="U3419">
        <v>-57.58</v>
      </c>
      <c r="V3419">
        <v>-467</v>
      </c>
      <c r="W3419">
        <v>16.82</v>
      </c>
      <c r="X3419" t="s">
        <v>2147</v>
      </c>
      <c r="Y3419" t="s">
        <v>61</v>
      </c>
      <c r="Z3419">
        <v>0.7</v>
      </c>
      <c r="AA3419">
        <v>58</v>
      </c>
      <c r="AB3419">
        <v>145</v>
      </c>
      <c r="AC3419">
        <v>3.71</v>
      </c>
      <c r="AD3419" t="s">
        <v>17129</v>
      </c>
      <c r="AE3419" t="s">
        <v>9691</v>
      </c>
      <c r="AF3419" t="s">
        <v>17130</v>
      </c>
      <c r="AG3419" t="s">
        <v>6532</v>
      </c>
      <c r="AH3419">
        <v>1.69</v>
      </c>
      <c r="AI3419">
        <v>6.1</v>
      </c>
      <c r="AJ3419">
        <v>4.06</v>
      </c>
      <c r="AK3419">
        <v>9.41</v>
      </c>
      <c r="AL3419">
        <v>2</v>
      </c>
      <c r="AM3419">
        <v>1.38</v>
      </c>
      <c r="AN3419">
        <v>113.4</v>
      </c>
      <c r="AO3419">
        <v>8.76</v>
      </c>
      <c r="AP3419">
        <v>96.28</v>
      </c>
    </row>
    <row r="3420" spans="1:42">
      <c r="A3420">
        <v>3419</v>
      </c>
      <c r="B3420" t="str">
        <f>"600565"</f>
        <v>600565</v>
      </c>
      <c r="C3420" t="s">
        <v>17131</v>
      </c>
      <c r="D3420">
        <v>1.66</v>
      </c>
      <c r="E3420">
        <v>1.22</v>
      </c>
      <c r="F3420">
        <v>0.02</v>
      </c>
      <c r="G3420" t="s">
        <v>1032</v>
      </c>
      <c r="H3420">
        <v>1388</v>
      </c>
      <c r="I3420">
        <v>1.65</v>
      </c>
      <c r="J3420">
        <v>1.66</v>
      </c>
      <c r="K3420" t="s">
        <v>17132</v>
      </c>
      <c r="L3420">
        <v>1.06</v>
      </c>
      <c r="M3420" t="s">
        <v>46</v>
      </c>
      <c r="N3420" t="s">
        <v>7145</v>
      </c>
      <c r="O3420">
        <v>1.68</v>
      </c>
      <c r="P3420">
        <v>1.63</v>
      </c>
      <c r="Q3420">
        <v>1.64</v>
      </c>
      <c r="R3420">
        <v>1.64</v>
      </c>
      <c r="S3420">
        <v>3.05</v>
      </c>
      <c r="T3420">
        <v>0.77</v>
      </c>
      <c r="U3420">
        <v>-5.47</v>
      </c>
      <c r="V3420">
        <v>-4281</v>
      </c>
      <c r="W3420">
        <v>1.66</v>
      </c>
      <c r="X3420" t="s">
        <v>881</v>
      </c>
      <c r="Y3420" t="s">
        <v>5021</v>
      </c>
      <c r="Z3420">
        <v>0.66</v>
      </c>
      <c r="AA3420" t="s">
        <v>4963</v>
      </c>
      <c r="AB3420">
        <v>4660</v>
      </c>
      <c r="AC3420">
        <v>0.88</v>
      </c>
      <c r="AD3420" t="s">
        <v>11184</v>
      </c>
      <c r="AE3420" t="s">
        <v>2953</v>
      </c>
      <c r="AF3420" t="s">
        <v>11184</v>
      </c>
      <c r="AG3420" t="s">
        <v>2953</v>
      </c>
      <c r="AH3420">
        <v>-2.35</v>
      </c>
      <c r="AI3420">
        <v>-5.68</v>
      </c>
      <c r="AJ3420">
        <v>3.3</v>
      </c>
      <c r="AK3420">
        <v>7.88</v>
      </c>
      <c r="AL3420">
        <v>1</v>
      </c>
      <c r="AM3420">
        <v>1.22</v>
      </c>
      <c r="AN3420">
        <v>-23.15</v>
      </c>
      <c r="AO3420">
        <v>7.79</v>
      </c>
      <c r="AP3420">
        <v>-24.2</v>
      </c>
    </row>
    <row r="3421" spans="1:42">
      <c r="A3421">
        <v>3420</v>
      </c>
      <c r="B3421" t="str">
        <f>"600841"</f>
        <v>600841</v>
      </c>
      <c r="C3421" t="s">
        <v>17133</v>
      </c>
      <c r="D3421">
        <v>6.49</v>
      </c>
      <c r="E3421">
        <v>0.15</v>
      </c>
      <c r="F3421">
        <v>0.01</v>
      </c>
      <c r="G3421" t="s">
        <v>6113</v>
      </c>
      <c r="H3421">
        <v>1120</v>
      </c>
      <c r="I3421">
        <v>6.47</v>
      </c>
      <c r="J3421">
        <v>6.49</v>
      </c>
      <c r="K3421" t="s">
        <v>17134</v>
      </c>
      <c r="L3421">
        <v>0.73</v>
      </c>
      <c r="M3421" t="s">
        <v>46</v>
      </c>
      <c r="N3421" t="s">
        <v>13545</v>
      </c>
      <c r="O3421">
        <v>6.59</v>
      </c>
      <c r="P3421">
        <v>6.39</v>
      </c>
      <c r="Q3421">
        <v>6.47</v>
      </c>
      <c r="R3421">
        <v>6.48</v>
      </c>
      <c r="S3421">
        <v>3.09</v>
      </c>
      <c r="T3421">
        <v>1.12</v>
      </c>
      <c r="U3421">
        <v>-21.26</v>
      </c>
      <c r="V3421">
        <v>-555</v>
      </c>
      <c r="W3421">
        <v>6.48</v>
      </c>
      <c r="X3421" t="s">
        <v>2628</v>
      </c>
      <c r="Y3421" t="s">
        <v>4974</v>
      </c>
      <c r="Z3421">
        <v>0.87</v>
      </c>
      <c r="AA3421">
        <v>144</v>
      </c>
      <c r="AB3421">
        <v>1345</v>
      </c>
      <c r="AC3421">
        <v>1.3</v>
      </c>
      <c r="AD3421" t="s">
        <v>7559</v>
      </c>
      <c r="AE3421" t="s">
        <v>17135</v>
      </c>
      <c r="AF3421" t="s">
        <v>17136</v>
      </c>
      <c r="AG3421" t="s">
        <v>13349</v>
      </c>
      <c r="AH3421">
        <v>-0.76</v>
      </c>
      <c r="AI3421">
        <v>-0.46</v>
      </c>
      <c r="AJ3421">
        <v>2.28</v>
      </c>
      <c r="AK3421">
        <v>4.01</v>
      </c>
      <c r="AL3421">
        <v>1</v>
      </c>
      <c r="AM3421">
        <v>0.15</v>
      </c>
      <c r="AN3421">
        <v>6.92</v>
      </c>
      <c r="AO3421">
        <v>5.87</v>
      </c>
      <c r="AP3421">
        <v>-0.46</v>
      </c>
    </row>
    <row r="3422" spans="1:42">
      <c r="A3422">
        <v>3421</v>
      </c>
      <c r="B3422" t="str">
        <f>"688670"</f>
        <v>688670</v>
      </c>
      <c r="C3422" t="s">
        <v>17137</v>
      </c>
      <c r="D3422">
        <v>34.78</v>
      </c>
      <c r="E3422">
        <v>0.55</v>
      </c>
      <c r="F3422">
        <v>0.19</v>
      </c>
      <c r="G3422" t="s">
        <v>682</v>
      </c>
      <c r="H3422">
        <v>116</v>
      </c>
      <c r="I3422">
        <v>34.78</v>
      </c>
      <c r="J3422">
        <v>34.79</v>
      </c>
      <c r="K3422" t="s">
        <v>17138</v>
      </c>
      <c r="L3422">
        <v>2.86</v>
      </c>
      <c r="M3422" t="s">
        <v>46</v>
      </c>
      <c r="N3422" t="s">
        <v>9800</v>
      </c>
      <c r="O3422">
        <v>34.85</v>
      </c>
      <c r="P3422">
        <v>34.03</v>
      </c>
      <c r="Q3422">
        <v>34.48</v>
      </c>
      <c r="R3422">
        <v>34.59</v>
      </c>
      <c r="S3422">
        <v>2.37</v>
      </c>
      <c r="T3422">
        <v>0.42</v>
      </c>
      <c r="U3422">
        <v>-42.84</v>
      </c>
      <c r="V3422">
        <v>-116</v>
      </c>
      <c r="W3422">
        <v>34.54</v>
      </c>
      <c r="X3422">
        <v>7077</v>
      </c>
      <c r="Y3422">
        <v>5534</v>
      </c>
      <c r="Z3422">
        <v>1.28</v>
      </c>
      <c r="AA3422">
        <v>20</v>
      </c>
      <c r="AB3422">
        <v>13</v>
      </c>
      <c r="AC3422">
        <v>2.99</v>
      </c>
      <c r="AD3422" t="s">
        <v>10868</v>
      </c>
      <c r="AE3422" t="s">
        <v>17139</v>
      </c>
      <c r="AF3422" t="s">
        <v>17140</v>
      </c>
      <c r="AG3422" t="s">
        <v>17141</v>
      </c>
      <c r="AH3422">
        <v>0.29</v>
      </c>
      <c r="AI3422">
        <v>-4.69</v>
      </c>
      <c r="AJ3422">
        <v>12.87</v>
      </c>
      <c r="AK3422">
        <v>36.72</v>
      </c>
      <c r="AL3422">
        <v>2</v>
      </c>
      <c r="AM3422">
        <v>0.55</v>
      </c>
      <c r="AN3422">
        <v>13.81</v>
      </c>
      <c r="AO3422">
        <v>5.43</v>
      </c>
      <c r="AP3422">
        <v>3.82</v>
      </c>
    </row>
    <row r="3423" spans="1:42">
      <c r="A3423">
        <v>3422</v>
      </c>
      <c r="B3423" t="str">
        <f>"300091"</f>
        <v>300091</v>
      </c>
      <c r="C3423" t="s">
        <v>17142</v>
      </c>
      <c r="D3423">
        <v>2.83</v>
      </c>
      <c r="E3423">
        <v>-0.7</v>
      </c>
      <c r="F3423">
        <v>-0.02</v>
      </c>
      <c r="G3423" t="s">
        <v>2291</v>
      </c>
      <c r="H3423">
        <v>1798</v>
      </c>
      <c r="I3423">
        <v>2.82</v>
      </c>
      <c r="J3423">
        <v>2.83</v>
      </c>
      <c r="K3423" t="s">
        <v>4425</v>
      </c>
      <c r="L3423">
        <v>1.4</v>
      </c>
      <c r="M3423" t="s">
        <v>46</v>
      </c>
      <c r="N3423" t="s">
        <v>1419</v>
      </c>
      <c r="O3423">
        <v>2.86</v>
      </c>
      <c r="P3423">
        <v>2.81</v>
      </c>
      <c r="Q3423">
        <v>2.86</v>
      </c>
      <c r="R3423">
        <v>2.85</v>
      </c>
      <c r="S3423">
        <v>1.75</v>
      </c>
      <c r="T3423">
        <v>0.78</v>
      </c>
      <c r="U3423">
        <v>46.78</v>
      </c>
      <c r="V3423" t="s">
        <v>4509</v>
      </c>
      <c r="W3423">
        <v>2.83</v>
      </c>
      <c r="X3423" t="s">
        <v>646</v>
      </c>
      <c r="Y3423" t="s">
        <v>6465</v>
      </c>
      <c r="Z3423">
        <v>1.38</v>
      </c>
      <c r="AA3423" t="s">
        <v>1154</v>
      </c>
      <c r="AB3423">
        <v>332</v>
      </c>
      <c r="AC3423">
        <v>1.82</v>
      </c>
      <c r="AD3423" t="s">
        <v>17143</v>
      </c>
      <c r="AE3423" t="s">
        <v>17144</v>
      </c>
      <c r="AF3423" t="s">
        <v>8883</v>
      </c>
      <c r="AG3423" t="s">
        <v>17145</v>
      </c>
      <c r="AH3423">
        <v>-3.08</v>
      </c>
      <c r="AI3423">
        <v>-2.41</v>
      </c>
      <c r="AJ3423">
        <v>4.65</v>
      </c>
      <c r="AK3423">
        <v>10.3</v>
      </c>
      <c r="AL3423">
        <v>-3</v>
      </c>
      <c r="AM3423">
        <v>-0.7</v>
      </c>
      <c r="AN3423">
        <v>-20.28</v>
      </c>
      <c r="AO3423">
        <v>-5.35</v>
      </c>
      <c r="AP3423">
        <v>-24.73</v>
      </c>
    </row>
    <row r="3424" spans="1:42">
      <c r="A3424">
        <v>3423</v>
      </c>
      <c r="B3424" t="str">
        <f>"688338"</f>
        <v>688338</v>
      </c>
      <c r="C3424" t="s">
        <v>17146</v>
      </c>
      <c r="D3424">
        <v>34.73</v>
      </c>
      <c r="E3424">
        <v>-0.74</v>
      </c>
      <c r="F3424">
        <v>-0.26</v>
      </c>
      <c r="G3424" t="s">
        <v>682</v>
      </c>
      <c r="H3424">
        <v>96</v>
      </c>
      <c r="I3424">
        <v>34.65</v>
      </c>
      <c r="J3424">
        <v>34.73</v>
      </c>
      <c r="K3424" t="s">
        <v>4425</v>
      </c>
      <c r="L3424">
        <v>1.97</v>
      </c>
      <c r="M3424" t="s">
        <v>46</v>
      </c>
      <c r="N3424" t="s">
        <v>4150</v>
      </c>
      <c r="O3424">
        <v>34.99</v>
      </c>
      <c r="P3424">
        <v>34.25</v>
      </c>
      <c r="Q3424">
        <v>34.8</v>
      </c>
      <c r="R3424">
        <v>34.99</v>
      </c>
      <c r="S3424">
        <v>2.11</v>
      </c>
      <c r="T3424">
        <v>1.34</v>
      </c>
      <c r="U3424">
        <v>3.25</v>
      </c>
      <c r="V3424">
        <v>6</v>
      </c>
      <c r="W3424">
        <v>34.63</v>
      </c>
      <c r="X3424">
        <v>6837</v>
      </c>
      <c r="Y3424">
        <v>5727</v>
      </c>
      <c r="Z3424">
        <v>1.19</v>
      </c>
      <c r="AA3424">
        <v>59</v>
      </c>
      <c r="AB3424">
        <v>2</v>
      </c>
      <c r="AC3424">
        <v>2.35</v>
      </c>
      <c r="AD3424" t="s">
        <v>5384</v>
      </c>
      <c r="AE3424" t="s">
        <v>8981</v>
      </c>
      <c r="AF3424" t="s">
        <v>17147</v>
      </c>
      <c r="AG3424" t="s">
        <v>17148</v>
      </c>
      <c r="AH3424">
        <v>3.21</v>
      </c>
      <c r="AI3424">
        <v>3.58</v>
      </c>
      <c r="AJ3424">
        <v>7.23</v>
      </c>
      <c r="AK3424">
        <v>9.35</v>
      </c>
      <c r="AL3424">
        <v>-1</v>
      </c>
      <c r="AM3424">
        <v>-0.74</v>
      </c>
      <c r="AN3424">
        <v>37.93</v>
      </c>
      <c r="AO3424">
        <v>9.11</v>
      </c>
      <c r="AP3424">
        <v>27.22</v>
      </c>
    </row>
    <row r="3425" spans="1:42">
      <c r="A3425">
        <v>3424</v>
      </c>
      <c r="B3425" t="str">
        <f>"002098"</f>
        <v>002098</v>
      </c>
      <c r="C3425" t="s">
        <v>17149</v>
      </c>
      <c r="D3425">
        <v>6.92</v>
      </c>
      <c r="E3425">
        <v>0.73</v>
      </c>
      <c r="F3425">
        <v>0.05</v>
      </c>
      <c r="G3425" t="s">
        <v>4909</v>
      </c>
      <c r="H3425">
        <v>670</v>
      </c>
      <c r="I3425">
        <v>6.91</v>
      </c>
      <c r="J3425">
        <v>6.92</v>
      </c>
      <c r="K3425" t="s">
        <v>17150</v>
      </c>
      <c r="L3425">
        <v>1.75</v>
      </c>
      <c r="M3425" t="s">
        <v>46</v>
      </c>
      <c r="N3425" t="s">
        <v>2533</v>
      </c>
      <c r="O3425">
        <v>7.01</v>
      </c>
      <c r="P3425">
        <v>6.87</v>
      </c>
      <c r="Q3425">
        <v>6.9</v>
      </c>
      <c r="R3425">
        <v>6.87</v>
      </c>
      <c r="S3425">
        <v>2.04</v>
      </c>
      <c r="T3425">
        <v>1.84</v>
      </c>
      <c r="U3425">
        <v>19.1</v>
      </c>
      <c r="V3425">
        <v>306</v>
      </c>
      <c r="W3425">
        <v>6.94</v>
      </c>
      <c r="X3425" t="s">
        <v>9871</v>
      </c>
      <c r="Y3425" t="s">
        <v>8050</v>
      </c>
      <c r="Z3425">
        <v>1.1</v>
      </c>
      <c r="AA3425">
        <v>96</v>
      </c>
      <c r="AB3425">
        <v>80</v>
      </c>
      <c r="AC3425">
        <v>2.2</v>
      </c>
      <c r="AD3425" t="s">
        <v>17151</v>
      </c>
      <c r="AE3425" t="s">
        <v>17152</v>
      </c>
      <c r="AF3425" t="s">
        <v>17151</v>
      </c>
      <c r="AG3425" t="s">
        <v>17152</v>
      </c>
      <c r="AH3425">
        <v>0.29</v>
      </c>
      <c r="AI3425">
        <v>0.73</v>
      </c>
      <c r="AJ3425">
        <v>3.85</v>
      </c>
      <c r="AK3425">
        <v>6.5</v>
      </c>
      <c r="AL3425">
        <v>2</v>
      </c>
      <c r="AM3425">
        <v>0.73</v>
      </c>
      <c r="AN3425">
        <v>7.79</v>
      </c>
      <c r="AO3425">
        <v>2.98</v>
      </c>
      <c r="AP3425">
        <v>14.19</v>
      </c>
    </row>
    <row r="3426" spans="1:42">
      <c r="A3426">
        <v>3425</v>
      </c>
      <c r="B3426" t="str">
        <f>"601326"</f>
        <v>601326</v>
      </c>
      <c r="C3426" t="s">
        <v>17153</v>
      </c>
      <c r="D3426">
        <v>2.95</v>
      </c>
      <c r="E3426">
        <v>1.37</v>
      </c>
      <c r="F3426">
        <v>0.04</v>
      </c>
      <c r="G3426" t="s">
        <v>598</v>
      </c>
      <c r="H3426">
        <v>1990</v>
      </c>
      <c r="I3426">
        <v>2.94</v>
      </c>
      <c r="J3426">
        <v>2.95</v>
      </c>
      <c r="K3426" t="s">
        <v>17154</v>
      </c>
      <c r="L3426">
        <v>0.31</v>
      </c>
      <c r="M3426" t="s">
        <v>46</v>
      </c>
      <c r="N3426" t="s">
        <v>17155</v>
      </c>
      <c r="O3426">
        <v>2.95</v>
      </c>
      <c r="P3426">
        <v>2.9</v>
      </c>
      <c r="Q3426">
        <v>2.91</v>
      </c>
      <c r="R3426">
        <v>2.91</v>
      </c>
      <c r="S3426">
        <v>1.72</v>
      </c>
      <c r="T3426">
        <v>1.22</v>
      </c>
      <c r="U3426">
        <v>-27.6</v>
      </c>
      <c r="V3426" t="s">
        <v>7171</v>
      </c>
      <c r="W3426">
        <v>2.94</v>
      </c>
      <c r="X3426" t="s">
        <v>8120</v>
      </c>
      <c r="Y3426" t="s">
        <v>3159</v>
      </c>
      <c r="Z3426">
        <v>0.64</v>
      </c>
      <c r="AA3426">
        <v>1279</v>
      </c>
      <c r="AB3426" t="s">
        <v>1427</v>
      </c>
      <c r="AC3426">
        <v>0.9</v>
      </c>
      <c r="AD3426" t="s">
        <v>2895</v>
      </c>
      <c r="AE3426" t="s">
        <v>15581</v>
      </c>
      <c r="AF3426" t="s">
        <v>17156</v>
      </c>
      <c r="AG3426" t="s">
        <v>17157</v>
      </c>
      <c r="AH3426">
        <v>0.68</v>
      </c>
      <c r="AI3426">
        <v>0</v>
      </c>
      <c r="AJ3426">
        <v>0.87</v>
      </c>
      <c r="AK3426">
        <v>1.59</v>
      </c>
      <c r="AL3426">
        <v>2</v>
      </c>
      <c r="AM3426">
        <v>1.37</v>
      </c>
      <c r="AN3426">
        <v>10.07</v>
      </c>
      <c r="AO3426">
        <v>-0.34</v>
      </c>
      <c r="AP3426">
        <v>10.07</v>
      </c>
    </row>
    <row r="3427" spans="1:42">
      <c r="A3427">
        <v>3426</v>
      </c>
      <c r="B3427" t="str">
        <f>"688696"</f>
        <v>688696</v>
      </c>
      <c r="C3427" t="s">
        <v>17158</v>
      </c>
      <c r="D3427">
        <v>116.85</v>
      </c>
      <c r="E3427">
        <v>-0.51</v>
      </c>
      <c r="F3427">
        <v>-0.6</v>
      </c>
      <c r="G3427">
        <v>3733</v>
      </c>
      <c r="H3427">
        <v>19</v>
      </c>
      <c r="I3427">
        <v>116.85</v>
      </c>
      <c r="J3427">
        <v>116.88</v>
      </c>
      <c r="K3427" t="s">
        <v>17159</v>
      </c>
      <c r="L3427">
        <v>0.82</v>
      </c>
      <c r="M3427" t="s">
        <v>46</v>
      </c>
      <c r="N3427" t="s">
        <v>2966</v>
      </c>
      <c r="O3427">
        <v>117.59</v>
      </c>
      <c r="P3427">
        <v>115.4</v>
      </c>
      <c r="Q3427">
        <v>117</v>
      </c>
      <c r="R3427">
        <v>117.45</v>
      </c>
      <c r="S3427">
        <v>1.86</v>
      </c>
      <c r="T3427">
        <v>0.89</v>
      </c>
      <c r="U3427">
        <v>-37.31</v>
      </c>
      <c r="V3427">
        <v>-19</v>
      </c>
      <c r="W3427">
        <v>116.4</v>
      </c>
      <c r="X3427">
        <v>1920</v>
      </c>
      <c r="Y3427">
        <v>1813</v>
      </c>
      <c r="Z3427">
        <v>1.06</v>
      </c>
      <c r="AA3427">
        <v>5</v>
      </c>
      <c r="AB3427">
        <v>5</v>
      </c>
      <c r="AC3427">
        <v>2.61</v>
      </c>
      <c r="AD3427" t="s">
        <v>13535</v>
      </c>
      <c r="AE3427" t="s">
        <v>5602</v>
      </c>
      <c r="AF3427" t="s">
        <v>17160</v>
      </c>
      <c r="AG3427" t="s">
        <v>17161</v>
      </c>
      <c r="AH3427">
        <v>-3.99</v>
      </c>
      <c r="AI3427">
        <v>-5.38</v>
      </c>
      <c r="AJ3427">
        <v>2.58</v>
      </c>
      <c r="AK3427">
        <v>5.41</v>
      </c>
      <c r="AL3427">
        <v>-3</v>
      </c>
      <c r="AM3427">
        <v>-0.51</v>
      </c>
      <c r="AN3427">
        <v>-28.77</v>
      </c>
      <c r="AO3427">
        <v>-1.46</v>
      </c>
      <c r="AP3427">
        <v>-35.65</v>
      </c>
    </row>
    <row r="3428" spans="1:42">
      <c r="A3428">
        <v>3427</v>
      </c>
      <c r="B3428" t="str">
        <f>"000826"</f>
        <v>000826</v>
      </c>
      <c r="C3428" t="s">
        <v>17162</v>
      </c>
      <c r="D3428">
        <v>3.1</v>
      </c>
      <c r="E3428">
        <v>1.31</v>
      </c>
      <c r="F3428">
        <v>0.04</v>
      </c>
      <c r="G3428" t="s">
        <v>1296</v>
      </c>
      <c r="H3428">
        <v>2298</v>
      </c>
      <c r="I3428">
        <v>3.09</v>
      </c>
      <c r="J3428">
        <v>3.1</v>
      </c>
      <c r="K3428" t="s">
        <v>17163</v>
      </c>
      <c r="L3428">
        <v>0.99</v>
      </c>
      <c r="M3428" t="s">
        <v>46</v>
      </c>
      <c r="N3428" t="s">
        <v>17164</v>
      </c>
      <c r="O3428">
        <v>3.1</v>
      </c>
      <c r="P3428">
        <v>3.05</v>
      </c>
      <c r="Q3428">
        <v>3.07</v>
      </c>
      <c r="R3428">
        <v>3.06</v>
      </c>
      <c r="S3428">
        <v>1.63</v>
      </c>
      <c r="T3428">
        <v>0.7</v>
      </c>
      <c r="U3428">
        <v>-14.09</v>
      </c>
      <c r="V3428">
        <v>-9053</v>
      </c>
      <c r="W3428">
        <v>3.08</v>
      </c>
      <c r="X3428" t="s">
        <v>6573</v>
      </c>
      <c r="Y3428" t="s">
        <v>2514</v>
      </c>
      <c r="Z3428">
        <v>0.6</v>
      </c>
      <c r="AA3428">
        <v>5333</v>
      </c>
      <c r="AB3428" t="s">
        <v>2329</v>
      </c>
      <c r="AC3428">
        <v>0.78</v>
      </c>
      <c r="AD3428" t="s">
        <v>17165</v>
      </c>
      <c r="AE3428" t="s">
        <v>2964</v>
      </c>
      <c r="AF3428" t="s">
        <v>17165</v>
      </c>
      <c r="AG3428" t="s">
        <v>1019</v>
      </c>
      <c r="AH3428">
        <v>-0.96</v>
      </c>
      <c r="AI3428">
        <v>-2.82</v>
      </c>
      <c r="AJ3428">
        <v>3.61</v>
      </c>
      <c r="AK3428">
        <v>8.05</v>
      </c>
      <c r="AL3428">
        <v>1</v>
      </c>
      <c r="AM3428">
        <v>1.31</v>
      </c>
      <c r="AN3428">
        <v>-12.18</v>
      </c>
      <c r="AO3428">
        <v>-4.62</v>
      </c>
      <c r="AP3428">
        <v>-16.67</v>
      </c>
    </row>
    <row r="3429" spans="1:42">
      <c r="A3429">
        <v>3428</v>
      </c>
      <c r="B3429" t="str">
        <f>"600277"</f>
        <v>600277</v>
      </c>
      <c r="C3429" t="s">
        <v>17166</v>
      </c>
      <c r="D3429">
        <v>2.67</v>
      </c>
      <c r="E3429">
        <v>0.75</v>
      </c>
      <c r="F3429">
        <v>0.02</v>
      </c>
      <c r="G3429" t="s">
        <v>3143</v>
      </c>
      <c r="H3429">
        <v>1464</v>
      </c>
      <c r="I3429">
        <v>2.67</v>
      </c>
      <c r="J3429">
        <v>2.68</v>
      </c>
      <c r="K3429" t="s">
        <v>17167</v>
      </c>
      <c r="L3429">
        <v>0.46</v>
      </c>
      <c r="M3429" t="s">
        <v>46</v>
      </c>
      <c r="N3429" t="s">
        <v>11961</v>
      </c>
      <c r="O3429">
        <v>2.69</v>
      </c>
      <c r="P3429">
        <v>2.63</v>
      </c>
      <c r="Q3429">
        <v>2.65</v>
      </c>
      <c r="R3429">
        <v>2.65</v>
      </c>
      <c r="S3429">
        <v>2.26</v>
      </c>
      <c r="T3429">
        <v>0.84</v>
      </c>
      <c r="U3429">
        <v>-27.29</v>
      </c>
      <c r="V3429" t="s">
        <v>928</v>
      </c>
      <c r="W3429">
        <v>2.66</v>
      </c>
      <c r="X3429" t="s">
        <v>6271</v>
      </c>
      <c r="Y3429" t="s">
        <v>5203</v>
      </c>
      <c r="Z3429">
        <v>0.89</v>
      </c>
      <c r="AA3429">
        <v>3820</v>
      </c>
      <c r="AB3429" t="s">
        <v>6595</v>
      </c>
      <c r="AC3429">
        <v>0.56</v>
      </c>
      <c r="AD3429" t="s">
        <v>17168</v>
      </c>
      <c r="AE3429" t="s">
        <v>17169</v>
      </c>
      <c r="AF3429" t="s">
        <v>17168</v>
      </c>
      <c r="AG3429" t="s">
        <v>17169</v>
      </c>
      <c r="AH3429">
        <v>-1.48</v>
      </c>
      <c r="AI3429">
        <v>-2.55</v>
      </c>
      <c r="AJ3429">
        <v>1.46</v>
      </c>
      <c r="AK3429">
        <v>3.17</v>
      </c>
      <c r="AL3429">
        <v>1</v>
      </c>
      <c r="AM3429">
        <v>0.75</v>
      </c>
      <c r="AN3429">
        <v>-35.82</v>
      </c>
      <c r="AO3429">
        <v>-1.48</v>
      </c>
      <c r="AP3429">
        <v>-39.18</v>
      </c>
    </row>
    <row r="3430" spans="1:42">
      <c r="A3430">
        <v>3429</v>
      </c>
      <c r="B3430" t="str">
        <f>"301263"</f>
        <v>301263</v>
      </c>
      <c r="C3430" t="s">
        <v>17170</v>
      </c>
      <c r="D3430">
        <v>17.99</v>
      </c>
      <c r="E3430">
        <v>-0.17</v>
      </c>
      <c r="F3430">
        <v>-0.03</v>
      </c>
      <c r="G3430" t="s">
        <v>4037</v>
      </c>
      <c r="H3430">
        <v>247</v>
      </c>
      <c r="I3430">
        <v>17.98</v>
      </c>
      <c r="J3430">
        <v>17.99</v>
      </c>
      <c r="K3430" t="s">
        <v>17171</v>
      </c>
      <c r="L3430">
        <v>0.9</v>
      </c>
      <c r="M3430" t="s">
        <v>46</v>
      </c>
      <c r="N3430" t="s">
        <v>2433</v>
      </c>
      <c r="O3430">
        <v>18.05</v>
      </c>
      <c r="P3430">
        <v>17.78</v>
      </c>
      <c r="Q3430">
        <v>18.02</v>
      </c>
      <c r="R3430">
        <v>18.02</v>
      </c>
      <c r="S3430">
        <v>1.5</v>
      </c>
      <c r="T3430">
        <v>0.55</v>
      </c>
      <c r="U3430">
        <v>12.4</v>
      </c>
      <c r="V3430">
        <v>144</v>
      </c>
      <c r="W3430">
        <v>17.92</v>
      </c>
      <c r="X3430" t="s">
        <v>1170</v>
      </c>
      <c r="Y3430" t="s">
        <v>2807</v>
      </c>
      <c r="Z3430">
        <v>1.18</v>
      </c>
      <c r="AA3430">
        <v>60</v>
      </c>
      <c r="AB3430">
        <v>30</v>
      </c>
      <c r="AC3430">
        <v>4.18</v>
      </c>
      <c r="AD3430" t="s">
        <v>16311</v>
      </c>
      <c r="AE3430" t="s">
        <v>17172</v>
      </c>
      <c r="AF3430" t="s">
        <v>17173</v>
      </c>
      <c r="AG3430" t="s">
        <v>15439</v>
      </c>
      <c r="AH3430">
        <v>-1.91</v>
      </c>
      <c r="AI3430">
        <v>-1.53</v>
      </c>
      <c r="AJ3430">
        <v>4.04</v>
      </c>
      <c r="AK3430">
        <v>9.16</v>
      </c>
      <c r="AL3430">
        <v>-3</v>
      </c>
      <c r="AM3430">
        <v>-0.17</v>
      </c>
      <c r="AN3430">
        <v>1.81</v>
      </c>
      <c r="AO3430">
        <v>1.47</v>
      </c>
      <c r="AP3430">
        <v>3.57</v>
      </c>
    </row>
    <row r="3431" spans="1:42">
      <c r="A3431">
        <v>3430</v>
      </c>
      <c r="B3431" t="str">
        <f>"601518"</f>
        <v>601518</v>
      </c>
      <c r="C3431" t="s">
        <v>17174</v>
      </c>
      <c r="D3431">
        <v>2.68</v>
      </c>
      <c r="E3431">
        <v>1.52</v>
      </c>
      <c r="F3431">
        <v>0.04</v>
      </c>
      <c r="G3431" t="s">
        <v>665</v>
      </c>
      <c r="H3431">
        <v>818</v>
      </c>
      <c r="I3431">
        <v>2.68</v>
      </c>
      <c r="J3431">
        <v>2.69</v>
      </c>
      <c r="K3431" t="s">
        <v>17175</v>
      </c>
      <c r="L3431">
        <v>0.86</v>
      </c>
      <c r="M3431" t="s">
        <v>46</v>
      </c>
      <c r="N3431" t="s">
        <v>1878</v>
      </c>
      <c r="O3431">
        <v>2.69</v>
      </c>
      <c r="P3431">
        <v>2.64</v>
      </c>
      <c r="Q3431">
        <v>2.64</v>
      </c>
      <c r="R3431">
        <v>2.64</v>
      </c>
      <c r="S3431">
        <v>1.89</v>
      </c>
      <c r="T3431">
        <v>1.08</v>
      </c>
      <c r="U3431">
        <v>-4.52</v>
      </c>
      <c r="V3431">
        <v>-1683</v>
      </c>
      <c r="W3431">
        <v>2.67</v>
      </c>
      <c r="X3431" t="s">
        <v>1918</v>
      </c>
      <c r="Y3431" t="s">
        <v>1849</v>
      </c>
      <c r="Z3431">
        <v>0.79</v>
      </c>
      <c r="AA3431">
        <v>2567</v>
      </c>
      <c r="AB3431">
        <v>8930</v>
      </c>
      <c r="AC3431">
        <v>1.04</v>
      </c>
      <c r="AD3431" t="s">
        <v>5405</v>
      </c>
      <c r="AE3431" t="s">
        <v>17176</v>
      </c>
      <c r="AF3431" t="s">
        <v>5405</v>
      </c>
      <c r="AG3431" t="s">
        <v>17176</v>
      </c>
      <c r="AH3431">
        <v>0.75</v>
      </c>
      <c r="AI3431">
        <v>1.13</v>
      </c>
      <c r="AJ3431">
        <v>2.25</v>
      </c>
      <c r="AK3431">
        <v>4.84</v>
      </c>
      <c r="AL3431">
        <v>1</v>
      </c>
      <c r="AM3431">
        <v>1.52</v>
      </c>
      <c r="AN3431">
        <v>28.85</v>
      </c>
      <c r="AO3431">
        <v>4.28</v>
      </c>
      <c r="AP3431">
        <v>33.33</v>
      </c>
    </row>
    <row r="3432" spans="1:42">
      <c r="A3432">
        <v>3431</v>
      </c>
      <c r="B3432" t="str">
        <f>"603053"</f>
        <v>603053</v>
      </c>
      <c r="C3432" t="s">
        <v>17177</v>
      </c>
      <c r="D3432">
        <v>10.54</v>
      </c>
      <c r="E3432">
        <v>-1.13</v>
      </c>
      <c r="F3432">
        <v>-0.12</v>
      </c>
      <c r="G3432" t="s">
        <v>2752</v>
      </c>
      <c r="H3432">
        <v>292</v>
      </c>
      <c r="I3432">
        <v>10.53</v>
      </c>
      <c r="J3432">
        <v>10.54</v>
      </c>
      <c r="K3432" t="s">
        <v>17175</v>
      </c>
      <c r="L3432">
        <v>0.46</v>
      </c>
      <c r="M3432" t="s">
        <v>46</v>
      </c>
      <c r="N3432" t="s">
        <v>13397</v>
      </c>
      <c r="O3432">
        <v>10.71</v>
      </c>
      <c r="P3432">
        <v>10.47</v>
      </c>
      <c r="Q3432">
        <v>10.64</v>
      </c>
      <c r="R3432">
        <v>10.66</v>
      </c>
      <c r="S3432">
        <v>2.25</v>
      </c>
      <c r="T3432">
        <v>0.72</v>
      </c>
      <c r="U3432">
        <v>33.85</v>
      </c>
      <c r="V3432">
        <v>673</v>
      </c>
      <c r="W3432">
        <v>10.58</v>
      </c>
      <c r="X3432" t="s">
        <v>314</v>
      </c>
      <c r="Y3432" t="s">
        <v>2575</v>
      </c>
      <c r="Z3432">
        <v>1.34</v>
      </c>
      <c r="AA3432">
        <v>460</v>
      </c>
      <c r="AB3432">
        <v>124</v>
      </c>
      <c r="AC3432">
        <v>2.16</v>
      </c>
      <c r="AD3432" t="s">
        <v>17178</v>
      </c>
      <c r="AE3432" t="s">
        <v>17179</v>
      </c>
      <c r="AF3432" t="s">
        <v>17178</v>
      </c>
      <c r="AG3432" t="s">
        <v>17179</v>
      </c>
      <c r="AH3432">
        <v>-1.31</v>
      </c>
      <c r="AI3432">
        <v>1.64</v>
      </c>
      <c r="AJ3432">
        <v>1.47</v>
      </c>
      <c r="AK3432">
        <v>3.66</v>
      </c>
      <c r="AL3432">
        <v>-1</v>
      </c>
      <c r="AM3432">
        <v>-1.13</v>
      </c>
      <c r="AN3432">
        <v>19.1</v>
      </c>
      <c r="AO3432">
        <v>3.64</v>
      </c>
      <c r="AP3432">
        <v>17.5</v>
      </c>
    </row>
    <row r="3433" spans="1:42">
      <c r="A3433">
        <v>3432</v>
      </c>
      <c r="B3433" t="str">
        <f>"002588"</f>
        <v>002588</v>
      </c>
      <c r="C3433" t="s">
        <v>17180</v>
      </c>
      <c r="D3433">
        <v>6.33</v>
      </c>
      <c r="E3433">
        <v>-0.16</v>
      </c>
      <c r="F3433">
        <v>-0.01</v>
      </c>
      <c r="G3433" t="s">
        <v>2674</v>
      </c>
      <c r="H3433">
        <v>914</v>
      </c>
      <c r="I3433">
        <v>6.32</v>
      </c>
      <c r="J3433">
        <v>6.33</v>
      </c>
      <c r="K3433" t="s">
        <v>17181</v>
      </c>
      <c r="L3433">
        <v>0.67</v>
      </c>
      <c r="M3433" t="s">
        <v>46</v>
      </c>
      <c r="N3433" t="s">
        <v>3190</v>
      </c>
      <c r="O3433">
        <v>6.35</v>
      </c>
      <c r="P3433">
        <v>6.28</v>
      </c>
      <c r="Q3433">
        <v>6.34</v>
      </c>
      <c r="R3433">
        <v>6.34</v>
      </c>
      <c r="S3433">
        <v>1.1</v>
      </c>
      <c r="T3433">
        <v>1.03</v>
      </c>
      <c r="U3433">
        <v>6.14</v>
      </c>
      <c r="V3433">
        <v>515</v>
      </c>
      <c r="W3433">
        <v>6.32</v>
      </c>
      <c r="X3433" t="s">
        <v>4724</v>
      </c>
      <c r="Y3433" t="s">
        <v>6418</v>
      </c>
      <c r="Z3433">
        <v>1.43</v>
      </c>
      <c r="AA3433">
        <v>177</v>
      </c>
      <c r="AB3433">
        <v>107</v>
      </c>
      <c r="AC3433">
        <v>1.22</v>
      </c>
      <c r="AD3433" t="s">
        <v>6386</v>
      </c>
      <c r="AE3433" t="s">
        <v>17182</v>
      </c>
      <c r="AF3433" t="s">
        <v>608</v>
      </c>
      <c r="AG3433" t="s">
        <v>17183</v>
      </c>
      <c r="AH3433">
        <v>-0.63</v>
      </c>
      <c r="AI3433">
        <v>-0.31</v>
      </c>
      <c r="AJ3433">
        <v>1.95</v>
      </c>
      <c r="AK3433">
        <v>3.9</v>
      </c>
      <c r="AL3433">
        <v>-3</v>
      </c>
      <c r="AM3433">
        <v>-0.16</v>
      </c>
      <c r="AN3433">
        <v>5.32</v>
      </c>
      <c r="AO3433">
        <v>1.93</v>
      </c>
      <c r="AP3433">
        <v>8.02</v>
      </c>
    </row>
    <row r="3434" spans="1:42">
      <c r="A3434">
        <v>3433</v>
      </c>
      <c r="B3434" t="str">
        <f>"600108"</f>
        <v>600108</v>
      </c>
      <c r="C3434" t="s">
        <v>17184</v>
      </c>
      <c r="D3434">
        <v>2.98</v>
      </c>
      <c r="E3434">
        <v>0.34</v>
      </c>
      <c r="F3434">
        <v>0.01</v>
      </c>
      <c r="G3434" t="s">
        <v>4194</v>
      </c>
      <c r="H3434">
        <v>1100</v>
      </c>
      <c r="I3434">
        <v>2.98</v>
      </c>
      <c r="J3434">
        <v>2.99</v>
      </c>
      <c r="K3434" t="s">
        <v>17185</v>
      </c>
      <c r="L3434">
        <v>0.74</v>
      </c>
      <c r="M3434" t="s">
        <v>46</v>
      </c>
      <c r="N3434" t="s">
        <v>4677</v>
      </c>
      <c r="O3434">
        <v>3</v>
      </c>
      <c r="P3434">
        <v>2.96</v>
      </c>
      <c r="Q3434">
        <v>2.97</v>
      </c>
      <c r="R3434">
        <v>2.97</v>
      </c>
      <c r="S3434">
        <v>1.35</v>
      </c>
      <c r="T3434">
        <v>0.75</v>
      </c>
      <c r="U3434">
        <v>-44.36</v>
      </c>
      <c r="V3434" t="s">
        <v>17186</v>
      </c>
      <c r="W3434">
        <v>2.98</v>
      </c>
      <c r="X3434" t="s">
        <v>6381</v>
      </c>
      <c r="Y3434" t="s">
        <v>8226</v>
      </c>
      <c r="Z3434">
        <v>0.77</v>
      </c>
      <c r="AA3434">
        <v>2373</v>
      </c>
      <c r="AB3434">
        <v>3378</v>
      </c>
      <c r="AC3434">
        <v>1.4</v>
      </c>
      <c r="AD3434" t="s">
        <v>17187</v>
      </c>
      <c r="AE3434" t="s">
        <v>14192</v>
      </c>
      <c r="AF3434" t="s">
        <v>17187</v>
      </c>
      <c r="AG3434" t="s">
        <v>14192</v>
      </c>
      <c r="AH3434">
        <v>-1.65</v>
      </c>
      <c r="AI3434">
        <v>-0.67</v>
      </c>
      <c r="AJ3434">
        <v>2.55</v>
      </c>
      <c r="AK3434">
        <v>5.7</v>
      </c>
      <c r="AL3434">
        <v>1</v>
      </c>
      <c r="AM3434">
        <v>0.34</v>
      </c>
      <c r="AN3434">
        <v>-5.1</v>
      </c>
      <c r="AO3434">
        <v>-0.67</v>
      </c>
      <c r="AP3434">
        <v>-4.49</v>
      </c>
    </row>
    <row r="3435" spans="1:42">
      <c r="A3435">
        <v>3434</v>
      </c>
      <c r="B3435" t="str">
        <f>"000537"</f>
        <v>000537</v>
      </c>
      <c r="C3435" t="s">
        <v>17188</v>
      </c>
      <c r="D3435">
        <v>10.05</v>
      </c>
      <c r="E3435">
        <v>-0.69</v>
      </c>
      <c r="F3435">
        <v>-0.07</v>
      </c>
      <c r="G3435" t="s">
        <v>5785</v>
      </c>
      <c r="H3435">
        <v>811</v>
      </c>
      <c r="I3435">
        <v>10.04</v>
      </c>
      <c r="J3435">
        <v>10.05</v>
      </c>
      <c r="K3435" t="s">
        <v>17189</v>
      </c>
      <c r="L3435">
        <v>0.23</v>
      </c>
      <c r="M3435" t="s">
        <v>46</v>
      </c>
      <c r="N3435" t="s">
        <v>3138</v>
      </c>
      <c r="O3435">
        <v>10.3</v>
      </c>
      <c r="P3435">
        <v>10.01</v>
      </c>
      <c r="Q3435">
        <v>10.17</v>
      </c>
      <c r="R3435">
        <v>10.12</v>
      </c>
      <c r="S3435">
        <v>2.87</v>
      </c>
      <c r="T3435">
        <v>0.84</v>
      </c>
      <c r="U3435">
        <v>13.81</v>
      </c>
      <c r="V3435">
        <v>623</v>
      </c>
      <c r="W3435">
        <v>10.08</v>
      </c>
      <c r="X3435" t="s">
        <v>9272</v>
      </c>
      <c r="Y3435" t="s">
        <v>128</v>
      </c>
      <c r="Z3435">
        <v>1.32</v>
      </c>
      <c r="AA3435">
        <v>297</v>
      </c>
      <c r="AB3435">
        <v>617</v>
      </c>
      <c r="AC3435">
        <v>1.1</v>
      </c>
      <c r="AD3435" t="s">
        <v>11334</v>
      </c>
      <c r="AE3435" t="s">
        <v>2286</v>
      </c>
      <c r="AF3435" t="s">
        <v>11334</v>
      </c>
      <c r="AG3435" t="s">
        <v>2286</v>
      </c>
      <c r="AH3435">
        <v>-2.9</v>
      </c>
      <c r="AI3435">
        <v>-5.37</v>
      </c>
      <c r="AJ3435">
        <v>0.8</v>
      </c>
      <c r="AK3435">
        <v>1.6</v>
      </c>
      <c r="AL3435">
        <v>-6</v>
      </c>
      <c r="AM3435">
        <v>-0.69</v>
      </c>
      <c r="AN3435">
        <v>-23.46</v>
      </c>
      <c r="AO3435">
        <v>-7.88</v>
      </c>
      <c r="AP3435">
        <v>-28.67</v>
      </c>
    </row>
    <row r="3436" spans="1:42">
      <c r="A3436">
        <v>3435</v>
      </c>
      <c r="B3436" t="str">
        <f>"830896"</f>
        <v>830896</v>
      </c>
      <c r="C3436" t="s">
        <v>17190</v>
      </c>
      <c r="D3436">
        <v>7.59</v>
      </c>
      <c r="E3436">
        <v>-9.54</v>
      </c>
      <c r="F3436">
        <v>-0.8</v>
      </c>
      <c r="G3436" t="s">
        <v>5316</v>
      </c>
      <c r="H3436">
        <v>409</v>
      </c>
      <c r="I3436">
        <v>7.59</v>
      </c>
      <c r="J3436">
        <v>7.6</v>
      </c>
      <c r="K3436" t="s">
        <v>17191</v>
      </c>
      <c r="L3436">
        <v>21.35</v>
      </c>
      <c r="M3436" t="s">
        <v>46</v>
      </c>
      <c r="N3436" t="s">
        <v>5570</v>
      </c>
      <c r="O3436">
        <v>8.75</v>
      </c>
      <c r="P3436">
        <v>7.53</v>
      </c>
      <c r="Q3436">
        <v>8.47</v>
      </c>
      <c r="R3436">
        <v>8.39</v>
      </c>
      <c r="S3436">
        <v>14.54</v>
      </c>
      <c r="T3436">
        <v>0.54</v>
      </c>
      <c r="U3436">
        <v>-11.76</v>
      </c>
      <c r="V3436">
        <v>-127</v>
      </c>
      <c r="W3436">
        <v>7.94</v>
      </c>
      <c r="X3436" t="s">
        <v>4761</v>
      </c>
      <c r="Y3436" t="s">
        <v>2102</v>
      </c>
      <c r="Z3436">
        <v>1.48</v>
      </c>
      <c r="AA3436">
        <v>89</v>
      </c>
      <c r="AB3436">
        <v>520</v>
      </c>
      <c r="AC3436">
        <v>1.95</v>
      </c>
      <c r="AD3436" t="s">
        <v>11882</v>
      </c>
      <c r="AE3436" t="s">
        <v>13269</v>
      </c>
      <c r="AF3436" t="s">
        <v>17192</v>
      </c>
      <c r="AG3436" t="s">
        <v>13611</v>
      </c>
      <c r="AH3436">
        <v>-29.2</v>
      </c>
      <c r="AI3436">
        <v>5.42</v>
      </c>
      <c r="AJ3436">
        <v>72.62</v>
      </c>
      <c r="AK3436">
        <v>220.98</v>
      </c>
      <c r="AL3436">
        <v>-3</v>
      </c>
      <c r="AM3436">
        <v>-9.54</v>
      </c>
      <c r="AN3436">
        <v>-2.69</v>
      </c>
      <c r="AO3436">
        <v>73.68</v>
      </c>
      <c r="AP3436">
        <v>-2.69</v>
      </c>
    </row>
    <row r="3437" spans="1:42">
      <c r="A3437">
        <v>3436</v>
      </c>
      <c r="B3437" t="str">
        <f>"300543"</f>
        <v>300543</v>
      </c>
      <c r="C3437" t="s">
        <v>17193</v>
      </c>
      <c r="D3437">
        <v>10.59</v>
      </c>
      <c r="E3437">
        <v>0.28</v>
      </c>
      <c r="F3437">
        <v>0.03</v>
      </c>
      <c r="G3437" t="s">
        <v>2752</v>
      </c>
      <c r="H3437">
        <v>450</v>
      </c>
      <c r="I3437">
        <v>10.59</v>
      </c>
      <c r="J3437">
        <v>10.6</v>
      </c>
      <c r="K3437" t="s">
        <v>17194</v>
      </c>
      <c r="L3437">
        <v>1.93</v>
      </c>
      <c r="M3437" t="s">
        <v>46</v>
      </c>
      <c r="N3437" t="s">
        <v>241</v>
      </c>
      <c r="O3437">
        <v>10.7</v>
      </c>
      <c r="P3437">
        <v>10.44</v>
      </c>
      <c r="Q3437">
        <v>10.58</v>
      </c>
      <c r="R3437">
        <v>10.56</v>
      </c>
      <c r="S3437">
        <v>2.46</v>
      </c>
      <c r="T3437">
        <v>0.72</v>
      </c>
      <c r="U3437">
        <v>3.51</v>
      </c>
      <c r="V3437">
        <v>24</v>
      </c>
      <c r="W3437">
        <v>10.56</v>
      </c>
      <c r="X3437" t="s">
        <v>3372</v>
      </c>
      <c r="Y3437" t="s">
        <v>985</v>
      </c>
      <c r="Z3437">
        <v>1.01</v>
      </c>
      <c r="AA3437">
        <v>207</v>
      </c>
      <c r="AB3437">
        <v>144</v>
      </c>
      <c r="AC3437">
        <v>2.75</v>
      </c>
      <c r="AD3437" t="s">
        <v>573</v>
      </c>
      <c r="AE3437" t="s">
        <v>4652</v>
      </c>
      <c r="AF3437" t="s">
        <v>8290</v>
      </c>
      <c r="AG3437" t="s">
        <v>328</v>
      </c>
      <c r="AH3437">
        <v>-3.11</v>
      </c>
      <c r="AI3437">
        <v>-1.03</v>
      </c>
      <c r="AJ3437">
        <v>7.52</v>
      </c>
      <c r="AK3437">
        <v>15.41</v>
      </c>
      <c r="AL3437">
        <v>1</v>
      </c>
      <c r="AM3437">
        <v>0.28</v>
      </c>
      <c r="AN3437">
        <v>28.05</v>
      </c>
      <c r="AO3437">
        <v>4.13</v>
      </c>
      <c r="AP3437">
        <v>14.36</v>
      </c>
    </row>
    <row r="3438" spans="1:42">
      <c r="A3438">
        <v>3437</v>
      </c>
      <c r="B3438" t="str">
        <f>"002641"</f>
        <v>002641</v>
      </c>
      <c r="C3438" t="s">
        <v>17195</v>
      </c>
      <c r="D3438">
        <v>5.19</v>
      </c>
      <c r="E3438">
        <v>-0.38</v>
      </c>
      <c r="F3438">
        <v>-0.02</v>
      </c>
      <c r="G3438" t="s">
        <v>5968</v>
      </c>
      <c r="H3438">
        <v>344</v>
      </c>
      <c r="I3438">
        <v>5.19</v>
      </c>
      <c r="J3438">
        <v>5.2</v>
      </c>
      <c r="K3438" t="s">
        <v>17196</v>
      </c>
      <c r="L3438">
        <v>0.73</v>
      </c>
      <c r="M3438" t="s">
        <v>46</v>
      </c>
      <c r="N3438" t="s">
        <v>17197</v>
      </c>
      <c r="O3438">
        <v>5.24</v>
      </c>
      <c r="P3438">
        <v>5.14</v>
      </c>
      <c r="Q3438">
        <v>5.23</v>
      </c>
      <c r="R3438">
        <v>5.21</v>
      </c>
      <c r="S3438">
        <v>1.92</v>
      </c>
      <c r="T3438">
        <v>1.06</v>
      </c>
      <c r="U3438">
        <v>6.12</v>
      </c>
      <c r="V3438">
        <v>320</v>
      </c>
      <c r="W3438">
        <v>5.18</v>
      </c>
      <c r="X3438" t="s">
        <v>8404</v>
      </c>
      <c r="Y3438" t="s">
        <v>3235</v>
      </c>
      <c r="Z3438">
        <v>0.92</v>
      </c>
      <c r="AA3438">
        <v>607</v>
      </c>
      <c r="AB3438">
        <v>53</v>
      </c>
      <c r="AC3438">
        <v>1.21</v>
      </c>
      <c r="AD3438" t="s">
        <v>17198</v>
      </c>
      <c r="AE3438" t="s">
        <v>417</v>
      </c>
      <c r="AF3438" t="s">
        <v>6808</v>
      </c>
      <c r="AG3438" t="s">
        <v>11514</v>
      </c>
      <c r="AH3438">
        <v>-1.89</v>
      </c>
      <c r="AI3438">
        <v>-2.99</v>
      </c>
      <c r="AJ3438">
        <v>2.19</v>
      </c>
      <c r="AK3438">
        <v>4.19</v>
      </c>
      <c r="AL3438">
        <v>-3</v>
      </c>
      <c r="AM3438">
        <v>-0.38</v>
      </c>
      <c r="AN3438">
        <v>18.22</v>
      </c>
      <c r="AO3438">
        <v>-2.44</v>
      </c>
      <c r="AP3438">
        <v>13.07</v>
      </c>
    </row>
    <row r="3439" spans="1:42">
      <c r="A3439">
        <v>3438</v>
      </c>
      <c r="B3439" t="str">
        <f>"300477"</f>
        <v>300477</v>
      </c>
      <c r="C3439" t="s">
        <v>17199</v>
      </c>
      <c r="D3439">
        <v>4.12</v>
      </c>
      <c r="E3439">
        <v>-0.24</v>
      </c>
      <c r="F3439">
        <v>-0.01</v>
      </c>
      <c r="G3439" t="s">
        <v>881</v>
      </c>
      <c r="H3439">
        <v>567</v>
      </c>
      <c r="I3439">
        <v>4.12</v>
      </c>
      <c r="J3439">
        <v>4.13</v>
      </c>
      <c r="K3439" t="s">
        <v>17200</v>
      </c>
      <c r="L3439">
        <v>1.12</v>
      </c>
      <c r="M3439" t="s">
        <v>46</v>
      </c>
      <c r="N3439" t="s">
        <v>67</v>
      </c>
      <c r="O3439">
        <v>4.16</v>
      </c>
      <c r="P3439">
        <v>4.08</v>
      </c>
      <c r="Q3439">
        <v>4.16</v>
      </c>
      <c r="R3439">
        <v>4.13</v>
      </c>
      <c r="S3439">
        <v>1.94</v>
      </c>
      <c r="T3439">
        <v>0.96</v>
      </c>
      <c r="U3439">
        <v>5.46</v>
      </c>
      <c r="V3439">
        <v>971</v>
      </c>
      <c r="W3439">
        <v>4.11</v>
      </c>
      <c r="X3439" t="s">
        <v>9139</v>
      </c>
      <c r="Y3439" t="s">
        <v>5205</v>
      </c>
      <c r="Z3439">
        <v>1.49</v>
      </c>
      <c r="AA3439">
        <v>1741</v>
      </c>
      <c r="AB3439">
        <v>3207</v>
      </c>
      <c r="AC3439">
        <v>1.99</v>
      </c>
      <c r="AD3439" t="s">
        <v>1022</v>
      </c>
      <c r="AE3439" t="s">
        <v>1315</v>
      </c>
      <c r="AF3439" t="s">
        <v>17201</v>
      </c>
      <c r="AG3439" t="s">
        <v>10130</v>
      </c>
      <c r="AH3439">
        <v>-3.51</v>
      </c>
      <c r="AI3439">
        <v>-3.96</v>
      </c>
      <c r="AJ3439">
        <v>3.57</v>
      </c>
      <c r="AK3439">
        <v>6.95</v>
      </c>
      <c r="AL3439">
        <v>-3</v>
      </c>
      <c r="AM3439">
        <v>-0.24</v>
      </c>
      <c r="AN3439">
        <v>-18.58</v>
      </c>
      <c r="AO3439">
        <v>-0.96</v>
      </c>
      <c r="AP3439">
        <v>-25.09</v>
      </c>
    </row>
    <row r="3440" spans="1:42">
      <c r="A3440">
        <v>3439</v>
      </c>
      <c r="B3440" t="str">
        <f>"002165"</f>
        <v>002165</v>
      </c>
      <c r="C3440" t="s">
        <v>17202</v>
      </c>
      <c r="D3440">
        <v>4.35</v>
      </c>
      <c r="E3440">
        <v>0.46</v>
      </c>
      <c r="F3440">
        <v>0.02</v>
      </c>
      <c r="G3440" t="s">
        <v>3254</v>
      </c>
      <c r="H3440">
        <v>1382</v>
      </c>
      <c r="I3440">
        <v>4.34</v>
      </c>
      <c r="J3440">
        <v>4.35</v>
      </c>
      <c r="K3440" t="s">
        <v>17203</v>
      </c>
      <c r="L3440">
        <v>1.37</v>
      </c>
      <c r="M3440" t="s">
        <v>46</v>
      </c>
      <c r="N3440" t="s">
        <v>2452</v>
      </c>
      <c r="O3440">
        <v>4.36</v>
      </c>
      <c r="P3440">
        <v>4.29</v>
      </c>
      <c r="Q3440">
        <v>4.32</v>
      </c>
      <c r="R3440">
        <v>4.33</v>
      </c>
      <c r="S3440">
        <v>1.62</v>
      </c>
      <c r="T3440">
        <v>0.7</v>
      </c>
      <c r="U3440">
        <v>-23.18</v>
      </c>
      <c r="V3440">
        <v>-2263</v>
      </c>
      <c r="W3440">
        <v>4.33</v>
      </c>
      <c r="X3440" t="s">
        <v>2386</v>
      </c>
      <c r="Y3440" t="s">
        <v>4053</v>
      </c>
      <c r="Z3440">
        <v>1.08</v>
      </c>
      <c r="AA3440">
        <v>277</v>
      </c>
      <c r="AB3440">
        <v>719</v>
      </c>
      <c r="AC3440">
        <v>1.56</v>
      </c>
      <c r="AD3440" t="s">
        <v>7584</v>
      </c>
      <c r="AE3440" t="s">
        <v>17204</v>
      </c>
      <c r="AF3440" t="s">
        <v>17205</v>
      </c>
      <c r="AG3440" t="s">
        <v>16063</v>
      </c>
      <c r="AH3440">
        <v>-1.81</v>
      </c>
      <c r="AI3440">
        <v>-2.25</v>
      </c>
      <c r="AJ3440">
        <v>5.49</v>
      </c>
      <c r="AK3440">
        <v>11.15</v>
      </c>
      <c r="AL3440">
        <v>1</v>
      </c>
      <c r="AM3440">
        <v>0.46</v>
      </c>
      <c r="AN3440">
        <v>8.48</v>
      </c>
      <c r="AO3440">
        <v>4.07</v>
      </c>
      <c r="AP3440">
        <v>-0.68</v>
      </c>
    </row>
    <row r="3441" spans="1:42">
      <c r="A3441">
        <v>3440</v>
      </c>
      <c r="B3441" t="str">
        <f>"300752"</f>
        <v>300752</v>
      </c>
      <c r="C3441" t="s">
        <v>17206</v>
      </c>
      <c r="D3441">
        <v>18.8</v>
      </c>
      <c r="E3441">
        <v>-1.47</v>
      </c>
      <c r="F3441">
        <v>-0.28</v>
      </c>
      <c r="G3441" t="s">
        <v>587</v>
      </c>
      <c r="H3441">
        <v>204</v>
      </c>
      <c r="I3441">
        <v>18.8</v>
      </c>
      <c r="J3441">
        <v>18.81</v>
      </c>
      <c r="K3441" t="s">
        <v>17207</v>
      </c>
      <c r="L3441">
        <v>1.68</v>
      </c>
      <c r="M3441" t="s">
        <v>46</v>
      </c>
      <c r="N3441" t="s">
        <v>1906</v>
      </c>
      <c r="O3441">
        <v>19.09</v>
      </c>
      <c r="P3441">
        <v>18.66</v>
      </c>
      <c r="Q3441">
        <v>19.09</v>
      </c>
      <c r="R3441">
        <v>19.08</v>
      </c>
      <c r="S3441">
        <v>2.25</v>
      </c>
      <c r="T3441">
        <v>0.89</v>
      </c>
      <c r="U3441">
        <v>51.42</v>
      </c>
      <c r="V3441">
        <v>188</v>
      </c>
      <c r="W3441">
        <v>18.84</v>
      </c>
      <c r="X3441">
        <v>9914</v>
      </c>
      <c r="Y3441" t="s">
        <v>9445</v>
      </c>
      <c r="Z3441">
        <v>0.76</v>
      </c>
      <c r="AA3441">
        <v>61</v>
      </c>
      <c r="AB3441">
        <v>2</v>
      </c>
      <c r="AC3441">
        <v>4.02</v>
      </c>
      <c r="AD3441" t="s">
        <v>17208</v>
      </c>
      <c r="AE3441" t="s">
        <v>15503</v>
      </c>
      <c r="AF3441" t="s">
        <v>7994</v>
      </c>
      <c r="AG3441" t="s">
        <v>17209</v>
      </c>
      <c r="AH3441">
        <v>-1.67</v>
      </c>
      <c r="AI3441">
        <v>-2.49</v>
      </c>
      <c r="AJ3441">
        <v>5.78</v>
      </c>
      <c r="AK3441">
        <v>11.05</v>
      </c>
      <c r="AL3441">
        <v>-2</v>
      </c>
      <c r="AM3441">
        <v>-1.47</v>
      </c>
      <c r="AN3441">
        <v>11.84</v>
      </c>
      <c r="AO3441">
        <v>4.97</v>
      </c>
      <c r="AP3441">
        <v>-1.93</v>
      </c>
    </row>
    <row r="3442" spans="1:42">
      <c r="A3442">
        <v>3441</v>
      </c>
      <c r="B3442" t="str">
        <f>"002267"</f>
        <v>002267</v>
      </c>
      <c r="C3442" t="s">
        <v>17210</v>
      </c>
      <c r="D3442">
        <v>7.34</v>
      </c>
      <c r="E3442">
        <v>-0.54</v>
      </c>
      <c r="F3442">
        <v>-0.04</v>
      </c>
      <c r="G3442" t="s">
        <v>5611</v>
      </c>
      <c r="H3442">
        <v>323</v>
      </c>
      <c r="I3442">
        <v>7.33</v>
      </c>
      <c r="J3442">
        <v>7.34</v>
      </c>
      <c r="K3442" t="s">
        <v>17211</v>
      </c>
      <c r="L3442">
        <v>0.53</v>
      </c>
      <c r="M3442" t="s">
        <v>46</v>
      </c>
      <c r="N3442" t="s">
        <v>11678</v>
      </c>
      <c r="O3442">
        <v>7.42</v>
      </c>
      <c r="P3442">
        <v>7.31</v>
      </c>
      <c r="Q3442">
        <v>7.39</v>
      </c>
      <c r="R3442">
        <v>7.38</v>
      </c>
      <c r="S3442">
        <v>1.49</v>
      </c>
      <c r="T3442">
        <v>1.36</v>
      </c>
      <c r="U3442">
        <v>-3.34</v>
      </c>
      <c r="V3442">
        <v>-189</v>
      </c>
      <c r="W3442">
        <v>7.36</v>
      </c>
      <c r="X3442" t="s">
        <v>8072</v>
      </c>
      <c r="Y3442" t="s">
        <v>6581</v>
      </c>
      <c r="Z3442">
        <v>1.04</v>
      </c>
      <c r="AA3442">
        <v>493</v>
      </c>
      <c r="AB3442">
        <v>6</v>
      </c>
      <c r="AC3442">
        <v>1.29</v>
      </c>
      <c r="AD3442" t="s">
        <v>3577</v>
      </c>
      <c r="AE3442" t="s">
        <v>54</v>
      </c>
      <c r="AF3442" t="s">
        <v>3577</v>
      </c>
      <c r="AG3442" t="s">
        <v>54</v>
      </c>
      <c r="AH3442">
        <v>0.55</v>
      </c>
      <c r="AI3442">
        <v>0.27</v>
      </c>
      <c r="AJ3442">
        <v>1.43</v>
      </c>
      <c r="AK3442">
        <v>2.46</v>
      </c>
      <c r="AL3442">
        <v>-1</v>
      </c>
      <c r="AM3442">
        <v>-0.54</v>
      </c>
      <c r="AN3442">
        <v>6.22</v>
      </c>
      <c r="AO3442">
        <v>2.23</v>
      </c>
      <c r="AP3442">
        <v>4.56</v>
      </c>
    </row>
    <row r="3443" spans="1:42">
      <c r="A3443">
        <v>3442</v>
      </c>
      <c r="B3443" t="str">
        <f>"688277"</f>
        <v>688277</v>
      </c>
      <c r="C3443" t="s">
        <v>17212</v>
      </c>
      <c r="D3443">
        <v>14.38</v>
      </c>
      <c r="E3443">
        <v>0.56</v>
      </c>
      <c r="F3443">
        <v>0.08</v>
      </c>
      <c r="G3443" t="s">
        <v>617</v>
      </c>
      <c r="H3443">
        <v>345</v>
      </c>
      <c r="I3443">
        <v>14.37</v>
      </c>
      <c r="J3443">
        <v>14.38</v>
      </c>
      <c r="K3443" t="s">
        <v>17213</v>
      </c>
      <c r="L3443">
        <v>0.89</v>
      </c>
      <c r="M3443" t="s">
        <v>46</v>
      </c>
      <c r="N3443" t="s">
        <v>9167</v>
      </c>
      <c r="O3443">
        <v>14.44</v>
      </c>
      <c r="P3443">
        <v>14.2</v>
      </c>
      <c r="Q3443">
        <v>14.35</v>
      </c>
      <c r="R3443">
        <v>14.3</v>
      </c>
      <c r="S3443">
        <v>1.68</v>
      </c>
      <c r="T3443">
        <v>0.8</v>
      </c>
      <c r="U3443">
        <v>-41.51</v>
      </c>
      <c r="V3443">
        <v>-396</v>
      </c>
      <c r="W3443">
        <v>14.3</v>
      </c>
      <c r="X3443" t="s">
        <v>4717</v>
      </c>
      <c r="Y3443" t="s">
        <v>919</v>
      </c>
      <c r="Z3443">
        <v>0.88</v>
      </c>
      <c r="AA3443">
        <v>13</v>
      </c>
      <c r="AB3443">
        <v>32</v>
      </c>
      <c r="AC3443">
        <v>4.9</v>
      </c>
      <c r="AD3443" t="s">
        <v>17214</v>
      </c>
      <c r="AE3443" t="s">
        <v>17215</v>
      </c>
      <c r="AF3443" t="s">
        <v>17216</v>
      </c>
      <c r="AG3443" t="s">
        <v>17217</v>
      </c>
      <c r="AH3443">
        <v>-1.03</v>
      </c>
      <c r="AI3443">
        <v>-1.24</v>
      </c>
      <c r="AJ3443">
        <v>2.79</v>
      </c>
      <c r="AK3443">
        <v>6.42</v>
      </c>
      <c r="AL3443">
        <v>1</v>
      </c>
      <c r="AM3443">
        <v>0.56</v>
      </c>
      <c r="AN3443">
        <v>20.94</v>
      </c>
      <c r="AO3443">
        <v>-0.14</v>
      </c>
      <c r="AP3443">
        <v>7.15</v>
      </c>
    </row>
    <row r="3444" spans="1:42">
      <c r="A3444">
        <v>3443</v>
      </c>
      <c r="B3444" t="str">
        <f>"002342"</f>
        <v>002342</v>
      </c>
      <c r="C3444" t="s">
        <v>17218</v>
      </c>
      <c r="D3444">
        <v>4.36</v>
      </c>
      <c r="E3444">
        <v>0.46</v>
      </c>
      <c r="F3444">
        <v>0.02</v>
      </c>
      <c r="G3444" t="s">
        <v>5306</v>
      </c>
      <c r="H3444">
        <v>1427</v>
      </c>
      <c r="I3444">
        <v>4.35</v>
      </c>
      <c r="J3444">
        <v>4.36</v>
      </c>
      <c r="K3444" t="s">
        <v>17213</v>
      </c>
      <c r="L3444">
        <v>1.04</v>
      </c>
      <c r="M3444" t="s">
        <v>46</v>
      </c>
      <c r="N3444" t="s">
        <v>5282</v>
      </c>
      <c r="O3444">
        <v>4.37</v>
      </c>
      <c r="P3444">
        <v>4.3</v>
      </c>
      <c r="Q3444">
        <v>4.36</v>
      </c>
      <c r="R3444">
        <v>4.34</v>
      </c>
      <c r="S3444">
        <v>1.61</v>
      </c>
      <c r="T3444">
        <v>0.9</v>
      </c>
      <c r="U3444">
        <v>-36.85</v>
      </c>
      <c r="V3444">
        <v>-5945</v>
      </c>
      <c r="W3444">
        <v>4.35</v>
      </c>
      <c r="X3444" t="s">
        <v>3915</v>
      </c>
      <c r="Y3444" t="s">
        <v>7735</v>
      </c>
      <c r="Z3444">
        <v>1.11</v>
      </c>
      <c r="AA3444">
        <v>964</v>
      </c>
      <c r="AB3444">
        <v>1342</v>
      </c>
      <c r="AC3444">
        <v>1.68</v>
      </c>
      <c r="AD3444" t="s">
        <v>17219</v>
      </c>
      <c r="AE3444" t="s">
        <v>17220</v>
      </c>
      <c r="AF3444" t="s">
        <v>17221</v>
      </c>
      <c r="AG3444" t="s">
        <v>14460</v>
      </c>
      <c r="AH3444">
        <v>-1.13</v>
      </c>
      <c r="AI3444">
        <v>0</v>
      </c>
      <c r="AJ3444">
        <v>3.13</v>
      </c>
      <c r="AK3444">
        <v>6.8</v>
      </c>
      <c r="AL3444">
        <v>1</v>
      </c>
      <c r="AM3444">
        <v>0.46</v>
      </c>
      <c r="AN3444">
        <v>6.08</v>
      </c>
      <c r="AO3444">
        <v>2.83</v>
      </c>
      <c r="AP3444">
        <v>5.83</v>
      </c>
    </row>
    <row r="3445" spans="1:42">
      <c r="A3445">
        <v>3444</v>
      </c>
      <c r="B3445" t="str">
        <f>"600251"</f>
        <v>600251</v>
      </c>
      <c r="C3445" t="s">
        <v>17222</v>
      </c>
      <c r="D3445">
        <v>9.11</v>
      </c>
      <c r="E3445">
        <v>-0.22</v>
      </c>
      <c r="F3445">
        <v>-0.02</v>
      </c>
      <c r="G3445" t="s">
        <v>6257</v>
      </c>
      <c r="H3445">
        <v>281</v>
      </c>
      <c r="I3445">
        <v>9.11</v>
      </c>
      <c r="J3445">
        <v>9.12</v>
      </c>
      <c r="K3445" t="s">
        <v>17223</v>
      </c>
      <c r="L3445">
        <v>0.61</v>
      </c>
      <c r="M3445" t="s">
        <v>46</v>
      </c>
      <c r="N3445" t="s">
        <v>13959</v>
      </c>
      <c r="O3445">
        <v>9.17</v>
      </c>
      <c r="P3445">
        <v>9.09</v>
      </c>
      <c r="Q3445">
        <v>9.09</v>
      </c>
      <c r="R3445">
        <v>9.13</v>
      </c>
      <c r="S3445">
        <v>0.88</v>
      </c>
      <c r="T3445">
        <v>0.76</v>
      </c>
      <c r="U3445">
        <v>-5.98</v>
      </c>
      <c r="V3445">
        <v>-562</v>
      </c>
      <c r="W3445">
        <v>9.13</v>
      </c>
      <c r="X3445" t="s">
        <v>6954</v>
      </c>
      <c r="Y3445" t="s">
        <v>3116</v>
      </c>
      <c r="Z3445">
        <v>1.21</v>
      </c>
      <c r="AA3445">
        <v>692</v>
      </c>
      <c r="AB3445">
        <v>721</v>
      </c>
      <c r="AC3445">
        <v>1.95</v>
      </c>
      <c r="AD3445" t="s">
        <v>17224</v>
      </c>
      <c r="AE3445" t="s">
        <v>12530</v>
      </c>
      <c r="AF3445" t="s">
        <v>17224</v>
      </c>
      <c r="AG3445" t="s">
        <v>12530</v>
      </c>
      <c r="AH3445">
        <v>-0.87</v>
      </c>
      <c r="AI3445">
        <v>0.55</v>
      </c>
      <c r="AJ3445">
        <v>1.93</v>
      </c>
      <c r="AK3445">
        <v>4.59</v>
      </c>
      <c r="AL3445">
        <v>-3</v>
      </c>
      <c r="AM3445">
        <v>-0.22</v>
      </c>
      <c r="AN3445">
        <v>10.69</v>
      </c>
      <c r="AO3445">
        <v>-0.44</v>
      </c>
      <c r="AP3445">
        <v>5.56</v>
      </c>
    </row>
    <row r="3446" spans="1:42">
      <c r="A3446">
        <v>3445</v>
      </c>
      <c r="B3446" t="str">
        <f>"603786"</f>
        <v>603786</v>
      </c>
      <c r="C3446" t="s">
        <v>17225</v>
      </c>
      <c r="D3446">
        <v>73.58</v>
      </c>
      <c r="E3446">
        <v>-2.15</v>
      </c>
      <c r="F3446">
        <v>-1.62</v>
      </c>
      <c r="G3446">
        <v>5854</v>
      </c>
      <c r="H3446">
        <v>24</v>
      </c>
      <c r="I3446">
        <v>73.58</v>
      </c>
      <c r="J3446">
        <v>73.81</v>
      </c>
      <c r="K3446" t="s">
        <v>17226</v>
      </c>
      <c r="L3446">
        <v>0.15</v>
      </c>
      <c r="M3446" t="s">
        <v>46</v>
      </c>
      <c r="N3446" t="s">
        <v>4457</v>
      </c>
      <c r="O3446">
        <v>75.6</v>
      </c>
      <c r="P3446">
        <v>72.7</v>
      </c>
      <c r="Q3446">
        <v>75.09</v>
      </c>
      <c r="R3446">
        <v>75.2</v>
      </c>
      <c r="S3446">
        <v>3.86</v>
      </c>
      <c r="T3446">
        <v>0.8</v>
      </c>
      <c r="U3446">
        <v>20</v>
      </c>
      <c r="V3446">
        <v>9</v>
      </c>
      <c r="W3446">
        <v>73.41</v>
      </c>
      <c r="X3446">
        <v>3305</v>
      </c>
      <c r="Y3446">
        <v>2548</v>
      </c>
      <c r="Z3446">
        <v>1.3</v>
      </c>
      <c r="AA3446">
        <v>3</v>
      </c>
      <c r="AB3446">
        <v>3</v>
      </c>
      <c r="AC3446">
        <v>6.62</v>
      </c>
      <c r="AD3446" t="s">
        <v>1562</v>
      </c>
      <c r="AE3446" t="s">
        <v>17227</v>
      </c>
      <c r="AF3446" t="s">
        <v>15787</v>
      </c>
      <c r="AG3446" t="s">
        <v>17228</v>
      </c>
      <c r="AH3446">
        <v>-1.49</v>
      </c>
      <c r="AI3446">
        <v>-3.63</v>
      </c>
      <c r="AJ3446">
        <v>0.51</v>
      </c>
      <c r="AK3446">
        <v>1.06</v>
      </c>
      <c r="AL3446">
        <v>-2</v>
      </c>
      <c r="AM3446">
        <v>-2.15</v>
      </c>
      <c r="AN3446">
        <v>12.63</v>
      </c>
      <c r="AO3446">
        <v>5.34</v>
      </c>
      <c r="AP3446">
        <v>7.1</v>
      </c>
    </row>
    <row r="3447" spans="1:42">
      <c r="A3447">
        <v>3446</v>
      </c>
      <c r="B3447" t="str">
        <f>"600103"</f>
        <v>600103</v>
      </c>
      <c r="C3447" t="s">
        <v>17229</v>
      </c>
      <c r="D3447">
        <v>2.45</v>
      </c>
      <c r="E3447">
        <v>0.41</v>
      </c>
      <c r="F3447">
        <v>0.01</v>
      </c>
      <c r="G3447" t="s">
        <v>1403</v>
      </c>
      <c r="H3447">
        <v>1251</v>
      </c>
      <c r="I3447">
        <v>2.45</v>
      </c>
      <c r="J3447">
        <v>2.46</v>
      </c>
      <c r="K3447" t="s">
        <v>17230</v>
      </c>
      <c r="L3447">
        <v>0.76</v>
      </c>
      <c r="M3447" t="s">
        <v>46</v>
      </c>
      <c r="N3447" t="s">
        <v>2027</v>
      </c>
      <c r="O3447">
        <v>2.46</v>
      </c>
      <c r="P3447">
        <v>2.42</v>
      </c>
      <c r="Q3447">
        <v>2.44</v>
      </c>
      <c r="R3447">
        <v>2.44</v>
      </c>
      <c r="S3447">
        <v>1.64</v>
      </c>
      <c r="T3447">
        <v>0.75</v>
      </c>
      <c r="U3447">
        <v>-7.72</v>
      </c>
      <c r="V3447">
        <v>-8220</v>
      </c>
      <c r="W3447">
        <v>2.45</v>
      </c>
      <c r="X3447" t="s">
        <v>9077</v>
      </c>
      <c r="Y3447" t="s">
        <v>1128</v>
      </c>
      <c r="Z3447">
        <v>0.65</v>
      </c>
      <c r="AA3447" t="s">
        <v>4943</v>
      </c>
      <c r="AB3447" t="s">
        <v>7210</v>
      </c>
      <c r="AC3447">
        <v>1.47</v>
      </c>
      <c r="AD3447" t="s">
        <v>16777</v>
      </c>
      <c r="AE3447" t="s">
        <v>17231</v>
      </c>
      <c r="AF3447" t="s">
        <v>16777</v>
      </c>
      <c r="AG3447" t="s">
        <v>17231</v>
      </c>
      <c r="AH3447">
        <v>-0.81</v>
      </c>
      <c r="AI3447">
        <v>-3.16</v>
      </c>
      <c r="AJ3447">
        <v>2.69</v>
      </c>
      <c r="AK3447">
        <v>5.86</v>
      </c>
      <c r="AL3447">
        <v>2</v>
      </c>
      <c r="AM3447">
        <v>0.41</v>
      </c>
      <c r="AN3447">
        <v>11.36</v>
      </c>
      <c r="AO3447">
        <v>0.41</v>
      </c>
      <c r="AP3447">
        <v>6.99</v>
      </c>
    </row>
    <row r="3448" spans="1:42">
      <c r="A3448">
        <v>3447</v>
      </c>
      <c r="B3448" t="str">
        <f>"600811"</f>
        <v>600811</v>
      </c>
      <c r="C3448" t="s">
        <v>17232</v>
      </c>
      <c r="D3448">
        <v>2.21</v>
      </c>
      <c r="E3448">
        <v>0.45</v>
      </c>
      <c r="F3448">
        <v>0.01</v>
      </c>
      <c r="G3448" t="s">
        <v>1328</v>
      </c>
      <c r="H3448">
        <v>4326</v>
      </c>
      <c r="I3448">
        <v>2.21</v>
      </c>
      <c r="J3448">
        <v>2.22</v>
      </c>
      <c r="K3448" t="s">
        <v>17230</v>
      </c>
      <c r="L3448">
        <v>0.53</v>
      </c>
      <c r="M3448" t="s">
        <v>46</v>
      </c>
      <c r="N3448" t="s">
        <v>8278</v>
      </c>
      <c r="O3448">
        <v>2.22</v>
      </c>
      <c r="P3448">
        <v>2.19</v>
      </c>
      <c r="Q3448">
        <v>2.19</v>
      </c>
      <c r="R3448">
        <v>2.2</v>
      </c>
      <c r="S3448">
        <v>1.36</v>
      </c>
      <c r="T3448">
        <v>0.98</v>
      </c>
      <c r="U3448">
        <v>-18.83</v>
      </c>
      <c r="V3448" t="s">
        <v>10114</v>
      </c>
      <c r="W3448">
        <v>2.21</v>
      </c>
      <c r="X3448" t="s">
        <v>4235</v>
      </c>
      <c r="Y3448" t="s">
        <v>1807</v>
      </c>
      <c r="Z3448">
        <v>0.67</v>
      </c>
      <c r="AA3448">
        <v>9670</v>
      </c>
      <c r="AB3448" t="s">
        <v>4527</v>
      </c>
      <c r="AC3448">
        <v>0.45</v>
      </c>
      <c r="AD3448" t="s">
        <v>17233</v>
      </c>
      <c r="AE3448" t="s">
        <v>17234</v>
      </c>
      <c r="AF3448" t="s">
        <v>17233</v>
      </c>
      <c r="AG3448" t="s">
        <v>17234</v>
      </c>
      <c r="AH3448">
        <v>-0.45</v>
      </c>
      <c r="AI3448">
        <v>-0.45</v>
      </c>
      <c r="AJ3448">
        <v>1.53</v>
      </c>
      <c r="AK3448">
        <v>3.26</v>
      </c>
      <c r="AL3448">
        <v>1</v>
      </c>
      <c r="AM3448">
        <v>0.45</v>
      </c>
      <c r="AN3448">
        <v>-9.43</v>
      </c>
      <c r="AO3448">
        <v>-3.91</v>
      </c>
      <c r="AP3448">
        <v>-14.67</v>
      </c>
    </row>
    <row r="3449" spans="1:42">
      <c r="A3449">
        <v>3448</v>
      </c>
      <c r="B3449" t="str">
        <f>"000019"</f>
        <v>000019</v>
      </c>
      <c r="C3449" t="s">
        <v>17235</v>
      </c>
      <c r="D3449">
        <v>7.52</v>
      </c>
      <c r="E3449">
        <v>-0.53</v>
      </c>
      <c r="F3449">
        <v>-0.04</v>
      </c>
      <c r="G3449" t="s">
        <v>1503</v>
      </c>
      <c r="H3449">
        <v>595</v>
      </c>
      <c r="I3449">
        <v>7.51</v>
      </c>
      <c r="J3449">
        <v>7.52</v>
      </c>
      <c r="K3449" t="s">
        <v>668</v>
      </c>
      <c r="L3449">
        <v>1.37</v>
      </c>
      <c r="M3449" t="s">
        <v>46</v>
      </c>
      <c r="N3449" t="s">
        <v>9576</v>
      </c>
      <c r="O3449">
        <v>7.6</v>
      </c>
      <c r="P3449">
        <v>7.5</v>
      </c>
      <c r="Q3449">
        <v>7.53</v>
      </c>
      <c r="R3449">
        <v>7.56</v>
      </c>
      <c r="S3449">
        <v>1.32</v>
      </c>
      <c r="T3449">
        <v>0.91</v>
      </c>
      <c r="U3449">
        <v>-10.59</v>
      </c>
      <c r="V3449">
        <v>-410</v>
      </c>
      <c r="W3449">
        <v>7.54</v>
      </c>
      <c r="X3449" t="s">
        <v>3226</v>
      </c>
      <c r="Y3449" t="s">
        <v>9251</v>
      </c>
      <c r="Z3449">
        <v>1.25</v>
      </c>
      <c r="AA3449">
        <v>34</v>
      </c>
      <c r="AB3449">
        <v>396</v>
      </c>
      <c r="AC3449">
        <v>1.82</v>
      </c>
      <c r="AD3449" t="s">
        <v>5330</v>
      </c>
      <c r="AE3449" t="s">
        <v>17236</v>
      </c>
      <c r="AF3449" t="s">
        <v>4505</v>
      </c>
      <c r="AG3449" t="s">
        <v>9209</v>
      </c>
      <c r="AH3449">
        <v>-0.27</v>
      </c>
      <c r="AI3449">
        <v>1.35</v>
      </c>
      <c r="AJ3449">
        <v>4.36</v>
      </c>
      <c r="AK3449">
        <v>8.89</v>
      </c>
      <c r="AL3449">
        <v>-2</v>
      </c>
      <c r="AM3449">
        <v>-0.53</v>
      </c>
      <c r="AN3449">
        <v>3.58</v>
      </c>
      <c r="AO3449">
        <v>3.72</v>
      </c>
      <c r="AP3449">
        <v>6.36</v>
      </c>
    </row>
    <row r="3450" spans="1:42">
      <c r="A3450">
        <v>3449</v>
      </c>
      <c r="B3450" t="str">
        <f>"300971"</f>
        <v>300971</v>
      </c>
      <c r="C3450" t="s">
        <v>17237</v>
      </c>
      <c r="D3450">
        <v>25.12</v>
      </c>
      <c r="E3450">
        <v>-0.51</v>
      </c>
      <c r="F3450">
        <v>-0.13</v>
      </c>
      <c r="G3450" t="s">
        <v>1456</v>
      </c>
      <c r="H3450">
        <v>157</v>
      </c>
      <c r="I3450">
        <v>25.12</v>
      </c>
      <c r="J3450">
        <v>25.13</v>
      </c>
      <c r="K3450" t="s">
        <v>17238</v>
      </c>
      <c r="L3450">
        <v>3.14</v>
      </c>
      <c r="M3450" t="s">
        <v>46</v>
      </c>
      <c r="N3450" t="s">
        <v>4845</v>
      </c>
      <c r="O3450">
        <v>25.3</v>
      </c>
      <c r="P3450">
        <v>24.75</v>
      </c>
      <c r="Q3450">
        <v>25.18</v>
      </c>
      <c r="R3450">
        <v>25.25</v>
      </c>
      <c r="S3450">
        <v>2.18</v>
      </c>
      <c r="T3450">
        <v>1.08</v>
      </c>
      <c r="U3450">
        <v>31.4</v>
      </c>
      <c r="V3450">
        <v>54</v>
      </c>
      <c r="W3450">
        <v>24.98</v>
      </c>
      <c r="X3450">
        <v>9119</v>
      </c>
      <c r="Y3450">
        <v>8066</v>
      </c>
      <c r="Z3450">
        <v>1.13</v>
      </c>
      <c r="AA3450">
        <v>35</v>
      </c>
      <c r="AB3450">
        <v>41</v>
      </c>
      <c r="AC3450">
        <v>2.22</v>
      </c>
      <c r="AD3450" t="s">
        <v>9437</v>
      </c>
      <c r="AE3450" t="s">
        <v>17239</v>
      </c>
      <c r="AF3450" t="s">
        <v>17240</v>
      </c>
      <c r="AG3450" t="s">
        <v>17241</v>
      </c>
      <c r="AH3450">
        <v>-2.26</v>
      </c>
      <c r="AI3450">
        <v>-1.91</v>
      </c>
      <c r="AJ3450">
        <v>9.22</v>
      </c>
      <c r="AK3450">
        <v>17.67</v>
      </c>
      <c r="AL3450">
        <v>-3</v>
      </c>
      <c r="AM3450">
        <v>-0.51</v>
      </c>
      <c r="AN3450">
        <v>28.56</v>
      </c>
      <c r="AO3450">
        <v>1.82</v>
      </c>
      <c r="AP3450">
        <v>9.12</v>
      </c>
    </row>
    <row r="3451" spans="1:42">
      <c r="A3451">
        <v>3450</v>
      </c>
      <c r="B3451" t="str">
        <f>"002214"</f>
        <v>002214</v>
      </c>
      <c r="C3451" t="s">
        <v>17242</v>
      </c>
      <c r="D3451">
        <v>12.17</v>
      </c>
      <c r="E3451">
        <v>0.33</v>
      </c>
      <c r="F3451">
        <v>0.04</v>
      </c>
      <c r="G3451" t="s">
        <v>2327</v>
      </c>
      <c r="H3451">
        <v>168</v>
      </c>
      <c r="I3451">
        <v>12.17</v>
      </c>
      <c r="J3451">
        <v>12.18</v>
      </c>
      <c r="K3451" t="s">
        <v>17243</v>
      </c>
      <c r="L3451">
        <v>0.74</v>
      </c>
      <c r="M3451" t="s">
        <v>46</v>
      </c>
      <c r="N3451" t="s">
        <v>2549</v>
      </c>
      <c r="O3451">
        <v>12.22</v>
      </c>
      <c r="P3451">
        <v>12</v>
      </c>
      <c r="Q3451">
        <v>12.15</v>
      </c>
      <c r="R3451">
        <v>12.13</v>
      </c>
      <c r="S3451">
        <v>1.81</v>
      </c>
      <c r="T3451">
        <v>1.12</v>
      </c>
      <c r="U3451">
        <v>-63.46</v>
      </c>
      <c r="V3451">
        <v>-601</v>
      </c>
      <c r="W3451">
        <v>12.11</v>
      </c>
      <c r="X3451" t="s">
        <v>2924</v>
      </c>
      <c r="Y3451" t="s">
        <v>141</v>
      </c>
      <c r="Z3451">
        <v>1.25</v>
      </c>
      <c r="AA3451">
        <v>5</v>
      </c>
      <c r="AB3451">
        <v>47</v>
      </c>
      <c r="AC3451">
        <v>3.47</v>
      </c>
      <c r="AD3451" t="s">
        <v>17244</v>
      </c>
      <c r="AE3451" t="s">
        <v>17245</v>
      </c>
      <c r="AF3451" t="s">
        <v>17246</v>
      </c>
      <c r="AG3451" t="s">
        <v>9156</v>
      </c>
      <c r="AH3451">
        <v>-2.09</v>
      </c>
      <c r="AI3451">
        <v>-2.41</v>
      </c>
      <c r="AJ3451">
        <v>2.24</v>
      </c>
      <c r="AK3451">
        <v>4.07</v>
      </c>
      <c r="AL3451">
        <v>1</v>
      </c>
      <c r="AM3451">
        <v>0.33</v>
      </c>
      <c r="AN3451">
        <v>-6.89</v>
      </c>
      <c r="AO3451">
        <v>1.76</v>
      </c>
      <c r="AP3451">
        <v>-13.01</v>
      </c>
    </row>
    <row r="3452" spans="1:42">
      <c r="A3452">
        <v>3451</v>
      </c>
      <c r="B3452" t="str">
        <f>"600966"</f>
        <v>600966</v>
      </c>
      <c r="C3452" t="s">
        <v>17247</v>
      </c>
      <c r="D3452">
        <v>6.59</v>
      </c>
      <c r="E3452">
        <v>0</v>
      </c>
      <c r="F3452">
        <v>0</v>
      </c>
      <c r="G3452" t="s">
        <v>4913</v>
      </c>
      <c r="H3452">
        <v>360</v>
      </c>
      <c r="I3452">
        <v>6.58</v>
      </c>
      <c r="J3452">
        <v>6.59</v>
      </c>
      <c r="K3452" t="s">
        <v>17248</v>
      </c>
      <c r="L3452">
        <v>0.48</v>
      </c>
      <c r="M3452" t="s">
        <v>46</v>
      </c>
      <c r="N3452" t="s">
        <v>4969</v>
      </c>
      <c r="O3452">
        <v>6.69</v>
      </c>
      <c r="P3452">
        <v>6.55</v>
      </c>
      <c r="Q3452">
        <v>6.57</v>
      </c>
      <c r="R3452">
        <v>6.59</v>
      </c>
      <c r="S3452">
        <v>2.12</v>
      </c>
      <c r="T3452">
        <v>1.33</v>
      </c>
      <c r="U3452">
        <v>9.27</v>
      </c>
      <c r="V3452">
        <v>190</v>
      </c>
      <c r="W3452">
        <v>6.62</v>
      </c>
      <c r="X3452" t="s">
        <v>6675</v>
      </c>
      <c r="Y3452" t="s">
        <v>8009</v>
      </c>
      <c r="Z3452">
        <v>0.72</v>
      </c>
      <c r="AA3452">
        <v>416</v>
      </c>
      <c r="AB3452">
        <v>33</v>
      </c>
      <c r="AC3452">
        <v>1.38</v>
      </c>
      <c r="AD3452" t="s">
        <v>17249</v>
      </c>
      <c r="AE3452" t="s">
        <v>17250</v>
      </c>
      <c r="AF3452" t="s">
        <v>17249</v>
      </c>
      <c r="AG3452" t="s">
        <v>17250</v>
      </c>
      <c r="AH3452">
        <v>-2.37</v>
      </c>
      <c r="AI3452">
        <v>-2.8</v>
      </c>
      <c r="AJ3452">
        <v>1.11</v>
      </c>
      <c r="AK3452">
        <v>2.31</v>
      </c>
      <c r="AL3452">
        <v>0</v>
      </c>
      <c r="AM3452">
        <v>0</v>
      </c>
      <c r="AN3452">
        <v>-25.7</v>
      </c>
      <c r="AO3452">
        <v>-3.8</v>
      </c>
      <c r="AP3452">
        <v>-8.6</v>
      </c>
    </row>
    <row r="3453" spans="1:42">
      <c r="A3453">
        <v>3452</v>
      </c>
      <c r="B3453" t="str">
        <f>"603520"</f>
        <v>603520</v>
      </c>
      <c r="C3453" t="s">
        <v>17251</v>
      </c>
      <c r="D3453">
        <v>15.97</v>
      </c>
      <c r="E3453">
        <v>0</v>
      </c>
      <c r="F3453">
        <v>0</v>
      </c>
      <c r="G3453" t="s">
        <v>3456</v>
      </c>
      <c r="H3453">
        <v>107</v>
      </c>
      <c r="I3453">
        <v>15.97</v>
      </c>
      <c r="J3453">
        <v>15.98</v>
      </c>
      <c r="K3453" t="s">
        <v>17252</v>
      </c>
      <c r="L3453">
        <v>0.79</v>
      </c>
      <c r="M3453" t="s">
        <v>46</v>
      </c>
      <c r="N3453" t="s">
        <v>6370</v>
      </c>
      <c r="O3453">
        <v>15.99</v>
      </c>
      <c r="P3453">
        <v>15.8</v>
      </c>
      <c r="Q3453">
        <v>15.92</v>
      </c>
      <c r="R3453">
        <v>15.97</v>
      </c>
      <c r="S3453">
        <v>1.19</v>
      </c>
      <c r="T3453">
        <v>1.01</v>
      </c>
      <c r="U3453">
        <v>13.66</v>
      </c>
      <c r="V3453">
        <v>121</v>
      </c>
      <c r="W3453">
        <v>15.91</v>
      </c>
      <c r="X3453" t="s">
        <v>5183</v>
      </c>
      <c r="Y3453" t="s">
        <v>1777</v>
      </c>
      <c r="Z3453">
        <v>1.02</v>
      </c>
      <c r="AA3453">
        <v>51</v>
      </c>
      <c r="AB3453">
        <v>50</v>
      </c>
      <c r="AC3453">
        <v>3.11</v>
      </c>
      <c r="AD3453" t="s">
        <v>17253</v>
      </c>
      <c r="AE3453" t="s">
        <v>13230</v>
      </c>
      <c r="AF3453" t="s">
        <v>17253</v>
      </c>
      <c r="AG3453" t="s">
        <v>13230</v>
      </c>
      <c r="AH3453">
        <v>-0.56</v>
      </c>
      <c r="AI3453">
        <v>-0.44</v>
      </c>
      <c r="AJ3453">
        <v>2.16</v>
      </c>
      <c r="AK3453">
        <v>4.69</v>
      </c>
      <c r="AL3453">
        <v>0</v>
      </c>
      <c r="AM3453">
        <v>0</v>
      </c>
      <c r="AN3453">
        <v>-17.55</v>
      </c>
      <c r="AO3453">
        <v>2.5</v>
      </c>
      <c r="AP3453">
        <v>-20.39</v>
      </c>
    </row>
    <row r="3454" spans="1:42">
      <c r="A3454">
        <v>3453</v>
      </c>
      <c r="B3454" t="str">
        <f>"002967"</f>
        <v>002967</v>
      </c>
      <c r="C3454" t="s">
        <v>17254</v>
      </c>
      <c r="D3454">
        <v>14.77</v>
      </c>
      <c r="E3454">
        <v>0.07</v>
      </c>
      <c r="F3454">
        <v>0.01</v>
      </c>
      <c r="G3454" t="s">
        <v>6395</v>
      </c>
      <c r="H3454">
        <v>260</v>
      </c>
      <c r="I3454">
        <v>14.77</v>
      </c>
      <c r="J3454">
        <v>14.78</v>
      </c>
      <c r="K3454" t="s">
        <v>17255</v>
      </c>
      <c r="L3454">
        <v>0.57</v>
      </c>
      <c r="M3454" t="s">
        <v>46</v>
      </c>
      <c r="N3454" t="s">
        <v>2586</v>
      </c>
      <c r="O3454">
        <v>14.81</v>
      </c>
      <c r="P3454">
        <v>14.65</v>
      </c>
      <c r="Q3454">
        <v>14.75</v>
      </c>
      <c r="R3454">
        <v>14.76</v>
      </c>
      <c r="S3454">
        <v>1.08</v>
      </c>
      <c r="T3454">
        <v>0.84</v>
      </c>
      <c r="U3454">
        <v>-54.22</v>
      </c>
      <c r="V3454">
        <v>-758</v>
      </c>
      <c r="W3454">
        <v>14.72</v>
      </c>
      <c r="X3454" t="s">
        <v>3130</v>
      </c>
      <c r="Y3454" t="s">
        <v>6867</v>
      </c>
      <c r="Z3454">
        <v>1.02</v>
      </c>
      <c r="AA3454">
        <v>19</v>
      </c>
      <c r="AB3454">
        <v>27</v>
      </c>
      <c r="AC3454">
        <v>2.41</v>
      </c>
      <c r="AD3454" t="s">
        <v>17256</v>
      </c>
      <c r="AE3454" t="s">
        <v>3751</v>
      </c>
      <c r="AF3454" t="s">
        <v>17257</v>
      </c>
      <c r="AG3454" t="s">
        <v>17258</v>
      </c>
      <c r="AH3454">
        <v>-0.67</v>
      </c>
      <c r="AI3454">
        <v>-1.99</v>
      </c>
      <c r="AJ3454">
        <v>1.78</v>
      </c>
      <c r="AK3454">
        <v>3.94</v>
      </c>
      <c r="AL3454">
        <v>1</v>
      </c>
      <c r="AM3454">
        <v>0.07</v>
      </c>
      <c r="AN3454">
        <v>-11.18</v>
      </c>
      <c r="AO3454">
        <v>1.51</v>
      </c>
      <c r="AP3454">
        <v>-19.11</v>
      </c>
    </row>
    <row r="3455" spans="1:42">
      <c r="A3455">
        <v>3454</v>
      </c>
      <c r="B3455" t="str">
        <f>"688522"</f>
        <v>688522</v>
      </c>
      <c r="C3455" t="s">
        <v>17259</v>
      </c>
      <c r="D3455">
        <v>52.91</v>
      </c>
      <c r="E3455">
        <v>0.53</v>
      </c>
      <c r="F3455">
        <v>0.28</v>
      </c>
      <c r="G3455">
        <v>8133</v>
      </c>
      <c r="H3455">
        <v>91</v>
      </c>
      <c r="I3455">
        <v>52.8</v>
      </c>
      <c r="J3455">
        <v>52.91</v>
      </c>
      <c r="K3455" t="s">
        <v>17255</v>
      </c>
      <c r="L3455">
        <v>2.13</v>
      </c>
      <c r="M3455" t="s">
        <v>46</v>
      </c>
      <c r="N3455" t="s">
        <v>7102</v>
      </c>
      <c r="O3455">
        <v>53.18</v>
      </c>
      <c r="P3455">
        <v>52.12</v>
      </c>
      <c r="Q3455">
        <v>52.62</v>
      </c>
      <c r="R3455">
        <v>52.63</v>
      </c>
      <c r="S3455">
        <v>2.01</v>
      </c>
      <c r="T3455">
        <v>0.74</v>
      </c>
      <c r="U3455">
        <v>-37.86</v>
      </c>
      <c r="V3455">
        <v>-39</v>
      </c>
      <c r="W3455">
        <v>52.69</v>
      </c>
      <c r="X3455">
        <v>3158</v>
      </c>
      <c r="Y3455">
        <v>4975</v>
      </c>
      <c r="Z3455">
        <v>0.63</v>
      </c>
      <c r="AA3455">
        <v>6</v>
      </c>
      <c r="AB3455">
        <v>32</v>
      </c>
      <c r="AC3455">
        <v>3.79</v>
      </c>
      <c r="AD3455" t="s">
        <v>16993</v>
      </c>
      <c r="AE3455" t="s">
        <v>9118</v>
      </c>
      <c r="AF3455" t="s">
        <v>17260</v>
      </c>
      <c r="AG3455" t="s">
        <v>17261</v>
      </c>
      <c r="AH3455">
        <v>-2.61</v>
      </c>
      <c r="AI3455">
        <v>-4.15</v>
      </c>
      <c r="AJ3455">
        <v>6.57</v>
      </c>
      <c r="AK3455">
        <v>16.6</v>
      </c>
      <c r="AL3455">
        <v>1</v>
      </c>
      <c r="AM3455">
        <v>0.53</v>
      </c>
      <c r="AN3455">
        <v>14.57</v>
      </c>
      <c r="AO3455">
        <v>11.41</v>
      </c>
      <c r="AP3455">
        <v>14.57</v>
      </c>
    </row>
    <row r="3456" spans="1:42">
      <c r="A3456">
        <v>3455</v>
      </c>
      <c r="B3456" t="str">
        <f>"000530"</f>
        <v>000530</v>
      </c>
      <c r="C3456" t="s">
        <v>17262</v>
      </c>
      <c r="D3456">
        <v>5.63</v>
      </c>
      <c r="E3456">
        <v>-0.35</v>
      </c>
      <c r="F3456">
        <v>-0.02</v>
      </c>
      <c r="G3456" t="s">
        <v>3691</v>
      </c>
      <c r="H3456">
        <v>895</v>
      </c>
      <c r="I3456">
        <v>5.62</v>
      </c>
      <c r="J3456">
        <v>5.63</v>
      </c>
      <c r="K3456" t="s">
        <v>17263</v>
      </c>
      <c r="L3456">
        <v>1.27</v>
      </c>
      <c r="M3456" t="s">
        <v>46</v>
      </c>
      <c r="N3456" t="s">
        <v>1814</v>
      </c>
      <c r="O3456">
        <v>5.66</v>
      </c>
      <c r="P3456">
        <v>5.61</v>
      </c>
      <c r="Q3456">
        <v>5.64</v>
      </c>
      <c r="R3456">
        <v>5.65</v>
      </c>
      <c r="S3456">
        <v>0.88</v>
      </c>
      <c r="T3456">
        <v>0.78</v>
      </c>
      <c r="U3456">
        <v>34.24</v>
      </c>
      <c r="V3456">
        <v>3007</v>
      </c>
      <c r="W3456">
        <v>5.63</v>
      </c>
      <c r="X3456" t="s">
        <v>5055</v>
      </c>
      <c r="Y3456" t="s">
        <v>925</v>
      </c>
      <c r="Z3456">
        <v>1.47</v>
      </c>
      <c r="AA3456">
        <v>1068</v>
      </c>
      <c r="AB3456">
        <v>199</v>
      </c>
      <c r="AC3456">
        <v>1.55</v>
      </c>
      <c r="AD3456" t="s">
        <v>17264</v>
      </c>
      <c r="AE3456" t="s">
        <v>17265</v>
      </c>
      <c r="AF3456" t="s">
        <v>6426</v>
      </c>
      <c r="AG3456" t="s">
        <v>16339</v>
      </c>
      <c r="AH3456">
        <v>-2.09</v>
      </c>
      <c r="AI3456">
        <v>-0.88</v>
      </c>
      <c r="AJ3456">
        <v>4.23</v>
      </c>
      <c r="AK3456">
        <v>9.44</v>
      </c>
      <c r="AL3456">
        <v>-3</v>
      </c>
      <c r="AM3456">
        <v>-0.35</v>
      </c>
      <c r="AN3456">
        <v>25.95</v>
      </c>
      <c r="AO3456">
        <v>1.99</v>
      </c>
      <c r="AP3456">
        <v>16.8</v>
      </c>
    </row>
    <row r="3457" spans="1:42">
      <c r="A3457">
        <v>3456</v>
      </c>
      <c r="B3457" t="str">
        <f>"300238"</f>
        <v>300238</v>
      </c>
      <c r="C3457" t="s">
        <v>17266</v>
      </c>
      <c r="D3457">
        <v>14.72</v>
      </c>
      <c r="E3457">
        <v>0.82</v>
      </c>
      <c r="F3457">
        <v>0.12</v>
      </c>
      <c r="G3457" t="s">
        <v>6395</v>
      </c>
      <c r="H3457">
        <v>258</v>
      </c>
      <c r="I3457">
        <v>14.72</v>
      </c>
      <c r="J3457">
        <v>14.74</v>
      </c>
      <c r="K3457" t="s">
        <v>16551</v>
      </c>
      <c r="L3457">
        <v>1.1</v>
      </c>
      <c r="M3457" t="s">
        <v>46</v>
      </c>
      <c r="N3457" t="s">
        <v>3266</v>
      </c>
      <c r="O3457">
        <v>14.84</v>
      </c>
      <c r="P3457">
        <v>14.53</v>
      </c>
      <c r="Q3457">
        <v>14.53</v>
      </c>
      <c r="R3457">
        <v>14.6</v>
      </c>
      <c r="S3457">
        <v>2.12</v>
      </c>
      <c r="T3457">
        <v>0.68</v>
      </c>
      <c r="U3457">
        <v>1.59</v>
      </c>
      <c r="V3457">
        <v>14</v>
      </c>
      <c r="W3457">
        <v>14.69</v>
      </c>
      <c r="X3457" t="s">
        <v>5900</v>
      </c>
      <c r="Y3457" t="s">
        <v>7656</v>
      </c>
      <c r="Z3457">
        <v>0.96</v>
      </c>
      <c r="AA3457">
        <v>56</v>
      </c>
      <c r="AB3457">
        <v>39</v>
      </c>
      <c r="AC3457">
        <v>7.37</v>
      </c>
      <c r="AD3457" t="s">
        <v>9857</v>
      </c>
      <c r="AE3457" t="s">
        <v>9428</v>
      </c>
      <c r="AF3457" t="s">
        <v>17267</v>
      </c>
      <c r="AG3457" t="s">
        <v>9428</v>
      </c>
      <c r="AH3457">
        <v>-1.21</v>
      </c>
      <c r="AI3457">
        <v>-2.84</v>
      </c>
      <c r="AJ3457">
        <v>3.62</v>
      </c>
      <c r="AK3457">
        <v>9.14</v>
      </c>
      <c r="AL3457">
        <v>1</v>
      </c>
      <c r="AM3457">
        <v>0.82</v>
      </c>
      <c r="AN3457">
        <v>43.19</v>
      </c>
      <c r="AO3457">
        <v>2.87</v>
      </c>
      <c r="AP3457">
        <v>28.11</v>
      </c>
    </row>
    <row r="3458" spans="1:42">
      <c r="A3458">
        <v>3457</v>
      </c>
      <c r="B3458" t="str">
        <f>"603628"</f>
        <v>603628</v>
      </c>
      <c r="C3458" t="s">
        <v>17268</v>
      </c>
      <c r="D3458">
        <v>11.49</v>
      </c>
      <c r="E3458">
        <v>-1.54</v>
      </c>
      <c r="F3458">
        <v>-0.18</v>
      </c>
      <c r="G3458" t="s">
        <v>6646</v>
      </c>
      <c r="H3458">
        <v>274</v>
      </c>
      <c r="I3458">
        <v>11.49</v>
      </c>
      <c r="J3458">
        <v>11.5</v>
      </c>
      <c r="K3458" t="s">
        <v>17269</v>
      </c>
      <c r="L3458">
        <v>1.36</v>
      </c>
      <c r="M3458" t="s">
        <v>46</v>
      </c>
      <c r="N3458" t="s">
        <v>5022</v>
      </c>
      <c r="O3458">
        <v>11.71</v>
      </c>
      <c r="P3458">
        <v>11.39</v>
      </c>
      <c r="Q3458">
        <v>11.66</v>
      </c>
      <c r="R3458">
        <v>11.67</v>
      </c>
      <c r="S3458">
        <v>2.74</v>
      </c>
      <c r="T3458">
        <v>1.62</v>
      </c>
      <c r="U3458">
        <v>-0.11</v>
      </c>
      <c r="V3458">
        <v>-2</v>
      </c>
      <c r="W3458">
        <v>11.5</v>
      </c>
      <c r="X3458" t="s">
        <v>3611</v>
      </c>
      <c r="Y3458" t="s">
        <v>1769</v>
      </c>
      <c r="Z3458">
        <v>1.58</v>
      </c>
      <c r="AA3458">
        <v>170</v>
      </c>
      <c r="AB3458">
        <v>80</v>
      </c>
      <c r="AC3458">
        <v>2.58</v>
      </c>
      <c r="AD3458" t="s">
        <v>13577</v>
      </c>
      <c r="AE3458" t="s">
        <v>13078</v>
      </c>
      <c r="AF3458" t="s">
        <v>13577</v>
      </c>
      <c r="AG3458" t="s">
        <v>13078</v>
      </c>
      <c r="AH3458">
        <v>-4.17</v>
      </c>
      <c r="AI3458">
        <v>-5.67</v>
      </c>
      <c r="AJ3458">
        <v>3.14</v>
      </c>
      <c r="AK3458">
        <v>5.55</v>
      </c>
      <c r="AL3458">
        <v>-3</v>
      </c>
      <c r="AM3458">
        <v>-1.54</v>
      </c>
      <c r="AN3458">
        <v>-24.71</v>
      </c>
      <c r="AO3458">
        <v>-3.45</v>
      </c>
      <c r="AP3458">
        <v>-28.28</v>
      </c>
    </row>
    <row r="3459" spans="1:42">
      <c r="A3459">
        <v>3458</v>
      </c>
      <c r="B3459" t="str">
        <f>"688268"</f>
        <v>688268</v>
      </c>
      <c r="C3459" t="s">
        <v>17270</v>
      </c>
      <c r="D3459">
        <v>74.56</v>
      </c>
      <c r="E3459">
        <v>-0.16</v>
      </c>
      <c r="F3459">
        <v>-0.12</v>
      </c>
      <c r="G3459">
        <v>5732</v>
      </c>
      <c r="H3459">
        <v>64</v>
      </c>
      <c r="I3459">
        <v>74.56</v>
      </c>
      <c r="J3459">
        <v>74.77</v>
      </c>
      <c r="K3459" t="s">
        <v>17271</v>
      </c>
      <c r="L3459">
        <v>0.48</v>
      </c>
      <c r="M3459" t="s">
        <v>46</v>
      </c>
      <c r="N3459" t="s">
        <v>1778</v>
      </c>
      <c r="O3459">
        <v>75.43</v>
      </c>
      <c r="P3459">
        <v>73.66</v>
      </c>
      <c r="Q3459">
        <v>74.68</v>
      </c>
      <c r="R3459">
        <v>74.68</v>
      </c>
      <c r="S3459">
        <v>2.37</v>
      </c>
      <c r="T3459">
        <v>0.78</v>
      </c>
      <c r="U3459">
        <v>9.39</v>
      </c>
      <c r="V3459">
        <v>8</v>
      </c>
      <c r="W3459">
        <v>74.64</v>
      </c>
      <c r="X3459">
        <v>3377</v>
      </c>
      <c r="Y3459">
        <v>2356</v>
      </c>
      <c r="Z3459">
        <v>1.43</v>
      </c>
      <c r="AA3459">
        <v>1</v>
      </c>
      <c r="AB3459">
        <v>2</v>
      </c>
      <c r="AC3459">
        <v>5.49</v>
      </c>
      <c r="AD3459" t="s">
        <v>10159</v>
      </c>
      <c r="AE3459" t="s">
        <v>17272</v>
      </c>
      <c r="AF3459" t="s">
        <v>12271</v>
      </c>
      <c r="AG3459" t="s">
        <v>17273</v>
      </c>
      <c r="AH3459">
        <v>-2.45</v>
      </c>
      <c r="AI3459">
        <v>-0.21</v>
      </c>
      <c r="AJ3459">
        <v>1.61</v>
      </c>
      <c r="AK3459">
        <v>3.55</v>
      </c>
      <c r="AL3459">
        <v>-4</v>
      </c>
      <c r="AM3459">
        <v>-0.16</v>
      </c>
      <c r="AN3459">
        <v>0.96</v>
      </c>
      <c r="AO3459">
        <v>6.07</v>
      </c>
      <c r="AP3459">
        <v>-11.15</v>
      </c>
    </row>
    <row r="3460" spans="1:42">
      <c r="A3460">
        <v>3459</v>
      </c>
      <c r="B3460" t="str">
        <f>"300018"</f>
        <v>300018</v>
      </c>
      <c r="C3460" t="s">
        <v>17274</v>
      </c>
      <c r="D3460">
        <v>6.21</v>
      </c>
      <c r="E3460">
        <v>0.49</v>
      </c>
      <c r="F3460">
        <v>0.03</v>
      </c>
      <c r="G3460" t="s">
        <v>2836</v>
      </c>
      <c r="H3460">
        <v>300</v>
      </c>
      <c r="I3460">
        <v>6.2</v>
      </c>
      <c r="J3460">
        <v>6.21</v>
      </c>
      <c r="K3460" t="s">
        <v>17275</v>
      </c>
      <c r="L3460">
        <v>1.71</v>
      </c>
      <c r="M3460" t="s">
        <v>46</v>
      </c>
      <c r="N3460" t="s">
        <v>5094</v>
      </c>
      <c r="O3460">
        <v>6.24</v>
      </c>
      <c r="P3460">
        <v>6.13</v>
      </c>
      <c r="Q3460">
        <v>6.18</v>
      </c>
      <c r="R3460">
        <v>6.18</v>
      </c>
      <c r="S3460">
        <v>1.78</v>
      </c>
      <c r="T3460">
        <v>1.32</v>
      </c>
      <c r="U3460">
        <v>-21.3</v>
      </c>
      <c r="V3460">
        <v>-1412</v>
      </c>
      <c r="W3460">
        <v>6.18</v>
      </c>
      <c r="X3460" t="s">
        <v>4839</v>
      </c>
      <c r="Y3460" t="s">
        <v>2550</v>
      </c>
      <c r="Z3460">
        <v>0.99</v>
      </c>
      <c r="AA3460">
        <v>531</v>
      </c>
      <c r="AB3460">
        <v>259</v>
      </c>
      <c r="AC3460">
        <v>2.47</v>
      </c>
      <c r="AD3460" t="s">
        <v>15766</v>
      </c>
      <c r="AE3460" t="s">
        <v>15580</v>
      </c>
      <c r="AF3460" t="s">
        <v>2632</v>
      </c>
      <c r="AG3460" t="s">
        <v>5213</v>
      </c>
      <c r="AH3460">
        <v>-1.27</v>
      </c>
      <c r="AI3460">
        <v>-0.96</v>
      </c>
      <c r="AJ3460">
        <v>4.68</v>
      </c>
      <c r="AK3460">
        <v>8.18</v>
      </c>
      <c r="AL3460">
        <v>1</v>
      </c>
      <c r="AM3460">
        <v>0.49</v>
      </c>
      <c r="AN3460">
        <v>2.99</v>
      </c>
      <c r="AO3460">
        <v>1.97</v>
      </c>
      <c r="AP3460">
        <v>-9.34</v>
      </c>
    </row>
    <row r="3461" spans="1:42">
      <c r="A3461">
        <v>3460</v>
      </c>
      <c r="B3461" t="str">
        <f>"870436"</f>
        <v>870436</v>
      </c>
      <c r="C3461" t="s">
        <v>17276</v>
      </c>
      <c r="D3461">
        <v>8.5</v>
      </c>
      <c r="E3461">
        <v>-8.5</v>
      </c>
      <c r="F3461">
        <v>-0.79</v>
      </c>
      <c r="G3461" t="s">
        <v>5612</v>
      </c>
      <c r="H3461">
        <v>650</v>
      </c>
      <c r="I3461">
        <v>8.5</v>
      </c>
      <c r="J3461">
        <v>8.53</v>
      </c>
      <c r="K3461" t="s">
        <v>17275</v>
      </c>
      <c r="L3461">
        <v>10.89</v>
      </c>
      <c r="M3461" t="s">
        <v>46</v>
      </c>
      <c r="N3461" t="s">
        <v>664</v>
      </c>
      <c r="O3461">
        <v>9.55</v>
      </c>
      <c r="P3461">
        <v>8.36</v>
      </c>
      <c r="Q3461">
        <v>9.2</v>
      </c>
      <c r="R3461">
        <v>9.29</v>
      </c>
      <c r="S3461">
        <v>12.81</v>
      </c>
      <c r="T3461">
        <v>0.77</v>
      </c>
      <c r="U3461">
        <v>62.07</v>
      </c>
      <c r="V3461">
        <v>581</v>
      </c>
      <c r="W3461">
        <v>8.79</v>
      </c>
      <c r="X3461" t="s">
        <v>617</v>
      </c>
      <c r="Y3461" t="s">
        <v>128</v>
      </c>
      <c r="Z3461">
        <v>1.63</v>
      </c>
      <c r="AA3461">
        <v>157</v>
      </c>
      <c r="AB3461">
        <v>56</v>
      </c>
      <c r="AC3461">
        <v>1.85</v>
      </c>
      <c r="AD3461" t="s">
        <v>11293</v>
      </c>
      <c r="AE3461" t="s">
        <v>11866</v>
      </c>
      <c r="AF3461" t="s">
        <v>12733</v>
      </c>
      <c r="AG3461" t="s">
        <v>17277</v>
      </c>
      <c r="AH3461">
        <v>-27.1</v>
      </c>
      <c r="AI3461">
        <v>22.3</v>
      </c>
      <c r="AJ3461">
        <v>50.55</v>
      </c>
      <c r="AK3461">
        <v>81.44</v>
      </c>
      <c r="AL3461">
        <v>-3</v>
      </c>
      <c r="AM3461">
        <v>-8.5</v>
      </c>
      <c r="AN3461">
        <v>24.63</v>
      </c>
      <c r="AO3461">
        <v>55.39</v>
      </c>
      <c r="AP3461">
        <v>11.55</v>
      </c>
    </row>
    <row r="3462" spans="1:42">
      <c r="A3462">
        <v>3461</v>
      </c>
      <c r="B3462" t="str">
        <f>"688248"</f>
        <v>688248</v>
      </c>
      <c r="C3462" t="s">
        <v>17278</v>
      </c>
      <c r="D3462">
        <v>26.27</v>
      </c>
      <c r="E3462">
        <v>-0.38</v>
      </c>
      <c r="F3462">
        <v>-0.1</v>
      </c>
      <c r="G3462" t="s">
        <v>1692</v>
      </c>
      <c r="H3462">
        <v>168</v>
      </c>
      <c r="I3462">
        <v>26.27</v>
      </c>
      <c r="J3462">
        <v>26.28</v>
      </c>
      <c r="K3462" t="s">
        <v>17279</v>
      </c>
      <c r="L3462">
        <v>2.01</v>
      </c>
      <c r="M3462" t="s">
        <v>46</v>
      </c>
      <c r="N3462" t="s">
        <v>6370</v>
      </c>
      <c r="O3462">
        <v>26.4</v>
      </c>
      <c r="P3462">
        <v>25.82</v>
      </c>
      <c r="Q3462">
        <v>26.31</v>
      </c>
      <c r="R3462">
        <v>26.37</v>
      </c>
      <c r="S3462">
        <v>2.2</v>
      </c>
      <c r="T3462">
        <v>0.97</v>
      </c>
      <c r="U3462">
        <v>3.05</v>
      </c>
      <c r="V3462">
        <v>9</v>
      </c>
      <c r="W3462">
        <v>26.11</v>
      </c>
      <c r="X3462">
        <v>9365</v>
      </c>
      <c r="Y3462">
        <v>7005</v>
      </c>
      <c r="Z3462">
        <v>1.34</v>
      </c>
      <c r="AA3462">
        <v>3</v>
      </c>
      <c r="AB3462">
        <v>35</v>
      </c>
      <c r="AC3462">
        <v>5.54</v>
      </c>
      <c r="AD3462" t="s">
        <v>17280</v>
      </c>
      <c r="AE3462" t="s">
        <v>9709</v>
      </c>
      <c r="AF3462" t="s">
        <v>17281</v>
      </c>
      <c r="AG3462" t="s">
        <v>7926</v>
      </c>
      <c r="AH3462">
        <v>-2.05</v>
      </c>
      <c r="AI3462">
        <v>-4.54</v>
      </c>
      <c r="AJ3462">
        <v>5.48</v>
      </c>
      <c r="AK3462">
        <v>12.32</v>
      </c>
      <c r="AL3462">
        <v>-4</v>
      </c>
      <c r="AM3462">
        <v>-0.38</v>
      </c>
      <c r="AN3462">
        <v>-53.89</v>
      </c>
      <c r="AO3462">
        <v>-1.98</v>
      </c>
      <c r="AP3462">
        <v>-53.31</v>
      </c>
    </row>
    <row r="3463" spans="1:42">
      <c r="A3463">
        <v>3462</v>
      </c>
      <c r="B3463" t="str">
        <f>"600517"</f>
        <v>600517</v>
      </c>
      <c r="C3463" t="s">
        <v>17282</v>
      </c>
      <c r="D3463">
        <v>4.85</v>
      </c>
      <c r="E3463">
        <v>0.21</v>
      </c>
      <c r="F3463">
        <v>0.01</v>
      </c>
      <c r="G3463" t="s">
        <v>6031</v>
      </c>
      <c r="H3463">
        <v>691</v>
      </c>
      <c r="I3463">
        <v>4.85</v>
      </c>
      <c r="J3463">
        <v>4.86</v>
      </c>
      <c r="K3463" t="s">
        <v>17279</v>
      </c>
      <c r="L3463">
        <v>0.15</v>
      </c>
      <c r="M3463" t="s">
        <v>46</v>
      </c>
      <c r="N3463" t="s">
        <v>17283</v>
      </c>
      <c r="O3463">
        <v>4.86</v>
      </c>
      <c r="P3463">
        <v>4.82</v>
      </c>
      <c r="Q3463">
        <v>4.84</v>
      </c>
      <c r="R3463">
        <v>4.84</v>
      </c>
      <c r="S3463">
        <v>0.83</v>
      </c>
      <c r="T3463">
        <v>1.04</v>
      </c>
      <c r="U3463">
        <v>-39.64</v>
      </c>
      <c r="V3463" t="s">
        <v>2232</v>
      </c>
      <c r="W3463">
        <v>4.84</v>
      </c>
      <c r="X3463" t="s">
        <v>1165</v>
      </c>
      <c r="Y3463" t="s">
        <v>1578</v>
      </c>
      <c r="Z3463">
        <v>1.01</v>
      </c>
      <c r="AA3463">
        <v>123</v>
      </c>
      <c r="AB3463">
        <v>5201</v>
      </c>
      <c r="AC3463">
        <v>1.4</v>
      </c>
      <c r="AD3463" t="s">
        <v>17284</v>
      </c>
      <c r="AE3463" t="s">
        <v>17285</v>
      </c>
      <c r="AF3463" t="s">
        <v>17284</v>
      </c>
      <c r="AG3463" t="s">
        <v>17285</v>
      </c>
      <c r="AH3463">
        <v>-0.61</v>
      </c>
      <c r="AI3463">
        <v>-0.61</v>
      </c>
      <c r="AJ3463">
        <v>0.45</v>
      </c>
      <c r="AK3463">
        <v>0.9</v>
      </c>
      <c r="AL3463">
        <v>1</v>
      </c>
      <c r="AM3463">
        <v>0.21</v>
      </c>
      <c r="AN3463">
        <v>1.46</v>
      </c>
      <c r="AO3463">
        <v>-0.41</v>
      </c>
      <c r="AP3463">
        <v>-3.77</v>
      </c>
    </row>
    <row r="3464" spans="1:42">
      <c r="A3464">
        <v>3463</v>
      </c>
      <c r="B3464" t="str">
        <f>"000685"</f>
        <v>000685</v>
      </c>
      <c r="C3464" t="s">
        <v>17286</v>
      </c>
      <c r="D3464">
        <v>7.29</v>
      </c>
      <c r="E3464">
        <v>-0.27</v>
      </c>
      <c r="F3464">
        <v>-0.02</v>
      </c>
      <c r="G3464" t="s">
        <v>5611</v>
      </c>
      <c r="H3464">
        <v>238</v>
      </c>
      <c r="I3464">
        <v>7.29</v>
      </c>
      <c r="J3464">
        <v>7.3</v>
      </c>
      <c r="K3464" t="s">
        <v>17287</v>
      </c>
      <c r="L3464">
        <v>0.47</v>
      </c>
      <c r="M3464" t="s">
        <v>46</v>
      </c>
      <c r="N3464" t="s">
        <v>2693</v>
      </c>
      <c r="O3464">
        <v>7.33</v>
      </c>
      <c r="P3464">
        <v>7.27</v>
      </c>
      <c r="Q3464">
        <v>7.31</v>
      </c>
      <c r="R3464">
        <v>7.31</v>
      </c>
      <c r="S3464">
        <v>0.82</v>
      </c>
      <c r="T3464">
        <v>1.03</v>
      </c>
      <c r="U3464">
        <v>0.14</v>
      </c>
      <c r="V3464">
        <v>9</v>
      </c>
      <c r="W3464">
        <v>7.3</v>
      </c>
      <c r="X3464" t="s">
        <v>7177</v>
      </c>
      <c r="Y3464" t="s">
        <v>2818</v>
      </c>
      <c r="Z3464">
        <v>1.48</v>
      </c>
      <c r="AA3464">
        <v>438</v>
      </c>
      <c r="AB3464">
        <v>434</v>
      </c>
      <c r="AC3464">
        <v>0.66</v>
      </c>
      <c r="AD3464" t="s">
        <v>833</v>
      </c>
      <c r="AE3464" t="s">
        <v>4142</v>
      </c>
      <c r="AF3464" t="s">
        <v>8066</v>
      </c>
      <c r="AG3464" t="s">
        <v>17288</v>
      </c>
      <c r="AH3464">
        <v>-1.09</v>
      </c>
      <c r="AI3464">
        <v>-1.09</v>
      </c>
      <c r="AJ3464">
        <v>1.27</v>
      </c>
      <c r="AK3464">
        <v>2.74</v>
      </c>
      <c r="AL3464">
        <v>-1</v>
      </c>
      <c r="AM3464">
        <v>-0.27</v>
      </c>
      <c r="AN3464">
        <v>7.05</v>
      </c>
      <c r="AO3464">
        <v>-0.27</v>
      </c>
      <c r="AP3464">
        <v>7.05</v>
      </c>
    </row>
    <row r="3465" spans="1:42">
      <c r="A3465">
        <v>3464</v>
      </c>
      <c r="B3465" t="str">
        <f>"688403"</f>
        <v>688403</v>
      </c>
      <c r="C3465" t="s">
        <v>17289</v>
      </c>
      <c r="D3465">
        <v>10.81</v>
      </c>
      <c r="E3465">
        <v>0.19</v>
      </c>
      <c r="F3465">
        <v>0.02</v>
      </c>
      <c r="G3465" t="s">
        <v>534</v>
      </c>
      <c r="H3465">
        <v>187</v>
      </c>
      <c r="I3465">
        <v>10.8</v>
      </c>
      <c r="J3465">
        <v>10.81</v>
      </c>
      <c r="K3465" t="s">
        <v>17290</v>
      </c>
      <c r="L3465">
        <v>0.93</v>
      </c>
      <c r="M3465" t="s">
        <v>46</v>
      </c>
      <c r="N3465" t="s">
        <v>1354</v>
      </c>
      <c r="O3465">
        <v>10.86</v>
      </c>
      <c r="P3465">
        <v>10.6</v>
      </c>
      <c r="Q3465">
        <v>10.74</v>
      </c>
      <c r="R3465">
        <v>10.79</v>
      </c>
      <c r="S3465">
        <v>2.41</v>
      </c>
      <c r="T3465">
        <v>0.58</v>
      </c>
      <c r="U3465">
        <v>36.37</v>
      </c>
      <c r="V3465">
        <v>819</v>
      </c>
      <c r="W3465">
        <v>10.74</v>
      </c>
      <c r="X3465" t="s">
        <v>2329</v>
      </c>
      <c r="Y3465" t="s">
        <v>8073</v>
      </c>
      <c r="Z3465">
        <v>0.93</v>
      </c>
      <c r="AA3465">
        <v>280</v>
      </c>
      <c r="AB3465">
        <v>149</v>
      </c>
      <c r="AC3465">
        <v>2.94</v>
      </c>
      <c r="AD3465" t="s">
        <v>17291</v>
      </c>
      <c r="AE3465" t="s">
        <v>9067</v>
      </c>
      <c r="AF3465" t="s">
        <v>3044</v>
      </c>
      <c r="AG3465" t="s">
        <v>12487</v>
      </c>
      <c r="AH3465">
        <v>-1.73</v>
      </c>
      <c r="AI3465">
        <v>-1.1</v>
      </c>
      <c r="AJ3465">
        <v>3.19</v>
      </c>
      <c r="AK3465">
        <v>8.98</v>
      </c>
      <c r="AL3465">
        <v>1</v>
      </c>
      <c r="AM3465">
        <v>0.19</v>
      </c>
      <c r="AN3465">
        <v>3.05</v>
      </c>
      <c r="AO3465">
        <v>-1.91</v>
      </c>
      <c r="AP3465">
        <v>-5.26</v>
      </c>
    </row>
    <row r="3466" spans="1:42">
      <c r="A3466">
        <v>3465</v>
      </c>
      <c r="B3466" t="str">
        <f>"600032"</f>
        <v>600032</v>
      </c>
      <c r="C3466" t="s">
        <v>17292</v>
      </c>
      <c r="D3466">
        <v>8.15</v>
      </c>
      <c r="E3466">
        <v>-0.37</v>
      </c>
      <c r="F3466">
        <v>-0.03</v>
      </c>
      <c r="G3466" t="s">
        <v>6673</v>
      </c>
      <c r="H3466">
        <v>446</v>
      </c>
      <c r="I3466">
        <v>8.14</v>
      </c>
      <c r="J3466">
        <v>8.15</v>
      </c>
      <c r="K3466" t="s">
        <v>17290</v>
      </c>
      <c r="L3466">
        <v>0.99</v>
      </c>
      <c r="M3466" t="s">
        <v>46</v>
      </c>
      <c r="N3466" t="s">
        <v>11498</v>
      </c>
      <c r="O3466">
        <v>8.19</v>
      </c>
      <c r="P3466">
        <v>8.08</v>
      </c>
      <c r="Q3466">
        <v>8.19</v>
      </c>
      <c r="R3466">
        <v>8.18</v>
      </c>
      <c r="S3466">
        <v>1.34</v>
      </c>
      <c r="T3466">
        <v>0.84</v>
      </c>
      <c r="U3466">
        <v>12.45</v>
      </c>
      <c r="V3466">
        <v>641</v>
      </c>
      <c r="W3466">
        <v>8.12</v>
      </c>
      <c r="X3466" t="s">
        <v>3032</v>
      </c>
      <c r="Y3466" t="s">
        <v>2389</v>
      </c>
      <c r="Z3466">
        <v>1.13</v>
      </c>
      <c r="AA3466">
        <v>568</v>
      </c>
      <c r="AB3466">
        <v>713</v>
      </c>
      <c r="AC3466">
        <v>1.63</v>
      </c>
      <c r="AD3466" t="s">
        <v>8240</v>
      </c>
      <c r="AE3466" t="s">
        <v>11127</v>
      </c>
      <c r="AF3466" t="s">
        <v>3705</v>
      </c>
      <c r="AG3466" t="s">
        <v>12980</v>
      </c>
      <c r="AH3466">
        <v>-2.28</v>
      </c>
      <c r="AI3466">
        <v>-2.63</v>
      </c>
      <c r="AJ3466">
        <v>2.91</v>
      </c>
      <c r="AK3466">
        <v>6.87</v>
      </c>
      <c r="AL3466">
        <v>-3</v>
      </c>
      <c r="AM3466">
        <v>-0.37</v>
      </c>
      <c r="AN3466">
        <v>-28.63</v>
      </c>
      <c r="AO3466">
        <v>-2.16</v>
      </c>
      <c r="AP3466">
        <v>-32.03</v>
      </c>
    </row>
    <row r="3467" spans="1:42">
      <c r="A3467">
        <v>3466</v>
      </c>
      <c r="B3467" t="str">
        <f>"603808"</f>
        <v>603808</v>
      </c>
      <c r="C3467" t="s">
        <v>17293</v>
      </c>
      <c r="D3467">
        <v>10.03</v>
      </c>
      <c r="E3467">
        <v>1.01</v>
      </c>
      <c r="F3467">
        <v>0.1</v>
      </c>
      <c r="G3467" t="s">
        <v>1321</v>
      </c>
      <c r="H3467">
        <v>529</v>
      </c>
      <c r="I3467">
        <v>10.03</v>
      </c>
      <c r="J3467">
        <v>10.04</v>
      </c>
      <c r="K3467" t="s">
        <v>17294</v>
      </c>
      <c r="L3467">
        <v>1.16</v>
      </c>
      <c r="M3467" t="s">
        <v>46</v>
      </c>
      <c r="N3467" t="s">
        <v>2474</v>
      </c>
      <c r="O3467">
        <v>10.12</v>
      </c>
      <c r="P3467">
        <v>9.86</v>
      </c>
      <c r="Q3467">
        <v>9.93</v>
      </c>
      <c r="R3467">
        <v>9.93</v>
      </c>
      <c r="S3467">
        <v>2.62</v>
      </c>
      <c r="T3467">
        <v>0.74</v>
      </c>
      <c r="U3467">
        <v>-24.88</v>
      </c>
      <c r="V3467">
        <v>-598</v>
      </c>
      <c r="W3467">
        <v>10.02</v>
      </c>
      <c r="X3467" t="s">
        <v>2878</v>
      </c>
      <c r="Y3467" t="s">
        <v>9766</v>
      </c>
      <c r="Z3467">
        <v>0.74</v>
      </c>
      <c r="AA3467">
        <v>43</v>
      </c>
      <c r="AB3467">
        <v>127</v>
      </c>
      <c r="AC3467">
        <v>1.26</v>
      </c>
      <c r="AD3467" t="s">
        <v>17295</v>
      </c>
      <c r="AE3467" t="s">
        <v>17296</v>
      </c>
      <c r="AF3467" t="s">
        <v>17295</v>
      </c>
      <c r="AG3467" t="s">
        <v>17296</v>
      </c>
      <c r="AH3467">
        <v>-0.4</v>
      </c>
      <c r="AI3467">
        <v>0.1</v>
      </c>
      <c r="AJ3467">
        <v>5.72</v>
      </c>
      <c r="AK3467">
        <v>8.94</v>
      </c>
      <c r="AL3467">
        <v>1</v>
      </c>
      <c r="AM3467">
        <v>1.01</v>
      </c>
      <c r="AN3467">
        <v>10.46</v>
      </c>
      <c r="AO3467">
        <v>-3.46</v>
      </c>
      <c r="AP3467">
        <v>12.44</v>
      </c>
    </row>
    <row r="3468" spans="1:42">
      <c r="A3468">
        <v>3467</v>
      </c>
      <c r="B3468" t="str">
        <f>"000600"</f>
        <v>000600</v>
      </c>
      <c r="C3468" t="s">
        <v>17297</v>
      </c>
      <c r="D3468">
        <v>5.28</v>
      </c>
      <c r="E3468">
        <v>0.38</v>
      </c>
      <c r="F3468">
        <v>0.02</v>
      </c>
      <c r="G3468" t="s">
        <v>17298</v>
      </c>
      <c r="H3468">
        <v>254</v>
      </c>
      <c r="I3468">
        <v>5.28</v>
      </c>
      <c r="J3468">
        <v>5.29</v>
      </c>
      <c r="K3468" t="s">
        <v>17299</v>
      </c>
      <c r="L3468">
        <v>0.74</v>
      </c>
      <c r="M3468" t="s">
        <v>46</v>
      </c>
      <c r="N3468" t="s">
        <v>17300</v>
      </c>
      <c r="O3468">
        <v>5.31</v>
      </c>
      <c r="P3468">
        <v>5.22</v>
      </c>
      <c r="Q3468">
        <v>5.29</v>
      </c>
      <c r="R3468">
        <v>5.26</v>
      </c>
      <c r="S3468">
        <v>1.71</v>
      </c>
      <c r="T3468">
        <v>0.64</v>
      </c>
      <c r="U3468">
        <v>-30.38</v>
      </c>
      <c r="V3468">
        <v>-5656</v>
      </c>
      <c r="W3468">
        <v>5.27</v>
      </c>
      <c r="X3468" t="s">
        <v>3291</v>
      </c>
      <c r="Y3468" t="s">
        <v>5205</v>
      </c>
      <c r="Z3468">
        <v>0.92</v>
      </c>
      <c r="AA3468">
        <v>713</v>
      </c>
      <c r="AB3468">
        <v>718</v>
      </c>
      <c r="AC3468">
        <v>0.95</v>
      </c>
      <c r="AD3468" t="s">
        <v>17301</v>
      </c>
      <c r="AE3468" t="s">
        <v>17302</v>
      </c>
      <c r="AF3468" t="s">
        <v>11965</v>
      </c>
      <c r="AG3468" t="s">
        <v>17303</v>
      </c>
      <c r="AH3468">
        <v>-1.49</v>
      </c>
      <c r="AI3468">
        <v>-2.22</v>
      </c>
      <c r="AJ3468">
        <v>3.11</v>
      </c>
      <c r="AK3468">
        <v>6.59</v>
      </c>
      <c r="AL3468">
        <v>1</v>
      </c>
      <c r="AM3468">
        <v>0.38</v>
      </c>
      <c r="AN3468">
        <v>1.15</v>
      </c>
      <c r="AO3468">
        <v>-0.94</v>
      </c>
      <c r="AP3468">
        <v>2.52</v>
      </c>
    </row>
    <row r="3469" spans="1:42">
      <c r="A3469">
        <v>3468</v>
      </c>
      <c r="B3469" t="str">
        <f>"603275"</f>
        <v>603275</v>
      </c>
      <c r="C3469" t="s">
        <v>17304</v>
      </c>
      <c r="D3469">
        <v>43.12</v>
      </c>
      <c r="E3469">
        <v>-0.96</v>
      </c>
      <c r="F3469">
        <v>-0.42</v>
      </c>
      <c r="G3469">
        <v>9890</v>
      </c>
      <c r="H3469">
        <v>128</v>
      </c>
      <c r="I3469">
        <v>43.11</v>
      </c>
      <c r="J3469">
        <v>43.12</v>
      </c>
      <c r="K3469" t="s">
        <v>17305</v>
      </c>
      <c r="L3469">
        <v>2.71</v>
      </c>
      <c r="M3469" t="s">
        <v>46</v>
      </c>
      <c r="N3469" t="s">
        <v>6916</v>
      </c>
      <c r="O3469">
        <v>43.6</v>
      </c>
      <c r="P3469">
        <v>42.88</v>
      </c>
      <c r="Q3469">
        <v>43.53</v>
      </c>
      <c r="R3469">
        <v>43.54</v>
      </c>
      <c r="S3469">
        <v>1.65</v>
      </c>
      <c r="T3469">
        <v>0.71</v>
      </c>
      <c r="U3469">
        <v>4.24</v>
      </c>
      <c r="V3469">
        <v>7</v>
      </c>
      <c r="W3469">
        <v>43.16</v>
      </c>
      <c r="X3469">
        <v>5645</v>
      </c>
      <c r="Y3469">
        <v>4245</v>
      </c>
      <c r="Z3469">
        <v>1.33</v>
      </c>
      <c r="AA3469">
        <v>11</v>
      </c>
      <c r="AB3469">
        <v>6</v>
      </c>
      <c r="AC3469">
        <v>2.46</v>
      </c>
      <c r="AD3469" t="s">
        <v>17306</v>
      </c>
      <c r="AE3469" t="s">
        <v>16620</v>
      </c>
      <c r="AF3469" t="s">
        <v>17307</v>
      </c>
      <c r="AG3469" t="s">
        <v>10492</v>
      </c>
      <c r="AH3469">
        <v>-4.09</v>
      </c>
      <c r="AI3469">
        <v>-7.43</v>
      </c>
      <c r="AJ3469">
        <v>9.47</v>
      </c>
      <c r="AK3469">
        <v>21.75</v>
      </c>
      <c r="AL3469">
        <v>-9</v>
      </c>
      <c r="AM3469">
        <v>-0.96</v>
      </c>
      <c r="AN3469">
        <v>-13.71</v>
      </c>
      <c r="AO3469">
        <v>-0.12</v>
      </c>
      <c r="AP3469">
        <v>-13.71</v>
      </c>
    </row>
    <row r="3470" spans="1:42">
      <c r="A3470">
        <v>3469</v>
      </c>
      <c r="B3470" t="str">
        <f>"000677"</f>
        <v>000677</v>
      </c>
      <c r="C3470" t="s">
        <v>17308</v>
      </c>
      <c r="D3470">
        <v>3.21</v>
      </c>
      <c r="E3470">
        <v>0.94</v>
      </c>
      <c r="F3470">
        <v>0.03</v>
      </c>
      <c r="G3470" t="s">
        <v>1759</v>
      </c>
      <c r="H3470">
        <v>2735</v>
      </c>
      <c r="I3470">
        <v>3.2</v>
      </c>
      <c r="J3470">
        <v>3.21</v>
      </c>
      <c r="K3470" t="s">
        <v>17309</v>
      </c>
      <c r="L3470">
        <v>1.54</v>
      </c>
      <c r="M3470" t="s">
        <v>46</v>
      </c>
      <c r="N3470" t="s">
        <v>1787</v>
      </c>
      <c r="O3470">
        <v>3.23</v>
      </c>
      <c r="P3470">
        <v>3.16</v>
      </c>
      <c r="Q3470">
        <v>3.18</v>
      </c>
      <c r="R3470">
        <v>3.18</v>
      </c>
      <c r="S3470">
        <v>2.2</v>
      </c>
      <c r="T3470">
        <v>0.75</v>
      </c>
      <c r="U3470">
        <v>-35.63</v>
      </c>
      <c r="V3470" t="s">
        <v>2232</v>
      </c>
      <c r="W3470">
        <v>3.21</v>
      </c>
      <c r="X3470" t="s">
        <v>4900</v>
      </c>
      <c r="Y3470" t="s">
        <v>7380</v>
      </c>
      <c r="Z3470">
        <v>0.79</v>
      </c>
      <c r="AA3470">
        <v>3486</v>
      </c>
      <c r="AB3470">
        <v>5552</v>
      </c>
      <c r="AC3470">
        <v>6.1</v>
      </c>
      <c r="AD3470" t="s">
        <v>11830</v>
      </c>
      <c r="AE3470" t="s">
        <v>15723</v>
      </c>
      <c r="AF3470" t="s">
        <v>11830</v>
      </c>
      <c r="AG3470" t="s">
        <v>15723</v>
      </c>
      <c r="AH3470">
        <v>-0.31</v>
      </c>
      <c r="AI3470">
        <v>-1.23</v>
      </c>
      <c r="AJ3470">
        <v>4.92</v>
      </c>
      <c r="AK3470">
        <v>11.81</v>
      </c>
      <c r="AL3470">
        <v>1</v>
      </c>
      <c r="AM3470">
        <v>0.94</v>
      </c>
      <c r="AN3470">
        <v>7.72</v>
      </c>
      <c r="AO3470">
        <v>-1.23</v>
      </c>
      <c r="AP3470">
        <v>-0.62</v>
      </c>
    </row>
    <row r="3471" spans="1:42">
      <c r="A3471">
        <v>3470</v>
      </c>
      <c r="B3471" t="str">
        <f>"300057"</f>
        <v>300057</v>
      </c>
      <c r="C3471" t="s">
        <v>17310</v>
      </c>
      <c r="D3471">
        <v>6.38</v>
      </c>
      <c r="E3471">
        <v>-0.16</v>
      </c>
      <c r="F3471">
        <v>-0.01</v>
      </c>
      <c r="G3471" t="s">
        <v>9741</v>
      </c>
      <c r="H3471">
        <v>894</v>
      </c>
      <c r="I3471">
        <v>6.38</v>
      </c>
      <c r="J3471">
        <v>6.39</v>
      </c>
      <c r="K3471" t="s">
        <v>17311</v>
      </c>
      <c r="L3471">
        <v>0.9</v>
      </c>
      <c r="M3471" t="s">
        <v>46</v>
      </c>
      <c r="N3471" t="s">
        <v>455</v>
      </c>
      <c r="O3471">
        <v>6.45</v>
      </c>
      <c r="P3471">
        <v>6.31</v>
      </c>
      <c r="Q3471">
        <v>6.39</v>
      </c>
      <c r="R3471">
        <v>6.39</v>
      </c>
      <c r="S3471">
        <v>2.19</v>
      </c>
      <c r="T3471">
        <v>0.73</v>
      </c>
      <c r="U3471">
        <v>19.09</v>
      </c>
      <c r="V3471">
        <v>1608</v>
      </c>
      <c r="W3471">
        <v>6.38</v>
      </c>
      <c r="X3471" t="s">
        <v>4839</v>
      </c>
      <c r="Y3471" t="s">
        <v>8329</v>
      </c>
      <c r="Z3471">
        <v>1.07</v>
      </c>
      <c r="AA3471">
        <v>1402</v>
      </c>
      <c r="AB3471">
        <v>232</v>
      </c>
      <c r="AC3471">
        <v>1.06</v>
      </c>
      <c r="AD3471" t="s">
        <v>17312</v>
      </c>
      <c r="AE3471" t="s">
        <v>2207</v>
      </c>
      <c r="AF3471" t="s">
        <v>17313</v>
      </c>
      <c r="AG3471" t="s">
        <v>17314</v>
      </c>
      <c r="AH3471">
        <v>-3.04</v>
      </c>
      <c r="AI3471">
        <v>-5.06</v>
      </c>
      <c r="AJ3471">
        <v>3.26</v>
      </c>
      <c r="AK3471">
        <v>7.09</v>
      </c>
      <c r="AL3471">
        <v>-2</v>
      </c>
      <c r="AM3471">
        <v>-0.16</v>
      </c>
      <c r="AN3471">
        <v>-27.58</v>
      </c>
      <c r="AO3471">
        <v>2.74</v>
      </c>
      <c r="AP3471">
        <v>-41.25</v>
      </c>
    </row>
    <row r="3472" spans="1:42">
      <c r="A3472">
        <v>3471</v>
      </c>
      <c r="B3472" t="str">
        <f>"603056"</f>
        <v>603056</v>
      </c>
      <c r="C3472" t="s">
        <v>17315</v>
      </c>
      <c r="D3472">
        <v>14.57</v>
      </c>
      <c r="E3472">
        <v>-0.88</v>
      </c>
      <c r="F3472">
        <v>-0.13</v>
      </c>
      <c r="G3472" t="s">
        <v>6395</v>
      </c>
      <c r="H3472">
        <v>286</v>
      </c>
      <c r="I3472">
        <v>14.57</v>
      </c>
      <c r="J3472">
        <v>14.58</v>
      </c>
      <c r="K3472" t="s">
        <v>17316</v>
      </c>
      <c r="L3472">
        <v>0.3</v>
      </c>
      <c r="M3472" t="s">
        <v>46</v>
      </c>
      <c r="N3472" t="s">
        <v>1630</v>
      </c>
      <c r="O3472">
        <v>14.83</v>
      </c>
      <c r="P3472">
        <v>14.47</v>
      </c>
      <c r="Q3472">
        <v>14.75</v>
      </c>
      <c r="R3472">
        <v>14.7</v>
      </c>
      <c r="S3472">
        <v>2.45</v>
      </c>
      <c r="T3472">
        <v>1.47</v>
      </c>
      <c r="U3472">
        <v>-19.93</v>
      </c>
      <c r="V3472">
        <v>-112</v>
      </c>
      <c r="W3472">
        <v>14.62</v>
      </c>
      <c r="X3472" t="s">
        <v>8212</v>
      </c>
      <c r="Y3472" t="s">
        <v>1384</v>
      </c>
      <c r="Z3472">
        <v>1.16</v>
      </c>
      <c r="AA3472">
        <v>18</v>
      </c>
      <c r="AB3472">
        <v>104</v>
      </c>
      <c r="AC3472">
        <v>2.03</v>
      </c>
      <c r="AD3472" t="s">
        <v>2911</v>
      </c>
      <c r="AE3472" t="s">
        <v>17317</v>
      </c>
      <c r="AF3472" t="s">
        <v>17219</v>
      </c>
      <c r="AG3472" t="s">
        <v>17318</v>
      </c>
      <c r="AH3472">
        <v>-1.49</v>
      </c>
      <c r="AI3472">
        <v>-2.02</v>
      </c>
      <c r="AJ3472">
        <v>0.69</v>
      </c>
      <c r="AK3472">
        <v>1.34</v>
      </c>
      <c r="AL3472">
        <v>-4</v>
      </c>
      <c r="AM3472">
        <v>-0.88</v>
      </c>
      <c r="AN3472">
        <v>-30.05</v>
      </c>
      <c r="AO3472">
        <v>-4.08</v>
      </c>
      <c r="AP3472">
        <v>-20.82</v>
      </c>
    </row>
    <row r="3473" spans="1:42">
      <c r="A3473">
        <v>3472</v>
      </c>
      <c r="B3473" t="str">
        <f>"600268"</f>
        <v>600268</v>
      </c>
      <c r="C3473" t="s">
        <v>17319</v>
      </c>
      <c r="D3473">
        <v>6.92</v>
      </c>
      <c r="E3473">
        <v>-0.57</v>
      </c>
      <c r="F3473">
        <v>-0.04</v>
      </c>
      <c r="G3473" t="s">
        <v>8310</v>
      </c>
      <c r="H3473">
        <v>576</v>
      </c>
      <c r="I3473">
        <v>6.92</v>
      </c>
      <c r="J3473">
        <v>6.93</v>
      </c>
      <c r="K3473" t="s">
        <v>17316</v>
      </c>
      <c r="L3473">
        <v>0.74</v>
      </c>
      <c r="M3473" t="s">
        <v>46</v>
      </c>
      <c r="N3473" t="s">
        <v>4813</v>
      </c>
      <c r="O3473">
        <v>6.96</v>
      </c>
      <c r="P3473">
        <v>6.86</v>
      </c>
      <c r="Q3473">
        <v>6.95</v>
      </c>
      <c r="R3473">
        <v>6.96</v>
      </c>
      <c r="S3473">
        <v>1.44</v>
      </c>
      <c r="T3473">
        <v>0.92</v>
      </c>
      <c r="U3473">
        <v>-11.08</v>
      </c>
      <c r="V3473">
        <v>-566</v>
      </c>
      <c r="W3473">
        <v>6.9</v>
      </c>
      <c r="X3473" t="s">
        <v>6025</v>
      </c>
      <c r="Y3473" t="s">
        <v>10910</v>
      </c>
      <c r="Z3473">
        <v>1.3</v>
      </c>
      <c r="AA3473">
        <v>796</v>
      </c>
      <c r="AB3473">
        <v>48</v>
      </c>
      <c r="AC3473">
        <v>1.93</v>
      </c>
      <c r="AD3473" t="s">
        <v>17320</v>
      </c>
      <c r="AE3473" t="s">
        <v>17321</v>
      </c>
      <c r="AF3473" t="s">
        <v>17322</v>
      </c>
      <c r="AG3473" t="s">
        <v>8117</v>
      </c>
      <c r="AH3473">
        <v>-0.72</v>
      </c>
      <c r="AI3473">
        <v>-0.29</v>
      </c>
      <c r="AJ3473">
        <v>2.29</v>
      </c>
      <c r="AK3473">
        <v>4.74</v>
      </c>
      <c r="AL3473">
        <v>-2</v>
      </c>
      <c r="AM3473">
        <v>-0.57</v>
      </c>
      <c r="AN3473">
        <v>9.49</v>
      </c>
      <c r="AO3473">
        <v>1.62</v>
      </c>
      <c r="AP3473">
        <v>-4.29</v>
      </c>
    </row>
    <row r="3474" spans="1:42">
      <c r="A3474">
        <v>3473</v>
      </c>
      <c r="B3474" t="str">
        <f>"300615"</f>
        <v>300615</v>
      </c>
      <c r="C3474" t="s">
        <v>17323</v>
      </c>
      <c r="D3474">
        <v>16.43</v>
      </c>
      <c r="E3474">
        <v>-0.84</v>
      </c>
      <c r="F3474">
        <v>-0.14</v>
      </c>
      <c r="G3474" t="s">
        <v>4012</v>
      </c>
      <c r="H3474">
        <v>293</v>
      </c>
      <c r="I3474">
        <v>16.43</v>
      </c>
      <c r="J3474">
        <v>16.44</v>
      </c>
      <c r="K3474" t="s">
        <v>17324</v>
      </c>
      <c r="L3474">
        <v>2.02</v>
      </c>
      <c r="M3474" t="s">
        <v>46</v>
      </c>
      <c r="N3474" t="s">
        <v>2844</v>
      </c>
      <c r="O3474">
        <v>16.54</v>
      </c>
      <c r="P3474">
        <v>16.03</v>
      </c>
      <c r="Q3474">
        <v>16.53</v>
      </c>
      <c r="R3474">
        <v>16.57</v>
      </c>
      <c r="S3474">
        <v>3.08</v>
      </c>
      <c r="T3474">
        <v>0.99</v>
      </c>
      <c r="U3474">
        <v>-14.59</v>
      </c>
      <c r="V3474">
        <v>-69</v>
      </c>
      <c r="W3474">
        <v>16.32</v>
      </c>
      <c r="X3474" t="s">
        <v>209</v>
      </c>
      <c r="Y3474" t="s">
        <v>383</v>
      </c>
      <c r="Z3474">
        <v>0.96</v>
      </c>
      <c r="AA3474">
        <v>2</v>
      </c>
      <c r="AB3474">
        <v>117</v>
      </c>
      <c r="AC3474">
        <v>5.8</v>
      </c>
      <c r="AD3474" t="s">
        <v>17325</v>
      </c>
      <c r="AE3474" t="s">
        <v>9890</v>
      </c>
      <c r="AF3474" t="s">
        <v>17326</v>
      </c>
      <c r="AG3474" t="s">
        <v>17327</v>
      </c>
      <c r="AH3474">
        <v>-1.26</v>
      </c>
      <c r="AI3474">
        <v>-2.61</v>
      </c>
      <c r="AJ3474">
        <v>5.33</v>
      </c>
      <c r="AK3474">
        <v>12.2</v>
      </c>
      <c r="AL3474">
        <v>-2</v>
      </c>
      <c r="AM3474">
        <v>-0.84</v>
      </c>
      <c r="AN3474">
        <v>47.49</v>
      </c>
      <c r="AO3474">
        <v>2.56</v>
      </c>
      <c r="AP3474">
        <v>25.8</v>
      </c>
    </row>
    <row r="3475" spans="1:42">
      <c r="A3475">
        <v>3474</v>
      </c>
      <c r="B3475" t="str">
        <f>"300887"</f>
        <v>300887</v>
      </c>
      <c r="C3475" t="s">
        <v>17328</v>
      </c>
      <c r="D3475">
        <v>13.97</v>
      </c>
      <c r="E3475">
        <v>0.43</v>
      </c>
      <c r="F3475">
        <v>0.06</v>
      </c>
      <c r="G3475" t="s">
        <v>5302</v>
      </c>
      <c r="H3475">
        <v>199</v>
      </c>
      <c r="I3475">
        <v>13.97</v>
      </c>
      <c r="J3475">
        <v>13.98</v>
      </c>
      <c r="K3475" t="s">
        <v>17329</v>
      </c>
      <c r="L3475">
        <v>0.84</v>
      </c>
      <c r="M3475" t="s">
        <v>46</v>
      </c>
      <c r="N3475" t="s">
        <v>8612</v>
      </c>
      <c r="O3475">
        <v>14.05</v>
      </c>
      <c r="P3475">
        <v>13.75</v>
      </c>
      <c r="Q3475">
        <v>13.88</v>
      </c>
      <c r="R3475">
        <v>13.91</v>
      </c>
      <c r="S3475">
        <v>2.16</v>
      </c>
      <c r="T3475">
        <v>0.82</v>
      </c>
      <c r="U3475">
        <v>31.87</v>
      </c>
      <c r="V3475">
        <v>412</v>
      </c>
      <c r="W3475">
        <v>13.92</v>
      </c>
      <c r="X3475" t="s">
        <v>5900</v>
      </c>
      <c r="Y3475" t="s">
        <v>1118</v>
      </c>
      <c r="Z3475">
        <v>0.89</v>
      </c>
      <c r="AA3475">
        <v>128</v>
      </c>
      <c r="AB3475">
        <v>11</v>
      </c>
      <c r="AC3475">
        <v>2.2</v>
      </c>
      <c r="AD3475" t="s">
        <v>7650</v>
      </c>
      <c r="AE3475" t="s">
        <v>17330</v>
      </c>
      <c r="AF3475" t="s">
        <v>17331</v>
      </c>
      <c r="AG3475" t="s">
        <v>17332</v>
      </c>
      <c r="AH3475">
        <v>-1.13</v>
      </c>
      <c r="AI3475">
        <v>-1.83</v>
      </c>
      <c r="AJ3475">
        <v>2.82</v>
      </c>
      <c r="AK3475">
        <v>5.97</v>
      </c>
      <c r="AL3475">
        <v>1</v>
      </c>
      <c r="AM3475">
        <v>0.43</v>
      </c>
      <c r="AN3475">
        <v>-16.8</v>
      </c>
      <c r="AO3475">
        <v>3.48</v>
      </c>
      <c r="AP3475">
        <v>-25.13</v>
      </c>
    </row>
    <row r="3476" spans="1:42">
      <c r="A3476">
        <v>3475</v>
      </c>
      <c r="B3476" t="str">
        <f>"600694"</f>
        <v>600694</v>
      </c>
      <c r="C3476" t="s">
        <v>17333</v>
      </c>
      <c r="D3476">
        <v>17.46</v>
      </c>
      <c r="E3476">
        <v>0.46</v>
      </c>
      <c r="F3476">
        <v>0.08</v>
      </c>
      <c r="G3476" t="s">
        <v>4269</v>
      </c>
      <c r="H3476">
        <v>131</v>
      </c>
      <c r="I3476">
        <v>17.46</v>
      </c>
      <c r="J3476">
        <v>17.47</v>
      </c>
      <c r="K3476" t="s">
        <v>17329</v>
      </c>
      <c r="L3476">
        <v>0.83</v>
      </c>
      <c r="M3476" t="s">
        <v>46</v>
      </c>
      <c r="N3476" t="s">
        <v>3174</v>
      </c>
      <c r="O3476">
        <v>17.62</v>
      </c>
      <c r="P3476">
        <v>17.3</v>
      </c>
      <c r="Q3476">
        <v>17.38</v>
      </c>
      <c r="R3476">
        <v>17.38</v>
      </c>
      <c r="S3476">
        <v>1.84</v>
      </c>
      <c r="T3476">
        <v>1.23</v>
      </c>
      <c r="U3476">
        <v>-5.8</v>
      </c>
      <c r="V3476">
        <v>-51</v>
      </c>
      <c r="W3476">
        <v>17.5</v>
      </c>
      <c r="X3476" t="s">
        <v>682</v>
      </c>
      <c r="Y3476" t="s">
        <v>189</v>
      </c>
      <c r="Z3476">
        <v>1.08</v>
      </c>
      <c r="AA3476">
        <v>53</v>
      </c>
      <c r="AB3476">
        <v>117</v>
      </c>
      <c r="AC3476">
        <v>0.61</v>
      </c>
      <c r="AD3476" t="s">
        <v>17334</v>
      </c>
      <c r="AE3476" t="s">
        <v>17335</v>
      </c>
      <c r="AF3476" t="s">
        <v>17334</v>
      </c>
      <c r="AG3476" t="s">
        <v>17335</v>
      </c>
      <c r="AH3476">
        <v>0.17</v>
      </c>
      <c r="AI3476">
        <v>0</v>
      </c>
      <c r="AJ3476">
        <v>2.1</v>
      </c>
      <c r="AK3476">
        <v>4.2</v>
      </c>
      <c r="AL3476">
        <v>2</v>
      </c>
      <c r="AM3476">
        <v>0.46</v>
      </c>
      <c r="AN3476">
        <v>-0.8</v>
      </c>
      <c r="AO3476">
        <v>3.31</v>
      </c>
      <c r="AP3476">
        <v>5.31</v>
      </c>
    </row>
    <row r="3477" spans="1:42">
      <c r="A3477">
        <v>3476</v>
      </c>
      <c r="B3477" t="str">
        <f>"002266"</f>
        <v>002266</v>
      </c>
      <c r="C3477" t="s">
        <v>17336</v>
      </c>
      <c r="D3477">
        <v>3.66</v>
      </c>
      <c r="E3477">
        <v>0</v>
      </c>
      <c r="F3477">
        <v>0</v>
      </c>
      <c r="G3477" t="s">
        <v>2960</v>
      </c>
      <c r="H3477">
        <v>5005</v>
      </c>
      <c r="I3477">
        <v>3.65</v>
      </c>
      <c r="J3477">
        <v>3.66</v>
      </c>
      <c r="K3477" t="s">
        <v>17337</v>
      </c>
      <c r="L3477">
        <v>0.24</v>
      </c>
      <c r="M3477" t="s">
        <v>46</v>
      </c>
      <c r="N3477" t="s">
        <v>3209</v>
      </c>
      <c r="O3477">
        <v>3.67</v>
      </c>
      <c r="P3477">
        <v>3.63</v>
      </c>
      <c r="Q3477">
        <v>3.65</v>
      </c>
      <c r="R3477">
        <v>3.66</v>
      </c>
      <c r="S3477">
        <v>1.09</v>
      </c>
      <c r="T3477">
        <v>0.89</v>
      </c>
      <c r="U3477">
        <v>-13.18</v>
      </c>
      <c r="V3477">
        <v>-6705</v>
      </c>
      <c r="W3477">
        <v>3.65</v>
      </c>
      <c r="X3477" t="s">
        <v>7494</v>
      </c>
      <c r="Y3477" t="s">
        <v>9550</v>
      </c>
      <c r="Z3477">
        <v>1.09</v>
      </c>
      <c r="AA3477">
        <v>3083</v>
      </c>
      <c r="AB3477">
        <v>319</v>
      </c>
      <c r="AC3477">
        <v>1.74</v>
      </c>
      <c r="AD3477" t="s">
        <v>3105</v>
      </c>
      <c r="AE3477" t="s">
        <v>5562</v>
      </c>
      <c r="AF3477" t="s">
        <v>17338</v>
      </c>
      <c r="AG3477" t="s">
        <v>17339</v>
      </c>
      <c r="AH3477">
        <v>-0.81</v>
      </c>
      <c r="AI3477">
        <v>-1.08</v>
      </c>
      <c r="AJ3477">
        <v>0.84</v>
      </c>
      <c r="AK3477">
        <v>1.57</v>
      </c>
      <c r="AL3477">
        <v>0</v>
      </c>
      <c r="AM3477">
        <v>0</v>
      </c>
      <c r="AN3477">
        <v>-4.94</v>
      </c>
      <c r="AO3477">
        <v>-1.08</v>
      </c>
      <c r="AP3477">
        <v>-9.41</v>
      </c>
    </row>
    <row r="3478" spans="1:42">
      <c r="A3478">
        <v>3477</v>
      </c>
      <c r="B3478" t="str">
        <f>"002397"</f>
        <v>002397</v>
      </c>
      <c r="C3478" t="s">
        <v>17340</v>
      </c>
      <c r="D3478">
        <v>3.81</v>
      </c>
      <c r="E3478">
        <v>1.33</v>
      </c>
      <c r="F3478">
        <v>0.05</v>
      </c>
      <c r="G3478" t="s">
        <v>829</v>
      </c>
      <c r="H3478">
        <v>444</v>
      </c>
      <c r="I3478">
        <v>3.81</v>
      </c>
      <c r="J3478">
        <v>3.82</v>
      </c>
      <c r="K3478" t="s">
        <v>17341</v>
      </c>
      <c r="L3478">
        <v>1.94</v>
      </c>
      <c r="M3478" t="s">
        <v>46</v>
      </c>
      <c r="N3478" t="s">
        <v>1592</v>
      </c>
      <c r="O3478">
        <v>3.84</v>
      </c>
      <c r="P3478">
        <v>3.73</v>
      </c>
      <c r="Q3478">
        <v>3.75</v>
      </c>
      <c r="R3478">
        <v>3.76</v>
      </c>
      <c r="S3478">
        <v>2.93</v>
      </c>
      <c r="T3478">
        <v>1.25</v>
      </c>
      <c r="U3478">
        <v>-64.03</v>
      </c>
      <c r="V3478">
        <v>-9747</v>
      </c>
      <c r="W3478">
        <v>3.81</v>
      </c>
      <c r="X3478" t="s">
        <v>4888</v>
      </c>
      <c r="Y3478" t="s">
        <v>8972</v>
      </c>
      <c r="Z3478">
        <v>0.79</v>
      </c>
      <c r="AA3478">
        <v>196</v>
      </c>
      <c r="AB3478">
        <v>880</v>
      </c>
      <c r="AC3478">
        <v>2.44</v>
      </c>
      <c r="AD3478" t="s">
        <v>17342</v>
      </c>
      <c r="AE3478" t="s">
        <v>853</v>
      </c>
      <c r="AF3478" t="s">
        <v>17256</v>
      </c>
      <c r="AG3478" t="s">
        <v>17343</v>
      </c>
      <c r="AH3478">
        <v>0.26</v>
      </c>
      <c r="AI3478">
        <v>-0.26</v>
      </c>
      <c r="AJ3478">
        <v>4.82</v>
      </c>
      <c r="AK3478">
        <v>9.68</v>
      </c>
      <c r="AL3478">
        <v>1</v>
      </c>
      <c r="AM3478">
        <v>1.33</v>
      </c>
      <c r="AN3478">
        <v>-15.71</v>
      </c>
      <c r="AO3478">
        <v>3.53</v>
      </c>
      <c r="AP3478">
        <v>-22.09</v>
      </c>
    </row>
    <row r="3479" spans="1:42">
      <c r="A3479">
        <v>3478</v>
      </c>
      <c r="B3479" t="str">
        <f>"002614"</f>
        <v>002614</v>
      </c>
      <c r="C3479" t="s">
        <v>17344</v>
      </c>
      <c r="D3479">
        <v>7.75</v>
      </c>
      <c r="E3479">
        <v>0.39</v>
      </c>
      <c r="F3479">
        <v>0.03</v>
      </c>
      <c r="G3479" t="s">
        <v>5466</v>
      </c>
      <c r="H3479">
        <v>757</v>
      </c>
      <c r="I3479">
        <v>7.75</v>
      </c>
      <c r="J3479">
        <v>7.76</v>
      </c>
      <c r="K3479" t="s">
        <v>17345</v>
      </c>
      <c r="L3479">
        <v>1.25</v>
      </c>
      <c r="M3479" t="s">
        <v>46</v>
      </c>
      <c r="N3479" t="s">
        <v>7786</v>
      </c>
      <c r="O3479">
        <v>7.76</v>
      </c>
      <c r="P3479">
        <v>7.67</v>
      </c>
      <c r="Q3479">
        <v>7.71</v>
      </c>
      <c r="R3479">
        <v>7.72</v>
      </c>
      <c r="S3479">
        <v>1.17</v>
      </c>
      <c r="T3479">
        <v>1.32</v>
      </c>
      <c r="U3479">
        <v>-37.82</v>
      </c>
      <c r="V3479">
        <v>-2130</v>
      </c>
      <c r="W3479">
        <v>7.73</v>
      </c>
      <c r="X3479" t="s">
        <v>10910</v>
      </c>
      <c r="Y3479" t="s">
        <v>6418</v>
      </c>
      <c r="Z3479">
        <v>0.95</v>
      </c>
      <c r="AA3479">
        <v>53</v>
      </c>
      <c r="AB3479">
        <v>712</v>
      </c>
      <c r="AC3479">
        <v>1.08</v>
      </c>
      <c r="AD3479" t="s">
        <v>17346</v>
      </c>
      <c r="AE3479" t="s">
        <v>5712</v>
      </c>
      <c r="AF3479" t="s">
        <v>961</v>
      </c>
      <c r="AG3479" t="s">
        <v>5005</v>
      </c>
      <c r="AH3479">
        <v>0.13</v>
      </c>
      <c r="AI3479">
        <v>0.39</v>
      </c>
      <c r="AJ3479">
        <v>3.11</v>
      </c>
      <c r="AK3479">
        <v>5.95</v>
      </c>
      <c r="AL3479">
        <v>2</v>
      </c>
      <c r="AM3479">
        <v>0.39</v>
      </c>
      <c r="AN3479">
        <v>-14.17</v>
      </c>
      <c r="AO3479">
        <v>4.03</v>
      </c>
      <c r="AP3479">
        <v>1.44</v>
      </c>
    </row>
    <row r="3480" spans="1:42">
      <c r="A3480">
        <v>3479</v>
      </c>
      <c r="B3480" t="str">
        <f>"688570"</f>
        <v>688570</v>
      </c>
      <c r="C3480" t="s">
        <v>17347</v>
      </c>
      <c r="D3480">
        <v>27.63</v>
      </c>
      <c r="E3480">
        <v>-0.86</v>
      </c>
      <c r="F3480">
        <v>-0.24</v>
      </c>
      <c r="G3480" t="s">
        <v>7178</v>
      </c>
      <c r="H3480">
        <v>135</v>
      </c>
      <c r="I3480">
        <v>27.63</v>
      </c>
      <c r="J3480">
        <v>27.64</v>
      </c>
      <c r="K3480" t="s">
        <v>17348</v>
      </c>
      <c r="L3480">
        <v>2.79</v>
      </c>
      <c r="M3480" t="s">
        <v>46</v>
      </c>
      <c r="N3480" t="s">
        <v>3409</v>
      </c>
      <c r="O3480">
        <v>27.9</v>
      </c>
      <c r="P3480">
        <v>27.4</v>
      </c>
      <c r="Q3480">
        <v>27.75</v>
      </c>
      <c r="R3480">
        <v>27.87</v>
      </c>
      <c r="S3480">
        <v>1.79</v>
      </c>
      <c r="T3480">
        <v>0.72</v>
      </c>
      <c r="U3480">
        <v>36.14</v>
      </c>
      <c r="V3480">
        <v>90</v>
      </c>
      <c r="W3480">
        <v>27.63</v>
      </c>
      <c r="X3480">
        <v>8735</v>
      </c>
      <c r="Y3480">
        <v>6625</v>
      </c>
      <c r="Z3480">
        <v>1.32</v>
      </c>
      <c r="AA3480">
        <v>72</v>
      </c>
      <c r="AB3480">
        <v>2</v>
      </c>
      <c r="AC3480">
        <v>2.94</v>
      </c>
      <c r="AD3480" t="s">
        <v>3823</v>
      </c>
      <c r="AE3480" t="s">
        <v>7737</v>
      </c>
      <c r="AF3480" t="s">
        <v>17349</v>
      </c>
      <c r="AG3480" t="s">
        <v>6049</v>
      </c>
      <c r="AH3480">
        <v>-2.3</v>
      </c>
      <c r="AI3480">
        <v>-0.83</v>
      </c>
      <c r="AJ3480">
        <v>8.7</v>
      </c>
      <c r="AK3480">
        <v>22.09</v>
      </c>
      <c r="AL3480">
        <v>-1</v>
      </c>
      <c r="AM3480">
        <v>-0.86</v>
      </c>
      <c r="AN3480">
        <v>-8.69</v>
      </c>
      <c r="AO3480">
        <v>-0.25</v>
      </c>
      <c r="AP3480">
        <v>-8.69</v>
      </c>
    </row>
    <row r="3481" spans="1:42">
      <c r="A3481">
        <v>3480</v>
      </c>
      <c r="B3481" t="str">
        <f>"600179"</f>
        <v>600179</v>
      </c>
      <c r="C3481" t="s">
        <v>17350</v>
      </c>
      <c r="D3481">
        <v>2.66</v>
      </c>
      <c r="E3481">
        <v>0.76</v>
      </c>
      <c r="F3481">
        <v>0.02</v>
      </c>
      <c r="G3481" t="s">
        <v>571</v>
      </c>
      <c r="H3481">
        <v>2341</v>
      </c>
      <c r="I3481">
        <v>2.65</v>
      </c>
      <c r="J3481">
        <v>2.66</v>
      </c>
      <c r="K3481" t="s">
        <v>17351</v>
      </c>
      <c r="L3481">
        <v>0.43</v>
      </c>
      <c r="M3481" t="s">
        <v>46</v>
      </c>
      <c r="N3481" t="s">
        <v>8690</v>
      </c>
      <c r="O3481">
        <v>2.67</v>
      </c>
      <c r="P3481">
        <v>2.64</v>
      </c>
      <c r="Q3481">
        <v>2.66</v>
      </c>
      <c r="R3481">
        <v>2.64</v>
      </c>
      <c r="S3481">
        <v>1.14</v>
      </c>
      <c r="T3481">
        <v>1.08</v>
      </c>
      <c r="U3481">
        <v>-4.85</v>
      </c>
      <c r="V3481">
        <v>-1866</v>
      </c>
      <c r="W3481">
        <v>2.66</v>
      </c>
      <c r="X3481" t="s">
        <v>5815</v>
      </c>
      <c r="Y3481" t="s">
        <v>4893</v>
      </c>
      <c r="Z3481">
        <v>0.83</v>
      </c>
      <c r="AA3481">
        <v>8399</v>
      </c>
      <c r="AB3481">
        <v>1523</v>
      </c>
      <c r="AC3481">
        <v>1.13</v>
      </c>
      <c r="AD3481" t="s">
        <v>8871</v>
      </c>
      <c r="AE3481" t="s">
        <v>15525</v>
      </c>
      <c r="AF3481" t="s">
        <v>11976</v>
      </c>
      <c r="AG3481" t="s">
        <v>17352</v>
      </c>
      <c r="AH3481">
        <v>-1.48</v>
      </c>
      <c r="AI3481">
        <v>-2.56</v>
      </c>
      <c r="AJ3481">
        <v>1.19</v>
      </c>
      <c r="AK3481">
        <v>2.42</v>
      </c>
      <c r="AL3481">
        <v>1</v>
      </c>
      <c r="AM3481">
        <v>0.76</v>
      </c>
      <c r="AN3481">
        <v>-19.15</v>
      </c>
      <c r="AO3481">
        <v>2.7</v>
      </c>
      <c r="AP3481">
        <v>-24.43</v>
      </c>
    </row>
    <row r="3482" spans="1:42">
      <c r="A3482">
        <v>3481</v>
      </c>
      <c r="B3482" t="str">
        <f>"688106"</f>
        <v>688106</v>
      </c>
      <c r="C3482" t="s">
        <v>17353</v>
      </c>
      <c r="D3482">
        <v>24.64</v>
      </c>
      <c r="E3482">
        <v>0.37</v>
      </c>
      <c r="F3482">
        <v>0.09</v>
      </c>
      <c r="G3482" t="s">
        <v>6656</v>
      </c>
      <c r="H3482">
        <v>91</v>
      </c>
      <c r="I3482">
        <v>24.64</v>
      </c>
      <c r="J3482">
        <v>24.65</v>
      </c>
      <c r="K3482" t="s">
        <v>17354</v>
      </c>
      <c r="L3482">
        <v>0.36</v>
      </c>
      <c r="M3482" t="s">
        <v>46</v>
      </c>
      <c r="N3482" t="s">
        <v>2744</v>
      </c>
      <c r="O3482">
        <v>24.74</v>
      </c>
      <c r="P3482">
        <v>24.31</v>
      </c>
      <c r="Q3482">
        <v>24.64</v>
      </c>
      <c r="R3482">
        <v>24.55</v>
      </c>
      <c r="S3482">
        <v>1.75</v>
      </c>
      <c r="T3482">
        <v>0.77</v>
      </c>
      <c r="U3482">
        <v>-29.4</v>
      </c>
      <c r="V3482">
        <v>-71</v>
      </c>
      <c r="W3482">
        <v>24.53</v>
      </c>
      <c r="X3482">
        <v>8572</v>
      </c>
      <c r="Y3482">
        <v>8716</v>
      </c>
      <c r="Z3482">
        <v>0.98</v>
      </c>
      <c r="AA3482">
        <v>6</v>
      </c>
      <c r="AB3482">
        <v>16</v>
      </c>
      <c r="AC3482">
        <v>4.03</v>
      </c>
      <c r="AD3482" t="s">
        <v>17355</v>
      </c>
      <c r="AE3482" t="s">
        <v>7999</v>
      </c>
      <c r="AF3482" t="s">
        <v>17355</v>
      </c>
      <c r="AG3482" t="s">
        <v>7999</v>
      </c>
      <c r="AH3482">
        <v>-1.52</v>
      </c>
      <c r="AI3482">
        <v>-0.88</v>
      </c>
      <c r="AJ3482">
        <v>1.16</v>
      </c>
      <c r="AK3482">
        <v>2.66</v>
      </c>
      <c r="AL3482">
        <v>1</v>
      </c>
      <c r="AM3482">
        <v>0.37</v>
      </c>
      <c r="AN3482">
        <v>33.12</v>
      </c>
      <c r="AO3482">
        <v>3.53</v>
      </c>
      <c r="AP3482">
        <v>14.93</v>
      </c>
    </row>
    <row r="3483" spans="1:42">
      <c r="A3483">
        <v>3482</v>
      </c>
      <c r="B3483" t="str">
        <f>"000930"</f>
        <v>000930</v>
      </c>
      <c r="C3483" t="s">
        <v>17356</v>
      </c>
      <c r="D3483">
        <v>6.84</v>
      </c>
      <c r="E3483">
        <v>0.59</v>
      </c>
      <c r="F3483">
        <v>0.04</v>
      </c>
      <c r="G3483" t="s">
        <v>9787</v>
      </c>
      <c r="H3483">
        <v>128</v>
      </c>
      <c r="I3483">
        <v>6.83</v>
      </c>
      <c r="J3483">
        <v>6.84</v>
      </c>
      <c r="K3483" t="s">
        <v>17354</v>
      </c>
      <c r="L3483">
        <v>0.33</v>
      </c>
      <c r="M3483" t="s">
        <v>46</v>
      </c>
      <c r="N3483" t="s">
        <v>11489</v>
      </c>
      <c r="O3483">
        <v>6.87</v>
      </c>
      <c r="P3483">
        <v>6.78</v>
      </c>
      <c r="Q3483">
        <v>6.81</v>
      </c>
      <c r="R3483">
        <v>6.8</v>
      </c>
      <c r="S3483">
        <v>1.32</v>
      </c>
      <c r="T3483">
        <v>1.09</v>
      </c>
      <c r="U3483">
        <v>-38.76</v>
      </c>
      <c r="V3483">
        <v>-2320</v>
      </c>
      <c r="W3483">
        <v>6.83</v>
      </c>
      <c r="X3483" t="s">
        <v>6768</v>
      </c>
      <c r="Y3483" t="s">
        <v>1687</v>
      </c>
      <c r="Z3483">
        <v>0.86</v>
      </c>
      <c r="AA3483">
        <v>330</v>
      </c>
      <c r="AB3483">
        <v>95</v>
      </c>
      <c r="AC3483">
        <v>1.19</v>
      </c>
      <c r="AD3483" t="s">
        <v>12114</v>
      </c>
      <c r="AE3483" t="s">
        <v>16214</v>
      </c>
      <c r="AF3483" t="s">
        <v>11458</v>
      </c>
      <c r="AG3483" t="s">
        <v>10954</v>
      </c>
      <c r="AH3483">
        <v>0</v>
      </c>
      <c r="AI3483">
        <v>-0.58</v>
      </c>
      <c r="AJ3483">
        <v>0.94</v>
      </c>
      <c r="AK3483">
        <v>1.86</v>
      </c>
      <c r="AL3483">
        <v>1</v>
      </c>
      <c r="AM3483">
        <v>0.59</v>
      </c>
      <c r="AN3483">
        <v>-12.2</v>
      </c>
      <c r="AO3483">
        <v>-0.58</v>
      </c>
      <c r="AP3483">
        <v>-13.42</v>
      </c>
    </row>
    <row r="3484" spans="1:42">
      <c r="A3484">
        <v>3483</v>
      </c>
      <c r="B3484" t="str">
        <f>"301083"</f>
        <v>301083</v>
      </c>
      <c r="C3484" t="s">
        <v>17357</v>
      </c>
      <c r="D3484">
        <v>17.18</v>
      </c>
      <c r="E3484">
        <v>-0.69</v>
      </c>
      <c r="F3484">
        <v>-0.12</v>
      </c>
      <c r="G3484" t="s">
        <v>4013</v>
      </c>
      <c r="H3484">
        <v>292</v>
      </c>
      <c r="I3484">
        <v>17.17</v>
      </c>
      <c r="J3484">
        <v>17.18</v>
      </c>
      <c r="K3484" t="s">
        <v>17358</v>
      </c>
      <c r="L3484">
        <v>4.51</v>
      </c>
      <c r="M3484" t="s">
        <v>46</v>
      </c>
      <c r="N3484" t="s">
        <v>5225</v>
      </c>
      <c r="O3484">
        <v>17.33</v>
      </c>
      <c r="P3484">
        <v>16.92</v>
      </c>
      <c r="Q3484">
        <v>17.16</v>
      </c>
      <c r="R3484">
        <v>17.3</v>
      </c>
      <c r="S3484">
        <v>2.37</v>
      </c>
      <c r="T3484">
        <v>1</v>
      </c>
      <c r="U3484">
        <v>-27.2</v>
      </c>
      <c r="V3484">
        <v>-142</v>
      </c>
      <c r="W3484">
        <v>17.12</v>
      </c>
      <c r="X3484" t="s">
        <v>2667</v>
      </c>
      <c r="Y3484" t="s">
        <v>383</v>
      </c>
      <c r="Z3484">
        <v>0.86</v>
      </c>
      <c r="AA3484">
        <v>23</v>
      </c>
      <c r="AB3484">
        <v>13</v>
      </c>
      <c r="AC3484">
        <v>3.77</v>
      </c>
      <c r="AD3484" t="s">
        <v>17359</v>
      </c>
      <c r="AE3484" t="s">
        <v>17360</v>
      </c>
      <c r="AF3484" t="s">
        <v>15410</v>
      </c>
      <c r="AG3484" t="s">
        <v>5379</v>
      </c>
      <c r="AH3484">
        <v>-1.04</v>
      </c>
      <c r="AI3484">
        <v>-1.72</v>
      </c>
      <c r="AJ3484">
        <v>14.03</v>
      </c>
      <c r="AK3484">
        <v>27.09</v>
      </c>
      <c r="AL3484">
        <v>-1</v>
      </c>
      <c r="AM3484">
        <v>-0.69</v>
      </c>
      <c r="AN3484">
        <v>56.04</v>
      </c>
      <c r="AO3484">
        <v>0.94</v>
      </c>
      <c r="AP3484">
        <v>39.9</v>
      </c>
    </row>
    <row r="3485" spans="1:42">
      <c r="A3485">
        <v>3484</v>
      </c>
      <c r="B3485" t="str">
        <f>"834407"</f>
        <v>834407</v>
      </c>
      <c r="C3485" t="s">
        <v>17361</v>
      </c>
      <c r="D3485">
        <v>10.5</v>
      </c>
      <c r="E3485">
        <v>-14.63</v>
      </c>
      <c r="F3485">
        <v>-1.8</v>
      </c>
      <c r="G3485" t="s">
        <v>3210</v>
      </c>
      <c r="H3485">
        <v>718</v>
      </c>
      <c r="I3485">
        <v>10.48</v>
      </c>
      <c r="J3485">
        <v>10.5</v>
      </c>
      <c r="K3485" t="s">
        <v>17362</v>
      </c>
      <c r="L3485">
        <v>26.57</v>
      </c>
      <c r="M3485" t="s">
        <v>46</v>
      </c>
      <c r="N3485" t="s">
        <v>9567</v>
      </c>
      <c r="O3485">
        <v>12.5</v>
      </c>
      <c r="P3485">
        <v>10.44</v>
      </c>
      <c r="Q3485">
        <v>12.12</v>
      </c>
      <c r="R3485">
        <v>12.3</v>
      </c>
      <c r="S3485">
        <v>16.75</v>
      </c>
      <c r="T3485">
        <v>0.91</v>
      </c>
      <c r="U3485">
        <v>43.96</v>
      </c>
      <c r="V3485">
        <v>516</v>
      </c>
      <c r="W3485">
        <v>11.3</v>
      </c>
      <c r="X3485" t="s">
        <v>8396</v>
      </c>
      <c r="Y3485" t="s">
        <v>2547</v>
      </c>
      <c r="Z3485">
        <v>1.99</v>
      </c>
      <c r="AA3485">
        <v>15</v>
      </c>
      <c r="AB3485">
        <v>125</v>
      </c>
      <c r="AC3485">
        <v>2.81</v>
      </c>
      <c r="AD3485" t="s">
        <v>17363</v>
      </c>
      <c r="AE3485" t="s">
        <v>17364</v>
      </c>
      <c r="AF3485" t="s">
        <v>8979</v>
      </c>
      <c r="AG3485" t="s">
        <v>17365</v>
      </c>
      <c r="AH3485">
        <v>-31.69</v>
      </c>
      <c r="AI3485">
        <v>50</v>
      </c>
      <c r="AJ3485">
        <v>120.65</v>
      </c>
      <c r="AK3485">
        <v>172.55</v>
      </c>
      <c r="AL3485">
        <v>-3</v>
      </c>
      <c r="AM3485">
        <v>-14.63</v>
      </c>
      <c r="AN3485">
        <v>25.75</v>
      </c>
      <c r="AO3485">
        <v>104.28</v>
      </c>
      <c r="AP3485">
        <v>25.75</v>
      </c>
    </row>
    <row r="3486" spans="1:42">
      <c r="A3486">
        <v>3485</v>
      </c>
      <c r="B3486" t="str">
        <f>"600333"</f>
        <v>600333</v>
      </c>
      <c r="C3486" t="s">
        <v>17366</v>
      </c>
      <c r="D3486">
        <v>5.43</v>
      </c>
      <c r="E3486">
        <v>-0.18</v>
      </c>
      <c r="F3486">
        <v>-0.01</v>
      </c>
      <c r="G3486" t="s">
        <v>4235</v>
      </c>
      <c r="H3486">
        <v>502</v>
      </c>
      <c r="I3486">
        <v>5.43</v>
      </c>
      <c r="J3486">
        <v>5.44</v>
      </c>
      <c r="K3486" t="s">
        <v>17362</v>
      </c>
      <c r="L3486">
        <v>1.28</v>
      </c>
      <c r="M3486" t="s">
        <v>46</v>
      </c>
      <c r="N3486" t="s">
        <v>6443</v>
      </c>
      <c r="O3486">
        <v>5.48</v>
      </c>
      <c r="P3486">
        <v>5.41</v>
      </c>
      <c r="Q3486">
        <v>5.44</v>
      </c>
      <c r="R3486">
        <v>5.44</v>
      </c>
      <c r="S3486">
        <v>1.29</v>
      </c>
      <c r="T3486">
        <v>0.98</v>
      </c>
      <c r="U3486">
        <v>-35.02</v>
      </c>
      <c r="V3486">
        <v>-5649</v>
      </c>
      <c r="W3486">
        <v>5.45</v>
      </c>
      <c r="X3486" t="s">
        <v>3373</v>
      </c>
      <c r="Y3486" t="s">
        <v>1718</v>
      </c>
      <c r="Z3486">
        <v>1.08</v>
      </c>
      <c r="AA3486">
        <v>98</v>
      </c>
      <c r="AB3486">
        <v>671</v>
      </c>
      <c r="AC3486">
        <v>1.73</v>
      </c>
      <c r="AD3486" t="s">
        <v>17367</v>
      </c>
      <c r="AE3486" t="s">
        <v>9865</v>
      </c>
      <c r="AF3486" t="s">
        <v>17367</v>
      </c>
      <c r="AG3486" t="s">
        <v>9865</v>
      </c>
      <c r="AH3486">
        <v>0.18</v>
      </c>
      <c r="AI3486">
        <v>0</v>
      </c>
      <c r="AJ3486">
        <v>3.66</v>
      </c>
      <c r="AK3486">
        <v>7.8</v>
      </c>
      <c r="AL3486">
        <v>-1</v>
      </c>
      <c r="AM3486">
        <v>-0.18</v>
      </c>
      <c r="AN3486">
        <v>6.26</v>
      </c>
      <c r="AO3486">
        <v>4.83</v>
      </c>
      <c r="AP3486">
        <v>3.43</v>
      </c>
    </row>
    <row r="3487" spans="1:42">
      <c r="A3487">
        <v>3486</v>
      </c>
      <c r="B3487" t="str">
        <f>"603061"</f>
        <v>603061</v>
      </c>
      <c r="C3487" t="s">
        <v>17368</v>
      </c>
      <c r="D3487">
        <v>90.56</v>
      </c>
      <c r="E3487">
        <v>0.2</v>
      </c>
      <c r="F3487">
        <v>0.18</v>
      </c>
      <c r="G3487">
        <v>4716</v>
      </c>
      <c r="H3487">
        <v>35</v>
      </c>
      <c r="I3487">
        <v>90.55</v>
      </c>
      <c r="J3487">
        <v>90.56</v>
      </c>
      <c r="K3487" t="s">
        <v>17369</v>
      </c>
      <c r="L3487">
        <v>3.14</v>
      </c>
      <c r="M3487" t="s">
        <v>46</v>
      </c>
      <c r="N3487" t="s">
        <v>5382</v>
      </c>
      <c r="O3487">
        <v>90.99</v>
      </c>
      <c r="P3487">
        <v>88.8</v>
      </c>
      <c r="Q3487">
        <v>90.27</v>
      </c>
      <c r="R3487">
        <v>90.38</v>
      </c>
      <c r="S3487">
        <v>2.42</v>
      </c>
      <c r="T3487">
        <v>0.77</v>
      </c>
      <c r="U3487">
        <v>-57.69</v>
      </c>
      <c r="V3487">
        <v>-60</v>
      </c>
      <c r="W3487">
        <v>89.84</v>
      </c>
      <c r="X3487">
        <v>2309</v>
      </c>
      <c r="Y3487">
        <v>2407</v>
      </c>
      <c r="Z3487">
        <v>0.96</v>
      </c>
      <c r="AA3487">
        <v>1</v>
      </c>
      <c r="AB3487">
        <v>17</v>
      </c>
      <c r="AC3487">
        <v>3.98</v>
      </c>
      <c r="AD3487" t="s">
        <v>7827</v>
      </c>
      <c r="AE3487" t="s">
        <v>7586</v>
      </c>
      <c r="AF3487" t="s">
        <v>17370</v>
      </c>
      <c r="AG3487" t="s">
        <v>9920</v>
      </c>
      <c r="AH3487">
        <v>-2.43</v>
      </c>
      <c r="AI3487">
        <v>-4.33</v>
      </c>
      <c r="AJ3487">
        <v>11.58</v>
      </c>
      <c r="AK3487">
        <v>23.63</v>
      </c>
      <c r="AL3487">
        <v>1</v>
      </c>
      <c r="AM3487">
        <v>0.2</v>
      </c>
      <c r="AN3487">
        <v>55.28</v>
      </c>
      <c r="AO3487">
        <v>-2.17</v>
      </c>
      <c r="AP3487">
        <v>55.28</v>
      </c>
    </row>
    <row r="3488" spans="1:42">
      <c r="A3488">
        <v>3487</v>
      </c>
      <c r="B3488" t="str">
        <f>"600724"</f>
        <v>600724</v>
      </c>
      <c r="C3488" t="s">
        <v>17371</v>
      </c>
      <c r="D3488">
        <v>4.03</v>
      </c>
      <c r="E3488">
        <v>2.54</v>
      </c>
      <c r="F3488">
        <v>0.1</v>
      </c>
      <c r="G3488" t="s">
        <v>1128</v>
      </c>
      <c r="H3488">
        <v>1605</v>
      </c>
      <c r="I3488">
        <v>4.02</v>
      </c>
      <c r="J3488">
        <v>4.03</v>
      </c>
      <c r="K3488" t="s">
        <v>17369</v>
      </c>
      <c r="L3488">
        <v>0.74</v>
      </c>
      <c r="M3488" t="s">
        <v>46</v>
      </c>
      <c r="N3488" t="s">
        <v>9299</v>
      </c>
      <c r="O3488">
        <v>4.03</v>
      </c>
      <c r="P3488">
        <v>3.92</v>
      </c>
      <c r="Q3488">
        <v>3.95</v>
      </c>
      <c r="R3488">
        <v>3.93</v>
      </c>
      <c r="S3488">
        <v>2.8</v>
      </c>
      <c r="T3488">
        <v>1.25</v>
      </c>
      <c r="U3488">
        <v>-57.05</v>
      </c>
      <c r="V3488">
        <v>-6793</v>
      </c>
      <c r="W3488">
        <v>3.99</v>
      </c>
      <c r="X3488" t="s">
        <v>8663</v>
      </c>
      <c r="Y3488" t="s">
        <v>9077</v>
      </c>
      <c r="Z3488">
        <v>0.53</v>
      </c>
      <c r="AA3488">
        <v>785</v>
      </c>
      <c r="AB3488">
        <v>4213</v>
      </c>
      <c r="AC3488">
        <v>2.06</v>
      </c>
      <c r="AD3488" t="s">
        <v>17372</v>
      </c>
      <c r="AE3488" t="s">
        <v>17373</v>
      </c>
      <c r="AF3488" t="s">
        <v>17372</v>
      </c>
      <c r="AG3488" t="s">
        <v>17374</v>
      </c>
      <c r="AH3488">
        <v>2.28</v>
      </c>
      <c r="AI3488">
        <v>1.26</v>
      </c>
      <c r="AJ3488">
        <v>1.79</v>
      </c>
      <c r="AK3488">
        <v>3.68</v>
      </c>
      <c r="AL3488">
        <v>2</v>
      </c>
      <c r="AM3488">
        <v>2.54</v>
      </c>
      <c r="AN3488">
        <v>15.14</v>
      </c>
      <c r="AO3488">
        <v>9.51</v>
      </c>
      <c r="AP3488">
        <v>12.26</v>
      </c>
    </row>
    <row r="3489" spans="1:42">
      <c r="A3489">
        <v>3488</v>
      </c>
      <c r="B3489" t="str">
        <f>"300993"</f>
        <v>300993</v>
      </c>
      <c r="C3489" t="s">
        <v>17375</v>
      </c>
      <c r="D3489">
        <v>11.66</v>
      </c>
      <c r="E3489">
        <v>-0.77</v>
      </c>
      <c r="F3489">
        <v>-0.09</v>
      </c>
      <c r="G3489" t="s">
        <v>6314</v>
      </c>
      <c r="H3489">
        <v>198</v>
      </c>
      <c r="I3489">
        <v>11.66</v>
      </c>
      <c r="J3489">
        <v>11.67</v>
      </c>
      <c r="K3489" t="s">
        <v>17369</v>
      </c>
      <c r="L3489">
        <v>3.64</v>
      </c>
      <c r="M3489" t="s">
        <v>46</v>
      </c>
      <c r="N3489" t="s">
        <v>2996</v>
      </c>
      <c r="O3489">
        <v>11.79</v>
      </c>
      <c r="P3489">
        <v>11.63</v>
      </c>
      <c r="Q3489">
        <v>11.79</v>
      </c>
      <c r="R3489">
        <v>11.75</v>
      </c>
      <c r="S3489">
        <v>1.36</v>
      </c>
      <c r="T3489">
        <v>0.75</v>
      </c>
      <c r="U3489">
        <v>20.86</v>
      </c>
      <c r="V3489">
        <v>302</v>
      </c>
      <c r="W3489">
        <v>11.69</v>
      </c>
      <c r="X3489" t="s">
        <v>6656</v>
      </c>
      <c r="Y3489" t="s">
        <v>2694</v>
      </c>
      <c r="Z3489">
        <v>0.91</v>
      </c>
      <c r="AA3489">
        <v>14</v>
      </c>
      <c r="AB3489">
        <v>30</v>
      </c>
      <c r="AC3489">
        <v>2.66</v>
      </c>
      <c r="AD3489" t="s">
        <v>6327</v>
      </c>
      <c r="AE3489" t="s">
        <v>13278</v>
      </c>
      <c r="AF3489" t="s">
        <v>17376</v>
      </c>
      <c r="AG3489" t="s">
        <v>10762</v>
      </c>
      <c r="AH3489">
        <v>-2.67</v>
      </c>
      <c r="AI3489">
        <v>-1.93</v>
      </c>
      <c r="AJ3489">
        <v>10.69</v>
      </c>
      <c r="AK3489">
        <v>27.92</v>
      </c>
      <c r="AL3489">
        <v>-3</v>
      </c>
      <c r="AM3489">
        <v>-0.77</v>
      </c>
      <c r="AN3489">
        <v>18.26</v>
      </c>
      <c r="AO3489">
        <v>1.83</v>
      </c>
      <c r="AP3489">
        <v>14.54</v>
      </c>
    </row>
    <row r="3490" spans="1:42">
      <c r="A3490">
        <v>3489</v>
      </c>
      <c r="B3490" t="str">
        <f>"603660"</f>
        <v>603660</v>
      </c>
      <c r="C3490" t="s">
        <v>17377</v>
      </c>
      <c r="D3490">
        <v>6.78</v>
      </c>
      <c r="E3490">
        <v>2.11</v>
      </c>
      <c r="F3490">
        <v>0.14</v>
      </c>
      <c r="G3490" t="s">
        <v>6381</v>
      </c>
      <c r="H3490">
        <v>616</v>
      </c>
      <c r="I3490">
        <v>6.77</v>
      </c>
      <c r="J3490">
        <v>6.78</v>
      </c>
      <c r="K3490" t="s">
        <v>17378</v>
      </c>
      <c r="L3490">
        <v>1.28</v>
      </c>
      <c r="M3490" t="s">
        <v>46</v>
      </c>
      <c r="N3490" t="s">
        <v>1778</v>
      </c>
      <c r="O3490">
        <v>6.78</v>
      </c>
      <c r="P3490">
        <v>6.6</v>
      </c>
      <c r="Q3490">
        <v>6.64</v>
      </c>
      <c r="R3490">
        <v>6.64</v>
      </c>
      <c r="S3490">
        <v>2.71</v>
      </c>
      <c r="T3490">
        <v>0.84</v>
      </c>
      <c r="U3490">
        <v>-55.42</v>
      </c>
      <c r="V3490">
        <v>-1641</v>
      </c>
      <c r="W3490">
        <v>6.7</v>
      </c>
      <c r="X3490" t="s">
        <v>4257</v>
      </c>
      <c r="Y3490" t="s">
        <v>8156</v>
      </c>
      <c r="Z3490">
        <v>0.68</v>
      </c>
      <c r="AA3490">
        <v>99</v>
      </c>
      <c r="AB3490">
        <v>742</v>
      </c>
      <c r="AC3490">
        <v>3.55</v>
      </c>
      <c r="AD3490" t="s">
        <v>17379</v>
      </c>
      <c r="AE3490" t="s">
        <v>6290</v>
      </c>
      <c r="AF3490" t="s">
        <v>17380</v>
      </c>
      <c r="AG3490" t="s">
        <v>8414</v>
      </c>
      <c r="AH3490">
        <v>0.59</v>
      </c>
      <c r="AI3490">
        <v>0.74</v>
      </c>
      <c r="AJ3490">
        <v>5.06</v>
      </c>
      <c r="AK3490">
        <v>8.87</v>
      </c>
      <c r="AL3490">
        <v>1</v>
      </c>
      <c r="AM3490">
        <v>2.11</v>
      </c>
      <c r="AN3490">
        <v>30.38</v>
      </c>
      <c r="AO3490">
        <v>6.44</v>
      </c>
      <c r="AP3490">
        <v>13.38</v>
      </c>
    </row>
    <row r="3491" spans="1:42">
      <c r="A3491">
        <v>3490</v>
      </c>
      <c r="B3491" t="str">
        <f>"002667"</f>
        <v>002667</v>
      </c>
      <c r="C3491" t="s">
        <v>17381</v>
      </c>
      <c r="D3491">
        <v>11.91</v>
      </c>
      <c r="E3491">
        <v>0.59</v>
      </c>
      <c r="F3491">
        <v>0.07</v>
      </c>
      <c r="G3491" t="s">
        <v>4148</v>
      </c>
      <c r="H3491">
        <v>220</v>
      </c>
      <c r="I3491">
        <v>11.91</v>
      </c>
      <c r="J3491">
        <v>11.92</v>
      </c>
      <c r="K3491" t="s">
        <v>7302</v>
      </c>
      <c r="L3491">
        <v>1.51</v>
      </c>
      <c r="M3491" t="s">
        <v>46</v>
      </c>
      <c r="N3491" t="s">
        <v>1419</v>
      </c>
      <c r="O3491">
        <v>12.04</v>
      </c>
      <c r="P3491">
        <v>11.68</v>
      </c>
      <c r="Q3491">
        <v>11.81</v>
      </c>
      <c r="R3491">
        <v>11.84</v>
      </c>
      <c r="S3491">
        <v>3.04</v>
      </c>
      <c r="T3491">
        <v>0.88</v>
      </c>
      <c r="U3491">
        <v>55.25</v>
      </c>
      <c r="V3491">
        <v>694</v>
      </c>
      <c r="W3491">
        <v>11.85</v>
      </c>
      <c r="X3491" t="s">
        <v>882</v>
      </c>
      <c r="Y3491" t="s">
        <v>8137</v>
      </c>
      <c r="Z3491">
        <v>1.17</v>
      </c>
      <c r="AA3491">
        <v>63</v>
      </c>
      <c r="AB3491">
        <v>36</v>
      </c>
      <c r="AC3491">
        <v>3.78</v>
      </c>
      <c r="AD3491" t="s">
        <v>17382</v>
      </c>
      <c r="AE3491" t="s">
        <v>17383</v>
      </c>
      <c r="AF3491" t="s">
        <v>256</v>
      </c>
      <c r="AG3491" t="s">
        <v>17384</v>
      </c>
      <c r="AH3491">
        <v>-3.17</v>
      </c>
      <c r="AI3491">
        <v>-7.24</v>
      </c>
      <c r="AJ3491">
        <v>4.55</v>
      </c>
      <c r="AK3491">
        <v>10.09</v>
      </c>
      <c r="AL3491">
        <v>1</v>
      </c>
      <c r="AM3491">
        <v>0.59</v>
      </c>
      <c r="AN3491">
        <v>-49.49</v>
      </c>
      <c r="AO3491">
        <v>-3.87</v>
      </c>
      <c r="AP3491">
        <v>-56.37</v>
      </c>
    </row>
    <row r="3492" spans="1:42">
      <c r="A3492">
        <v>3491</v>
      </c>
      <c r="B3492" t="str">
        <f>"001229"</f>
        <v>001229</v>
      </c>
      <c r="C3492" t="s">
        <v>17385</v>
      </c>
      <c r="D3492">
        <v>34.94</v>
      </c>
      <c r="E3492">
        <v>1.78</v>
      </c>
      <c r="F3492">
        <v>0.61</v>
      </c>
      <c r="G3492" t="s">
        <v>1254</v>
      </c>
      <c r="H3492">
        <v>235</v>
      </c>
      <c r="I3492">
        <v>34.93</v>
      </c>
      <c r="J3492">
        <v>34.94</v>
      </c>
      <c r="K3492" t="s">
        <v>11521</v>
      </c>
      <c r="L3492">
        <v>4.14</v>
      </c>
      <c r="M3492" t="s">
        <v>46</v>
      </c>
      <c r="N3492" t="s">
        <v>8896</v>
      </c>
      <c r="O3492">
        <v>35.02</v>
      </c>
      <c r="P3492">
        <v>34.23</v>
      </c>
      <c r="Q3492">
        <v>34.4</v>
      </c>
      <c r="R3492">
        <v>34.33</v>
      </c>
      <c r="S3492">
        <v>2.3</v>
      </c>
      <c r="T3492">
        <v>0.93</v>
      </c>
      <c r="U3492">
        <v>-79.71</v>
      </c>
      <c r="V3492">
        <v>-275</v>
      </c>
      <c r="W3492">
        <v>34.69</v>
      </c>
      <c r="X3492">
        <v>4967</v>
      </c>
      <c r="Y3492">
        <v>7218</v>
      </c>
      <c r="Z3492">
        <v>0.69</v>
      </c>
      <c r="AA3492">
        <v>7</v>
      </c>
      <c r="AB3492">
        <v>261</v>
      </c>
      <c r="AC3492">
        <v>3.7</v>
      </c>
      <c r="AD3492" t="s">
        <v>5976</v>
      </c>
      <c r="AE3492" t="s">
        <v>17386</v>
      </c>
      <c r="AF3492" t="s">
        <v>17387</v>
      </c>
      <c r="AG3492" t="s">
        <v>2911</v>
      </c>
      <c r="AH3492">
        <v>1.54</v>
      </c>
      <c r="AI3492">
        <v>2.07</v>
      </c>
      <c r="AJ3492">
        <v>12.36</v>
      </c>
      <c r="AK3492">
        <v>26.39</v>
      </c>
      <c r="AL3492">
        <v>1</v>
      </c>
      <c r="AM3492">
        <v>1.78</v>
      </c>
      <c r="AN3492">
        <v>32.15</v>
      </c>
      <c r="AO3492">
        <v>13.74</v>
      </c>
      <c r="AP3492">
        <v>14.03</v>
      </c>
    </row>
    <row r="3493" spans="1:42">
      <c r="A3493">
        <v>3492</v>
      </c>
      <c r="B3493" t="str">
        <f>"300988"</f>
        <v>300988</v>
      </c>
      <c r="C3493" t="s">
        <v>17388</v>
      </c>
      <c r="D3493">
        <v>22.21</v>
      </c>
      <c r="E3493">
        <v>-0.22</v>
      </c>
      <c r="F3493">
        <v>-0.05</v>
      </c>
      <c r="G3493" t="s">
        <v>882</v>
      </c>
      <c r="H3493">
        <v>346</v>
      </c>
      <c r="I3493">
        <v>22.2</v>
      </c>
      <c r="J3493">
        <v>22.21</v>
      </c>
      <c r="K3493" t="s">
        <v>11521</v>
      </c>
      <c r="L3493">
        <v>3.32</v>
      </c>
      <c r="M3493" t="s">
        <v>46</v>
      </c>
      <c r="N3493" t="s">
        <v>1645</v>
      </c>
      <c r="O3493">
        <v>22.36</v>
      </c>
      <c r="P3493">
        <v>21.9</v>
      </c>
      <c r="Q3493">
        <v>22.34</v>
      </c>
      <c r="R3493">
        <v>22.26</v>
      </c>
      <c r="S3493">
        <v>2.07</v>
      </c>
      <c r="T3493">
        <v>0.6</v>
      </c>
      <c r="U3493">
        <v>66.95</v>
      </c>
      <c r="V3493">
        <v>316</v>
      </c>
      <c r="W3493">
        <v>22.07</v>
      </c>
      <c r="X3493" t="s">
        <v>2074</v>
      </c>
      <c r="Y3493">
        <v>9070</v>
      </c>
      <c r="Z3493">
        <v>1.11</v>
      </c>
      <c r="AA3493">
        <v>213</v>
      </c>
      <c r="AB3493">
        <v>4</v>
      </c>
      <c r="AC3493">
        <v>2.78</v>
      </c>
      <c r="AD3493" t="s">
        <v>4989</v>
      </c>
      <c r="AE3493" t="s">
        <v>7526</v>
      </c>
      <c r="AF3493" t="s">
        <v>17389</v>
      </c>
      <c r="AG3493" t="s">
        <v>14918</v>
      </c>
      <c r="AH3493">
        <v>-2.93</v>
      </c>
      <c r="AI3493">
        <v>0.35</v>
      </c>
      <c r="AJ3493">
        <v>11.48</v>
      </c>
      <c r="AK3493">
        <v>30.8</v>
      </c>
      <c r="AL3493">
        <v>-3</v>
      </c>
      <c r="AM3493">
        <v>-0.22</v>
      </c>
      <c r="AN3493">
        <v>7.87</v>
      </c>
      <c r="AO3493">
        <v>2.54</v>
      </c>
      <c r="AP3493">
        <v>1.23</v>
      </c>
    </row>
    <row r="3494" spans="1:42">
      <c r="A3494">
        <v>3493</v>
      </c>
      <c r="B3494" t="str">
        <f>"301377"</f>
        <v>301377</v>
      </c>
      <c r="C3494" t="s">
        <v>17390</v>
      </c>
      <c r="D3494">
        <v>20.49</v>
      </c>
      <c r="E3494">
        <v>0.2</v>
      </c>
      <c r="F3494">
        <v>0.04</v>
      </c>
      <c r="G3494" t="s">
        <v>6580</v>
      </c>
      <c r="H3494">
        <v>138</v>
      </c>
      <c r="I3494">
        <v>20.47</v>
      </c>
      <c r="J3494">
        <v>20.49</v>
      </c>
      <c r="K3494" t="s">
        <v>17391</v>
      </c>
      <c r="L3494">
        <v>2.93</v>
      </c>
      <c r="M3494" t="s">
        <v>46</v>
      </c>
      <c r="N3494" t="s">
        <v>8031</v>
      </c>
      <c r="O3494">
        <v>20.57</v>
      </c>
      <c r="P3494">
        <v>20.08</v>
      </c>
      <c r="Q3494">
        <v>20.41</v>
      </c>
      <c r="R3494">
        <v>20.45</v>
      </c>
      <c r="S3494">
        <v>2.4</v>
      </c>
      <c r="T3494">
        <v>0.91</v>
      </c>
      <c r="U3494">
        <v>-21.83</v>
      </c>
      <c r="V3494">
        <v>-119</v>
      </c>
      <c r="W3494">
        <v>20.34</v>
      </c>
      <c r="X3494" t="s">
        <v>734</v>
      </c>
      <c r="Y3494">
        <v>9544</v>
      </c>
      <c r="Z3494">
        <v>1.18</v>
      </c>
      <c r="AA3494">
        <v>3</v>
      </c>
      <c r="AB3494">
        <v>98</v>
      </c>
      <c r="AC3494">
        <v>3.71</v>
      </c>
      <c r="AD3494" t="s">
        <v>3550</v>
      </c>
      <c r="AE3494" t="s">
        <v>17392</v>
      </c>
      <c r="AF3494" t="s">
        <v>17393</v>
      </c>
      <c r="AG3494" t="s">
        <v>800</v>
      </c>
      <c r="AH3494">
        <v>0.39</v>
      </c>
      <c r="AI3494">
        <v>-2.89</v>
      </c>
      <c r="AJ3494">
        <v>8.72</v>
      </c>
      <c r="AK3494">
        <v>19.05</v>
      </c>
      <c r="AL3494">
        <v>2</v>
      </c>
      <c r="AM3494">
        <v>0.2</v>
      </c>
      <c r="AN3494">
        <v>5.35</v>
      </c>
      <c r="AO3494">
        <v>-2.34</v>
      </c>
      <c r="AP3494">
        <v>-38.95</v>
      </c>
    </row>
    <row r="3495" spans="1:42">
      <c r="A3495">
        <v>3494</v>
      </c>
      <c r="B3495" t="str">
        <f>"000042"</f>
        <v>000042</v>
      </c>
      <c r="C3495" t="s">
        <v>17394</v>
      </c>
      <c r="D3495">
        <v>6.67</v>
      </c>
      <c r="E3495">
        <v>2.62</v>
      </c>
      <c r="F3495">
        <v>0.17</v>
      </c>
      <c r="G3495" t="s">
        <v>5010</v>
      </c>
      <c r="H3495">
        <v>1883</v>
      </c>
      <c r="I3495">
        <v>6.66</v>
      </c>
      <c r="J3495">
        <v>6.67</v>
      </c>
      <c r="K3495" t="s">
        <v>17395</v>
      </c>
      <c r="L3495">
        <v>0.97</v>
      </c>
      <c r="M3495" t="s">
        <v>46</v>
      </c>
      <c r="N3495" t="s">
        <v>9924</v>
      </c>
      <c r="O3495">
        <v>6.67</v>
      </c>
      <c r="P3495">
        <v>6.39</v>
      </c>
      <c r="Q3495">
        <v>6.49</v>
      </c>
      <c r="R3495">
        <v>6.5</v>
      </c>
      <c r="S3495">
        <v>4.31</v>
      </c>
      <c r="T3495">
        <v>1.06</v>
      </c>
      <c r="U3495">
        <v>4.37</v>
      </c>
      <c r="V3495">
        <v>86</v>
      </c>
      <c r="W3495">
        <v>6.57</v>
      </c>
      <c r="X3495" t="s">
        <v>8681</v>
      </c>
      <c r="Y3495" t="s">
        <v>2124</v>
      </c>
      <c r="Z3495">
        <v>0.79</v>
      </c>
      <c r="AA3495">
        <v>51</v>
      </c>
      <c r="AB3495">
        <v>162</v>
      </c>
      <c r="AC3495">
        <v>0.59</v>
      </c>
      <c r="AD3495" t="s">
        <v>17396</v>
      </c>
      <c r="AE3495" t="s">
        <v>2522</v>
      </c>
      <c r="AF3495" t="s">
        <v>17397</v>
      </c>
      <c r="AG3495" t="s">
        <v>9249</v>
      </c>
      <c r="AH3495">
        <v>0</v>
      </c>
      <c r="AI3495">
        <v>-4.99</v>
      </c>
      <c r="AJ3495">
        <v>2.49</v>
      </c>
      <c r="AK3495">
        <v>5.56</v>
      </c>
      <c r="AL3495">
        <v>2</v>
      </c>
      <c r="AM3495">
        <v>2.62</v>
      </c>
      <c r="AN3495">
        <v>-15.89</v>
      </c>
      <c r="AO3495">
        <v>4.38</v>
      </c>
      <c r="AP3495">
        <v>-17.45</v>
      </c>
    </row>
    <row r="3496" spans="1:42">
      <c r="A3496">
        <v>3495</v>
      </c>
      <c r="B3496" t="str">
        <f>"601702"</f>
        <v>601702</v>
      </c>
      <c r="C3496" t="s">
        <v>17398</v>
      </c>
      <c r="D3496">
        <v>16.9</v>
      </c>
      <c r="E3496">
        <v>-0.41</v>
      </c>
      <c r="F3496">
        <v>-0.07</v>
      </c>
      <c r="G3496" t="s">
        <v>48</v>
      </c>
      <c r="H3496">
        <v>156</v>
      </c>
      <c r="I3496">
        <v>16.9</v>
      </c>
      <c r="J3496">
        <v>16.91</v>
      </c>
      <c r="K3496" t="s">
        <v>17399</v>
      </c>
      <c r="L3496">
        <v>0.25</v>
      </c>
      <c r="M3496" t="s">
        <v>46</v>
      </c>
      <c r="N3496" t="s">
        <v>5434</v>
      </c>
      <c r="O3496">
        <v>17.08</v>
      </c>
      <c r="P3496">
        <v>16.82</v>
      </c>
      <c r="Q3496">
        <v>16.98</v>
      </c>
      <c r="R3496">
        <v>16.97</v>
      </c>
      <c r="S3496">
        <v>1.53</v>
      </c>
      <c r="T3496">
        <v>0.71</v>
      </c>
      <c r="U3496">
        <v>10.93</v>
      </c>
      <c r="V3496">
        <v>40</v>
      </c>
      <c r="W3496">
        <v>16.94</v>
      </c>
      <c r="X3496" t="s">
        <v>5183</v>
      </c>
      <c r="Y3496" t="s">
        <v>4959</v>
      </c>
      <c r="Z3496">
        <v>1.21</v>
      </c>
      <c r="AA3496">
        <v>114</v>
      </c>
      <c r="AB3496">
        <v>81</v>
      </c>
      <c r="AC3496">
        <v>3.93</v>
      </c>
      <c r="AD3496" t="s">
        <v>17400</v>
      </c>
      <c r="AE3496" t="s">
        <v>8276</v>
      </c>
      <c r="AF3496" t="s">
        <v>17400</v>
      </c>
      <c r="AG3496" t="s">
        <v>8276</v>
      </c>
      <c r="AH3496">
        <v>-0.94</v>
      </c>
      <c r="AI3496">
        <v>-1.69</v>
      </c>
      <c r="AJ3496">
        <v>0.88</v>
      </c>
      <c r="AK3496">
        <v>2.01</v>
      </c>
      <c r="AL3496">
        <v>-2</v>
      </c>
      <c r="AM3496">
        <v>-0.41</v>
      </c>
      <c r="AN3496">
        <v>13.8</v>
      </c>
      <c r="AO3496">
        <v>5.96</v>
      </c>
      <c r="AP3496">
        <v>18.1</v>
      </c>
    </row>
    <row r="3497" spans="1:42">
      <c r="A3497">
        <v>3496</v>
      </c>
      <c r="B3497" t="str">
        <f>"688697"</f>
        <v>688697</v>
      </c>
      <c r="C3497" t="s">
        <v>17401</v>
      </c>
      <c r="D3497">
        <v>20.41</v>
      </c>
      <c r="E3497">
        <v>0.15</v>
      </c>
      <c r="F3497">
        <v>0.03</v>
      </c>
      <c r="G3497" t="s">
        <v>6580</v>
      </c>
      <c r="H3497">
        <v>146</v>
      </c>
      <c r="I3497">
        <v>20.41</v>
      </c>
      <c r="J3497">
        <v>20.42</v>
      </c>
      <c r="K3497" t="s">
        <v>17399</v>
      </c>
      <c r="L3497">
        <v>2.54</v>
      </c>
      <c r="M3497" t="s">
        <v>46</v>
      </c>
      <c r="N3497" t="s">
        <v>17402</v>
      </c>
      <c r="O3497">
        <v>20.65</v>
      </c>
      <c r="P3497">
        <v>20.04</v>
      </c>
      <c r="Q3497">
        <v>20.21</v>
      </c>
      <c r="R3497">
        <v>20.38</v>
      </c>
      <c r="S3497">
        <v>2.99</v>
      </c>
      <c r="T3497">
        <v>1.1</v>
      </c>
      <c r="U3497">
        <v>15.11</v>
      </c>
      <c r="V3497">
        <v>50</v>
      </c>
      <c r="W3497">
        <v>20.3</v>
      </c>
      <c r="X3497" t="s">
        <v>2667</v>
      </c>
      <c r="Y3497">
        <v>9411</v>
      </c>
      <c r="Z3497">
        <v>1.21</v>
      </c>
      <c r="AA3497">
        <v>13</v>
      </c>
      <c r="AB3497">
        <v>24</v>
      </c>
      <c r="AC3497">
        <v>4.37</v>
      </c>
      <c r="AD3497" t="s">
        <v>17403</v>
      </c>
      <c r="AE3497" t="s">
        <v>17404</v>
      </c>
      <c r="AF3497" t="s">
        <v>17405</v>
      </c>
      <c r="AG3497" t="s">
        <v>17406</v>
      </c>
      <c r="AH3497">
        <v>-2.02</v>
      </c>
      <c r="AI3497">
        <v>-2.34</v>
      </c>
      <c r="AJ3497">
        <v>7.15</v>
      </c>
      <c r="AK3497">
        <v>14.09</v>
      </c>
      <c r="AL3497">
        <v>1</v>
      </c>
      <c r="AM3497">
        <v>0.15</v>
      </c>
      <c r="AN3497">
        <v>-8.92</v>
      </c>
      <c r="AO3497">
        <v>0.1</v>
      </c>
      <c r="AP3497">
        <v>-19.33</v>
      </c>
    </row>
    <row r="3498" spans="1:42">
      <c r="A3498">
        <v>3497</v>
      </c>
      <c r="B3498" t="str">
        <f>"688399"</f>
        <v>688399</v>
      </c>
      <c r="C3498" t="s">
        <v>17407</v>
      </c>
      <c r="D3498">
        <v>56.34</v>
      </c>
      <c r="E3498">
        <v>2.59</v>
      </c>
      <c r="F3498">
        <v>1.42</v>
      </c>
      <c r="G3498">
        <v>7523</v>
      </c>
      <c r="H3498">
        <v>84</v>
      </c>
      <c r="I3498">
        <v>56.34</v>
      </c>
      <c r="J3498">
        <v>56.41</v>
      </c>
      <c r="K3498" t="s">
        <v>17408</v>
      </c>
      <c r="L3498">
        <v>1.28</v>
      </c>
      <c r="M3498" t="s">
        <v>46</v>
      </c>
      <c r="N3498" t="s">
        <v>5243</v>
      </c>
      <c r="O3498">
        <v>57.36</v>
      </c>
      <c r="P3498">
        <v>54.69</v>
      </c>
      <c r="Q3498">
        <v>54.73</v>
      </c>
      <c r="R3498">
        <v>54.92</v>
      </c>
      <c r="S3498">
        <v>4.86</v>
      </c>
      <c r="T3498">
        <v>0.83</v>
      </c>
      <c r="U3498">
        <v>5.65</v>
      </c>
      <c r="V3498">
        <v>10</v>
      </c>
      <c r="W3498">
        <v>56.05</v>
      </c>
      <c r="X3498">
        <v>3392</v>
      </c>
      <c r="Y3498">
        <v>4131</v>
      </c>
      <c r="Z3498">
        <v>0.82</v>
      </c>
      <c r="AA3498">
        <v>37</v>
      </c>
      <c r="AB3498">
        <v>3</v>
      </c>
      <c r="AC3498">
        <v>0.92</v>
      </c>
      <c r="AD3498" t="s">
        <v>17409</v>
      </c>
      <c r="AE3498" t="s">
        <v>5640</v>
      </c>
      <c r="AF3498" t="s">
        <v>17409</v>
      </c>
      <c r="AG3498" t="s">
        <v>5640</v>
      </c>
      <c r="AH3498">
        <v>1.64</v>
      </c>
      <c r="AI3498">
        <v>1.73</v>
      </c>
      <c r="AJ3498">
        <v>3.49</v>
      </c>
      <c r="AK3498">
        <v>9.06</v>
      </c>
      <c r="AL3498">
        <v>2</v>
      </c>
      <c r="AM3498">
        <v>2.59</v>
      </c>
      <c r="AN3498">
        <v>-35.77</v>
      </c>
      <c r="AO3498">
        <v>8.89</v>
      </c>
      <c r="AP3498">
        <v>-48.31</v>
      </c>
    </row>
    <row r="3499" spans="1:42">
      <c r="A3499">
        <v>3498</v>
      </c>
      <c r="B3499" t="str">
        <f>"003019"</f>
        <v>003019</v>
      </c>
      <c r="C3499" t="s">
        <v>17410</v>
      </c>
      <c r="D3499">
        <v>21.66</v>
      </c>
      <c r="E3499">
        <v>-0.28</v>
      </c>
      <c r="F3499">
        <v>-0.06</v>
      </c>
      <c r="G3499" t="s">
        <v>5585</v>
      </c>
      <c r="H3499">
        <v>103</v>
      </c>
      <c r="I3499">
        <v>21.64</v>
      </c>
      <c r="J3499">
        <v>21.66</v>
      </c>
      <c r="K3499" t="s">
        <v>17408</v>
      </c>
      <c r="L3499">
        <v>1.2</v>
      </c>
      <c r="M3499" t="s">
        <v>46</v>
      </c>
      <c r="N3499" t="s">
        <v>6876</v>
      </c>
      <c r="O3499">
        <v>21.77</v>
      </c>
      <c r="P3499">
        <v>21.35</v>
      </c>
      <c r="Q3499">
        <v>21.73</v>
      </c>
      <c r="R3499">
        <v>21.72</v>
      </c>
      <c r="S3499">
        <v>1.93</v>
      </c>
      <c r="T3499">
        <v>0.65</v>
      </c>
      <c r="U3499">
        <v>6.41</v>
      </c>
      <c r="V3499">
        <v>59</v>
      </c>
      <c r="W3499">
        <v>21.61</v>
      </c>
      <c r="X3499" t="s">
        <v>4959</v>
      </c>
      <c r="Y3499">
        <v>8235</v>
      </c>
      <c r="Z3499">
        <v>1.37</v>
      </c>
      <c r="AA3499">
        <v>9</v>
      </c>
      <c r="AB3499">
        <v>57</v>
      </c>
      <c r="AC3499">
        <v>2.3</v>
      </c>
      <c r="AD3499" t="s">
        <v>17411</v>
      </c>
      <c r="AE3499" t="s">
        <v>3387</v>
      </c>
      <c r="AF3499" t="s">
        <v>17411</v>
      </c>
      <c r="AG3499" t="s">
        <v>3387</v>
      </c>
      <c r="AH3499">
        <v>-2.91</v>
      </c>
      <c r="AI3499">
        <v>-2.74</v>
      </c>
      <c r="AJ3499">
        <v>4.39</v>
      </c>
      <c r="AK3499">
        <v>10.39</v>
      </c>
      <c r="AL3499">
        <v>-3</v>
      </c>
      <c r="AM3499">
        <v>-0.28</v>
      </c>
      <c r="AN3499">
        <v>16.14</v>
      </c>
      <c r="AO3499">
        <v>2.41</v>
      </c>
      <c r="AP3499">
        <v>3</v>
      </c>
    </row>
    <row r="3500" spans="1:42">
      <c r="A3500">
        <v>3499</v>
      </c>
      <c r="B3500" t="str">
        <f>"300317"</f>
        <v>300317</v>
      </c>
      <c r="C3500" t="s">
        <v>17412</v>
      </c>
      <c r="D3500">
        <v>5.13</v>
      </c>
      <c r="E3500">
        <v>0.39</v>
      </c>
      <c r="F3500">
        <v>0.02</v>
      </c>
      <c r="G3500" t="s">
        <v>13222</v>
      </c>
      <c r="H3500">
        <v>1085</v>
      </c>
      <c r="I3500">
        <v>5.13</v>
      </c>
      <c r="J3500">
        <v>5.14</v>
      </c>
      <c r="K3500" t="s">
        <v>17408</v>
      </c>
      <c r="L3500">
        <v>1</v>
      </c>
      <c r="M3500" t="s">
        <v>46</v>
      </c>
      <c r="N3500" t="s">
        <v>2665</v>
      </c>
      <c r="O3500">
        <v>5.16</v>
      </c>
      <c r="P3500">
        <v>5.06</v>
      </c>
      <c r="Q3500">
        <v>5.11</v>
      </c>
      <c r="R3500">
        <v>5.11</v>
      </c>
      <c r="S3500">
        <v>1.96</v>
      </c>
      <c r="T3500">
        <v>0.8</v>
      </c>
      <c r="U3500">
        <v>16.11</v>
      </c>
      <c r="V3500">
        <v>1487</v>
      </c>
      <c r="W3500">
        <v>5.11</v>
      </c>
      <c r="X3500" t="s">
        <v>2621</v>
      </c>
      <c r="Y3500" t="s">
        <v>5355</v>
      </c>
      <c r="Z3500">
        <v>1.03</v>
      </c>
      <c r="AA3500">
        <v>1377</v>
      </c>
      <c r="AB3500">
        <v>50</v>
      </c>
      <c r="AC3500">
        <v>2.28</v>
      </c>
      <c r="AD3500" t="s">
        <v>17413</v>
      </c>
      <c r="AE3500" t="s">
        <v>17414</v>
      </c>
      <c r="AF3500" t="s">
        <v>17415</v>
      </c>
      <c r="AG3500" t="s">
        <v>8884</v>
      </c>
      <c r="AH3500">
        <v>-1.54</v>
      </c>
      <c r="AI3500">
        <v>-2.29</v>
      </c>
      <c r="AJ3500">
        <v>3.1</v>
      </c>
      <c r="AK3500">
        <v>7.28</v>
      </c>
      <c r="AL3500">
        <v>1</v>
      </c>
      <c r="AM3500">
        <v>0.39</v>
      </c>
      <c r="AN3500">
        <v>6.21</v>
      </c>
      <c r="AO3500">
        <v>2.4</v>
      </c>
      <c r="AP3500">
        <v>-1.35</v>
      </c>
    </row>
    <row r="3501" spans="1:42">
      <c r="A3501">
        <v>3500</v>
      </c>
      <c r="B3501" t="str">
        <f>"873001"</f>
        <v>873001</v>
      </c>
      <c r="C3501" t="s">
        <v>17416</v>
      </c>
      <c r="D3501">
        <v>7.7</v>
      </c>
      <c r="E3501">
        <v>-6.1</v>
      </c>
      <c r="F3501">
        <v>-0.5</v>
      </c>
      <c r="G3501" t="s">
        <v>7481</v>
      </c>
      <c r="H3501">
        <v>474</v>
      </c>
      <c r="I3501">
        <v>7.69</v>
      </c>
      <c r="J3501">
        <v>7.7</v>
      </c>
      <c r="K3501" t="s">
        <v>17417</v>
      </c>
      <c r="L3501">
        <v>13.77</v>
      </c>
      <c r="M3501" t="s">
        <v>46</v>
      </c>
      <c r="N3501" t="s">
        <v>3289</v>
      </c>
      <c r="O3501">
        <v>8.49</v>
      </c>
      <c r="P3501">
        <v>7.5</v>
      </c>
      <c r="Q3501">
        <v>8.4</v>
      </c>
      <c r="R3501">
        <v>8.2</v>
      </c>
      <c r="S3501">
        <v>12.07</v>
      </c>
      <c r="T3501">
        <v>0.51</v>
      </c>
      <c r="U3501">
        <v>4.79</v>
      </c>
      <c r="V3501">
        <v>43</v>
      </c>
      <c r="W3501">
        <v>7.97</v>
      </c>
      <c r="X3501" t="s">
        <v>5923</v>
      </c>
      <c r="Y3501" t="s">
        <v>985</v>
      </c>
      <c r="Z3501">
        <v>1.6</v>
      </c>
      <c r="AA3501">
        <v>10</v>
      </c>
      <c r="AB3501">
        <v>26</v>
      </c>
      <c r="AC3501">
        <v>1.58</v>
      </c>
      <c r="AD3501" t="s">
        <v>14879</v>
      </c>
      <c r="AE3501" t="s">
        <v>14935</v>
      </c>
      <c r="AF3501" t="s">
        <v>17418</v>
      </c>
      <c r="AG3501" t="s">
        <v>17419</v>
      </c>
      <c r="AH3501">
        <v>-21.43</v>
      </c>
      <c r="AI3501">
        <v>3.49</v>
      </c>
      <c r="AJ3501">
        <v>63.86</v>
      </c>
      <c r="AK3501">
        <v>147.59</v>
      </c>
      <c r="AL3501">
        <v>-3</v>
      </c>
      <c r="AM3501">
        <v>-6.1</v>
      </c>
      <c r="AN3501">
        <v>10.63</v>
      </c>
      <c r="AO3501">
        <v>28.76</v>
      </c>
      <c r="AP3501">
        <v>-42.11</v>
      </c>
    </row>
    <row r="3502" spans="1:42">
      <c r="A3502">
        <v>3501</v>
      </c>
      <c r="B3502" t="str">
        <f>"002511"</f>
        <v>002511</v>
      </c>
      <c r="C3502" t="s">
        <v>17420</v>
      </c>
      <c r="D3502">
        <v>10.67</v>
      </c>
      <c r="E3502">
        <v>-0.65</v>
      </c>
      <c r="F3502">
        <v>-0.07</v>
      </c>
      <c r="G3502" t="s">
        <v>5983</v>
      </c>
      <c r="H3502">
        <v>394</v>
      </c>
      <c r="I3502">
        <v>10.67</v>
      </c>
      <c r="J3502">
        <v>10.68</v>
      </c>
      <c r="K3502" t="s">
        <v>17421</v>
      </c>
      <c r="L3502">
        <v>0.3</v>
      </c>
      <c r="M3502" t="s">
        <v>46</v>
      </c>
      <c r="N3502" t="s">
        <v>17422</v>
      </c>
      <c r="O3502">
        <v>10.8</v>
      </c>
      <c r="P3502">
        <v>10.6</v>
      </c>
      <c r="Q3502">
        <v>10.79</v>
      </c>
      <c r="R3502">
        <v>10.74</v>
      </c>
      <c r="S3502">
        <v>1.86</v>
      </c>
      <c r="T3502">
        <v>1.01</v>
      </c>
      <c r="U3502">
        <v>-49.4</v>
      </c>
      <c r="V3502">
        <v>-1433</v>
      </c>
      <c r="W3502">
        <v>10.67</v>
      </c>
      <c r="X3502" t="s">
        <v>4422</v>
      </c>
      <c r="Y3502" t="s">
        <v>4525</v>
      </c>
      <c r="Z3502">
        <v>1.85</v>
      </c>
      <c r="AA3502">
        <v>20</v>
      </c>
      <c r="AB3502">
        <v>402</v>
      </c>
      <c r="AC3502">
        <v>2.67</v>
      </c>
      <c r="AD3502" t="s">
        <v>13672</v>
      </c>
      <c r="AE3502" t="s">
        <v>14447</v>
      </c>
      <c r="AF3502" t="s">
        <v>17423</v>
      </c>
      <c r="AG3502" t="s">
        <v>8367</v>
      </c>
      <c r="AH3502">
        <v>-1.2</v>
      </c>
      <c r="AI3502">
        <v>-2.29</v>
      </c>
      <c r="AJ3502">
        <v>0.76</v>
      </c>
      <c r="AK3502">
        <v>1.8</v>
      </c>
      <c r="AL3502">
        <v>-1</v>
      </c>
      <c r="AM3502">
        <v>-0.65</v>
      </c>
      <c r="AN3502">
        <v>-22</v>
      </c>
      <c r="AO3502">
        <v>-1.11</v>
      </c>
      <c r="AP3502">
        <v>-5.07</v>
      </c>
    </row>
    <row r="3503" spans="1:42">
      <c r="A3503">
        <v>3502</v>
      </c>
      <c r="B3503" t="str">
        <f>"688212"</f>
        <v>688212</v>
      </c>
      <c r="C3503" t="s">
        <v>17424</v>
      </c>
      <c r="D3503">
        <v>65.93</v>
      </c>
      <c r="E3503">
        <v>-1.51</v>
      </c>
      <c r="F3503">
        <v>-1.01</v>
      </c>
      <c r="G3503">
        <v>6392</v>
      </c>
      <c r="H3503">
        <v>27</v>
      </c>
      <c r="I3503">
        <v>65.78</v>
      </c>
      <c r="J3503">
        <v>65.93</v>
      </c>
      <c r="K3503" t="s">
        <v>17425</v>
      </c>
      <c r="L3503">
        <v>0.69</v>
      </c>
      <c r="M3503" t="s">
        <v>46</v>
      </c>
      <c r="N3503" t="s">
        <v>9395</v>
      </c>
      <c r="O3503">
        <v>66.9</v>
      </c>
      <c r="P3503">
        <v>65.13</v>
      </c>
      <c r="Q3503">
        <v>66.21</v>
      </c>
      <c r="R3503">
        <v>66.94</v>
      </c>
      <c r="S3503">
        <v>2.64</v>
      </c>
      <c r="T3503">
        <v>0.71</v>
      </c>
      <c r="U3503">
        <v>-4.58</v>
      </c>
      <c r="V3503">
        <v>-3</v>
      </c>
      <c r="W3503">
        <v>65.72</v>
      </c>
      <c r="X3503">
        <v>3523</v>
      </c>
      <c r="Y3503">
        <v>2869</v>
      </c>
      <c r="Z3503">
        <v>1.23</v>
      </c>
      <c r="AA3503">
        <v>5</v>
      </c>
      <c r="AB3503">
        <v>7</v>
      </c>
      <c r="AC3503">
        <v>6.57</v>
      </c>
      <c r="AD3503" t="s">
        <v>11171</v>
      </c>
      <c r="AE3503" t="s">
        <v>17426</v>
      </c>
      <c r="AF3503" t="s">
        <v>11624</v>
      </c>
      <c r="AG3503" t="s">
        <v>13285</v>
      </c>
      <c r="AH3503">
        <v>0.08</v>
      </c>
      <c r="AI3503">
        <v>0.86</v>
      </c>
      <c r="AJ3503">
        <v>2.68</v>
      </c>
      <c r="AK3503">
        <v>5.56</v>
      </c>
      <c r="AL3503">
        <v>-2</v>
      </c>
      <c r="AM3503">
        <v>-1.51</v>
      </c>
      <c r="AN3503">
        <v>0.67</v>
      </c>
      <c r="AO3503">
        <v>3.48</v>
      </c>
      <c r="AP3503">
        <v>15.95</v>
      </c>
    </row>
    <row r="3504" spans="1:42">
      <c r="A3504">
        <v>3503</v>
      </c>
      <c r="B3504" t="str">
        <f>"003006"</f>
        <v>003006</v>
      </c>
      <c r="C3504" t="s">
        <v>17427</v>
      </c>
      <c r="D3504">
        <v>16.07</v>
      </c>
      <c r="E3504">
        <v>-2.31</v>
      </c>
      <c r="F3504">
        <v>-0.38</v>
      </c>
      <c r="G3504" t="s">
        <v>4036</v>
      </c>
      <c r="H3504">
        <v>559</v>
      </c>
      <c r="I3504">
        <v>16.07</v>
      </c>
      <c r="J3504">
        <v>16.09</v>
      </c>
      <c r="K3504" t="s">
        <v>17428</v>
      </c>
      <c r="L3504">
        <v>0.61</v>
      </c>
      <c r="M3504" t="s">
        <v>46</v>
      </c>
      <c r="N3504" t="s">
        <v>2591</v>
      </c>
      <c r="O3504">
        <v>16.53</v>
      </c>
      <c r="P3504">
        <v>16.02</v>
      </c>
      <c r="Q3504">
        <v>16.43</v>
      </c>
      <c r="R3504">
        <v>16.45</v>
      </c>
      <c r="S3504">
        <v>3.1</v>
      </c>
      <c r="T3504">
        <v>1.39</v>
      </c>
      <c r="U3504">
        <v>8.77</v>
      </c>
      <c r="V3504">
        <v>60</v>
      </c>
      <c r="W3504">
        <v>16.17</v>
      </c>
      <c r="X3504" t="s">
        <v>1052</v>
      </c>
      <c r="Y3504" t="s">
        <v>10542</v>
      </c>
      <c r="Z3504">
        <v>0.87</v>
      </c>
      <c r="AA3504">
        <v>6</v>
      </c>
      <c r="AB3504">
        <v>11</v>
      </c>
      <c r="AC3504">
        <v>5.19</v>
      </c>
      <c r="AD3504" t="s">
        <v>17429</v>
      </c>
      <c r="AE3504" t="s">
        <v>17430</v>
      </c>
      <c r="AF3504" t="s">
        <v>17431</v>
      </c>
      <c r="AG3504" t="s">
        <v>17432</v>
      </c>
      <c r="AH3504">
        <v>-3.77</v>
      </c>
      <c r="AI3504">
        <v>-3.66</v>
      </c>
      <c r="AJ3504">
        <v>1.43</v>
      </c>
      <c r="AK3504">
        <v>2.78</v>
      </c>
      <c r="AL3504">
        <v>-2</v>
      </c>
      <c r="AM3504">
        <v>-2.31</v>
      </c>
      <c r="AN3504">
        <v>18.95</v>
      </c>
      <c r="AO3504">
        <v>-3.66</v>
      </c>
      <c r="AP3504">
        <v>30.23</v>
      </c>
    </row>
    <row r="3505" spans="1:42">
      <c r="A3505">
        <v>3504</v>
      </c>
      <c r="B3505" t="str">
        <f>"002418"</f>
        <v>002418</v>
      </c>
      <c r="C3505" t="s">
        <v>17433</v>
      </c>
      <c r="D3505">
        <v>3.07</v>
      </c>
      <c r="E3505">
        <v>0</v>
      </c>
      <c r="F3505">
        <v>0</v>
      </c>
      <c r="G3505" t="s">
        <v>2753</v>
      </c>
      <c r="H3505">
        <v>2684</v>
      </c>
      <c r="I3505">
        <v>3.06</v>
      </c>
      <c r="J3505">
        <v>3.07</v>
      </c>
      <c r="K3505" t="s">
        <v>17434</v>
      </c>
      <c r="L3505">
        <v>1.2</v>
      </c>
      <c r="M3505" t="s">
        <v>46</v>
      </c>
      <c r="N3505" t="s">
        <v>6370</v>
      </c>
      <c r="O3505">
        <v>3.08</v>
      </c>
      <c r="P3505">
        <v>3.04</v>
      </c>
      <c r="Q3505">
        <v>3.07</v>
      </c>
      <c r="R3505">
        <v>3.07</v>
      </c>
      <c r="S3505">
        <v>1.3</v>
      </c>
      <c r="T3505">
        <v>0.57</v>
      </c>
      <c r="U3505">
        <v>-2.67</v>
      </c>
      <c r="V3505">
        <v>-1201</v>
      </c>
      <c r="W3505">
        <v>3.06</v>
      </c>
      <c r="X3505" t="s">
        <v>6478</v>
      </c>
      <c r="Y3505" t="s">
        <v>523</v>
      </c>
      <c r="Z3505">
        <v>1.3</v>
      </c>
      <c r="AA3505">
        <v>6767</v>
      </c>
      <c r="AB3505">
        <v>2306</v>
      </c>
      <c r="AC3505">
        <v>2.29</v>
      </c>
      <c r="AD3505" t="s">
        <v>15038</v>
      </c>
      <c r="AE3505" t="s">
        <v>4097</v>
      </c>
      <c r="AF3505" t="s">
        <v>15038</v>
      </c>
      <c r="AG3505" t="s">
        <v>4097</v>
      </c>
      <c r="AH3505">
        <v>-1.29</v>
      </c>
      <c r="AI3505">
        <v>-2.54</v>
      </c>
      <c r="AJ3505">
        <v>4.87</v>
      </c>
      <c r="AK3505">
        <v>11.85</v>
      </c>
      <c r="AL3505">
        <v>0</v>
      </c>
      <c r="AM3505">
        <v>0</v>
      </c>
      <c r="AN3505">
        <v>5.5</v>
      </c>
      <c r="AO3505">
        <v>4.42</v>
      </c>
      <c r="AP3505">
        <v>-0.65</v>
      </c>
    </row>
    <row r="3506" spans="1:42">
      <c r="A3506">
        <v>3505</v>
      </c>
      <c r="B3506" t="str">
        <f>"002990"</f>
        <v>002990</v>
      </c>
      <c r="C3506" t="s">
        <v>17435</v>
      </c>
      <c r="D3506">
        <v>30.9</v>
      </c>
      <c r="E3506">
        <v>1.38</v>
      </c>
      <c r="F3506">
        <v>0.42</v>
      </c>
      <c r="G3506" t="s">
        <v>3284</v>
      </c>
      <c r="H3506">
        <v>231</v>
      </c>
      <c r="I3506">
        <v>30.9</v>
      </c>
      <c r="J3506">
        <v>30.92</v>
      </c>
      <c r="K3506" t="s">
        <v>17436</v>
      </c>
      <c r="L3506">
        <v>1.04</v>
      </c>
      <c r="M3506" t="s">
        <v>46</v>
      </c>
      <c r="N3506" t="s">
        <v>1729</v>
      </c>
      <c r="O3506">
        <v>30.99</v>
      </c>
      <c r="P3506">
        <v>30.05</v>
      </c>
      <c r="Q3506">
        <v>30.37</v>
      </c>
      <c r="R3506">
        <v>30.48</v>
      </c>
      <c r="S3506">
        <v>3.08</v>
      </c>
      <c r="T3506">
        <v>0.93</v>
      </c>
      <c r="U3506">
        <v>-42.03</v>
      </c>
      <c r="V3506">
        <v>-102</v>
      </c>
      <c r="W3506">
        <v>30.51</v>
      </c>
      <c r="X3506">
        <v>6262</v>
      </c>
      <c r="Y3506">
        <v>7465</v>
      </c>
      <c r="Z3506">
        <v>0.84</v>
      </c>
      <c r="AA3506">
        <v>20</v>
      </c>
      <c r="AB3506">
        <v>25</v>
      </c>
      <c r="AC3506">
        <v>3.5</v>
      </c>
      <c r="AD3506" t="s">
        <v>17437</v>
      </c>
      <c r="AE3506" t="s">
        <v>17438</v>
      </c>
      <c r="AF3506" t="s">
        <v>17439</v>
      </c>
      <c r="AG3506" t="s">
        <v>15920</v>
      </c>
      <c r="AH3506">
        <v>0.36</v>
      </c>
      <c r="AI3506">
        <v>-0.55</v>
      </c>
      <c r="AJ3506">
        <v>3.03</v>
      </c>
      <c r="AK3506">
        <v>6.62</v>
      </c>
      <c r="AL3506">
        <v>1</v>
      </c>
      <c r="AM3506">
        <v>1.38</v>
      </c>
      <c r="AN3506">
        <v>13.06</v>
      </c>
      <c r="AO3506">
        <v>2.86</v>
      </c>
      <c r="AP3506">
        <v>9.54</v>
      </c>
    </row>
    <row r="3507" spans="1:42">
      <c r="A3507">
        <v>3506</v>
      </c>
      <c r="B3507" t="str">
        <f>"603232"</f>
        <v>603232</v>
      </c>
      <c r="C3507" t="s">
        <v>17440</v>
      </c>
      <c r="D3507">
        <v>14.46</v>
      </c>
      <c r="E3507">
        <v>2.55</v>
      </c>
      <c r="F3507">
        <v>0.36</v>
      </c>
      <c r="G3507" t="s">
        <v>1080</v>
      </c>
      <c r="H3507">
        <v>305</v>
      </c>
      <c r="I3507">
        <v>14.45</v>
      </c>
      <c r="J3507">
        <v>14.46</v>
      </c>
      <c r="K3507" t="s">
        <v>17436</v>
      </c>
      <c r="L3507">
        <v>1.25</v>
      </c>
      <c r="M3507" t="s">
        <v>46</v>
      </c>
      <c r="N3507" t="s">
        <v>4325</v>
      </c>
      <c r="O3507">
        <v>14.48</v>
      </c>
      <c r="P3507">
        <v>14.01</v>
      </c>
      <c r="Q3507">
        <v>14.01</v>
      </c>
      <c r="R3507">
        <v>14.1</v>
      </c>
      <c r="S3507">
        <v>3.33</v>
      </c>
      <c r="T3507">
        <v>0.77</v>
      </c>
      <c r="U3507">
        <v>-67.07</v>
      </c>
      <c r="V3507">
        <v>-709</v>
      </c>
      <c r="W3507">
        <v>14.32</v>
      </c>
      <c r="X3507" t="s">
        <v>2667</v>
      </c>
      <c r="Y3507" t="s">
        <v>1255</v>
      </c>
      <c r="Z3507">
        <v>0.63</v>
      </c>
      <c r="AA3507">
        <v>13</v>
      </c>
      <c r="AB3507">
        <v>56</v>
      </c>
      <c r="AC3507">
        <v>2.51</v>
      </c>
      <c r="AD3507" t="s">
        <v>17441</v>
      </c>
      <c r="AE3507" t="s">
        <v>17442</v>
      </c>
      <c r="AF3507" t="s">
        <v>17441</v>
      </c>
      <c r="AG3507" t="s">
        <v>17442</v>
      </c>
      <c r="AH3507">
        <v>-0.14</v>
      </c>
      <c r="AI3507">
        <v>-0.21</v>
      </c>
      <c r="AJ3507">
        <v>4.04</v>
      </c>
      <c r="AK3507">
        <v>9.37</v>
      </c>
      <c r="AL3507">
        <v>1</v>
      </c>
      <c r="AM3507">
        <v>2.55</v>
      </c>
      <c r="AN3507">
        <v>-4.87</v>
      </c>
      <c r="AO3507">
        <v>7.51</v>
      </c>
      <c r="AP3507">
        <v>-10.07</v>
      </c>
    </row>
    <row r="3508" spans="1:42">
      <c r="A3508">
        <v>3507</v>
      </c>
      <c r="B3508" t="str">
        <f>"600190"</f>
        <v>600190</v>
      </c>
      <c r="C3508" t="s">
        <v>17443</v>
      </c>
      <c r="D3508">
        <v>3.01</v>
      </c>
      <c r="E3508">
        <v>0.67</v>
      </c>
      <c r="F3508">
        <v>0.02</v>
      </c>
      <c r="G3508" t="s">
        <v>1207</v>
      </c>
      <c r="H3508">
        <v>1820</v>
      </c>
      <c r="I3508">
        <v>3</v>
      </c>
      <c r="J3508">
        <v>3.01</v>
      </c>
      <c r="K3508" t="s">
        <v>17444</v>
      </c>
      <c r="L3508">
        <v>0.78</v>
      </c>
      <c r="M3508" t="s">
        <v>46</v>
      </c>
      <c r="N3508" t="s">
        <v>5175</v>
      </c>
      <c r="O3508">
        <v>3.01</v>
      </c>
      <c r="P3508">
        <v>2.98</v>
      </c>
      <c r="Q3508">
        <v>2.99</v>
      </c>
      <c r="R3508">
        <v>2.99</v>
      </c>
      <c r="S3508">
        <v>1</v>
      </c>
      <c r="T3508">
        <v>0.87</v>
      </c>
      <c r="U3508">
        <v>-2.09</v>
      </c>
      <c r="V3508">
        <v>-1703</v>
      </c>
      <c r="W3508">
        <v>3</v>
      </c>
      <c r="X3508" t="s">
        <v>12071</v>
      </c>
      <c r="Y3508" t="s">
        <v>5009</v>
      </c>
      <c r="Z3508">
        <v>0.68</v>
      </c>
      <c r="AA3508" t="s">
        <v>383</v>
      </c>
      <c r="AB3508" t="s">
        <v>1710</v>
      </c>
      <c r="AC3508">
        <v>0.9</v>
      </c>
      <c r="AD3508" t="s">
        <v>7767</v>
      </c>
      <c r="AE3508" t="s">
        <v>17445</v>
      </c>
      <c r="AF3508" t="s">
        <v>17446</v>
      </c>
      <c r="AG3508" t="s">
        <v>17447</v>
      </c>
      <c r="AH3508">
        <v>0.67</v>
      </c>
      <c r="AI3508">
        <v>-1.31</v>
      </c>
      <c r="AJ3508">
        <v>2.22</v>
      </c>
      <c r="AK3508">
        <v>5.31</v>
      </c>
      <c r="AL3508">
        <v>2</v>
      </c>
      <c r="AM3508">
        <v>0.67</v>
      </c>
      <c r="AN3508">
        <v>-14.73</v>
      </c>
      <c r="AO3508">
        <v>0</v>
      </c>
      <c r="AP3508">
        <v>-2.27</v>
      </c>
    </row>
    <row r="3509" spans="1:42">
      <c r="A3509">
        <v>3508</v>
      </c>
      <c r="B3509" t="str">
        <f>"000488"</f>
        <v>000488</v>
      </c>
      <c r="C3509" t="s">
        <v>17448</v>
      </c>
      <c r="D3509">
        <v>4</v>
      </c>
      <c r="E3509">
        <v>0.76</v>
      </c>
      <c r="F3509">
        <v>0.03</v>
      </c>
      <c r="G3509" t="s">
        <v>881</v>
      </c>
      <c r="H3509">
        <v>1406</v>
      </c>
      <c r="I3509">
        <v>3.99</v>
      </c>
      <c r="J3509">
        <v>4</v>
      </c>
      <c r="K3509" t="s">
        <v>17449</v>
      </c>
      <c r="L3509">
        <v>0.62</v>
      </c>
      <c r="M3509" t="s">
        <v>46</v>
      </c>
      <c r="N3509" t="s">
        <v>7456</v>
      </c>
      <c r="O3509">
        <v>4</v>
      </c>
      <c r="P3509">
        <v>3.96</v>
      </c>
      <c r="Q3509">
        <v>3.97</v>
      </c>
      <c r="R3509">
        <v>3.97</v>
      </c>
      <c r="S3509">
        <v>1.01</v>
      </c>
      <c r="T3509">
        <v>0.77</v>
      </c>
      <c r="U3509">
        <v>-1.67</v>
      </c>
      <c r="V3509">
        <v>-766</v>
      </c>
      <c r="W3509">
        <v>3.98</v>
      </c>
      <c r="X3509" t="s">
        <v>743</v>
      </c>
      <c r="Y3509" t="s">
        <v>1038</v>
      </c>
      <c r="Z3509">
        <v>0.9</v>
      </c>
      <c r="AA3509">
        <v>4858</v>
      </c>
      <c r="AB3509">
        <v>5351</v>
      </c>
      <c r="AC3509">
        <v>0.69</v>
      </c>
      <c r="AD3509" t="s">
        <v>4114</v>
      </c>
      <c r="AE3509" t="s">
        <v>17450</v>
      </c>
      <c r="AF3509" t="s">
        <v>516</v>
      </c>
      <c r="AG3509" t="s">
        <v>8688</v>
      </c>
      <c r="AH3509">
        <v>-1.72</v>
      </c>
      <c r="AI3509">
        <v>-3.38</v>
      </c>
      <c r="AJ3509">
        <v>2.36</v>
      </c>
      <c r="AK3509">
        <v>4.66</v>
      </c>
      <c r="AL3509">
        <v>1</v>
      </c>
      <c r="AM3509">
        <v>0.76</v>
      </c>
      <c r="AN3509">
        <v>-19.68</v>
      </c>
      <c r="AO3509">
        <v>-9.09</v>
      </c>
      <c r="AP3509">
        <v>-19.68</v>
      </c>
    </row>
    <row r="3510" spans="1:42">
      <c r="A3510">
        <v>3509</v>
      </c>
      <c r="B3510" t="str">
        <f>"839725"</f>
        <v>839725</v>
      </c>
      <c r="C3510" t="s">
        <v>17451</v>
      </c>
      <c r="D3510">
        <v>15.18</v>
      </c>
      <c r="E3510">
        <v>-8.99</v>
      </c>
      <c r="F3510">
        <v>-1.5</v>
      </c>
      <c r="G3510" t="s">
        <v>914</v>
      </c>
      <c r="H3510">
        <v>199</v>
      </c>
      <c r="I3510">
        <v>15.18</v>
      </c>
      <c r="J3510">
        <v>15.19</v>
      </c>
      <c r="K3510" t="s">
        <v>17452</v>
      </c>
      <c r="L3510">
        <v>6.33</v>
      </c>
      <c r="M3510" t="s">
        <v>46</v>
      </c>
      <c r="N3510" t="s">
        <v>3835</v>
      </c>
      <c r="O3510">
        <v>16.93</v>
      </c>
      <c r="P3510">
        <v>15.04</v>
      </c>
      <c r="Q3510">
        <v>16.84</v>
      </c>
      <c r="R3510">
        <v>16.68</v>
      </c>
      <c r="S3510">
        <v>11.33</v>
      </c>
      <c r="T3510">
        <v>0.53</v>
      </c>
      <c r="U3510">
        <v>60.19</v>
      </c>
      <c r="V3510">
        <v>431</v>
      </c>
      <c r="W3510">
        <v>15.69</v>
      </c>
      <c r="X3510" t="s">
        <v>5997</v>
      </c>
      <c r="Y3510">
        <v>9773</v>
      </c>
      <c r="Z3510">
        <v>1.72</v>
      </c>
      <c r="AA3510">
        <v>355</v>
      </c>
      <c r="AB3510">
        <v>47</v>
      </c>
      <c r="AC3510">
        <v>2.25</v>
      </c>
      <c r="AD3510" t="s">
        <v>17453</v>
      </c>
      <c r="AE3510" t="s">
        <v>5986</v>
      </c>
      <c r="AF3510" t="s">
        <v>17454</v>
      </c>
      <c r="AG3510" t="s">
        <v>17455</v>
      </c>
      <c r="AH3510">
        <v>-10.97</v>
      </c>
      <c r="AI3510">
        <v>-6.01</v>
      </c>
      <c r="AJ3510">
        <v>25.72</v>
      </c>
      <c r="AK3510">
        <v>66.11</v>
      </c>
      <c r="AL3510">
        <v>-4</v>
      </c>
      <c r="AM3510">
        <v>-8.99</v>
      </c>
      <c r="AN3510">
        <v>-12.46</v>
      </c>
      <c r="AO3510">
        <v>33.16</v>
      </c>
      <c r="AP3510">
        <v>-26.45</v>
      </c>
    </row>
    <row r="3511" spans="1:42">
      <c r="A3511">
        <v>3510</v>
      </c>
      <c r="B3511" t="str">
        <f>"688489"</f>
        <v>688489</v>
      </c>
      <c r="C3511" t="s">
        <v>17456</v>
      </c>
      <c r="D3511">
        <v>47.15</v>
      </c>
      <c r="E3511">
        <v>0.99</v>
      </c>
      <c r="F3511">
        <v>0.46</v>
      </c>
      <c r="G3511">
        <v>8871</v>
      </c>
      <c r="H3511">
        <v>29</v>
      </c>
      <c r="I3511">
        <v>47.15</v>
      </c>
      <c r="J3511">
        <v>47.16</v>
      </c>
      <c r="K3511" t="s">
        <v>17457</v>
      </c>
      <c r="L3511">
        <v>3.49</v>
      </c>
      <c r="M3511" t="s">
        <v>46</v>
      </c>
      <c r="N3511" t="s">
        <v>6044</v>
      </c>
      <c r="O3511">
        <v>47.72</v>
      </c>
      <c r="P3511">
        <v>46.29</v>
      </c>
      <c r="Q3511">
        <v>46.7</v>
      </c>
      <c r="R3511">
        <v>46.69</v>
      </c>
      <c r="S3511">
        <v>3.06</v>
      </c>
      <c r="T3511">
        <v>0.83</v>
      </c>
      <c r="U3511">
        <v>-2.82</v>
      </c>
      <c r="V3511">
        <v>-4</v>
      </c>
      <c r="W3511">
        <v>47.05</v>
      </c>
      <c r="X3511">
        <v>4239</v>
      </c>
      <c r="Y3511">
        <v>4632</v>
      </c>
      <c r="Z3511">
        <v>0.92</v>
      </c>
      <c r="AA3511">
        <v>1</v>
      </c>
      <c r="AB3511">
        <v>44</v>
      </c>
      <c r="AC3511">
        <v>2.84</v>
      </c>
      <c r="AD3511" t="s">
        <v>4281</v>
      </c>
      <c r="AE3511" t="s">
        <v>3465</v>
      </c>
      <c r="AF3511" t="s">
        <v>17458</v>
      </c>
      <c r="AG3511" t="s">
        <v>17459</v>
      </c>
      <c r="AH3511">
        <v>-0.3</v>
      </c>
      <c r="AI3511">
        <v>-4.19</v>
      </c>
      <c r="AJ3511">
        <v>9.96</v>
      </c>
      <c r="AK3511">
        <v>24.68</v>
      </c>
      <c r="AL3511">
        <v>1</v>
      </c>
      <c r="AM3511">
        <v>0.99</v>
      </c>
      <c r="AN3511">
        <v>-30.84</v>
      </c>
      <c r="AO3511">
        <v>-1.48</v>
      </c>
      <c r="AP3511">
        <v>-11.05</v>
      </c>
    </row>
    <row r="3512" spans="1:42">
      <c r="A3512">
        <v>3511</v>
      </c>
      <c r="B3512" t="str">
        <f>"601568"</f>
        <v>601568</v>
      </c>
      <c r="C3512" t="s">
        <v>17460</v>
      </c>
      <c r="D3512">
        <v>4.89</v>
      </c>
      <c r="E3512">
        <v>-0.81</v>
      </c>
      <c r="F3512">
        <v>-0.04</v>
      </c>
      <c r="G3512" t="s">
        <v>7164</v>
      </c>
      <c r="H3512">
        <v>458</v>
      </c>
      <c r="I3512">
        <v>4.89</v>
      </c>
      <c r="J3512">
        <v>4.9</v>
      </c>
      <c r="K3512" t="s">
        <v>17461</v>
      </c>
      <c r="L3512">
        <v>0.33</v>
      </c>
      <c r="M3512" t="s">
        <v>46</v>
      </c>
      <c r="N3512" t="s">
        <v>17462</v>
      </c>
      <c r="O3512">
        <v>4.95</v>
      </c>
      <c r="P3512">
        <v>4.87</v>
      </c>
      <c r="Q3512">
        <v>4.94</v>
      </c>
      <c r="R3512">
        <v>4.93</v>
      </c>
      <c r="S3512">
        <v>1.62</v>
      </c>
      <c r="T3512">
        <v>1.25</v>
      </c>
      <c r="U3512">
        <v>22.23</v>
      </c>
      <c r="V3512">
        <v>3858</v>
      </c>
      <c r="W3512">
        <v>4.9</v>
      </c>
      <c r="X3512" t="s">
        <v>2735</v>
      </c>
      <c r="Y3512" t="s">
        <v>8072</v>
      </c>
      <c r="Z3512">
        <v>1.85</v>
      </c>
      <c r="AA3512">
        <v>297</v>
      </c>
      <c r="AB3512">
        <v>269</v>
      </c>
      <c r="AC3512">
        <v>1.64</v>
      </c>
      <c r="AD3512" t="s">
        <v>8709</v>
      </c>
      <c r="AE3512" t="s">
        <v>17463</v>
      </c>
      <c r="AF3512" t="s">
        <v>4875</v>
      </c>
      <c r="AG3512" t="s">
        <v>9368</v>
      </c>
      <c r="AH3512">
        <v>-1.41</v>
      </c>
      <c r="AI3512">
        <v>-1.81</v>
      </c>
      <c r="AJ3512">
        <v>0.8</v>
      </c>
      <c r="AK3512">
        <v>1.65</v>
      </c>
      <c r="AL3512">
        <v>-1</v>
      </c>
      <c r="AM3512">
        <v>-0.81</v>
      </c>
      <c r="AN3512">
        <v>-4.31</v>
      </c>
      <c r="AO3512">
        <v>-1.81</v>
      </c>
      <c r="AP3512">
        <v>-5.05</v>
      </c>
    </row>
    <row r="3513" spans="1:42">
      <c r="A3513">
        <v>3512</v>
      </c>
      <c r="B3513" t="str">
        <f>"002125"</f>
        <v>002125</v>
      </c>
      <c r="C3513" t="s">
        <v>17464</v>
      </c>
      <c r="D3513">
        <v>10.62</v>
      </c>
      <c r="E3513">
        <v>-0.09</v>
      </c>
      <c r="F3513">
        <v>-0.01</v>
      </c>
      <c r="G3513" t="s">
        <v>5983</v>
      </c>
      <c r="H3513">
        <v>791</v>
      </c>
      <c r="I3513">
        <v>10.62</v>
      </c>
      <c r="J3513">
        <v>10.63</v>
      </c>
      <c r="K3513" t="s">
        <v>17465</v>
      </c>
      <c r="L3513">
        <v>0.63</v>
      </c>
      <c r="M3513" t="s">
        <v>46</v>
      </c>
      <c r="N3513" t="s">
        <v>5929</v>
      </c>
      <c r="O3513">
        <v>10.7</v>
      </c>
      <c r="P3513">
        <v>10.49</v>
      </c>
      <c r="Q3513">
        <v>10.63</v>
      </c>
      <c r="R3513">
        <v>10.63</v>
      </c>
      <c r="S3513">
        <v>1.98</v>
      </c>
      <c r="T3513">
        <v>1.2</v>
      </c>
      <c r="U3513">
        <v>16.73</v>
      </c>
      <c r="V3513">
        <v>348</v>
      </c>
      <c r="W3513">
        <v>10.57</v>
      </c>
      <c r="X3513" t="s">
        <v>9024</v>
      </c>
      <c r="Y3513" t="s">
        <v>1072</v>
      </c>
      <c r="Z3513">
        <v>1.11</v>
      </c>
      <c r="AA3513">
        <v>468</v>
      </c>
      <c r="AB3513">
        <v>160</v>
      </c>
      <c r="AC3513">
        <v>2.5</v>
      </c>
      <c r="AD3513" t="s">
        <v>17466</v>
      </c>
      <c r="AE3513" t="s">
        <v>398</v>
      </c>
      <c r="AF3513" t="s">
        <v>17466</v>
      </c>
      <c r="AG3513" t="s">
        <v>398</v>
      </c>
      <c r="AH3513">
        <v>-2.48</v>
      </c>
      <c r="AI3513">
        <v>-3.72</v>
      </c>
      <c r="AJ3513">
        <v>1.64</v>
      </c>
      <c r="AK3513">
        <v>3.24</v>
      </c>
      <c r="AL3513">
        <v>-3</v>
      </c>
      <c r="AM3513">
        <v>-0.09</v>
      </c>
      <c r="AN3513">
        <v>-20.45</v>
      </c>
      <c r="AO3513">
        <v>-1.3</v>
      </c>
      <c r="AP3513">
        <v>-27.8</v>
      </c>
    </row>
    <row r="3514" spans="1:42">
      <c r="A3514">
        <v>3513</v>
      </c>
      <c r="B3514" t="str">
        <f>"601992"</f>
        <v>601992</v>
      </c>
      <c r="C3514" t="s">
        <v>17467</v>
      </c>
      <c r="D3514">
        <v>2.02</v>
      </c>
      <c r="E3514">
        <v>0</v>
      </c>
      <c r="F3514">
        <v>0</v>
      </c>
      <c r="G3514" t="s">
        <v>3809</v>
      </c>
      <c r="H3514">
        <v>7901</v>
      </c>
      <c r="I3514">
        <v>2.02</v>
      </c>
      <c r="J3514">
        <v>2.03</v>
      </c>
      <c r="K3514" t="s">
        <v>17465</v>
      </c>
      <c r="L3514">
        <v>0.25</v>
      </c>
      <c r="M3514" t="s">
        <v>46</v>
      </c>
      <c r="N3514" t="s">
        <v>17468</v>
      </c>
      <c r="O3514">
        <v>2.03</v>
      </c>
      <c r="P3514">
        <v>2.01</v>
      </c>
      <c r="Q3514">
        <v>2.03</v>
      </c>
      <c r="R3514">
        <v>2.02</v>
      </c>
      <c r="S3514">
        <v>0.99</v>
      </c>
      <c r="T3514">
        <v>0.75</v>
      </c>
      <c r="U3514">
        <v>24.29</v>
      </c>
      <c r="V3514" t="s">
        <v>11712</v>
      </c>
      <c r="W3514">
        <v>2.02</v>
      </c>
      <c r="X3514" t="s">
        <v>1790</v>
      </c>
      <c r="Y3514" t="s">
        <v>2781</v>
      </c>
      <c r="Z3514">
        <v>1.41</v>
      </c>
      <c r="AA3514" t="s">
        <v>6097</v>
      </c>
      <c r="AB3514" t="s">
        <v>2388</v>
      </c>
      <c r="AC3514">
        <v>0.47</v>
      </c>
      <c r="AD3514" t="s">
        <v>15542</v>
      </c>
      <c r="AE3514" t="s">
        <v>17469</v>
      </c>
      <c r="AF3514" t="s">
        <v>17470</v>
      </c>
      <c r="AG3514" t="s">
        <v>11000</v>
      </c>
      <c r="AH3514">
        <v>-0.98</v>
      </c>
      <c r="AI3514">
        <v>-2.42</v>
      </c>
      <c r="AJ3514">
        <v>0.84</v>
      </c>
      <c r="AK3514">
        <v>1.9</v>
      </c>
      <c r="AL3514">
        <v>0</v>
      </c>
      <c r="AM3514">
        <v>0</v>
      </c>
      <c r="AN3514">
        <v>-18.22</v>
      </c>
      <c r="AO3514">
        <v>-0.49</v>
      </c>
      <c r="AP3514">
        <v>-19.52</v>
      </c>
    </row>
    <row r="3515" spans="1:42">
      <c r="A3515">
        <v>3514</v>
      </c>
      <c r="B3515" t="str">
        <f>"601339"</f>
        <v>601339</v>
      </c>
      <c r="C3515" t="s">
        <v>17471</v>
      </c>
      <c r="D3515">
        <v>5.4</v>
      </c>
      <c r="E3515">
        <v>0.37</v>
      </c>
      <c r="F3515">
        <v>0.02</v>
      </c>
      <c r="G3515" t="s">
        <v>2835</v>
      </c>
      <c r="H3515">
        <v>497</v>
      </c>
      <c r="I3515">
        <v>5.4</v>
      </c>
      <c r="J3515">
        <v>5.41</v>
      </c>
      <c r="K3515" t="s">
        <v>17472</v>
      </c>
      <c r="L3515">
        <v>0.51</v>
      </c>
      <c r="M3515" t="s">
        <v>46</v>
      </c>
      <c r="N3515" t="s">
        <v>13848</v>
      </c>
      <c r="O3515">
        <v>5.46</v>
      </c>
      <c r="P3515">
        <v>5.36</v>
      </c>
      <c r="Q3515">
        <v>5.39</v>
      </c>
      <c r="R3515">
        <v>5.38</v>
      </c>
      <c r="S3515">
        <v>1.86</v>
      </c>
      <c r="T3515">
        <v>1.19</v>
      </c>
      <c r="U3515">
        <v>-9.5</v>
      </c>
      <c r="V3515">
        <v>-322</v>
      </c>
      <c r="W3515">
        <v>5.41</v>
      </c>
      <c r="X3515" t="s">
        <v>10547</v>
      </c>
      <c r="Y3515" t="s">
        <v>4148</v>
      </c>
      <c r="Z3515">
        <v>1.16</v>
      </c>
      <c r="AA3515">
        <v>1</v>
      </c>
      <c r="AB3515">
        <v>304</v>
      </c>
      <c r="AC3515">
        <v>0.81</v>
      </c>
      <c r="AD3515" t="s">
        <v>3481</v>
      </c>
      <c r="AE3515" t="s">
        <v>17473</v>
      </c>
      <c r="AF3515" t="s">
        <v>3481</v>
      </c>
      <c r="AG3515" t="s">
        <v>17473</v>
      </c>
      <c r="AH3515">
        <v>-1.1</v>
      </c>
      <c r="AI3515">
        <v>0.37</v>
      </c>
      <c r="AJ3515">
        <v>1.19</v>
      </c>
      <c r="AK3515">
        <v>2.67</v>
      </c>
      <c r="AL3515">
        <v>1</v>
      </c>
      <c r="AM3515">
        <v>0.37</v>
      </c>
      <c r="AN3515">
        <v>3.85</v>
      </c>
      <c r="AO3515">
        <v>-1.28</v>
      </c>
      <c r="AP3515">
        <v>10.88</v>
      </c>
    </row>
    <row r="3516" spans="1:42">
      <c r="A3516">
        <v>3515</v>
      </c>
      <c r="B3516" t="str">
        <f>"000533"</f>
        <v>000533</v>
      </c>
      <c r="C3516" t="s">
        <v>17474</v>
      </c>
      <c r="D3516">
        <v>4.47</v>
      </c>
      <c r="E3516">
        <v>-0.89</v>
      </c>
      <c r="F3516">
        <v>-0.04</v>
      </c>
      <c r="G3516" t="s">
        <v>3812</v>
      </c>
      <c r="H3516">
        <v>1546</v>
      </c>
      <c r="I3516">
        <v>4.47</v>
      </c>
      <c r="J3516">
        <v>4.48</v>
      </c>
      <c r="K3516" t="s">
        <v>17475</v>
      </c>
      <c r="L3516">
        <v>1.36</v>
      </c>
      <c r="M3516" t="s">
        <v>46</v>
      </c>
      <c r="N3516" t="s">
        <v>3203</v>
      </c>
      <c r="O3516">
        <v>4.51</v>
      </c>
      <c r="P3516">
        <v>4.45</v>
      </c>
      <c r="Q3516">
        <v>4.51</v>
      </c>
      <c r="R3516">
        <v>4.51</v>
      </c>
      <c r="S3516">
        <v>1.33</v>
      </c>
      <c r="T3516">
        <v>0.77</v>
      </c>
      <c r="U3516">
        <v>-23.85</v>
      </c>
      <c r="V3516">
        <v>-1960</v>
      </c>
      <c r="W3516">
        <v>4.48</v>
      </c>
      <c r="X3516" t="s">
        <v>5734</v>
      </c>
      <c r="Y3516" t="s">
        <v>4846</v>
      </c>
      <c r="Z3516">
        <v>1.43</v>
      </c>
      <c r="AA3516">
        <v>200</v>
      </c>
      <c r="AB3516">
        <v>1448</v>
      </c>
      <c r="AC3516">
        <v>4.06</v>
      </c>
      <c r="AD3516" t="s">
        <v>17476</v>
      </c>
      <c r="AE3516" t="s">
        <v>11782</v>
      </c>
      <c r="AF3516" t="s">
        <v>17477</v>
      </c>
      <c r="AG3516" t="s">
        <v>7425</v>
      </c>
      <c r="AH3516">
        <v>-1.76</v>
      </c>
      <c r="AI3516">
        <v>0.22</v>
      </c>
      <c r="AJ3516">
        <v>4.23</v>
      </c>
      <c r="AK3516">
        <v>10.15</v>
      </c>
      <c r="AL3516">
        <v>-2</v>
      </c>
      <c r="AM3516">
        <v>-0.89</v>
      </c>
      <c r="AN3516">
        <v>18.25</v>
      </c>
      <c r="AO3516">
        <v>4.93</v>
      </c>
      <c r="AP3516">
        <v>7.71</v>
      </c>
    </row>
    <row r="3517" spans="1:42">
      <c r="A3517">
        <v>3516</v>
      </c>
      <c r="B3517" t="str">
        <f>"688690"</f>
        <v>688690</v>
      </c>
      <c r="C3517" t="s">
        <v>17478</v>
      </c>
      <c r="D3517">
        <v>30.37</v>
      </c>
      <c r="E3517">
        <v>-1.11</v>
      </c>
      <c r="F3517">
        <v>-0.34</v>
      </c>
      <c r="G3517" t="s">
        <v>3284</v>
      </c>
      <c r="H3517">
        <v>102</v>
      </c>
      <c r="I3517">
        <v>30.37</v>
      </c>
      <c r="J3517">
        <v>30.48</v>
      </c>
      <c r="K3517" t="s">
        <v>17479</v>
      </c>
      <c r="L3517">
        <v>0.67</v>
      </c>
      <c r="M3517" t="s">
        <v>46</v>
      </c>
      <c r="N3517" t="s">
        <v>17480</v>
      </c>
      <c r="O3517">
        <v>30.78</v>
      </c>
      <c r="P3517">
        <v>30.15</v>
      </c>
      <c r="Q3517">
        <v>30.68</v>
      </c>
      <c r="R3517">
        <v>30.71</v>
      </c>
      <c r="S3517">
        <v>2.05</v>
      </c>
      <c r="T3517">
        <v>0.92</v>
      </c>
      <c r="U3517">
        <v>36.65</v>
      </c>
      <c r="V3517">
        <v>69</v>
      </c>
      <c r="W3517">
        <v>30.4</v>
      </c>
      <c r="X3517">
        <v>6827</v>
      </c>
      <c r="Y3517">
        <v>6867</v>
      </c>
      <c r="Z3517">
        <v>0.99</v>
      </c>
      <c r="AA3517">
        <v>7</v>
      </c>
      <c r="AB3517">
        <v>15</v>
      </c>
      <c r="AC3517">
        <v>7.36</v>
      </c>
      <c r="AD3517" t="s">
        <v>17481</v>
      </c>
      <c r="AE3517" t="s">
        <v>2917</v>
      </c>
      <c r="AF3517" t="s">
        <v>6351</v>
      </c>
      <c r="AG3517" t="s">
        <v>17482</v>
      </c>
      <c r="AH3517">
        <v>-3.06</v>
      </c>
      <c r="AI3517">
        <v>-3.98</v>
      </c>
      <c r="AJ3517">
        <v>2.21</v>
      </c>
      <c r="AK3517">
        <v>4.32</v>
      </c>
      <c r="AL3517">
        <v>-3</v>
      </c>
      <c r="AM3517">
        <v>-1.11</v>
      </c>
      <c r="AN3517">
        <v>-41.22</v>
      </c>
      <c r="AO3517">
        <v>-0.52</v>
      </c>
      <c r="AP3517">
        <v>-47.57</v>
      </c>
    </row>
    <row r="3518" spans="1:42">
      <c r="A3518">
        <v>3517</v>
      </c>
      <c r="B3518" t="str">
        <f>"002412"</f>
        <v>002412</v>
      </c>
      <c r="C3518" t="s">
        <v>17483</v>
      </c>
      <c r="D3518">
        <v>7.12</v>
      </c>
      <c r="E3518">
        <v>-0.42</v>
      </c>
      <c r="F3518">
        <v>-0.03</v>
      </c>
      <c r="G3518" t="s">
        <v>1577</v>
      </c>
      <c r="H3518">
        <v>778</v>
      </c>
      <c r="I3518">
        <v>7.12</v>
      </c>
      <c r="J3518">
        <v>7.13</v>
      </c>
      <c r="K3518" t="s">
        <v>17484</v>
      </c>
      <c r="L3518">
        <v>1.18</v>
      </c>
      <c r="M3518" t="s">
        <v>46</v>
      </c>
      <c r="N3518" t="s">
        <v>11672</v>
      </c>
      <c r="O3518">
        <v>7.25</v>
      </c>
      <c r="P3518">
        <v>7.1</v>
      </c>
      <c r="Q3518">
        <v>7.15</v>
      </c>
      <c r="R3518">
        <v>7.15</v>
      </c>
      <c r="S3518">
        <v>2.1</v>
      </c>
      <c r="T3518">
        <v>0.57</v>
      </c>
      <c r="U3518">
        <v>28.73</v>
      </c>
      <c r="V3518">
        <v>1052</v>
      </c>
      <c r="W3518">
        <v>7.15</v>
      </c>
      <c r="X3518" t="s">
        <v>6395</v>
      </c>
      <c r="Y3518" t="s">
        <v>6395</v>
      </c>
      <c r="Z3518">
        <v>1</v>
      </c>
      <c r="AA3518">
        <v>134</v>
      </c>
      <c r="AB3518">
        <v>112</v>
      </c>
      <c r="AC3518">
        <v>1.92</v>
      </c>
      <c r="AD3518" t="s">
        <v>17485</v>
      </c>
      <c r="AE3518" t="s">
        <v>17486</v>
      </c>
      <c r="AF3518" t="s">
        <v>17487</v>
      </c>
      <c r="AG3518" t="s">
        <v>7778</v>
      </c>
      <c r="AH3518">
        <v>-0.84</v>
      </c>
      <c r="AI3518">
        <v>-1.52</v>
      </c>
      <c r="AJ3518">
        <v>3.73</v>
      </c>
      <c r="AK3518">
        <v>11.58</v>
      </c>
      <c r="AL3518">
        <v>-1</v>
      </c>
      <c r="AM3518">
        <v>-0.42</v>
      </c>
      <c r="AN3518">
        <v>22.13</v>
      </c>
      <c r="AO3518">
        <v>5.33</v>
      </c>
      <c r="AP3518">
        <v>1.71</v>
      </c>
    </row>
    <row r="3519" spans="1:42">
      <c r="A3519">
        <v>3518</v>
      </c>
      <c r="B3519" t="str">
        <f>"600616"</f>
        <v>600616</v>
      </c>
      <c r="C3519" t="s">
        <v>17488</v>
      </c>
      <c r="D3519">
        <v>6.69</v>
      </c>
      <c r="E3519">
        <v>-0.15</v>
      </c>
      <c r="F3519">
        <v>-0.01</v>
      </c>
      <c r="G3519" t="s">
        <v>5023</v>
      </c>
      <c r="H3519">
        <v>1869</v>
      </c>
      <c r="I3519">
        <v>6.68</v>
      </c>
      <c r="J3519">
        <v>6.69</v>
      </c>
      <c r="K3519" t="s">
        <v>17489</v>
      </c>
      <c r="L3519">
        <v>0.93</v>
      </c>
      <c r="M3519" t="s">
        <v>46</v>
      </c>
      <c r="N3519" t="s">
        <v>8131</v>
      </c>
      <c r="O3519">
        <v>6.81</v>
      </c>
      <c r="P3519">
        <v>6.65</v>
      </c>
      <c r="Q3519">
        <v>6.68</v>
      </c>
      <c r="R3519">
        <v>6.7</v>
      </c>
      <c r="S3519">
        <v>2.39</v>
      </c>
      <c r="T3519">
        <v>0.76</v>
      </c>
      <c r="U3519">
        <v>21.64</v>
      </c>
      <c r="V3519">
        <v>757</v>
      </c>
      <c r="W3519">
        <v>6.72</v>
      </c>
      <c r="X3519" t="s">
        <v>3211</v>
      </c>
      <c r="Y3519" t="s">
        <v>6418</v>
      </c>
      <c r="Z3519">
        <v>1.2</v>
      </c>
      <c r="AA3519">
        <v>842</v>
      </c>
      <c r="AB3519">
        <v>391</v>
      </c>
      <c r="AC3519">
        <v>2.23</v>
      </c>
      <c r="AD3519" t="s">
        <v>17490</v>
      </c>
      <c r="AE3519" t="s">
        <v>14057</v>
      </c>
      <c r="AF3519" t="s">
        <v>17490</v>
      </c>
      <c r="AG3519" t="s">
        <v>14057</v>
      </c>
      <c r="AH3519">
        <v>1.06</v>
      </c>
      <c r="AI3519">
        <v>0.75</v>
      </c>
      <c r="AJ3519">
        <v>2.46</v>
      </c>
      <c r="AK3519">
        <v>6.99</v>
      </c>
      <c r="AL3519">
        <v>-1</v>
      </c>
      <c r="AM3519">
        <v>-0.15</v>
      </c>
      <c r="AN3519">
        <v>-3.46</v>
      </c>
      <c r="AO3519">
        <v>5.69</v>
      </c>
      <c r="AP3519">
        <v>13.01</v>
      </c>
    </row>
    <row r="3520" spans="1:42">
      <c r="A3520">
        <v>3519</v>
      </c>
      <c r="B3520" t="str">
        <f>"002218"</f>
        <v>002218</v>
      </c>
      <c r="C3520" t="s">
        <v>17491</v>
      </c>
      <c r="D3520">
        <v>4.49</v>
      </c>
      <c r="E3520">
        <v>0.67</v>
      </c>
      <c r="F3520">
        <v>0.03</v>
      </c>
      <c r="G3520" t="s">
        <v>14077</v>
      </c>
      <c r="H3520">
        <v>2603</v>
      </c>
      <c r="I3520">
        <v>4.49</v>
      </c>
      <c r="J3520">
        <v>4.5</v>
      </c>
      <c r="K3520" t="s">
        <v>17492</v>
      </c>
      <c r="L3520">
        <v>0.67</v>
      </c>
      <c r="M3520" t="s">
        <v>46</v>
      </c>
      <c r="N3520" t="s">
        <v>1719</v>
      </c>
      <c r="O3520">
        <v>4.51</v>
      </c>
      <c r="P3520">
        <v>4.44</v>
      </c>
      <c r="Q3520">
        <v>4.47</v>
      </c>
      <c r="R3520">
        <v>4.46</v>
      </c>
      <c r="S3520">
        <v>1.57</v>
      </c>
      <c r="T3520">
        <v>0.75</v>
      </c>
      <c r="U3520">
        <v>-20.44</v>
      </c>
      <c r="V3520">
        <v>-3682</v>
      </c>
      <c r="W3520">
        <v>4.47</v>
      </c>
      <c r="X3520" t="s">
        <v>843</v>
      </c>
      <c r="Y3520" t="s">
        <v>4928</v>
      </c>
      <c r="Z3520">
        <v>0.93</v>
      </c>
      <c r="AA3520">
        <v>1065</v>
      </c>
      <c r="AB3520">
        <v>2098</v>
      </c>
      <c r="AC3520">
        <v>1.5</v>
      </c>
      <c r="AD3520" t="s">
        <v>672</v>
      </c>
      <c r="AE3520" t="s">
        <v>15033</v>
      </c>
      <c r="AF3520" t="s">
        <v>8375</v>
      </c>
      <c r="AG3520" t="s">
        <v>17493</v>
      </c>
      <c r="AH3520">
        <v>-1.32</v>
      </c>
      <c r="AI3520">
        <v>-1.1</v>
      </c>
      <c r="AJ3520">
        <v>2.31</v>
      </c>
      <c r="AK3520">
        <v>5.11</v>
      </c>
      <c r="AL3520">
        <v>1</v>
      </c>
      <c r="AM3520">
        <v>0.67</v>
      </c>
      <c r="AN3520">
        <v>-6.46</v>
      </c>
      <c r="AO3520">
        <v>5.65</v>
      </c>
      <c r="AP3520">
        <v>-12.13</v>
      </c>
    </row>
    <row r="3521" spans="1:42">
      <c r="A3521">
        <v>3520</v>
      </c>
      <c r="B3521" t="str">
        <f>"300412"</f>
        <v>300412</v>
      </c>
      <c r="C3521" t="s">
        <v>17494</v>
      </c>
      <c r="D3521">
        <v>5.79</v>
      </c>
      <c r="E3521">
        <v>-0.17</v>
      </c>
      <c r="F3521">
        <v>-0.01</v>
      </c>
      <c r="G3521" t="s">
        <v>3224</v>
      </c>
      <c r="H3521">
        <v>389</v>
      </c>
      <c r="I3521">
        <v>5.79</v>
      </c>
      <c r="J3521">
        <v>5.8</v>
      </c>
      <c r="K3521" t="s">
        <v>17495</v>
      </c>
      <c r="L3521">
        <v>1.52</v>
      </c>
      <c r="M3521" t="s">
        <v>46</v>
      </c>
      <c r="N3521" t="s">
        <v>7664</v>
      </c>
      <c r="O3521">
        <v>5.83</v>
      </c>
      <c r="P3521">
        <v>5.71</v>
      </c>
      <c r="Q3521">
        <v>5.78</v>
      </c>
      <c r="R3521">
        <v>5.8</v>
      </c>
      <c r="S3521">
        <v>2.07</v>
      </c>
      <c r="T3521">
        <v>0.61</v>
      </c>
      <c r="U3521">
        <v>-80.15</v>
      </c>
      <c r="V3521">
        <v>-2270</v>
      </c>
      <c r="W3521">
        <v>5.76</v>
      </c>
      <c r="X3521" t="s">
        <v>4148</v>
      </c>
      <c r="Y3521" t="s">
        <v>2464</v>
      </c>
      <c r="Z3521">
        <v>0.98</v>
      </c>
      <c r="AA3521">
        <v>79</v>
      </c>
      <c r="AB3521">
        <v>665</v>
      </c>
      <c r="AC3521">
        <v>2.71</v>
      </c>
      <c r="AD3521" t="s">
        <v>17496</v>
      </c>
      <c r="AE3521" t="s">
        <v>10671</v>
      </c>
      <c r="AF3521" t="s">
        <v>17497</v>
      </c>
      <c r="AG3521" t="s">
        <v>17498</v>
      </c>
      <c r="AH3521">
        <v>-1.03</v>
      </c>
      <c r="AI3521">
        <v>-1.19</v>
      </c>
      <c r="AJ3521">
        <v>4.49</v>
      </c>
      <c r="AK3521">
        <v>14.11</v>
      </c>
      <c r="AL3521">
        <v>-1</v>
      </c>
      <c r="AM3521">
        <v>-0.17</v>
      </c>
      <c r="AN3521">
        <v>-4.14</v>
      </c>
      <c r="AO3521">
        <v>3.95</v>
      </c>
      <c r="AP3521">
        <v>-18.91</v>
      </c>
    </row>
    <row r="3522" spans="1:42">
      <c r="A3522">
        <v>3521</v>
      </c>
      <c r="B3522" t="str">
        <f>"300176"</f>
        <v>300176</v>
      </c>
      <c r="C3522" t="s">
        <v>17499</v>
      </c>
      <c r="D3522">
        <v>7.09</v>
      </c>
      <c r="E3522">
        <v>-0.84</v>
      </c>
      <c r="F3522">
        <v>-0.06</v>
      </c>
      <c r="G3522" t="s">
        <v>5611</v>
      </c>
      <c r="H3522">
        <v>813</v>
      </c>
      <c r="I3522">
        <v>7.08</v>
      </c>
      <c r="J3522">
        <v>7.09</v>
      </c>
      <c r="K3522" t="s">
        <v>17500</v>
      </c>
      <c r="L3522">
        <v>1.51</v>
      </c>
      <c r="M3522" t="s">
        <v>46</v>
      </c>
      <c r="N3522" t="s">
        <v>7742</v>
      </c>
      <c r="O3522">
        <v>7.15</v>
      </c>
      <c r="P3522">
        <v>7.01</v>
      </c>
      <c r="Q3522">
        <v>7.11</v>
      </c>
      <c r="R3522">
        <v>7.15</v>
      </c>
      <c r="S3522">
        <v>1.96</v>
      </c>
      <c r="T3522">
        <v>0.86</v>
      </c>
      <c r="U3522">
        <v>27.06</v>
      </c>
      <c r="V3522">
        <v>874</v>
      </c>
      <c r="W3522">
        <v>7.06</v>
      </c>
      <c r="X3522" t="s">
        <v>1704</v>
      </c>
      <c r="Y3522" t="s">
        <v>4422</v>
      </c>
      <c r="Z3522">
        <v>1.29</v>
      </c>
      <c r="AA3522">
        <v>346</v>
      </c>
      <c r="AB3522">
        <v>209</v>
      </c>
      <c r="AC3522">
        <v>3.08</v>
      </c>
      <c r="AD3522" t="s">
        <v>17501</v>
      </c>
      <c r="AE3522" t="s">
        <v>16849</v>
      </c>
      <c r="AF3522" t="s">
        <v>17501</v>
      </c>
      <c r="AG3522" t="s">
        <v>16849</v>
      </c>
      <c r="AH3522">
        <v>-2.48</v>
      </c>
      <c r="AI3522">
        <v>-1.66</v>
      </c>
      <c r="AJ3522">
        <v>5.13</v>
      </c>
      <c r="AK3522">
        <v>10.29</v>
      </c>
      <c r="AL3522">
        <v>-3</v>
      </c>
      <c r="AM3522">
        <v>-0.84</v>
      </c>
      <c r="AN3522">
        <v>18.56</v>
      </c>
      <c r="AO3522">
        <v>1.14</v>
      </c>
      <c r="AP3522">
        <v>4.57</v>
      </c>
    </row>
    <row r="3523" spans="1:42">
      <c r="A3523">
        <v>3522</v>
      </c>
      <c r="B3523" t="str">
        <f>"600444"</f>
        <v>600444</v>
      </c>
      <c r="C3523" t="s">
        <v>17502</v>
      </c>
      <c r="D3523">
        <v>14.06</v>
      </c>
      <c r="E3523">
        <v>0.64</v>
      </c>
      <c r="F3523">
        <v>0.09</v>
      </c>
      <c r="G3523" t="s">
        <v>7649</v>
      </c>
      <c r="H3523">
        <v>105</v>
      </c>
      <c r="I3523">
        <v>14.05</v>
      </c>
      <c r="J3523">
        <v>14.06</v>
      </c>
      <c r="K3523" t="s">
        <v>17503</v>
      </c>
      <c r="L3523">
        <v>2.02</v>
      </c>
      <c r="M3523" t="s">
        <v>46</v>
      </c>
      <c r="N3523" t="s">
        <v>3534</v>
      </c>
      <c r="O3523">
        <v>14.15</v>
      </c>
      <c r="P3523">
        <v>13.87</v>
      </c>
      <c r="Q3523">
        <v>14</v>
      </c>
      <c r="R3523">
        <v>13.97</v>
      </c>
      <c r="S3523">
        <v>2</v>
      </c>
      <c r="T3523">
        <v>1.16</v>
      </c>
      <c r="U3523">
        <v>56.34</v>
      </c>
      <c r="V3523">
        <v>1159</v>
      </c>
      <c r="W3523">
        <v>14.01</v>
      </c>
      <c r="X3523" t="s">
        <v>5900</v>
      </c>
      <c r="Y3523" t="s">
        <v>61</v>
      </c>
      <c r="Z3523">
        <v>0.94</v>
      </c>
      <c r="AA3523">
        <v>1014</v>
      </c>
      <c r="AB3523">
        <v>31</v>
      </c>
      <c r="AC3523">
        <v>3.12</v>
      </c>
      <c r="AD3523" t="s">
        <v>11019</v>
      </c>
      <c r="AE3523" t="s">
        <v>17504</v>
      </c>
      <c r="AF3523" t="s">
        <v>11019</v>
      </c>
      <c r="AG3523" t="s">
        <v>17504</v>
      </c>
      <c r="AH3523">
        <v>-2.7</v>
      </c>
      <c r="AI3523">
        <v>-1.13</v>
      </c>
      <c r="AJ3523">
        <v>6.58</v>
      </c>
      <c r="AK3523">
        <v>10.75</v>
      </c>
      <c r="AL3523">
        <v>1</v>
      </c>
      <c r="AM3523">
        <v>0.64</v>
      </c>
      <c r="AN3523">
        <v>11.41</v>
      </c>
      <c r="AO3523">
        <v>1.74</v>
      </c>
      <c r="AP3523">
        <v>3.76</v>
      </c>
    </row>
    <row r="3524" spans="1:42">
      <c r="A3524">
        <v>3523</v>
      </c>
      <c r="B3524" t="str">
        <f>"300262"</f>
        <v>300262</v>
      </c>
      <c r="C3524" t="s">
        <v>17505</v>
      </c>
      <c r="D3524">
        <v>3.05</v>
      </c>
      <c r="E3524">
        <v>0</v>
      </c>
      <c r="F3524">
        <v>0</v>
      </c>
      <c r="G3524" t="s">
        <v>4247</v>
      </c>
      <c r="H3524">
        <v>1745</v>
      </c>
      <c r="I3524">
        <v>3.05</v>
      </c>
      <c r="J3524">
        <v>3.06</v>
      </c>
      <c r="K3524" t="s">
        <v>17506</v>
      </c>
      <c r="L3524">
        <v>2.03</v>
      </c>
      <c r="M3524" t="s">
        <v>46</v>
      </c>
      <c r="N3524" t="s">
        <v>6531</v>
      </c>
      <c r="O3524">
        <v>3.08</v>
      </c>
      <c r="P3524">
        <v>3.03</v>
      </c>
      <c r="Q3524">
        <v>3.06</v>
      </c>
      <c r="R3524">
        <v>3.05</v>
      </c>
      <c r="S3524">
        <v>1.64</v>
      </c>
      <c r="T3524">
        <v>0.61</v>
      </c>
      <c r="U3524">
        <v>-13.25</v>
      </c>
      <c r="V3524">
        <v>-3357</v>
      </c>
      <c r="W3524">
        <v>3.06</v>
      </c>
      <c r="X3524" t="s">
        <v>5124</v>
      </c>
      <c r="Y3524" t="s">
        <v>8707</v>
      </c>
      <c r="Z3524">
        <v>0.82</v>
      </c>
      <c r="AA3524">
        <v>505</v>
      </c>
      <c r="AB3524">
        <v>1190</v>
      </c>
      <c r="AC3524">
        <v>17.51</v>
      </c>
      <c r="AD3524" t="s">
        <v>9672</v>
      </c>
      <c r="AE3524" t="s">
        <v>17507</v>
      </c>
      <c r="AF3524" t="s">
        <v>16538</v>
      </c>
      <c r="AG3524" t="s">
        <v>17508</v>
      </c>
      <c r="AH3524">
        <v>-2.87</v>
      </c>
      <c r="AI3524">
        <v>-1.29</v>
      </c>
      <c r="AJ3524">
        <v>8.32</v>
      </c>
      <c r="AK3524">
        <v>18.58</v>
      </c>
      <c r="AL3524">
        <v>0</v>
      </c>
      <c r="AM3524">
        <v>0</v>
      </c>
      <c r="AN3524">
        <v>13.38</v>
      </c>
      <c r="AO3524">
        <v>-2.24</v>
      </c>
      <c r="AP3524">
        <v>3.74</v>
      </c>
    </row>
    <row r="3525" spans="1:42">
      <c r="A3525">
        <v>3524</v>
      </c>
      <c r="B3525" t="str">
        <f>"002713"</f>
        <v>002713</v>
      </c>
      <c r="C3525" t="s">
        <v>17509</v>
      </c>
      <c r="D3525">
        <v>7.11</v>
      </c>
      <c r="E3525">
        <v>-2.07</v>
      </c>
      <c r="F3525">
        <v>-0.15</v>
      </c>
      <c r="G3525" t="s">
        <v>7787</v>
      </c>
      <c r="H3525">
        <v>1281</v>
      </c>
      <c r="I3525">
        <v>7.11</v>
      </c>
      <c r="J3525">
        <v>7.12</v>
      </c>
      <c r="K3525" t="s">
        <v>17510</v>
      </c>
      <c r="L3525">
        <v>1.43</v>
      </c>
      <c r="M3525" t="s">
        <v>46</v>
      </c>
      <c r="N3525" t="s">
        <v>690</v>
      </c>
      <c r="O3525">
        <v>7.27</v>
      </c>
      <c r="P3525">
        <v>7.07</v>
      </c>
      <c r="Q3525">
        <v>7.27</v>
      </c>
      <c r="R3525">
        <v>7.26</v>
      </c>
      <c r="S3525">
        <v>2.75</v>
      </c>
      <c r="T3525">
        <v>1.41</v>
      </c>
      <c r="U3525">
        <v>-23.87</v>
      </c>
      <c r="V3525">
        <v>-753</v>
      </c>
      <c r="W3525">
        <v>7.14</v>
      </c>
      <c r="X3525" t="s">
        <v>2125</v>
      </c>
      <c r="Y3525" t="s">
        <v>6418</v>
      </c>
      <c r="Z3525">
        <v>1.05</v>
      </c>
      <c r="AA3525">
        <v>543</v>
      </c>
      <c r="AB3525">
        <v>344</v>
      </c>
      <c r="AC3525">
        <v>243.08</v>
      </c>
      <c r="AD3525" t="s">
        <v>15510</v>
      </c>
      <c r="AE3525" t="s">
        <v>17511</v>
      </c>
      <c r="AF3525" t="s">
        <v>17512</v>
      </c>
      <c r="AG3525" t="s">
        <v>17383</v>
      </c>
      <c r="AH3525">
        <v>-4.95</v>
      </c>
      <c r="AI3525">
        <v>-6.2</v>
      </c>
      <c r="AJ3525">
        <v>3.35</v>
      </c>
      <c r="AK3525">
        <v>6.48</v>
      </c>
      <c r="AL3525">
        <v>-5</v>
      </c>
      <c r="AM3525">
        <v>-2.07</v>
      </c>
      <c r="AN3525">
        <v>12.86</v>
      </c>
      <c r="AO3525">
        <v>-8.61</v>
      </c>
      <c r="AP3525">
        <v>23.87</v>
      </c>
    </row>
    <row r="3526" spans="1:42">
      <c r="A3526">
        <v>3525</v>
      </c>
      <c r="B3526" t="str">
        <f>"603380"</f>
        <v>603380</v>
      </c>
      <c r="C3526" t="s">
        <v>17513</v>
      </c>
      <c r="D3526">
        <v>24.48</v>
      </c>
      <c r="E3526">
        <v>0.53</v>
      </c>
      <c r="F3526">
        <v>0.13</v>
      </c>
      <c r="G3526" t="s">
        <v>2111</v>
      </c>
      <c r="H3526">
        <v>315</v>
      </c>
      <c r="I3526">
        <v>24.48</v>
      </c>
      <c r="J3526">
        <v>24.49</v>
      </c>
      <c r="K3526" t="s">
        <v>17514</v>
      </c>
      <c r="L3526">
        <v>1.06</v>
      </c>
      <c r="M3526" t="s">
        <v>46</v>
      </c>
      <c r="N3526" t="s">
        <v>2113</v>
      </c>
      <c r="O3526">
        <v>24.54</v>
      </c>
      <c r="P3526">
        <v>24.14</v>
      </c>
      <c r="Q3526">
        <v>24.37</v>
      </c>
      <c r="R3526">
        <v>24.35</v>
      </c>
      <c r="S3526">
        <v>1.64</v>
      </c>
      <c r="T3526">
        <v>0.77</v>
      </c>
      <c r="U3526">
        <v>4.17</v>
      </c>
      <c r="V3526">
        <v>30</v>
      </c>
      <c r="W3526">
        <v>24.38</v>
      </c>
      <c r="X3526">
        <v>7688</v>
      </c>
      <c r="Y3526">
        <v>9273</v>
      </c>
      <c r="Z3526">
        <v>0.83</v>
      </c>
      <c r="AA3526">
        <v>48</v>
      </c>
      <c r="AB3526">
        <v>144</v>
      </c>
      <c r="AC3526">
        <v>2.97</v>
      </c>
      <c r="AD3526" t="s">
        <v>9269</v>
      </c>
      <c r="AE3526" t="s">
        <v>2948</v>
      </c>
      <c r="AF3526" t="s">
        <v>17515</v>
      </c>
      <c r="AG3526" t="s">
        <v>17516</v>
      </c>
      <c r="AH3526">
        <v>-0.73</v>
      </c>
      <c r="AI3526">
        <v>-1.88</v>
      </c>
      <c r="AJ3526">
        <v>3.26</v>
      </c>
      <c r="AK3526">
        <v>7.94</v>
      </c>
      <c r="AL3526">
        <v>1</v>
      </c>
      <c r="AM3526">
        <v>0.53</v>
      </c>
      <c r="AN3526">
        <v>-5.85</v>
      </c>
      <c r="AO3526">
        <v>-1.65</v>
      </c>
      <c r="AP3526">
        <v>-19.31</v>
      </c>
    </row>
    <row r="3527" spans="1:42">
      <c r="A3527">
        <v>3526</v>
      </c>
      <c r="B3527" t="str">
        <f>"300963"</f>
        <v>300963</v>
      </c>
      <c r="C3527" t="s">
        <v>17517</v>
      </c>
      <c r="D3527">
        <v>13.15</v>
      </c>
      <c r="E3527">
        <v>-1.87</v>
      </c>
      <c r="F3527">
        <v>-0.25</v>
      </c>
      <c r="G3527" t="s">
        <v>4733</v>
      </c>
      <c r="H3527">
        <v>413</v>
      </c>
      <c r="I3527">
        <v>13.15</v>
      </c>
      <c r="J3527">
        <v>13.17</v>
      </c>
      <c r="K3527" t="s">
        <v>17518</v>
      </c>
      <c r="L3527">
        <v>3.02</v>
      </c>
      <c r="M3527" t="s">
        <v>46</v>
      </c>
      <c r="N3527" t="s">
        <v>1686</v>
      </c>
      <c r="O3527">
        <v>13.52</v>
      </c>
      <c r="P3527">
        <v>13.02</v>
      </c>
      <c r="Q3527">
        <v>13.52</v>
      </c>
      <c r="R3527">
        <v>13.4</v>
      </c>
      <c r="S3527">
        <v>3.73</v>
      </c>
      <c r="T3527">
        <v>0.96</v>
      </c>
      <c r="U3527">
        <v>29.16</v>
      </c>
      <c r="V3527">
        <v>368</v>
      </c>
      <c r="W3527">
        <v>13.14</v>
      </c>
      <c r="X3527" t="s">
        <v>578</v>
      </c>
      <c r="Y3527" t="s">
        <v>7487</v>
      </c>
      <c r="Z3527">
        <v>0.95</v>
      </c>
      <c r="AA3527">
        <v>269</v>
      </c>
      <c r="AB3527">
        <v>26</v>
      </c>
      <c r="AC3527">
        <v>3.12</v>
      </c>
      <c r="AD3527" t="s">
        <v>17519</v>
      </c>
      <c r="AE3527" t="s">
        <v>1479</v>
      </c>
      <c r="AF3527" t="s">
        <v>4056</v>
      </c>
      <c r="AG3527" t="s">
        <v>3086</v>
      </c>
      <c r="AH3527">
        <v>-3.87</v>
      </c>
      <c r="AI3527">
        <v>-0.53</v>
      </c>
      <c r="AJ3527">
        <v>9.68</v>
      </c>
      <c r="AK3527">
        <v>18.78</v>
      </c>
      <c r="AL3527">
        <v>-3</v>
      </c>
      <c r="AM3527">
        <v>-1.87</v>
      </c>
      <c r="AN3527">
        <v>30.98</v>
      </c>
      <c r="AO3527">
        <v>3.22</v>
      </c>
      <c r="AP3527">
        <v>13.07</v>
      </c>
    </row>
    <row r="3528" spans="1:42">
      <c r="A3528">
        <v>3527</v>
      </c>
      <c r="B3528" t="str">
        <f>"002110"</f>
        <v>002110</v>
      </c>
      <c r="C3528" t="s">
        <v>17520</v>
      </c>
      <c r="D3528">
        <v>4.41</v>
      </c>
      <c r="E3528">
        <v>0.92</v>
      </c>
      <c r="F3528">
        <v>0.04</v>
      </c>
      <c r="G3528" t="s">
        <v>3003</v>
      </c>
      <c r="H3528">
        <v>663</v>
      </c>
      <c r="I3528">
        <v>4.4</v>
      </c>
      <c r="J3528">
        <v>4.41</v>
      </c>
      <c r="K3528" t="s">
        <v>17518</v>
      </c>
      <c r="L3528">
        <v>0.38</v>
      </c>
      <c r="M3528" t="s">
        <v>46</v>
      </c>
      <c r="N3528" t="s">
        <v>17521</v>
      </c>
      <c r="O3528">
        <v>4.43</v>
      </c>
      <c r="P3528">
        <v>4.36</v>
      </c>
      <c r="Q3528">
        <v>4.39</v>
      </c>
      <c r="R3528">
        <v>4.37</v>
      </c>
      <c r="S3528">
        <v>1.6</v>
      </c>
      <c r="T3528">
        <v>1.07</v>
      </c>
      <c r="U3528">
        <v>5.55</v>
      </c>
      <c r="V3528">
        <v>728</v>
      </c>
      <c r="W3528">
        <v>4.4</v>
      </c>
      <c r="X3528" t="s">
        <v>8404</v>
      </c>
      <c r="Y3528" t="s">
        <v>2649</v>
      </c>
      <c r="Z3528">
        <v>0.75</v>
      </c>
      <c r="AA3528">
        <v>1678</v>
      </c>
      <c r="AB3528">
        <v>37</v>
      </c>
      <c r="AC3528">
        <v>0.53</v>
      </c>
      <c r="AD3528" t="s">
        <v>17522</v>
      </c>
      <c r="AE3528" t="s">
        <v>8422</v>
      </c>
      <c r="AF3528" t="s">
        <v>17522</v>
      </c>
      <c r="AG3528" t="s">
        <v>8422</v>
      </c>
      <c r="AH3528">
        <v>-1.78</v>
      </c>
      <c r="AI3528">
        <v>-2.43</v>
      </c>
      <c r="AJ3528">
        <v>1.14</v>
      </c>
      <c r="AK3528">
        <v>2.17</v>
      </c>
      <c r="AL3528">
        <v>1</v>
      </c>
      <c r="AM3528">
        <v>0.92</v>
      </c>
      <c r="AN3528">
        <v>-5.16</v>
      </c>
      <c r="AO3528">
        <v>-4.13</v>
      </c>
      <c r="AP3528">
        <v>-9.26</v>
      </c>
    </row>
    <row r="3529" spans="1:42">
      <c r="A3529">
        <v>3528</v>
      </c>
      <c r="B3529" t="str">
        <f>"688439"</f>
        <v>688439</v>
      </c>
      <c r="C3529" t="s">
        <v>17523</v>
      </c>
      <c r="D3529">
        <v>94</v>
      </c>
      <c r="E3529">
        <v>-0.23</v>
      </c>
      <c r="F3529">
        <v>-0.22</v>
      </c>
      <c r="G3529">
        <v>4397</v>
      </c>
      <c r="H3529">
        <v>42</v>
      </c>
      <c r="I3529">
        <v>94</v>
      </c>
      <c r="J3529">
        <v>94.2</v>
      </c>
      <c r="K3529" t="s">
        <v>17524</v>
      </c>
      <c r="L3529">
        <v>0.46</v>
      </c>
      <c r="M3529" t="s">
        <v>46</v>
      </c>
      <c r="N3529" t="s">
        <v>4922</v>
      </c>
      <c r="O3529">
        <v>95.24</v>
      </c>
      <c r="P3529">
        <v>92.95</v>
      </c>
      <c r="Q3529">
        <v>93.65</v>
      </c>
      <c r="R3529">
        <v>94.22</v>
      </c>
      <c r="S3529">
        <v>2.43</v>
      </c>
      <c r="T3529">
        <v>0.5</v>
      </c>
      <c r="U3529">
        <v>18.98</v>
      </c>
      <c r="V3529">
        <v>21</v>
      </c>
      <c r="W3529">
        <v>93.96</v>
      </c>
      <c r="X3529">
        <v>1737</v>
      </c>
      <c r="Y3529">
        <v>2659</v>
      </c>
      <c r="Z3529">
        <v>0.65</v>
      </c>
      <c r="AA3529">
        <v>3</v>
      </c>
      <c r="AB3529">
        <v>5</v>
      </c>
      <c r="AC3529">
        <v>4.16</v>
      </c>
      <c r="AD3529" t="s">
        <v>5838</v>
      </c>
      <c r="AE3529" t="s">
        <v>6206</v>
      </c>
      <c r="AF3529" t="s">
        <v>17525</v>
      </c>
      <c r="AG3529" t="s">
        <v>17526</v>
      </c>
      <c r="AH3529">
        <v>-2.08</v>
      </c>
      <c r="AI3529">
        <v>0.75</v>
      </c>
      <c r="AJ3529">
        <v>1.88</v>
      </c>
      <c r="AK3529">
        <v>5.12</v>
      </c>
      <c r="AL3529">
        <v>-3</v>
      </c>
      <c r="AM3529">
        <v>-0.23</v>
      </c>
      <c r="AN3529">
        <v>-20.68</v>
      </c>
      <c r="AO3529">
        <v>4.21</v>
      </c>
      <c r="AP3529">
        <v>-27.74</v>
      </c>
    </row>
    <row r="3530" spans="1:42">
      <c r="A3530">
        <v>3529</v>
      </c>
      <c r="B3530" t="str">
        <f>"300441"</f>
        <v>300441</v>
      </c>
      <c r="C3530" t="s">
        <v>17527</v>
      </c>
      <c r="D3530">
        <v>6.76</v>
      </c>
      <c r="E3530">
        <v>-1.31</v>
      </c>
      <c r="F3530">
        <v>-0.09</v>
      </c>
      <c r="G3530" t="s">
        <v>5124</v>
      </c>
      <c r="H3530">
        <v>698</v>
      </c>
      <c r="I3530">
        <v>6.75</v>
      </c>
      <c r="J3530">
        <v>6.76</v>
      </c>
      <c r="K3530" t="s">
        <v>17528</v>
      </c>
      <c r="L3530">
        <v>0.95</v>
      </c>
      <c r="M3530" t="s">
        <v>46</v>
      </c>
      <c r="N3530" t="s">
        <v>4071</v>
      </c>
      <c r="O3530">
        <v>6.87</v>
      </c>
      <c r="P3530">
        <v>6.72</v>
      </c>
      <c r="Q3530">
        <v>6.84</v>
      </c>
      <c r="R3530">
        <v>6.85</v>
      </c>
      <c r="S3530">
        <v>2.19</v>
      </c>
      <c r="T3530">
        <v>0.91</v>
      </c>
      <c r="U3530">
        <v>-9.76</v>
      </c>
      <c r="V3530">
        <v>-514</v>
      </c>
      <c r="W3530">
        <v>6.76</v>
      </c>
      <c r="X3530" t="s">
        <v>1687</v>
      </c>
      <c r="Y3530" t="s">
        <v>8952</v>
      </c>
      <c r="Z3530">
        <v>1.21</v>
      </c>
      <c r="AA3530">
        <v>196</v>
      </c>
      <c r="AB3530">
        <v>1206</v>
      </c>
      <c r="AC3530">
        <v>2.52</v>
      </c>
      <c r="AD3530" t="s">
        <v>17529</v>
      </c>
      <c r="AE3530" t="s">
        <v>15883</v>
      </c>
      <c r="AF3530" t="s">
        <v>10769</v>
      </c>
      <c r="AG3530" t="s">
        <v>12792</v>
      </c>
      <c r="AH3530">
        <v>-2.31</v>
      </c>
      <c r="AI3530">
        <v>-2.17</v>
      </c>
      <c r="AJ3530">
        <v>2.9</v>
      </c>
      <c r="AK3530">
        <v>6.17</v>
      </c>
      <c r="AL3530">
        <v>-3</v>
      </c>
      <c r="AM3530">
        <v>-1.31</v>
      </c>
      <c r="AN3530">
        <v>25.19</v>
      </c>
      <c r="AO3530">
        <v>2.11</v>
      </c>
      <c r="AP3530">
        <v>9.21</v>
      </c>
    </row>
    <row r="3531" spans="1:42">
      <c r="A3531">
        <v>3530</v>
      </c>
      <c r="B3531" t="str">
        <f>"430047"</f>
        <v>430047</v>
      </c>
      <c r="C3531" t="s">
        <v>17530</v>
      </c>
      <c r="D3531">
        <v>17.57</v>
      </c>
      <c r="E3531">
        <v>-2.23</v>
      </c>
      <c r="F3531">
        <v>-0.4</v>
      </c>
      <c r="G3531" t="s">
        <v>5620</v>
      </c>
      <c r="H3531">
        <v>250</v>
      </c>
      <c r="I3531">
        <v>17.57</v>
      </c>
      <c r="J3531">
        <v>17.58</v>
      </c>
      <c r="K3531" t="s">
        <v>17531</v>
      </c>
      <c r="L3531">
        <v>1.42</v>
      </c>
      <c r="M3531" t="s">
        <v>46</v>
      </c>
      <c r="N3531" t="s">
        <v>16467</v>
      </c>
      <c r="O3531">
        <v>18.36</v>
      </c>
      <c r="P3531">
        <v>17.25</v>
      </c>
      <c r="Q3531">
        <v>18.12</v>
      </c>
      <c r="R3531">
        <v>17.97</v>
      </c>
      <c r="S3531">
        <v>6.18</v>
      </c>
      <c r="T3531">
        <v>0.33</v>
      </c>
      <c r="U3531">
        <v>38.08</v>
      </c>
      <c r="V3531">
        <v>166</v>
      </c>
      <c r="W3531">
        <v>17.75</v>
      </c>
      <c r="X3531" t="s">
        <v>61</v>
      </c>
      <c r="Y3531">
        <v>8041</v>
      </c>
      <c r="Z3531">
        <v>1.89</v>
      </c>
      <c r="AA3531">
        <v>203</v>
      </c>
      <c r="AB3531">
        <v>11</v>
      </c>
      <c r="AC3531">
        <v>27.25</v>
      </c>
      <c r="AD3531" t="s">
        <v>12176</v>
      </c>
      <c r="AE3531" t="s">
        <v>9079</v>
      </c>
      <c r="AF3531" t="s">
        <v>17532</v>
      </c>
      <c r="AG3531" t="s">
        <v>17533</v>
      </c>
      <c r="AH3531">
        <v>-5.79</v>
      </c>
      <c r="AI3531">
        <v>-3.2</v>
      </c>
      <c r="AJ3531">
        <v>8.58</v>
      </c>
      <c r="AK3531">
        <v>23.17</v>
      </c>
      <c r="AL3531">
        <v>-1</v>
      </c>
      <c r="AM3531">
        <v>-2.23</v>
      </c>
      <c r="AN3531">
        <v>20.76</v>
      </c>
      <c r="AO3531">
        <v>18.4</v>
      </c>
      <c r="AP3531">
        <v>40.67</v>
      </c>
    </row>
    <row r="3532" spans="1:42">
      <c r="A3532">
        <v>3531</v>
      </c>
      <c r="B3532" t="str">
        <f>"688566"</f>
        <v>688566</v>
      </c>
      <c r="C3532" t="s">
        <v>17534</v>
      </c>
      <c r="D3532">
        <v>29.22</v>
      </c>
      <c r="E3532">
        <v>1.28</v>
      </c>
      <c r="F3532">
        <v>0.37</v>
      </c>
      <c r="G3532" t="s">
        <v>4717</v>
      </c>
      <c r="H3532">
        <v>72</v>
      </c>
      <c r="I3532">
        <v>29.21</v>
      </c>
      <c r="J3532">
        <v>29.22</v>
      </c>
      <c r="K3532" t="s">
        <v>17535</v>
      </c>
      <c r="L3532">
        <v>0.75</v>
      </c>
      <c r="M3532" t="s">
        <v>46</v>
      </c>
      <c r="N3532" t="s">
        <v>16070</v>
      </c>
      <c r="O3532">
        <v>29.46</v>
      </c>
      <c r="P3532">
        <v>28.72</v>
      </c>
      <c r="Q3532">
        <v>28.8</v>
      </c>
      <c r="R3532">
        <v>28.85</v>
      </c>
      <c r="S3532">
        <v>2.56</v>
      </c>
      <c r="T3532">
        <v>0.87</v>
      </c>
      <c r="U3532">
        <v>-57.4</v>
      </c>
      <c r="V3532">
        <v>-76</v>
      </c>
      <c r="W3532">
        <v>29.14</v>
      </c>
      <c r="X3532">
        <v>6917</v>
      </c>
      <c r="Y3532">
        <v>7218</v>
      </c>
      <c r="Z3532">
        <v>0.96</v>
      </c>
      <c r="AA3532">
        <v>13</v>
      </c>
      <c r="AB3532">
        <v>4</v>
      </c>
      <c r="AC3532">
        <v>3.01</v>
      </c>
      <c r="AD3532" t="s">
        <v>17536</v>
      </c>
      <c r="AE3532" t="s">
        <v>17537</v>
      </c>
      <c r="AF3532" t="s">
        <v>17536</v>
      </c>
      <c r="AG3532" t="s">
        <v>17537</v>
      </c>
      <c r="AH3532">
        <v>0.17</v>
      </c>
      <c r="AI3532">
        <v>-0.24</v>
      </c>
      <c r="AJ3532">
        <v>2.08</v>
      </c>
      <c r="AK3532">
        <v>5.05</v>
      </c>
      <c r="AL3532">
        <v>1</v>
      </c>
      <c r="AM3532">
        <v>1.28</v>
      </c>
      <c r="AN3532">
        <v>37.96</v>
      </c>
      <c r="AO3532">
        <v>1.63</v>
      </c>
      <c r="AP3532">
        <v>8.79</v>
      </c>
    </row>
    <row r="3533" spans="1:42">
      <c r="A3533">
        <v>3532</v>
      </c>
      <c r="B3533" t="str">
        <f>"603733"</f>
        <v>603733</v>
      </c>
      <c r="C3533" t="s">
        <v>17538</v>
      </c>
      <c r="D3533">
        <v>17.85</v>
      </c>
      <c r="E3533">
        <v>-0.89</v>
      </c>
      <c r="F3533">
        <v>-0.16</v>
      </c>
      <c r="G3533" t="s">
        <v>1710</v>
      </c>
      <c r="H3533">
        <v>63</v>
      </c>
      <c r="I3533">
        <v>17.85</v>
      </c>
      <c r="J3533">
        <v>17.87</v>
      </c>
      <c r="K3533" t="s">
        <v>17539</v>
      </c>
      <c r="L3533">
        <v>0.33</v>
      </c>
      <c r="M3533" t="s">
        <v>46</v>
      </c>
      <c r="N3533" t="s">
        <v>7153</v>
      </c>
      <c r="O3533">
        <v>18.15</v>
      </c>
      <c r="P3533">
        <v>17.73</v>
      </c>
      <c r="Q3533">
        <v>18.06</v>
      </c>
      <c r="R3533">
        <v>18.01</v>
      </c>
      <c r="S3533">
        <v>2.33</v>
      </c>
      <c r="T3533">
        <v>1.08</v>
      </c>
      <c r="U3533">
        <v>48.73</v>
      </c>
      <c r="V3533">
        <v>249</v>
      </c>
      <c r="W3533">
        <v>17.84</v>
      </c>
      <c r="X3533" t="s">
        <v>4525</v>
      </c>
      <c r="Y3533">
        <v>9251</v>
      </c>
      <c r="Z3533">
        <v>1.49</v>
      </c>
      <c r="AA3533">
        <v>146</v>
      </c>
      <c r="AB3533">
        <v>17</v>
      </c>
      <c r="AC3533">
        <v>1.86</v>
      </c>
      <c r="AD3533" t="s">
        <v>17540</v>
      </c>
      <c r="AE3533" t="s">
        <v>611</v>
      </c>
      <c r="AF3533" t="s">
        <v>17540</v>
      </c>
      <c r="AG3533" t="s">
        <v>611</v>
      </c>
      <c r="AH3533">
        <v>-0.45</v>
      </c>
      <c r="AI3533">
        <v>-1.6</v>
      </c>
      <c r="AJ3533">
        <v>0.88</v>
      </c>
      <c r="AK3533">
        <v>1.84</v>
      </c>
      <c r="AL3533">
        <v>-1</v>
      </c>
      <c r="AM3533">
        <v>-0.89</v>
      </c>
      <c r="AN3533">
        <v>-40.82</v>
      </c>
      <c r="AO3533">
        <v>-4.55</v>
      </c>
      <c r="AP3533">
        <v>-38.68</v>
      </c>
    </row>
    <row r="3534" spans="1:42">
      <c r="A3534">
        <v>3533</v>
      </c>
      <c r="B3534" t="str">
        <f>"002546"</f>
        <v>002546</v>
      </c>
      <c r="C3534" t="s">
        <v>17541</v>
      </c>
      <c r="D3534">
        <v>5.07</v>
      </c>
      <c r="E3534">
        <v>0.8</v>
      </c>
      <c r="F3534">
        <v>0.04</v>
      </c>
      <c r="G3534" t="s">
        <v>11358</v>
      </c>
      <c r="H3534">
        <v>366</v>
      </c>
      <c r="I3534">
        <v>5.07</v>
      </c>
      <c r="J3534">
        <v>5.08</v>
      </c>
      <c r="K3534" t="s">
        <v>17542</v>
      </c>
      <c r="L3534">
        <v>1.02</v>
      </c>
      <c r="M3534" t="s">
        <v>46</v>
      </c>
      <c r="N3534" t="s">
        <v>17480</v>
      </c>
      <c r="O3534">
        <v>5.08</v>
      </c>
      <c r="P3534">
        <v>5</v>
      </c>
      <c r="Q3534">
        <v>5.03</v>
      </c>
      <c r="R3534">
        <v>5.03</v>
      </c>
      <c r="S3534">
        <v>1.59</v>
      </c>
      <c r="T3534">
        <v>0.81</v>
      </c>
      <c r="U3534">
        <v>-26.15</v>
      </c>
      <c r="V3534">
        <v>-3319</v>
      </c>
      <c r="W3534">
        <v>5.04</v>
      </c>
      <c r="X3534" t="s">
        <v>5355</v>
      </c>
      <c r="Y3534" t="s">
        <v>2752</v>
      </c>
      <c r="Z3534">
        <v>0.99</v>
      </c>
      <c r="AA3534">
        <v>1280</v>
      </c>
      <c r="AB3534">
        <v>3923</v>
      </c>
      <c r="AC3534">
        <v>1.32</v>
      </c>
      <c r="AD3534" t="s">
        <v>17543</v>
      </c>
      <c r="AE3534" t="s">
        <v>15436</v>
      </c>
      <c r="AF3534" t="s">
        <v>17544</v>
      </c>
      <c r="AG3534" t="s">
        <v>15430</v>
      </c>
      <c r="AH3534">
        <v>-0.98</v>
      </c>
      <c r="AI3534">
        <v>-0.39</v>
      </c>
      <c r="AJ3534">
        <v>3.09</v>
      </c>
      <c r="AK3534">
        <v>7.3</v>
      </c>
      <c r="AL3534">
        <v>1</v>
      </c>
      <c r="AM3534">
        <v>0.8</v>
      </c>
      <c r="AN3534">
        <v>44.03</v>
      </c>
      <c r="AO3534">
        <v>4.54</v>
      </c>
      <c r="AP3534">
        <v>32.38</v>
      </c>
    </row>
    <row r="3535" spans="1:42">
      <c r="A3535">
        <v>3534</v>
      </c>
      <c r="B3535" t="str">
        <f>"300221"</f>
        <v>300221</v>
      </c>
      <c r="C3535" t="s">
        <v>17545</v>
      </c>
      <c r="D3535">
        <v>5.78</v>
      </c>
      <c r="E3535">
        <v>0</v>
      </c>
      <c r="F3535">
        <v>0</v>
      </c>
      <c r="G3535" t="s">
        <v>17546</v>
      </c>
      <c r="H3535">
        <v>736</v>
      </c>
      <c r="I3535">
        <v>5.77</v>
      </c>
      <c r="J3535">
        <v>5.78</v>
      </c>
      <c r="K3535" t="s">
        <v>17547</v>
      </c>
      <c r="L3535">
        <v>1.56</v>
      </c>
      <c r="M3535" t="s">
        <v>46</v>
      </c>
      <c r="N3535" t="s">
        <v>654</v>
      </c>
      <c r="O3535">
        <v>5.82</v>
      </c>
      <c r="P3535">
        <v>5.75</v>
      </c>
      <c r="Q3535">
        <v>5.78</v>
      </c>
      <c r="R3535">
        <v>5.78</v>
      </c>
      <c r="S3535">
        <v>1.21</v>
      </c>
      <c r="T3535">
        <v>0.91</v>
      </c>
      <c r="U3535">
        <v>-12.56</v>
      </c>
      <c r="V3535">
        <v>-408</v>
      </c>
      <c r="W3535">
        <v>5.78</v>
      </c>
      <c r="X3535" t="s">
        <v>6025</v>
      </c>
      <c r="Y3535" t="s">
        <v>5323</v>
      </c>
      <c r="Z3535">
        <v>0.96</v>
      </c>
      <c r="AA3535">
        <v>408</v>
      </c>
      <c r="AB3535">
        <v>65</v>
      </c>
      <c r="AC3535">
        <v>2.1</v>
      </c>
      <c r="AD3535" t="s">
        <v>10663</v>
      </c>
      <c r="AE3535" t="s">
        <v>9506</v>
      </c>
      <c r="AF3535" t="s">
        <v>17548</v>
      </c>
      <c r="AG3535" t="s">
        <v>17549</v>
      </c>
      <c r="AH3535">
        <v>-2.36</v>
      </c>
      <c r="AI3535">
        <v>-3.02</v>
      </c>
      <c r="AJ3535">
        <v>4.68</v>
      </c>
      <c r="AK3535">
        <v>10.11</v>
      </c>
      <c r="AL3535">
        <v>0</v>
      </c>
      <c r="AM3535">
        <v>0</v>
      </c>
      <c r="AN3535">
        <v>20.42</v>
      </c>
      <c r="AO3535">
        <v>1.76</v>
      </c>
      <c r="AP3535">
        <v>9.89</v>
      </c>
    </row>
    <row r="3536" spans="1:42">
      <c r="A3536">
        <v>3535</v>
      </c>
      <c r="B3536" t="str">
        <f>"300111"</f>
        <v>300111</v>
      </c>
      <c r="C3536" t="s">
        <v>17550</v>
      </c>
      <c r="D3536">
        <v>3.22</v>
      </c>
      <c r="E3536">
        <v>0.31</v>
      </c>
      <c r="F3536">
        <v>0.01</v>
      </c>
      <c r="G3536" t="s">
        <v>3971</v>
      </c>
      <c r="H3536">
        <v>1475</v>
      </c>
      <c r="I3536">
        <v>3.21</v>
      </c>
      <c r="J3536">
        <v>3.22</v>
      </c>
      <c r="K3536" t="s">
        <v>17551</v>
      </c>
      <c r="L3536">
        <v>1.14</v>
      </c>
      <c r="M3536" t="s">
        <v>46</v>
      </c>
      <c r="N3536" t="s">
        <v>6057</v>
      </c>
      <c r="O3536">
        <v>3.24</v>
      </c>
      <c r="P3536">
        <v>3.18</v>
      </c>
      <c r="Q3536">
        <v>3.21</v>
      </c>
      <c r="R3536">
        <v>3.21</v>
      </c>
      <c r="S3536">
        <v>1.87</v>
      </c>
      <c r="T3536">
        <v>0.5</v>
      </c>
      <c r="U3536">
        <v>-15.7</v>
      </c>
      <c r="V3536">
        <v>-6352</v>
      </c>
      <c r="W3536">
        <v>3.22</v>
      </c>
      <c r="X3536" t="s">
        <v>5064</v>
      </c>
      <c r="Y3536" t="s">
        <v>3207</v>
      </c>
      <c r="Z3536">
        <v>0.79</v>
      </c>
      <c r="AA3536">
        <v>7158</v>
      </c>
      <c r="AB3536">
        <v>344</v>
      </c>
      <c r="AC3536">
        <v>6.09</v>
      </c>
      <c r="AD3536" t="s">
        <v>17552</v>
      </c>
      <c r="AE3536" t="s">
        <v>17553</v>
      </c>
      <c r="AF3536" t="s">
        <v>10907</v>
      </c>
      <c r="AG3536" t="s">
        <v>16125</v>
      </c>
      <c r="AH3536">
        <v>-0.92</v>
      </c>
      <c r="AI3536">
        <v>-2.42</v>
      </c>
      <c r="AJ3536">
        <v>4.54</v>
      </c>
      <c r="AK3536">
        <v>12.46</v>
      </c>
      <c r="AL3536">
        <v>2</v>
      </c>
      <c r="AM3536">
        <v>0.31</v>
      </c>
      <c r="AN3536">
        <v>-1.23</v>
      </c>
      <c r="AO3536">
        <v>4.55</v>
      </c>
      <c r="AP3536">
        <v>3.21</v>
      </c>
    </row>
    <row r="3537" spans="1:42">
      <c r="A3537">
        <v>3536</v>
      </c>
      <c r="B3537" t="str">
        <f>"002438"</f>
        <v>002438</v>
      </c>
      <c r="C3537" t="s">
        <v>17554</v>
      </c>
      <c r="D3537">
        <v>10.52</v>
      </c>
      <c r="E3537">
        <v>-1.41</v>
      </c>
      <c r="F3537">
        <v>-0.15</v>
      </c>
      <c r="G3537" t="s">
        <v>5774</v>
      </c>
      <c r="H3537">
        <v>714</v>
      </c>
      <c r="I3537">
        <v>10.52</v>
      </c>
      <c r="J3537">
        <v>10.53</v>
      </c>
      <c r="K3537" t="s">
        <v>17555</v>
      </c>
      <c r="L3537">
        <v>0.83</v>
      </c>
      <c r="M3537" t="s">
        <v>46</v>
      </c>
      <c r="N3537" t="s">
        <v>3409</v>
      </c>
      <c r="O3537">
        <v>10.67</v>
      </c>
      <c r="P3537">
        <v>10.43</v>
      </c>
      <c r="Q3537">
        <v>10.6</v>
      </c>
      <c r="R3537">
        <v>10.67</v>
      </c>
      <c r="S3537">
        <v>2.25</v>
      </c>
      <c r="T3537">
        <v>0.9</v>
      </c>
      <c r="U3537">
        <v>69.93</v>
      </c>
      <c r="V3537">
        <v>1498</v>
      </c>
      <c r="W3537">
        <v>10.52</v>
      </c>
      <c r="X3537" t="s">
        <v>1212</v>
      </c>
      <c r="Y3537" t="s">
        <v>8137</v>
      </c>
      <c r="Z3537">
        <v>1.36</v>
      </c>
      <c r="AA3537">
        <v>101</v>
      </c>
      <c r="AB3537">
        <v>40</v>
      </c>
      <c r="AC3537">
        <v>1.71</v>
      </c>
      <c r="AD3537" t="s">
        <v>17556</v>
      </c>
      <c r="AE3537" t="s">
        <v>12262</v>
      </c>
      <c r="AF3537" t="s">
        <v>17557</v>
      </c>
      <c r="AG3537" t="s">
        <v>4430</v>
      </c>
      <c r="AH3537">
        <v>-2.86</v>
      </c>
      <c r="AI3537">
        <v>-1.13</v>
      </c>
      <c r="AJ3537">
        <v>3.35</v>
      </c>
      <c r="AK3537">
        <v>5.44</v>
      </c>
      <c r="AL3537">
        <v>-2</v>
      </c>
      <c r="AM3537">
        <v>-1.41</v>
      </c>
      <c r="AN3537">
        <v>-3.31</v>
      </c>
      <c r="AO3537">
        <v>4.57</v>
      </c>
      <c r="AP3537">
        <v>-13.2</v>
      </c>
    </row>
    <row r="3538" spans="1:42">
      <c r="A3538">
        <v>3537</v>
      </c>
      <c r="B3538" t="str">
        <f>"872392"</f>
        <v>872392</v>
      </c>
      <c r="C3538" t="s">
        <v>17558</v>
      </c>
      <c r="D3538">
        <v>10.4</v>
      </c>
      <c r="E3538">
        <v>4</v>
      </c>
      <c r="F3538">
        <v>0.4</v>
      </c>
      <c r="G3538" t="s">
        <v>6912</v>
      </c>
      <c r="H3538">
        <v>253</v>
      </c>
      <c r="I3538">
        <v>10.27</v>
      </c>
      <c r="J3538">
        <v>10.4</v>
      </c>
      <c r="K3538" t="s">
        <v>17559</v>
      </c>
      <c r="L3538">
        <v>24.11</v>
      </c>
      <c r="M3538" t="s">
        <v>46</v>
      </c>
      <c r="N3538" t="s">
        <v>6551</v>
      </c>
      <c r="O3538">
        <v>12.48</v>
      </c>
      <c r="P3538">
        <v>10</v>
      </c>
      <c r="Q3538">
        <v>10.6</v>
      </c>
      <c r="R3538">
        <v>10</v>
      </c>
      <c r="S3538">
        <v>24.8</v>
      </c>
      <c r="T3538">
        <v>0.83</v>
      </c>
      <c r="U3538">
        <v>-13.24</v>
      </c>
      <c r="V3538">
        <v>-58</v>
      </c>
      <c r="W3538">
        <v>11.24</v>
      </c>
      <c r="X3538" t="s">
        <v>1280</v>
      </c>
      <c r="Y3538" t="s">
        <v>8137</v>
      </c>
      <c r="Z3538">
        <v>1.21</v>
      </c>
      <c r="AA3538">
        <v>20</v>
      </c>
      <c r="AB3538">
        <v>78</v>
      </c>
      <c r="AC3538">
        <v>2</v>
      </c>
      <c r="AD3538" t="s">
        <v>17560</v>
      </c>
      <c r="AE3538" t="s">
        <v>12189</v>
      </c>
      <c r="AF3538" t="s">
        <v>17561</v>
      </c>
      <c r="AG3538" t="s">
        <v>17562</v>
      </c>
      <c r="AH3538">
        <v>-8.77</v>
      </c>
      <c r="AI3538">
        <v>34.54</v>
      </c>
      <c r="AJ3538">
        <v>65.64</v>
      </c>
      <c r="AK3538">
        <v>170.19</v>
      </c>
      <c r="AL3538">
        <v>2</v>
      </c>
      <c r="AM3538">
        <v>4</v>
      </c>
      <c r="AN3538">
        <v>36.84</v>
      </c>
      <c r="AO3538">
        <v>79.93</v>
      </c>
      <c r="AP3538">
        <v>-2.89</v>
      </c>
    </row>
    <row r="3539" spans="1:42">
      <c r="A3539">
        <v>3538</v>
      </c>
      <c r="B3539" t="str">
        <f>"600603"</f>
        <v>600603</v>
      </c>
      <c r="C3539" t="s">
        <v>17563</v>
      </c>
      <c r="D3539">
        <v>6.61</v>
      </c>
      <c r="E3539">
        <v>0.76</v>
      </c>
      <c r="F3539">
        <v>0.05</v>
      </c>
      <c r="G3539" t="s">
        <v>4746</v>
      </c>
      <c r="H3539">
        <v>311</v>
      </c>
      <c r="I3539">
        <v>6.6</v>
      </c>
      <c r="J3539">
        <v>6.61</v>
      </c>
      <c r="K3539" t="s">
        <v>17564</v>
      </c>
      <c r="L3539">
        <v>0.51</v>
      </c>
      <c r="M3539" t="s">
        <v>46</v>
      </c>
      <c r="N3539" t="s">
        <v>67</v>
      </c>
      <c r="O3539">
        <v>6.65</v>
      </c>
      <c r="P3539">
        <v>6.52</v>
      </c>
      <c r="Q3539">
        <v>6.55</v>
      </c>
      <c r="R3539">
        <v>6.56</v>
      </c>
      <c r="S3539">
        <v>1.98</v>
      </c>
      <c r="T3539">
        <v>0.84</v>
      </c>
      <c r="U3539">
        <v>7.6</v>
      </c>
      <c r="V3539">
        <v>647</v>
      </c>
      <c r="W3539">
        <v>6.6</v>
      </c>
      <c r="X3539" t="s">
        <v>5302</v>
      </c>
      <c r="Y3539" t="s">
        <v>3226</v>
      </c>
      <c r="Z3539">
        <v>0.97</v>
      </c>
      <c r="AA3539">
        <v>2267</v>
      </c>
      <c r="AB3539">
        <v>185</v>
      </c>
      <c r="AC3539">
        <v>1.32</v>
      </c>
      <c r="AD3539" t="s">
        <v>2987</v>
      </c>
      <c r="AE3539" t="s">
        <v>17565</v>
      </c>
      <c r="AF3539" t="s">
        <v>2987</v>
      </c>
      <c r="AG3539" t="s">
        <v>17565</v>
      </c>
      <c r="AH3539">
        <v>0.92</v>
      </c>
      <c r="AI3539">
        <v>-0.9</v>
      </c>
      <c r="AJ3539">
        <v>1.61</v>
      </c>
      <c r="AK3539">
        <v>3.5</v>
      </c>
      <c r="AL3539">
        <v>2</v>
      </c>
      <c r="AM3539">
        <v>0.76</v>
      </c>
      <c r="AN3539">
        <v>-19.19</v>
      </c>
      <c r="AO3539">
        <v>-3.36</v>
      </c>
      <c r="AP3539">
        <v>-12.8</v>
      </c>
    </row>
    <row r="3540" spans="1:42">
      <c r="A3540">
        <v>3539</v>
      </c>
      <c r="B3540" t="str">
        <f>"301102"</f>
        <v>301102</v>
      </c>
      <c r="C3540" t="s">
        <v>17566</v>
      </c>
      <c r="D3540">
        <v>20.22</v>
      </c>
      <c r="E3540">
        <v>4.28</v>
      </c>
      <c r="F3540">
        <v>0.83</v>
      </c>
      <c r="G3540" t="s">
        <v>3372</v>
      </c>
      <c r="H3540">
        <v>243</v>
      </c>
      <c r="I3540">
        <v>20.21</v>
      </c>
      <c r="J3540">
        <v>20.22</v>
      </c>
      <c r="K3540" t="s">
        <v>17567</v>
      </c>
      <c r="L3540">
        <v>2.89</v>
      </c>
      <c r="M3540" t="s">
        <v>46</v>
      </c>
      <c r="N3540" t="s">
        <v>3348</v>
      </c>
      <c r="O3540">
        <v>20.33</v>
      </c>
      <c r="P3540">
        <v>19.39</v>
      </c>
      <c r="Q3540">
        <v>19.39</v>
      </c>
      <c r="R3540">
        <v>19.39</v>
      </c>
      <c r="S3540">
        <v>4.85</v>
      </c>
      <c r="T3540">
        <v>1.39</v>
      </c>
      <c r="U3540">
        <v>7.8</v>
      </c>
      <c r="V3540">
        <v>44</v>
      </c>
      <c r="W3540">
        <v>19.94</v>
      </c>
      <c r="X3540">
        <v>8960</v>
      </c>
      <c r="Y3540" t="s">
        <v>1743</v>
      </c>
      <c r="Z3540">
        <v>0.77</v>
      </c>
      <c r="AA3540">
        <v>8</v>
      </c>
      <c r="AB3540">
        <v>45</v>
      </c>
      <c r="AC3540">
        <v>1.96</v>
      </c>
      <c r="AD3540" t="s">
        <v>16950</v>
      </c>
      <c r="AE3540" t="s">
        <v>17568</v>
      </c>
      <c r="AF3540" t="s">
        <v>17569</v>
      </c>
      <c r="AG3540" t="s">
        <v>16817</v>
      </c>
      <c r="AH3540">
        <v>2.59</v>
      </c>
      <c r="AI3540">
        <v>0.15</v>
      </c>
      <c r="AJ3540">
        <v>6.16</v>
      </c>
      <c r="AK3540">
        <v>13.29</v>
      </c>
      <c r="AL3540">
        <v>1</v>
      </c>
      <c r="AM3540">
        <v>4.28</v>
      </c>
      <c r="AN3540">
        <v>-19.79</v>
      </c>
      <c r="AO3540">
        <v>5.59</v>
      </c>
      <c r="AP3540">
        <v>0.05</v>
      </c>
    </row>
    <row r="3541" spans="1:42">
      <c r="A3541">
        <v>3540</v>
      </c>
      <c r="B3541" t="str">
        <f>"301238"</f>
        <v>301238</v>
      </c>
      <c r="C3541" t="s">
        <v>17570</v>
      </c>
      <c r="D3541">
        <v>17.34</v>
      </c>
      <c r="E3541">
        <v>-0.12</v>
      </c>
      <c r="F3541">
        <v>-0.02</v>
      </c>
      <c r="G3541" t="s">
        <v>6419</v>
      </c>
      <c r="H3541">
        <v>175</v>
      </c>
      <c r="I3541">
        <v>17.34</v>
      </c>
      <c r="J3541">
        <v>17.35</v>
      </c>
      <c r="K3541" t="s">
        <v>17567</v>
      </c>
      <c r="L3541">
        <v>1.11</v>
      </c>
      <c r="M3541" t="s">
        <v>46</v>
      </c>
      <c r="N3541" t="s">
        <v>2693</v>
      </c>
      <c r="O3541">
        <v>17.49</v>
      </c>
      <c r="P3541">
        <v>17.13</v>
      </c>
      <c r="Q3541">
        <v>17.37</v>
      </c>
      <c r="R3541">
        <v>17.36</v>
      </c>
      <c r="S3541">
        <v>2.07</v>
      </c>
      <c r="T3541">
        <v>1.21</v>
      </c>
      <c r="U3541">
        <v>-22.35</v>
      </c>
      <c r="V3541">
        <v>-190</v>
      </c>
      <c r="W3541">
        <v>17.27</v>
      </c>
      <c r="X3541" t="s">
        <v>4792</v>
      </c>
      <c r="Y3541" t="s">
        <v>2667</v>
      </c>
      <c r="Z3541">
        <v>1.08</v>
      </c>
      <c r="AA3541">
        <v>91</v>
      </c>
      <c r="AB3541">
        <v>136</v>
      </c>
      <c r="AC3541">
        <v>1.79</v>
      </c>
      <c r="AD3541" t="s">
        <v>9615</v>
      </c>
      <c r="AE3541" t="s">
        <v>13157</v>
      </c>
      <c r="AF3541" t="s">
        <v>17571</v>
      </c>
      <c r="AG3541" t="s">
        <v>17572</v>
      </c>
      <c r="AH3541">
        <v>-2.42</v>
      </c>
      <c r="AI3541">
        <v>-4.2</v>
      </c>
      <c r="AJ3541">
        <v>2.7</v>
      </c>
      <c r="AK3541">
        <v>5.71</v>
      </c>
      <c r="AL3541">
        <v>-3</v>
      </c>
      <c r="AM3541">
        <v>-0.12</v>
      </c>
      <c r="AN3541">
        <v>-22.55</v>
      </c>
      <c r="AO3541">
        <v>-1.7</v>
      </c>
      <c r="AP3541">
        <v>-32.34</v>
      </c>
    </row>
    <row r="3542" spans="1:42">
      <c r="A3542">
        <v>3541</v>
      </c>
      <c r="B3542" t="str">
        <f>"300945"</f>
        <v>300945</v>
      </c>
      <c r="C3542" t="s">
        <v>17573</v>
      </c>
      <c r="D3542">
        <v>15.16</v>
      </c>
      <c r="E3542">
        <v>0.66</v>
      </c>
      <c r="F3542">
        <v>0.1</v>
      </c>
      <c r="G3542" t="s">
        <v>2388</v>
      </c>
      <c r="H3542">
        <v>545</v>
      </c>
      <c r="I3542">
        <v>15.16</v>
      </c>
      <c r="J3542">
        <v>15.17</v>
      </c>
      <c r="K3542" t="s">
        <v>17574</v>
      </c>
      <c r="L3542">
        <v>3.52</v>
      </c>
      <c r="M3542" t="s">
        <v>46</v>
      </c>
      <c r="N3542" t="s">
        <v>1190</v>
      </c>
      <c r="O3542">
        <v>15.24</v>
      </c>
      <c r="P3542">
        <v>14.93</v>
      </c>
      <c r="Q3542">
        <v>15.02</v>
      </c>
      <c r="R3542">
        <v>15.06</v>
      </c>
      <c r="S3542">
        <v>2.06</v>
      </c>
      <c r="T3542">
        <v>0.67</v>
      </c>
      <c r="U3542">
        <v>9.88</v>
      </c>
      <c r="V3542">
        <v>114</v>
      </c>
      <c r="W3542">
        <v>15.12</v>
      </c>
      <c r="X3542" t="s">
        <v>4792</v>
      </c>
      <c r="Y3542" t="s">
        <v>3130</v>
      </c>
      <c r="Z3542">
        <v>0.84</v>
      </c>
      <c r="AA3542">
        <v>48</v>
      </c>
      <c r="AB3542">
        <v>47</v>
      </c>
      <c r="AC3542">
        <v>2.58</v>
      </c>
      <c r="AD3542" t="s">
        <v>5561</v>
      </c>
      <c r="AE3542" t="s">
        <v>17575</v>
      </c>
      <c r="AF3542" t="s">
        <v>17576</v>
      </c>
      <c r="AG3542" t="s">
        <v>113</v>
      </c>
      <c r="AH3542">
        <v>0.07</v>
      </c>
      <c r="AI3542">
        <v>-2.7</v>
      </c>
      <c r="AJ3542">
        <v>16.94</v>
      </c>
      <c r="AK3542">
        <v>29.88</v>
      </c>
      <c r="AL3542">
        <v>1</v>
      </c>
      <c r="AM3542">
        <v>0.66</v>
      </c>
      <c r="AN3542">
        <v>2.92</v>
      </c>
      <c r="AO3542">
        <v>0.26</v>
      </c>
      <c r="AP3542">
        <v>17.25</v>
      </c>
    </row>
    <row r="3543" spans="1:42">
      <c r="A3543">
        <v>3542</v>
      </c>
      <c r="B3543" t="str">
        <f>"832885"</f>
        <v>832885</v>
      </c>
      <c r="C3543" t="s">
        <v>17577</v>
      </c>
      <c r="D3543">
        <v>6.7</v>
      </c>
      <c r="E3543">
        <v>-6.69</v>
      </c>
      <c r="F3543">
        <v>-0.48</v>
      </c>
      <c r="G3543" t="s">
        <v>4753</v>
      </c>
      <c r="H3543">
        <v>796</v>
      </c>
      <c r="I3543">
        <v>6.68</v>
      </c>
      <c r="J3543">
        <v>6.7</v>
      </c>
      <c r="K3543" t="s">
        <v>17578</v>
      </c>
      <c r="L3543">
        <v>6.82</v>
      </c>
      <c r="M3543" t="s">
        <v>46</v>
      </c>
      <c r="N3543" t="s">
        <v>11572</v>
      </c>
      <c r="O3543">
        <v>7.34</v>
      </c>
      <c r="P3543">
        <v>6.59</v>
      </c>
      <c r="Q3543">
        <v>7.1</v>
      </c>
      <c r="R3543">
        <v>7.18</v>
      </c>
      <c r="S3543">
        <v>10.45</v>
      </c>
      <c r="T3543">
        <v>0.45</v>
      </c>
      <c r="U3543">
        <v>56.12</v>
      </c>
      <c r="V3543">
        <v>298</v>
      </c>
      <c r="W3543">
        <v>6.89</v>
      </c>
      <c r="X3543" t="s">
        <v>5975</v>
      </c>
      <c r="Y3543" t="s">
        <v>7210</v>
      </c>
      <c r="Z3543">
        <v>1.8</v>
      </c>
      <c r="AA3543">
        <v>41</v>
      </c>
      <c r="AB3543">
        <v>47</v>
      </c>
      <c r="AC3543">
        <v>3.14</v>
      </c>
      <c r="AD3543" t="s">
        <v>11476</v>
      </c>
      <c r="AE3543" t="s">
        <v>16610</v>
      </c>
      <c r="AF3543" t="s">
        <v>17579</v>
      </c>
      <c r="AG3543" t="s">
        <v>8902</v>
      </c>
      <c r="AH3543">
        <v>-20.14</v>
      </c>
      <c r="AI3543">
        <v>-15.72</v>
      </c>
      <c r="AJ3543">
        <v>23.71</v>
      </c>
      <c r="AK3543">
        <v>82.02</v>
      </c>
      <c r="AL3543">
        <v>-4</v>
      </c>
      <c r="AM3543">
        <v>-6.69</v>
      </c>
      <c r="AN3543">
        <v>25.94</v>
      </c>
      <c r="AO3543">
        <v>77.25</v>
      </c>
      <c r="AP3543">
        <v>12.42</v>
      </c>
    </row>
    <row r="3544" spans="1:42">
      <c r="A3544">
        <v>3543</v>
      </c>
      <c r="B3544" t="str">
        <f>"600215"</f>
        <v>600215</v>
      </c>
      <c r="C3544" t="s">
        <v>17580</v>
      </c>
      <c r="D3544">
        <v>9.17</v>
      </c>
      <c r="E3544">
        <v>0.11</v>
      </c>
      <c r="F3544">
        <v>0.01</v>
      </c>
      <c r="G3544" t="s">
        <v>4766</v>
      </c>
      <c r="H3544">
        <v>505</v>
      </c>
      <c r="I3544">
        <v>9.16</v>
      </c>
      <c r="J3544">
        <v>9.17</v>
      </c>
      <c r="K3544" t="s">
        <v>17578</v>
      </c>
      <c r="L3544">
        <v>0.98</v>
      </c>
      <c r="M3544" t="s">
        <v>46</v>
      </c>
      <c r="N3544" t="s">
        <v>2591</v>
      </c>
      <c r="O3544">
        <v>9.22</v>
      </c>
      <c r="P3544">
        <v>9.08</v>
      </c>
      <c r="Q3544">
        <v>9.14</v>
      </c>
      <c r="R3544">
        <v>9.16</v>
      </c>
      <c r="S3544">
        <v>1.53</v>
      </c>
      <c r="T3544">
        <v>0.85</v>
      </c>
      <c r="U3544">
        <v>-13.37</v>
      </c>
      <c r="V3544">
        <v>-304</v>
      </c>
      <c r="W3544">
        <v>9.13</v>
      </c>
      <c r="X3544" t="s">
        <v>117</v>
      </c>
      <c r="Y3544" t="s">
        <v>1072</v>
      </c>
      <c r="Z3544">
        <v>1.39</v>
      </c>
      <c r="AA3544">
        <v>10</v>
      </c>
      <c r="AB3544">
        <v>2</v>
      </c>
      <c r="AC3544">
        <v>2.14</v>
      </c>
      <c r="AD3544" t="s">
        <v>17581</v>
      </c>
      <c r="AE3544" t="s">
        <v>13272</v>
      </c>
      <c r="AF3544" t="s">
        <v>6750</v>
      </c>
      <c r="AG3544" t="s">
        <v>17582</v>
      </c>
      <c r="AH3544">
        <v>-1.29</v>
      </c>
      <c r="AI3544">
        <v>-1.4</v>
      </c>
      <c r="AJ3544">
        <v>3.24</v>
      </c>
      <c r="AK3544">
        <v>6.73</v>
      </c>
      <c r="AL3544">
        <v>1</v>
      </c>
      <c r="AM3544">
        <v>0.11</v>
      </c>
      <c r="AN3544">
        <v>59.76</v>
      </c>
      <c r="AO3544">
        <v>3.27</v>
      </c>
      <c r="AP3544">
        <v>42.61</v>
      </c>
    </row>
    <row r="3545" spans="1:42">
      <c r="A3545">
        <v>3544</v>
      </c>
      <c r="B3545" t="str">
        <f>"600234"</f>
        <v>600234</v>
      </c>
      <c r="C3545" t="s">
        <v>17583</v>
      </c>
      <c r="D3545">
        <v>7.6</v>
      </c>
      <c r="E3545">
        <v>0.13</v>
      </c>
      <c r="F3545">
        <v>0.01</v>
      </c>
      <c r="G3545" t="s">
        <v>308</v>
      </c>
      <c r="H3545">
        <v>484</v>
      </c>
      <c r="I3545">
        <v>7.6</v>
      </c>
      <c r="J3545">
        <v>7.61</v>
      </c>
      <c r="K3545" t="s">
        <v>17584</v>
      </c>
      <c r="L3545">
        <v>2.64</v>
      </c>
      <c r="M3545" t="s">
        <v>46</v>
      </c>
      <c r="N3545" t="s">
        <v>17585</v>
      </c>
      <c r="O3545">
        <v>7.71</v>
      </c>
      <c r="P3545">
        <v>7.55</v>
      </c>
      <c r="Q3545">
        <v>7.6</v>
      </c>
      <c r="R3545">
        <v>7.59</v>
      </c>
      <c r="S3545">
        <v>2.11</v>
      </c>
      <c r="T3545">
        <v>3.56</v>
      </c>
      <c r="U3545">
        <v>42.13</v>
      </c>
      <c r="V3545">
        <v>482</v>
      </c>
      <c r="W3545">
        <v>7.64</v>
      </c>
      <c r="X3545" t="s">
        <v>4269</v>
      </c>
      <c r="Y3545" t="s">
        <v>6395</v>
      </c>
      <c r="Z3545">
        <v>0.83</v>
      </c>
      <c r="AA3545">
        <v>320</v>
      </c>
      <c r="AB3545">
        <v>135</v>
      </c>
      <c r="AC3545">
        <v>3.44</v>
      </c>
      <c r="AD3545" t="s">
        <v>17586</v>
      </c>
      <c r="AE3545" t="s">
        <v>1633</v>
      </c>
      <c r="AF3545" t="s">
        <v>17587</v>
      </c>
      <c r="AG3545" t="s">
        <v>17588</v>
      </c>
      <c r="AH3545">
        <v>-0.91</v>
      </c>
      <c r="AI3545">
        <v>-0.91</v>
      </c>
      <c r="AJ3545">
        <v>4.03</v>
      </c>
      <c r="AK3545">
        <v>6.35</v>
      </c>
      <c r="AL3545">
        <v>1</v>
      </c>
      <c r="AM3545">
        <v>0.13</v>
      </c>
      <c r="AN3545">
        <v>9.04</v>
      </c>
      <c r="AO3545">
        <v>2.56</v>
      </c>
      <c r="AP3545">
        <v>-2.31</v>
      </c>
    </row>
    <row r="3546" spans="1:42">
      <c r="A3546">
        <v>3545</v>
      </c>
      <c r="B3546" t="str">
        <f>"002099"</f>
        <v>002099</v>
      </c>
      <c r="C3546" t="s">
        <v>17589</v>
      </c>
      <c r="D3546">
        <v>7.08</v>
      </c>
      <c r="E3546">
        <v>0.43</v>
      </c>
      <c r="F3546">
        <v>0.03</v>
      </c>
      <c r="G3546" t="s">
        <v>8120</v>
      </c>
      <c r="H3546">
        <v>161</v>
      </c>
      <c r="I3546">
        <v>7.07</v>
      </c>
      <c r="J3546">
        <v>7.08</v>
      </c>
      <c r="K3546" t="s">
        <v>17590</v>
      </c>
      <c r="L3546">
        <v>0.36</v>
      </c>
      <c r="M3546" t="s">
        <v>46</v>
      </c>
      <c r="N3546" t="s">
        <v>9029</v>
      </c>
      <c r="O3546">
        <v>7.11</v>
      </c>
      <c r="P3546">
        <v>7.01</v>
      </c>
      <c r="Q3546">
        <v>7.05</v>
      </c>
      <c r="R3546">
        <v>7.05</v>
      </c>
      <c r="S3546">
        <v>1.42</v>
      </c>
      <c r="T3546">
        <v>0.69</v>
      </c>
      <c r="U3546">
        <v>10.68</v>
      </c>
      <c r="V3546">
        <v>718</v>
      </c>
      <c r="W3546">
        <v>7.07</v>
      </c>
      <c r="X3546" t="s">
        <v>5420</v>
      </c>
      <c r="Y3546" t="s">
        <v>6803</v>
      </c>
      <c r="Z3546">
        <v>0.9</v>
      </c>
      <c r="AA3546">
        <v>704</v>
      </c>
      <c r="AB3546">
        <v>13</v>
      </c>
      <c r="AC3546">
        <v>1.91</v>
      </c>
      <c r="AD3546" t="s">
        <v>15568</v>
      </c>
      <c r="AE3546" t="s">
        <v>7128</v>
      </c>
      <c r="AF3546" t="s">
        <v>1371</v>
      </c>
      <c r="AG3546" t="s">
        <v>7759</v>
      </c>
      <c r="AH3546">
        <v>-1.39</v>
      </c>
      <c r="AI3546">
        <v>-2.48</v>
      </c>
      <c r="AJ3546">
        <v>1.31</v>
      </c>
      <c r="AK3546">
        <v>2.95</v>
      </c>
      <c r="AL3546">
        <v>1</v>
      </c>
      <c r="AM3546">
        <v>0.43</v>
      </c>
      <c r="AN3546">
        <v>1.72</v>
      </c>
      <c r="AO3546">
        <v>-2.48</v>
      </c>
      <c r="AP3546">
        <v>2.02</v>
      </c>
    </row>
    <row r="3547" spans="1:42">
      <c r="A3547">
        <v>3546</v>
      </c>
      <c r="B3547" t="str">
        <f>"301103"</f>
        <v>301103</v>
      </c>
      <c r="C3547" t="s">
        <v>17591</v>
      </c>
      <c r="D3547">
        <v>32.87</v>
      </c>
      <c r="E3547">
        <v>-0.9</v>
      </c>
      <c r="F3547">
        <v>-0.3</v>
      </c>
      <c r="G3547" t="s">
        <v>905</v>
      </c>
      <c r="H3547">
        <v>80</v>
      </c>
      <c r="I3547">
        <v>32.87</v>
      </c>
      <c r="J3547">
        <v>32.88</v>
      </c>
      <c r="K3547" t="s">
        <v>17592</v>
      </c>
      <c r="L3547">
        <v>1.49</v>
      </c>
      <c r="M3547" t="s">
        <v>46</v>
      </c>
      <c r="N3547" t="s">
        <v>13749</v>
      </c>
      <c r="O3547">
        <v>33.21</v>
      </c>
      <c r="P3547">
        <v>32.51</v>
      </c>
      <c r="Q3547">
        <v>33.08</v>
      </c>
      <c r="R3547">
        <v>33.17</v>
      </c>
      <c r="S3547">
        <v>2.11</v>
      </c>
      <c r="T3547">
        <v>1.01</v>
      </c>
      <c r="U3547">
        <v>-27.76</v>
      </c>
      <c r="V3547">
        <v>-73</v>
      </c>
      <c r="W3547">
        <v>32.82</v>
      </c>
      <c r="X3547">
        <v>6093</v>
      </c>
      <c r="Y3547">
        <v>6315</v>
      </c>
      <c r="Z3547">
        <v>0.96</v>
      </c>
      <c r="AA3547">
        <v>13</v>
      </c>
      <c r="AB3547">
        <v>42</v>
      </c>
      <c r="AC3547">
        <v>2.46</v>
      </c>
      <c r="AD3547" t="s">
        <v>17593</v>
      </c>
      <c r="AE3547" t="s">
        <v>7860</v>
      </c>
      <c r="AF3547" t="s">
        <v>12334</v>
      </c>
      <c r="AG3547" t="s">
        <v>17594</v>
      </c>
      <c r="AH3547">
        <v>-1.17</v>
      </c>
      <c r="AI3547">
        <v>-1.26</v>
      </c>
      <c r="AJ3547">
        <v>4.21</v>
      </c>
      <c r="AK3547">
        <v>8.92</v>
      </c>
      <c r="AL3547">
        <v>-1</v>
      </c>
      <c r="AM3547">
        <v>-0.9</v>
      </c>
      <c r="AN3547">
        <v>7.7</v>
      </c>
      <c r="AO3547">
        <v>-1.05</v>
      </c>
      <c r="AP3547">
        <v>18.07</v>
      </c>
    </row>
    <row r="3548" spans="1:42">
      <c r="A3548">
        <v>3547</v>
      </c>
      <c r="B3548" t="str">
        <f>"002461"</f>
        <v>002461</v>
      </c>
      <c r="C3548" t="s">
        <v>17595</v>
      </c>
      <c r="D3548">
        <v>8.22</v>
      </c>
      <c r="E3548">
        <v>-0.72</v>
      </c>
      <c r="F3548">
        <v>-0.06</v>
      </c>
      <c r="G3548" t="s">
        <v>743</v>
      </c>
      <c r="H3548">
        <v>140</v>
      </c>
      <c r="I3548">
        <v>8.21</v>
      </c>
      <c r="J3548">
        <v>8.22</v>
      </c>
      <c r="K3548" t="s">
        <v>17596</v>
      </c>
      <c r="L3548">
        <v>0.22</v>
      </c>
      <c r="M3548" t="s">
        <v>46</v>
      </c>
      <c r="N3548" t="s">
        <v>11714</v>
      </c>
      <c r="O3548">
        <v>8.34</v>
      </c>
      <c r="P3548">
        <v>8.12</v>
      </c>
      <c r="Q3548">
        <v>8.34</v>
      </c>
      <c r="R3548">
        <v>8.28</v>
      </c>
      <c r="S3548">
        <v>2.66</v>
      </c>
      <c r="T3548">
        <v>1.27</v>
      </c>
      <c r="U3548">
        <v>9.04</v>
      </c>
      <c r="V3548">
        <v>176</v>
      </c>
      <c r="W3548">
        <v>8.21</v>
      </c>
      <c r="X3548" t="s">
        <v>4257</v>
      </c>
      <c r="Y3548" t="s">
        <v>8211</v>
      </c>
      <c r="Z3548">
        <v>1.06</v>
      </c>
      <c r="AA3548">
        <v>41</v>
      </c>
      <c r="AB3548">
        <v>44</v>
      </c>
      <c r="AC3548">
        <v>1.82</v>
      </c>
      <c r="AD3548" t="s">
        <v>12221</v>
      </c>
      <c r="AE3548" t="s">
        <v>13573</v>
      </c>
      <c r="AF3548" t="s">
        <v>12221</v>
      </c>
      <c r="AG3548" t="s">
        <v>13573</v>
      </c>
      <c r="AH3548">
        <v>-0.36</v>
      </c>
      <c r="AI3548">
        <v>-0.96</v>
      </c>
      <c r="AJ3548">
        <v>0.56</v>
      </c>
      <c r="AK3548">
        <v>1.11</v>
      </c>
      <c r="AL3548">
        <v>-1</v>
      </c>
      <c r="AM3548">
        <v>-0.72</v>
      </c>
      <c r="AN3548">
        <v>4.18</v>
      </c>
      <c r="AO3548">
        <v>-2.61</v>
      </c>
      <c r="AP3548">
        <v>14.01</v>
      </c>
    </row>
    <row r="3549" spans="1:42">
      <c r="A3549">
        <v>3548</v>
      </c>
      <c r="B3549" t="str">
        <f>"300159"</f>
        <v>300159</v>
      </c>
      <c r="C3549" t="s">
        <v>17597</v>
      </c>
      <c r="D3549">
        <v>2.74</v>
      </c>
      <c r="E3549">
        <v>0.37</v>
      </c>
      <c r="F3549">
        <v>0.01</v>
      </c>
      <c r="G3549" t="s">
        <v>959</v>
      </c>
      <c r="H3549">
        <v>2643</v>
      </c>
      <c r="I3549">
        <v>2.74</v>
      </c>
      <c r="J3549">
        <v>2.75</v>
      </c>
      <c r="K3549" t="s">
        <v>17598</v>
      </c>
      <c r="L3549">
        <v>1.01</v>
      </c>
      <c r="M3549" t="s">
        <v>46</v>
      </c>
      <c r="N3549" t="s">
        <v>3650</v>
      </c>
      <c r="O3549">
        <v>2.75</v>
      </c>
      <c r="P3549">
        <v>2.71</v>
      </c>
      <c r="Q3549">
        <v>2.72</v>
      </c>
      <c r="R3549">
        <v>2.73</v>
      </c>
      <c r="S3549">
        <v>1.47</v>
      </c>
      <c r="T3549">
        <v>0.81</v>
      </c>
      <c r="U3549">
        <v>1.8</v>
      </c>
      <c r="V3549">
        <v>962</v>
      </c>
      <c r="W3549">
        <v>2.73</v>
      </c>
      <c r="X3549" t="s">
        <v>7241</v>
      </c>
      <c r="Y3549" t="s">
        <v>8501</v>
      </c>
      <c r="Z3549">
        <v>1.12</v>
      </c>
      <c r="AA3549">
        <v>3227</v>
      </c>
      <c r="AB3549">
        <v>8977</v>
      </c>
      <c r="AC3549">
        <v>61.46</v>
      </c>
      <c r="AD3549" t="s">
        <v>133</v>
      </c>
      <c r="AE3549" t="s">
        <v>14782</v>
      </c>
      <c r="AF3549" t="s">
        <v>133</v>
      </c>
      <c r="AG3549" t="s">
        <v>14782</v>
      </c>
      <c r="AH3549">
        <v>-1.44</v>
      </c>
      <c r="AI3549">
        <v>-2.84</v>
      </c>
      <c r="AJ3549">
        <v>3.39</v>
      </c>
      <c r="AK3549">
        <v>7.23</v>
      </c>
      <c r="AL3549">
        <v>1</v>
      </c>
      <c r="AM3549">
        <v>0.37</v>
      </c>
      <c r="AN3549">
        <v>21.78</v>
      </c>
      <c r="AO3549">
        <v>-2.84</v>
      </c>
      <c r="AP3549">
        <v>16.6</v>
      </c>
    </row>
    <row r="3550" spans="1:42">
      <c r="A3550">
        <v>3549</v>
      </c>
      <c r="B3550" t="str">
        <f>"300511"</f>
        <v>300511</v>
      </c>
      <c r="C3550" t="s">
        <v>17599</v>
      </c>
      <c r="D3550">
        <v>5.81</v>
      </c>
      <c r="E3550">
        <v>1.04</v>
      </c>
      <c r="F3550">
        <v>0.06</v>
      </c>
      <c r="G3550" t="s">
        <v>8501</v>
      </c>
      <c r="H3550">
        <v>354</v>
      </c>
      <c r="I3550">
        <v>5.81</v>
      </c>
      <c r="J3550">
        <v>5.82</v>
      </c>
      <c r="K3550" t="s">
        <v>17600</v>
      </c>
      <c r="L3550">
        <v>1.72</v>
      </c>
      <c r="M3550" t="s">
        <v>46</v>
      </c>
      <c r="N3550" t="s">
        <v>2088</v>
      </c>
      <c r="O3550">
        <v>5.84</v>
      </c>
      <c r="P3550">
        <v>5.71</v>
      </c>
      <c r="Q3550">
        <v>5.75</v>
      </c>
      <c r="R3550">
        <v>5.75</v>
      </c>
      <c r="S3550">
        <v>2.26</v>
      </c>
      <c r="T3550">
        <v>1.01</v>
      </c>
      <c r="U3550">
        <v>-34.99</v>
      </c>
      <c r="V3550">
        <v>-2527</v>
      </c>
      <c r="W3550">
        <v>5.8</v>
      </c>
      <c r="X3550" t="s">
        <v>9871</v>
      </c>
      <c r="Y3550" t="s">
        <v>2691</v>
      </c>
      <c r="Z3550">
        <v>0.88</v>
      </c>
      <c r="AA3550">
        <v>51</v>
      </c>
      <c r="AB3550">
        <v>970</v>
      </c>
      <c r="AC3550">
        <v>1.81</v>
      </c>
      <c r="AD3550" t="s">
        <v>17601</v>
      </c>
      <c r="AE3550" t="s">
        <v>17602</v>
      </c>
      <c r="AF3550" t="s">
        <v>4184</v>
      </c>
      <c r="AG3550" t="s">
        <v>8246</v>
      </c>
      <c r="AH3550">
        <v>-1.36</v>
      </c>
      <c r="AI3550">
        <v>-1.36</v>
      </c>
      <c r="AJ3550">
        <v>4.96</v>
      </c>
      <c r="AK3550">
        <v>10.27</v>
      </c>
      <c r="AL3550">
        <v>1</v>
      </c>
      <c r="AM3550">
        <v>1.04</v>
      </c>
      <c r="AN3550">
        <v>-9.92</v>
      </c>
      <c r="AO3550">
        <v>1.22</v>
      </c>
      <c r="AP3550">
        <v>-7.78</v>
      </c>
    </row>
    <row r="3551" spans="1:42">
      <c r="A3551">
        <v>3550</v>
      </c>
      <c r="B3551" t="str">
        <f>"833454"</f>
        <v>833454</v>
      </c>
      <c r="C3551" t="s">
        <v>17603</v>
      </c>
      <c r="D3551">
        <v>6.98</v>
      </c>
      <c r="E3551">
        <v>-6.81</v>
      </c>
      <c r="F3551">
        <v>-0.51</v>
      </c>
      <c r="G3551" t="s">
        <v>12071</v>
      </c>
      <c r="H3551">
        <v>446</v>
      </c>
      <c r="I3551">
        <v>6.98</v>
      </c>
      <c r="J3551">
        <v>7</v>
      </c>
      <c r="K3551" t="s">
        <v>17604</v>
      </c>
      <c r="L3551">
        <v>9.38</v>
      </c>
      <c r="M3551" t="s">
        <v>46</v>
      </c>
      <c r="N3551" t="s">
        <v>8233</v>
      </c>
      <c r="O3551">
        <v>7.81</v>
      </c>
      <c r="P3551">
        <v>6.92</v>
      </c>
      <c r="Q3551">
        <v>7.57</v>
      </c>
      <c r="R3551">
        <v>7.49</v>
      </c>
      <c r="S3551">
        <v>11.88</v>
      </c>
      <c r="T3551">
        <v>0.56</v>
      </c>
      <c r="U3551">
        <v>30.55</v>
      </c>
      <c r="V3551">
        <v>511</v>
      </c>
      <c r="W3551">
        <v>7.22</v>
      </c>
      <c r="X3551" t="s">
        <v>1806</v>
      </c>
      <c r="Y3551" t="s">
        <v>2102</v>
      </c>
      <c r="Z3551">
        <v>1.56</v>
      </c>
      <c r="AA3551">
        <v>661</v>
      </c>
      <c r="AB3551">
        <v>123</v>
      </c>
      <c r="AC3551">
        <v>2.44</v>
      </c>
      <c r="AD3551" t="s">
        <v>10702</v>
      </c>
      <c r="AE3551" t="s">
        <v>17605</v>
      </c>
      <c r="AF3551" t="s">
        <v>17606</v>
      </c>
      <c r="AG3551" t="s">
        <v>17607</v>
      </c>
      <c r="AH3551">
        <v>-27.06</v>
      </c>
      <c r="AI3551">
        <v>4.65</v>
      </c>
      <c r="AJ3551">
        <v>39.72</v>
      </c>
      <c r="AK3551">
        <v>92.6</v>
      </c>
      <c r="AL3551">
        <v>-3</v>
      </c>
      <c r="AM3551">
        <v>-6.81</v>
      </c>
      <c r="AN3551">
        <v>21.18</v>
      </c>
      <c r="AO3551">
        <v>42.16</v>
      </c>
      <c r="AP3551">
        <v>6.08</v>
      </c>
    </row>
    <row r="3552" spans="1:42">
      <c r="A3552">
        <v>3551</v>
      </c>
      <c r="B3552" t="str">
        <f>"601963"</f>
        <v>601963</v>
      </c>
      <c r="C3552" t="s">
        <v>17608</v>
      </c>
      <c r="D3552">
        <v>7.2</v>
      </c>
      <c r="E3552">
        <v>-1.1</v>
      </c>
      <c r="F3552">
        <v>-0.08</v>
      </c>
      <c r="G3552" t="s">
        <v>5064</v>
      </c>
      <c r="H3552">
        <v>100</v>
      </c>
      <c r="I3552">
        <v>7.2</v>
      </c>
      <c r="J3552">
        <v>7.21</v>
      </c>
      <c r="K3552" t="s">
        <v>17609</v>
      </c>
      <c r="L3552">
        <v>0.81</v>
      </c>
      <c r="M3552" t="s">
        <v>46</v>
      </c>
      <c r="N3552" t="s">
        <v>2172</v>
      </c>
      <c r="O3552">
        <v>7.3</v>
      </c>
      <c r="P3552">
        <v>7.19</v>
      </c>
      <c r="Q3552">
        <v>7.28</v>
      </c>
      <c r="R3552">
        <v>7.28</v>
      </c>
      <c r="S3552">
        <v>1.51</v>
      </c>
      <c r="T3552">
        <v>1.8</v>
      </c>
      <c r="U3552">
        <v>56.22</v>
      </c>
      <c r="V3552">
        <v>2234</v>
      </c>
      <c r="W3552">
        <v>7.24</v>
      </c>
      <c r="X3552" t="s">
        <v>2327</v>
      </c>
      <c r="Y3552" t="s">
        <v>3372</v>
      </c>
      <c r="Z3552">
        <v>1.73</v>
      </c>
      <c r="AA3552">
        <v>401</v>
      </c>
      <c r="AB3552">
        <v>95</v>
      </c>
      <c r="AC3552">
        <v>0.53</v>
      </c>
      <c r="AD3552" t="s">
        <v>7689</v>
      </c>
      <c r="AE3552" t="s">
        <v>17610</v>
      </c>
      <c r="AF3552" t="s">
        <v>17611</v>
      </c>
      <c r="AG3552" t="s">
        <v>8888</v>
      </c>
      <c r="AH3552">
        <v>-1.91</v>
      </c>
      <c r="AI3552">
        <v>-2.96</v>
      </c>
      <c r="AJ3552">
        <v>1.46</v>
      </c>
      <c r="AK3552">
        <v>3.06</v>
      </c>
      <c r="AL3552">
        <v>-1</v>
      </c>
      <c r="AM3552">
        <v>-1.1</v>
      </c>
      <c r="AN3552">
        <v>12.68</v>
      </c>
      <c r="AO3552">
        <v>-5.26</v>
      </c>
      <c r="AP3552">
        <v>10.6</v>
      </c>
    </row>
    <row r="3553" spans="1:42">
      <c r="A3553">
        <v>3552</v>
      </c>
      <c r="B3553" t="str">
        <f>"000620"</f>
        <v>000620</v>
      </c>
      <c r="C3553" t="s">
        <v>17612</v>
      </c>
      <c r="D3553">
        <v>1.68</v>
      </c>
      <c r="E3553">
        <v>1.82</v>
      </c>
      <c r="F3553">
        <v>0.03</v>
      </c>
      <c r="G3553" t="s">
        <v>5408</v>
      </c>
      <c r="H3553">
        <v>7882</v>
      </c>
      <c r="I3553">
        <v>1.68</v>
      </c>
      <c r="J3553">
        <v>1.69</v>
      </c>
      <c r="K3553" t="s">
        <v>17613</v>
      </c>
      <c r="L3553">
        <v>1.28</v>
      </c>
      <c r="M3553" t="s">
        <v>46</v>
      </c>
      <c r="N3553" t="s">
        <v>1179</v>
      </c>
      <c r="O3553">
        <v>1.7</v>
      </c>
      <c r="P3553">
        <v>1.63</v>
      </c>
      <c r="Q3553">
        <v>1.64</v>
      </c>
      <c r="R3553">
        <v>1.65</v>
      </c>
      <c r="S3553">
        <v>4.24</v>
      </c>
      <c r="T3553">
        <v>1.33</v>
      </c>
      <c r="U3553">
        <v>-14.24</v>
      </c>
      <c r="V3553" t="s">
        <v>4694</v>
      </c>
      <c r="W3553">
        <v>1.67</v>
      </c>
      <c r="X3553" t="s">
        <v>1909</v>
      </c>
      <c r="Y3553" t="s">
        <v>1376</v>
      </c>
      <c r="Z3553">
        <v>0.78</v>
      </c>
      <c r="AA3553">
        <v>6024</v>
      </c>
      <c r="AB3553" t="s">
        <v>189</v>
      </c>
      <c r="AC3553">
        <v>-1.46</v>
      </c>
      <c r="AD3553" t="s">
        <v>17614</v>
      </c>
      <c r="AE3553" t="s">
        <v>17615</v>
      </c>
      <c r="AF3553" t="s">
        <v>17614</v>
      </c>
      <c r="AG3553" t="s">
        <v>17615</v>
      </c>
      <c r="AH3553">
        <v>1.82</v>
      </c>
      <c r="AI3553">
        <v>1.2</v>
      </c>
      <c r="AJ3553">
        <v>3.14</v>
      </c>
      <c r="AK3553">
        <v>6.1</v>
      </c>
      <c r="AL3553">
        <v>2</v>
      </c>
      <c r="AM3553">
        <v>1.82</v>
      </c>
      <c r="AN3553">
        <v>-54.35</v>
      </c>
      <c r="AO3553">
        <v>3.7</v>
      </c>
      <c r="AP3553">
        <v>-42.07</v>
      </c>
    </row>
    <row r="3554" spans="1:42">
      <c r="A3554">
        <v>3553</v>
      </c>
      <c r="B3554" t="str">
        <f>"301371"</f>
        <v>301371</v>
      </c>
      <c r="C3554" t="s">
        <v>17616</v>
      </c>
      <c r="D3554">
        <v>41.39</v>
      </c>
      <c r="E3554">
        <v>0.56</v>
      </c>
      <c r="F3554">
        <v>0.23</v>
      </c>
      <c r="G3554">
        <v>9843</v>
      </c>
      <c r="H3554">
        <v>154</v>
      </c>
      <c r="I3554">
        <v>41.39</v>
      </c>
      <c r="J3554">
        <v>41.4</v>
      </c>
      <c r="K3554" t="s">
        <v>17617</v>
      </c>
      <c r="L3554">
        <v>2.62</v>
      </c>
      <c r="M3554" t="s">
        <v>46</v>
      </c>
      <c r="N3554" t="s">
        <v>2480</v>
      </c>
      <c r="O3554">
        <v>41.55</v>
      </c>
      <c r="P3554">
        <v>40.82</v>
      </c>
      <c r="Q3554">
        <v>41.16</v>
      </c>
      <c r="R3554">
        <v>41.16</v>
      </c>
      <c r="S3554">
        <v>1.77</v>
      </c>
      <c r="T3554">
        <v>0.83</v>
      </c>
      <c r="U3554">
        <v>19.53</v>
      </c>
      <c r="V3554">
        <v>33</v>
      </c>
      <c r="W3554">
        <v>41.2</v>
      </c>
      <c r="X3554">
        <v>4827</v>
      </c>
      <c r="Y3554">
        <v>5016</v>
      </c>
      <c r="Z3554">
        <v>0.96</v>
      </c>
      <c r="AA3554">
        <v>50</v>
      </c>
      <c r="AB3554">
        <v>22</v>
      </c>
      <c r="AC3554">
        <v>3.07</v>
      </c>
      <c r="AD3554" t="s">
        <v>5024</v>
      </c>
      <c r="AE3554" t="s">
        <v>17618</v>
      </c>
      <c r="AF3554" t="s">
        <v>17619</v>
      </c>
      <c r="AG3554" t="s">
        <v>3134</v>
      </c>
      <c r="AH3554">
        <v>-2.24</v>
      </c>
      <c r="AI3554">
        <v>-4.39</v>
      </c>
      <c r="AJ3554">
        <v>8.28</v>
      </c>
      <c r="AK3554">
        <v>18.36</v>
      </c>
      <c r="AL3554">
        <v>1</v>
      </c>
      <c r="AM3554">
        <v>0.56</v>
      </c>
      <c r="AN3554">
        <v>-25.66</v>
      </c>
      <c r="AO3554">
        <v>-7.03</v>
      </c>
      <c r="AP3554">
        <v>-25.66</v>
      </c>
    </row>
    <row r="3555" spans="1:42">
      <c r="A3555">
        <v>3554</v>
      </c>
      <c r="B3555" t="str">
        <f>"600052"</f>
        <v>600052</v>
      </c>
      <c r="C3555" t="s">
        <v>17620</v>
      </c>
      <c r="D3555">
        <v>5.31</v>
      </c>
      <c r="E3555">
        <v>0.76</v>
      </c>
      <c r="F3555">
        <v>0.04</v>
      </c>
      <c r="G3555" t="s">
        <v>6271</v>
      </c>
      <c r="H3555">
        <v>807</v>
      </c>
      <c r="I3555">
        <v>5.3</v>
      </c>
      <c r="J3555">
        <v>5.31</v>
      </c>
      <c r="K3555" t="s">
        <v>17617</v>
      </c>
      <c r="L3555">
        <v>0.91</v>
      </c>
      <c r="M3555" t="s">
        <v>46</v>
      </c>
      <c r="N3555" t="s">
        <v>6126</v>
      </c>
      <c r="O3555">
        <v>5.34</v>
      </c>
      <c r="P3555">
        <v>5.24</v>
      </c>
      <c r="Q3555">
        <v>5.25</v>
      </c>
      <c r="R3555">
        <v>5.27</v>
      </c>
      <c r="S3555">
        <v>1.9</v>
      </c>
      <c r="T3555">
        <v>0.47</v>
      </c>
      <c r="U3555">
        <v>-51.79</v>
      </c>
      <c r="V3555">
        <v>-2638</v>
      </c>
      <c r="W3555">
        <v>5.3</v>
      </c>
      <c r="X3555" t="s">
        <v>1313</v>
      </c>
      <c r="Y3555" t="s">
        <v>5692</v>
      </c>
      <c r="Z3555">
        <v>0.92</v>
      </c>
      <c r="AA3555">
        <v>374</v>
      </c>
      <c r="AB3555">
        <v>1627</v>
      </c>
      <c r="AC3555">
        <v>1.52</v>
      </c>
      <c r="AD3555" t="s">
        <v>17621</v>
      </c>
      <c r="AE3555" t="s">
        <v>12476</v>
      </c>
      <c r="AF3555" t="s">
        <v>17621</v>
      </c>
      <c r="AG3555" t="s">
        <v>12476</v>
      </c>
      <c r="AH3555">
        <v>-1.12</v>
      </c>
      <c r="AI3555">
        <v>-2.57</v>
      </c>
      <c r="AJ3555">
        <v>3.21</v>
      </c>
      <c r="AK3555">
        <v>10.57</v>
      </c>
      <c r="AL3555">
        <v>1</v>
      </c>
      <c r="AM3555">
        <v>0.76</v>
      </c>
      <c r="AN3555">
        <v>-2.75</v>
      </c>
      <c r="AO3555">
        <v>16.96</v>
      </c>
      <c r="AP3555">
        <v>0.95</v>
      </c>
    </row>
    <row r="3556" spans="1:42">
      <c r="A3556">
        <v>3555</v>
      </c>
      <c r="B3556" t="str">
        <f>"688382"</f>
        <v>688382</v>
      </c>
      <c r="C3556" t="s">
        <v>17622</v>
      </c>
      <c r="D3556">
        <v>16.66</v>
      </c>
      <c r="E3556">
        <v>-0.3</v>
      </c>
      <c r="F3556">
        <v>-0.05</v>
      </c>
      <c r="G3556" t="s">
        <v>9272</v>
      </c>
      <c r="H3556">
        <v>192</v>
      </c>
      <c r="I3556">
        <v>16.63</v>
      </c>
      <c r="J3556">
        <v>16.66</v>
      </c>
      <c r="K3556" t="s">
        <v>17623</v>
      </c>
      <c r="L3556">
        <v>0.62</v>
      </c>
      <c r="M3556" t="s">
        <v>46</v>
      </c>
      <c r="N3556" t="s">
        <v>9457</v>
      </c>
      <c r="O3556">
        <v>16.9</v>
      </c>
      <c r="P3556">
        <v>16.45</v>
      </c>
      <c r="Q3556">
        <v>16.66</v>
      </c>
      <c r="R3556">
        <v>16.71</v>
      </c>
      <c r="S3556">
        <v>2.69</v>
      </c>
      <c r="T3556">
        <v>0.61</v>
      </c>
      <c r="U3556">
        <v>77.8</v>
      </c>
      <c r="V3556">
        <v>706</v>
      </c>
      <c r="W3556">
        <v>16.64</v>
      </c>
      <c r="X3556" t="s">
        <v>1083</v>
      </c>
      <c r="Y3556" t="s">
        <v>2547</v>
      </c>
      <c r="Z3556">
        <v>0.94</v>
      </c>
      <c r="AA3556">
        <v>23</v>
      </c>
      <c r="AB3556">
        <v>28</v>
      </c>
      <c r="AC3556">
        <v>4.74</v>
      </c>
      <c r="AD3556" t="s">
        <v>17624</v>
      </c>
      <c r="AE3556" t="s">
        <v>17625</v>
      </c>
      <c r="AF3556" t="s">
        <v>17626</v>
      </c>
      <c r="AG3556" t="s">
        <v>17627</v>
      </c>
      <c r="AH3556">
        <v>-2.63</v>
      </c>
      <c r="AI3556">
        <v>2.33</v>
      </c>
      <c r="AJ3556">
        <v>2.19</v>
      </c>
      <c r="AK3556">
        <v>5.65</v>
      </c>
      <c r="AL3556">
        <v>-3</v>
      </c>
      <c r="AM3556">
        <v>-0.3</v>
      </c>
      <c r="AN3556">
        <v>25.45</v>
      </c>
      <c r="AO3556">
        <v>-1.77</v>
      </c>
      <c r="AP3556">
        <v>6.66</v>
      </c>
    </row>
    <row r="3557" spans="1:42">
      <c r="A3557">
        <v>3556</v>
      </c>
      <c r="B3557" t="str">
        <f>"002198"</f>
        <v>002198</v>
      </c>
      <c r="C3557" t="s">
        <v>17628</v>
      </c>
      <c r="D3557">
        <v>7.51</v>
      </c>
      <c r="E3557">
        <v>-0.66</v>
      </c>
      <c r="F3557">
        <v>-0.05</v>
      </c>
      <c r="G3557" t="s">
        <v>2649</v>
      </c>
      <c r="H3557">
        <v>476</v>
      </c>
      <c r="I3557">
        <v>7.49</v>
      </c>
      <c r="J3557">
        <v>7.51</v>
      </c>
      <c r="K3557" t="s">
        <v>17629</v>
      </c>
      <c r="L3557">
        <v>1.06</v>
      </c>
      <c r="M3557" t="s">
        <v>46</v>
      </c>
      <c r="N3557" t="s">
        <v>3901</v>
      </c>
      <c r="O3557">
        <v>7.62</v>
      </c>
      <c r="P3557">
        <v>7.46</v>
      </c>
      <c r="Q3557">
        <v>7.58</v>
      </c>
      <c r="R3557">
        <v>7.56</v>
      </c>
      <c r="S3557">
        <v>2.12</v>
      </c>
      <c r="T3557">
        <v>0.86</v>
      </c>
      <c r="U3557">
        <v>-6.01</v>
      </c>
      <c r="V3557">
        <v>-373</v>
      </c>
      <c r="W3557">
        <v>7.52</v>
      </c>
      <c r="X3557" t="s">
        <v>2628</v>
      </c>
      <c r="Y3557" t="s">
        <v>1212</v>
      </c>
      <c r="Z3557">
        <v>1.39</v>
      </c>
      <c r="AA3557">
        <v>98</v>
      </c>
      <c r="AB3557">
        <v>1173</v>
      </c>
      <c r="AC3557">
        <v>5.07</v>
      </c>
      <c r="AD3557" t="s">
        <v>17556</v>
      </c>
      <c r="AE3557" t="s">
        <v>5195</v>
      </c>
      <c r="AF3557" t="s">
        <v>17556</v>
      </c>
      <c r="AG3557" t="s">
        <v>5195</v>
      </c>
      <c r="AH3557">
        <v>-1.7</v>
      </c>
      <c r="AI3557">
        <v>-0.92</v>
      </c>
      <c r="AJ3557">
        <v>3.4</v>
      </c>
      <c r="AK3557">
        <v>7.24</v>
      </c>
      <c r="AL3557">
        <v>-3</v>
      </c>
      <c r="AM3557">
        <v>-0.66</v>
      </c>
      <c r="AN3557">
        <v>15.18</v>
      </c>
      <c r="AO3557">
        <v>10.93</v>
      </c>
      <c r="AP3557">
        <v>9.64</v>
      </c>
    </row>
    <row r="3558" spans="1:42">
      <c r="A3558">
        <v>3557</v>
      </c>
      <c r="B3558" t="str">
        <f>"688080"</f>
        <v>688080</v>
      </c>
      <c r="C3558" t="s">
        <v>17630</v>
      </c>
      <c r="D3558">
        <v>40.55</v>
      </c>
      <c r="E3558">
        <v>2.42</v>
      </c>
      <c r="F3558">
        <v>0.96</v>
      </c>
      <c r="G3558" t="s">
        <v>2074</v>
      </c>
      <c r="H3558">
        <v>107</v>
      </c>
      <c r="I3558">
        <v>40.55</v>
      </c>
      <c r="J3558">
        <v>40.57</v>
      </c>
      <c r="K3558" t="s">
        <v>17631</v>
      </c>
      <c r="L3558">
        <v>1.37</v>
      </c>
      <c r="M3558" t="s">
        <v>46</v>
      </c>
      <c r="N3558" t="s">
        <v>4134</v>
      </c>
      <c r="O3558">
        <v>40.8</v>
      </c>
      <c r="P3558">
        <v>39.12</v>
      </c>
      <c r="Q3558">
        <v>39.61</v>
      </c>
      <c r="R3558">
        <v>39.59</v>
      </c>
      <c r="S3558">
        <v>4.24</v>
      </c>
      <c r="T3558">
        <v>1.14</v>
      </c>
      <c r="U3558">
        <v>-34.43</v>
      </c>
      <c r="V3558">
        <v>-88</v>
      </c>
      <c r="W3558">
        <v>40.06</v>
      </c>
      <c r="X3558">
        <v>5106</v>
      </c>
      <c r="Y3558">
        <v>4998</v>
      </c>
      <c r="Z3558">
        <v>1.02</v>
      </c>
      <c r="AA3558">
        <v>12</v>
      </c>
      <c r="AB3558">
        <v>6</v>
      </c>
      <c r="AC3558">
        <v>3.34</v>
      </c>
      <c r="AD3558" t="s">
        <v>13138</v>
      </c>
      <c r="AE3558" t="s">
        <v>17632</v>
      </c>
      <c r="AF3558" t="s">
        <v>13138</v>
      </c>
      <c r="AG3558" t="s">
        <v>17632</v>
      </c>
      <c r="AH3558">
        <v>1.1</v>
      </c>
      <c r="AI3558">
        <v>-0.12</v>
      </c>
      <c r="AJ3558">
        <v>3.35</v>
      </c>
      <c r="AK3558">
        <v>7.38</v>
      </c>
      <c r="AL3558">
        <v>1</v>
      </c>
      <c r="AM3558">
        <v>2.42</v>
      </c>
      <c r="AN3558">
        <v>38.68</v>
      </c>
      <c r="AO3558">
        <v>7.39</v>
      </c>
      <c r="AP3558">
        <v>12.55</v>
      </c>
    </row>
    <row r="3559" spans="1:42">
      <c r="A3559">
        <v>3558</v>
      </c>
      <c r="B3559" t="str">
        <f>"301512"</f>
        <v>301512</v>
      </c>
      <c r="C3559" t="s">
        <v>17633</v>
      </c>
      <c r="D3559">
        <v>58.81</v>
      </c>
      <c r="E3559">
        <v>-1.11</v>
      </c>
      <c r="F3559">
        <v>-0.66</v>
      </c>
      <c r="G3559">
        <v>6883</v>
      </c>
      <c r="H3559">
        <v>152</v>
      </c>
      <c r="I3559">
        <v>58.81</v>
      </c>
      <c r="J3559">
        <v>58.82</v>
      </c>
      <c r="K3559" t="s">
        <v>17634</v>
      </c>
      <c r="L3559">
        <v>5.16</v>
      </c>
      <c r="M3559" t="s">
        <v>46</v>
      </c>
      <c r="N3559" t="s">
        <v>4501</v>
      </c>
      <c r="O3559">
        <v>59.9</v>
      </c>
      <c r="P3559">
        <v>58.37</v>
      </c>
      <c r="Q3559">
        <v>59.21</v>
      </c>
      <c r="R3559">
        <v>59.47</v>
      </c>
      <c r="S3559">
        <v>2.57</v>
      </c>
      <c r="T3559">
        <v>0.68</v>
      </c>
      <c r="U3559">
        <v>-41.82</v>
      </c>
      <c r="V3559">
        <v>-23</v>
      </c>
      <c r="W3559">
        <v>58.76</v>
      </c>
      <c r="X3559">
        <v>4062</v>
      </c>
      <c r="Y3559">
        <v>2821</v>
      </c>
      <c r="Z3559">
        <v>1.44</v>
      </c>
      <c r="AA3559">
        <v>3</v>
      </c>
      <c r="AB3559">
        <v>5</v>
      </c>
      <c r="AC3559">
        <v>3.11</v>
      </c>
      <c r="AD3559" t="s">
        <v>15606</v>
      </c>
      <c r="AE3559" t="s">
        <v>17635</v>
      </c>
      <c r="AF3559" t="s">
        <v>17636</v>
      </c>
      <c r="AG3559" t="s">
        <v>2099</v>
      </c>
      <c r="AH3559">
        <v>-5.22</v>
      </c>
      <c r="AI3559">
        <v>-2.31</v>
      </c>
      <c r="AJ3559">
        <v>19.34</v>
      </c>
      <c r="AK3559">
        <v>43.27</v>
      </c>
      <c r="AL3559">
        <v>-3</v>
      </c>
      <c r="AM3559">
        <v>-1.11</v>
      </c>
      <c r="AN3559">
        <v>48.29</v>
      </c>
      <c r="AO3559">
        <v>5.02</v>
      </c>
      <c r="AP3559">
        <v>48.29</v>
      </c>
    </row>
    <row r="3560" spans="1:42">
      <c r="A3560">
        <v>3559</v>
      </c>
      <c r="B3560" t="str">
        <f>"833533"</f>
        <v>833533</v>
      </c>
      <c r="C3560" t="s">
        <v>17637</v>
      </c>
      <c r="D3560">
        <v>15.8</v>
      </c>
      <c r="E3560">
        <v>-6.06</v>
      </c>
      <c r="F3560">
        <v>-1.02</v>
      </c>
      <c r="G3560" t="s">
        <v>9211</v>
      </c>
      <c r="H3560">
        <v>172</v>
      </c>
      <c r="I3560">
        <v>15.8</v>
      </c>
      <c r="J3560">
        <v>15.83</v>
      </c>
      <c r="K3560" t="s">
        <v>17638</v>
      </c>
      <c r="L3560">
        <v>7.37</v>
      </c>
      <c r="M3560" t="s">
        <v>46</v>
      </c>
      <c r="N3560" t="s">
        <v>2843</v>
      </c>
      <c r="O3560">
        <v>16.98</v>
      </c>
      <c r="P3560">
        <v>15.56</v>
      </c>
      <c r="Q3560">
        <v>16.85</v>
      </c>
      <c r="R3560">
        <v>16.82</v>
      </c>
      <c r="S3560">
        <v>8.44</v>
      </c>
      <c r="T3560">
        <v>0.54</v>
      </c>
      <c r="U3560">
        <v>66.56</v>
      </c>
      <c r="V3560">
        <v>331</v>
      </c>
      <c r="W3560">
        <v>16.01</v>
      </c>
      <c r="X3560" t="s">
        <v>6595</v>
      </c>
      <c r="Y3560" t="s">
        <v>239</v>
      </c>
      <c r="Z3560">
        <v>1.44</v>
      </c>
      <c r="AA3560">
        <v>255</v>
      </c>
      <c r="AB3560">
        <v>13</v>
      </c>
      <c r="AC3560">
        <v>5.55</v>
      </c>
      <c r="AD3560" t="s">
        <v>7895</v>
      </c>
      <c r="AE3560" t="s">
        <v>16794</v>
      </c>
      <c r="AF3560" t="s">
        <v>17639</v>
      </c>
      <c r="AG3560" t="s">
        <v>17640</v>
      </c>
      <c r="AH3560">
        <v>-17.75</v>
      </c>
      <c r="AI3560">
        <v>-2.05</v>
      </c>
      <c r="AJ3560">
        <v>27.98</v>
      </c>
      <c r="AK3560">
        <v>76.02</v>
      </c>
      <c r="AL3560">
        <v>-4</v>
      </c>
      <c r="AM3560">
        <v>-6.06</v>
      </c>
      <c r="AN3560">
        <v>82.24</v>
      </c>
      <c r="AO3560">
        <v>25.9</v>
      </c>
      <c r="AP3560">
        <v>61.89</v>
      </c>
    </row>
    <row r="3561" spans="1:42">
      <c r="A3561">
        <v>3560</v>
      </c>
      <c r="B3561" t="str">
        <f>"002982"</f>
        <v>002982</v>
      </c>
      <c r="C3561" t="s">
        <v>17641</v>
      </c>
      <c r="D3561">
        <v>22.45</v>
      </c>
      <c r="E3561">
        <v>-1.06</v>
      </c>
      <c r="F3561">
        <v>-0.24</v>
      </c>
      <c r="G3561" t="s">
        <v>1255</v>
      </c>
      <c r="H3561">
        <v>241</v>
      </c>
      <c r="I3561">
        <v>22.44</v>
      </c>
      <c r="J3561">
        <v>22.45</v>
      </c>
      <c r="K3561" t="s">
        <v>17642</v>
      </c>
      <c r="L3561">
        <v>1.94</v>
      </c>
      <c r="M3561" t="s">
        <v>46</v>
      </c>
      <c r="N3561" t="s">
        <v>3138</v>
      </c>
      <c r="O3561">
        <v>22.92</v>
      </c>
      <c r="P3561">
        <v>22.39</v>
      </c>
      <c r="Q3561">
        <v>22.76</v>
      </c>
      <c r="R3561">
        <v>22.69</v>
      </c>
      <c r="S3561">
        <v>2.34</v>
      </c>
      <c r="T3561">
        <v>0.91</v>
      </c>
      <c r="U3561">
        <v>-6.85</v>
      </c>
      <c r="V3561">
        <v>-23</v>
      </c>
      <c r="W3561">
        <v>22.61</v>
      </c>
      <c r="X3561" t="s">
        <v>51</v>
      </c>
      <c r="Y3561">
        <v>6964</v>
      </c>
      <c r="Z3561">
        <v>1.56</v>
      </c>
      <c r="AA3561">
        <v>31</v>
      </c>
      <c r="AB3561">
        <v>23</v>
      </c>
      <c r="AC3561">
        <v>1.95</v>
      </c>
      <c r="AD3561" t="s">
        <v>17643</v>
      </c>
      <c r="AE3561" t="s">
        <v>17644</v>
      </c>
      <c r="AF3561" t="s">
        <v>17645</v>
      </c>
      <c r="AG3561" t="s">
        <v>17646</v>
      </c>
      <c r="AH3561">
        <v>-0.09</v>
      </c>
      <c r="AI3561">
        <v>1.26</v>
      </c>
      <c r="AJ3561">
        <v>4.85</v>
      </c>
      <c r="AK3561">
        <v>12.53</v>
      </c>
      <c r="AL3561">
        <v>-1</v>
      </c>
      <c r="AM3561">
        <v>-1.06</v>
      </c>
      <c r="AN3561">
        <v>-26.61</v>
      </c>
      <c r="AO3561">
        <v>2.61</v>
      </c>
      <c r="AP3561">
        <v>-25.24</v>
      </c>
    </row>
    <row r="3562" spans="1:42">
      <c r="A3562">
        <v>3561</v>
      </c>
      <c r="B3562" t="str">
        <f>"688628"</f>
        <v>688628</v>
      </c>
      <c r="C3562" t="s">
        <v>17647</v>
      </c>
      <c r="D3562">
        <v>41.56</v>
      </c>
      <c r="E3562">
        <v>0.7</v>
      </c>
      <c r="F3562">
        <v>0.29</v>
      </c>
      <c r="G3562">
        <v>9728</v>
      </c>
      <c r="H3562">
        <v>33</v>
      </c>
      <c r="I3562">
        <v>41.56</v>
      </c>
      <c r="J3562">
        <v>41.6</v>
      </c>
      <c r="K3562" t="s">
        <v>17648</v>
      </c>
      <c r="L3562">
        <v>2.15</v>
      </c>
      <c r="M3562" t="s">
        <v>46</v>
      </c>
      <c r="N3562" t="s">
        <v>8835</v>
      </c>
      <c r="O3562">
        <v>42.35</v>
      </c>
      <c r="P3562">
        <v>40.55</v>
      </c>
      <c r="Q3562">
        <v>41</v>
      </c>
      <c r="R3562">
        <v>41.27</v>
      </c>
      <c r="S3562">
        <v>4.36</v>
      </c>
      <c r="T3562">
        <v>1.83</v>
      </c>
      <c r="U3562">
        <v>-0.83</v>
      </c>
      <c r="V3562">
        <v>-1</v>
      </c>
      <c r="W3562">
        <v>41.49</v>
      </c>
      <c r="X3562">
        <v>4215</v>
      </c>
      <c r="Y3562">
        <v>5513</v>
      </c>
      <c r="Z3562">
        <v>0.76</v>
      </c>
      <c r="AA3562">
        <v>4</v>
      </c>
      <c r="AB3562">
        <v>14</v>
      </c>
      <c r="AC3562">
        <v>3.96</v>
      </c>
      <c r="AD3562" t="s">
        <v>17649</v>
      </c>
      <c r="AE3562" t="s">
        <v>7248</v>
      </c>
      <c r="AF3562" t="s">
        <v>17650</v>
      </c>
      <c r="AG3562" t="s">
        <v>6262</v>
      </c>
      <c r="AH3562">
        <v>1.54</v>
      </c>
      <c r="AI3562">
        <v>0.43</v>
      </c>
      <c r="AJ3562">
        <v>4.61</v>
      </c>
      <c r="AK3562">
        <v>8.02</v>
      </c>
      <c r="AL3562">
        <v>3</v>
      </c>
      <c r="AM3562">
        <v>0.7</v>
      </c>
      <c r="AN3562">
        <v>46.49</v>
      </c>
      <c r="AO3562">
        <v>4.42</v>
      </c>
      <c r="AP3562">
        <v>28.79</v>
      </c>
    </row>
    <row r="3563" spans="1:42">
      <c r="A3563">
        <v>3562</v>
      </c>
      <c r="B3563" t="str">
        <f>"601199"</f>
        <v>601199</v>
      </c>
      <c r="C3563" t="s">
        <v>17651</v>
      </c>
      <c r="D3563">
        <v>5.26</v>
      </c>
      <c r="E3563">
        <v>1.15</v>
      </c>
      <c r="F3563">
        <v>0.06</v>
      </c>
      <c r="G3563" t="s">
        <v>4740</v>
      </c>
      <c r="H3563">
        <v>678</v>
      </c>
      <c r="I3563">
        <v>5.25</v>
      </c>
      <c r="J3563">
        <v>5.26</v>
      </c>
      <c r="K3563" t="s">
        <v>9543</v>
      </c>
      <c r="L3563">
        <v>0.82</v>
      </c>
      <c r="M3563" t="s">
        <v>46</v>
      </c>
      <c r="N3563" t="s">
        <v>12365</v>
      </c>
      <c r="O3563">
        <v>5.27</v>
      </c>
      <c r="P3563">
        <v>5.2</v>
      </c>
      <c r="Q3563">
        <v>5.22</v>
      </c>
      <c r="R3563">
        <v>5.2</v>
      </c>
      <c r="S3563">
        <v>1.35</v>
      </c>
      <c r="T3563">
        <v>1.23</v>
      </c>
      <c r="U3563">
        <v>-30.7</v>
      </c>
      <c r="V3563">
        <v>-3114</v>
      </c>
      <c r="W3563">
        <v>5.24</v>
      </c>
      <c r="X3563" t="s">
        <v>729</v>
      </c>
      <c r="Y3563" t="s">
        <v>777</v>
      </c>
      <c r="Z3563">
        <v>0.79</v>
      </c>
      <c r="AA3563">
        <v>96</v>
      </c>
      <c r="AB3563">
        <v>337</v>
      </c>
      <c r="AC3563">
        <v>1.34</v>
      </c>
      <c r="AD3563" t="s">
        <v>17652</v>
      </c>
      <c r="AE3563" t="s">
        <v>10051</v>
      </c>
      <c r="AF3563" t="s">
        <v>17652</v>
      </c>
      <c r="AG3563" t="s">
        <v>10051</v>
      </c>
      <c r="AH3563">
        <v>-0.38</v>
      </c>
      <c r="AI3563">
        <v>-1.31</v>
      </c>
      <c r="AJ3563">
        <v>2</v>
      </c>
      <c r="AK3563">
        <v>4.15</v>
      </c>
      <c r="AL3563">
        <v>1</v>
      </c>
      <c r="AM3563">
        <v>1.15</v>
      </c>
      <c r="AN3563">
        <v>-20.42</v>
      </c>
      <c r="AO3563">
        <v>-2.23</v>
      </c>
      <c r="AP3563">
        <v>-23.99</v>
      </c>
    </row>
    <row r="3564" spans="1:42">
      <c r="A3564">
        <v>3563</v>
      </c>
      <c r="B3564" t="str">
        <f>"002832"</f>
        <v>002832</v>
      </c>
      <c r="C3564" t="s">
        <v>17653</v>
      </c>
      <c r="D3564">
        <v>33.33</v>
      </c>
      <c r="E3564">
        <v>-0.48</v>
      </c>
      <c r="F3564">
        <v>-0.16</v>
      </c>
      <c r="G3564" t="s">
        <v>1052</v>
      </c>
      <c r="H3564">
        <v>198</v>
      </c>
      <c r="I3564">
        <v>33.33</v>
      </c>
      <c r="J3564">
        <v>33.4</v>
      </c>
      <c r="K3564" t="s">
        <v>17654</v>
      </c>
      <c r="L3564">
        <v>0.31</v>
      </c>
      <c r="M3564" t="s">
        <v>46</v>
      </c>
      <c r="N3564" t="s">
        <v>8416</v>
      </c>
      <c r="O3564">
        <v>33.69</v>
      </c>
      <c r="P3564">
        <v>33.19</v>
      </c>
      <c r="Q3564">
        <v>33.69</v>
      </c>
      <c r="R3564">
        <v>33.49</v>
      </c>
      <c r="S3564">
        <v>1.49</v>
      </c>
      <c r="T3564">
        <v>0.56</v>
      </c>
      <c r="U3564">
        <v>-50.99</v>
      </c>
      <c r="V3564">
        <v>-385</v>
      </c>
      <c r="W3564">
        <v>33.37</v>
      </c>
      <c r="X3564">
        <v>5698</v>
      </c>
      <c r="Y3564">
        <v>6367</v>
      </c>
      <c r="Z3564">
        <v>0.89</v>
      </c>
      <c r="AA3564">
        <v>49</v>
      </c>
      <c r="AB3564">
        <v>115</v>
      </c>
      <c r="AC3564">
        <v>4.01</v>
      </c>
      <c r="AD3564" t="s">
        <v>17655</v>
      </c>
      <c r="AE3564" t="s">
        <v>17656</v>
      </c>
      <c r="AF3564" t="s">
        <v>1783</v>
      </c>
      <c r="AG3564" t="s">
        <v>10081</v>
      </c>
      <c r="AH3564">
        <v>1.77</v>
      </c>
      <c r="AI3564">
        <v>3.96</v>
      </c>
      <c r="AJ3564">
        <v>1.36</v>
      </c>
      <c r="AK3564">
        <v>3.05</v>
      </c>
      <c r="AL3564">
        <v>-1</v>
      </c>
      <c r="AM3564">
        <v>-0.48</v>
      </c>
      <c r="AN3564">
        <v>31.69</v>
      </c>
      <c r="AO3564">
        <v>-0.39</v>
      </c>
      <c r="AP3564">
        <v>38.18</v>
      </c>
    </row>
    <row r="3565" spans="1:42">
      <c r="A3565">
        <v>3564</v>
      </c>
      <c r="B3565" t="str">
        <f>"600819"</f>
        <v>600819</v>
      </c>
      <c r="C3565" t="s">
        <v>17657</v>
      </c>
      <c r="D3565">
        <v>5.07</v>
      </c>
      <c r="E3565">
        <v>1.4</v>
      </c>
      <c r="F3565">
        <v>0.07</v>
      </c>
      <c r="G3565" t="s">
        <v>4555</v>
      </c>
      <c r="H3565">
        <v>1382</v>
      </c>
      <c r="I3565">
        <v>5.06</v>
      </c>
      <c r="J3565">
        <v>5.07</v>
      </c>
      <c r="K3565" t="s">
        <v>17658</v>
      </c>
      <c r="L3565">
        <v>1.07</v>
      </c>
      <c r="M3565" t="s">
        <v>46</v>
      </c>
      <c r="N3565" t="s">
        <v>730</v>
      </c>
      <c r="O3565">
        <v>5.12</v>
      </c>
      <c r="P3565">
        <v>4.96</v>
      </c>
      <c r="Q3565">
        <v>4.98</v>
      </c>
      <c r="R3565">
        <v>5</v>
      </c>
      <c r="S3565">
        <v>3.2</v>
      </c>
      <c r="T3565">
        <v>1.93</v>
      </c>
      <c r="U3565">
        <v>-28.5</v>
      </c>
      <c r="V3565">
        <v>-1473</v>
      </c>
      <c r="W3565">
        <v>5.04</v>
      </c>
      <c r="X3565" t="s">
        <v>1704</v>
      </c>
      <c r="Y3565" t="s">
        <v>7735</v>
      </c>
      <c r="Z3565">
        <v>0.7</v>
      </c>
      <c r="AA3565">
        <v>178</v>
      </c>
      <c r="AB3565">
        <v>222</v>
      </c>
      <c r="AC3565">
        <v>1.41</v>
      </c>
      <c r="AD3565" t="s">
        <v>9784</v>
      </c>
      <c r="AE3565" t="s">
        <v>17659</v>
      </c>
      <c r="AF3565" t="s">
        <v>17660</v>
      </c>
      <c r="AG3565" t="s">
        <v>17010</v>
      </c>
      <c r="AH3565">
        <v>0.4</v>
      </c>
      <c r="AI3565">
        <v>0</v>
      </c>
      <c r="AJ3565">
        <v>2.08</v>
      </c>
      <c r="AK3565">
        <v>3.83</v>
      </c>
      <c r="AL3565">
        <v>1</v>
      </c>
      <c r="AM3565">
        <v>1.4</v>
      </c>
      <c r="AN3565">
        <v>9.98</v>
      </c>
      <c r="AO3565">
        <v>3.68</v>
      </c>
      <c r="AP3565">
        <v>5.63</v>
      </c>
    </row>
    <row r="3566" spans="1:42">
      <c r="A3566">
        <v>3565</v>
      </c>
      <c r="B3566" t="str">
        <f>"000016"</f>
        <v>000016</v>
      </c>
      <c r="C3566" t="s">
        <v>17661</v>
      </c>
      <c r="D3566">
        <v>4.18</v>
      </c>
      <c r="E3566">
        <v>-0.71</v>
      </c>
      <c r="F3566">
        <v>-0.03</v>
      </c>
      <c r="G3566" t="s">
        <v>3241</v>
      </c>
      <c r="H3566">
        <v>825</v>
      </c>
      <c r="I3566">
        <v>4.17</v>
      </c>
      <c r="J3566">
        <v>4.18</v>
      </c>
      <c r="K3566" t="s">
        <v>17658</v>
      </c>
      <c r="L3566">
        <v>0.61</v>
      </c>
      <c r="M3566" t="s">
        <v>46</v>
      </c>
      <c r="N3566" t="s">
        <v>9375</v>
      </c>
      <c r="O3566">
        <v>4.2</v>
      </c>
      <c r="P3566">
        <v>4.12</v>
      </c>
      <c r="Q3566">
        <v>4.18</v>
      </c>
      <c r="R3566">
        <v>4.21</v>
      </c>
      <c r="S3566">
        <v>1.9</v>
      </c>
      <c r="T3566">
        <v>1.03</v>
      </c>
      <c r="U3566">
        <v>8.48</v>
      </c>
      <c r="V3566">
        <v>779</v>
      </c>
      <c r="W3566">
        <v>4.16</v>
      </c>
      <c r="X3566" t="s">
        <v>2984</v>
      </c>
      <c r="Y3566" t="s">
        <v>6408</v>
      </c>
      <c r="Z3566">
        <v>1.28</v>
      </c>
      <c r="AA3566">
        <v>334</v>
      </c>
      <c r="AB3566">
        <v>87</v>
      </c>
      <c r="AC3566">
        <v>1.43</v>
      </c>
      <c r="AD3566" t="s">
        <v>17662</v>
      </c>
      <c r="AE3566" t="s">
        <v>3439</v>
      </c>
      <c r="AF3566" t="s">
        <v>14418</v>
      </c>
      <c r="AG3566" t="s">
        <v>17663</v>
      </c>
      <c r="AH3566">
        <v>-2.79</v>
      </c>
      <c r="AI3566">
        <v>-4.35</v>
      </c>
      <c r="AJ3566">
        <v>1.7</v>
      </c>
      <c r="AK3566">
        <v>3.54</v>
      </c>
      <c r="AL3566">
        <v>-3</v>
      </c>
      <c r="AM3566">
        <v>-0.71</v>
      </c>
      <c r="AN3566">
        <v>-7.32</v>
      </c>
      <c r="AO3566">
        <v>-1.42</v>
      </c>
      <c r="AP3566">
        <v>-15.21</v>
      </c>
    </row>
    <row r="3567" spans="1:42">
      <c r="A3567">
        <v>3566</v>
      </c>
      <c r="B3567" t="str">
        <f>"600507"</f>
        <v>600507</v>
      </c>
      <c r="C3567" t="s">
        <v>17664</v>
      </c>
      <c r="D3567">
        <v>4.85</v>
      </c>
      <c r="E3567">
        <v>0.21</v>
      </c>
      <c r="F3567">
        <v>0.01</v>
      </c>
      <c r="G3567" t="s">
        <v>5009</v>
      </c>
      <c r="H3567">
        <v>730</v>
      </c>
      <c r="I3567">
        <v>4.84</v>
      </c>
      <c r="J3567">
        <v>4.85</v>
      </c>
      <c r="K3567" t="s">
        <v>17658</v>
      </c>
      <c r="L3567">
        <v>0.37</v>
      </c>
      <c r="M3567" t="s">
        <v>46</v>
      </c>
      <c r="N3567" t="s">
        <v>7456</v>
      </c>
      <c r="O3567">
        <v>4.86</v>
      </c>
      <c r="P3567">
        <v>4.82</v>
      </c>
      <c r="Q3567">
        <v>4.84</v>
      </c>
      <c r="R3567">
        <v>4.84</v>
      </c>
      <c r="S3567">
        <v>0.83</v>
      </c>
      <c r="T3567">
        <v>0.83</v>
      </c>
      <c r="U3567">
        <v>3.74</v>
      </c>
      <c r="V3567">
        <v>700</v>
      </c>
      <c r="W3567">
        <v>4.84</v>
      </c>
      <c r="X3567" t="s">
        <v>1502</v>
      </c>
      <c r="Y3567" t="s">
        <v>1566</v>
      </c>
      <c r="Z3567">
        <v>1.19</v>
      </c>
      <c r="AA3567">
        <v>1777</v>
      </c>
      <c r="AB3567">
        <v>489</v>
      </c>
      <c r="AC3567">
        <v>1.26</v>
      </c>
      <c r="AD3567" t="s">
        <v>17665</v>
      </c>
      <c r="AE3567" t="s">
        <v>8664</v>
      </c>
      <c r="AF3567" t="s">
        <v>10162</v>
      </c>
      <c r="AG3567" t="s">
        <v>9323</v>
      </c>
      <c r="AH3567">
        <v>-1.22</v>
      </c>
      <c r="AI3567">
        <v>-1.42</v>
      </c>
      <c r="AJ3567">
        <v>1.11</v>
      </c>
      <c r="AK3567">
        <v>2.6</v>
      </c>
      <c r="AL3567">
        <v>1</v>
      </c>
      <c r="AM3567">
        <v>0.21</v>
      </c>
      <c r="AN3567">
        <v>-19.44</v>
      </c>
      <c r="AO3567">
        <v>0.21</v>
      </c>
      <c r="AP3567">
        <v>-19.17</v>
      </c>
    </row>
    <row r="3568" spans="1:42">
      <c r="A3568">
        <v>3567</v>
      </c>
      <c r="B3568" t="str">
        <f>"603100"</f>
        <v>603100</v>
      </c>
      <c r="C3568" t="s">
        <v>17666</v>
      </c>
      <c r="D3568">
        <v>29.72</v>
      </c>
      <c r="E3568">
        <v>0.81</v>
      </c>
      <c r="F3568">
        <v>0.24</v>
      </c>
      <c r="G3568" t="s">
        <v>3284</v>
      </c>
      <c r="H3568">
        <v>189</v>
      </c>
      <c r="I3568">
        <v>29.7</v>
      </c>
      <c r="J3568">
        <v>29.72</v>
      </c>
      <c r="K3568" t="s">
        <v>17667</v>
      </c>
      <c r="L3568">
        <v>0.35</v>
      </c>
      <c r="M3568" t="s">
        <v>46</v>
      </c>
      <c r="N3568" t="s">
        <v>17668</v>
      </c>
      <c r="O3568">
        <v>29.91</v>
      </c>
      <c r="P3568">
        <v>28.92</v>
      </c>
      <c r="Q3568">
        <v>29.43</v>
      </c>
      <c r="R3568">
        <v>29.48</v>
      </c>
      <c r="S3568">
        <v>3.36</v>
      </c>
      <c r="T3568">
        <v>1.1</v>
      </c>
      <c r="U3568">
        <v>49.3</v>
      </c>
      <c r="V3568">
        <v>177</v>
      </c>
      <c r="W3568">
        <v>29.38</v>
      </c>
      <c r="X3568">
        <v>6669</v>
      </c>
      <c r="Y3568">
        <v>7012</v>
      </c>
      <c r="Z3568">
        <v>0.95</v>
      </c>
      <c r="AA3568">
        <v>70</v>
      </c>
      <c r="AB3568">
        <v>1</v>
      </c>
      <c r="AC3568">
        <v>3.15</v>
      </c>
      <c r="AD3568" t="s">
        <v>17669</v>
      </c>
      <c r="AE3568" t="s">
        <v>1732</v>
      </c>
      <c r="AF3568" t="s">
        <v>14086</v>
      </c>
      <c r="AG3568" t="s">
        <v>10306</v>
      </c>
      <c r="AH3568">
        <v>-1.46</v>
      </c>
      <c r="AI3568">
        <v>-3.32</v>
      </c>
      <c r="AJ3568">
        <v>0.85</v>
      </c>
      <c r="AK3568">
        <v>1.95</v>
      </c>
      <c r="AL3568">
        <v>1</v>
      </c>
      <c r="AM3568">
        <v>0.81</v>
      </c>
      <c r="AN3568">
        <v>-3.16</v>
      </c>
      <c r="AO3568">
        <v>2.1</v>
      </c>
      <c r="AP3568">
        <v>-11.81</v>
      </c>
    </row>
    <row r="3569" spans="1:42">
      <c r="A3569">
        <v>3568</v>
      </c>
      <c r="B3569" t="str">
        <f>"000788"</f>
        <v>000788</v>
      </c>
      <c r="C3569" t="s">
        <v>17670</v>
      </c>
      <c r="D3569">
        <v>7.11</v>
      </c>
      <c r="E3569">
        <v>0.14</v>
      </c>
      <c r="F3569">
        <v>0.01</v>
      </c>
      <c r="G3569" t="s">
        <v>296</v>
      </c>
      <c r="H3569">
        <v>407</v>
      </c>
      <c r="I3569">
        <v>7.11</v>
      </c>
      <c r="J3569">
        <v>7.12</v>
      </c>
      <c r="K3569" t="s">
        <v>17671</v>
      </c>
      <c r="L3569">
        <v>0.95</v>
      </c>
      <c r="M3569" t="s">
        <v>46</v>
      </c>
      <c r="N3569" t="s">
        <v>4071</v>
      </c>
      <c r="O3569">
        <v>7.18</v>
      </c>
      <c r="P3569">
        <v>7.06</v>
      </c>
      <c r="Q3569">
        <v>7.1</v>
      </c>
      <c r="R3569">
        <v>7.1</v>
      </c>
      <c r="S3569">
        <v>1.69</v>
      </c>
      <c r="T3569">
        <v>0.49</v>
      </c>
      <c r="U3569">
        <v>-33.93</v>
      </c>
      <c r="V3569">
        <v>-2521</v>
      </c>
      <c r="W3569">
        <v>7.12</v>
      </c>
      <c r="X3569" t="s">
        <v>8966</v>
      </c>
      <c r="Y3569" t="s">
        <v>7993</v>
      </c>
      <c r="Z3569">
        <v>1.01</v>
      </c>
      <c r="AA3569">
        <v>443</v>
      </c>
      <c r="AB3569">
        <v>60</v>
      </c>
      <c r="AC3569">
        <v>2.97</v>
      </c>
      <c r="AD3569" t="s">
        <v>6913</v>
      </c>
      <c r="AE3569" t="s">
        <v>8884</v>
      </c>
      <c r="AF3569" t="s">
        <v>6913</v>
      </c>
      <c r="AG3569" t="s">
        <v>8884</v>
      </c>
      <c r="AH3569">
        <v>-0.7</v>
      </c>
      <c r="AI3569">
        <v>0.57</v>
      </c>
      <c r="AJ3569">
        <v>2.98</v>
      </c>
      <c r="AK3569">
        <v>10.68</v>
      </c>
      <c r="AL3569">
        <v>2</v>
      </c>
      <c r="AM3569">
        <v>0.14</v>
      </c>
      <c r="AN3569">
        <v>-4.44</v>
      </c>
      <c r="AO3569">
        <v>4.87</v>
      </c>
      <c r="AP3569">
        <v>-22.72</v>
      </c>
    </row>
    <row r="3570" spans="1:42">
      <c r="A3570">
        <v>3569</v>
      </c>
      <c r="B3570" t="str">
        <f>"688003"</f>
        <v>688003</v>
      </c>
      <c r="C3570" t="s">
        <v>17672</v>
      </c>
      <c r="D3570">
        <v>38.72</v>
      </c>
      <c r="E3570">
        <v>-0.92</v>
      </c>
      <c r="F3570">
        <v>-0.36</v>
      </c>
      <c r="G3570" t="s">
        <v>239</v>
      </c>
      <c r="H3570">
        <v>125</v>
      </c>
      <c r="I3570">
        <v>38.72</v>
      </c>
      <c r="J3570">
        <v>38.82</v>
      </c>
      <c r="K3570" t="s">
        <v>17673</v>
      </c>
      <c r="L3570">
        <v>0.54</v>
      </c>
      <c r="M3570" t="s">
        <v>46</v>
      </c>
      <c r="N3570" t="s">
        <v>16771</v>
      </c>
      <c r="O3570">
        <v>39.45</v>
      </c>
      <c r="P3570">
        <v>38.3</v>
      </c>
      <c r="Q3570">
        <v>39.17</v>
      </c>
      <c r="R3570">
        <v>39.08</v>
      </c>
      <c r="S3570">
        <v>2.94</v>
      </c>
      <c r="T3570">
        <v>0.82</v>
      </c>
      <c r="U3570">
        <v>36.08</v>
      </c>
      <c r="V3570">
        <v>90</v>
      </c>
      <c r="W3570">
        <v>38.66</v>
      </c>
      <c r="X3570">
        <v>5561</v>
      </c>
      <c r="Y3570">
        <v>4831</v>
      </c>
      <c r="Z3570">
        <v>1.15</v>
      </c>
      <c r="AA3570">
        <v>13</v>
      </c>
      <c r="AB3570">
        <v>49</v>
      </c>
      <c r="AC3570">
        <v>4.3</v>
      </c>
      <c r="AD3570" t="s">
        <v>12584</v>
      </c>
      <c r="AE3570" t="s">
        <v>17674</v>
      </c>
      <c r="AF3570" t="s">
        <v>12584</v>
      </c>
      <c r="AG3570" t="s">
        <v>17674</v>
      </c>
      <c r="AH3570">
        <v>-1.5</v>
      </c>
      <c r="AI3570">
        <v>-3.63</v>
      </c>
      <c r="AJ3570">
        <v>1.99</v>
      </c>
      <c r="AK3570">
        <v>3.82</v>
      </c>
      <c r="AL3570">
        <v>-2</v>
      </c>
      <c r="AM3570">
        <v>-0.92</v>
      </c>
      <c r="AN3570">
        <v>23.71</v>
      </c>
      <c r="AO3570">
        <v>6.49</v>
      </c>
      <c r="AP3570">
        <v>20.89</v>
      </c>
    </row>
    <row r="3571" spans="1:42">
      <c r="A3571">
        <v>3570</v>
      </c>
      <c r="B3571" t="str">
        <f>"000401"</f>
        <v>000401</v>
      </c>
      <c r="C3571" t="s">
        <v>17675</v>
      </c>
      <c r="D3571">
        <v>6.98</v>
      </c>
      <c r="E3571">
        <v>0.43</v>
      </c>
      <c r="F3571">
        <v>0.03</v>
      </c>
      <c r="G3571" t="s">
        <v>1919</v>
      </c>
      <c r="H3571">
        <v>275</v>
      </c>
      <c r="I3571">
        <v>6.98</v>
      </c>
      <c r="J3571">
        <v>6.99</v>
      </c>
      <c r="K3571" t="s">
        <v>17676</v>
      </c>
      <c r="L3571">
        <v>0.37</v>
      </c>
      <c r="M3571" t="s">
        <v>46</v>
      </c>
      <c r="N3571" t="s">
        <v>2312</v>
      </c>
      <c r="O3571">
        <v>7.01</v>
      </c>
      <c r="P3571">
        <v>6.91</v>
      </c>
      <c r="Q3571">
        <v>6.92</v>
      </c>
      <c r="R3571">
        <v>6.95</v>
      </c>
      <c r="S3571">
        <v>1.44</v>
      </c>
      <c r="T3571">
        <v>0.86</v>
      </c>
      <c r="U3571">
        <v>-8.87</v>
      </c>
      <c r="V3571">
        <v>-767</v>
      </c>
      <c r="W3571">
        <v>6.96</v>
      </c>
      <c r="X3571" t="s">
        <v>3116</v>
      </c>
      <c r="Y3571" t="s">
        <v>1899</v>
      </c>
      <c r="Z3571">
        <v>0.59</v>
      </c>
      <c r="AA3571">
        <v>31</v>
      </c>
      <c r="AB3571">
        <v>557</v>
      </c>
      <c r="AC3571">
        <v>0.62</v>
      </c>
      <c r="AD3571" t="s">
        <v>8961</v>
      </c>
      <c r="AE3571" t="s">
        <v>8197</v>
      </c>
      <c r="AF3571" t="s">
        <v>17677</v>
      </c>
      <c r="AG3571" t="s">
        <v>14279</v>
      </c>
      <c r="AH3571">
        <v>-0.85</v>
      </c>
      <c r="AI3571">
        <v>-1.27</v>
      </c>
      <c r="AJ3571">
        <v>1.13</v>
      </c>
      <c r="AK3571">
        <v>2.55</v>
      </c>
      <c r="AL3571">
        <v>1</v>
      </c>
      <c r="AM3571">
        <v>0.43</v>
      </c>
      <c r="AN3571">
        <v>-13.61</v>
      </c>
      <c r="AO3571">
        <v>-0.43</v>
      </c>
      <c r="AP3571">
        <v>-16.41</v>
      </c>
    </row>
    <row r="3572" spans="1:42">
      <c r="A3572">
        <v>3571</v>
      </c>
      <c r="B3572" t="str">
        <f>"300472"</f>
        <v>300472</v>
      </c>
      <c r="C3572" t="s">
        <v>17678</v>
      </c>
      <c r="D3572">
        <v>9.86</v>
      </c>
      <c r="E3572">
        <v>0.2</v>
      </c>
      <c r="F3572">
        <v>0.02</v>
      </c>
      <c r="G3572" t="s">
        <v>3149</v>
      </c>
      <c r="H3572">
        <v>548</v>
      </c>
      <c r="I3572">
        <v>9.86</v>
      </c>
      <c r="J3572">
        <v>9.87</v>
      </c>
      <c r="K3572" t="s">
        <v>17679</v>
      </c>
      <c r="L3572">
        <v>1.63</v>
      </c>
      <c r="M3572" t="s">
        <v>46</v>
      </c>
      <c r="N3572" t="s">
        <v>4150</v>
      </c>
      <c r="O3572">
        <v>9.91</v>
      </c>
      <c r="P3572">
        <v>9.66</v>
      </c>
      <c r="Q3572">
        <v>9.85</v>
      </c>
      <c r="R3572">
        <v>9.84</v>
      </c>
      <c r="S3572">
        <v>2.54</v>
      </c>
      <c r="T3572">
        <v>1.3</v>
      </c>
      <c r="U3572">
        <v>-7.91</v>
      </c>
      <c r="V3572">
        <v>-154</v>
      </c>
      <c r="W3572">
        <v>9.79</v>
      </c>
      <c r="X3572" t="s">
        <v>5592</v>
      </c>
      <c r="Y3572" t="s">
        <v>1280</v>
      </c>
      <c r="Z3572">
        <v>1.05</v>
      </c>
      <c r="AA3572">
        <v>132</v>
      </c>
      <c r="AB3572">
        <v>42</v>
      </c>
      <c r="AC3572">
        <v>3.7</v>
      </c>
      <c r="AD3572" t="s">
        <v>17680</v>
      </c>
      <c r="AE3572" t="s">
        <v>17040</v>
      </c>
      <c r="AF3572" t="s">
        <v>17681</v>
      </c>
      <c r="AG3572" t="s">
        <v>15592</v>
      </c>
      <c r="AH3572">
        <v>0.41</v>
      </c>
      <c r="AI3572">
        <v>-0.9</v>
      </c>
      <c r="AJ3572">
        <v>4.04</v>
      </c>
      <c r="AK3572">
        <v>7.92</v>
      </c>
      <c r="AL3572">
        <v>2</v>
      </c>
      <c r="AM3572">
        <v>0.2</v>
      </c>
      <c r="AN3572">
        <v>-6.98</v>
      </c>
      <c r="AO3572">
        <v>3.35</v>
      </c>
      <c r="AP3572">
        <v>-35.34</v>
      </c>
    </row>
    <row r="3573" spans="1:42">
      <c r="A3573">
        <v>3572</v>
      </c>
      <c r="B3573" t="str">
        <f>"600403"</f>
        <v>600403</v>
      </c>
      <c r="C3573" t="s">
        <v>17682</v>
      </c>
      <c r="D3573">
        <v>4.07</v>
      </c>
      <c r="E3573">
        <v>1.5</v>
      </c>
      <c r="F3573">
        <v>0.06</v>
      </c>
      <c r="G3573" t="s">
        <v>6550</v>
      </c>
      <c r="H3573">
        <v>826</v>
      </c>
      <c r="I3573">
        <v>4.06</v>
      </c>
      <c r="J3573">
        <v>4.07</v>
      </c>
      <c r="K3573" t="s">
        <v>17679</v>
      </c>
      <c r="L3573">
        <v>0.41</v>
      </c>
      <c r="M3573" t="s">
        <v>46</v>
      </c>
      <c r="N3573" t="s">
        <v>14137</v>
      </c>
      <c r="O3573">
        <v>4.07</v>
      </c>
      <c r="P3573">
        <v>4</v>
      </c>
      <c r="Q3573">
        <v>4.01</v>
      </c>
      <c r="R3573">
        <v>4.01</v>
      </c>
      <c r="S3573">
        <v>1.75</v>
      </c>
      <c r="T3573">
        <v>0.9</v>
      </c>
      <c r="U3573">
        <v>-25.94</v>
      </c>
      <c r="V3573">
        <v>-5148</v>
      </c>
      <c r="W3573">
        <v>4.05</v>
      </c>
      <c r="X3573" t="s">
        <v>2921</v>
      </c>
      <c r="Y3573" t="s">
        <v>4049</v>
      </c>
      <c r="Z3573">
        <v>0.73</v>
      </c>
      <c r="AA3573">
        <v>2325</v>
      </c>
      <c r="AB3573">
        <v>2740</v>
      </c>
      <c r="AC3573">
        <v>1.35</v>
      </c>
      <c r="AD3573" t="s">
        <v>17683</v>
      </c>
      <c r="AE3573" t="s">
        <v>17684</v>
      </c>
      <c r="AF3573" t="s">
        <v>17683</v>
      </c>
      <c r="AG3573" t="s">
        <v>17684</v>
      </c>
      <c r="AH3573">
        <v>0.49</v>
      </c>
      <c r="AI3573">
        <v>1.75</v>
      </c>
      <c r="AJ3573">
        <v>1.1</v>
      </c>
      <c r="AK3573">
        <v>2.72</v>
      </c>
      <c r="AL3573">
        <v>1</v>
      </c>
      <c r="AM3573">
        <v>1.5</v>
      </c>
      <c r="AN3573">
        <v>-2.63</v>
      </c>
      <c r="AO3573">
        <v>5.17</v>
      </c>
      <c r="AP3573">
        <v>-4.91</v>
      </c>
    </row>
    <row r="3574" spans="1:42">
      <c r="A3574">
        <v>3573</v>
      </c>
      <c r="B3574" t="str">
        <f>"002650"</f>
        <v>002650</v>
      </c>
      <c r="C3574" t="s">
        <v>17685</v>
      </c>
      <c r="D3574">
        <v>4.33</v>
      </c>
      <c r="E3574">
        <v>-0.23</v>
      </c>
      <c r="F3574">
        <v>-0.01</v>
      </c>
      <c r="G3574" t="s">
        <v>4502</v>
      </c>
      <c r="H3574">
        <v>817</v>
      </c>
      <c r="I3574">
        <v>4.33</v>
      </c>
      <c r="J3574">
        <v>4.34</v>
      </c>
      <c r="K3574" t="s">
        <v>17686</v>
      </c>
      <c r="L3574">
        <v>0.8</v>
      </c>
      <c r="M3574" t="s">
        <v>46</v>
      </c>
      <c r="N3574" t="s">
        <v>1190</v>
      </c>
      <c r="O3574">
        <v>4.38</v>
      </c>
      <c r="P3574">
        <v>4.31</v>
      </c>
      <c r="Q3574">
        <v>4.31</v>
      </c>
      <c r="R3574">
        <v>4.34</v>
      </c>
      <c r="S3574">
        <v>1.61</v>
      </c>
      <c r="T3574">
        <v>1.17</v>
      </c>
      <c r="U3574">
        <v>-51.95</v>
      </c>
      <c r="V3574">
        <v>-9150</v>
      </c>
      <c r="W3574">
        <v>4.35</v>
      </c>
      <c r="X3574" t="s">
        <v>843</v>
      </c>
      <c r="Y3574" t="s">
        <v>778</v>
      </c>
      <c r="Z3574">
        <v>0.95</v>
      </c>
      <c r="AA3574">
        <v>454</v>
      </c>
      <c r="AB3574">
        <v>1215</v>
      </c>
      <c r="AC3574">
        <v>2.18</v>
      </c>
      <c r="AD3574" t="s">
        <v>896</v>
      </c>
      <c r="AE3574" t="s">
        <v>4223</v>
      </c>
      <c r="AF3574" t="s">
        <v>896</v>
      </c>
      <c r="AG3574" t="s">
        <v>4223</v>
      </c>
      <c r="AH3574">
        <v>1.17</v>
      </c>
      <c r="AI3574">
        <v>2.85</v>
      </c>
      <c r="AJ3574">
        <v>2.37</v>
      </c>
      <c r="AK3574">
        <v>4.22</v>
      </c>
      <c r="AL3574">
        <v>-1</v>
      </c>
      <c r="AM3574">
        <v>-0.23</v>
      </c>
      <c r="AN3574">
        <v>-6.28</v>
      </c>
      <c r="AO3574">
        <v>5.1</v>
      </c>
      <c r="AP3574">
        <v>6.91</v>
      </c>
    </row>
    <row r="3575" spans="1:42">
      <c r="A3575">
        <v>3574</v>
      </c>
      <c r="B3575" t="str">
        <f>"002441"</f>
        <v>002441</v>
      </c>
      <c r="C3575" t="s">
        <v>17687</v>
      </c>
      <c r="D3575">
        <v>9.64</v>
      </c>
      <c r="E3575">
        <v>0.31</v>
      </c>
      <c r="F3575">
        <v>0.03</v>
      </c>
      <c r="G3575" t="s">
        <v>7062</v>
      </c>
      <c r="H3575">
        <v>361</v>
      </c>
      <c r="I3575">
        <v>9.64</v>
      </c>
      <c r="J3575">
        <v>9.65</v>
      </c>
      <c r="K3575" t="s">
        <v>17688</v>
      </c>
      <c r="L3575">
        <v>1.04</v>
      </c>
      <c r="M3575" t="s">
        <v>46</v>
      </c>
      <c r="N3575" t="s">
        <v>17689</v>
      </c>
      <c r="O3575">
        <v>9.67</v>
      </c>
      <c r="P3575">
        <v>9.52</v>
      </c>
      <c r="Q3575">
        <v>9.64</v>
      </c>
      <c r="R3575">
        <v>9.61</v>
      </c>
      <c r="S3575">
        <v>1.56</v>
      </c>
      <c r="T3575">
        <v>0.64</v>
      </c>
      <c r="U3575">
        <v>-67.88</v>
      </c>
      <c r="V3575">
        <v>-4193</v>
      </c>
      <c r="W3575">
        <v>9.6</v>
      </c>
      <c r="X3575" t="s">
        <v>1280</v>
      </c>
      <c r="Y3575" t="s">
        <v>4963</v>
      </c>
      <c r="Z3575">
        <v>0.92</v>
      </c>
      <c r="AA3575">
        <v>127</v>
      </c>
      <c r="AB3575">
        <v>215</v>
      </c>
      <c r="AC3575">
        <v>1.15</v>
      </c>
      <c r="AD3575" t="s">
        <v>10757</v>
      </c>
      <c r="AE3575" t="s">
        <v>17690</v>
      </c>
      <c r="AF3575" t="s">
        <v>17691</v>
      </c>
      <c r="AG3575" t="s">
        <v>17692</v>
      </c>
      <c r="AH3575">
        <v>-1.83</v>
      </c>
      <c r="AI3575">
        <v>-0.1</v>
      </c>
      <c r="AJ3575">
        <v>4.41</v>
      </c>
      <c r="AK3575">
        <v>9.22</v>
      </c>
      <c r="AL3575">
        <v>1</v>
      </c>
      <c r="AM3575">
        <v>0.31</v>
      </c>
      <c r="AN3575">
        <v>21.26</v>
      </c>
      <c r="AO3575">
        <v>2.88</v>
      </c>
      <c r="AP3575">
        <v>5.93</v>
      </c>
    </row>
    <row r="3576" spans="1:42">
      <c r="A3576">
        <v>3575</v>
      </c>
      <c r="B3576" t="str">
        <f>"603065"</f>
        <v>603065</v>
      </c>
      <c r="C3576" t="s">
        <v>17693</v>
      </c>
      <c r="D3576">
        <v>14.29</v>
      </c>
      <c r="E3576">
        <v>1.56</v>
      </c>
      <c r="F3576">
        <v>0.22</v>
      </c>
      <c r="G3576" t="s">
        <v>6418</v>
      </c>
      <c r="H3576">
        <v>447</v>
      </c>
      <c r="I3576">
        <v>14.29</v>
      </c>
      <c r="J3576">
        <v>14.3</v>
      </c>
      <c r="K3576" t="s">
        <v>17688</v>
      </c>
      <c r="L3576">
        <v>6.73</v>
      </c>
      <c r="M3576" t="s">
        <v>46</v>
      </c>
      <c r="N3576" t="s">
        <v>522</v>
      </c>
      <c r="O3576">
        <v>14.3</v>
      </c>
      <c r="P3576">
        <v>13.95</v>
      </c>
      <c r="Q3576">
        <v>14.05</v>
      </c>
      <c r="R3576">
        <v>14.07</v>
      </c>
      <c r="S3576">
        <v>2.49</v>
      </c>
      <c r="T3576">
        <v>0.52</v>
      </c>
      <c r="U3576">
        <v>-6.43</v>
      </c>
      <c r="V3576">
        <v>-74</v>
      </c>
      <c r="W3576">
        <v>14.18</v>
      </c>
      <c r="X3576" t="s">
        <v>8636</v>
      </c>
      <c r="Y3576" t="s">
        <v>1118</v>
      </c>
      <c r="Z3576">
        <v>0.74</v>
      </c>
      <c r="AA3576">
        <v>88</v>
      </c>
      <c r="AB3576">
        <v>147</v>
      </c>
      <c r="AC3576">
        <v>2.89</v>
      </c>
      <c r="AD3576" t="s">
        <v>7949</v>
      </c>
      <c r="AE3576" t="s">
        <v>17694</v>
      </c>
      <c r="AF3576" t="s">
        <v>17695</v>
      </c>
      <c r="AG3576" t="s">
        <v>17696</v>
      </c>
      <c r="AH3576">
        <v>-2.86</v>
      </c>
      <c r="AI3576">
        <v>-6.23</v>
      </c>
      <c r="AJ3576">
        <v>24.85</v>
      </c>
      <c r="AK3576">
        <v>71.26</v>
      </c>
      <c r="AL3576">
        <v>1</v>
      </c>
      <c r="AM3576">
        <v>1.56</v>
      </c>
      <c r="AN3576">
        <v>12.96</v>
      </c>
      <c r="AO3576">
        <v>3.4</v>
      </c>
      <c r="AP3576">
        <v>12.96</v>
      </c>
    </row>
    <row r="3577" spans="1:42">
      <c r="A3577">
        <v>3576</v>
      </c>
      <c r="B3577" t="str">
        <f>"000586"</f>
        <v>000586</v>
      </c>
      <c r="C3577" t="s">
        <v>17697</v>
      </c>
      <c r="D3577">
        <v>13.49</v>
      </c>
      <c r="E3577">
        <v>0.52</v>
      </c>
      <c r="F3577">
        <v>0.07</v>
      </c>
      <c r="G3577" t="s">
        <v>8072</v>
      </c>
      <c r="H3577">
        <v>225</v>
      </c>
      <c r="I3577">
        <v>13.46</v>
      </c>
      <c r="J3577">
        <v>13.49</v>
      </c>
      <c r="K3577" t="s">
        <v>17698</v>
      </c>
      <c r="L3577">
        <v>1.55</v>
      </c>
      <c r="M3577" t="s">
        <v>46</v>
      </c>
      <c r="N3577" t="s">
        <v>4181</v>
      </c>
      <c r="O3577">
        <v>13.54</v>
      </c>
      <c r="P3577">
        <v>13.03</v>
      </c>
      <c r="Q3577">
        <v>13.43</v>
      </c>
      <c r="R3577">
        <v>13.42</v>
      </c>
      <c r="S3577">
        <v>3.8</v>
      </c>
      <c r="T3577">
        <v>1.07</v>
      </c>
      <c r="U3577">
        <v>-8.27</v>
      </c>
      <c r="V3577">
        <v>-59</v>
      </c>
      <c r="W3577">
        <v>13.35</v>
      </c>
      <c r="X3577" t="s">
        <v>209</v>
      </c>
      <c r="Y3577" t="s">
        <v>2397</v>
      </c>
      <c r="Z3577">
        <v>0.75</v>
      </c>
      <c r="AA3577">
        <v>3</v>
      </c>
      <c r="AB3577">
        <v>174</v>
      </c>
      <c r="AC3577">
        <v>7.84</v>
      </c>
      <c r="AD3577" t="s">
        <v>17699</v>
      </c>
      <c r="AE3577" t="s">
        <v>184</v>
      </c>
      <c r="AF3577" t="s">
        <v>17699</v>
      </c>
      <c r="AG3577" t="s">
        <v>184</v>
      </c>
      <c r="AH3577">
        <v>-2.1</v>
      </c>
      <c r="AI3577">
        <v>-6.19</v>
      </c>
      <c r="AJ3577">
        <v>4.14</v>
      </c>
      <c r="AK3577">
        <v>8.79</v>
      </c>
      <c r="AL3577">
        <v>1</v>
      </c>
      <c r="AM3577">
        <v>0.52</v>
      </c>
      <c r="AN3577">
        <v>62.92</v>
      </c>
      <c r="AO3577">
        <v>-7.79</v>
      </c>
      <c r="AP3577">
        <v>54</v>
      </c>
    </row>
    <row r="3578" spans="1:42">
      <c r="A3578">
        <v>3577</v>
      </c>
      <c r="B3578" t="str">
        <f>"300439"</f>
        <v>300439</v>
      </c>
      <c r="C3578" t="s">
        <v>17700</v>
      </c>
      <c r="D3578">
        <v>12.29</v>
      </c>
      <c r="E3578">
        <v>-0.08</v>
      </c>
      <c r="F3578">
        <v>-0.01</v>
      </c>
      <c r="G3578" t="s">
        <v>4761</v>
      </c>
      <c r="H3578">
        <v>341</v>
      </c>
      <c r="I3578">
        <v>12.28</v>
      </c>
      <c r="J3578">
        <v>12.29</v>
      </c>
      <c r="K3578" t="s">
        <v>17701</v>
      </c>
      <c r="L3578">
        <v>1.17</v>
      </c>
      <c r="M3578" t="s">
        <v>46</v>
      </c>
      <c r="N3578" t="s">
        <v>5078</v>
      </c>
      <c r="O3578">
        <v>12.36</v>
      </c>
      <c r="P3578">
        <v>12.18</v>
      </c>
      <c r="Q3578">
        <v>12.26</v>
      </c>
      <c r="R3578">
        <v>12.3</v>
      </c>
      <c r="S3578">
        <v>1.46</v>
      </c>
      <c r="T3578">
        <v>0.62</v>
      </c>
      <c r="U3578">
        <v>-4.08</v>
      </c>
      <c r="V3578">
        <v>-58</v>
      </c>
      <c r="W3578">
        <v>12.28</v>
      </c>
      <c r="X3578" t="s">
        <v>4977</v>
      </c>
      <c r="Y3578" t="s">
        <v>390</v>
      </c>
      <c r="Z3578">
        <v>0.95</v>
      </c>
      <c r="AA3578">
        <v>107</v>
      </c>
      <c r="AB3578">
        <v>188</v>
      </c>
      <c r="AC3578">
        <v>1.74</v>
      </c>
      <c r="AD3578" t="s">
        <v>17702</v>
      </c>
      <c r="AE3578" t="s">
        <v>17703</v>
      </c>
      <c r="AF3578" t="s">
        <v>17704</v>
      </c>
      <c r="AG3578" t="s">
        <v>14544</v>
      </c>
      <c r="AH3578">
        <v>-0.65</v>
      </c>
      <c r="AI3578">
        <v>-1.05</v>
      </c>
      <c r="AJ3578">
        <v>3.72</v>
      </c>
      <c r="AK3578">
        <v>10.66</v>
      </c>
      <c r="AL3578">
        <v>-1</v>
      </c>
      <c r="AM3578">
        <v>-0.08</v>
      </c>
      <c r="AN3578">
        <v>5.95</v>
      </c>
      <c r="AO3578">
        <v>2.85</v>
      </c>
      <c r="AP3578">
        <v>-7.18</v>
      </c>
    </row>
    <row r="3579" spans="1:42">
      <c r="A3579">
        <v>3578</v>
      </c>
      <c r="B3579" t="str">
        <f>"001205"</f>
        <v>001205</v>
      </c>
      <c r="C3579" t="s">
        <v>17705</v>
      </c>
      <c r="D3579">
        <v>19.09</v>
      </c>
      <c r="E3579">
        <v>-1.85</v>
      </c>
      <c r="F3579">
        <v>-0.36</v>
      </c>
      <c r="G3579" t="s">
        <v>6580</v>
      </c>
      <c r="H3579">
        <v>89</v>
      </c>
      <c r="I3579">
        <v>19.08</v>
      </c>
      <c r="J3579">
        <v>19.09</v>
      </c>
      <c r="K3579" t="s">
        <v>17706</v>
      </c>
      <c r="L3579">
        <v>1.78</v>
      </c>
      <c r="M3579" t="s">
        <v>46</v>
      </c>
      <c r="N3579" t="s">
        <v>1409</v>
      </c>
      <c r="O3579">
        <v>19.57</v>
      </c>
      <c r="P3579">
        <v>18.93</v>
      </c>
      <c r="Q3579">
        <v>19.27</v>
      </c>
      <c r="R3579">
        <v>19.45</v>
      </c>
      <c r="S3579">
        <v>3.29</v>
      </c>
      <c r="T3579">
        <v>1.07</v>
      </c>
      <c r="U3579">
        <v>-19.53</v>
      </c>
      <c r="V3579">
        <v>-66</v>
      </c>
      <c r="W3579">
        <v>19.14</v>
      </c>
      <c r="X3579" t="s">
        <v>1083</v>
      </c>
      <c r="Y3579">
        <v>9063</v>
      </c>
      <c r="Z3579">
        <v>1.3</v>
      </c>
      <c r="AA3579">
        <v>61</v>
      </c>
      <c r="AB3579">
        <v>105</v>
      </c>
      <c r="AC3579">
        <v>2.03</v>
      </c>
      <c r="AD3579" t="s">
        <v>9049</v>
      </c>
      <c r="AE3579" t="s">
        <v>8821</v>
      </c>
      <c r="AF3579" t="s">
        <v>7660</v>
      </c>
      <c r="AG3579" t="s">
        <v>14382</v>
      </c>
      <c r="AH3579">
        <v>-2.5</v>
      </c>
      <c r="AI3579">
        <v>2.3</v>
      </c>
      <c r="AJ3579">
        <v>4.36</v>
      </c>
      <c r="AK3579">
        <v>10.11</v>
      </c>
      <c r="AL3579">
        <v>-1</v>
      </c>
      <c r="AM3579">
        <v>-1.85</v>
      </c>
      <c r="AN3579">
        <v>-21.83</v>
      </c>
      <c r="AO3579">
        <v>9.09</v>
      </c>
      <c r="AP3579">
        <v>-28.26</v>
      </c>
    </row>
    <row r="3580" spans="1:42">
      <c r="A3580">
        <v>3579</v>
      </c>
      <c r="B3580" t="str">
        <f>"002741"</f>
        <v>002741</v>
      </c>
      <c r="C3580" t="s">
        <v>17707</v>
      </c>
      <c r="D3580">
        <v>15.11</v>
      </c>
      <c r="E3580">
        <v>-0.4</v>
      </c>
      <c r="F3580">
        <v>-0.06</v>
      </c>
      <c r="G3580" t="s">
        <v>5746</v>
      </c>
      <c r="H3580">
        <v>297</v>
      </c>
      <c r="I3580">
        <v>15.11</v>
      </c>
      <c r="J3580">
        <v>15.12</v>
      </c>
      <c r="K3580" t="s">
        <v>17706</v>
      </c>
      <c r="L3580">
        <v>0.73</v>
      </c>
      <c r="M3580" t="s">
        <v>46</v>
      </c>
      <c r="N3580" t="s">
        <v>4516</v>
      </c>
      <c r="O3580">
        <v>15.17</v>
      </c>
      <c r="P3580">
        <v>14.93</v>
      </c>
      <c r="Q3580">
        <v>15.14</v>
      </c>
      <c r="R3580">
        <v>15.17</v>
      </c>
      <c r="S3580">
        <v>1.58</v>
      </c>
      <c r="T3580">
        <v>0.56</v>
      </c>
      <c r="U3580">
        <v>-65.47</v>
      </c>
      <c r="V3580">
        <v>-785</v>
      </c>
      <c r="W3580">
        <v>15.06</v>
      </c>
      <c r="X3580" t="s">
        <v>1052</v>
      </c>
      <c r="Y3580" t="s">
        <v>6867</v>
      </c>
      <c r="Z3580">
        <v>0.84</v>
      </c>
      <c r="AA3580">
        <v>15</v>
      </c>
      <c r="AB3580">
        <v>345</v>
      </c>
      <c r="AC3580">
        <v>4</v>
      </c>
      <c r="AD3580" t="s">
        <v>4671</v>
      </c>
      <c r="AE3580" t="s">
        <v>10233</v>
      </c>
      <c r="AF3580" t="s">
        <v>17708</v>
      </c>
      <c r="AG3580" t="s">
        <v>11520</v>
      </c>
      <c r="AH3580">
        <v>-1.18</v>
      </c>
      <c r="AI3580">
        <v>-3.76</v>
      </c>
      <c r="AJ3580">
        <v>2.7</v>
      </c>
      <c r="AK3580">
        <v>7.34</v>
      </c>
      <c r="AL3580">
        <v>-2</v>
      </c>
      <c r="AM3580">
        <v>-0.4</v>
      </c>
      <c r="AN3580">
        <v>-16.29</v>
      </c>
      <c r="AO3580">
        <v>6.56</v>
      </c>
      <c r="AP3580">
        <v>-29.43</v>
      </c>
    </row>
    <row r="3581" spans="1:42">
      <c r="A3581">
        <v>3580</v>
      </c>
      <c r="B3581" t="str">
        <f>"601968"</f>
        <v>601968</v>
      </c>
      <c r="C3581" t="s">
        <v>17709</v>
      </c>
      <c r="D3581">
        <v>5.62</v>
      </c>
      <c r="E3581">
        <v>2.37</v>
      </c>
      <c r="F3581">
        <v>0.13</v>
      </c>
      <c r="G3581" t="s">
        <v>11758</v>
      </c>
      <c r="H3581">
        <v>473</v>
      </c>
      <c r="I3581">
        <v>5.61</v>
      </c>
      <c r="J3581">
        <v>5.62</v>
      </c>
      <c r="K3581" t="s">
        <v>17710</v>
      </c>
      <c r="L3581">
        <v>0.79</v>
      </c>
      <c r="M3581" t="s">
        <v>46</v>
      </c>
      <c r="N3581" t="s">
        <v>17711</v>
      </c>
      <c r="O3581">
        <v>5.63</v>
      </c>
      <c r="P3581">
        <v>5.46</v>
      </c>
      <c r="Q3581">
        <v>5.49</v>
      </c>
      <c r="R3581">
        <v>5.49</v>
      </c>
      <c r="S3581">
        <v>3.1</v>
      </c>
      <c r="T3581">
        <v>1.77</v>
      </c>
      <c r="U3581">
        <v>13.78</v>
      </c>
      <c r="V3581">
        <v>1187</v>
      </c>
      <c r="W3581">
        <v>5.56</v>
      </c>
      <c r="X3581" t="s">
        <v>7993</v>
      </c>
      <c r="Y3581" t="s">
        <v>6838</v>
      </c>
      <c r="Z3581">
        <v>0.64</v>
      </c>
      <c r="AA3581">
        <v>261</v>
      </c>
      <c r="AB3581">
        <v>609</v>
      </c>
      <c r="AC3581">
        <v>1.66</v>
      </c>
      <c r="AD3581" t="s">
        <v>17712</v>
      </c>
      <c r="AE3581" t="s">
        <v>17713</v>
      </c>
      <c r="AF3581" t="s">
        <v>17714</v>
      </c>
      <c r="AG3581" t="s">
        <v>17715</v>
      </c>
      <c r="AH3581">
        <v>1.44</v>
      </c>
      <c r="AI3581">
        <v>1.44</v>
      </c>
      <c r="AJ3581">
        <v>1.46</v>
      </c>
      <c r="AK3581">
        <v>3.03</v>
      </c>
      <c r="AL3581">
        <v>1</v>
      </c>
      <c r="AM3581">
        <v>2.37</v>
      </c>
      <c r="AN3581">
        <v>-13</v>
      </c>
      <c r="AO3581">
        <v>-0.53</v>
      </c>
      <c r="AP3581">
        <v>-13.27</v>
      </c>
    </row>
    <row r="3582" spans="1:42">
      <c r="A3582">
        <v>3581</v>
      </c>
      <c r="B3582" t="str">
        <f>"002012"</f>
        <v>002012</v>
      </c>
      <c r="C3582" t="s">
        <v>17716</v>
      </c>
      <c r="D3582">
        <v>5.6</v>
      </c>
      <c r="E3582">
        <v>1.08</v>
      </c>
      <c r="F3582">
        <v>0.06</v>
      </c>
      <c r="G3582" t="s">
        <v>1918</v>
      </c>
      <c r="H3582">
        <v>1352</v>
      </c>
      <c r="I3582">
        <v>5.59</v>
      </c>
      <c r="J3582">
        <v>5.6</v>
      </c>
      <c r="K3582" t="s">
        <v>17717</v>
      </c>
      <c r="L3582">
        <v>1.53</v>
      </c>
      <c r="M3582" t="s">
        <v>46</v>
      </c>
      <c r="N3582" t="s">
        <v>2054</v>
      </c>
      <c r="O3582">
        <v>5.63</v>
      </c>
      <c r="P3582">
        <v>5.5</v>
      </c>
      <c r="Q3582">
        <v>5.54</v>
      </c>
      <c r="R3582">
        <v>5.54</v>
      </c>
      <c r="S3582">
        <v>2.35</v>
      </c>
      <c r="T3582">
        <v>0.57</v>
      </c>
      <c r="U3582">
        <v>-43.06</v>
      </c>
      <c r="V3582">
        <v>-3613</v>
      </c>
      <c r="W3582">
        <v>5.59</v>
      </c>
      <c r="X3582" t="s">
        <v>1704</v>
      </c>
      <c r="Y3582" t="s">
        <v>4846</v>
      </c>
      <c r="Z3582">
        <v>0.86</v>
      </c>
      <c r="AA3582">
        <v>105</v>
      </c>
      <c r="AB3582">
        <v>210</v>
      </c>
      <c r="AC3582">
        <v>1.69</v>
      </c>
      <c r="AD3582" t="s">
        <v>17718</v>
      </c>
      <c r="AE3582" t="s">
        <v>17719</v>
      </c>
      <c r="AF3582" t="s">
        <v>17720</v>
      </c>
      <c r="AG3582" t="s">
        <v>17721</v>
      </c>
      <c r="AH3582">
        <v>-1.58</v>
      </c>
      <c r="AI3582">
        <v>-1.23</v>
      </c>
      <c r="AJ3582">
        <v>7.11</v>
      </c>
      <c r="AK3582">
        <v>15.06</v>
      </c>
      <c r="AL3582">
        <v>1</v>
      </c>
      <c r="AM3582">
        <v>1.08</v>
      </c>
      <c r="AN3582">
        <v>7.07</v>
      </c>
      <c r="AO3582">
        <v>2.19</v>
      </c>
      <c r="AP3582">
        <v>-2.1</v>
      </c>
    </row>
    <row r="3583" spans="1:42">
      <c r="A3583">
        <v>3582</v>
      </c>
      <c r="B3583" t="str">
        <f>"603113"</f>
        <v>603113</v>
      </c>
      <c r="C3583" t="s">
        <v>17722</v>
      </c>
      <c r="D3583">
        <v>8.52</v>
      </c>
      <c r="E3583">
        <v>0.83</v>
      </c>
      <c r="F3583">
        <v>0.07</v>
      </c>
      <c r="G3583" t="s">
        <v>7299</v>
      </c>
      <c r="H3583">
        <v>252</v>
      </c>
      <c r="I3583">
        <v>8.51</v>
      </c>
      <c r="J3583">
        <v>8.52</v>
      </c>
      <c r="K3583" t="s">
        <v>17723</v>
      </c>
      <c r="L3583">
        <v>0.55</v>
      </c>
      <c r="M3583" t="s">
        <v>46</v>
      </c>
      <c r="N3583" t="s">
        <v>17724</v>
      </c>
      <c r="O3583">
        <v>8.57</v>
      </c>
      <c r="P3583">
        <v>8.43</v>
      </c>
      <c r="Q3583">
        <v>8.48</v>
      </c>
      <c r="R3583">
        <v>8.45</v>
      </c>
      <c r="S3583">
        <v>1.66</v>
      </c>
      <c r="T3583">
        <v>1.02</v>
      </c>
      <c r="U3583">
        <v>-51.54</v>
      </c>
      <c r="V3583">
        <v>-1027</v>
      </c>
      <c r="W3583">
        <v>8.52</v>
      </c>
      <c r="X3583" t="s">
        <v>10934</v>
      </c>
      <c r="Y3583" t="s">
        <v>8952</v>
      </c>
      <c r="Z3583">
        <v>0.7</v>
      </c>
      <c r="AA3583">
        <v>163</v>
      </c>
      <c r="AB3583">
        <v>10</v>
      </c>
      <c r="AC3583">
        <v>0.86</v>
      </c>
      <c r="AD3583" t="s">
        <v>17725</v>
      </c>
      <c r="AE3583" t="s">
        <v>17726</v>
      </c>
      <c r="AF3583" t="s">
        <v>17725</v>
      </c>
      <c r="AG3583" t="s">
        <v>17726</v>
      </c>
      <c r="AH3583">
        <v>-0.58</v>
      </c>
      <c r="AI3583">
        <v>-0.93</v>
      </c>
      <c r="AJ3583">
        <v>1.48</v>
      </c>
      <c r="AK3583">
        <v>3.26</v>
      </c>
      <c r="AL3583">
        <v>1</v>
      </c>
      <c r="AM3583">
        <v>0.83</v>
      </c>
      <c r="AN3583">
        <v>-4.8</v>
      </c>
      <c r="AO3583">
        <v>3.65</v>
      </c>
      <c r="AP3583">
        <v>-9.27</v>
      </c>
    </row>
    <row r="3584" spans="1:42">
      <c r="A3584">
        <v>3583</v>
      </c>
      <c r="B3584" t="str">
        <f>"002538"</f>
        <v>002538</v>
      </c>
      <c r="C3584" t="s">
        <v>17727</v>
      </c>
      <c r="D3584">
        <v>5.98</v>
      </c>
      <c r="E3584">
        <v>-0.99</v>
      </c>
      <c r="F3584">
        <v>-0.06</v>
      </c>
      <c r="G3584" t="s">
        <v>7529</v>
      </c>
      <c r="H3584">
        <v>1091</v>
      </c>
      <c r="I3584">
        <v>5.98</v>
      </c>
      <c r="J3584">
        <v>5.99</v>
      </c>
      <c r="K3584" t="s">
        <v>17728</v>
      </c>
      <c r="L3584">
        <v>0.78</v>
      </c>
      <c r="M3584" t="s">
        <v>46</v>
      </c>
      <c r="N3584" t="s">
        <v>1745</v>
      </c>
      <c r="O3584">
        <v>6.05</v>
      </c>
      <c r="P3584">
        <v>5.95</v>
      </c>
      <c r="Q3584">
        <v>6.04</v>
      </c>
      <c r="R3584">
        <v>6.04</v>
      </c>
      <c r="S3584">
        <v>1.66</v>
      </c>
      <c r="T3584">
        <v>1.48</v>
      </c>
      <c r="U3584">
        <v>-55.84</v>
      </c>
      <c r="V3584">
        <v>-7040</v>
      </c>
      <c r="W3584">
        <v>5.99</v>
      </c>
      <c r="X3584" t="s">
        <v>1044</v>
      </c>
      <c r="Y3584" t="s">
        <v>6768</v>
      </c>
      <c r="Z3584">
        <v>1.32</v>
      </c>
      <c r="AA3584">
        <v>397</v>
      </c>
      <c r="AB3584">
        <v>116</v>
      </c>
      <c r="AC3584">
        <v>0.97</v>
      </c>
      <c r="AD3584" t="s">
        <v>17729</v>
      </c>
      <c r="AE3584" t="s">
        <v>17730</v>
      </c>
      <c r="AF3584" t="s">
        <v>17729</v>
      </c>
      <c r="AG3584" t="s">
        <v>17730</v>
      </c>
      <c r="AH3584">
        <v>-2.61</v>
      </c>
      <c r="AI3584">
        <v>-2.61</v>
      </c>
      <c r="AJ3584">
        <v>1.7</v>
      </c>
      <c r="AK3584">
        <v>3.4</v>
      </c>
      <c r="AL3584">
        <v>-3</v>
      </c>
      <c r="AM3584">
        <v>-0.99</v>
      </c>
      <c r="AN3584">
        <v>-22.84</v>
      </c>
      <c r="AO3584">
        <v>-1.64</v>
      </c>
      <c r="AP3584">
        <v>-23.63</v>
      </c>
    </row>
    <row r="3585" spans="1:42">
      <c r="A3585">
        <v>3584</v>
      </c>
      <c r="B3585" t="str">
        <f>"688531"</f>
        <v>688531</v>
      </c>
      <c r="C3585" t="s">
        <v>17731</v>
      </c>
      <c r="D3585">
        <v>104.69</v>
      </c>
      <c r="E3585">
        <v>0.95</v>
      </c>
      <c r="F3585">
        <v>0.99</v>
      </c>
      <c r="G3585">
        <v>3834</v>
      </c>
      <c r="H3585">
        <v>57</v>
      </c>
      <c r="I3585">
        <v>104.69</v>
      </c>
      <c r="J3585">
        <v>104.7</v>
      </c>
      <c r="K3585" t="s">
        <v>17728</v>
      </c>
      <c r="L3585">
        <v>2.07</v>
      </c>
      <c r="M3585" t="s">
        <v>46</v>
      </c>
      <c r="N3585" t="s">
        <v>6277</v>
      </c>
      <c r="O3585">
        <v>105.78</v>
      </c>
      <c r="P3585">
        <v>102.28</v>
      </c>
      <c r="Q3585">
        <v>103.48</v>
      </c>
      <c r="R3585">
        <v>103.7</v>
      </c>
      <c r="S3585">
        <v>3.38</v>
      </c>
      <c r="T3585">
        <v>0.68</v>
      </c>
      <c r="U3585">
        <v>81.73</v>
      </c>
      <c r="V3585">
        <v>268</v>
      </c>
      <c r="W3585">
        <v>103.66</v>
      </c>
      <c r="X3585">
        <v>1920</v>
      </c>
      <c r="Y3585">
        <v>1915</v>
      </c>
      <c r="Z3585">
        <v>1</v>
      </c>
      <c r="AA3585">
        <v>127</v>
      </c>
      <c r="AB3585">
        <v>5</v>
      </c>
      <c r="AC3585">
        <v>2.58</v>
      </c>
      <c r="AD3585" t="s">
        <v>17732</v>
      </c>
      <c r="AE3585" t="s">
        <v>17733</v>
      </c>
      <c r="AF3585" t="s">
        <v>17734</v>
      </c>
      <c r="AG3585" t="s">
        <v>5178</v>
      </c>
      <c r="AH3585">
        <v>-0.96</v>
      </c>
      <c r="AI3585">
        <v>-2.97</v>
      </c>
      <c r="AJ3585">
        <v>8.01</v>
      </c>
      <c r="AK3585">
        <v>17.37</v>
      </c>
      <c r="AL3585">
        <v>1</v>
      </c>
      <c r="AM3585">
        <v>0.95</v>
      </c>
      <c r="AN3585">
        <v>-31.16</v>
      </c>
      <c r="AO3585">
        <v>-1.22</v>
      </c>
      <c r="AP3585">
        <v>-31.16</v>
      </c>
    </row>
    <row r="3586" spans="1:42">
      <c r="A3586">
        <v>3585</v>
      </c>
      <c r="B3586" t="str">
        <f>"605167"</f>
        <v>605167</v>
      </c>
      <c r="C3586" t="s">
        <v>17735</v>
      </c>
      <c r="D3586">
        <v>8.92</v>
      </c>
      <c r="E3586">
        <v>0</v>
      </c>
      <c r="F3586">
        <v>0</v>
      </c>
      <c r="G3586" t="s">
        <v>4766</v>
      </c>
      <c r="H3586">
        <v>441</v>
      </c>
      <c r="I3586">
        <v>8.91</v>
      </c>
      <c r="J3586">
        <v>8.92</v>
      </c>
      <c r="K3586" t="s">
        <v>17736</v>
      </c>
      <c r="L3586">
        <v>2.01</v>
      </c>
      <c r="M3586" t="s">
        <v>46</v>
      </c>
      <c r="N3586" t="s">
        <v>8540</v>
      </c>
      <c r="O3586">
        <v>8.97</v>
      </c>
      <c r="P3586">
        <v>8.78</v>
      </c>
      <c r="Q3586">
        <v>8.87</v>
      </c>
      <c r="R3586">
        <v>8.92</v>
      </c>
      <c r="S3586">
        <v>2.13</v>
      </c>
      <c r="T3586">
        <v>0.66</v>
      </c>
      <c r="U3586">
        <v>16.28</v>
      </c>
      <c r="V3586">
        <v>361</v>
      </c>
      <c r="W3586">
        <v>8.88</v>
      </c>
      <c r="X3586" t="s">
        <v>6580</v>
      </c>
      <c r="Y3586" t="s">
        <v>4017</v>
      </c>
      <c r="Z3586">
        <v>0.87</v>
      </c>
      <c r="AA3586">
        <v>154</v>
      </c>
      <c r="AB3586">
        <v>25</v>
      </c>
      <c r="AC3586">
        <v>2.5</v>
      </c>
      <c r="AD3586" t="s">
        <v>17737</v>
      </c>
      <c r="AE3586" t="s">
        <v>17738</v>
      </c>
      <c r="AF3586" t="s">
        <v>14596</v>
      </c>
      <c r="AG3586" t="s">
        <v>6943</v>
      </c>
      <c r="AH3586">
        <v>-0.67</v>
      </c>
      <c r="AI3586">
        <v>-0.89</v>
      </c>
      <c r="AJ3586">
        <v>6.73</v>
      </c>
      <c r="AK3586">
        <v>17.22</v>
      </c>
      <c r="AL3586">
        <v>0</v>
      </c>
      <c r="AM3586">
        <v>0</v>
      </c>
      <c r="AN3586">
        <v>6.32</v>
      </c>
      <c r="AO3586">
        <v>-1.11</v>
      </c>
      <c r="AP3586">
        <v>9.05</v>
      </c>
    </row>
    <row r="3587" spans="1:42">
      <c r="A3587">
        <v>3586</v>
      </c>
      <c r="B3587" t="str">
        <f>"000599"</f>
        <v>000599</v>
      </c>
      <c r="C3587" t="s">
        <v>17739</v>
      </c>
      <c r="D3587">
        <v>4.63</v>
      </c>
      <c r="E3587">
        <v>0</v>
      </c>
      <c r="F3587">
        <v>0</v>
      </c>
      <c r="G3587" t="s">
        <v>6038</v>
      </c>
      <c r="H3587">
        <v>1222</v>
      </c>
      <c r="I3587">
        <v>4.62</v>
      </c>
      <c r="J3587">
        <v>4.63</v>
      </c>
      <c r="K3587" t="s">
        <v>17740</v>
      </c>
      <c r="L3587">
        <v>1.05</v>
      </c>
      <c r="M3587" t="s">
        <v>46</v>
      </c>
      <c r="N3587" t="s">
        <v>17741</v>
      </c>
      <c r="O3587">
        <v>4.67</v>
      </c>
      <c r="P3587">
        <v>4.56</v>
      </c>
      <c r="Q3587">
        <v>4.63</v>
      </c>
      <c r="R3587">
        <v>4.63</v>
      </c>
      <c r="S3587">
        <v>2.38</v>
      </c>
      <c r="T3587">
        <v>0.79</v>
      </c>
      <c r="U3587">
        <v>15.34</v>
      </c>
      <c r="V3587">
        <v>1728</v>
      </c>
      <c r="W3587">
        <v>4.62</v>
      </c>
      <c r="X3587" t="s">
        <v>3758</v>
      </c>
      <c r="Y3587" t="s">
        <v>3959</v>
      </c>
      <c r="Z3587">
        <v>1.01</v>
      </c>
      <c r="AA3587">
        <v>496</v>
      </c>
      <c r="AB3587">
        <v>772</v>
      </c>
      <c r="AC3587">
        <v>1.77</v>
      </c>
      <c r="AD3587" t="s">
        <v>17742</v>
      </c>
      <c r="AE3587" t="s">
        <v>17743</v>
      </c>
      <c r="AF3587" t="s">
        <v>7445</v>
      </c>
      <c r="AG3587" t="s">
        <v>6612</v>
      </c>
      <c r="AH3587">
        <v>-1.07</v>
      </c>
      <c r="AI3587">
        <v>0.22</v>
      </c>
      <c r="AJ3587">
        <v>3.51</v>
      </c>
      <c r="AK3587">
        <v>7.75</v>
      </c>
      <c r="AL3587">
        <v>0</v>
      </c>
      <c r="AM3587">
        <v>0</v>
      </c>
      <c r="AN3587">
        <v>10.5</v>
      </c>
      <c r="AO3587">
        <v>4.04</v>
      </c>
      <c r="AP3587">
        <v>15.17</v>
      </c>
    </row>
    <row r="3588" spans="1:42">
      <c r="A3588">
        <v>3587</v>
      </c>
      <c r="B3588" t="str">
        <f>"600790"</f>
        <v>600790</v>
      </c>
      <c r="C3588" t="s">
        <v>17744</v>
      </c>
      <c r="D3588">
        <v>4.05</v>
      </c>
      <c r="E3588">
        <v>2.02</v>
      </c>
      <c r="F3588">
        <v>0.08</v>
      </c>
      <c r="G3588" t="s">
        <v>1513</v>
      </c>
      <c r="H3588">
        <v>1261</v>
      </c>
      <c r="I3588">
        <v>4.04</v>
      </c>
      <c r="J3588">
        <v>4.05</v>
      </c>
      <c r="K3588" t="s">
        <v>17745</v>
      </c>
      <c r="L3588">
        <v>0.67</v>
      </c>
      <c r="M3588" t="s">
        <v>46</v>
      </c>
      <c r="N3588" t="s">
        <v>9446</v>
      </c>
      <c r="O3588">
        <v>4.07</v>
      </c>
      <c r="P3588">
        <v>3.96</v>
      </c>
      <c r="Q3588">
        <v>3.98</v>
      </c>
      <c r="R3588">
        <v>3.97</v>
      </c>
      <c r="S3588">
        <v>2.77</v>
      </c>
      <c r="T3588">
        <v>1.86</v>
      </c>
      <c r="U3588">
        <v>-40.14</v>
      </c>
      <c r="V3588">
        <v>-6086</v>
      </c>
      <c r="W3588">
        <v>4.04</v>
      </c>
      <c r="X3588" t="s">
        <v>1080</v>
      </c>
      <c r="Y3588" t="s">
        <v>5725</v>
      </c>
      <c r="Z3588">
        <v>0.42</v>
      </c>
      <c r="AA3588">
        <v>1755</v>
      </c>
      <c r="AB3588">
        <v>200</v>
      </c>
      <c r="AC3588">
        <v>0.98</v>
      </c>
      <c r="AD3588" t="s">
        <v>13234</v>
      </c>
      <c r="AE3588" t="s">
        <v>17746</v>
      </c>
      <c r="AF3588" t="s">
        <v>13234</v>
      </c>
      <c r="AG3588" t="s">
        <v>17746</v>
      </c>
      <c r="AH3588">
        <v>2.02</v>
      </c>
      <c r="AI3588">
        <v>0.75</v>
      </c>
      <c r="AJ3588">
        <v>1.32</v>
      </c>
      <c r="AK3588">
        <v>2.47</v>
      </c>
      <c r="AL3588">
        <v>2</v>
      </c>
      <c r="AM3588">
        <v>2.02</v>
      </c>
      <c r="AN3588">
        <v>-9.6</v>
      </c>
      <c r="AO3588">
        <v>3.05</v>
      </c>
      <c r="AP3588">
        <v>0.75</v>
      </c>
    </row>
    <row r="3589" spans="1:42">
      <c r="A3589">
        <v>3588</v>
      </c>
      <c r="B3589" t="str">
        <f>"601200"</f>
        <v>601200</v>
      </c>
      <c r="C3589" t="s">
        <v>17747</v>
      </c>
      <c r="D3589">
        <v>9.31</v>
      </c>
      <c r="E3589">
        <v>0.65</v>
      </c>
      <c r="F3589">
        <v>0.06</v>
      </c>
      <c r="G3589" t="s">
        <v>3959</v>
      </c>
      <c r="H3589">
        <v>175</v>
      </c>
      <c r="I3589">
        <v>9.3</v>
      </c>
      <c r="J3589">
        <v>9.31</v>
      </c>
      <c r="K3589" t="s">
        <v>17748</v>
      </c>
      <c r="L3589">
        <v>0.38</v>
      </c>
      <c r="M3589" t="s">
        <v>46</v>
      </c>
      <c r="N3589" t="s">
        <v>6820</v>
      </c>
      <c r="O3589">
        <v>9.33</v>
      </c>
      <c r="P3589">
        <v>9.22</v>
      </c>
      <c r="Q3589">
        <v>9.28</v>
      </c>
      <c r="R3589">
        <v>9.25</v>
      </c>
      <c r="S3589">
        <v>1.19</v>
      </c>
      <c r="T3589">
        <v>1.19</v>
      </c>
      <c r="U3589">
        <v>-24.01</v>
      </c>
      <c r="V3589">
        <v>-736</v>
      </c>
      <c r="W3589">
        <v>9.29</v>
      </c>
      <c r="X3589" t="s">
        <v>10934</v>
      </c>
      <c r="Y3589" t="s">
        <v>314</v>
      </c>
      <c r="Z3589">
        <v>0.83</v>
      </c>
      <c r="AA3589">
        <v>2</v>
      </c>
      <c r="AB3589">
        <v>1</v>
      </c>
      <c r="AC3589">
        <v>0.98</v>
      </c>
      <c r="AD3589" t="s">
        <v>957</v>
      </c>
      <c r="AE3589" t="s">
        <v>17749</v>
      </c>
      <c r="AF3589" t="s">
        <v>957</v>
      </c>
      <c r="AG3589" t="s">
        <v>17749</v>
      </c>
      <c r="AH3589">
        <v>-1.17</v>
      </c>
      <c r="AI3589">
        <v>-0.96</v>
      </c>
      <c r="AJ3589">
        <v>1.06</v>
      </c>
      <c r="AK3589">
        <v>1.97</v>
      </c>
      <c r="AL3589">
        <v>1</v>
      </c>
      <c r="AM3589">
        <v>0.65</v>
      </c>
      <c r="AN3589">
        <v>5.44</v>
      </c>
      <c r="AO3589">
        <v>-1.59</v>
      </c>
      <c r="AP3589">
        <v>3.1</v>
      </c>
    </row>
    <row r="3590" spans="1:42">
      <c r="A3590">
        <v>3589</v>
      </c>
      <c r="B3590" t="str">
        <f>"002006"</f>
        <v>002006</v>
      </c>
      <c r="C3590" t="s">
        <v>17750</v>
      </c>
      <c r="D3590">
        <v>15.48</v>
      </c>
      <c r="E3590">
        <v>-1.15</v>
      </c>
      <c r="F3590">
        <v>-0.18</v>
      </c>
      <c r="G3590" t="s">
        <v>4422</v>
      </c>
      <c r="H3590">
        <v>283</v>
      </c>
      <c r="I3590">
        <v>15.47</v>
      </c>
      <c r="J3590">
        <v>15.48</v>
      </c>
      <c r="K3590" t="s">
        <v>17748</v>
      </c>
      <c r="L3590">
        <v>0.56</v>
      </c>
      <c r="M3590" t="s">
        <v>46</v>
      </c>
      <c r="N3590" t="s">
        <v>1645</v>
      </c>
      <c r="O3590">
        <v>15.66</v>
      </c>
      <c r="P3590">
        <v>15.37</v>
      </c>
      <c r="Q3590">
        <v>15.66</v>
      </c>
      <c r="R3590">
        <v>15.66</v>
      </c>
      <c r="S3590">
        <v>1.85</v>
      </c>
      <c r="T3590">
        <v>0.93</v>
      </c>
      <c r="U3590">
        <v>-58.16</v>
      </c>
      <c r="V3590">
        <v>-773</v>
      </c>
      <c r="W3590">
        <v>15.49</v>
      </c>
      <c r="X3590" t="s">
        <v>7656</v>
      </c>
      <c r="Y3590" t="s">
        <v>7974</v>
      </c>
      <c r="Z3590">
        <v>1.37</v>
      </c>
      <c r="AA3590">
        <v>37</v>
      </c>
      <c r="AB3590">
        <v>806</v>
      </c>
      <c r="AC3590">
        <v>5.23</v>
      </c>
      <c r="AD3590" t="s">
        <v>9089</v>
      </c>
      <c r="AE3590" t="s">
        <v>17751</v>
      </c>
      <c r="AF3590" t="s">
        <v>9089</v>
      </c>
      <c r="AG3590" t="s">
        <v>17751</v>
      </c>
      <c r="AH3590">
        <v>-2.58</v>
      </c>
      <c r="AI3590">
        <v>-4.44</v>
      </c>
      <c r="AJ3590">
        <v>1.57</v>
      </c>
      <c r="AK3590">
        <v>3.57</v>
      </c>
      <c r="AL3590">
        <v>-3</v>
      </c>
      <c r="AM3590">
        <v>-1.15</v>
      </c>
      <c r="AN3590">
        <v>-37.58</v>
      </c>
      <c r="AO3590">
        <v>-3.01</v>
      </c>
      <c r="AP3590">
        <v>-44.6</v>
      </c>
    </row>
    <row r="3591" spans="1:42">
      <c r="A3591">
        <v>3590</v>
      </c>
      <c r="B3591" t="str">
        <f>"300247"</f>
        <v>300247</v>
      </c>
      <c r="C3591" t="s">
        <v>17752</v>
      </c>
      <c r="D3591">
        <v>3.75</v>
      </c>
      <c r="E3591">
        <v>0.81</v>
      </c>
      <c r="F3591">
        <v>0.03</v>
      </c>
      <c r="G3591" t="s">
        <v>881</v>
      </c>
      <c r="H3591">
        <v>765</v>
      </c>
      <c r="I3591">
        <v>3.74</v>
      </c>
      <c r="J3591">
        <v>3.75</v>
      </c>
      <c r="K3591" t="s">
        <v>17753</v>
      </c>
      <c r="L3591">
        <v>1.31</v>
      </c>
      <c r="M3591" t="s">
        <v>46</v>
      </c>
      <c r="N3591" t="s">
        <v>17754</v>
      </c>
      <c r="O3591">
        <v>3.79</v>
      </c>
      <c r="P3591">
        <v>3.72</v>
      </c>
      <c r="Q3591">
        <v>3.73</v>
      </c>
      <c r="R3591">
        <v>3.72</v>
      </c>
      <c r="S3591">
        <v>1.88</v>
      </c>
      <c r="T3591">
        <v>1.06</v>
      </c>
      <c r="U3591">
        <v>-23.37</v>
      </c>
      <c r="V3591">
        <v>-8176</v>
      </c>
      <c r="W3591">
        <v>3.76</v>
      </c>
      <c r="X3591" t="s">
        <v>5830</v>
      </c>
      <c r="Y3591" t="s">
        <v>5472</v>
      </c>
      <c r="Z3591">
        <v>0.78</v>
      </c>
      <c r="AA3591">
        <v>276</v>
      </c>
      <c r="AB3591">
        <v>2947</v>
      </c>
      <c r="AC3591">
        <v>2.96</v>
      </c>
      <c r="AD3591" t="s">
        <v>9186</v>
      </c>
      <c r="AE3591" t="s">
        <v>12728</v>
      </c>
      <c r="AF3591" t="s">
        <v>17755</v>
      </c>
      <c r="AG3591" t="s">
        <v>11921</v>
      </c>
      <c r="AH3591">
        <v>-0.79</v>
      </c>
      <c r="AI3591">
        <v>0.27</v>
      </c>
      <c r="AJ3591">
        <v>3.51</v>
      </c>
      <c r="AK3591">
        <v>7.53</v>
      </c>
      <c r="AL3591">
        <v>1</v>
      </c>
      <c r="AM3591">
        <v>0.81</v>
      </c>
      <c r="AN3591">
        <v>5.63</v>
      </c>
      <c r="AO3591">
        <v>3.88</v>
      </c>
      <c r="AP3591">
        <v>0</v>
      </c>
    </row>
    <row r="3592" spans="1:42">
      <c r="A3592">
        <v>3591</v>
      </c>
      <c r="B3592" t="str">
        <f>"301333"</f>
        <v>301333</v>
      </c>
      <c r="C3592" t="s">
        <v>17756</v>
      </c>
      <c r="D3592">
        <v>70.77</v>
      </c>
      <c r="E3592">
        <v>0.65</v>
      </c>
      <c r="F3592">
        <v>0.46</v>
      </c>
      <c r="G3592">
        <v>5637</v>
      </c>
      <c r="H3592">
        <v>56</v>
      </c>
      <c r="I3592">
        <v>70.77</v>
      </c>
      <c r="J3592">
        <v>70.79</v>
      </c>
      <c r="K3592" t="s">
        <v>17757</v>
      </c>
      <c r="L3592">
        <v>0.99</v>
      </c>
      <c r="M3592" t="s">
        <v>46</v>
      </c>
      <c r="N3592" t="s">
        <v>5889</v>
      </c>
      <c r="O3592">
        <v>71.15</v>
      </c>
      <c r="P3592">
        <v>69.18</v>
      </c>
      <c r="Q3592">
        <v>69.5</v>
      </c>
      <c r="R3592">
        <v>70.31</v>
      </c>
      <c r="S3592">
        <v>2.8</v>
      </c>
      <c r="T3592">
        <v>0.79</v>
      </c>
      <c r="U3592">
        <v>70.15</v>
      </c>
      <c r="V3592">
        <v>47</v>
      </c>
      <c r="W3592">
        <v>70.17</v>
      </c>
      <c r="X3592">
        <v>2560</v>
      </c>
      <c r="Y3592">
        <v>3077</v>
      </c>
      <c r="Z3592">
        <v>0.83</v>
      </c>
      <c r="AA3592">
        <v>7</v>
      </c>
      <c r="AB3592">
        <v>1</v>
      </c>
      <c r="AC3592">
        <v>4</v>
      </c>
      <c r="AD3592" t="s">
        <v>4315</v>
      </c>
      <c r="AE3592" t="s">
        <v>13494</v>
      </c>
      <c r="AF3592" t="s">
        <v>15160</v>
      </c>
      <c r="AG3592" t="s">
        <v>17758</v>
      </c>
      <c r="AH3592">
        <v>1.51</v>
      </c>
      <c r="AI3592">
        <v>1.64</v>
      </c>
      <c r="AJ3592">
        <v>2.76</v>
      </c>
      <c r="AK3592">
        <v>7.28</v>
      </c>
      <c r="AL3592">
        <v>5</v>
      </c>
      <c r="AM3592">
        <v>0.65</v>
      </c>
      <c r="AN3592">
        <v>37.93</v>
      </c>
      <c r="AO3592">
        <v>-5.89</v>
      </c>
      <c r="AP3592">
        <v>42.6</v>
      </c>
    </row>
    <row r="3593" spans="1:42">
      <c r="A3593">
        <v>3592</v>
      </c>
      <c r="B3593" t="str">
        <f>"002489"</f>
        <v>002489</v>
      </c>
      <c r="C3593" t="s">
        <v>17759</v>
      </c>
      <c r="D3593">
        <v>3.24</v>
      </c>
      <c r="E3593">
        <v>1.89</v>
      </c>
      <c r="F3593">
        <v>0.06</v>
      </c>
      <c r="G3593" t="s">
        <v>422</v>
      </c>
      <c r="H3593">
        <v>2212</v>
      </c>
      <c r="I3593">
        <v>3.23</v>
      </c>
      <c r="J3593">
        <v>3.24</v>
      </c>
      <c r="K3593" t="s">
        <v>17760</v>
      </c>
      <c r="L3593">
        <v>0.65</v>
      </c>
      <c r="M3593" t="s">
        <v>46</v>
      </c>
      <c r="N3593" t="s">
        <v>12133</v>
      </c>
      <c r="O3593">
        <v>3.24</v>
      </c>
      <c r="P3593">
        <v>3.18</v>
      </c>
      <c r="Q3593">
        <v>3.19</v>
      </c>
      <c r="R3593">
        <v>3.18</v>
      </c>
      <c r="S3593">
        <v>1.89</v>
      </c>
      <c r="T3593">
        <v>1.12</v>
      </c>
      <c r="U3593">
        <v>-29.92</v>
      </c>
      <c r="V3593" t="s">
        <v>5341</v>
      </c>
      <c r="W3593">
        <v>3.22</v>
      </c>
      <c r="X3593" t="s">
        <v>5963</v>
      </c>
      <c r="Y3593" t="s">
        <v>4235</v>
      </c>
      <c r="Z3593">
        <v>0.58</v>
      </c>
      <c r="AA3593">
        <v>1928</v>
      </c>
      <c r="AB3593" t="s">
        <v>2615</v>
      </c>
      <c r="AC3593">
        <v>1.93</v>
      </c>
      <c r="AD3593" t="s">
        <v>16104</v>
      </c>
      <c r="AE3593" t="s">
        <v>17761</v>
      </c>
      <c r="AF3593" t="s">
        <v>17762</v>
      </c>
      <c r="AG3593" t="s">
        <v>13285</v>
      </c>
      <c r="AH3593">
        <v>0.31</v>
      </c>
      <c r="AI3593">
        <v>-1.52</v>
      </c>
      <c r="AJ3593">
        <v>1.84</v>
      </c>
      <c r="AK3593">
        <v>3.59</v>
      </c>
      <c r="AL3593">
        <v>1</v>
      </c>
      <c r="AM3593">
        <v>1.89</v>
      </c>
      <c r="AN3593">
        <v>-10.99</v>
      </c>
      <c r="AO3593">
        <v>1.89</v>
      </c>
      <c r="AP3593">
        <v>-3.86</v>
      </c>
    </row>
    <row r="3594" spans="1:42">
      <c r="A3594">
        <v>3593</v>
      </c>
      <c r="B3594" t="str">
        <f>"002668"</f>
        <v>002668</v>
      </c>
      <c r="C3594" t="s">
        <v>17763</v>
      </c>
      <c r="D3594">
        <v>7.13</v>
      </c>
      <c r="E3594">
        <v>-0.83</v>
      </c>
      <c r="F3594">
        <v>-0.06</v>
      </c>
      <c r="G3594" t="s">
        <v>1038</v>
      </c>
      <c r="H3594">
        <v>902</v>
      </c>
      <c r="I3594">
        <v>7.12</v>
      </c>
      <c r="J3594">
        <v>7.13</v>
      </c>
      <c r="K3594" t="s">
        <v>17764</v>
      </c>
      <c r="L3594">
        <v>0.51</v>
      </c>
      <c r="M3594" t="s">
        <v>46</v>
      </c>
      <c r="N3594" t="s">
        <v>15481</v>
      </c>
      <c r="O3594">
        <v>7.19</v>
      </c>
      <c r="P3594">
        <v>7.1</v>
      </c>
      <c r="Q3594">
        <v>7.19</v>
      </c>
      <c r="R3594">
        <v>7.19</v>
      </c>
      <c r="S3594">
        <v>1.25</v>
      </c>
      <c r="T3594">
        <v>1.01</v>
      </c>
      <c r="U3594">
        <v>14.87</v>
      </c>
      <c r="V3594">
        <v>846</v>
      </c>
      <c r="W3594">
        <v>7.13</v>
      </c>
      <c r="X3594" t="s">
        <v>5420</v>
      </c>
      <c r="Y3594" t="s">
        <v>7993</v>
      </c>
      <c r="Z3594">
        <v>0.97</v>
      </c>
      <c r="AA3594">
        <v>207</v>
      </c>
      <c r="AB3594">
        <v>52</v>
      </c>
      <c r="AC3594">
        <v>5.46</v>
      </c>
      <c r="AD3594" t="s">
        <v>11529</v>
      </c>
      <c r="AE3594" t="s">
        <v>17765</v>
      </c>
      <c r="AF3594" t="s">
        <v>11529</v>
      </c>
      <c r="AG3594" t="s">
        <v>17765</v>
      </c>
      <c r="AH3594">
        <v>-2.46</v>
      </c>
      <c r="AI3594">
        <v>-3.52</v>
      </c>
      <c r="AJ3594">
        <v>1.51</v>
      </c>
      <c r="AK3594">
        <v>3.05</v>
      </c>
      <c r="AL3594">
        <v>-1</v>
      </c>
      <c r="AM3594">
        <v>-0.83</v>
      </c>
      <c r="AN3594">
        <v>34.27</v>
      </c>
      <c r="AO3594">
        <v>2.74</v>
      </c>
      <c r="AP3594">
        <v>26.19</v>
      </c>
    </row>
    <row r="3595" spans="1:42">
      <c r="A3595">
        <v>3594</v>
      </c>
      <c r="B3595" t="str">
        <f>"002565"</f>
        <v>002565</v>
      </c>
      <c r="C3595" t="s">
        <v>17766</v>
      </c>
      <c r="D3595">
        <v>3.47</v>
      </c>
      <c r="E3595">
        <v>0.87</v>
      </c>
      <c r="F3595">
        <v>0.03</v>
      </c>
      <c r="G3595" t="s">
        <v>4369</v>
      </c>
      <c r="H3595">
        <v>709</v>
      </c>
      <c r="I3595">
        <v>3.46</v>
      </c>
      <c r="J3595">
        <v>3.47</v>
      </c>
      <c r="K3595" t="s">
        <v>17764</v>
      </c>
      <c r="L3595">
        <v>1.08</v>
      </c>
      <c r="M3595" t="s">
        <v>46</v>
      </c>
      <c r="N3595" t="s">
        <v>6876</v>
      </c>
      <c r="O3595">
        <v>3.48</v>
      </c>
      <c r="P3595">
        <v>3.43</v>
      </c>
      <c r="Q3595">
        <v>3.44</v>
      </c>
      <c r="R3595">
        <v>3.44</v>
      </c>
      <c r="S3595">
        <v>1.45</v>
      </c>
      <c r="T3595">
        <v>1.03</v>
      </c>
      <c r="U3595">
        <v>-27.91</v>
      </c>
      <c r="V3595">
        <v>-5373</v>
      </c>
      <c r="W3595">
        <v>3.46</v>
      </c>
      <c r="X3595" t="s">
        <v>7068</v>
      </c>
      <c r="Y3595" t="s">
        <v>6801</v>
      </c>
      <c r="Z3595">
        <v>0.87</v>
      </c>
      <c r="AA3595">
        <v>324</v>
      </c>
      <c r="AB3595">
        <v>2004</v>
      </c>
      <c r="AC3595">
        <v>1.94</v>
      </c>
      <c r="AD3595" t="s">
        <v>17767</v>
      </c>
      <c r="AE3595" t="s">
        <v>11577</v>
      </c>
      <c r="AF3595" t="s">
        <v>7450</v>
      </c>
      <c r="AG3595" t="s">
        <v>11391</v>
      </c>
      <c r="AH3595">
        <v>0</v>
      </c>
      <c r="AI3595">
        <v>-1.14</v>
      </c>
      <c r="AJ3595">
        <v>3.19</v>
      </c>
      <c r="AK3595">
        <v>6.31</v>
      </c>
      <c r="AL3595">
        <v>1</v>
      </c>
      <c r="AM3595">
        <v>0.87</v>
      </c>
      <c r="AN3595">
        <v>-14.95</v>
      </c>
      <c r="AO3595">
        <v>2.66</v>
      </c>
      <c r="AP3595">
        <v>-24.24</v>
      </c>
    </row>
    <row r="3596" spans="1:42">
      <c r="A3596">
        <v>3595</v>
      </c>
      <c r="B3596" t="str">
        <f>"600343"</f>
        <v>600343</v>
      </c>
      <c r="C3596" t="s">
        <v>17768</v>
      </c>
      <c r="D3596">
        <v>10.35</v>
      </c>
      <c r="E3596">
        <v>-0.19</v>
      </c>
      <c r="F3596">
        <v>-0.02</v>
      </c>
      <c r="G3596" t="s">
        <v>6302</v>
      </c>
      <c r="H3596">
        <v>253</v>
      </c>
      <c r="I3596">
        <v>10.35</v>
      </c>
      <c r="J3596">
        <v>10.36</v>
      </c>
      <c r="K3596" t="s">
        <v>17769</v>
      </c>
      <c r="L3596">
        <v>0.6</v>
      </c>
      <c r="M3596" t="s">
        <v>46</v>
      </c>
      <c r="N3596" t="s">
        <v>2585</v>
      </c>
      <c r="O3596">
        <v>10.39</v>
      </c>
      <c r="P3596">
        <v>10.25</v>
      </c>
      <c r="Q3596">
        <v>10.37</v>
      </c>
      <c r="R3596">
        <v>10.37</v>
      </c>
      <c r="S3596">
        <v>1.35</v>
      </c>
      <c r="T3596">
        <v>0.83</v>
      </c>
      <c r="U3596">
        <v>-47.09</v>
      </c>
      <c r="V3596">
        <v>-1086</v>
      </c>
      <c r="W3596">
        <v>10.3</v>
      </c>
      <c r="X3596" t="s">
        <v>2329</v>
      </c>
      <c r="Y3596" t="s">
        <v>882</v>
      </c>
      <c r="Z3596">
        <v>0.99</v>
      </c>
      <c r="AA3596">
        <v>171</v>
      </c>
      <c r="AB3596">
        <v>89</v>
      </c>
      <c r="AC3596">
        <v>3.66</v>
      </c>
      <c r="AD3596" t="s">
        <v>17770</v>
      </c>
      <c r="AE3596" t="s">
        <v>17026</v>
      </c>
      <c r="AF3596" t="s">
        <v>17770</v>
      </c>
      <c r="AG3596" t="s">
        <v>17026</v>
      </c>
      <c r="AH3596">
        <v>-0.58</v>
      </c>
      <c r="AI3596">
        <v>0</v>
      </c>
      <c r="AJ3596">
        <v>2.62</v>
      </c>
      <c r="AK3596">
        <v>4.21</v>
      </c>
      <c r="AL3596">
        <v>-2</v>
      </c>
      <c r="AM3596">
        <v>-0.19</v>
      </c>
      <c r="AN3596">
        <v>18.29</v>
      </c>
      <c r="AO3596">
        <v>0.58</v>
      </c>
      <c r="AP3596">
        <v>9.76</v>
      </c>
    </row>
    <row r="3597" spans="1:42">
      <c r="A3597">
        <v>3596</v>
      </c>
      <c r="B3597" t="str">
        <f>"002550"</f>
        <v>002550</v>
      </c>
      <c r="C3597" t="s">
        <v>17771</v>
      </c>
      <c r="D3597">
        <v>5.59</v>
      </c>
      <c r="E3597">
        <v>-0.36</v>
      </c>
      <c r="F3597">
        <v>-0.02</v>
      </c>
      <c r="G3597" t="s">
        <v>4228</v>
      </c>
      <c r="H3597">
        <v>477</v>
      </c>
      <c r="I3597">
        <v>5.58</v>
      </c>
      <c r="J3597">
        <v>5.59</v>
      </c>
      <c r="K3597" t="s">
        <v>17769</v>
      </c>
      <c r="L3597">
        <v>0.76</v>
      </c>
      <c r="M3597" t="s">
        <v>46</v>
      </c>
      <c r="N3597" t="s">
        <v>5078</v>
      </c>
      <c r="O3597">
        <v>5.64</v>
      </c>
      <c r="P3597">
        <v>5.56</v>
      </c>
      <c r="Q3597">
        <v>5.57</v>
      </c>
      <c r="R3597">
        <v>5.61</v>
      </c>
      <c r="S3597">
        <v>1.43</v>
      </c>
      <c r="T3597">
        <v>0.63</v>
      </c>
      <c r="U3597">
        <v>0.56</v>
      </c>
      <c r="V3597">
        <v>52</v>
      </c>
      <c r="W3597">
        <v>5.6</v>
      </c>
      <c r="X3597" t="s">
        <v>5706</v>
      </c>
      <c r="Y3597" t="s">
        <v>4914</v>
      </c>
      <c r="Z3597">
        <v>1.27</v>
      </c>
      <c r="AA3597">
        <v>772</v>
      </c>
      <c r="AB3597">
        <v>203</v>
      </c>
      <c r="AC3597">
        <v>2.9</v>
      </c>
      <c r="AD3597" t="s">
        <v>768</v>
      </c>
      <c r="AE3597" t="s">
        <v>17772</v>
      </c>
      <c r="AF3597" t="s">
        <v>17773</v>
      </c>
      <c r="AG3597" t="s">
        <v>17774</v>
      </c>
      <c r="AH3597">
        <v>-0.53</v>
      </c>
      <c r="AI3597">
        <v>-0.36</v>
      </c>
      <c r="AJ3597">
        <v>2.6</v>
      </c>
      <c r="AK3597">
        <v>6.87</v>
      </c>
      <c r="AL3597">
        <v>-1</v>
      </c>
      <c r="AM3597">
        <v>-0.36</v>
      </c>
      <c r="AN3597">
        <v>-8.96</v>
      </c>
      <c r="AO3597">
        <v>4.88</v>
      </c>
      <c r="AP3597">
        <v>-7.14</v>
      </c>
    </row>
    <row r="3598" spans="1:42">
      <c r="A3598">
        <v>3597</v>
      </c>
      <c r="B3598" t="str">
        <f>"605069"</f>
        <v>605069</v>
      </c>
      <c r="C3598" t="s">
        <v>17775</v>
      </c>
      <c r="D3598">
        <v>10.68</v>
      </c>
      <c r="E3598">
        <v>0.75</v>
      </c>
      <c r="F3598">
        <v>0.08</v>
      </c>
      <c r="G3598" t="s">
        <v>2189</v>
      </c>
      <c r="H3598">
        <v>1082</v>
      </c>
      <c r="I3598">
        <v>10.68</v>
      </c>
      <c r="J3598">
        <v>10.69</v>
      </c>
      <c r="K3598" t="s">
        <v>17769</v>
      </c>
      <c r="L3598">
        <v>4.39</v>
      </c>
      <c r="M3598" t="s">
        <v>46</v>
      </c>
      <c r="N3598" t="s">
        <v>9035</v>
      </c>
      <c r="O3598">
        <v>10.74</v>
      </c>
      <c r="P3598">
        <v>10.58</v>
      </c>
      <c r="Q3598">
        <v>10.59</v>
      </c>
      <c r="R3598">
        <v>10.6</v>
      </c>
      <c r="S3598">
        <v>1.51</v>
      </c>
      <c r="T3598">
        <v>0.76</v>
      </c>
      <c r="U3598">
        <v>11.99</v>
      </c>
      <c r="V3598">
        <v>261</v>
      </c>
      <c r="W3598">
        <v>10.69</v>
      </c>
      <c r="X3598" t="s">
        <v>2371</v>
      </c>
      <c r="Y3598" t="s">
        <v>6827</v>
      </c>
      <c r="Z3598">
        <v>0.69</v>
      </c>
      <c r="AA3598">
        <v>875</v>
      </c>
      <c r="AB3598">
        <v>14</v>
      </c>
      <c r="AC3598">
        <v>1.74</v>
      </c>
      <c r="AD3598" t="s">
        <v>4932</v>
      </c>
      <c r="AE3598" t="s">
        <v>2702</v>
      </c>
      <c r="AF3598" t="s">
        <v>17776</v>
      </c>
      <c r="AG3598" t="s">
        <v>4703</v>
      </c>
      <c r="AH3598">
        <v>-0.65</v>
      </c>
      <c r="AI3598">
        <v>-2.47</v>
      </c>
      <c r="AJ3598">
        <v>15.11</v>
      </c>
      <c r="AK3598">
        <v>33.17</v>
      </c>
      <c r="AL3598">
        <v>2</v>
      </c>
      <c r="AM3598">
        <v>0.75</v>
      </c>
      <c r="AN3598">
        <v>14.84</v>
      </c>
      <c r="AO3598">
        <v>2.89</v>
      </c>
      <c r="AP3598">
        <v>6.16</v>
      </c>
    </row>
    <row r="3599" spans="1:42">
      <c r="A3599">
        <v>3598</v>
      </c>
      <c r="B3599" t="str">
        <f>"603815"</f>
        <v>603815</v>
      </c>
      <c r="C3599" t="s">
        <v>17777</v>
      </c>
      <c r="D3599">
        <v>8.03</v>
      </c>
      <c r="E3599">
        <v>0.5</v>
      </c>
      <c r="F3599">
        <v>0.04</v>
      </c>
      <c r="G3599" t="s">
        <v>4888</v>
      </c>
      <c r="H3599">
        <v>202</v>
      </c>
      <c r="I3599">
        <v>8.02</v>
      </c>
      <c r="J3599">
        <v>8.03</v>
      </c>
      <c r="K3599" t="s">
        <v>17778</v>
      </c>
      <c r="L3599">
        <v>0.79</v>
      </c>
      <c r="M3599" t="s">
        <v>46</v>
      </c>
      <c r="N3599" t="s">
        <v>12232</v>
      </c>
      <c r="O3599">
        <v>8.11</v>
      </c>
      <c r="P3599">
        <v>7.97</v>
      </c>
      <c r="Q3599">
        <v>8.02</v>
      </c>
      <c r="R3599">
        <v>7.99</v>
      </c>
      <c r="S3599">
        <v>1.75</v>
      </c>
      <c r="T3599">
        <v>1.04</v>
      </c>
      <c r="U3599">
        <v>23.62</v>
      </c>
      <c r="V3599">
        <v>702</v>
      </c>
      <c r="W3599">
        <v>8.04</v>
      </c>
      <c r="X3599" t="s">
        <v>377</v>
      </c>
      <c r="Y3599" t="s">
        <v>3456</v>
      </c>
      <c r="Z3599">
        <v>0.82</v>
      </c>
      <c r="AA3599">
        <v>41</v>
      </c>
      <c r="AB3599">
        <v>36</v>
      </c>
      <c r="AC3599">
        <v>2.22</v>
      </c>
      <c r="AD3599" t="s">
        <v>17779</v>
      </c>
      <c r="AE3599" t="s">
        <v>17780</v>
      </c>
      <c r="AF3599" t="s">
        <v>17779</v>
      </c>
      <c r="AG3599" t="s">
        <v>17780</v>
      </c>
      <c r="AH3599">
        <v>0</v>
      </c>
      <c r="AI3599">
        <v>0.5</v>
      </c>
      <c r="AJ3599">
        <v>1.89</v>
      </c>
      <c r="AK3599">
        <v>4.6</v>
      </c>
      <c r="AL3599">
        <v>1</v>
      </c>
      <c r="AM3599">
        <v>0.5</v>
      </c>
      <c r="AN3599">
        <v>7.79</v>
      </c>
      <c r="AO3599">
        <v>8.51</v>
      </c>
      <c r="AP3599">
        <v>-14.94</v>
      </c>
    </row>
    <row r="3600" spans="1:42">
      <c r="A3600">
        <v>3599</v>
      </c>
      <c r="B3600" t="str">
        <f>"000722"</f>
        <v>000722</v>
      </c>
      <c r="C3600" t="s">
        <v>17781</v>
      </c>
      <c r="D3600">
        <v>10.02</v>
      </c>
      <c r="E3600">
        <v>1.52</v>
      </c>
      <c r="F3600">
        <v>0.15</v>
      </c>
      <c r="G3600" t="s">
        <v>5983</v>
      </c>
      <c r="H3600">
        <v>1075</v>
      </c>
      <c r="I3600">
        <v>10.02</v>
      </c>
      <c r="J3600">
        <v>10.03</v>
      </c>
      <c r="K3600" t="s">
        <v>17782</v>
      </c>
      <c r="L3600">
        <v>0.85</v>
      </c>
      <c r="M3600" t="s">
        <v>46</v>
      </c>
      <c r="N3600" t="s">
        <v>6674</v>
      </c>
      <c r="O3600">
        <v>10.07</v>
      </c>
      <c r="P3600">
        <v>9.86</v>
      </c>
      <c r="Q3600">
        <v>9.9</v>
      </c>
      <c r="R3600">
        <v>9.87</v>
      </c>
      <c r="S3600">
        <v>2.13</v>
      </c>
      <c r="T3600">
        <v>0.61</v>
      </c>
      <c r="U3600">
        <v>-61.32</v>
      </c>
      <c r="V3600">
        <v>-3921</v>
      </c>
      <c r="W3600">
        <v>10</v>
      </c>
      <c r="X3600" t="s">
        <v>5997</v>
      </c>
      <c r="Y3600" t="s">
        <v>3327</v>
      </c>
      <c r="Z3600">
        <v>0.75</v>
      </c>
      <c r="AA3600">
        <v>140</v>
      </c>
      <c r="AB3600">
        <v>781</v>
      </c>
      <c r="AC3600">
        <v>1.46</v>
      </c>
      <c r="AD3600" t="s">
        <v>17783</v>
      </c>
      <c r="AE3600" t="s">
        <v>13807</v>
      </c>
      <c r="AF3600" t="s">
        <v>17783</v>
      </c>
      <c r="AG3600" t="s">
        <v>13807</v>
      </c>
      <c r="AH3600">
        <v>-2.72</v>
      </c>
      <c r="AI3600">
        <v>-1.67</v>
      </c>
      <c r="AJ3600">
        <v>3.91</v>
      </c>
      <c r="AK3600">
        <v>7.8</v>
      </c>
      <c r="AL3600">
        <v>1</v>
      </c>
      <c r="AM3600">
        <v>1.52</v>
      </c>
      <c r="AN3600">
        <v>-24.83</v>
      </c>
      <c r="AO3600">
        <v>0.8</v>
      </c>
      <c r="AP3600">
        <v>-29.93</v>
      </c>
    </row>
    <row r="3601" spans="1:42">
      <c r="A3601">
        <v>3600</v>
      </c>
      <c r="B3601" t="str">
        <f>"837748"</f>
        <v>837748</v>
      </c>
      <c r="C3601" t="s">
        <v>17784</v>
      </c>
      <c r="D3601">
        <v>13.55</v>
      </c>
      <c r="E3601">
        <v>-5.38</v>
      </c>
      <c r="F3601">
        <v>-0.77</v>
      </c>
      <c r="G3601" t="s">
        <v>7993</v>
      </c>
      <c r="H3601">
        <v>375</v>
      </c>
      <c r="I3601">
        <v>13.55</v>
      </c>
      <c r="J3601">
        <v>13.56</v>
      </c>
      <c r="K3601" t="s">
        <v>17782</v>
      </c>
      <c r="L3601">
        <v>20.95</v>
      </c>
      <c r="M3601" t="s">
        <v>46</v>
      </c>
      <c r="N3601" t="s">
        <v>8233</v>
      </c>
      <c r="O3601">
        <v>14.97</v>
      </c>
      <c r="P3601">
        <v>13.18</v>
      </c>
      <c r="Q3601">
        <v>14.6</v>
      </c>
      <c r="R3601">
        <v>14.32</v>
      </c>
      <c r="S3601">
        <v>12.5</v>
      </c>
      <c r="T3601">
        <v>0.44</v>
      </c>
      <c r="U3601">
        <v>63.35</v>
      </c>
      <c r="V3601">
        <v>507</v>
      </c>
      <c r="W3601">
        <v>14</v>
      </c>
      <c r="X3601" t="s">
        <v>1692</v>
      </c>
      <c r="Y3601" t="s">
        <v>1083</v>
      </c>
      <c r="Z3601">
        <v>1.39</v>
      </c>
      <c r="AA3601">
        <v>413</v>
      </c>
      <c r="AB3601">
        <v>15</v>
      </c>
      <c r="AC3601">
        <v>3.78</v>
      </c>
      <c r="AD3601" t="s">
        <v>17785</v>
      </c>
      <c r="AE3601" t="s">
        <v>2460</v>
      </c>
      <c r="AF3601" t="s">
        <v>17786</v>
      </c>
      <c r="AG3601" t="s">
        <v>17787</v>
      </c>
      <c r="AH3601">
        <v>-20.9</v>
      </c>
      <c r="AI3601">
        <v>-8.32</v>
      </c>
      <c r="AJ3601">
        <v>82.81</v>
      </c>
      <c r="AK3601">
        <v>258.4</v>
      </c>
      <c r="AL3601">
        <v>-4</v>
      </c>
      <c r="AM3601">
        <v>-5.38</v>
      </c>
      <c r="AN3601">
        <v>54.5</v>
      </c>
      <c r="AO3601">
        <v>66.87</v>
      </c>
      <c r="AP3601">
        <v>54.5</v>
      </c>
    </row>
    <row r="3602" spans="1:42">
      <c r="A3602">
        <v>3601</v>
      </c>
      <c r="B3602" t="str">
        <f>"001203"</f>
        <v>001203</v>
      </c>
      <c r="C3602" t="s">
        <v>17788</v>
      </c>
      <c r="D3602">
        <v>10.46</v>
      </c>
      <c r="E3602">
        <v>-0.29</v>
      </c>
      <c r="F3602">
        <v>-0.03</v>
      </c>
      <c r="G3602" t="s">
        <v>8156</v>
      </c>
      <c r="H3602">
        <v>402</v>
      </c>
      <c r="I3602">
        <v>10.45</v>
      </c>
      <c r="J3602">
        <v>10.46</v>
      </c>
      <c r="K3602" t="s">
        <v>17782</v>
      </c>
      <c r="L3602">
        <v>0.87</v>
      </c>
      <c r="M3602" t="s">
        <v>46</v>
      </c>
      <c r="N3602" t="s">
        <v>9829</v>
      </c>
      <c r="O3602">
        <v>10.52</v>
      </c>
      <c r="P3602">
        <v>10.4</v>
      </c>
      <c r="Q3602">
        <v>10.51</v>
      </c>
      <c r="R3602">
        <v>10.49</v>
      </c>
      <c r="S3602">
        <v>1.14</v>
      </c>
      <c r="T3602">
        <v>0.93</v>
      </c>
      <c r="U3602">
        <v>9.31</v>
      </c>
      <c r="V3602">
        <v>284</v>
      </c>
      <c r="W3602">
        <v>10.45</v>
      </c>
      <c r="X3602" t="s">
        <v>731</v>
      </c>
      <c r="Y3602" t="s">
        <v>8212</v>
      </c>
      <c r="Z3602">
        <v>1.42</v>
      </c>
      <c r="AA3602">
        <v>636</v>
      </c>
      <c r="AB3602">
        <v>269</v>
      </c>
      <c r="AC3602">
        <v>2.95</v>
      </c>
      <c r="AD3602" t="s">
        <v>17789</v>
      </c>
      <c r="AE3602" t="s">
        <v>8224</v>
      </c>
      <c r="AF3602" t="s">
        <v>3823</v>
      </c>
      <c r="AG3602" t="s">
        <v>17790</v>
      </c>
      <c r="AH3602">
        <v>-2.33</v>
      </c>
      <c r="AI3602">
        <v>-3.86</v>
      </c>
      <c r="AJ3602">
        <v>2.5</v>
      </c>
      <c r="AK3602">
        <v>5.55</v>
      </c>
      <c r="AL3602">
        <v>-3</v>
      </c>
      <c r="AM3602">
        <v>-0.29</v>
      </c>
      <c r="AN3602">
        <v>-17.18</v>
      </c>
      <c r="AO3602">
        <v>-3.86</v>
      </c>
      <c r="AP3602">
        <v>-28.6</v>
      </c>
    </row>
    <row r="3603" spans="1:42">
      <c r="A3603">
        <v>3602</v>
      </c>
      <c r="B3603" t="str">
        <f>"603681"</f>
        <v>603681</v>
      </c>
      <c r="C3603" t="s">
        <v>17791</v>
      </c>
      <c r="D3603">
        <v>14.99</v>
      </c>
      <c r="E3603">
        <v>0.47</v>
      </c>
      <c r="F3603">
        <v>0.07</v>
      </c>
      <c r="G3603" t="s">
        <v>688</v>
      </c>
      <c r="H3603">
        <v>128</v>
      </c>
      <c r="I3603">
        <v>14.97</v>
      </c>
      <c r="J3603">
        <v>14.99</v>
      </c>
      <c r="K3603" t="s">
        <v>5240</v>
      </c>
      <c r="L3603">
        <v>1.38</v>
      </c>
      <c r="M3603" t="s">
        <v>46</v>
      </c>
      <c r="N3603" t="s">
        <v>7109</v>
      </c>
      <c r="O3603">
        <v>15.12</v>
      </c>
      <c r="P3603">
        <v>14.71</v>
      </c>
      <c r="Q3603">
        <v>14.91</v>
      </c>
      <c r="R3603">
        <v>14.92</v>
      </c>
      <c r="S3603">
        <v>2.75</v>
      </c>
      <c r="T3603">
        <v>0.73</v>
      </c>
      <c r="U3603">
        <v>17.53</v>
      </c>
      <c r="V3603">
        <v>54</v>
      </c>
      <c r="W3603">
        <v>14.98</v>
      </c>
      <c r="X3603" t="s">
        <v>4959</v>
      </c>
      <c r="Y3603" t="s">
        <v>3793</v>
      </c>
      <c r="Z3603">
        <v>0.76</v>
      </c>
      <c r="AA3603">
        <v>18</v>
      </c>
      <c r="AB3603">
        <v>36</v>
      </c>
      <c r="AC3603">
        <v>1.18</v>
      </c>
      <c r="AD3603" t="s">
        <v>5641</v>
      </c>
      <c r="AE3603" t="s">
        <v>17792</v>
      </c>
      <c r="AF3603" t="s">
        <v>5641</v>
      </c>
      <c r="AG3603" t="s">
        <v>17792</v>
      </c>
      <c r="AH3603">
        <v>0.74</v>
      </c>
      <c r="AI3603">
        <v>-0.93</v>
      </c>
      <c r="AJ3603">
        <v>4.61</v>
      </c>
      <c r="AK3603">
        <v>10.84</v>
      </c>
      <c r="AL3603">
        <v>1</v>
      </c>
      <c r="AM3603">
        <v>0.47</v>
      </c>
      <c r="AN3603">
        <v>-29.23</v>
      </c>
      <c r="AO3603">
        <v>7</v>
      </c>
      <c r="AP3603">
        <v>-35.02</v>
      </c>
    </row>
    <row r="3604" spans="1:42">
      <c r="A3604">
        <v>3603</v>
      </c>
      <c r="B3604" t="str">
        <f>"688295"</f>
        <v>688295</v>
      </c>
      <c r="C3604" t="s">
        <v>17793</v>
      </c>
      <c r="D3604">
        <v>30.77</v>
      </c>
      <c r="E3604">
        <v>0.62</v>
      </c>
      <c r="F3604">
        <v>0.19</v>
      </c>
      <c r="G3604" t="s">
        <v>1427</v>
      </c>
      <c r="H3604">
        <v>163</v>
      </c>
      <c r="I3604">
        <v>30.77</v>
      </c>
      <c r="J3604">
        <v>30.83</v>
      </c>
      <c r="K3604" t="s">
        <v>17794</v>
      </c>
      <c r="L3604">
        <v>1.02</v>
      </c>
      <c r="M3604" t="s">
        <v>46</v>
      </c>
      <c r="N3604" t="s">
        <v>3673</v>
      </c>
      <c r="O3604">
        <v>31</v>
      </c>
      <c r="P3604">
        <v>30.14</v>
      </c>
      <c r="Q3604">
        <v>30.58</v>
      </c>
      <c r="R3604">
        <v>30.58</v>
      </c>
      <c r="S3604">
        <v>2.81</v>
      </c>
      <c r="T3604">
        <v>0.79</v>
      </c>
      <c r="U3604">
        <v>-17.02</v>
      </c>
      <c r="V3604">
        <v>-13</v>
      </c>
      <c r="W3604">
        <v>30.61</v>
      </c>
      <c r="X3604">
        <v>5454</v>
      </c>
      <c r="Y3604">
        <v>7404</v>
      </c>
      <c r="Z3604">
        <v>0.74</v>
      </c>
      <c r="AA3604">
        <v>2</v>
      </c>
      <c r="AB3604">
        <v>15</v>
      </c>
      <c r="AC3604">
        <v>5.75</v>
      </c>
      <c r="AD3604" t="s">
        <v>17795</v>
      </c>
      <c r="AE3604" t="s">
        <v>11278</v>
      </c>
      <c r="AF3604" t="s">
        <v>8247</v>
      </c>
      <c r="AG3604" t="s">
        <v>7952</v>
      </c>
      <c r="AH3604">
        <v>2.74</v>
      </c>
      <c r="AI3604">
        <v>4.09</v>
      </c>
      <c r="AJ3604">
        <v>3.62</v>
      </c>
      <c r="AK3604">
        <v>7.49</v>
      </c>
      <c r="AL3604">
        <v>5</v>
      </c>
      <c r="AM3604">
        <v>0.62</v>
      </c>
      <c r="AN3604">
        <v>-28.56</v>
      </c>
      <c r="AO3604">
        <v>12.46</v>
      </c>
      <c r="AP3604">
        <v>-39.15</v>
      </c>
    </row>
    <row r="3605" spans="1:42">
      <c r="A3605">
        <v>3604</v>
      </c>
      <c r="B3605" t="str">
        <f>"605388"</f>
        <v>605388</v>
      </c>
      <c r="C3605" t="s">
        <v>17796</v>
      </c>
      <c r="D3605">
        <v>13.66</v>
      </c>
      <c r="E3605">
        <v>-2.15</v>
      </c>
      <c r="F3605">
        <v>-0.3</v>
      </c>
      <c r="G3605" t="s">
        <v>6768</v>
      </c>
      <c r="H3605">
        <v>214</v>
      </c>
      <c r="I3605">
        <v>13.65</v>
      </c>
      <c r="J3605">
        <v>13.66</v>
      </c>
      <c r="K3605" t="s">
        <v>17797</v>
      </c>
      <c r="L3605">
        <v>0.67</v>
      </c>
      <c r="M3605" t="s">
        <v>46</v>
      </c>
      <c r="N3605" t="s">
        <v>2113</v>
      </c>
      <c r="O3605">
        <v>13.99</v>
      </c>
      <c r="P3605">
        <v>13.6</v>
      </c>
      <c r="Q3605">
        <v>13.9</v>
      </c>
      <c r="R3605">
        <v>13.96</v>
      </c>
      <c r="S3605">
        <v>2.79</v>
      </c>
      <c r="T3605">
        <v>0.99</v>
      </c>
      <c r="U3605">
        <v>-31.09</v>
      </c>
      <c r="V3605">
        <v>-434</v>
      </c>
      <c r="W3605">
        <v>13.75</v>
      </c>
      <c r="X3605" t="s">
        <v>2397</v>
      </c>
      <c r="Y3605" t="s">
        <v>2284</v>
      </c>
      <c r="Z3605">
        <v>1.48</v>
      </c>
      <c r="AA3605">
        <v>81</v>
      </c>
      <c r="AB3605">
        <v>85</v>
      </c>
      <c r="AC3605">
        <v>2.99</v>
      </c>
      <c r="AD3605" t="s">
        <v>8850</v>
      </c>
      <c r="AE3605" t="s">
        <v>10854</v>
      </c>
      <c r="AF3605" t="s">
        <v>8850</v>
      </c>
      <c r="AG3605" t="s">
        <v>10854</v>
      </c>
      <c r="AH3605">
        <v>0.59</v>
      </c>
      <c r="AI3605">
        <v>1.34</v>
      </c>
      <c r="AJ3605">
        <v>2.25</v>
      </c>
      <c r="AK3605">
        <v>4.02</v>
      </c>
      <c r="AL3605">
        <v>-1</v>
      </c>
      <c r="AM3605">
        <v>-2.15</v>
      </c>
      <c r="AN3605">
        <v>-8.57</v>
      </c>
      <c r="AO3605">
        <v>4.92</v>
      </c>
      <c r="AP3605">
        <v>-3.12</v>
      </c>
    </row>
    <row r="3606" spans="1:42">
      <c r="A3606">
        <v>3605</v>
      </c>
      <c r="B3606" t="str">
        <f>"603699"</f>
        <v>603699</v>
      </c>
      <c r="C3606" t="s">
        <v>17798</v>
      </c>
      <c r="D3606">
        <v>13.66</v>
      </c>
      <c r="E3606">
        <v>-0.07</v>
      </c>
      <c r="F3606">
        <v>-0.01</v>
      </c>
      <c r="G3606" t="s">
        <v>541</v>
      </c>
      <c r="H3606">
        <v>153</v>
      </c>
      <c r="I3606">
        <v>13.66</v>
      </c>
      <c r="J3606">
        <v>13.68</v>
      </c>
      <c r="K3606" t="s">
        <v>11123</v>
      </c>
      <c r="L3606">
        <v>0.39</v>
      </c>
      <c r="M3606" t="s">
        <v>46</v>
      </c>
      <c r="N3606" t="s">
        <v>4144</v>
      </c>
      <c r="O3606">
        <v>13.74</v>
      </c>
      <c r="P3606">
        <v>13.42</v>
      </c>
      <c r="Q3606">
        <v>13.74</v>
      </c>
      <c r="R3606">
        <v>13.67</v>
      </c>
      <c r="S3606">
        <v>2.34</v>
      </c>
      <c r="T3606">
        <v>1.03</v>
      </c>
      <c r="U3606">
        <v>-6.55</v>
      </c>
      <c r="V3606">
        <v>-42</v>
      </c>
      <c r="W3606">
        <v>13.59</v>
      </c>
      <c r="X3606" t="s">
        <v>5951</v>
      </c>
      <c r="Y3606" t="s">
        <v>1384</v>
      </c>
      <c r="Z3606">
        <v>1.15</v>
      </c>
      <c r="AA3606">
        <v>30</v>
      </c>
      <c r="AB3606">
        <v>21</v>
      </c>
      <c r="AC3606">
        <v>2.83</v>
      </c>
      <c r="AD3606" t="s">
        <v>17799</v>
      </c>
      <c r="AE3606" t="s">
        <v>17800</v>
      </c>
      <c r="AF3606" t="s">
        <v>17801</v>
      </c>
      <c r="AG3606" t="s">
        <v>3798</v>
      </c>
      <c r="AH3606">
        <v>-2.43</v>
      </c>
      <c r="AI3606">
        <v>-0.87</v>
      </c>
      <c r="AJ3606">
        <v>0.87</v>
      </c>
      <c r="AK3606">
        <v>2.26</v>
      </c>
      <c r="AL3606">
        <v>-3</v>
      </c>
      <c r="AM3606">
        <v>-0.07</v>
      </c>
      <c r="AN3606">
        <v>27.19</v>
      </c>
      <c r="AO3606">
        <v>-3.53</v>
      </c>
      <c r="AP3606">
        <v>30.22</v>
      </c>
    </row>
    <row r="3607" spans="1:42">
      <c r="A3607">
        <v>3606</v>
      </c>
      <c r="B3607" t="str">
        <f>"000753"</f>
        <v>000753</v>
      </c>
      <c r="C3607" t="s">
        <v>17802</v>
      </c>
      <c r="D3607">
        <v>4.51</v>
      </c>
      <c r="E3607">
        <v>0.89</v>
      </c>
      <c r="F3607">
        <v>0.04</v>
      </c>
      <c r="G3607" t="s">
        <v>3903</v>
      </c>
      <c r="H3607">
        <v>1586</v>
      </c>
      <c r="I3607">
        <v>4.5</v>
      </c>
      <c r="J3607">
        <v>4.51</v>
      </c>
      <c r="K3607" t="s">
        <v>17803</v>
      </c>
      <c r="L3607">
        <v>0.88</v>
      </c>
      <c r="M3607" t="s">
        <v>46</v>
      </c>
      <c r="N3607" t="s">
        <v>4826</v>
      </c>
      <c r="O3607">
        <v>4.52</v>
      </c>
      <c r="P3607">
        <v>4.46</v>
      </c>
      <c r="Q3607">
        <v>4.47</v>
      </c>
      <c r="R3607">
        <v>4.47</v>
      </c>
      <c r="S3607">
        <v>1.34</v>
      </c>
      <c r="T3607">
        <v>0.75</v>
      </c>
      <c r="U3607">
        <v>-42.5</v>
      </c>
      <c r="V3607">
        <v>-7187</v>
      </c>
      <c r="W3607">
        <v>4.49</v>
      </c>
      <c r="X3607" t="s">
        <v>5975</v>
      </c>
      <c r="Y3607" t="s">
        <v>4708</v>
      </c>
      <c r="Z3607">
        <v>0.77</v>
      </c>
      <c r="AA3607">
        <v>1113</v>
      </c>
      <c r="AB3607">
        <v>597</v>
      </c>
      <c r="AC3607">
        <v>1.69</v>
      </c>
      <c r="AD3607" t="s">
        <v>17804</v>
      </c>
      <c r="AE3607" t="s">
        <v>1009</v>
      </c>
      <c r="AF3607" t="s">
        <v>17804</v>
      </c>
      <c r="AG3607" t="s">
        <v>1009</v>
      </c>
      <c r="AH3607">
        <v>-1.31</v>
      </c>
      <c r="AI3607">
        <v>-2.17</v>
      </c>
      <c r="AJ3607">
        <v>3.6</v>
      </c>
      <c r="AK3607">
        <v>6.74</v>
      </c>
      <c r="AL3607">
        <v>2</v>
      </c>
      <c r="AM3607">
        <v>0.89</v>
      </c>
      <c r="AN3607">
        <v>13.6</v>
      </c>
      <c r="AO3607">
        <v>1.81</v>
      </c>
      <c r="AP3607">
        <v>7.13</v>
      </c>
    </row>
    <row r="3608" spans="1:42">
      <c r="A3608">
        <v>3607</v>
      </c>
      <c r="B3608" t="str">
        <f>"837592"</f>
        <v>837592</v>
      </c>
      <c r="C3608" t="s">
        <v>17805</v>
      </c>
      <c r="D3608">
        <v>13.85</v>
      </c>
      <c r="E3608">
        <v>-2.67</v>
      </c>
      <c r="F3608">
        <v>-0.38</v>
      </c>
      <c r="G3608" t="s">
        <v>7028</v>
      </c>
      <c r="H3608">
        <v>246</v>
      </c>
      <c r="I3608">
        <v>13.85</v>
      </c>
      <c r="J3608">
        <v>13.89</v>
      </c>
      <c r="K3608" t="s">
        <v>17803</v>
      </c>
      <c r="L3608">
        <v>18.75</v>
      </c>
      <c r="M3608" t="s">
        <v>46</v>
      </c>
      <c r="N3608" t="s">
        <v>12800</v>
      </c>
      <c r="O3608">
        <v>14.8</v>
      </c>
      <c r="P3608">
        <v>13.5</v>
      </c>
      <c r="Q3608">
        <v>14.76</v>
      </c>
      <c r="R3608">
        <v>14.23</v>
      </c>
      <c r="S3608">
        <v>9.14</v>
      </c>
      <c r="T3608">
        <v>0.57</v>
      </c>
      <c r="U3608">
        <v>42.88</v>
      </c>
      <c r="V3608">
        <v>321</v>
      </c>
      <c r="W3608">
        <v>14.02</v>
      </c>
      <c r="X3608" t="s">
        <v>6656</v>
      </c>
      <c r="Y3608" t="s">
        <v>2147</v>
      </c>
      <c r="Z3608">
        <v>1.61</v>
      </c>
      <c r="AA3608">
        <v>363</v>
      </c>
      <c r="AB3608">
        <v>23</v>
      </c>
      <c r="AC3608">
        <v>2.64</v>
      </c>
      <c r="AD3608" t="s">
        <v>14462</v>
      </c>
      <c r="AE3608" t="s">
        <v>17806</v>
      </c>
      <c r="AF3608" t="s">
        <v>17807</v>
      </c>
      <c r="AG3608" t="s">
        <v>6829</v>
      </c>
      <c r="AH3608">
        <v>-6.73</v>
      </c>
      <c r="AI3608">
        <v>1.47</v>
      </c>
      <c r="AJ3608">
        <v>64.35</v>
      </c>
      <c r="AK3608">
        <v>183.7</v>
      </c>
      <c r="AL3608">
        <v>-1</v>
      </c>
      <c r="AM3608">
        <v>-2.67</v>
      </c>
      <c r="AN3608">
        <v>31.28</v>
      </c>
      <c r="AO3608">
        <v>46.25</v>
      </c>
      <c r="AP3608">
        <v>31.28</v>
      </c>
    </row>
    <row r="3609" spans="1:42">
      <c r="A3609">
        <v>3608</v>
      </c>
      <c r="B3609" t="str">
        <f>"002309"</f>
        <v>002309</v>
      </c>
      <c r="C3609" t="s">
        <v>17808</v>
      </c>
      <c r="D3609">
        <v>3.11</v>
      </c>
      <c r="E3609">
        <v>1.97</v>
      </c>
      <c r="F3609">
        <v>0.06</v>
      </c>
      <c r="G3609" t="s">
        <v>3971</v>
      </c>
      <c r="H3609">
        <v>1082</v>
      </c>
      <c r="I3609">
        <v>3.11</v>
      </c>
      <c r="J3609">
        <v>3.12</v>
      </c>
      <c r="K3609" t="s">
        <v>17809</v>
      </c>
      <c r="L3609">
        <v>1.47</v>
      </c>
      <c r="M3609" t="s">
        <v>46</v>
      </c>
      <c r="N3609" t="s">
        <v>14324</v>
      </c>
      <c r="O3609">
        <v>3.12</v>
      </c>
      <c r="P3609">
        <v>3.02</v>
      </c>
      <c r="Q3609">
        <v>3.06</v>
      </c>
      <c r="R3609">
        <v>3.05</v>
      </c>
      <c r="S3609">
        <v>3.28</v>
      </c>
      <c r="T3609">
        <v>1.07</v>
      </c>
      <c r="U3609">
        <v>23.81</v>
      </c>
      <c r="V3609">
        <v>3716</v>
      </c>
      <c r="W3609">
        <v>3.08</v>
      </c>
      <c r="X3609" t="s">
        <v>7481</v>
      </c>
      <c r="Y3609" t="s">
        <v>5969</v>
      </c>
      <c r="Z3609">
        <v>0.71</v>
      </c>
      <c r="AA3609">
        <v>172</v>
      </c>
      <c r="AB3609">
        <v>967</v>
      </c>
      <c r="AC3609">
        <v>4.06</v>
      </c>
      <c r="AD3609" t="s">
        <v>17810</v>
      </c>
      <c r="AE3609" t="s">
        <v>4309</v>
      </c>
      <c r="AF3609" t="s">
        <v>17811</v>
      </c>
      <c r="AG3609" t="s">
        <v>9648</v>
      </c>
      <c r="AH3609">
        <v>-4.31</v>
      </c>
      <c r="AI3609">
        <v>-7.72</v>
      </c>
      <c r="AJ3609">
        <v>5.06</v>
      </c>
      <c r="AK3609">
        <v>8.31</v>
      </c>
      <c r="AL3609">
        <v>1</v>
      </c>
      <c r="AM3609">
        <v>1.97</v>
      </c>
      <c r="AN3609">
        <v>-23.02</v>
      </c>
      <c r="AO3609">
        <v>-11.9</v>
      </c>
      <c r="AP3609">
        <v>-33.4</v>
      </c>
    </row>
    <row r="3610" spans="1:42">
      <c r="A3610">
        <v>3609</v>
      </c>
      <c r="B3610" t="str">
        <f>"605116"</f>
        <v>605116</v>
      </c>
      <c r="C3610" t="s">
        <v>17812</v>
      </c>
      <c r="D3610">
        <v>25.77</v>
      </c>
      <c r="E3610">
        <v>0.82</v>
      </c>
      <c r="F3610">
        <v>0.21</v>
      </c>
      <c r="G3610" t="s">
        <v>61</v>
      </c>
      <c r="H3610">
        <v>26</v>
      </c>
      <c r="I3610">
        <v>25.77</v>
      </c>
      <c r="J3610">
        <v>25.78</v>
      </c>
      <c r="K3610" t="s">
        <v>9921</v>
      </c>
      <c r="L3610">
        <v>0.38</v>
      </c>
      <c r="M3610" t="s">
        <v>46</v>
      </c>
      <c r="N3610" t="s">
        <v>11618</v>
      </c>
      <c r="O3610">
        <v>25.98</v>
      </c>
      <c r="P3610">
        <v>25.51</v>
      </c>
      <c r="Q3610">
        <v>25.57</v>
      </c>
      <c r="R3610">
        <v>25.56</v>
      </c>
      <c r="S3610">
        <v>1.84</v>
      </c>
      <c r="T3610">
        <v>1.12</v>
      </c>
      <c r="U3610">
        <v>59.6</v>
      </c>
      <c r="V3610">
        <v>177</v>
      </c>
      <c r="W3610">
        <v>25.79</v>
      </c>
      <c r="X3610">
        <v>8153</v>
      </c>
      <c r="Y3610">
        <v>7058</v>
      </c>
      <c r="Z3610">
        <v>1.16</v>
      </c>
      <c r="AA3610">
        <v>20</v>
      </c>
      <c r="AB3610">
        <v>2</v>
      </c>
      <c r="AC3610">
        <v>5.6</v>
      </c>
      <c r="AD3610" t="s">
        <v>17813</v>
      </c>
      <c r="AE3610" t="s">
        <v>4890</v>
      </c>
      <c r="AF3610" t="s">
        <v>17814</v>
      </c>
      <c r="AG3610" t="s">
        <v>7382</v>
      </c>
      <c r="AH3610">
        <v>1.06</v>
      </c>
      <c r="AI3610">
        <v>1.34</v>
      </c>
      <c r="AJ3610">
        <v>1.04</v>
      </c>
      <c r="AK3610">
        <v>2.1</v>
      </c>
      <c r="AL3610">
        <v>1</v>
      </c>
      <c r="AM3610">
        <v>0.82</v>
      </c>
      <c r="AN3610">
        <v>5.06</v>
      </c>
      <c r="AO3610">
        <v>2.67</v>
      </c>
      <c r="AP3610">
        <v>-9.2</v>
      </c>
    </row>
    <row r="3611" spans="1:42">
      <c r="A3611">
        <v>3610</v>
      </c>
      <c r="B3611" t="str">
        <f>"002608"</f>
        <v>002608</v>
      </c>
      <c r="C3611" t="s">
        <v>17815</v>
      </c>
      <c r="D3611">
        <v>6.74</v>
      </c>
      <c r="E3611">
        <v>0</v>
      </c>
      <c r="F3611">
        <v>0</v>
      </c>
      <c r="G3611" t="s">
        <v>4381</v>
      </c>
      <c r="H3611">
        <v>692</v>
      </c>
      <c r="I3611">
        <v>6.74</v>
      </c>
      <c r="J3611">
        <v>6.75</v>
      </c>
      <c r="K3611" t="s">
        <v>17816</v>
      </c>
      <c r="L3611">
        <v>0.15</v>
      </c>
      <c r="M3611" t="s">
        <v>46</v>
      </c>
      <c r="N3611" t="s">
        <v>4242</v>
      </c>
      <c r="O3611">
        <v>6.78</v>
      </c>
      <c r="P3611">
        <v>6.7</v>
      </c>
      <c r="Q3611">
        <v>6.74</v>
      </c>
      <c r="R3611">
        <v>6.74</v>
      </c>
      <c r="S3611">
        <v>1.19</v>
      </c>
      <c r="T3611">
        <v>0.96</v>
      </c>
      <c r="U3611">
        <v>-20.52</v>
      </c>
      <c r="V3611">
        <v>-1453</v>
      </c>
      <c r="W3611">
        <v>6.74</v>
      </c>
      <c r="X3611" t="s">
        <v>1711</v>
      </c>
      <c r="Y3611" t="s">
        <v>401</v>
      </c>
      <c r="Z3611">
        <v>0.9</v>
      </c>
      <c r="AA3611">
        <v>241</v>
      </c>
      <c r="AB3611">
        <v>156</v>
      </c>
      <c r="AC3611">
        <v>0.86</v>
      </c>
      <c r="AD3611" t="s">
        <v>12050</v>
      </c>
      <c r="AE3611" t="s">
        <v>17817</v>
      </c>
      <c r="AF3611" t="s">
        <v>12050</v>
      </c>
      <c r="AG3611" t="s">
        <v>17817</v>
      </c>
      <c r="AH3611">
        <v>-0.59</v>
      </c>
      <c r="AI3611">
        <v>-0.74</v>
      </c>
      <c r="AJ3611">
        <v>0.39</v>
      </c>
      <c r="AK3611">
        <v>0.95</v>
      </c>
      <c r="AL3611">
        <v>0</v>
      </c>
      <c r="AM3611">
        <v>0</v>
      </c>
      <c r="AN3611">
        <v>15.02</v>
      </c>
      <c r="AO3611">
        <v>-4.4</v>
      </c>
      <c r="AP3611">
        <v>11.59</v>
      </c>
    </row>
    <row r="3612" spans="1:42">
      <c r="A3612">
        <v>3611</v>
      </c>
      <c r="B3612" t="str">
        <f>"300701"</f>
        <v>300701</v>
      </c>
      <c r="C3612" t="s">
        <v>17818</v>
      </c>
      <c r="D3612">
        <v>11.45</v>
      </c>
      <c r="E3612">
        <v>0.09</v>
      </c>
      <c r="F3612">
        <v>0.01</v>
      </c>
      <c r="G3612" t="s">
        <v>1604</v>
      </c>
      <c r="H3612">
        <v>592</v>
      </c>
      <c r="I3612">
        <v>11.43</v>
      </c>
      <c r="J3612">
        <v>11.45</v>
      </c>
      <c r="K3612" t="s">
        <v>17816</v>
      </c>
      <c r="L3612">
        <v>1.43</v>
      </c>
      <c r="M3612" t="s">
        <v>46</v>
      </c>
      <c r="N3612" t="s">
        <v>4150</v>
      </c>
      <c r="O3612">
        <v>11.49</v>
      </c>
      <c r="P3612">
        <v>11.24</v>
      </c>
      <c r="Q3612">
        <v>11.41</v>
      </c>
      <c r="R3612">
        <v>11.44</v>
      </c>
      <c r="S3612">
        <v>2.19</v>
      </c>
      <c r="T3612">
        <v>0.71</v>
      </c>
      <c r="U3612">
        <v>-20.84</v>
      </c>
      <c r="V3612">
        <v>-458</v>
      </c>
      <c r="W3612">
        <v>11.4</v>
      </c>
      <c r="X3612" t="s">
        <v>2111</v>
      </c>
      <c r="Y3612" t="s">
        <v>876</v>
      </c>
      <c r="Z3612">
        <v>0.98</v>
      </c>
      <c r="AA3612">
        <v>52</v>
      </c>
      <c r="AB3612">
        <v>60</v>
      </c>
      <c r="AC3612">
        <v>3.89</v>
      </c>
      <c r="AD3612" t="s">
        <v>4081</v>
      </c>
      <c r="AE3612" t="s">
        <v>7621</v>
      </c>
      <c r="AF3612" t="s">
        <v>17819</v>
      </c>
      <c r="AG3612" t="s">
        <v>17820</v>
      </c>
      <c r="AH3612">
        <v>-0.87</v>
      </c>
      <c r="AI3612">
        <v>0</v>
      </c>
      <c r="AJ3612">
        <v>5.3</v>
      </c>
      <c r="AK3612">
        <v>11.55</v>
      </c>
      <c r="AL3612">
        <v>1</v>
      </c>
      <c r="AM3612">
        <v>0.09</v>
      </c>
      <c r="AN3612">
        <v>45.49</v>
      </c>
      <c r="AO3612">
        <v>6.12</v>
      </c>
      <c r="AP3612">
        <v>27.65</v>
      </c>
    </row>
    <row r="3613" spans="1:42">
      <c r="A3613">
        <v>3612</v>
      </c>
      <c r="B3613" t="str">
        <f>"300797"</f>
        <v>300797</v>
      </c>
      <c r="C3613" t="s">
        <v>17821</v>
      </c>
      <c r="D3613">
        <v>13.27</v>
      </c>
      <c r="E3613">
        <v>0.76</v>
      </c>
      <c r="F3613">
        <v>0.1</v>
      </c>
      <c r="G3613" t="s">
        <v>2125</v>
      </c>
      <c r="H3613">
        <v>563</v>
      </c>
      <c r="I3613">
        <v>13.26</v>
      </c>
      <c r="J3613">
        <v>13.27</v>
      </c>
      <c r="K3613" t="s">
        <v>17822</v>
      </c>
      <c r="L3613">
        <v>0.8</v>
      </c>
      <c r="M3613" t="s">
        <v>46</v>
      </c>
      <c r="N3613" t="s">
        <v>12247</v>
      </c>
      <c r="O3613">
        <v>13.29</v>
      </c>
      <c r="P3613">
        <v>13.06</v>
      </c>
      <c r="Q3613">
        <v>13.17</v>
      </c>
      <c r="R3613">
        <v>13.17</v>
      </c>
      <c r="S3613">
        <v>1.75</v>
      </c>
      <c r="T3613">
        <v>0.6</v>
      </c>
      <c r="U3613">
        <v>-18.52</v>
      </c>
      <c r="V3613">
        <v>-393</v>
      </c>
      <c r="W3613">
        <v>13.2</v>
      </c>
      <c r="X3613" t="s">
        <v>1777</v>
      </c>
      <c r="Y3613" t="s">
        <v>4943</v>
      </c>
      <c r="Z3613">
        <v>0.82</v>
      </c>
      <c r="AA3613">
        <v>45</v>
      </c>
      <c r="AB3613">
        <v>60</v>
      </c>
      <c r="AC3613">
        <v>5.08</v>
      </c>
      <c r="AD3613" t="s">
        <v>11821</v>
      </c>
      <c r="AE3613" t="s">
        <v>17823</v>
      </c>
      <c r="AF3613" t="s">
        <v>17824</v>
      </c>
      <c r="AG3613" t="s">
        <v>17825</v>
      </c>
      <c r="AH3613">
        <v>-1.56</v>
      </c>
      <c r="AI3613">
        <v>-1.7</v>
      </c>
      <c r="AJ3613">
        <v>3.59</v>
      </c>
      <c r="AK3613">
        <v>7.42</v>
      </c>
      <c r="AL3613">
        <v>1</v>
      </c>
      <c r="AM3613">
        <v>0.76</v>
      </c>
      <c r="AN3613">
        <v>32.83</v>
      </c>
      <c r="AO3613">
        <v>2.31</v>
      </c>
      <c r="AP3613">
        <v>21.3</v>
      </c>
    </row>
    <row r="3614" spans="1:42">
      <c r="A3614">
        <v>3613</v>
      </c>
      <c r="B3614" t="str">
        <f>"300165"</f>
        <v>300165</v>
      </c>
      <c r="C3614" t="s">
        <v>17826</v>
      </c>
      <c r="D3614">
        <v>6.35</v>
      </c>
      <c r="E3614">
        <v>0.47</v>
      </c>
      <c r="F3614">
        <v>0.03</v>
      </c>
      <c r="G3614" t="s">
        <v>3641</v>
      </c>
      <c r="H3614">
        <v>792</v>
      </c>
      <c r="I3614">
        <v>6.35</v>
      </c>
      <c r="J3614">
        <v>6.36</v>
      </c>
      <c r="K3614" t="s">
        <v>17827</v>
      </c>
      <c r="L3614">
        <v>1.55</v>
      </c>
      <c r="M3614" t="s">
        <v>46</v>
      </c>
      <c r="N3614" t="s">
        <v>2245</v>
      </c>
      <c r="O3614">
        <v>6.39</v>
      </c>
      <c r="P3614">
        <v>6.26</v>
      </c>
      <c r="Q3614">
        <v>6.34</v>
      </c>
      <c r="R3614">
        <v>6.32</v>
      </c>
      <c r="S3614">
        <v>2.06</v>
      </c>
      <c r="T3614">
        <v>0.56</v>
      </c>
      <c r="U3614">
        <v>-61.62</v>
      </c>
      <c r="V3614">
        <v>-4618</v>
      </c>
      <c r="W3614">
        <v>6.33</v>
      </c>
      <c r="X3614" t="s">
        <v>1711</v>
      </c>
      <c r="Y3614" t="s">
        <v>1806</v>
      </c>
      <c r="Z3614">
        <v>0.8</v>
      </c>
      <c r="AA3614">
        <v>491</v>
      </c>
      <c r="AB3614">
        <v>637</v>
      </c>
      <c r="AC3614">
        <v>2.1</v>
      </c>
      <c r="AD3614" t="s">
        <v>17828</v>
      </c>
      <c r="AE3614" t="s">
        <v>13078</v>
      </c>
      <c r="AF3614" t="s">
        <v>17829</v>
      </c>
      <c r="AG3614" t="s">
        <v>17830</v>
      </c>
      <c r="AH3614">
        <v>-1.24</v>
      </c>
      <c r="AI3614">
        <v>0.47</v>
      </c>
      <c r="AJ3614">
        <v>5.42</v>
      </c>
      <c r="AK3614">
        <v>15.33</v>
      </c>
      <c r="AL3614">
        <v>1</v>
      </c>
      <c r="AM3614">
        <v>0.47</v>
      </c>
      <c r="AN3614">
        <v>31.74</v>
      </c>
      <c r="AO3614">
        <v>2.09</v>
      </c>
      <c r="AP3614">
        <v>27</v>
      </c>
    </row>
    <row r="3615" spans="1:42">
      <c r="A3615">
        <v>3614</v>
      </c>
      <c r="B3615" t="str">
        <f>"301290"</f>
        <v>301290</v>
      </c>
      <c r="C3615" t="s">
        <v>17831</v>
      </c>
      <c r="D3615">
        <v>30.7</v>
      </c>
      <c r="E3615">
        <v>-2.07</v>
      </c>
      <c r="F3615">
        <v>-0.65</v>
      </c>
      <c r="G3615" t="s">
        <v>6212</v>
      </c>
      <c r="H3615">
        <v>75</v>
      </c>
      <c r="I3615">
        <v>30.69</v>
      </c>
      <c r="J3615">
        <v>30.7</v>
      </c>
      <c r="K3615" t="s">
        <v>17832</v>
      </c>
      <c r="L3615">
        <v>1.87</v>
      </c>
      <c r="M3615" t="s">
        <v>46</v>
      </c>
      <c r="N3615" t="s">
        <v>3583</v>
      </c>
      <c r="O3615">
        <v>31.25</v>
      </c>
      <c r="P3615">
        <v>30.48</v>
      </c>
      <c r="Q3615">
        <v>31.2</v>
      </c>
      <c r="R3615">
        <v>31.35</v>
      </c>
      <c r="S3615">
        <v>2.46</v>
      </c>
      <c r="T3615">
        <v>2.34</v>
      </c>
      <c r="U3615">
        <v>10.99</v>
      </c>
      <c r="V3615">
        <v>18</v>
      </c>
      <c r="W3615">
        <v>30.8</v>
      </c>
      <c r="X3615">
        <v>7388</v>
      </c>
      <c r="Y3615">
        <v>5327</v>
      </c>
      <c r="Z3615">
        <v>1.39</v>
      </c>
      <c r="AA3615">
        <v>1</v>
      </c>
      <c r="AB3615">
        <v>4</v>
      </c>
      <c r="AC3615">
        <v>1.39</v>
      </c>
      <c r="AD3615" t="s">
        <v>7895</v>
      </c>
      <c r="AE3615" t="s">
        <v>17833</v>
      </c>
      <c r="AF3615" t="s">
        <v>8052</v>
      </c>
      <c r="AG3615" t="s">
        <v>6700</v>
      </c>
      <c r="AH3615">
        <v>-3.52</v>
      </c>
      <c r="AI3615">
        <v>-4.57</v>
      </c>
      <c r="AJ3615">
        <v>3.29</v>
      </c>
      <c r="AK3615">
        <v>5.87</v>
      </c>
      <c r="AL3615">
        <v>-1</v>
      </c>
      <c r="AM3615">
        <v>-2.07</v>
      </c>
      <c r="AN3615">
        <v>-16.87</v>
      </c>
      <c r="AO3615">
        <v>-1.13</v>
      </c>
      <c r="AP3615">
        <v>-29.57</v>
      </c>
    </row>
    <row r="3616" spans="1:42">
      <c r="A3616">
        <v>3615</v>
      </c>
      <c r="B3616" t="str">
        <f>"300651"</f>
        <v>300651</v>
      </c>
      <c r="C3616" t="s">
        <v>17834</v>
      </c>
      <c r="D3616">
        <v>20.54</v>
      </c>
      <c r="E3616">
        <v>2.04</v>
      </c>
      <c r="F3616">
        <v>0.41</v>
      </c>
      <c r="G3616" t="s">
        <v>882</v>
      </c>
      <c r="H3616">
        <v>92</v>
      </c>
      <c r="I3616">
        <v>20.53</v>
      </c>
      <c r="J3616">
        <v>20.54</v>
      </c>
      <c r="K3616" t="s">
        <v>17835</v>
      </c>
      <c r="L3616">
        <v>2.71</v>
      </c>
      <c r="M3616" t="s">
        <v>46</v>
      </c>
      <c r="N3616" t="s">
        <v>4501</v>
      </c>
      <c r="O3616">
        <v>20.63</v>
      </c>
      <c r="P3616">
        <v>20.09</v>
      </c>
      <c r="Q3616">
        <v>20.26</v>
      </c>
      <c r="R3616">
        <v>20.13</v>
      </c>
      <c r="S3616">
        <v>2.68</v>
      </c>
      <c r="T3616">
        <v>1.17</v>
      </c>
      <c r="U3616">
        <v>35.25</v>
      </c>
      <c r="V3616">
        <v>129</v>
      </c>
      <c r="W3616">
        <v>20.38</v>
      </c>
      <c r="X3616">
        <v>8755</v>
      </c>
      <c r="Y3616" t="s">
        <v>239</v>
      </c>
      <c r="Z3616">
        <v>0.84</v>
      </c>
      <c r="AA3616">
        <v>3</v>
      </c>
      <c r="AB3616">
        <v>2</v>
      </c>
      <c r="AC3616">
        <v>3.52</v>
      </c>
      <c r="AD3616" t="s">
        <v>14641</v>
      </c>
      <c r="AE3616" t="s">
        <v>17836</v>
      </c>
      <c r="AF3616" t="s">
        <v>17837</v>
      </c>
      <c r="AG3616" t="s">
        <v>1617</v>
      </c>
      <c r="AH3616">
        <v>-1.82</v>
      </c>
      <c r="AI3616">
        <v>-1.25</v>
      </c>
      <c r="AJ3616">
        <v>8.23</v>
      </c>
      <c r="AK3616">
        <v>14.27</v>
      </c>
      <c r="AL3616">
        <v>1</v>
      </c>
      <c r="AM3616">
        <v>2.04</v>
      </c>
      <c r="AN3616">
        <v>-7.44</v>
      </c>
      <c r="AO3616">
        <v>1.83</v>
      </c>
      <c r="AP3616">
        <v>-12.78</v>
      </c>
    </row>
    <row r="3617" spans="1:42">
      <c r="A3617">
        <v>3616</v>
      </c>
      <c r="B3617" t="str">
        <f>"301369"</f>
        <v>301369</v>
      </c>
      <c r="C3617" t="s">
        <v>17838</v>
      </c>
      <c r="D3617">
        <v>63</v>
      </c>
      <c r="E3617">
        <v>0.83</v>
      </c>
      <c r="F3617">
        <v>0.52</v>
      </c>
      <c r="G3617">
        <v>6227</v>
      </c>
      <c r="H3617">
        <v>69</v>
      </c>
      <c r="I3617">
        <v>63</v>
      </c>
      <c r="J3617">
        <v>63.03</v>
      </c>
      <c r="K3617" t="s">
        <v>17839</v>
      </c>
      <c r="L3617">
        <v>2.57</v>
      </c>
      <c r="M3617" t="s">
        <v>46</v>
      </c>
      <c r="N3617" t="s">
        <v>2558</v>
      </c>
      <c r="O3617">
        <v>63.25</v>
      </c>
      <c r="P3617">
        <v>62.22</v>
      </c>
      <c r="Q3617">
        <v>62.48</v>
      </c>
      <c r="R3617">
        <v>62.48</v>
      </c>
      <c r="S3617">
        <v>1.65</v>
      </c>
      <c r="T3617">
        <v>0.67</v>
      </c>
      <c r="U3617">
        <v>-32.26</v>
      </c>
      <c r="V3617">
        <v>-20</v>
      </c>
      <c r="W3617">
        <v>62.75</v>
      </c>
      <c r="X3617">
        <v>2838</v>
      </c>
      <c r="Y3617">
        <v>3389</v>
      </c>
      <c r="Z3617">
        <v>0.84</v>
      </c>
      <c r="AA3617">
        <v>5</v>
      </c>
      <c r="AB3617">
        <v>2</v>
      </c>
      <c r="AC3617">
        <v>3.02</v>
      </c>
      <c r="AD3617" t="s">
        <v>13583</v>
      </c>
      <c r="AE3617" t="s">
        <v>10389</v>
      </c>
      <c r="AF3617" t="s">
        <v>17840</v>
      </c>
      <c r="AG3617" t="s">
        <v>13607</v>
      </c>
      <c r="AH3617">
        <v>-1.78</v>
      </c>
      <c r="AI3617">
        <v>-3.4</v>
      </c>
      <c r="AJ3617">
        <v>11.01</v>
      </c>
      <c r="AK3617">
        <v>21.7</v>
      </c>
      <c r="AL3617">
        <v>1</v>
      </c>
      <c r="AM3617">
        <v>0.83</v>
      </c>
      <c r="AN3617">
        <v>8.75</v>
      </c>
      <c r="AO3617">
        <v>-1.53</v>
      </c>
      <c r="AP3617">
        <v>-11.89</v>
      </c>
    </row>
    <row r="3618" spans="1:42">
      <c r="A3618">
        <v>3617</v>
      </c>
      <c r="B3618" t="str">
        <f>"688136"</f>
        <v>688136</v>
      </c>
      <c r="C3618" t="s">
        <v>17841</v>
      </c>
      <c r="D3618">
        <v>20.45</v>
      </c>
      <c r="E3618">
        <v>2</v>
      </c>
      <c r="F3618">
        <v>0.4</v>
      </c>
      <c r="G3618" t="s">
        <v>882</v>
      </c>
      <c r="H3618">
        <v>188</v>
      </c>
      <c r="I3618">
        <v>20.42</v>
      </c>
      <c r="J3618">
        <v>20.45</v>
      </c>
      <c r="K3618" t="s">
        <v>17842</v>
      </c>
      <c r="L3618">
        <v>2.85</v>
      </c>
      <c r="M3618" t="s">
        <v>46</v>
      </c>
      <c r="N3618" t="s">
        <v>1100</v>
      </c>
      <c r="O3618">
        <v>20.62</v>
      </c>
      <c r="P3618">
        <v>19.9</v>
      </c>
      <c r="Q3618">
        <v>20.04</v>
      </c>
      <c r="R3618">
        <v>20.05</v>
      </c>
      <c r="S3618">
        <v>3.59</v>
      </c>
      <c r="T3618">
        <v>1.41</v>
      </c>
      <c r="U3618">
        <v>18.47</v>
      </c>
      <c r="V3618">
        <v>89</v>
      </c>
      <c r="W3618">
        <v>20.35</v>
      </c>
      <c r="X3618">
        <v>7477</v>
      </c>
      <c r="Y3618" t="s">
        <v>189</v>
      </c>
      <c r="Z3618">
        <v>0.64</v>
      </c>
      <c r="AA3618">
        <v>47</v>
      </c>
      <c r="AB3618">
        <v>41</v>
      </c>
      <c r="AC3618">
        <v>2.31</v>
      </c>
      <c r="AD3618" t="s">
        <v>9983</v>
      </c>
      <c r="AE3618" t="s">
        <v>17843</v>
      </c>
      <c r="AF3618" t="s">
        <v>17844</v>
      </c>
      <c r="AG3618" t="s">
        <v>5414</v>
      </c>
      <c r="AH3618">
        <v>0.74</v>
      </c>
      <c r="AI3618">
        <v>0.25</v>
      </c>
      <c r="AJ3618">
        <v>6.38</v>
      </c>
      <c r="AK3618">
        <v>12.91</v>
      </c>
      <c r="AL3618">
        <v>2</v>
      </c>
      <c r="AM3618">
        <v>2</v>
      </c>
      <c r="AN3618">
        <v>-4.62</v>
      </c>
      <c r="AO3618">
        <v>3.39</v>
      </c>
      <c r="AP3618">
        <v>-22.42</v>
      </c>
    </row>
    <row r="3619" spans="1:42">
      <c r="A3619">
        <v>3618</v>
      </c>
      <c r="B3619" t="str">
        <f>"002753"</f>
        <v>002753</v>
      </c>
      <c r="C3619" t="s">
        <v>17845</v>
      </c>
      <c r="D3619">
        <v>8.24</v>
      </c>
      <c r="E3619">
        <v>0.86</v>
      </c>
      <c r="F3619">
        <v>0.07</v>
      </c>
      <c r="G3619" t="s">
        <v>4399</v>
      </c>
      <c r="H3619">
        <v>221</v>
      </c>
      <c r="I3619">
        <v>8.21</v>
      </c>
      <c r="J3619">
        <v>8.24</v>
      </c>
      <c r="K3619" t="s">
        <v>17846</v>
      </c>
      <c r="L3619">
        <v>1.96</v>
      </c>
      <c r="M3619" t="s">
        <v>46</v>
      </c>
      <c r="N3619" t="s">
        <v>11440</v>
      </c>
      <c r="O3619">
        <v>8.27</v>
      </c>
      <c r="P3619">
        <v>8.11</v>
      </c>
      <c r="Q3619">
        <v>8.14</v>
      </c>
      <c r="R3619">
        <v>8.17</v>
      </c>
      <c r="S3619">
        <v>1.96</v>
      </c>
      <c r="T3619">
        <v>1.31</v>
      </c>
      <c r="U3619">
        <v>-1.86</v>
      </c>
      <c r="V3619">
        <v>-49</v>
      </c>
      <c r="W3619">
        <v>8.21</v>
      </c>
      <c r="X3619" t="s">
        <v>1212</v>
      </c>
      <c r="Y3619" t="s">
        <v>8396</v>
      </c>
      <c r="Z3619">
        <v>0.9</v>
      </c>
      <c r="AA3619">
        <v>20</v>
      </c>
      <c r="AB3619">
        <v>167</v>
      </c>
      <c r="AC3619">
        <v>1.38</v>
      </c>
      <c r="AD3619" t="s">
        <v>3146</v>
      </c>
      <c r="AE3619" t="s">
        <v>9016</v>
      </c>
      <c r="AF3619" t="s">
        <v>17847</v>
      </c>
      <c r="AG3619" t="s">
        <v>321</v>
      </c>
      <c r="AH3619">
        <v>0.37</v>
      </c>
      <c r="AI3619">
        <v>0.24</v>
      </c>
      <c r="AJ3619">
        <v>4.72</v>
      </c>
      <c r="AK3619">
        <v>9.43</v>
      </c>
      <c r="AL3619">
        <v>1</v>
      </c>
      <c r="AM3619">
        <v>0.86</v>
      </c>
      <c r="AN3619">
        <v>-1.2</v>
      </c>
      <c r="AO3619">
        <v>5.51</v>
      </c>
      <c r="AP3619">
        <v>-3.96</v>
      </c>
    </row>
    <row r="3620" spans="1:42">
      <c r="A3620">
        <v>3619</v>
      </c>
      <c r="B3620" t="str">
        <f>"301120"</f>
        <v>301120</v>
      </c>
      <c r="C3620" t="s">
        <v>17848</v>
      </c>
      <c r="D3620">
        <v>11.94</v>
      </c>
      <c r="E3620">
        <v>-0.91</v>
      </c>
      <c r="F3620">
        <v>-0.11</v>
      </c>
      <c r="G3620" t="s">
        <v>7679</v>
      </c>
      <c r="H3620">
        <v>357</v>
      </c>
      <c r="I3620">
        <v>11.93</v>
      </c>
      <c r="J3620">
        <v>11.94</v>
      </c>
      <c r="K3620" t="s">
        <v>17849</v>
      </c>
      <c r="L3620">
        <v>2.23</v>
      </c>
      <c r="M3620" t="s">
        <v>46</v>
      </c>
      <c r="N3620" t="s">
        <v>4102</v>
      </c>
      <c r="O3620">
        <v>12.1</v>
      </c>
      <c r="P3620">
        <v>11.77</v>
      </c>
      <c r="Q3620">
        <v>12.05</v>
      </c>
      <c r="R3620">
        <v>12.05</v>
      </c>
      <c r="S3620">
        <v>2.74</v>
      </c>
      <c r="T3620">
        <v>0.96</v>
      </c>
      <c r="U3620">
        <v>-23.6</v>
      </c>
      <c r="V3620">
        <v>-514</v>
      </c>
      <c r="W3620">
        <v>11.89</v>
      </c>
      <c r="X3620" t="s">
        <v>1072</v>
      </c>
      <c r="Y3620" t="s">
        <v>4717</v>
      </c>
      <c r="Z3620">
        <v>1.32</v>
      </c>
      <c r="AA3620">
        <v>91</v>
      </c>
      <c r="AB3620">
        <v>616</v>
      </c>
      <c r="AC3620">
        <v>2.76</v>
      </c>
      <c r="AD3620" t="s">
        <v>17850</v>
      </c>
      <c r="AE3620" t="s">
        <v>17851</v>
      </c>
      <c r="AF3620" t="s">
        <v>17852</v>
      </c>
      <c r="AG3620" t="s">
        <v>17853</v>
      </c>
      <c r="AH3620">
        <v>-2.45</v>
      </c>
      <c r="AI3620">
        <v>-1.65</v>
      </c>
      <c r="AJ3620">
        <v>6.79</v>
      </c>
      <c r="AK3620">
        <v>13.86</v>
      </c>
      <c r="AL3620">
        <v>-3</v>
      </c>
      <c r="AM3620">
        <v>-0.91</v>
      </c>
      <c r="AN3620">
        <v>-3.32</v>
      </c>
      <c r="AO3620">
        <v>2.93</v>
      </c>
      <c r="AP3620">
        <v>-8.37</v>
      </c>
    </row>
    <row r="3621" spans="1:42">
      <c r="A3621">
        <v>3620</v>
      </c>
      <c r="B3621" t="str">
        <f>"002264"</f>
        <v>002264</v>
      </c>
      <c r="C3621" t="s">
        <v>17854</v>
      </c>
      <c r="D3621">
        <v>5.8</v>
      </c>
      <c r="E3621">
        <v>1.4</v>
      </c>
      <c r="F3621">
        <v>0.08</v>
      </c>
      <c r="G3621" t="s">
        <v>6113</v>
      </c>
      <c r="H3621">
        <v>554</v>
      </c>
      <c r="I3621">
        <v>5.79</v>
      </c>
      <c r="J3621">
        <v>5.8</v>
      </c>
      <c r="K3621" t="s">
        <v>17849</v>
      </c>
      <c r="L3621">
        <v>1.03</v>
      </c>
      <c r="M3621" t="s">
        <v>46</v>
      </c>
      <c r="N3621" t="s">
        <v>4469</v>
      </c>
      <c r="O3621">
        <v>5.85</v>
      </c>
      <c r="P3621">
        <v>5.67</v>
      </c>
      <c r="Q3621">
        <v>5.73</v>
      </c>
      <c r="R3621">
        <v>5.72</v>
      </c>
      <c r="S3621">
        <v>3.15</v>
      </c>
      <c r="T3621">
        <v>0.91</v>
      </c>
      <c r="U3621">
        <v>-20.07</v>
      </c>
      <c r="V3621">
        <v>-1145</v>
      </c>
      <c r="W3621">
        <v>5.8</v>
      </c>
      <c r="X3621" t="s">
        <v>9871</v>
      </c>
      <c r="Y3621" t="s">
        <v>1604</v>
      </c>
      <c r="Z3621">
        <v>0.95</v>
      </c>
      <c r="AA3621">
        <v>156</v>
      </c>
      <c r="AB3621">
        <v>1034</v>
      </c>
      <c r="AC3621">
        <v>2.64</v>
      </c>
      <c r="AD3621" t="s">
        <v>17855</v>
      </c>
      <c r="AE3621" t="s">
        <v>17856</v>
      </c>
      <c r="AF3621" t="s">
        <v>17857</v>
      </c>
      <c r="AG3621" t="s">
        <v>12753</v>
      </c>
      <c r="AH3621">
        <v>1.93</v>
      </c>
      <c r="AI3621">
        <v>1.22</v>
      </c>
      <c r="AJ3621">
        <v>2.52</v>
      </c>
      <c r="AK3621">
        <v>6.68</v>
      </c>
      <c r="AL3621">
        <v>4</v>
      </c>
      <c r="AM3621">
        <v>1.4</v>
      </c>
      <c r="AN3621">
        <v>-9.94</v>
      </c>
      <c r="AO3621">
        <v>7.61</v>
      </c>
      <c r="AP3621">
        <v>-0.68</v>
      </c>
    </row>
    <row r="3622" spans="1:42">
      <c r="A3622">
        <v>3621</v>
      </c>
      <c r="B3622" t="str">
        <f>"600560"</f>
        <v>600560</v>
      </c>
      <c r="C3622" t="s">
        <v>17858</v>
      </c>
      <c r="D3622">
        <v>13.82</v>
      </c>
      <c r="E3622">
        <v>-0.72</v>
      </c>
      <c r="F3622">
        <v>-0.1</v>
      </c>
      <c r="G3622" t="s">
        <v>8966</v>
      </c>
      <c r="H3622">
        <v>336</v>
      </c>
      <c r="I3622">
        <v>13.82</v>
      </c>
      <c r="J3622">
        <v>13.83</v>
      </c>
      <c r="K3622" t="s">
        <v>17859</v>
      </c>
      <c r="L3622">
        <v>1.27</v>
      </c>
      <c r="M3622" t="s">
        <v>46</v>
      </c>
      <c r="N3622" t="s">
        <v>7570</v>
      </c>
      <c r="O3622">
        <v>13.92</v>
      </c>
      <c r="P3622">
        <v>13.6</v>
      </c>
      <c r="Q3622">
        <v>13.85</v>
      </c>
      <c r="R3622">
        <v>13.92</v>
      </c>
      <c r="S3622">
        <v>2.3</v>
      </c>
      <c r="T3622">
        <v>0.84</v>
      </c>
      <c r="U3622">
        <v>4.6</v>
      </c>
      <c r="V3622">
        <v>19</v>
      </c>
      <c r="W3622">
        <v>13.78</v>
      </c>
      <c r="X3622" t="s">
        <v>1456</v>
      </c>
      <c r="Y3622" t="s">
        <v>2807</v>
      </c>
      <c r="Z3622">
        <v>1.54</v>
      </c>
      <c r="AA3622">
        <v>49</v>
      </c>
      <c r="AB3622">
        <v>13</v>
      </c>
      <c r="AC3622">
        <v>3.46</v>
      </c>
      <c r="AD3622" t="s">
        <v>7802</v>
      </c>
      <c r="AE3622" t="s">
        <v>7621</v>
      </c>
      <c r="AF3622" t="s">
        <v>7802</v>
      </c>
      <c r="AG3622" t="s">
        <v>7621</v>
      </c>
      <c r="AH3622">
        <v>-0.86</v>
      </c>
      <c r="AI3622">
        <v>-0.29</v>
      </c>
      <c r="AJ3622">
        <v>5.61</v>
      </c>
      <c r="AK3622">
        <v>8.78</v>
      </c>
      <c r="AL3622">
        <v>-2</v>
      </c>
      <c r="AM3622">
        <v>-0.72</v>
      </c>
      <c r="AN3622">
        <v>43.66</v>
      </c>
      <c r="AO3622">
        <v>3.83</v>
      </c>
      <c r="AP3622">
        <v>30.62</v>
      </c>
    </row>
    <row r="3623" spans="1:42">
      <c r="A3623">
        <v>3622</v>
      </c>
      <c r="B3623" t="str">
        <f>"831627"</f>
        <v>831627</v>
      </c>
      <c r="C3623" t="s">
        <v>17860</v>
      </c>
      <c r="D3623">
        <v>9.15</v>
      </c>
      <c r="E3623">
        <v>-5.86</v>
      </c>
      <c r="F3623">
        <v>-0.57</v>
      </c>
      <c r="G3623" t="s">
        <v>10547</v>
      </c>
      <c r="H3623">
        <v>486</v>
      </c>
      <c r="I3623">
        <v>9.14</v>
      </c>
      <c r="J3623">
        <v>9.15</v>
      </c>
      <c r="K3623" t="s">
        <v>17861</v>
      </c>
      <c r="L3623">
        <v>16.87</v>
      </c>
      <c r="M3623" t="s">
        <v>46</v>
      </c>
      <c r="N3623" t="s">
        <v>6508</v>
      </c>
      <c r="O3623">
        <v>10.07</v>
      </c>
      <c r="P3623">
        <v>9.04</v>
      </c>
      <c r="Q3623">
        <v>9.65</v>
      </c>
      <c r="R3623">
        <v>9.72</v>
      </c>
      <c r="S3623">
        <v>10.6</v>
      </c>
      <c r="T3623">
        <v>0.52</v>
      </c>
      <c r="U3623">
        <v>-14.56</v>
      </c>
      <c r="V3623">
        <v>-98</v>
      </c>
      <c r="W3623">
        <v>9.43</v>
      </c>
      <c r="X3623" t="s">
        <v>7993</v>
      </c>
      <c r="Y3623" t="s">
        <v>383</v>
      </c>
      <c r="Z3623">
        <v>2.12</v>
      </c>
      <c r="AA3623">
        <v>119</v>
      </c>
      <c r="AB3623">
        <v>5</v>
      </c>
      <c r="AC3623">
        <v>2.06</v>
      </c>
      <c r="AD3623" t="s">
        <v>17862</v>
      </c>
      <c r="AE3623" t="s">
        <v>17863</v>
      </c>
      <c r="AF3623" t="s">
        <v>17864</v>
      </c>
      <c r="AG3623" t="s">
        <v>15406</v>
      </c>
      <c r="AH3623">
        <v>-20.3</v>
      </c>
      <c r="AI3623">
        <v>1.33</v>
      </c>
      <c r="AJ3623">
        <v>58.57</v>
      </c>
      <c r="AK3623">
        <v>180.25</v>
      </c>
      <c r="AL3623">
        <v>-4</v>
      </c>
      <c r="AM3623">
        <v>-5.86</v>
      </c>
      <c r="AN3623">
        <v>-41.94</v>
      </c>
      <c r="AO3623">
        <v>35.16</v>
      </c>
      <c r="AP3623">
        <v>-41.94</v>
      </c>
    </row>
    <row r="3624" spans="1:42">
      <c r="A3624">
        <v>3623</v>
      </c>
      <c r="B3624" t="str">
        <f>"600855"</f>
        <v>600855</v>
      </c>
      <c r="C3624" t="s">
        <v>17865</v>
      </c>
      <c r="D3624">
        <v>11.28</v>
      </c>
      <c r="E3624">
        <v>0.62</v>
      </c>
      <c r="F3624">
        <v>0.07</v>
      </c>
      <c r="G3624" t="s">
        <v>2550</v>
      </c>
      <c r="H3624">
        <v>147</v>
      </c>
      <c r="I3624">
        <v>11.27</v>
      </c>
      <c r="J3624">
        <v>11.28</v>
      </c>
      <c r="K3624" t="s">
        <v>9313</v>
      </c>
      <c r="L3624">
        <v>0.74</v>
      </c>
      <c r="M3624" t="s">
        <v>46</v>
      </c>
      <c r="N3624" t="s">
        <v>1491</v>
      </c>
      <c r="O3624">
        <v>11.3</v>
      </c>
      <c r="P3624">
        <v>11.07</v>
      </c>
      <c r="Q3624">
        <v>11.2</v>
      </c>
      <c r="R3624">
        <v>11.21</v>
      </c>
      <c r="S3624">
        <v>2.05</v>
      </c>
      <c r="T3624">
        <v>1.21</v>
      </c>
      <c r="U3624">
        <v>-7.67</v>
      </c>
      <c r="V3624">
        <v>-125</v>
      </c>
      <c r="W3624">
        <v>11.22</v>
      </c>
      <c r="X3624" t="s">
        <v>5237</v>
      </c>
      <c r="Y3624" t="s">
        <v>6867</v>
      </c>
      <c r="Z3624">
        <v>1.42</v>
      </c>
      <c r="AA3624">
        <v>10</v>
      </c>
      <c r="AB3624">
        <v>178</v>
      </c>
      <c r="AC3624">
        <v>2.66</v>
      </c>
      <c r="AD3624" t="s">
        <v>17866</v>
      </c>
      <c r="AE3624" t="s">
        <v>17867</v>
      </c>
      <c r="AF3624" t="s">
        <v>2306</v>
      </c>
      <c r="AG3624" t="s">
        <v>17868</v>
      </c>
      <c r="AH3624">
        <v>-0.88</v>
      </c>
      <c r="AI3624">
        <v>-1.48</v>
      </c>
      <c r="AJ3624">
        <v>2</v>
      </c>
      <c r="AK3624">
        <v>3.82</v>
      </c>
      <c r="AL3624">
        <v>1</v>
      </c>
      <c r="AM3624">
        <v>0.62</v>
      </c>
      <c r="AN3624">
        <v>-8.29</v>
      </c>
      <c r="AO3624">
        <v>2.73</v>
      </c>
      <c r="AP3624">
        <v>-6.31</v>
      </c>
    </row>
    <row r="3625" spans="1:42">
      <c r="A3625">
        <v>3624</v>
      </c>
      <c r="B3625" t="str">
        <f>"300909"</f>
        <v>300909</v>
      </c>
      <c r="C3625" t="s">
        <v>17869</v>
      </c>
      <c r="D3625">
        <v>27.58</v>
      </c>
      <c r="E3625">
        <v>0.69</v>
      </c>
      <c r="F3625">
        <v>0.19</v>
      </c>
      <c r="G3625" t="s">
        <v>4105</v>
      </c>
      <c r="H3625">
        <v>200</v>
      </c>
      <c r="I3625">
        <v>27.57</v>
      </c>
      <c r="J3625">
        <v>27.58</v>
      </c>
      <c r="K3625" t="s">
        <v>17870</v>
      </c>
      <c r="L3625">
        <v>1.32</v>
      </c>
      <c r="M3625" t="s">
        <v>46</v>
      </c>
      <c r="N3625" t="s">
        <v>1392</v>
      </c>
      <c r="O3625">
        <v>27.69</v>
      </c>
      <c r="P3625">
        <v>27.1</v>
      </c>
      <c r="Q3625">
        <v>27.38</v>
      </c>
      <c r="R3625">
        <v>27.39</v>
      </c>
      <c r="S3625">
        <v>2.15</v>
      </c>
      <c r="T3625">
        <v>0.47</v>
      </c>
      <c r="U3625">
        <v>-27.51</v>
      </c>
      <c r="V3625">
        <v>-63</v>
      </c>
      <c r="W3625">
        <v>27.45</v>
      </c>
      <c r="X3625">
        <v>7069</v>
      </c>
      <c r="Y3625">
        <v>7111</v>
      </c>
      <c r="Z3625">
        <v>0.99</v>
      </c>
      <c r="AA3625">
        <v>31</v>
      </c>
      <c r="AB3625">
        <v>5</v>
      </c>
      <c r="AC3625">
        <v>2.57</v>
      </c>
      <c r="AD3625" t="s">
        <v>8324</v>
      </c>
      <c r="AE3625" t="s">
        <v>7687</v>
      </c>
      <c r="AF3625" t="s">
        <v>17871</v>
      </c>
      <c r="AG3625" t="s">
        <v>17872</v>
      </c>
      <c r="AH3625">
        <v>-4.6</v>
      </c>
      <c r="AI3625">
        <v>-2.16</v>
      </c>
      <c r="AJ3625">
        <v>6.98</v>
      </c>
      <c r="AK3625">
        <v>15.53</v>
      </c>
      <c r="AL3625">
        <v>1</v>
      </c>
      <c r="AM3625">
        <v>0.69</v>
      </c>
      <c r="AN3625">
        <v>-7.45</v>
      </c>
      <c r="AO3625">
        <v>-7.79</v>
      </c>
      <c r="AP3625">
        <v>-19.36</v>
      </c>
    </row>
    <row r="3626" spans="1:42">
      <c r="A3626">
        <v>3625</v>
      </c>
      <c r="B3626" t="str">
        <f>"601609"</f>
        <v>601609</v>
      </c>
      <c r="C3626" t="s">
        <v>17873</v>
      </c>
      <c r="D3626">
        <v>6.87</v>
      </c>
      <c r="E3626">
        <v>-0.43</v>
      </c>
      <c r="F3626">
        <v>-0.03</v>
      </c>
      <c r="G3626" t="s">
        <v>6545</v>
      </c>
      <c r="H3626">
        <v>789</v>
      </c>
      <c r="I3626">
        <v>6.85</v>
      </c>
      <c r="J3626">
        <v>6.87</v>
      </c>
      <c r="K3626" t="s">
        <v>17874</v>
      </c>
      <c r="L3626">
        <v>0.39</v>
      </c>
      <c r="M3626" t="s">
        <v>46</v>
      </c>
      <c r="N3626" t="s">
        <v>17875</v>
      </c>
      <c r="O3626">
        <v>6.92</v>
      </c>
      <c r="P3626">
        <v>6.84</v>
      </c>
      <c r="Q3626">
        <v>6.88</v>
      </c>
      <c r="R3626">
        <v>6.9</v>
      </c>
      <c r="S3626">
        <v>1.16</v>
      </c>
      <c r="T3626">
        <v>0.97</v>
      </c>
      <c r="U3626">
        <v>0.62</v>
      </c>
      <c r="V3626">
        <v>33</v>
      </c>
      <c r="W3626">
        <v>6.86</v>
      </c>
      <c r="X3626" t="s">
        <v>4733</v>
      </c>
      <c r="Y3626" t="s">
        <v>9211</v>
      </c>
      <c r="Z3626">
        <v>1.25</v>
      </c>
      <c r="AA3626">
        <v>108</v>
      </c>
      <c r="AB3626">
        <v>885</v>
      </c>
      <c r="AC3626">
        <v>1.34</v>
      </c>
      <c r="AD3626" t="s">
        <v>2597</v>
      </c>
      <c r="AE3626" t="s">
        <v>9634</v>
      </c>
      <c r="AF3626" t="s">
        <v>133</v>
      </c>
      <c r="AG3626" t="s">
        <v>17876</v>
      </c>
      <c r="AH3626">
        <v>-1.29</v>
      </c>
      <c r="AI3626">
        <v>-1.15</v>
      </c>
      <c r="AJ3626">
        <v>1.25</v>
      </c>
      <c r="AK3626">
        <v>2.37</v>
      </c>
      <c r="AL3626">
        <v>-3</v>
      </c>
      <c r="AM3626">
        <v>-0.43</v>
      </c>
      <c r="AN3626">
        <v>3</v>
      </c>
      <c r="AO3626">
        <v>0.29</v>
      </c>
      <c r="AP3626">
        <v>0.44</v>
      </c>
    </row>
    <row r="3627" spans="1:42">
      <c r="A3627">
        <v>3626</v>
      </c>
      <c r="B3627" t="str">
        <f>"002523"</f>
        <v>002523</v>
      </c>
      <c r="C3627" t="s">
        <v>17877</v>
      </c>
      <c r="D3627">
        <v>2.81</v>
      </c>
      <c r="E3627">
        <v>1.08</v>
      </c>
      <c r="F3627">
        <v>0.03</v>
      </c>
      <c r="G3627" t="s">
        <v>1207</v>
      </c>
      <c r="H3627">
        <v>2330</v>
      </c>
      <c r="I3627">
        <v>2.8</v>
      </c>
      <c r="J3627">
        <v>2.81</v>
      </c>
      <c r="K3627" t="s">
        <v>17874</v>
      </c>
      <c r="L3627">
        <v>0.99</v>
      </c>
      <c r="M3627" t="s">
        <v>46</v>
      </c>
      <c r="N3627" t="s">
        <v>12070</v>
      </c>
      <c r="O3627">
        <v>2.82</v>
      </c>
      <c r="P3627">
        <v>2.77</v>
      </c>
      <c r="Q3627">
        <v>2.78</v>
      </c>
      <c r="R3627">
        <v>2.78</v>
      </c>
      <c r="S3627">
        <v>1.8</v>
      </c>
      <c r="T3627">
        <v>1.1</v>
      </c>
      <c r="U3627">
        <v>-23.96</v>
      </c>
      <c r="V3627">
        <v>-9502</v>
      </c>
      <c r="W3627">
        <v>2.8</v>
      </c>
      <c r="X3627" t="s">
        <v>6545</v>
      </c>
      <c r="Y3627" t="s">
        <v>9404</v>
      </c>
      <c r="Z3627">
        <v>0.69</v>
      </c>
      <c r="AA3627">
        <v>162</v>
      </c>
      <c r="AB3627">
        <v>1485</v>
      </c>
      <c r="AC3627">
        <v>1.81</v>
      </c>
      <c r="AD3627" t="s">
        <v>2582</v>
      </c>
      <c r="AE3627" t="s">
        <v>17878</v>
      </c>
      <c r="AF3627" t="s">
        <v>12938</v>
      </c>
      <c r="AG3627" t="s">
        <v>6927</v>
      </c>
      <c r="AH3627">
        <v>-0.35</v>
      </c>
      <c r="AI3627">
        <v>0.36</v>
      </c>
      <c r="AJ3627">
        <v>2.83</v>
      </c>
      <c r="AK3627">
        <v>5.49</v>
      </c>
      <c r="AL3627">
        <v>1</v>
      </c>
      <c r="AM3627">
        <v>1.08</v>
      </c>
      <c r="AN3627">
        <v>-7.26</v>
      </c>
      <c r="AO3627">
        <v>2.18</v>
      </c>
      <c r="AP3627">
        <v>-10.22</v>
      </c>
    </row>
    <row r="3628" spans="1:42">
      <c r="A3628">
        <v>3627</v>
      </c>
      <c r="B3628" t="str">
        <f>"600791"</f>
        <v>600791</v>
      </c>
      <c r="C3628" t="s">
        <v>17879</v>
      </c>
      <c r="D3628">
        <v>4.79</v>
      </c>
      <c r="E3628">
        <v>1.7</v>
      </c>
      <c r="F3628">
        <v>0.08</v>
      </c>
      <c r="G3628" t="s">
        <v>4382</v>
      </c>
      <c r="H3628">
        <v>773</v>
      </c>
      <c r="I3628">
        <v>4.79</v>
      </c>
      <c r="J3628">
        <v>4.8</v>
      </c>
      <c r="K3628" t="s">
        <v>17880</v>
      </c>
      <c r="L3628">
        <v>1.8</v>
      </c>
      <c r="M3628" t="s">
        <v>46</v>
      </c>
      <c r="N3628" t="s">
        <v>220</v>
      </c>
      <c r="O3628">
        <v>4.84</v>
      </c>
      <c r="P3628">
        <v>4.7</v>
      </c>
      <c r="Q3628">
        <v>4.77</v>
      </c>
      <c r="R3628">
        <v>4.71</v>
      </c>
      <c r="S3628">
        <v>2.97</v>
      </c>
      <c r="T3628">
        <v>0.85</v>
      </c>
      <c r="U3628">
        <v>6.98</v>
      </c>
      <c r="V3628">
        <v>592</v>
      </c>
      <c r="W3628">
        <v>4.79</v>
      </c>
      <c r="X3628" t="s">
        <v>4974</v>
      </c>
      <c r="Y3628" t="s">
        <v>11158</v>
      </c>
      <c r="Z3628">
        <v>0.8</v>
      </c>
      <c r="AA3628">
        <v>361</v>
      </c>
      <c r="AB3628">
        <v>1451</v>
      </c>
      <c r="AC3628">
        <v>2.2</v>
      </c>
      <c r="AD3628" t="s">
        <v>15443</v>
      </c>
      <c r="AE3628" t="s">
        <v>16104</v>
      </c>
      <c r="AF3628" t="s">
        <v>8847</v>
      </c>
      <c r="AG3628" t="s">
        <v>17881</v>
      </c>
      <c r="AH3628">
        <v>0.42</v>
      </c>
      <c r="AI3628">
        <v>-2.04</v>
      </c>
      <c r="AJ3628">
        <v>4.42</v>
      </c>
      <c r="AK3628">
        <v>12.41</v>
      </c>
      <c r="AL3628">
        <v>1</v>
      </c>
      <c r="AM3628">
        <v>1.7</v>
      </c>
      <c r="AN3628">
        <v>0.42</v>
      </c>
      <c r="AO3628">
        <v>8.62</v>
      </c>
      <c r="AP3628">
        <v>4.36</v>
      </c>
    </row>
    <row r="3629" spans="1:42">
      <c r="A3629">
        <v>3628</v>
      </c>
      <c r="B3629" t="str">
        <f>"002134"</f>
        <v>002134</v>
      </c>
      <c r="C3629" t="s">
        <v>17882</v>
      </c>
      <c r="D3629">
        <v>10.87</v>
      </c>
      <c r="E3629">
        <v>-0.28</v>
      </c>
      <c r="F3629">
        <v>-0.03</v>
      </c>
      <c r="G3629" t="s">
        <v>7781</v>
      </c>
      <c r="H3629">
        <v>331</v>
      </c>
      <c r="I3629">
        <v>10.86</v>
      </c>
      <c r="J3629">
        <v>10.87</v>
      </c>
      <c r="K3629" t="s">
        <v>17883</v>
      </c>
      <c r="L3629">
        <v>1.46</v>
      </c>
      <c r="M3629" t="s">
        <v>46</v>
      </c>
      <c r="N3629" t="s">
        <v>742</v>
      </c>
      <c r="O3629">
        <v>11.01</v>
      </c>
      <c r="P3629">
        <v>10.74</v>
      </c>
      <c r="Q3629">
        <v>10.95</v>
      </c>
      <c r="R3629">
        <v>10.9</v>
      </c>
      <c r="S3629">
        <v>2.48</v>
      </c>
      <c r="T3629">
        <v>0.95</v>
      </c>
      <c r="U3629">
        <v>4.42</v>
      </c>
      <c r="V3629">
        <v>78</v>
      </c>
      <c r="W3629">
        <v>10.86</v>
      </c>
      <c r="X3629" t="s">
        <v>5585</v>
      </c>
      <c r="Y3629" t="s">
        <v>4943</v>
      </c>
      <c r="Z3629">
        <v>1.2</v>
      </c>
      <c r="AA3629">
        <v>250</v>
      </c>
      <c r="AB3629">
        <v>180</v>
      </c>
      <c r="AC3629">
        <v>5.94</v>
      </c>
      <c r="AD3629" t="s">
        <v>6274</v>
      </c>
      <c r="AE3629" t="s">
        <v>5646</v>
      </c>
      <c r="AF3629" t="s">
        <v>16084</v>
      </c>
      <c r="AG3629" t="s">
        <v>326</v>
      </c>
      <c r="AH3629">
        <v>-0.82</v>
      </c>
      <c r="AI3629">
        <v>0</v>
      </c>
      <c r="AJ3629">
        <v>4.78</v>
      </c>
      <c r="AK3629">
        <v>9.14</v>
      </c>
      <c r="AL3629">
        <v>-2</v>
      </c>
      <c r="AM3629">
        <v>-0.28</v>
      </c>
      <c r="AN3629">
        <v>33.87</v>
      </c>
      <c r="AO3629">
        <v>2.84</v>
      </c>
      <c r="AP3629">
        <v>21.18</v>
      </c>
    </row>
    <row r="3630" spans="1:42">
      <c r="A3630">
        <v>3629</v>
      </c>
      <c r="B3630" t="str">
        <f>"688162"</f>
        <v>688162</v>
      </c>
      <c r="C3630" t="s">
        <v>17884</v>
      </c>
      <c r="D3630">
        <v>33.12</v>
      </c>
      <c r="E3630">
        <v>-1.87</v>
      </c>
      <c r="F3630">
        <v>-0.63</v>
      </c>
      <c r="G3630" t="s">
        <v>189</v>
      </c>
      <c r="H3630">
        <v>121</v>
      </c>
      <c r="I3630">
        <v>33.1</v>
      </c>
      <c r="J3630">
        <v>33.12</v>
      </c>
      <c r="K3630" t="s">
        <v>17885</v>
      </c>
      <c r="L3630">
        <v>2.41</v>
      </c>
      <c r="M3630" t="s">
        <v>46</v>
      </c>
      <c r="N3630" t="s">
        <v>17886</v>
      </c>
      <c r="O3630">
        <v>33.99</v>
      </c>
      <c r="P3630">
        <v>32.7</v>
      </c>
      <c r="Q3630">
        <v>33.6</v>
      </c>
      <c r="R3630">
        <v>33.75</v>
      </c>
      <c r="S3630">
        <v>3.82</v>
      </c>
      <c r="T3630">
        <v>1.03</v>
      </c>
      <c r="U3630">
        <v>49.24</v>
      </c>
      <c r="V3630">
        <v>110</v>
      </c>
      <c r="W3630">
        <v>33.09</v>
      </c>
      <c r="X3630">
        <v>7006</v>
      </c>
      <c r="Y3630">
        <v>4735</v>
      </c>
      <c r="Z3630">
        <v>1.48</v>
      </c>
      <c r="AA3630">
        <v>57</v>
      </c>
      <c r="AB3630">
        <v>14</v>
      </c>
      <c r="AC3630">
        <v>1.86</v>
      </c>
      <c r="AD3630" t="s">
        <v>17887</v>
      </c>
      <c r="AE3630" t="s">
        <v>9079</v>
      </c>
      <c r="AF3630" t="s">
        <v>17888</v>
      </c>
      <c r="AG3630" t="s">
        <v>15803</v>
      </c>
      <c r="AH3630">
        <v>-3.04</v>
      </c>
      <c r="AI3630">
        <v>-1.58</v>
      </c>
      <c r="AJ3630">
        <v>7.82</v>
      </c>
      <c r="AK3630">
        <v>14.18</v>
      </c>
      <c r="AL3630">
        <v>-2</v>
      </c>
      <c r="AM3630">
        <v>-1.87</v>
      </c>
      <c r="AN3630">
        <v>-22.96</v>
      </c>
      <c r="AO3630">
        <v>5.92</v>
      </c>
      <c r="AP3630">
        <v>-25.86</v>
      </c>
    </row>
    <row r="3631" spans="1:42">
      <c r="A3631">
        <v>3630</v>
      </c>
      <c r="B3631" t="str">
        <f>"301268"</f>
        <v>301268</v>
      </c>
      <c r="C3631" t="s">
        <v>17889</v>
      </c>
      <c r="D3631">
        <v>29.95</v>
      </c>
      <c r="E3631">
        <v>1.18</v>
      </c>
      <c r="F3631">
        <v>0.35</v>
      </c>
      <c r="G3631" t="s">
        <v>1170</v>
      </c>
      <c r="H3631">
        <v>244</v>
      </c>
      <c r="I3631">
        <v>29.93</v>
      </c>
      <c r="J3631">
        <v>29.95</v>
      </c>
      <c r="K3631" t="s">
        <v>14098</v>
      </c>
      <c r="L3631">
        <v>0.62</v>
      </c>
      <c r="M3631" t="s">
        <v>46</v>
      </c>
      <c r="N3631" t="s">
        <v>6112</v>
      </c>
      <c r="O3631">
        <v>30.07</v>
      </c>
      <c r="P3631">
        <v>29.18</v>
      </c>
      <c r="Q3631">
        <v>29.7</v>
      </c>
      <c r="R3631">
        <v>29.6</v>
      </c>
      <c r="S3631">
        <v>3.01</v>
      </c>
      <c r="T3631">
        <v>0.64</v>
      </c>
      <c r="U3631">
        <v>-39.33</v>
      </c>
      <c r="V3631">
        <v>-210</v>
      </c>
      <c r="W3631">
        <v>29.63</v>
      </c>
      <c r="X3631">
        <v>5884</v>
      </c>
      <c r="Y3631">
        <v>7213</v>
      </c>
      <c r="Z3631">
        <v>0.82</v>
      </c>
      <c r="AA3631">
        <v>30</v>
      </c>
      <c r="AB3631">
        <v>83</v>
      </c>
      <c r="AC3631">
        <v>5.05</v>
      </c>
      <c r="AD3631" t="s">
        <v>7381</v>
      </c>
      <c r="AE3631" t="s">
        <v>13079</v>
      </c>
      <c r="AF3631" t="s">
        <v>16454</v>
      </c>
      <c r="AG3631" t="s">
        <v>17890</v>
      </c>
      <c r="AH3631">
        <v>-0.37</v>
      </c>
      <c r="AI3631">
        <v>-3.48</v>
      </c>
      <c r="AJ3631">
        <v>2.26</v>
      </c>
      <c r="AK3631">
        <v>5.5</v>
      </c>
      <c r="AL3631">
        <v>1</v>
      </c>
      <c r="AM3631">
        <v>1.18</v>
      </c>
      <c r="AN3631">
        <v>-40.05</v>
      </c>
      <c r="AO3631">
        <v>-7.02</v>
      </c>
      <c r="AP3631">
        <v>-31.62</v>
      </c>
    </row>
    <row r="3632" spans="1:42">
      <c r="A3632">
        <v>3631</v>
      </c>
      <c r="B3632" t="str">
        <f>"600643"</f>
        <v>600643</v>
      </c>
      <c r="C3632" t="s">
        <v>17891</v>
      </c>
      <c r="D3632">
        <v>5.3</v>
      </c>
      <c r="E3632">
        <v>0.76</v>
      </c>
      <c r="F3632">
        <v>0.04</v>
      </c>
      <c r="G3632" t="s">
        <v>3618</v>
      </c>
      <c r="H3632">
        <v>349</v>
      </c>
      <c r="I3632">
        <v>5.29</v>
      </c>
      <c r="J3632">
        <v>5.3</v>
      </c>
      <c r="K3632" t="s">
        <v>16828</v>
      </c>
      <c r="L3632">
        <v>0.45</v>
      </c>
      <c r="M3632" t="s">
        <v>46</v>
      </c>
      <c r="N3632" t="s">
        <v>9029</v>
      </c>
      <c r="O3632">
        <v>5.32</v>
      </c>
      <c r="P3632">
        <v>5.24</v>
      </c>
      <c r="Q3632">
        <v>5.26</v>
      </c>
      <c r="R3632">
        <v>5.26</v>
      </c>
      <c r="S3632">
        <v>1.52</v>
      </c>
      <c r="T3632">
        <v>1.01</v>
      </c>
      <c r="U3632">
        <v>-9.95</v>
      </c>
      <c r="V3632">
        <v>-1185</v>
      </c>
      <c r="W3632">
        <v>5.29</v>
      </c>
      <c r="X3632" t="s">
        <v>6768</v>
      </c>
      <c r="Y3632" t="s">
        <v>4766</v>
      </c>
      <c r="Z3632">
        <v>0.64</v>
      </c>
      <c r="AA3632">
        <v>987</v>
      </c>
      <c r="AB3632">
        <v>321</v>
      </c>
      <c r="AC3632">
        <v>0.67</v>
      </c>
      <c r="AD3632" t="s">
        <v>542</v>
      </c>
      <c r="AE3632" t="s">
        <v>14409</v>
      </c>
      <c r="AF3632" t="s">
        <v>15568</v>
      </c>
      <c r="AG3632" t="s">
        <v>17892</v>
      </c>
      <c r="AH3632">
        <v>-0.75</v>
      </c>
      <c r="AI3632">
        <v>-1.67</v>
      </c>
      <c r="AJ3632">
        <v>1.17</v>
      </c>
      <c r="AK3632">
        <v>2.7</v>
      </c>
      <c r="AL3632">
        <v>1</v>
      </c>
      <c r="AM3632">
        <v>0.76</v>
      </c>
      <c r="AN3632">
        <v>-2.39</v>
      </c>
      <c r="AO3632">
        <v>1.73</v>
      </c>
      <c r="AP3632">
        <v>-0.93</v>
      </c>
    </row>
    <row r="3633" spans="1:42">
      <c r="A3633">
        <v>3632</v>
      </c>
      <c r="B3633" t="str">
        <f>"603213"</f>
        <v>603213</v>
      </c>
      <c r="C3633" t="s">
        <v>17893</v>
      </c>
      <c r="D3633">
        <v>11.58</v>
      </c>
      <c r="E3633">
        <v>2.66</v>
      </c>
      <c r="F3633">
        <v>0.3</v>
      </c>
      <c r="G3633" t="s">
        <v>3211</v>
      </c>
      <c r="H3633">
        <v>867</v>
      </c>
      <c r="I3633">
        <v>11.58</v>
      </c>
      <c r="J3633">
        <v>11.59</v>
      </c>
      <c r="K3633" t="s">
        <v>16828</v>
      </c>
      <c r="L3633">
        <v>2.17</v>
      </c>
      <c r="M3633" t="s">
        <v>46</v>
      </c>
      <c r="N3633" t="s">
        <v>3409</v>
      </c>
      <c r="O3633">
        <v>11.58</v>
      </c>
      <c r="P3633">
        <v>11.28</v>
      </c>
      <c r="Q3633">
        <v>11.39</v>
      </c>
      <c r="R3633">
        <v>11.28</v>
      </c>
      <c r="S3633">
        <v>2.66</v>
      </c>
      <c r="T3633">
        <v>2.8</v>
      </c>
      <c r="U3633">
        <v>-22.58</v>
      </c>
      <c r="V3633">
        <v>-280</v>
      </c>
      <c r="W3633">
        <v>11.46</v>
      </c>
      <c r="X3633" t="s">
        <v>8137</v>
      </c>
      <c r="Y3633" t="s">
        <v>6656</v>
      </c>
      <c r="Z3633">
        <v>0.95</v>
      </c>
      <c r="AA3633">
        <v>65</v>
      </c>
      <c r="AB3633">
        <v>130</v>
      </c>
      <c r="AC3633">
        <v>2.99</v>
      </c>
      <c r="AD3633" t="s">
        <v>17894</v>
      </c>
      <c r="AE3633" t="s">
        <v>17895</v>
      </c>
      <c r="AF3633" t="s">
        <v>17896</v>
      </c>
      <c r="AG3633" t="s">
        <v>444</v>
      </c>
      <c r="AH3633">
        <v>1.4</v>
      </c>
      <c r="AI3633">
        <v>1.49</v>
      </c>
      <c r="AJ3633">
        <v>3.45</v>
      </c>
      <c r="AK3633">
        <v>6.05</v>
      </c>
      <c r="AL3633">
        <v>1</v>
      </c>
      <c r="AM3633">
        <v>2.66</v>
      </c>
      <c r="AN3633">
        <v>-9.46</v>
      </c>
      <c r="AO3633">
        <v>3.67</v>
      </c>
      <c r="AP3633">
        <v>-11.87</v>
      </c>
    </row>
    <row r="3634" spans="1:42">
      <c r="A3634">
        <v>3633</v>
      </c>
      <c r="B3634" t="str">
        <f>"872953"</f>
        <v>872953</v>
      </c>
      <c r="C3634" t="s">
        <v>17897</v>
      </c>
      <c r="D3634">
        <v>14.42</v>
      </c>
      <c r="E3634">
        <v>-3.67</v>
      </c>
      <c r="F3634">
        <v>-0.55</v>
      </c>
      <c r="G3634" t="s">
        <v>5746</v>
      </c>
      <c r="H3634">
        <v>424</v>
      </c>
      <c r="I3634">
        <v>14.4</v>
      </c>
      <c r="J3634">
        <v>14.42</v>
      </c>
      <c r="K3634" t="s">
        <v>17898</v>
      </c>
      <c r="L3634">
        <v>12.31</v>
      </c>
      <c r="M3634" t="s">
        <v>46</v>
      </c>
      <c r="N3634" t="s">
        <v>9321</v>
      </c>
      <c r="O3634">
        <v>15.45</v>
      </c>
      <c r="P3634">
        <v>14.21</v>
      </c>
      <c r="Q3634">
        <v>15.08</v>
      </c>
      <c r="R3634">
        <v>14.97</v>
      </c>
      <c r="S3634">
        <v>8.28</v>
      </c>
      <c r="T3634">
        <v>0.43</v>
      </c>
      <c r="U3634">
        <v>55.57</v>
      </c>
      <c r="V3634">
        <v>365</v>
      </c>
      <c r="W3634">
        <v>14.64</v>
      </c>
      <c r="X3634" t="s">
        <v>7656</v>
      </c>
      <c r="Y3634" t="s">
        <v>189</v>
      </c>
      <c r="Z3634">
        <v>1.26</v>
      </c>
      <c r="AA3634">
        <v>257</v>
      </c>
      <c r="AB3634">
        <v>26</v>
      </c>
      <c r="AC3634">
        <v>2.75</v>
      </c>
      <c r="AD3634" t="s">
        <v>17899</v>
      </c>
      <c r="AE3634" t="s">
        <v>8806</v>
      </c>
      <c r="AF3634" t="s">
        <v>17900</v>
      </c>
      <c r="AG3634" t="s">
        <v>12560</v>
      </c>
      <c r="AH3634">
        <v>-16.65</v>
      </c>
      <c r="AI3634">
        <v>-3.16</v>
      </c>
      <c r="AJ3634">
        <v>49.65</v>
      </c>
      <c r="AK3634">
        <v>154.45</v>
      </c>
      <c r="AL3634">
        <v>-4</v>
      </c>
      <c r="AM3634">
        <v>-3.67</v>
      </c>
      <c r="AN3634">
        <v>-22.6</v>
      </c>
      <c r="AO3634">
        <v>41.23</v>
      </c>
      <c r="AP3634">
        <v>-22.6</v>
      </c>
    </row>
    <row r="3635" spans="1:42">
      <c r="A3635">
        <v>3634</v>
      </c>
      <c r="B3635" t="str">
        <f>"300259"</f>
        <v>300259</v>
      </c>
      <c r="C3635" t="s">
        <v>17901</v>
      </c>
      <c r="D3635">
        <v>3.73</v>
      </c>
      <c r="E3635">
        <v>0.81</v>
      </c>
      <c r="F3635">
        <v>0.03</v>
      </c>
      <c r="G3635" t="s">
        <v>740</v>
      </c>
      <c r="H3635">
        <v>491</v>
      </c>
      <c r="I3635">
        <v>3.72</v>
      </c>
      <c r="J3635">
        <v>3.73</v>
      </c>
      <c r="K3635" t="s">
        <v>17898</v>
      </c>
      <c r="L3635">
        <v>0.89</v>
      </c>
      <c r="M3635" t="s">
        <v>46</v>
      </c>
      <c r="N3635" t="s">
        <v>1863</v>
      </c>
      <c r="O3635">
        <v>3.74</v>
      </c>
      <c r="P3635">
        <v>3.68</v>
      </c>
      <c r="Q3635">
        <v>3.72</v>
      </c>
      <c r="R3635">
        <v>3.7</v>
      </c>
      <c r="S3635">
        <v>1.62</v>
      </c>
      <c r="T3635">
        <v>1.01</v>
      </c>
      <c r="U3635">
        <v>-19.77</v>
      </c>
      <c r="V3635">
        <v>-2250</v>
      </c>
      <c r="W3635">
        <v>3.71</v>
      </c>
      <c r="X3635" t="s">
        <v>9326</v>
      </c>
      <c r="Y3635" t="s">
        <v>5055</v>
      </c>
      <c r="Z3635">
        <v>1.31</v>
      </c>
      <c r="AA3635">
        <v>594</v>
      </c>
      <c r="AB3635">
        <v>505</v>
      </c>
      <c r="AC3635">
        <v>1.55</v>
      </c>
      <c r="AD3635" t="s">
        <v>10871</v>
      </c>
      <c r="AE3635" t="s">
        <v>10981</v>
      </c>
      <c r="AF3635" t="s">
        <v>10871</v>
      </c>
      <c r="AG3635" t="s">
        <v>17902</v>
      </c>
      <c r="AH3635">
        <v>-0.8</v>
      </c>
      <c r="AI3635">
        <v>-1.32</v>
      </c>
      <c r="AJ3635">
        <v>2.73</v>
      </c>
      <c r="AK3635">
        <v>5.32</v>
      </c>
      <c r="AL3635">
        <v>1</v>
      </c>
      <c r="AM3635">
        <v>0.81</v>
      </c>
      <c r="AN3635">
        <v>17.67</v>
      </c>
      <c r="AO3635">
        <v>1.08</v>
      </c>
      <c r="AP3635">
        <v>11.34</v>
      </c>
    </row>
    <row r="3636" spans="1:42">
      <c r="A3636">
        <v>3635</v>
      </c>
      <c r="B3636" t="str">
        <f>"603966"</f>
        <v>603966</v>
      </c>
      <c r="C3636" t="s">
        <v>17903</v>
      </c>
      <c r="D3636">
        <v>8.26</v>
      </c>
      <c r="E3636">
        <v>-1.55</v>
      </c>
      <c r="F3636">
        <v>-0.13</v>
      </c>
      <c r="G3636" t="s">
        <v>7299</v>
      </c>
      <c r="H3636">
        <v>546</v>
      </c>
      <c r="I3636">
        <v>8.26</v>
      </c>
      <c r="J3636">
        <v>8.27</v>
      </c>
      <c r="K3636" t="s">
        <v>17904</v>
      </c>
      <c r="L3636">
        <v>1.3</v>
      </c>
      <c r="M3636" t="s">
        <v>46</v>
      </c>
      <c r="N3636" t="s">
        <v>4326</v>
      </c>
      <c r="O3636">
        <v>8.42</v>
      </c>
      <c r="P3636">
        <v>8.25</v>
      </c>
      <c r="Q3636">
        <v>8.39</v>
      </c>
      <c r="R3636">
        <v>8.39</v>
      </c>
      <c r="S3636">
        <v>2.03</v>
      </c>
      <c r="T3636">
        <v>1.08</v>
      </c>
      <c r="U3636">
        <v>13.63</v>
      </c>
      <c r="V3636">
        <v>328</v>
      </c>
      <c r="W3636">
        <v>8.3</v>
      </c>
      <c r="X3636" t="s">
        <v>8915</v>
      </c>
      <c r="Y3636" t="s">
        <v>8137</v>
      </c>
      <c r="Z3636">
        <v>1.83</v>
      </c>
      <c r="AA3636">
        <v>22</v>
      </c>
      <c r="AB3636">
        <v>124</v>
      </c>
      <c r="AC3636">
        <v>2.03</v>
      </c>
      <c r="AD3636" t="s">
        <v>17905</v>
      </c>
      <c r="AE3636" t="s">
        <v>17906</v>
      </c>
      <c r="AF3636" t="s">
        <v>17905</v>
      </c>
      <c r="AG3636" t="s">
        <v>17906</v>
      </c>
      <c r="AH3636">
        <v>-2.36</v>
      </c>
      <c r="AI3636">
        <v>-3.28</v>
      </c>
      <c r="AJ3636">
        <v>3.42</v>
      </c>
      <c r="AK3636">
        <v>7.3</v>
      </c>
      <c r="AL3636">
        <v>-3</v>
      </c>
      <c r="AM3636">
        <v>-1.55</v>
      </c>
      <c r="AN3636">
        <v>-10.61</v>
      </c>
      <c r="AO3636">
        <v>-0.24</v>
      </c>
      <c r="AP3636">
        <v>-22.22</v>
      </c>
    </row>
    <row r="3637" spans="1:42">
      <c r="A3637">
        <v>3636</v>
      </c>
      <c r="B3637" t="str">
        <f>"300828"</f>
        <v>300828</v>
      </c>
      <c r="C3637" t="s">
        <v>17907</v>
      </c>
      <c r="D3637">
        <v>16.7</v>
      </c>
      <c r="E3637">
        <v>-0.6</v>
      </c>
      <c r="F3637">
        <v>-0.1</v>
      </c>
      <c r="G3637" t="s">
        <v>5710</v>
      </c>
      <c r="H3637">
        <v>296</v>
      </c>
      <c r="I3637">
        <v>16.7</v>
      </c>
      <c r="J3637">
        <v>16.71</v>
      </c>
      <c r="K3637" t="s">
        <v>17908</v>
      </c>
      <c r="L3637">
        <v>1.89</v>
      </c>
      <c r="M3637" t="s">
        <v>46</v>
      </c>
      <c r="N3637" t="s">
        <v>2733</v>
      </c>
      <c r="O3637">
        <v>16.8</v>
      </c>
      <c r="P3637">
        <v>16.52</v>
      </c>
      <c r="Q3637">
        <v>16.79</v>
      </c>
      <c r="R3637">
        <v>16.8</v>
      </c>
      <c r="S3637">
        <v>1.67</v>
      </c>
      <c r="T3637">
        <v>0.63</v>
      </c>
      <c r="U3637">
        <v>-24.32</v>
      </c>
      <c r="V3637">
        <v>-112</v>
      </c>
      <c r="W3637">
        <v>16.66</v>
      </c>
      <c r="X3637" t="s">
        <v>2284</v>
      </c>
      <c r="Y3637" t="s">
        <v>189</v>
      </c>
      <c r="Z3637">
        <v>0.98</v>
      </c>
      <c r="AA3637">
        <v>25</v>
      </c>
      <c r="AB3637">
        <v>45</v>
      </c>
      <c r="AC3637">
        <v>3.6</v>
      </c>
      <c r="AD3637" t="s">
        <v>15125</v>
      </c>
      <c r="AE3637" t="s">
        <v>10193</v>
      </c>
      <c r="AF3637" t="s">
        <v>9062</v>
      </c>
      <c r="AG3637" t="s">
        <v>4606</v>
      </c>
      <c r="AH3637">
        <v>-1.07</v>
      </c>
      <c r="AI3637">
        <v>-0.54</v>
      </c>
      <c r="AJ3637">
        <v>6.32</v>
      </c>
      <c r="AK3637">
        <v>16.85</v>
      </c>
      <c r="AL3637">
        <v>-1</v>
      </c>
      <c r="AM3637">
        <v>-0.6</v>
      </c>
      <c r="AN3637">
        <v>29.36</v>
      </c>
      <c r="AO3637">
        <v>4.44</v>
      </c>
      <c r="AP3637">
        <v>14.31</v>
      </c>
    </row>
    <row r="3638" spans="1:42">
      <c r="A3638">
        <v>3637</v>
      </c>
      <c r="B3638" t="str">
        <f>"301036"</f>
        <v>301036</v>
      </c>
      <c r="C3638" t="s">
        <v>17909</v>
      </c>
      <c r="D3638">
        <v>22.67</v>
      </c>
      <c r="E3638">
        <v>-0.35</v>
      </c>
      <c r="F3638">
        <v>-0.08</v>
      </c>
      <c r="G3638" t="s">
        <v>1456</v>
      </c>
      <c r="H3638">
        <v>227</v>
      </c>
      <c r="I3638">
        <v>22.66</v>
      </c>
      <c r="J3638">
        <v>22.67</v>
      </c>
      <c r="K3638" t="s">
        <v>17910</v>
      </c>
      <c r="L3638">
        <v>4.26</v>
      </c>
      <c r="M3638" t="s">
        <v>46</v>
      </c>
      <c r="N3638" t="s">
        <v>5944</v>
      </c>
      <c r="O3638">
        <v>22.84</v>
      </c>
      <c r="P3638">
        <v>22.42</v>
      </c>
      <c r="Q3638">
        <v>22.82</v>
      </c>
      <c r="R3638">
        <v>22.75</v>
      </c>
      <c r="S3638">
        <v>1.85</v>
      </c>
      <c r="T3638">
        <v>0.79</v>
      </c>
      <c r="U3638">
        <v>-42.18</v>
      </c>
      <c r="V3638">
        <v>-114</v>
      </c>
      <c r="W3638">
        <v>22.57</v>
      </c>
      <c r="X3638">
        <v>8413</v>
      </c>
      <c r="Y3638">
        <v>8750</v>
      </c>
      <c r="Z3638">
        <v>0.96</v>
      </c>
      <c r="AA3638">
        <v>6</v>
      </c>
      <c r="AB3638">
        <v>7</v>
      </c>
      <c r="AC3638">
        <v>1.47</v>
      </c>
      <c r="AD3638" t="s">
        <v>5976</v>
      </c>
      <c r="AE3638" t="s">
        <v>10765</v>
      </c>
      <c r="AF3638" t="s">
        <v>17911</v>
      </c>
      <c r="AG3638" t="s">
        <v>17912</v>
      </c>
      <c r="AH3638">
        <v>-1.95</v>
      </c>
      <c r="AI3638">
        <v>-1.13</v>
      </c>
      <c r="AJ3638">
        <v>16.82</v>
      </c>
      <c r="AK3638">
        <v>31.35</v>
      </c>
      <c r="AL3638">
        <v>-2</v>
      </c>
      <c r="AM3638">
        <v>-0.35</v>
      </c>
      <c r="AN3638">
        <v>38.23</v>
      </c>
      <c r="AO3638">
        <v>0.4</v>
      </c>
      <c r="AP3638">
        <v>23.14</v>
      </c>
    </row>
    <row r="3639" spans="1:42">
      <c r="A3639">
        <v>3638</v>
      </c>
      <c r="B3639" t="str">
        <f>"002835"</f>
        <v>002835</v>
      </c>
      <c r="C3639" t="s">
        <v>17913</v>
      </c>
      <c r="D3639">
        <v>17.72</v>
      </c>
      <c r="E3639">
        <v>1.2</v>
      </c>
      <c r="F3639">
        <v>0.21</v>
      </c>
      <c r="G3639" t="s">
        <v>731</v>
      </c>
      <c r="H3639">
        <v>159</v>
      </c>
      <c r="I3639">
        <v>17.72</v>
      </c>
      <c r="J3639">
        <v>17.73</v>
      </c>
      <c r="K3639" t="s">
        <v>17914</v>
      </c>
      <c r="L3639">
        <v>1.73</v>
      </c>
      <c r="M3639" t="s">
        <v>46</v>
      </c>
      <c r="N3639" t="s">
        <v>14836</v>
      </c>
      <c r="O3639">
        <v>17.77</v>
      </c>
      <c r="P3639">
        <v>17.31</v>
      </c>
      <c r="Q3639">
        <v>17.36</v>
      </c>
      <c r="R3639">
        <v>17.51</v>
      </c>
      <c r="S3639">
        <v>2.63</v>
      </c>
      <c r="T3639">
        <v>1.04</v>
      </c>
      <c r="U3639">
        <v>-26.27</v>
      </c>
      <c r="V3639">
        <v>-233</v>
      </c>
      <c r="W3639">
        <v>17.55</v>
      </c>
      <c r="X3639">
        <v>9654</v>
      </c>
      <c r="Y3639" t="s">
        <v>905</v>
      </c>
      <c r="Z3639">
        <v>0.78</v>
      </c>
      <c r="AA3639">
        <v>30</v>
      </c>
      <c r="AB3639">
        <v>162</v>
      </c>
      <c r="AC3639">
        <v>3.96</v>
      </c>
      <c r="AD3639" t="s">
        <v>11717</v>
      </c>
      <c r="AE3639" t="s">
        <v>10148</v>
      </c>
      <c r="AF3639" t="s">
        <v>17915</v>
      </c>
      <c r="AG3639" t="s">
        <v>17916</v>
      </c>
      <c r="AH3639">
        <v>-0.06</v>
      </c>
      <c r="AI3639">
        <v>-0.45</v>
      </c>
      <c r="AJ3639">
        <v>5.35</v>
      </c>
      <c r="AK3639">
        <v>10.07</v>
      </c>
      <c r="AL3639">
        <v>1</v>
      </c>
      <c r="AM3639">
        <v>1.2</v>
      </c>
      <c r="AN3639">
        <v>72.04</v>
      </c>
      <c r="AO3639">
        <v>6.17</v>
      </c>
      <c r="AP3639">
        <v>44.3</v>
      </c>
    </row>
    <row r="3640" spans="1:42">
      <c r="A3640">
        <v>3639</v>
      </c>
      <c r="B3640" t="str">
        <f>"300486"</f>
        <v>300486</v>
      </c>
      <c r="C3640" t="s">
        <v>17917</v>
      </c>
      <c r="D3640">
        <v>7.07</v>
      </c>
      <c r="E3640">
        <v>0.28</v>
      </c>
      <c r="F3640">
        <v>0.02</v>
      </c>
      <c r="G3640" t="s">
        <v>5466</v>
      </c>
      <c r="H3640">
        <v>349</v>
      </c>
      <c r="I3640">
        <v>7.06</v>
      </c>
      <c r="J3640">
        <v>7.07</v>
      </c>
      <c r="K3640" t="s">
        <v>17918</v>
      </c>
      <c r="L3640">
        <v>1.4</v>
      </c>
      <c r="M3640" t="s">
        <v>46</v>
      </c>
      <c r="N3640" t="s">
        <v>2493</v>
      </c>
      <c r="O3640">
        <v>7.12</v>
      </c>
      <c r="P3640">
        <v>6.99</v>
      </c>
      <c r="Q3640">
        <v>7.06</v>
      </c>
      <c r="R3640">
        <v>7.05</v>
      </c>
      <c r="S3640">
        <v>1.84</v>
      </c>
      <c r="T3640">
        <v>0.9</v>
      </c>
      <c r="U3640">
        <v>1.56</v>
      </c>
      <c r="V3640">
        <v>48</v>
      </c>
      <c r="W3640">
        <v>7.04</v>
      </c>
      <c r="X3640" t="s">
        <v>6395</v>
      </c>
      <c r="Y3640" t="s">
        <v>1077</v>
      </c>
      <c r="Z3640">
        <v>1.13</v>
      </c>
      <c r="AA3640">
        <v>351</v>
      </c>
      <c r="AB3640">
        <v>16</v>
      </c>
      <c r="AC3640">
        <v>1.84</v>
      </c>
      <c r="AD3640" t="s">
        <v>15364</v>
      </c>
      <c r="AE3640" t="s">
        <v>17533</v>
      </c>
      <c r="AF3640" t="s">
        <v>17919</v>
      </c>
      <c r="AG3640" t="s">
        <v>15723</v>
      </c>
      <c r="AH3640">
        <v>-1.81</v>
      </c>
      <c r="AI3640">
        <v>-2.35</v>
      </c>
      <c r="AJ3640">
        <v>4.36</v>
      </c>
      <c r="AK3640">
        <v>9.23</v>
      </c>
      <c r="AL3640">
        <v>1</v>
      </c>
      <c r="AM3640">
        <v>0.28</v>
      </c>
      <c r="AN3640">
        <v>-13.89</v>
      </c>
      <c r="AO3640">
        <v>-1.26</v>
      </c>
      <c r="AP3640">
        <v>-18.45</v>
      </c>
    </row>
    <row r="3641" spans="1:42">
      <c r="A3641">
        <v>3640</v>
      </c>
      <c r="B3641" t="str">
        <f>"603055"</f>
        <v>603055</v>
      </c>
      <c r="C3641" t="s">
        <v>17920</v>
      </c>
      <c r="D3641">
        <v>11.95</v>
      </c>
      <c r="E3641">
        <v>-1.81</v>
      </c>
      <c r="F3641">
        <v>-0.22</v>
      </c>
      <c r="G3641" t="s">
        <v>6431</v>
      </c>
      <c r="H3641">
        <v>41</v>
      </c>
      <c r="I3641">
        <v>11.95</v>
      </c>
      <c r="J3641">
        <v>11.99</v>
      </c>
      <c r="K3641" t="s">
        <v>17918</v>
      </c>
      <c r="L3641">
        <v>0.36</v>
      </c>
      <c r="M3641" t="s">
        <v>46</v>
      </c>
      <c r="N3641" t="s">
        <v>4490</v>
      </c>
      <c r="O3641">
        <v>12.23</v>
      </c>
      <c r="P3641">
        <v>11.94</v>
      </c>
      <c r="Q3641">
        <v>12.23</v>
      </c>
      <c r="R3641">
        <v>12.17</v>
      </c>
      <c r="S3641">
        <v>2.38</v>
      </c>
      <c r="T3641">
        <v>0.47</v>
      </c>
      <c r="U3641">
        <v>56.46</v>
      </c>
      <c r="V3641">
        <v>636</v>
      </c>
      <c r="W3641">
        <v>12.06</v>
      </c>
      <c r="X3641" t="s">
        <v>1456</v>
      </c>
      <c r="Y3641" t="s">
        <v>6595</v>
      </c>
      <c r="Z3641">
        <v>1.15</v>
      </c>
      <c r="AA3641">
        <v>85</v>
      </c>
      <c r="AB3641">
        <v>110</v>
      </c>
      <c r="AC3641">
        <v>2.49</v>
      </c>
      <c r="AD3641" t="s">
        <v>17921</v>
      </c>
      <c r="AE3641" t="s">
        <v>8881</v>
      </c>
      <c r="AF3641" t="s">
        <v>17922</v>
      </c>
      <c r="AG3641" t="s">
        <v>17923</v>
      </c>
      <c r="AH3641">
        <v>-1.65</v>
      </c>
      <c r="AI3641">
        <v>-4.25</v>
      </c>
      <c r="AJ3641">
        <v>1.23</v>
      </c>
      <c r="AK3641">
        <v>4.18</v>
      </c>
      <c r="AL3641">
        <v>-2</v>
      </c>
      <c r="AM3641">
        <v>-1.81</v>
      </c>
      <c r="AN3641">
        <v>19.5</v>
      </c>
      <c r="AO3641">
        <v>-3.94</v>
      </c>
      <c r="AP3641">
        <v>25</v>
      </c>
    </row>
    <row r="3642" spans="1:42">
      <c r="A3642">
        <v>3641</v>
      </c>
      <c r="B3642" t="str">
        <f>"603678"</f>
        <v>603678</v>
      </c>
      <c r="C3642" t="s">
        <v>17924</v>
      </c>
      <c r="D3642">
        <v>27.34</v>
      </c>
      <c r="E3642">
        <v>0.51</v>
      </c>
      <c r="F3642">
        <v>0.14</v>
      </c>
      <c r="G3642" t="s">
        <v>4105</v>
      </c>
      <c r="H3642">
        <v>106</v>
      </c>
      <c r="I3642">
        <v>27.34</v>
      </c>
      <c r="J3642">
        <v>27.35</v>
      </c>
      <c r="K3642" t="s">
        <v>17925</v>
      </c>
      <c r="L3642">
        <v>0.31</v>
      </c>
      <c r="M3642" t="s">
        <v>46</v>
      </c>
      <c r="N3642" t="s">
        <v>5862</v>
      </c>
      <c r="O3642">
        <v>27.45</v>
      </c>
      <c r="P3642">
        <v>27.15</v>
      </c>
      <c r="Q3642">
        <v>27.2</v>
      </c>
      <c r="R3642">
        <v>27.2</v>
      </c>
      <c r="S3642">
        <v>1.1</v>
      </c>
      <c r="T3642">
        <v>0.7</v>
      </c>
      <c r="U3642">
        <v>79.19</v>
      </c>
      <c r="V3642">
        <v>624</v>
      </c>
      <c r="W3642">
        <v>27.31</v>
      </c>
      <c r="X3642">
        <v>7042</v>
      </c>
      <c r="Y3642">
        <v>7117</v>
      </c>
      <c r="Z3642">
        <v>0.99</v>
      </c>
      <c r="AA3642">
        <v>56</v>
      </c>
      <c r="AB3642">
        <v>9</v>
      </c>
      <c r="AC3642">
        <v>2.36</v>
      </c>
      <c r="AD3642" t="s">
        <v>17926</v>
      </c>
      <c r="AE3642" t="s">
        <v>7927</v>
      </c>
      <c r="AF3642" t="s">
        <v>17926</v>
      </c>
      <c r="AG3642" t="s">
        <v>7927</v>
      </c>
      <c r="AH3642">
        <v>-1.12</v>
      </c>
      <c r="AI3642">
        <v>-1.69</v>
      </c>
      <c r="AJ3642">
        <v>1.44</v>
      </c>
      <c r="AK3642">
        <v>2.52</v>
      </c>
      <c r="AL3642">
        <v>1</v>
      </c>
      <c r="AM3642">
        <v>0.51</v>
      </c>
      <c r="AN3642">
        <v>-32.64</v>
      </c>
      <c r="AO3642">
        <v>-0.58</v>
      </c>
      <c r="AP3642">
        <v>-35.97</v>
      </c>
    </row>
    <row r="3643" spans="1:42">
      <c r="A3643">
        <v>3642</v>
      </c>
      <c r="B3643" t="str">
        <f>"002740"</f>
        <v>002740</v>
      </c>
      <c r="C3643" t="s">
        <v>17927</v>
      </c>
      <c r="D3643">
        <v>1.41</v>
      </c>
      <c r="E3643">
        <v>5.22</v>
      </c>
      <c r="F3643">
        <v>0.07</v>
      </c>
      <c r="G3643" t="s">
        <v>3512</v>
      </c>
      <c r="H3643">
        <v>1311</v>
      </c>
      <c r="I3643">
        <v>1.4</v>
      </c>
      <c r="J3643">
        <v>1.41</v>
      </c>
      <c r="K3643" t="s">
        <v>17928</v>
      </c>
      <c r="L3643">
        <v>6.79</v>
      </c>
      <c r="M3643" t="s">
        <v>46</v>
      </c>
      <c r="N3643" t="s">
        <v>7077</v>
      </c>
      <c r="O3643">
        <v>1.41</v>
      </c>
      <c r="P3643">
        <v>1.29</v>
      </c>
      <c r="Q3643">
        <v>1.33</v>
      </c>
      <c r="R3643">
        <v>1.34</v>
      </c>
      <c r="S3643">
        <v>8.96</v>
      </c>
      <c r="T3643">
        <v>0.95</v>
      </c>
      <c r="U3643">
        <v>16.97</v>
      </c>
      <c r="V3643">
        <v>3520</v>
      </c>
      <c r="W3643">
        <v>1.38</v>
      </c>
      <c r="X3643" t="s">
        <v>784</v>
      </c>
      <c r="Y3643" t="s">
        <v>3385</v>
      </c>
      <c r="Z3643">
        <v>0.97</v>
      </c>
      <c r="AA3643">
        <v>1408</v>
      </c>
      <c r="AB3643">
        <v>8610</v>
      </c>
      <c r="AC3643">
        <v>-0.82</v>
      </c>
      <c r="AD3643" t="s">
        <v>10973</v>
      </c>
      <c r="AE3643" t="s">
        <v>17929</v>
      </c>
      <c r="AF3643" t="s">
        <v>17930</v>
      </c>
      <c r="AG3643" t="s">
        <v>9962</v>
      </c>
      <c r="AH3643">
        <v>-2.08</v>
      </c>
      <c r="AI3643">
        <v>-5.37</v>
      </c>
      <c r="AJ3643">
        <v>20.83</v>
      </c>
      <c r="AK3643">
        <v>42.45</v>
      </c>
      <c r="AL3643">
        <v>1</v>
      </c>
      <c r="AM3643">
        <v>5.22</v>
      </c>
      <c r="AN3643">
        <v>-53.77</v>
      </c>
      <c r="AO3643">
        <v>-23.37</v>
      </c>
      <c r="AP3643">
        <v>-58.04</v>
      </c>
    </row>
    <row r="3644" spans="1:42">
      <c r="A3644">
        <v>3643</v>
      </c>
      <c r="B3644" t="str">
        <f>"002021"</f>
        <v>002021</v>
      </c>
      <c r="C3644" t="s">
        <v>17931</v>
      </c>
      <c r="D3644">
        <v>2.3</v>
      </c>
      <c r="E3644">
        <v>-1.29</v>
      </c>
      <c r="F3644">
        <v>-0.03</v>
      </c>
      <c r="G3644" t="s">
        <v>1245</v>
      </c>
      <c r="H3644">
        <v>3321</v>
      </c>
      <c r="I3644">
        <v>2.3</v>
      </c>
      <c r="J3644">
        <v>2.31</v>
      </c>
      <c r="K3644" t="s">
        <v>17928</v>
      </c>
      <c r="L3644">
        <v>2.44</v>
      </c>
      <c r="M3644" t="s">
        <v>46</v>
      </c>
      <c r="N3644" t="s">
        <v>1244</v>
      </c>
      <c r="O3644">
        <v>2.34</v>
      </c>
      <c r="P3644">
        <v>2.26</v>
      </c>
      <c r="Q3644">
        <v>2.33</v>
      </c>
      <c r="R3644">
        <v>2.33</v>
      </c>
      <c r="S3644">
        <v>3.43</v>
      </c>
      <c r="T3644">
        <v>0.53</v>
      </c>
      <c r="U3644">
        <v>-15.93</v>
      </c>
      <c r="V3644">
        <v>-4922</v>
      </c>
      <c r="W3644">
        <v>2.3</v>
      </c>
      <c r="X3644" t="s">
        <v>3540</v>
      </c>
      <c r="Y3644" t="s">
        <v>6691</v>
      </c>
      <c r="Z3644">
        <v>1.23</v>
      </c>
      <c r="AA3644">
        <v>2656</v>
      </c>
      <c r="AB3644">
        <v>2074</v>
      </c>
      <c r="AC3644">
        <v>-5.15</v>
      </c>
      <c r="AD3644" t="s">
        <v>17932</v>
      </c>
      <c r="AE3644" t="s">
        <v>16794</v>
      </c>
      <c r="AF3644" t="s">
        <v>17932</v>
      </c>
      <c r="AG3644" t="s">
        <v>16794</v>
      </c>
      <c r="AH3644">
        <v>-2.95</v>
      </c>
      <c r="AI3644">
        <v>10.58</v>
      </c>
      <c r="AJ3644">
        <v>11.35</v>
      </c>
      <c r="AK3644">
        <v>25.47</v>
      </c>
      <c r="AL3644">
        <v>-3</v>
      </c>
      <c r="AM3644">
        <v>-1.29</v>
      </c>
      <c r="AN3644">
        <v>17.35</v>
      </c>
      <c r="AO3644">
        <v>4.07</v>
      </c>
      <c r="AP3644">
        <v>9.52</v>
      </c>
    </row>
    <row r="3645" spans="1:42">
      <c r="A3645">
        <v>3644</v>
      </c>
      <c r="B3645" t="str">
        <f>"601188"</f>
        <v>601188</v>
      </c>
      <c r="C3645" t="s">
        <v>17933</v>
      </c>
      <c r="D3645">
        <v>3.78</v>
      </c>
      <c r="E3645">
        <v>1.07</v>
      </c>
      <c r="F3645">
        <v>0.04</v>
      </c>
      <c r="G3645" t="s">
        <v>1499</v>
      </c>
      <c r="H3645">
        <v>1594</v>
      </c>
      <c r="I3645">
        <v>3.78</v>
      </c>
      <c r="J3645">
        <v>3.79</v>
      </c>
      <c r="K3645" t="s">
        <v>17934</v>
      </c>
      <c r="L3645">
        <v>0.78</v>
      </c>
      <c r="M3645" t="s">
        <v>46</v>
      </c>
      <c r="N3645" t="s">
        <v>2974</v>
      </c>
      <c r="O3645">
        <v>3.8</v>
      </c>
      <c r="P3645">
        <v>3.73</v>
      </c>
      <c r="Q3645">
        <v>3.73</v>
      </c>
      <c r="R3645">
        <v>3.74</v>
      </c>
      <c r="S3645">
        <v>1.87</v>
      </c>
      <c r="T3645">
        <v>0.84</v>
      </c>
      <c r="U3645">
        <v>-56.81</v>
      </c>
      <c r="V3645" t="s">
        <v>5348</v>
      </c>
      <c r="W3645">
        <v>3.78</v>
      </c>
      <c r="X3645" t="s">
        <v>9059</v>
      </c>
      <c r="Y3645" t="s">
        <v>4009</v>
      </c>
      <c r="Z3645">
        <v>1.01</v>
      </c>
      <c r="AA3645">
        <v>50</v>
      </c>
      <c r="AB3645">
        <v>2723</v>
      </c>
      <c r="AC3645">
        <v>1.08</v>
      </c>
      <c r="AD3645" t="s">
        <v>5799</v>
      </c>
      <c r="AE3645" t="s">
        <v>9958</v>
      </c>
      <c r="AF3645" t="s">
        <v>5799</v>
      </c>
      <c r="AG3645" t="s">
        <v>9958</v>
      </c>
      <c r="AH3645">
        <v>-1.05</v>
      </c>
      <c r="AI3645">
        <v>-2.58</v>
      </c>
      <c r="AJ3645">
        <v>2.39</v>
      </c>
      <c r="AK3645">
        <v>5.43</v>
      </c>
      <c r="AL3645">
        <v>1</v>
      </c>
      <c r="AM3645">
        <v>1.07</v>
      </c>
      <c r="AN3645">
        <v>20.38</v>
      </c>
      <c r="AO3645">
        <v>-0.79</v>
      </c>
      <c r="AP3645">
        <v>30.8</v>
      </c>
    </row>
    <row r="3646" spans="1:42">
      <c r="A3646">
        <v>3645</v>
      </c>
      <c r="B3646" t="str">
        <f>"300652"</f>
        <v>300652</v>
      </c>
      <c r="C3646" t="s">
        <v>17935</v>
      </c>
      <c r="D3646">
        <v>26.2</v>
      </c>
      <c r="E3646">
        <v>-1.06</v>
      </c>
      <c r="F3646">
        <v>-0.28</v>
      </c>
      <c r="G3646" t="s">
        <v>7836</v>
      </c>
      <c r="H3646">
        <v>72</v>
      </c>
      <c r="I3646">
        <v>26.2</v>
      </c>
      <c r="J3646">
        <v>26.21</v>
      </c>
      <c r="K3646" t="s">
        <v>17936</v>
      </c>
      <c r="L3646">
        <v>1.59</v>
      </c>
      <c r="M3646" t="s">
        <v>46</v>
      </c>
      <c r="N3646" t="s">
        <v>3083</v>
      </c>
      <c r="O3646">
        <v>27</v>
      </c>
      <c r="P3646">
        <v>26.07</v>
      </c>
      <c r="Q3646">
        <v>26.59</v>
      </c>
      <c r="R3646">
        <v>26.48</v>
      </c>
      <c r="S3646">
        <v>3.51</v>
      </c>
      <c r="T3646">
        <v>0.78</v>
      </c>
      <c r="U3646">
        <v>-2.04</v>
      </c>
      <c r="V3646">
        <v>-3</v>
      </c>
      <c r="W3646">
        <v>26.37</v>
      </c>
      <c r="X3646">
        <v>7495</v>
      </c>
      <c r="Y3646">
        <v>7153</v>
      </c>
      <c r="Z3646">
        <v>1.05</v>
      </c>
      <c r="AA3646">
        <v>2</v>
      </c>
      <c r="AB3646">
        <v>3</v>
      </c>
      <c r="AC3646">
        <v>2.08</v>
      </c>
      <c r="AD3646" t="s">
        <v>17937</v>
      </c>
      <c r="AE3646" t="s">
        <v>17938</v>
      </c>
      <c r="AF3646" t="s">
        <v>17939</v>
      </c>
      <c r="AG3646" t="s">
        <v>14516</v>
      </c>
      <c r="AH3646">
        <v>-3.64</v>
      </c>
      <c r="AI3646">
        <v>-2.09</v>
      </c>
      <c r="AJ3646">
        <v>5.04</v>
      </c>
      <c r="AK3646">
        <v>11.79</v>
      </c>
      <c r="AL3646">
        <v>-3</v>
      </c>
      <c r="AM3646">
        <v>-1.06</v>
      </c>
      <c r="AN3646">
        <v>29.06</v>
      </c>
      <c r="AO3646">
        <v>6.07</v>
      </c>
      <c r="AP3646">
        <v>9.35</v>
      </c>
    </row>
    <row r="3647" spans="1:42">
      <c r="A3647">
        <v>3646</v>
      </c>
      <c r="B3647" t="str">
        <f>"603992"</f>
        <v>603992</v>
      </c>
      <c r="C3647" t="s">
        <v>17940</v>
      </c>
      <c r="D3647">
        <v>17.89</v>
      </c>
      <c r="E3647">
        <v>0</v>
      </c>
      <c r="F3647">
        <v>0</v>
      </c>
      <c r="G3647" t="s">
        <v>1520</v>
      </c>
      <c r="H3647">
        <v>263</v>
      </c>
      <c r="I3647">
        <v>17.88</v>
      </c>
      <c r="J3647">
        <v>17.89</v>
      </c>
      <c r="K3647" t="s">
        <v>17936</v>
      </c>
      <c r="L3647">
        <v>0.54</v>
      </c>
      <c r="M3647" t="s">
        <v>46</v>
      </c>
      <c r="N3647" t="s">
        <v>3039</v>
      </c>
      <c r="O3647">
        <v>18.15</v>
      </c>
      <c r="P3647">
        <v>17.65</v>
      </c>
      <c r="Q3647">
        <v>18.07</v>
      </c>
      <c r="R3647">
        <v>17.89</v>
      </c>
      <c r="S3647">
        <v>2.79</v>
      </c>
      <c r="T3647">
        <v>1.08</v>
      </c>
      <c r="U3647">
        <v>-15.38</v>
      </c>
      <c r="V3647">
        <v>-44</v>
      </c>
      <c r="W3647">
        <v>17.89</v>
      </c>
      <c r="X3647" t="s">
        <v>2667</v>
      </c>
      <c r="Y3647" t="s">
        <v>1646</v>
      </c>
      <c r="Z3647">
        <v>1.12</v>
      </c>
      <c r="AA3647">
        <v>97</v>
      </c>
      <c r="AB3647">
        <v>57</v>
      </c>
      <c r="AC3647">
        <v>3.16</v>
      </c>
      <c r="AD3647" t="s">
        <v>945</v>
      </c>
      <c r="AE3647" t="s">
        <v>17941</v>
      </c>
      <c r="AF3647" t="s">
        <v>945</v>
      </c>
      <c r="AG3647" t="s">
        <v>17941</v>
      </c>
      <c r="AH3647">
        <v>1.47</v>
      </c>
      <c r="AI3647">
        <v>-0.33</v>
      </c>
      <c r="AJ3647">
        <v>1.3</v>
      </c>
      <c r="AK3647">
        <v>3.04</v>
      </c>
      <c r="AL3647">
        <v>0</v>
      </c>
      <c r="AM3647">
        <v>0</v>
      </c>
      <c r="AN3647">
        <v>16.62</v>
      </c>
      <c r="AO3647">
        <v>17.85</v>
      </c>
      <c r="AP3647">
        <v>23.04</v>
      </c>
    </row>
    <row r="3648" spans="1:42">
      <c r="A3648">
        <v>3647</v>
      </c>
      <c r="B3648" t="str">
        <f>"688280"</f>
        <v>688280</v>
      </c>
      <c r="C3648" t="s">
        <v>17942</v>
      </c>
      <c r="D3648">
        <v>8.4</v>
      </c>
      <c r="E3648">
        <v>-1.06</v>
      </c>
      <c r="F3648">
        <v>-0.09</v>
      </c>
      <c r="G3648" t="s">
        <v>5645</v>
      </c>
      <c r="H3648">
        <v>422</v>
      </c>
      <c r="I3648">
        <v>8.4</v>
      </c>
      <c r="J3648">
        <v>8.41</v>
      </c>
      <c r="K3648" t="s">
        <v>17943</v>
      </c>
      <c r="L3648">
        <v>1</v>
      </c>
      <c r="M3648" t="s">
        <v>46</v>
      </c>
      <c r="N3648" t="s">
        <v>1788</v>
      </c>
      <c r="O3648">
        <v>8.63</v>
      </c>
      <c r="P3648">
        <v>8.35</v>
      </c>
      <c r="Q3648">
        <v>8.49</v>
      </c>
      <c r="R3648">
        <v>8.49</v>
      </c>
      <c r="S3648">
        <v>3.3</v>
      </c>
      <c r="T3648">
        <v>0.82</v>
      </c>
      <c r="U3648">
        <v>-10.23</v>
      </c>
      <c r="V3648">
        <v>-232</v>
      </c>
      <c r="W3648">
        <v>8.42</v>
      </c>
      <c r="X3648" t="s">
        <v>3456</v>
      </c>
      <c r="Y3648" t="s">
        <v>5578</v>
      </c>
      <c r="Z3648">
        <v>1.43</v>
      </c>
      <c r="AA3648">
        <v>203</v>
      </c>
      <c r="AB3648">
        <v>56</v>
      </c>
      <c r="AC3648">
        <v>3.95</v>
      </c>
      <c r="AD3648" t="s">
        <v>17944</v>
      </c>
      <c r="AE3648" t="s">
        <v>10153</v>
      </c>
      <c r="AF3648" t="s">
        <v>17945</v>
      </c>
      <c r="AG3648" t="s">
        <v>13613</v>
      </c>
      <c r="AH3648">
        <v>-2.89</v>
      </c>
      <c r="AI3648">
        <v>-1.98</v>
      </c>
      <c r="AJ3648">
        <v>4.38</v>
      </c>
      <c r="AK3648">
        <v>7.1</v>
      </c>
      <c r="AL3648">
        <v>-2</v>
      </c>
      <c r="AM3648">
        <v>-1.06</v>
      </c>
      <c r="AN3648">
        <v>6.33</v>
      </c>
      <c r="AO3648">
        <v>5.66</v>
      </c>
      <c r="AP3648">
        <v>-6.04</v>
      </c>
    </row>
    <row r="3649" spans="1:42">
      <c r="A3649">
        <v>3648</v>
      </c>
      <c r="B3649" t="str">
        <f>"603387"</f>
        <v>603387</v>
      </c>
      <c r="C3649" t="s">
        <v>17946</v>
      </c>
      <c r="D3649">
        <v>11.77</v>
      </c>
      <c r="E3649">
        <v>0.26</v>
      </c>
      <c r="F3649">
        <v>0.03</v>
      </c>
      <c r="G3649" t="s">
        <v>7679</v>
      </c>
      <c r="H3649">
        <v>212</v>
      </c>
      <c r="I3649">
        <v>11.77</v>
      </c>
      <c r="J3649">
        <v>11.79</v>
      </c>
      <c r="K3649" t="s">
        <v>17947</v>
      </c>
      <c r="L3649">
        <v>0.65</v>
      </c>
      <c r="M3649" t="s">
        <v>46</v>
      </c>
      <c r="N3649" t="s">
        <v>6876</v>
      </c>
      <c r="O3649">
        <v>11.87</v>
      </c>
      <c r="P3649">
        <v>11.7</v>
      </c>
      <c r="Q3649">
        <v>11.74</v>
      </c>
      <c r="R3649">
        <v>11.74</v>
      </c>
      <c r="S3649">
        <v>1.45</v>
      </c>
      <c r="T3649">
        <v>0.62</v>
      </c>
      <c r="U3649">
        <v>-10.59</v>
      </c>
      <c r="V3649">
        <v>-158</v>
      </c>
      <c r="W3649">
        <v>11.77</v>
      </c>
      <c r="X3649" t="s">
        <v>3165</v>
      </c>
      <c r="Y3649" t="s">
        <v>2371</v>
      </c>
      <c r="Z3649">
        <v>1.17</v>
      </c>
      <c r="AA3649">
        <v>66</v>
      </c>
      <c r="AB3649">
        <v>119</v>
      </c>
      <c r="AC3649">
        <v>2.38</v>
      </c>
      <c r="AD3649" t="s">
        <v>12504</v>
      </c>
      <c r="AE3649" t="s">
        <v>17948</v>
      </c>
      <c r="AF3649" t="s">
        <v>12504</v>
      </c>
      <c r="AG3649" t="s">
        <v>17948</v>
      </c>
      <c r="AH3649">
        <v>-0.59</v>
      </c>
      <c r="AI3649">
        <v>-2</v>
      </c>
      <c r="AJ3649">
        <v>2.4</v>
      </c>
      <c r="AK3649">
        <v>5.83</v>
      </c>
      <c r="AL3649">
        <v>2</v>
      </c>
      <c r="AM3649">
        <v>0.26</v>
      </c>
      <c r="AN3649">
        <v>-2.73</v>
      </c>
      <c r="AO3649">
        <v>3.88</v>
      </c>
      <c r="AP3649">
        <v>-10.02</v>
      </c>
    </row>
    <row r="3650" spans="1:42">
      <c r="A3650">
        <v>3649</v>
      </c>
      <c r="B3650" t="str">
        <f>"603090"</f>
        <v>603090</v>
      </c>
      <c r="C3650" t="s">
        <v>17949</v>
      </c>
      <c r="D3650">
        <v>22.05</v>
      </c>
      <c r="E3650">
        <v>0.41</v>
      </c>
      <c r="F3650">
        <v>0.09</v>
      </c>
      <c r="G3650" t="s">
        <v>2575</v>
      </c>
      <c r="H3650">
        <v>228</v>
      </c>
      <c r="I3650">
        <v>22.05</v>
      </c>
      <c r="J3650">
        <v>22.06</v>
      </c>
      <c r="K3650" t="s">
        <v>17950</v>
      </c>
      <c r="L3650">
        <v>1.75</v>
      </c>
      <c r="M3650" t="s">
        <v>46</v>
      </c>
      <c r="N3650" t="s">
        <v>2603</v>
      </c>
      <c r="O3650">
        <v>22.19</v>
      </c>
      <c r="P3650">
        <v>21.87</v>
      </c>
      <c r="Q3650">
        <v>21.87</v>
      </c>
      <c r="R3650">
        <v>21.96</v>
      </c>
      <c r="S3650">
        <v>1.46</v>
      </c>
      <c r="T3650">
        <v>0.46</v>
      </c>
      <c r="U3650">
        <v>15.96</v>
      </c>
      <c r="V3650">
        <v>106</v>
      </c>
      <c r="W3650">
        <v>22.06</v>
      </c>
      <c r="X3650">
        <v>7308</v>
      </c>
      <c r="Y3650" t="s">
        <v>1646</v>
      </c>
      <c r="Z3650">
        <v>0.72</v>
      </c>
      <c r="AA3650">
        <v>250</v>
      </c>
      <c r="AB3650">
        <v>8</v>
      </c>
      <c r="AC3650">
        <v>3.92</v>
      </c>
      <c r="AD3650" t="s">
        <v>5976</v>
      </c>
      <c r="AE3650" t="s">
        <v>14327</v>
      </c>
      <c r="AF3650" t="s">
        <v>5976</v>
      </c>
      <c r="AG3650" t="s">
        <v>14327</v>
      </c>
      <c r="AH3650">
        <v>-0.27</v>
      </c>
      <c r="AI3650">
        <v>-5.32</v>
      </c>
      <c r="AJ3650">
        <v>7.18</v>
      </c>
      <c r="AK3650">
        <v>20.69</v>
      </c>
      <c r="AL3650">
        <v>1</v>
      </c>
      <c r="AM3650">
        <v>0.41</v>
      </c>
      <c r="AN3650">
        <v>-19.64</v>
      </c>
      <c r="AO3650">
        <v>6.52</v>
      </c>
      <c r="AP3650">
        <v>-22.36</v>
      </c>
    </row>
    <row r="3651" spans="1:42">
      <c r="A3651">
        <v>3650</v>
      </c>
      <c r="B3651" t="str">
        <f>"300908"</f>
        <v>300908</v>
      </c>
      <c r="C3651" t="s">
        <v>17951</v>
      </c>
      <c r="D3651">
        <v>44.33</v>
      </c>
      <c r="E3651">
        <v>0.89</v>
      </c>
      <c r="F3651">
        <v>0.39</v>
      </c>
      <c r="G3651">
        <v>8716</v>
      </c>
      <c r="H3651">
        <v>75</v>
      </c>
      <c r="I3651">
        <v>44.3</v>
      </c>
      <c r="J3651">
        <v>44.33</v>
      </c>
      <c r="K3651" t="s">
        <v>17950</v>
      </c>
      <c r="L3651">
        <v>1.05</v>
      </c>
      <c r="M3651" t="s">
        <v>46</v>
      </c>
      <c r="N3651" t="s">
        <v>6788</v>
      </c>
      <c r="O3651">
        <v>44.49</v>
      </c>
      <c r="P3651">
        <v>43.81</v>
      </c>
      <c r="Q3651">
        <v>44.01</v>
      </c>
      <c r="R3651">
        <v>43.94</v>
      </c>
      <c r="S3651">
        <v>1.55</v>
      </c>
      <c r="T3651">
        <v>1.1</v>
      </c>
      <c r="U3651">
        <v>30.23</v>
      </c>
      <c r="V3651">
        <v>52</v>
      </c>
      <c r="W3651">
        <v>44.24</v>
      </c>
      <c r="X3651">
        <v>4142</v>
      </c>
      <c r="Y3651">
        <v>4574</v>
      </c>
      <c r="Z3651">
        <v>0.91</v>
      </c>
      <c r="AA3651">
        <v>1</v>
      </c>
      <c r="AB3651">
        <v>7</v>
      </c>
      <c r="AC3651">
        <v>2.7</v>
      </c>
      <c r="AD3651" t="s">
        <v>5976</v>
      </c>
      <c r="AE3651" t="s">
        <v>17952</v>
      </c>
      <c r="AF3651" t="s">
        <v>12326</v>
      </c>
      <c r="AG3651" t="s">
        <v>8981</v>
      </c>
      <c r="AH3651">
        <v>0.52</v>
      </c>
      <c r="AI3651">
        <v>2.62</v>
      </c>
      <c r="AJ3651">
        <v>2.69</v>
      </c>
      <c r="AK3651">
        <v>5.8</v>
      </c>
      <c r="AL3651">
        <v>1</v>
      </c>
      <c r="AM3651">
        <v>0.89</v>
      </c>
      <c r="AN3651">
        <v>18.69</v>
      </c>
      <c r="AO3651">
        <v>1.14</v>
      </c>
      <c r="AP3651">
        <v>20.79</v>
      </c>
    </row>
    <row r="3652" spans="1:42">
      <c r="A3652">
        <v>3651</v>
      </c>
      <c r="B3652" t="str">
        <f>"688186"</f>
        <v>688186</v>
      </c>
      <c r="C3652" t="s">
        <v>17953</v>
      </c>
      <c r="D3652">
        <v>19.6</v>
      </c>
      <c r="E3652">
        <v>0.67</v>
      </c>
      <c r="F3652">
        <v>0.13</v>
      </c>
      <c r="G3652" t="s">
        <v>2924</v>
      </c>
      <c r="H3652">
        <v>80</v>
      </c>
      <c r="I3652">
        <v>19.6</v>
      </c>
      <c r="J3652">
        <v>19.62</v>
      </c>
      <c r="K3652" t="s">
        <v>17954</v>
      </c>
      <c r="L3652">
        <v>0.92</v>
      </c>
      <c r="M3652" t="s">
        <v>46</v>
      </c>
      <c r="N3652" t="s">
        <v>6348</v>
      </c>
      <c r="O3652">
        <v>19.72</v>
      </c>
      <c r="P3652">
        <v>19.34</v>
      </c>
      <c r="Q3652">
        <v>19.38</v>
      </c>
      <c r="R3652">
        <v>19.47</v>
      </c>
      <c r="S3652">
        <v>1.95</v>
      </c>
      <c r="T3652">
        <v>0.92</v>
      </c>
      <c r="U3652">
        <v>81.47</v>
      </c>
      <c r="V3652">
        <v>490</v>
      </c>
      <c r="W3652">
        <v>19.52</v>
      </c>
      <c r="X3652">
        <v>9104</v>
      </c>
      <c r="Y3652" t="s">
        <v>218</v>
      </c>
      <c r="Z3652">
        <v>0.86</v>
      </c>
      <c r="AA3652">
        <v>45</v>
      </c>
      <c r="AB3652">
        <v>29</v>
      </c>
      <c r="AC3652">
        <v>1.28</v>
      </c>
      <c r="AD3652" t="s">
        <v>17955</v>
      </c>
      <c r="AE3652" t="s">
        <v>17956</v>
      </c>
      <c r="AF3652" t="s">
        <v>17955</v>
      </c>
      <c r="AG3652" t="s">
        <v>17956</v>
      </c>
      <c r="AH3652">
        <v>-2.44</v>
      </c>
      <c r="AI3652">
        <v>-2.63</v>
      </c>
      <c r="AJ3652">
        <v>2.9</v>
      </c>
      <c r="AK3652">
        <v>5.96</v>
      </c>
      <c r="AL3652">
        <v>1</v>
      </c>
      <c r="AM3652">
        <v>0.67</v>
      </c>
      <c r="AN3652">
        <v>-19.24</v>
      </c>
      <c r="AO3652">
        <v>1.24</v>
      </c>
      <c r="AP3652">
        <v>-30.25</v>
      </c>
    </row>
    <row r="3653" spans="1:42">
      <c r="A3653">
        <v>3652</v>
      </c>
      <c r="B3653" t="str">
        <f>"300582"</f>
        <v>300582</v>
      </c>
      <c r="C3653" t="s">
        <v>17957</v>
      </c>
      <c r="D3653">
        <v>12.4</v>
      </c>
      <c r="E3653">
        <v>-0.32</v>
      </c>
      <c r="F3653">
        <v>-0.04</v>
      </c>
      <c r="G3653" t="s">
        <v>3260</v>
      </c>
      <c r="H3653">
        <v>204</v>
      </c>
      <c r="I3653">
        <v>12.4</v>
      </c>
      <c r="J3653">
        <v>12.41</v>
      </c>
      <c r="K3653" t="s">
        <v>17958</v>
      </c>
      <c r="L3653">
        <v>1.42</v>
      </c>
      <c r="M3653" t="s">
        <v>46</v>
      </c>
      <c r="N3653" t="s">
        <v>4263</v>
      </c>
      <c r="O3653">
        <v>12.57</v>
      </c>
      <c r="P3653">
        <v>12.26</v>
      </c>
      <c r="Q3653">
        <v>12.44</v>
      </c>
      <c r="R3653">
        <v>12.44</v>
      </c>
      <c r="S3653">
        <v>2.49</v>
      </c>
      <c r="T3653">
        <v>0.97</v>
      </c>
      <c r="U3653">
        <v>-4.19</v>
      </c>
      <c r="V3653">
        <v>-69</v>
      </c>
      <c r="W3653">
        <v>12.36</v>
      </c>
      <c r="X3653" t="s">
        <v>2723</v>
      </c>
      <c r="Y3653" t="s">
        <v>2547</v>
      </c>
      <c r="Z3653">
        <v>1.48</v>
      </c>
      <c r="AA3653">
        <v>593</v>
      </c>
      <c r="AB3653">
        <v>6</v>
      </c>
      <c r="AC3653">
        <v>2.35</v>
      </c>
      <c r="AD3653" t="s">
        <v>17959</v>
      </c>
      <c r="AE3653" t="s">
        <v>17960</v>
      </c>
      <c r="AF3653" t="s">
        <v>16027</v>
      </c>
      <c r="AG3653" t="s">
        <v>17961</v>
      </c>
      <c r="AH3653">
        <v>-3.35</v>
      </c>
      <c r="AI3653">
        <v>-2.59</v>
      </c>
      <c r="AJ3653">
        <v>4.46</v>
      </c>
      <c r="AK3653">
        <v>8.77</v>
      </c>
      <c r="AL3653">
        <v>-3</v>
      </c>
      <c r="AM3653">
        <v>-0.32</v>
      </c>
      <c r="AN3653">
        <v>-0.72</v>
      </c>
      <c r="AO3653">
        <v>-0.64</v>
      </c>
      <c r="AP3653">
        <v>-11.05</v>
      </c>
    </row>
    <row r="3654" spans="1:42">
      <c r="A3654">
        <v>3653</v>
      </c>
      <c r="B3654" t="str">
        <f>"003026"</f>
        <v>003026</v>
      </c>
      <c r="C3654" t="s">
        <v>17962</v>
      </c>
      <c r="D3654">
        <v>37.62</v>
      </c>
      <c r="E3654">
        <v>-0.5</v>
      </c>
      <c r="F3654">
        <v>-0.19</v>
      </c>
      <c r="G3654" t="s">
        <v>1154</v>
      </c>
      <c r="H3654">
        <v>117</v>
      </c>
      <c r="I3654">
        <v>37.61</v>
      </c>
      <c r="J3654">
        <v>37.62</v>
      </c>
      <c r="K3654" t="s">
        <v>17963</v>
      </c>
      <c r="L3654">
        <v>1.85</v>
      </c>
      <c r="M3654" t="s">
        <v>46</v>
      </c>
      <c r="N3654" t="s">
        <v>5667</v>
      </c>
      <c r="O3654">
        <v>37.97</v>
      </c>
      <c r="P3654">
        <v>37.09</v>
      </c>
      <c r="Q3654">
        <v>37.81</v>
      </c>
      <c r="R3654">
        <v>37.81</v>
      </c>
      <c r="S3654">
        <v>2.33</v>
      </c>
      <c r="T3654">
        <v>0.83</v>
      </c>
      <c r="U3654">
        <v>-26.18</v>
      </c>
      <c r="V3654">
        <v>-61</v>
      </c>
      <c r="W3654">
        <v>37.46</v>
      </c>
      <c r="X3654">
        <v>5219</v>
      </c>
      <c r="Y3654">
        <v>5064</v>
      </c>
      <c r="Z3654">
        <v>1.03</v>
      </c>
      <c r="AA3654">
        <v>25</v>
      </c>
      <c r="AB3654">
        <v>75</v>
      </c>
      <c r="AC3654">
        <v>5.36</v>
      </c>
      <c r="AD3654" t="s">
        <v>13082</v>
      </c>
      <c r="AE3654" t="s">
        <v>17964</v>
      </c>
      <c r="AF3654" t="s">
        <v>17965</v>
      </c>
      <c r="AG3654" t="s">
        <v>17966</v>
      </c>
      <c r="AH3654">
        <v>-1.78</v>
      </c>
      <c r="AI3654">
        <v>-1.1</v>
      </c>
      <c r="AJ3654">
        <v>7.48</v>
      </c>
      <c r="AK3654">
        <v>12.98</v>
      </c>
      <c r="AL3654">
        <v>-2</v>
      </c>
      <c r="AM3654">
        <v>-0.5</v>
      </c>
      <c r="AN3654">
        <v>-21.95</v>
      </c>
      <c r="AO3654">
        <v>-4.74</v>
      </c>
      <c r="AP3654">
        <v>-26.74</v>
      </c>
    </row>
    <row r="3655" spans="1:42">
      <c r="A3655">
        <v>3654</v>
      </c>
      <c r="B3655" t="str">
        <f>"688768"</f>
        <v>688768</v>
      </c>
      <c r="C3655" t="s">
        <v>17967</v>
      </c>
      <c r="D3655">
        <v>40.36</v>
      </c>
      <c r="E3655">
        <v>-0.02</v>
      </c>
      <c r="F3655">
        <v>-0.01</v>
      </c>
      <c r="G3655">
        <v>9586</v>
      </c>
      <c r="H3655">
        <v>55</v>
      </c>
      <c r="I3655">
        <v>40.36</v>
      </c>
      <c r="J3655">
        <v>40.37</v>
      </c>
      <c r="K3655" t="s">
        <v>17963</v>
      </c>
      <c r="L3655">
        <v>1.93</v>
      </c>
      <c r="M3655" t="s">
        <v>46</v>
      </c>
      <c r="N3655" t="s">
        <v>4795</v>
      </c>
      <c r="O3655">
        <v>40.81</v>
      </c>
      <c r="P3655">
        <v>39.68</v>
      </c>
      <c r="Q3655">
        <v>40.13</v>
      </c>
      <c r="R3655">
        <v>40.37</v>
      </c>
      <c r="S3655">
        <v>2.8</v>
      </c>
      <c r="T3655">
        <v>1.01</v>
      </c>
      <c r="U3655">
        <v>62.44</v>
      </c>
      <c r="V3655">
        <v>97</v>
      </c>
      <c r="W3655">
        <v>40.18</v>
      </c>
      <c r="X3655">
        <v>4409</v>
      </c>
      <c r="Y3655">
        <v>5177</v>
      </c>
      <c r="Z3655">
        <v>0.85</v>
      </c>
      <c r="AA3655">
        <v>3</v>
      </c>
      <c r="AB3655">
        <v>10</v>
      </c>
      <c r="AC3655">
        <v>4.5</v>
      </c>
      <c r="AD3655" t="s">
        <v>12447</v>
      </c>
      <c r="AE3655" t="s">
        <v>2313</v>
      </c>
      <c r="AF3655" t="s">
        <v>16144</v>
      </c>
      <c r="AG3655" t="s">
        <v>5873</v>
      </c>
      <c r="AH3655">
        <v>-5.37</v>
      </c>
      <c r="AI3655">
        <v>-6.57</v>
      </c>
      <c r="AJ3655">
        <v>5.79</v>
      </c>
      <c r="AK3655">
        <v>11.53</v>
      </c>
      <c r="AL3655">
        <v>-3</v>
      </c>
      <c r="AM3655">
        <v>-0.02</v>
      </c>
      <c r="AN3655">
        <v>-46.87</v>
      </c>
      <c r="AO3655">
        <v>-2.93</v>
      </c>
      <c r="AP3655">
        <v>-50.62</v>
      </c>
    </row>
    <row r="3656" spans="1:42">
      <c r="A3656">
        <v>3655</v>
      </c>
      <c r="B3656" t="str">
        <f>"002566"</f>
        <v>002566</v>
      </c>
      <c r="C3656" t="s">
        <v>17968</v>
      </c>
      <c r="D3656">
        <v>9.28</v>
      </c>
      <c r="E3656">
        <v>-0.22</v>
      </c>
      <c r="F3656">
        <v>-0.02</v>
      </c>
      <c r="G3656" t="s">
        <v>10547</v>
      </c>
      <c r="H3656">
        <v>397</v>
      </c>
      <c r="I3656">
        <v>9.28</v>
      </c>
      <c r="J3656">
        <v>9.3</v>
      </c>
      <c r="K3656" t="s">
        <v>17969</v>
      </c>
      <c r="L3656">
        <v>1.78</v>
      </c>
      <c r="M3656" t="s">
        <v>46</v>
      </c>
      <c r="N3656" t="s">
        <v>9198</v>
      </c>
      <c r="O3656">
        <v>9.41</v>
      </c>
      <c r="P3656">
        <v>9.25</v>
      </c>
      <c r="Q3656">
        <v>9.27</v>
      </c>
      <c r="R3656">
        <v>9.3</v>
      </c>
      <c r="S3656">
        <v>1.72</v>
      </c>
      <c r="T3656">
        <v>0.6</v>
      </c>
      <c r="U3656">
        <v>21.36</v>
      </c>
      <c r="V3656">
        <v>314</v>
      </c>
      <c r="W3656">
        <v>9.31</v>
      </c>
      <c r="X3656" t="s">
        <v>2102</v>
      </c>
      <c r="Y3656" t="s">
        <v>6425</v>
      </c>
      <c r="Z3656">
        <v>1.13</v>
      </c>
      <c r="AA3656">
        <v>110</v>
      </c>
      <c r="AB3656">
        <v>5</v>
      </c>
      <c r="AC3656">
        <v>1.4</v>
      </c>
      <c r="AD3656" t="s">
        <v>17970</v>
      </c>
      <c r="AE3656" t="s">
        <v>9966</v>
      </c>
      <c r="AF3656" t="s">
        <v>3388</v>
      </c>
      <c r="AG3656" t="s">
        <v>260</v>
      </c>
      <c r="AH3656">
        <v>-0.32</v>
      </c>
      <c r="AI3656">
        <v>-1.49</v>
      </c>
      <c r="AJ3656">
        <v>6.12</v>
      </c>
      <c r="AK3656">
        <v>16.74</v>
      </c>
      <c r="AL3656">
        <v>-1</v>
      </c>
      <c r="AM3656">
        <v>-0.22</v>
      </c>
      <c r="AN3656">
        <v>15.28</v>
      </c>
      <c r="AO3656">
        <v>5.94</v>
      </c>
      <c r="AP3656">
        <v>-0.96</v>
      </c>
    </row>
    <row r="3657" spans="1:42">
      <c r="A3657">
        <v>3656</v>
      </c>
      <c r="B3657" t="str">
        <f>"603416"</f>
        <v>603416</v>
      </c>
      <c r="C3657" t="s">
        <v>17971</v>
      </c>
      <c r="D3657">
        <v>39.24</v>
      </c>
      <c r="E3657">
        <v>-0.71</v>
      </c>
      <c r="F3657">
        <v>-0.28</v>
      </c>
      <c r="G3657">
        <v>9861</v>
      </c>
      <c r="H3657">
        <v>138</v>
      </c>
      <c r="I3657">
        <v>39.24</v>
      </c>
      <c r="J3657">
        <v>39.25</v>
      </c>
      <c r="K3657" t="s">
        <v>17972</v>
      </c>
      <c r="L3657">
        <v>0.7</v>
      </c>
      <c r="M3657" t="s">
        <v>46</v>
      </c>
      <c r="N3657" t="s">
        <v>522</v>
      </c>
      <c r="O3657">
        <v>39.4</v>
      </c>
      <c r="P3657">
        <v>38.63</v>
      </c>
      <c r="Q3657">
        <v>39.28</v>
      </c>
      <c r="R3657">
        <v>39.52</v>
      </c>
      <c r="S3657">
        <v>1.95</v>
      </c>
      <c r="T3657">
        <v>0.69</v>
      </c>
      <c r="U3657">
        <v>5.22</v>
      </c>
      <c r="V3657">
        <v>13</v>
      </c>
      <c r="W3657">
        <v>39.02</v>
      </c>
      <c r="X3657">
        <v>5577</v>
      </c>
      <c r="Y3657">
        <v>4284</v>
      </c>
      <c r="Z3657">
        <v>1.3</v>
      </c>
      <c r="AA3657">
        <v>17</v>
      </c>
      <c r="AB3657">
        <v>1</v>
      </c>
      <c r="AC3657">
        <v>2.64</v>
      </c>
      <c r="AD3657" t="s">
        <v>17973</v>
      </c>
      <c r="AE3657" t="s">
        <v>6135</v>
      </c>
      <c r="AF3657" t="s">
        <v>17973</v>
      </c>
      <c r="AG3657" t="s">
        <v>6135</v>
      </c>
      <c r="AH3657">
        <v>-1.43</v>
      </c>
      <c r="AI3657">
        <v>-0.93</v>
      </c>
      <c r="AJ3657">
        <v>2.75</v>
      </c>
      <c r="AK3657">
        <v>5.76</v>
      </c>
      <c r="AL3657">
        <v>-2</v>
      </c>
      <c r="AM3657">
        <v>-0.71</v>
      </c>
      <c r="AN3657">
        <v>-13.07</v>
      </c>
      <c r="AO3657">
        <v>3.45</v>
      </c>
      <c r="AP3657">
        <v>-16.28</v>
      </c>
    </row>
    <row r="3658" spans="1:42">
      <c r="A3658">
        <v>3657</v>
      </c>
      <c r="B3658" t="str">
        <f>"002133"</f>
        <v>002133</v>
      </c>
      <c r="C3658" t="s">
        <v>17974</v>
      </c>
      <c r="D3658">
        <v>3.69</v>
      </c>
      <c r="E3658">
        <v>1.37</v>
      </c>
      <c r="F3658">
        <v>0.05</v>
      </c>
      <c r="G3658" t="s">
        <v>881</v>
      </c>
      <c r="H3658">
        <v>2181</v>
      </c>
      <c r="I3658">
        <v>3.69</v>
      </c>
      <c r="J3658">
        <v>3.7</v>
      </c>
      <c r="K3658" t="s">
        <v>17975</v>
      </c>
      <c r="L3658">
        <v>1.36</v>
      </c>
      <c r="M3658" t="s">
        <v>46</v>
      </c>
      <c r="N3658" t="s">
        <v>12172</v>
      </c>
      <c r="O3658">
        <v>3.71</v>
      </c>
      <c r="P3658">
        <v>3.61</v>
      </c>
      <c r="Q3658">
        <v>3.64</v>
      </c>
      <c r="R3658">
        <v>3.64</v>
      </c>
      <c r="S3658">
        <v>2.75</v>
      </c>
      <c r="T3658">
        <v>0.79</v>
      </c>
      <c r="U3658">
        <v>-46.97</v>
      </c>
      <c r="V3658">
        <v>-5239</v>
      </c>
      <c r="W3658">
        <v>3.68</v>
      </c>
      <c r="X3658" t="s">
        <v>4559</v>
      </c>
      <c r="Y3658" t="s">
        <v>525</v>
      </c>
      <c r="Z3658">
        <v>0.79</v>
      </c>
      <c r="AA3658">
        <v>53</v>
      </c>
      <c r="AB3658">
        <v>1402</v>
      </c>
      <c r="AC3658">
        <v>0.7</v>
      </c>
      <c r="AD3658" t="s">
        <v>17976</v>
      </c>
      <c r="AE3658" t="s">
        <v>17977</v>
      </c>
      <c r="AF3658" t="s">
        <v>17978</v>
      </c>
      <c r="AG3658" t="s">
        <v>3404</v>
      </c>
      <c r="AH3658">
        <v>0.54</v>
      </c>
      <c r="AI3658">
        <v>-2.64</v>
      </c>
      <c r="AJ3658">
        <v>3.85</v>
      </c>
      <c r="AK3658">
        <v>9.94</v>
      </c>
      <c r="AL3658">
        <v>2</v>
      </c>
      <c r="AM3658">
        <v>1.37</v>
      </c>
      <c r="AN3658">
        <v>7.27</v>
      </c>
      <c r="AO3658">
        <v>6.34</v>
      </c>
      <c r="AP3658">
        <v>-0.54</v>
      </c>
    </row>
    <row r="3659" spans="1:42">
      <c r="A3659">
        <v>3658</v>
      </c>
      <c r="B3659" t="str">
        <f>"002543"</f>
        <v>002543</v>
      </c>
      <c r="C3659" t="s">
        <v>17979</v>
      </c>
      <c r="D3659">
        <v>8.35</v>
      </c>
      <c r="E3659">
        <v>-0.6</v>
      </c>
      <c r="F3659">
        <v>-0.05</v>
      </c>
      <c r="G3659" t="s">
        <v>5645</v>
      </c>
      <c r="H3659">
        <v>128</v>
      </c>
      <c r="I3659">
        <v>8.34</v>
      </c>
      <c r="J3659">
        <v>8.35</v>
      </c>
      <c r="K3659" t="s">
        <v>17975</v>
      </c>
      <c r="L3659">
        <v>0.69</v>
      </c>
      <c r="M3659" t="s">
        <v>46</v>
      </c>
      <c r="N3659" t="s">
        <v>14412</v>
      </c>
      <c r="O3659">
        <v>8.47</v>
      </c>
      <c r="P3659">
        <v>8.33</v>
      </c>
      <c r="Q3659">
        <v>8.4</v>
      </c>
      <c r="R3659">
        <v>8.4</v>
      </c>
      <c r="S3659">
        <v>1.67</v>
      </c>
      <c r="T3659">
        <v>1.21</v>
      </c>
      <c r="U3659">
        <v>39.45</v>
      </c>
      <c r="V3659">
        <v>912</v>
      </c>
      <c r="W3659">
        <v>8.39</v>
      </c>
      <c r="X3659" t="s">
        <v>2716</v>
      </c>
      <c r="Y3659" t="s">
        <v>9272</v>
      </c>
      <c r="Z3659">
        <v>0.88</v>
      </c>
      <c r="AA3659">
        <v>360</v>
      </c>
      <c r="AB3659">
        <v>387</v>
      </c>
      <c r="AC3659">
        <v>1.36</v>
      </c>
      <c r="AD3659" t="s">
        <v>17980</v>
      </c>
      <c r="AE3659" t="s">
        <v>17981</v>
      </c>
      <c r="AF3659" t="s">
        <v>5429</v>
      </c>
      <c r="AG3659" t="s">
        <v>17982</v>
      </c>
      <c r="AH3659">
        <v>-0.95</v>
      </c>
      <c r="AI3659">
        <v>-1.65</v>
      </c>
      <c r="AJ3659">
        <v>1.82</v>
      </c>
      <c r="AK3659">
        <v>3.55</v>
      </c>
      <c r="AL3659">
        <v>-2</v>
      </c>
      <c r="AM3659">
        <v>-0.6</v>
      </c>
      <c r="AN3659">
        <v>2.83</v>
      </c>
      <c r="AO3659">
        <v>0.12</v>
      </c>
      <c r="AP3659">
        <v>-7.53</v>
      </c>
    </row>
    <row r="3660" spans="1:42">
      <c r="A3660">
        <v>3659</v>
      </c>
      <c r="B3660" t="str">
        <f>"301166"</f>
        <v>301166</v>
      </c>
      <c r="C3660" t="s">
        <v>17983</v>
      </c>
      <c r="D3660">
        <v>42.33</v>
      </c>
      <c r="E3660">
        <v>1.46</v>
      </c>
      <c r="F3660">
        <v>0.61</v>
      </c>
      <c r="G3660">
        <v>9094</v>
      </c>
      <c r="H3660">
        <v>168</v>
      </c>
      <c r="I3660">
        <v>42.33</v>
      </c>
      <c r="J3660">
        <v>42.34</v>
      </c>
      <c r="K3660" t="s">
        <v>17984</v>
      </c>
      <c r="L3660">
        <v>2.2</v>
      </c>
      <c r="M3660" t="s">
        <v>46</v>
      </c>
      <c r="N3660" t="s">
        <v>5673</v>
      </c>
      <c r="O3660">
        <v>42.57</v>
      </c>
      <c r="P3660">
        <v>41.72</v>
      </c>
      <c r="Q3660">
        <v>41.72</v>
      </c>
      <c r="R3660">
        <v>41.72</v>
      </c>
      <c r="S3660">
        <v>2.04</v>
      </c>
      <c r="T3660">
        <v>0.79</v>
      </c>
      <c r="U3660">
        <v>25.93</v>
      </c>
      <c r="V3660">
        <v>56</v>
      </c>
      <c r="W3660">
        <v>42.23</v>
      </c>
      <c r="X3660">
        <v>4384</v>
      </c>
      <c r="Y3660">
        <v>4710</v>
      </c>
      <c r="Z3660">
        <v>0.93</v>
      </c>
      <c r="AA3660">
        <v>84</v>
      </c>
      <c r="AB3660">
        <v>15</v>
      </c>
      <c r="AC3660">
        <v>1.73</v>
      </c>
      <c r="AD3660" t="s">
        <v>17985</v>
      </c>
      <c r="AE3660" t="s">
        <v>17986</v>
      </c>
      <c r="AF3660" t="s">
        <v>17987</v>
      </c>
      <c r="AG3660" t="s">
        <v>17988</v>
      </c>
      <c r="AH3660">
        <v>-1.58</v>
      </c>
      <c r="AI3660">
        <v>-2.62</v>
      </c>
      <c r="AJ3660">
        <v>7.25</v>
      </c>
      <c r="AK3660">
        <v>16.09</v>
      </c>
      <c r="AL3660">
        <v>2</v>
      </c>
      <c r="AM3660">
        <v>1.46</v>
      </c>
      <c r="AN3660">
        <v>-5.58</v>
      </c>
      <c r="AO3660">
        <v>0.4</v>
      </c>
      <c r="AP3660">
        <v>-20.07</v>
      </c>
    </row>
    <row r="3661" spans="1:42">
      <c r="A3661">
        <v>3660</v>
      </c>
      <c r="B3661" t="str">
        <f>"301389"</f>
        <v>301389</v>
      </c>
      <c r="C3661" t="s">
        <v>17989</v>
      </c>
      <c r="D3661">
        <v>19.39</v>
      </c>
      <c r="E3661">
        <v>-0.97</v>
      </c>
      <c r="F3661">
        <v>-0.19</v>
      </c>
      <c r="G3661" t="s">
        <v>2877</v>
      </c>
      <c r="H3661">
        <v>348</v>
      </c>
      <c r="I3661">
        <v>19.39</v>
      </c>
      <c r="J3661">
        <v>19.43</v>
      </c>
      <c r="K3661" t="s">
        <v>16279</v>
      </c>
      <c r="L3661">
        <v>2.8</v>
      </c>
      <c r="M3661" t="s">
        <v>46</v>
      </c>
      <c r="N3661" t="s">
        <v>4095</v>
      </c>
      <c r="O3661">
        <v>19.62</v>
      </c>
      <c r="P3661">
        <v>19.2</v>
      </c>
      <c r="Q3661">
        <v>19.62</v>
      </c>
      <c r="R3661">
        <v>19.58</v>
      </c>
      <c r="S3661">
        <v>2.15</v>
      </c>
      <c r="T3661">
        <v>0.61</v>
      </c>
      <c r="U3661">
        <v>6.15</v>
      </c>
      <c r="V3661">
        <v>22</v>
      </c>
      <c r="W3661">
        <v>19.34</v>
      </c>
      <c r="X3661" t="s">
        <v>218</v>
      </c>
      <c r="Y3661">
        <v>9211</v>
      </c>
      <c r="Z3661">
        <v>1.15</v>
      </c>
      <c r="AA3661">
        <v>1</v>
      </c>
      <c r="AB3661">
        <v>17</v>
      </c>
      <c r="AC3661">
        <v>2.48</v>
      </c>
      <c r="AD3661" t="s">
        <v>17990</v>
      </c>
      <c r="AE3661" t="s">
        <v>7674</v>
      </c>
      <c r="AF3661" t="s">
        <v>13422</v>
      </c>
      <c r="AG3661" t="s">
        <v>7244</v>
      </c>
      <c r="AH3661">
        <v>-2.42</v>
      </c>
      <c r="AI3661">
        <v>0.31</v>
      </c>
      <c r="AJ3661">
        <v>13.18</v>
      </c>
      <c r="AK3661">
        <v>25.64</v>
      </c>
      <c r="AL3661">
        <v>-2</v>
      </c>
      <c r="AM3661">
        <v>-0.97</v>
      </c>
      <c r="AN3661">
        <v>10.17</v>
      </c>
      <c r="AO3661">
        <v>6.95</v>
      </c>
      <c r="AP3661">
        <v>-17.66</v>
      </c>
    </row>
    <row r="3662" spans="1:42">
      <c r="A3662">
        <v>3661</v>
      </c>
      <c r="B3662" t="str">
        <f>"002141"</f>
        <v>002141</v>
      </c>
      <c r="C3662" t="s">
        <v>17991</v>
      </c>
      <c r="D3662">
        <v>3.26</v>
      </c>
      <c r="E3662">
        <v>0.62</v>
      </c>
      <c r="F3662">
        <v>0.02</v>
      </c>
      <c r="G3662" t="s">
        <v>1540</v>
      </c>
      <c r="H3662">
        <v>2154</v>
      </c>
      <c r="I3662">
        <v>3.26</v>
      </c>
      <c r="J3662">
        <v>3.27</v>
      </c>
      <c r="K3662" t="s">
        <v>17992</v>
      </c>
      <c r="L3662">
        <v>1.04</v>
      </c>
      <c r="M3662" t="s">
        <v>46</v>
      </c>
      <c r="N3662" t="s">
        <v>16630</v>
      </c>
      <c r="O3662">
        <v>3.28</v>
      </c>
      <c r="P3662">
        <v>3.21</v>
      </c>
      <c r="Q3662">
        <v>3.25</v>
      </c>
      <c r="R3662">
        <v>3.24</v>
      </c>
      <c r="S3662">
        <v>2.16</v>
      </c>
      <c r="T3662">
        <v>0.64</v>
      </c>
      <c r="U3662">
        <v>-13.7</v>
      </c>
      <c r="V3662">
        <v>-1940</v>
      </c>
      <c r="W3662">
        <v>3.24</v>
      </c>
      <c r="X3662" t="s">
        <v>4584</v>
      </c>
      <c r="Y3662" t="s">
        <v>6801</v>
      </c>
      <c r="Z3662">
        <v>0.94</v>
      </c>
      <c r="AA3662">
        <v>132</v>
      </c>
      <c r="AB3662">
        <v>2296</v>
      </c>
      <c r="AC3662">
        <v>3.28</v>
      </c>
      <c r="AD3662" t="s">
        <v>7280</v>
      </c>
      <c r="AE3662" t="s">
        <v>17572</v>
      </c>
      <c r="AF3662" t="s">
        <v>7280</v>
      </c>
      <c r="AG3662" t="s">
        <v>17572</v>
      </c>
      <c r="AH3662">
        <v>-2.1</v>
      </c>
      <c r="AI3662">
        <v>-0.31</v>
      </c>
      <c r="AJ3662">
        <v>3.53</v>
      </c>
      <c r="AK3662">
        <v>9.23</v>
      </c>
      <c r="AL3662">
        <v>1</v>
      </c>
      <c r="AM3662">
        <v>0.62</v>
      </c>
      <c r="AN3662">
        <v>-18.91</v>
      </c>
      <c r="AO3662">
        <v>11.64</v>
      </c>
      <c r="AP3662">
        <v>-27.56</v>
      </c>
    </row>
    <row r="3663" spans="1:42">
      <c r="A3663">
        <v>3662</v>
      </c>
      <c r="B3663" t="str">
        <f>"000911"</f>
        <v>000911</v>
      </c>
      <c r="C3663" t="s">
        <v>17993</v>
      </c>
      <c r="D3663">
        <v>8.8</v>
      </c>
      <c r="E3663">
        <v>-0.9</v>
      </c>
      <c r="F3663">
        <v>-0.08</v>
      </c>
      <c r="G3663" t="s">
        <v>459</v>
      </c>
      <c r="H3663">
        <v>381</v>
      </c>
      <c r="I3663">
        <v>8.79</v>
      </c>
      <c r="J3663">
        <v>8.8</v>
      </c>
      <c r="K3663" t="s">
        <v>17994</v>
      </c>
      <c r="L3663">
        <v>1.34</v>
      </c>
      <c r="M3663" t="s">
        <v>46</v>
      </c>
      <c r="N3663" t="s">
        <v>5403</v>
      </c>
      <c r="O3663">
        <v>8.99</v>
      </c>
      <c r="P3663">
        <v>8.76</v>
      </c>
      <c r="Q3663">
        <v>8.91</v>
      </c>
      <c r="R3663">
        <v>8.88</v>
      </c>
      <c r="S3663">
        <v>2.59</v>
      </c>
      <c r="T3663">
        <v>1.27</v>
      </c>
      <c r="U3663">
        <v>48.74</v>
      </c>
      <c r="V3663">
        <v>2031</v>
      </c>
      <c r="W3663">
        <v>8.83</v>
      </c>
      <c r="X3663" t="s">
        <v>4017</v>
      </c>
      <c r="Y3663" t="s">
        <v>1455</v>
      </c>
      <c r="Z3663">
        <v>1.22</v>
      </c>
      <c r="AA3663">
        <v>432</v>
      </c>
      <c r="AB3663">
        <v>415</v>
      </c>
      <c r="AC3663">
        <v>42.42</v>
      </c>
      <c r="AD3663" t="s">
        <v>13211</v>
      </c>
      <c r="AE3663" t="s">
        <v>13668</v>
      </c>
      <c r="AF3663" t="s">
        <v>7111</v>
      </c>
      <c r="AG3663" t="s">
        <v>13096</v>
      </c>
      <c r="AH3663">
        <v>-3.19</v>
      </c>
      <c r="AI3663">
        <v>-3.4</v>
      </c>
      <c r="AJ3663">
        <v>3.36</v>
      </c>
      <c r="AK3663">
        <v>6.62</v>
      </c>
      <c r="AL3663">
        <v>-3</v>
      </c>
      <c r="AM3663">
        <v>-0.9</v>
      </c>
      <c r="AN3663">
        <v>6.67</v>
      </c>
      <c r="AO3663">
        <v>-2.33</v>
      </c>
      <c r="AP3663">
        <v>15.49</v>
      </c>
    </row>
    <row r="3664" spans="1:42">
      <c r="A3664">
        <v>3663</v>
      </c>
      <c r="B3664" t="str">
        <f>"603105"</f>
        <v>603105</v>
      </c>
      <c r="C3664" t="s">
        <v>17995</v>
      </c>
      <c r="D3664">
        <v>11.9</v>
      </c>
      <c r="E3664">
        <v>0.42</v>
      </c>
      <c r="F3664">
        <v>0.05</v>
      </c>
      <c r="G3664" t="s">
        <v>8255</v>
      </c>
      <c r="H3664">
        <v>422</v>
      </c>
      <c r="I3664">
        <v>11.9</v>
      </c>
      <c r="J3664">
        <v>11.91</v>
      </c>
      <c r="K3664" t="s">
        <v>17994</v>
      </c>
      <c r="L3664">
        <v>0.65</v>
      </c>
      <c r="M3664" t="s">
        <v>46</v>
      </c>
      <c r="N3664" t="s">
        <v>2585</v>
      </c>
      <c r="O3664">
        <v>11.94</v>
      </c>
      <c r="P3664">
        <v>11.7</v>
      </c>
      <c r="Q3664">
        <v>11.87</v>
      </c>
      <c r="R3664">
        <v>11.85</v>
      </c>
      <c r="S3664">
        <v>2.03</v>
      </c>
      <c r="T3664">
        <v>0.72</v>
      </c>
      <c r="U3664">
        <v>-10.85</v>
      </c>
      <c r="V3664">
        <v>-177</v>
      </c>
      <c r="W3664">
        <v>11.82</v>
      </c>
      <c r="X3664" t="s">
        <v>141</v>
      </c>
      <c r="Y3664" t="s">
        <v>390</v>
      </c>
      <c r="Z3664">
        <v>0.95</v>
      </c>
      <c r="AA3664">
        <v>121</v>
      </c>
      <c r="AB3664">
        <v>142</v>
      </c>
      <c r="AC3664">
        <v>3.15</v>
      </c>
      <c r="AD3664" t="s">
        <v>4532</v>
      </c>
      <c r="AE3664" t="s">
        <v>17996</v>
      </c>
      <c r="AF3664" t="s">
        <v>4532</v>
      </c>
      <c r="AG3664" t="s">
        <v>17996</v>
      </c>
      <c r="AH3664">
        <v>-2.94</v>
      </c>
      <c r="AI3664">
        <v>-5.78</v>
      </c>
      <c r="AJ3664">
        <v>3.04</v>
      </c>
      <c r="AK3664">
        <v>5.14</v>
      </c>
      <c r="AL3664">
        <v>1</v>
      </c>
      <c r="AM3664">
        <v>0.42</v>
      </c>
      <c r="AN3664">
        <v>-18.55</v>
      </c>
      <c r="AO3664">
        <v>-3.33</v>
      </c>
      <c r="AP3664">
        <v>-6.89</v>
      </c>
    </row>
    <row r="3665" spans="1:42">
      <c r="A3665">
        <v>3664</v>
      </c>
      <c r="B3665" t="str">
        <f>"873223"</f>
        <v>873223</v>
      </c>
      <c r="C3665" t="s">
        <v>17997</v>
      </c>
      <c r="D3665">
        <v>3.7</v>
      </c>
      <c r="E3665">
        <v>-9.54</v>
      </c>
      <c r="F3665">
        <v>-0.39</v>
      </c>
      <c r="G3665" t="s">
        <v>10000</v>
      </c>
      <c r="H3665">
        <v>1559</v>
      </c>
      <c r="I3665">
        <v>3.7</v>
      </c>
      <c r="J3665">
        <v>3.71</v>
      </c>
      <c r="K3665" t="s">
        <v>17998</v>
      </c>
      <c r="L3665">
        <v>12.22</v>
      </c>
      <c r="M3665" t="s">
        <v>46</v>
      </c>
      <c r="N3665" t="s">
        <v>7588</v>
      </c>
      <c r="O3665">
        <v>4.23</v>
      </c>
      <c r="P3665">
        <v>3.7</v>
      </c>
      <c r="Q3665">
        <v>4.1</v>
      </c>
      <c r="R3665">
        <v>4.09</v>
      </c>
      <c r="S3665">
        <v>12.96</v>
      </c>
      <c r="T3665">
        <v>0.57</v>
      </c>
      <c r="U3665">
        <v>19.21</v>
      </c>
      <c r="V3665">
        <v>516</v>
      </c>
      <c r="W3665">
        <v>3.91</v>
      </c>
      <c r="X3665" t="s">
        <v>10018</v>
      </c>
      <c r="Y3665" t="s">
        <v>7679</v>
      </c>
      <c r="Z3665">
        <v>1.98</v>
      </c>
      <c r="AA3665">
        <v>1222</v>
      </c>
      <c r="AB3665">
        <v>530</v>
      </c>
      <c r="AC3665">
        <v>1.94</v>
      </c>
      <c r="AD3665" t="s">
        <v>16198</v>
      </c>
      <c r="AE3665" t="s">
        <v>17999</v>
      </c>
      <c r="AF3665" t="s">
        <v>18000</v>
      </c>
      <c r="AG3665" t="s">
        <v>18001</v>
      </c>
      <c r="AH3665">
        <v>-28.29</v>
      </c>
      <c r="AI3665">
        <v>6.63</v>
      </c>
      <c r="AJ3665">
        <v>42.36</v>
      </c>
      <c r="AK3665">
        <v>119.19</v>
      </c>
      <c r="AL3665">
        <v>-3</v>
      </c>
      <c r="AM3665">
        <v>-9.54</v>
      </c>
      <c r="AN3665">
        <v>15.26</v>
      </c>
      <c r="AO3665">
        <v>48.59</v>
      </c>
      <c r="AP3665">
        <v>-2.63</v>
      </c>
    </row>
    <row r="3666" spans="1:42">
      <c r="A3666">
        <v>3665</v>
      </c>
      <c r="B3666" t="str">
        <f>"000430"</f>
        <v>000430</v>
      </c>
      <c r="C3666" t="s">
        <v>18002</v>
      </c>
      <c r="D3666">
        <v>6.92</v>
      </c>
      <c r="E3666">
        <v>-0.72</v>
      </c>
      <c r="F3666">
        <v>-0.05</v>
      </c>
      <c r="G3666" t="s">
        <v>9519</v>
      </c>
      <c r="H3666">
        <v>621</v>
      </c>
      <c r="I3666">
        <v>6.92</v>
      </c>
      <c r="J3666">
        <v>6.93</v>
      </c>
      <c r="K3666" t="s">
        <v>18003</v>
      </c>
      <c r="L3666">
        <v>1.66</v>
      </c>
      <c r="M3666" t="s">
        <v>46</v>
      </c>
      <c r="N3666" t="s">
        <v>4357</v>
      </c>
      <c r="O3666">
        <v>7.03</v>
      </c>
      <c r="P3666">
        <v>6.9</v>
      </c>
      <c r="Q3666">
        <v>6.96</v>
      </c>
      <c r="R3666">
        <v>6.97</v>
      </c>
      <c r="S3666">
        <v>1.87</v>
      </c>
      <c r="T3666">
        <v>1.72</v>
      </c>
      <c r="U3666">
        <v>-11.97</v>
      </c>
      <c r="V3666">
        <v>-399</v>
      </c>
      <c r="W3666">
        <v>6.96</v>
      </c>
      <c r="X3666" t="s">
        <v>3558</v>
      </c>
      <c r="Y3666" t="s">
        <v>5710</v>
      </c>
      <c r="Z3666">
        <v>1.36</v>
      </c>
      <c r="AA3666">
        <v>125</v>
      </c>
      <c r="AB3666">
        <v>46</v>
      </c>
      <c r="AC3666">
        <v>2.63</v>
      </c>
      <c r="AD3666" t="s">
        <v>18004</v>
      </c>
      <c r="AE3666" t="s">
        <v>18005</v>
      </c>
      <c r="AF3666" t="s">
        <v>18006</v>
      </c>
      <c r="AG3666" t="s">
        <v>15689</v>
      </c>
      <c r="AH3666">
        <v>0.14</v>
      </c>
      <c r="AI3666">
        <v>0.29</v>
      </c>
      <c r="AJ3666">
        <v>3.92</v>
      </c>
      <c r="AK3666">
        <v>6.48</v>
      </c>
      <c r="AL3666">
        <v>-1</v>
      </c>
      <c r="AM3666">
        <v>-0.72</v>
      </c>
      <c r="AN3666">
        <v>-22.85</v>
      </c>
      <c r="AO3666">
        <v>3.75</v>
      </c>
      <c r="AP3666">
        <v>7.45</v>
      </c>
    </row>
    <row r="3667" spans="1:42">
      <c r="A3667">
        <v>3666</v>
      </c>
      <c r="B3667" t="str">
        <f>"688352"</f>
        <v>688352</v>
      </c>
      <c r="C3667" t="s">
        <v>18007</v>
      </c>
      <c r="D3667">
        <v>13.7</v>
      </c>
      <c r="E3667">
        <v>-0.72</v>
      </c>
      <c r="F3667">
        <v>-0.1</v>
      </c>
      <c r="G3667" t="s">
        <v>7028</v>
      </c>
      <c r="H3667">
        <v>425</v>
      </c>
      <c r="I3667">
        <v>13.7</v>
      </c>
      <c r="J3667">
        <v>13.73</v>
      </c>
      <c r="K3667" t="s">
        <v>18008</v>
      </c>
      <c r="L3667">
        <v>1.72</v>
      </c>
      <c r="M3667" t="s">
        <v>46</v>
      </c>
      <c r="N3667" t="s">
        <v>5453</v>
      </c>
      <c r="O3667">
        <v>13.89</v>
      </c>
      <c r="P3667">
        <v>13.53</v>
      </c>
      <c r="Q3667">
        <v>13.88</v>
      </c>
      <c r="R3667">
        <v>13.8</v>
      </c>
      <c r="S3667">
        <v>2.61</v>
      </c>
      <c r="T3667">
        <v>0.56</v>
      </c>
      <c r="U3667">
        <v>-17.7</v>
      </c>
      <c r="V3667">
        <v>-182</v>
      </c>
      <c r="W3667">
        <v>13.65</v>
      </c>
      <c r="X3667" t="s">
        <v>4525</v>
      </c>
      <c r="Y3667" t="s">
        <v>5900</v>
      </c>
      <c r="Z3667">
        <v>0.96</v>
      </c>
      <c r="AA3667">
        <v>109</v>
      </c>
      <c r="AB3667">
        <v>100</v>
      </c>
      <c r="AC3667">
        <v>2.86</v>
      </c>
      <c r="AD3667" t="s">
        <v>16100</v>
      </c>
      <c r="AE3667" t="s">
        <v>18009</v>
      </c>
      <c r="AF3667" t="s">
        <v>17411</v>
      </c>
      <c r="AG3667" t="s">
        <v>18010</v>
      </c>
      <c r="AH3667">
        <v>-2.63</v>
      </c>
      <c r="AI3667">
        <v>-3.04</v>
      </c>
      <c r="AJ3667">
        <v>6.11</v>
      </c>
      <c r="AK3667">
        <v>17.12</v>
      </c>
      <c r="AL3667">
        <v>-4</v>
      </c>
      <c r="AM3667">
        <v>-0.72</v>
      </c>
      <c r="AN3667">
        <v>13.22</v>
      </c>
      <c r="AO3667">
        <v>2.47</v>
      </c>
      <c r="AP3667">
        <v>13.22</v>
      </c>
    </row>
    <row r="3668" spans="1:42">
      <c r="A3668">
        <v>3667</v>
      </c>
      <c r="B3668" t="str">
        <f>"603269"</f>
        <v>603269</v>
      </c>
      <c r="C3668" t="s">
        <v>18011</v>
      </c>
      <c r="D3668">
        <v>14.66</v>
      </c>
      <c r="E3668">
        <v>-0.95</v>
      </c>
      <c r="F3668">
        <v>-0.14</v>
      </c>
      <c r="G3668" t="s">
        <v>4012</v>
      </c>
      <c r="H3668">
        <v>176</v>
      </c>
      <c r="I3668">
        <v>14.66</v>
      </c>
      <c r="J3668">
        <v>14.67</v>
      </c>
      <c r="K3668" t="s">
        <v>18012</v>
      </c>
      <c r="L3668">
        <v>1.66</v>
      </c>
      <c r="M3668" t="s">
        <v>46</v>
      </c>
      <c r="N3668" t="s">
        <v>1401</v>
      </c>
      <c r="O3668">
        <v>14.85</v>
      </c>
      <c r="P3668">
        <v>14.55</v>
      </c>
      <c r="Q3668">
        <v>14.81</v>
      </c>
      <c r="R3668">
        <v>14.8</v>
      </c>
      <c r="S3668">
        <v>2.03</v>
      </c>
      <c r="T3668">
        <v>1.05</v>
      </c>
      <c r="U3668">
        <v>-50.5</v>
      </c>
      <c r="V3668">
        <v>-451</v>
      </c>
      <c r="W3668">
        <v>14.65</v>
      </c>
      <c r="X3668" t="s">
        <v>2547</v>
      </c>
      <c r="Y3668" t="s">
        <v>5183</v>
      </c>
      <c r="Z3668">
        <v>0.92</v>
      </c>
      <c r="AA3668">
        <v>13</v>
      </c>
      <c r="AB3668">
        <v>172</v>
      </c>
      <c r="AC3668">
        <v>2.45</v>
      </c>
      <c r="AD3668" t="s">
        <v>16243</v>
      </c>
      <c r="AE3668" t="s">
        <v>18013</v>
      </c>
      <c r="AF3668" t="s">
        <v>16243</v>
      </c>
      <c r="AG3668" t="s">
        <v>18013</v>
      </c>
      <c r="AH3668">
        <v>-2.53</v>
      </c>
      <c r="AI3668">
        <v>-1.68</v>
      </c>
      <c r="AJ3668">
        <v>4.78</v>
      </c>
      <c r="AK3668">
        <v>9.53</v>
      </c>
      <c r="AL3668">
        <v>-3</v>
      </c>
      <c r="AM3668">
        <v>-0.95</v>
      </c>
      <c r="AN3668">
        <v>69.68</v>
      </c>
      <c r="AO3668">
        <v>-0.2</v>
      </c>
      <c r="AP3668">
        <v>54.15</v>
      </c>
    </row>
    <row r="3669" spans="1:42">
      <c r="A3669">
        <v>3668</v>
      </c>
      <c r="B3669" t="str">
        <f>"688559"</f>
        <v>688559</v>
      </c>
      <c r="C3669" t="s">
        <v>18014</v>
      </c>
      <c r="D3669">
        <v>36.84</v>
      </c>
      <c r="E3669">
        <v>0.11</v>
      </c>
      <c r="F3669">
        <v>0.04</v>
      </c>
      <c r="G3669" t="s">
        <v>1400</v>
      </c>
      <c r="H3669">
        <v>169</v>
      </c>
      <c r="I3669">
        <v>36.81</v>
      </c>
      <c r="J3669">
        <v>36.84</v>
      </c>
      <c r="K3669" t="s">
        <v>18012</v>
      </c>
      <c r="L3669">
        <v>0.51</v>
      </c>
      <c r="M3669" t="s">
        <v>46</v>
      </c>
      <c r="N3669" t="s">
        <v>18015</v>
      </c>
      <c r="O3669">
        <v>36.99</v>
      </c>
      <c r="P3669">
        <v>36.23</v>
      </c>
      <c r="Q3669">
        <v>36.83</v>
      </c>
      <c r="R3669">
        <v>36.8</v>
      </c>
      <c r="S3669">
        <v>2.07</v>
      </c>
      <c r="T3669">
        <v>0.76</v>
      </c>
      <c r="U3669">
        <v>47.53</v>
      </c>
      <c r="V3669">
        <v>117</v>
      </c>
      <c r="W3669">
        <v>36.61</v>
      </c>
      <c r="X3669">
        <v>5343</v>
      </c>
      <c r="Y3669">
        <v>5111</v>
      </c>
      <c r="Z3669">
        <v>1.05</v>
      </c>
      <c r="AA3669">
        <v>15</v>
      </c>
      <c r="AB3669">
        <v>3</v>
      </c>
      <c r="AC3669">
        <v>3.27</v>
      </c>
      <c r="AD3669" t="s">
        <v>12345</v>
      </c>
      <c r="AE3669" t="s">
        <v>18016</v>
      </c>
      <c r="AF3669" t="s">
        <v>12345</v>
      </c>
      <c r="AG3669" t="s">
        <v>18016</v>
      </c>
      <c r="AH3669">
        <v>-3.05</v>
      </c>
      <c r="AI3669">
        <v>-4.56</v>
      </c>
      <c r="AJ3669">
        <v>1.8</v>
      </c>
      <c r="AK3669">
        <v>3.91</v>
      </c>
      <c r="AL3669">
        <v>1</v>
      </c>
      <c r="AM3669">
        <v>0.11</v>
      </c>
      <c r="AN3669">
        <v>-36.09</v>
      </c>
      <c r="AO3669">
        <v>-3.43</v>
      </c>
      <c r="AP3669">
        <v>-44.1</v>
      </c>
    </row>
    <row r="3670" spans="1:42">
      <c r="A3670">
        <v>3669</v>
      </c>
      <c r="B3670" t="str">
        <f>"600162"</f>
        <v>600162</v>
      </c>
      <c r="C3670" t="s">
        <v>18017</v>
      </c>
      <c r="D3670">
        <v>1.85</v>
      </c>
      <c r="E3670">
        <v>1.65</v>
      </c>
      <c r="F3670">
        <v>0.03</v>
      </c>
      <c r="G3670" t="s">
        <v>4301</v>
      </c>
      <c r="H3670">
        <v>2614</v>
      </c>
      <c r="I3670">
        <v>1.85</v>
      </c>
      <c r="J3670">
        <v>1.86</v>
      </c>
      <c r="K3670" t="s">
        <v>18018</v>
      </c>
      <c r="L3670">
        <v>0.63</v>
      </c>
      <c r="M3670" t="s">
        <v>46</v>
      </c>
      <c r="N3670" t="s">
        <v>10829</v>
      </c>
      <c r="O3670">
        <v>1.86</v>
      </c>
      <c r="P3670">
        <v>1.81</v>
      </c>
      <c r="Q3670">
        <v>1.82</v>
      </c>
      <c r="R3670">
        <v>1.82</v>
      </c>
      <c r="S3670">
        <v>2.75</v>
      </c>
      <c r="T3670">
        <v>0.7</v>
      </c>
      <c r="U3670">
        <v>-10.54</v>
      </c>
      <c r="V3670" t="s">
        <v>1548</v>
      </c>
      <c r="W3670">
        <v>1.84</v>
      </c>
      <c r="X3670" t="s">
        <v>4759</v>
      </c>
      <c r="Y3670" t="s">
        <v>1207</v>
      </c>
      <c r="Z3670">
        <v>0.49</v>
      </c>
      <c r="AA3670">
        <v>1968</v>
      </c>
      <c r="AB3670" t="s">
        <v>8622</v>
      </c>
      <c r="AC3670">
        <v>0.96</v>
      </c>
      <c r="AD3670" t="s">
        <v>18019</v>
      </c>
      <c r="AE3670" t="s">
        <v>736</v>
      </c>
      <c r="AF3670" t="s">
        <v>18019</v>
      </c>
      <c r="AG3670" t="s">
        <v>736</v>
      </c>
      <c r="AH3670">
        <v>-1.07</v>
      </c>
      <c r="AI3670">
        <v>-5.61</v>
      </c>
      <c r="AJ3670">
        <v>2.29</v>
      </c>
      <c r="AK3670">
        <v>5.17</v>
      </c>
      <c r="AL3670">
        <v>1</v>
      </c>
      <c r="AM3670">
        <v>1.65</v>
      </c>
      <c r="AN3670">
        <v>5.71</v>
      </c>
      <c r="AO3670">
        <v>0</v>
      </c>
      <c r="AP3670">
        <v>12.12</v>
      </c>
    </row>
    <row r="3671" spans="1:42">
      <c r="A3671">
        <v>3670</v>
      </c>
      <c r="B3671" t="str">
        <f>"002367"</f>
        <v>002367</v>
      </c>
      <c r="C3671" t="s">
        <v>18020</v>
      </c>
      <c r="D3671">
        <v>7.91</v>
      </c>
      <c r="E3671">
        <v>-0.88</v>
      </c>
      <c r="F3671">
        <v>-0.07</v>
      </c>
      <c r="G3671" t="s">
        <v>6203</v>
      </c>
      <c r="H3671">
        <v>739</v>
      </c>
      <c r="I3671">
        <v>7.91</v>
      </c>
      <c r="J3671">
        <v>7.92</v>
      </c>
      <c r="K3671" t="s">
        <v>8468</v>
      </c>
      <c r="L3671">
        <v>0.92</v>
      </c>
      <c r="M3671" t="s">
        <v>46</v>
      </c>
      <c r="N3671" t="s">
        <v>3772</v>
      </c>
      <c r="O3671">
        <v>7.98</v>
      </c>
      <c r="P3671">
        <v>7.89</v>
      </c>
      <c r="Q3671">
        <v>7.98</v>
      </c>
      <c r="R3671">
        <v>7.98</v>
      </c>
      <c r="S3671">
        <v>1.13</v>
      </c>
      <c r="T3671">
        <v>1.06</v>
      </c>
      <c r="U3671">
        <v>20.85</v>
      </c>
      <c r="V3671">
        <v>1010</v>
      </c>
      <c r="W3671">
        <v>7.93</v>
      </c>
      <c r="X3671" t="s">
        <v>6675</v>
      </c>
      <c r="Y3671" t="s">
        <v>156</v>
      </c>
      <c r="Z3671">
        <v>1.3</v>
      </c>
      <c r="AA3671">
        <v>244</v>
      </c>
      <c r="AB3671">
        <v>61</v>
      </c>
      <c r="AC3671">
        <v>1.84</v>
      </c>
      <c r="AD3671" t="s">
        <v>5991</v>
      </c>
      <c r="AE3671" t="s">
        <v>18021</v>
      </c>
      <c r="AF3671" t="s">
        <v>18022</v>
      </c>
      <c r="AG3671" t="s">
        <v>10744</v>
      </c>
      <c r="AH3671">
        <v>-2.35</v>
      </c>
      <c r="AI3671">
        <v>-1.86</v>
      </c>
      <c r="AJ3671">
        <v>2.59</v>
      </c>
      <c r="AK3671">
        <v>5.23</v>
      </c>
      <c r="AL3671">
        <v>-3</v>
      </c>
      <c r="AM3671">
        <v>-0.88</v>
      </c>
      <c r="AN3671">
        <v>9.1</v>
      </c>
      <c r="AO3671">
        <v>0</v>
      </c>
      <c r="AP3671">
        <v>13.65</v>
      </c>
    </row>
    <row r="3672" spans="1:42">
      <c r="A3672">
        <v>3671</v>
      </c>
      <c r="B3672" t="str">
        <f>"831278"</f>
        <v>831278</v>
      </c>
      <c r="C3672" t="s">
        <v>18023</v>
      </c>
      <c r="D3672">
        <v>4.12</v>
      </c>
      <c r="E3672">
        <v>-10.43</v>
      </c>
      <c r="F3672">
        <v>-0.48</v>
      </c>
      <c r="G3672" t="s">
        <v>6355</v>
      </c>
      <c r="H3672">
        <v>980</v>
      </c>
      <c r="I3672">
        <v>4.12</v>
      </c>
      <c r="J3672">
        <v>4.13</v>
      </c>
      <c r="K3672" t="s">
        <v>18024</v>
      </c>
      <c r="L3672">
        <v>8.99</v>
      </c>
      <c r="M3672" t="s">
        <v>46</v>
      </c>
      <c r="N3672" t="s">
        <v>6882</v>
      </c>
      <c r="O3672">
        <v>4.75</v>
      </c>
      <c r="P3672">
        <v>4.02</v>
      </c>
      <c r="Q3672">
        <v>4.7</v>
      </c>
      <c r="R3672">
        <v>4.6</v>
      </c>
      <c r="S3672">
        <v>15.87</v>
      </c>
      <c r="T3672">
        <v>0.56</v>
      </c>
      <c r="U3672">
        <v>4.15</v>
      </c>
      <c r="V3672">
        <v>90</v>
      </c>
      <c r="W3672">
        <v>4.35</v>
      </c>
      <c r="X3672" t="s">
        <v>3090</v>
      </c>
      <c r="Y3672" t="s">
        <v>6418</v>
      </c>
      <c r="Z3672">
        <v>2.11</v>
      </c>
      <c r="AA3672">
        <v>186</v>
      </c>
      <c r="AB3672">
        <v>276</v>
      </c>
      <c r="AC3672">
        <v>1.73</v>
      </c>
      <c r="AD3672" t="s">
        <v>18025</v>
      </c>
      <c r="AE3672" t="s">
        <v>18026</v>
      </c>
      <c r="AF3672" t="s">
        <v>18027</v>
      </c>
      <c r="AG3672" t="s">
        <v>11559</v>
      </c>
      <c r="AH3672">
        <v>-21.97</v>
      </c>
      <c r="AI3672">
        <v>0</v>
      </c>
      <c r="AJ3672">
        <v>30.64</v>
      </c>
      <c r="AK3672">
        <v>89.15</v>
      </c>
      <c r="AL3672">
        <v>-1</v>
      </c>
      <c r="AM3672">
        <v>-10.43</v>
      </c>
      <c r="AN3672">
        <v>34.2</v>
      </c>
      <c r="AO3672">
        <v>37.33</v>
      </c>
      <c r="AP3672">
        <v>18.39</v>
      </c>
    </row>
    <row r="3673" spans="1:42">
      <c r="A3673">
        <v>3672</v>
      </c>
      <c r="B3673" t="str">
        <f>"688789"</f>
        <v>688789</v>
      </c>
      <c r="C3673" t="s">
        <v>18028</v>
      </c>
      <c r="D3673">
        <v>98.66</v>
      </c>
      <c r="E3673">
        <v>-1.83</v>
      </c>
      <c r="F3673">
        <v>-1.84</v>
      </c>
      <c r="G3673">
        <v>3841</v>
      </c>
      <c r="H3673">
        <v>8</v>
      </c>
      <c r="I3673">
        <v>98.61</v>
      </c>
      <c r="J3673">
        <v>98.66</v>
      </c>
      <c r="K3673" t="s">
        <v>18029</v>
      </c>
      <c r="L3673">
        <v>0.54</v>
      </c>
      <c r="M3673" t="s">
        <v>46</v>
      </c>
      <c r="N3673" t="s">
        <v>9386</v>
      </c>
      <c r="O3673">
        <v>101.2</v>
      </c>
      <c r="P3673">
        <v>97.66</v>
      </c>
      <c r="Q3673">
        <v>100.19</v>
      </c>
      <c r="R3673">
        <v>100.5</v>
      </c>
      <c r="S3673">
        <v>3.52</v>
      </c>
      <c r="T3673">
        <v>1.03</v>
      </c>
      <c r="U3673">
        <v>0.05</v>
      </c>
      <c r="V3673">
        <v>0</v>
      </c>
      <c r="W3673">
        <v>99.16</v>
      </c>
      <c r="X3673">
        <v>1868</v>
      </c>
      <c r="Y3673">
        <v>1973</v>
      </c>
      <c r="Z3673">
        <v>0.95</v>
      </c>
      <c r="AA3673">
        <v>6</v>
      </c>
      <c r="AB3673">
        <v>5</v>
      </c>
      <c r="AC3673">
        <v>4.23</v>
      </c>
      <c r="AD3673" t="s">
        <v>266</v>
      </c>
      <c r="AE3673" t="s">
        <v>18030</v>
      </c>
      <c r="AF3673" t="s">
        <v>18031</v>
      </c>
      <c r="AG3673" t="s">
        <v>7207</v>
      </c>
      <c r="AH3673">
        <v>-0.54</v>
      </c>
      <c r="AI3673">
        <v>0.45</v>
      </c>
      <c r="AJ3673">
        <v>1.56</v>
      </c>
      <c r="AK3673">
        <v>3.18</v>
      </c>
      <c r="AL3673">
        <v>-1</v>
      </c>
      <c r="AM3673">
        <v>-1.83</v>
      </c>
      <c r="AN3673">
        <v>-16.69</v>
      </c>
      <c r="AO3673">
        <v>-1.09</v>
      </c>
      <c r="AP3673">
        <v>-18.96</v>
      </c>
    </row>
    <row r="3674" spans="1:42">
      <c r="A3674">
        <v>3673</v>
      </c>
      <c r="B3674" t="str">
        <f>"688206"</f>
        <v>688206</v>
      </c>
      <c r="C3674" t="s">
        <v>18032</v>
      </c>
      <c r="D3674">
        <v>23.1</v>
      </c>
      <c r="E3674">
        <v>0.87</v>
      </c>
      <c r="F3674">
        <v>0.2</v>
      </c>
      <c r="G3674" t="s">
        <v>390</v>
      </c>
      <c r="H3674">
        <v>177</v>
      </c>
      <c r="I3674">
        <v>23.1</v>
      </c>
      <c r="J3674">
        <v>23.12</v>
      </c>
      <c r="K3674" t="s">
        <v>18029</v>
      </c>
      <c r="L3674">
        <v>1.06</v>
      </c>
      <c r="M3674" t="s">
        <v>46</v>
      </c>
      <c r="N3674" t="s">
        <v>6364</v>
      </c>
      <c r="O3674">
        <v>23.19</v>
      </c>
      <c r="P3674">
        <v>22.73</v>
      </c>
      <c r="Q3674">
        <v>22.96</v>
      </c>
      <c r="R3674">
        <v>22.9</v>
      </c>
      <c r="S3674">
        <v>2.01</v>
      </c>
      <c r="T3674">
        <v>0.7</v>
      </c>
      <c r="U3674">
        <v>-0.41</v>
      </c>
      <c r="V3674">
        <v>-1</v>
      </c>
      <c r="W3674">
        <v>22.96</v>
      </c>
      <c r="X3674">
        <v>7816</v>
      </c>
      <c r="Y3674">
        <v>8769</v>
      </c>
      <c r="Z3674">
        <v>0.89</v>
      </c>
      <c r="AA3674">
        <v>21</v>
      </c>
      <c r="AB3674">
        <v>18</v>
      </c>
      <c r="AC3674">
        <v>4.74</v>
      </c>
      <c r="AD3674" t="s">
        <v>18033</v>
      </c>
      <c r="AE3674" t="s">
        <v>4360</v>
      </c>
      <c r="AF3674" t="s">
        <v>17896</v>
      </c>
      <c r="AG3674" t="s">
        <v>18034</v>
      </c>
      <c r="AH3674">
        <v>-2.04</v>
      </c>
      <c r="AI3674">
        <v>-3.43</v>
      </c>
      <c r="AJ3674">
        <v>3.4</v>
      </c>
      <c r="AK3674">
        <v>8.67</v>
      </c>
      <c r="AL3674">
        <v>1</v>
      </c>
      <c r="AM3674">
        <v>0.87</v>
      </c>
      <c r="AN3674">
        <v>-17.65</v>
      </c>
      <c r="AO3674">
        <v>-4.7</v>
      </c>
      <c r="AP3674">
        <v>-29.83</v>
      </c>
    </row>
    <row r="3675" spans="1:42">
      <c r="A3675">
        <v>3674</v>
      </c>
      <c r="B3675" t="str">
        <f>"002096"</f>
        <v>002096</v>
      </c>
      <c r="C3675" t="s">
        <v>18035</v>
      </c>
      <c r="D3675">
        <v>9.04</v>
      </c>
      <c r="E3675">
        <v>-0.22</v>
      </c>
      <c r="F3675">
        <v>-0.02</v>
      </c>
      <c r="G3675" t="s">
        <v>4087</v>
      </c>
      <c r="H3675">
        <v>785</v>
      </c>
      <c r="I3675">
        <v>9.04</v>
      </c>
      <c r="J3675">
        <v>9.05</v>
      </c>
      <c r="K3675" t="s">
        <v>18029</v>
      </c>
      <c r="L3675">
        <v>0.87</v>
      </c>
      <c r="M3675" t="s">
        <v>46</v>
      </c>
      <c r="N3675" t="s">
        <v>18036</v>
      </c>
      <c r="O3675">
        <v>9.05</v>
      </c>
      <c r="P3675">
        <v>8.95</v>
      </c>
      <c r="Q3675">
        <v>9.05</v>
      </c>
      <c r="R3675">
        <v>9.06</v>
      </c>
      <c r="S3675">
        <v>1.1</v>
      </c>
      <c r="T3675">
        <v>0.7</v>
      </c>
      <c r="U3675">
        <v>-12.26</v>
      </c>
      <c r="V3675">
        <v>-368</v>
      </c>
      <c r="W3675">
        <v>8.99</v>
      </c>
      <c r="X3675" t="s">
        <v>3327</v>
      </c>
      <c r="Y3675" t="s">
        <v>2877</v>
      </c>
      <c r="Z3675">
        <v>1.14</v>
      </c>
      <c r="AA3675">
        <v>114</v>
      </c>
      <c r="AB3675">
        <v>508</v>
      </c>
      <c r="AC3675">
        <v>1.64</v>
      </c>
      <c r="AD3675" t="s">
        <v>11132</v>
      </c>
      <c r="AE3675" t="s">
        <v>18037</v>
      </c>
      <c r="AF3675" t="s">
        <v>1329</v>
      </c>
      <c r="AG3675" t="s">
        <v>18038</v>
      </c>
      <c r="AH3675">
        <v>-1.2</v>
      </c>
      <c r="AI3675">
        <v>-6.03</v>
      </c>
      <c r="AJ3675">
        <v>2.98</v>
      </c>
      <c r="AK3675">
        <v>7.09</v>
      </c>
      <c r="AL3675">
        <v>-6</v>
      </c>
      <c r="AM3675">
        <v>-0.22</v>
      </c>
      <c r="AN3675">
        <v>-30.62</v>
      </c>
      <c r="AO3675">
        <v>-14.07</v>
      </c>
      <c r="AP3675">
        <v>-20.7</v>
      </c>
    </row>
    <row r="3676" spans="1:42">
      <c r="A3676">
        <v>3675</v>
      </c>
      <c r="B3676" t="str">
        <f>"600400"</f>
        <v>600400</v>
      </c>
      <c r="C3676" t="s">
        <v>18039</v>
      </c>
      <c r="D3676">
        <v>2.93</v>
      </c>
      <c r="E3676">
        <v>0.34</v>
      </c>
      <c r="F3676">
        <v>0.01</v>
      </c>
      <c r="G3676" t="s">
        <v>1915</v>
      </c>
      <c r="H3676">
        <v>356</v>
      </c>
      <c r="I3676">
        <v>2.93</v>
      </c>
      <c r="J3676">
        <v>2.94</v>
      </c>
      <c r="K3676" t="s">
        <v>18040</v>
      </c>
      <c r="L3676">
        <v>0.57</v>
      </c>
      <c r="M3676" t="s">
        <v>46</v>
      </c>
      <c r="N3676" t="s">
        <v>1386</v>
      </c>
      <c r="O3676">
        <v>2.97</v>
      </c>
      <c r="P3676">
        <v>2.9</v>
      </c>
      <c r="Q3676">
        <v>2.92</v>
      </c>
      <c r="R3676">
        <v>2.92</v>
      </c>
      <c r="S3676">
        <v>2.4</v>
      </c>
      <c r="T3676">
        <v>1.28</v>
      </c>
      <c r="U3676">
        <v>-17.16</v>
      </c>
      <c r="V3676">
        <v>-6315</v>
      </c>
      <c r="W3676">
        <v>2.94</v>
      </c>
      <c r="X3676" t="s">
        <v>7126</v>
      </c>
      <c r="Y3676" t="s">
        <v>2567</v>
      </c>
      <c r="Z3676">
        <v>0.89</v>
      </c>
      <c r="AA3676">
        <v>2463</v>
      </c>
      <c r="AB3676">
        <v>1417</v>
      </c>
      <c r="AC3676">
        <v>2.28</v>
      </c>
      <c r="AD3676" t="s">
        <v>18041</v>
      </c>
      <c r="AE3676" t="s">
        <v>18042</v>
      </c>
      <c r="AF3676" t="s">
        <v>18043</v>
      </c>
      <c r="AG3676" t="s">
        <v>18044</v>
      </c>
      <c r="AH3676">
        <v>-1.35</v>
      </c>
      <c r="AI3676">
        <v>-2.98</v>
      </c>
      <c r="AJ3676">
        <v>1.36</v>
      </c>
      <c r="AK3676">
        <v>2.77</v>
      </c>
      <c r="AL3676">
        <v>1</v>
      </c>
      <c r="AM3676">
        <v>0.34</v>
      </c>
      <c r="AN3676">
        <v>-28.36</v>
      </c>
      <c r="AO3676">
        <v>-0.34</v>
      </c>
      <c r="AP3676">
        <v>-43.11</v>
      </c>
    </row>
    <row r="3677" spans="1:42">
      <c r="A3677">
        <v>3676</v>
      </c>
      <c r="B3677" t="str">
        <f>"300066"</f>
        <v>300066</v>
      </c>
      <c r="C3677" t="s">
        <v>18045</v>
      </c>
      <c r="D3677">
        <v>5.29</v>
      </c>
      <c r="E3677">
        <v>0</v>
      </c>
      <c r="F3677">
        <v>0</v>
      </c>
      <c r="G3677" t="s">
        <v>3224</v>
      </c>
      <c r="H3677">
        <v>1231</v>
      </c>
      <c r="I3677">
        <v>5.29</v>
      </c>
      <c r="J3677">
        <v>5.31</v>
      </c>
      <c r="K3677" t="s">
        <v>18046</v>
      </c>
      <c r="L3677">
        <v>0.72</v>
      </c>
      <c r="M3677" t="s">
        <v>46</v>
      </c>
      <c r="N3677" t="s">
        <v>17402</v>
      </c>
      <c r="O3677">
        <v>5.33</v>
      </c>
      <c r="P3677">
        <v>5.25</v>
      </c>
      <c r="Q3677">
        <v>5.31</v>
      </c>
      <c r="R3677">
        <v>5.29</v>
      </c>
      <c r="S3677">
        <v>1.51</v>
      </c>
      <c r="T3677">
        <v>0.9</v>
      </c>
      <c r="U3677">
        <v>3.23</v>
      </c>
      <c r="V3677">
        <v>228</v>
      </c>
      <c r="W3677">
        <v>5.28</v>
      </c>
      <c r="X3677" t="s">
        <v>1312</v>
      </c>
      <c r="Y3677" t="s">
        <v>762</v>
      </c>
      <c r="Z3677">
        <v>1.06</v>
      </c>
      <c r="AA3677">
        <v>1068</v>
      </c>
      <c r="AB3677">
        <v>534</v>
      </c>
      <c r="AC3677">
        <v>2.3</v>
      </c>
      <c r="AD3677" t="s">
        <v>2460</v>
      </c>
      <c r="AE3677" t="s">
        <v>18047</v>
      </c>
      <c r="AF3677" t="s">
        <v>10710</v>
      </c>
      <c r="AG3677" t="s">
        <v>1048</v>
      </c>
      <c r="AH3677">
        <v>-2.4</v>
      </c>
      <c r="AI3677">
        <v>-3.11</v>
      </c>
      <c r="AJ3677">
        <v>2.33</v>
      </c>
      <c r="AK3677">
        <v>4.69</v>
      </c>
      <c r="AL3677">
        <v>0</v>
      </c>
      <c r="AM3677">
        <v>0</v>
      </c>
      <c r="AN3677">
        <v>7.3</v>
      </c>
      <c r="AO3677">
        <v>-2.4</v>
      </c>
      <c r="AP3677">
        <v>-1.49</v>
      </c>
    </row>
    <row r="3678" spans="1:42">
      <c r="A3678">
        <v>3677</v>
      </c>
      <c r="B3678" t="str">
        <f>"300719"</f>
        <v>300719</v>
      </c>
      <c r="C3678" t="s">
        <v>18048</v>
      </c>
      <c r="D3678">
        <v>13.65</v>
      </c>
      <c r="E3678">
        <v>0.52</v>
      </c>
      <c r="F3678">
        <v>0.07</v>
      </c>
      <c r="G3678" t="s">
        <v>5553</v>
      </c>
      <c r="H3678">
        <v>82</v>
      </c>
      <c r="I3678">
        <v>13.64</v>
      </c>
      <c r="J3678">
        <v>13.65</v>
      </c>
      <c r="K3678" t="s">
        <v>18049</v>
      </c>
      <c r="L3678">
        <v>1.54</v>
      </c>
      <c r="M3678" t="s">
        <v>46</v>
      </c>
      <c r="N3678" t="s">
        <v>8330</v>
      </c>
      <c r="O3678">
        <v>13.74</v>
      </c>
      <c r="P3678">
        <v>13.47</v>
      </c>
      <c r="Q3678">
        <v>13.63</v>
      </c>
      <c r="R3678">
        <v>13.58</v>
      </c>
      <c r="S3678">
        <v>1.99</v>
      </c>
      <c r="T3678">
        <v>0.85</v>
      </c>
      <c r="U3678">
        <v>7.94</v>
      </c>
      <c r="V3678">
        <v>55</v>
      </c>
      <c r="W3678">
        <v>13.65</v>
      </c>
      <c r="X3678" t="s">
        <v>383</v>
      </c>
      <c r="Y3678" t="s">
        <v>7836</v>
      </c>
      <c r="Z3678">
        <v>0.91</v>
      </c>
      <c r="AA3678">
        <v>2</v>
      </c>
      <c r="AB3678">
        <v>17</v>
      </c>
      <c r="AC3678">
        <v>3.49</v>
      </c>
      <c r="AD3678" t="s">
        <v>18050</v>
      </c>
      <c r="AE3678" t="s">
        <v>16425</v>
      </c>
      <c r="AF3678" t="s">
        <v>8722</v>
      </c>
      <c r="AG3678" t="s">
        <v>18051</v>
      </c>
      <c r="AH3678">
        <v>-0.66</v>
      </c>
      <c r="AI3678">
        <v>-2.15</v>
      </c>
      <c r="AJ3678">
        <v>5.02</v>
      </c>
      <c r="AK3678">
        <v>10.67</v>
      </c>
      <c r="AL3678">
        <v>1</v>
      </c>
      <c r="AM3678">
        <v>0.52</v>
      </c>
      <c r="AN3678">
        <v>20.69</v>
      </c>
      <c r="AO3678">
        <v>3.49</v>
      </c>
      <c r="AP3678">
        <v>26.27</v>
      </c>
    </row>
    <row r="3679" spans="1:42">
      <c r="A3679">
        <v>3678</v>
      </c>
      <c r="B3679" t="str">
        <f>"430139"</f>
        <v>430139</v>
      </c>
      <c r="C3679" t="s">
        <v>18052</v>
      </c>
      <c r="D3679">
        <v>13.04</v>
      </c>
      <c r="E3679">
        <v>-0.69</v>
      </c>
      <c r="F3679">
        <v>-0.09</v>
      </c>
      <c r="G3679" t="s">
        <v>6581</v>
      </c>
      <c r="H3679">
        <v>161</v>
      </c>
      <c r="I3679">
        <v>13.04</v>
      </c>
      <c r="J3679">
        <v>13.05</v>
      </c>
      <c r="K3679" t="s">
        <v>18053</v>
      </c>
      <c r="L3679">
        <v>2.16</v>
      </c>
      <c r="M3679" t="s">
        <v>46</v>
      </c>
      <c r="N3679" t="s">
        <v>6126</v>
      </c>
      <c r="O3679">
        <v>13.59</v>
      </c>
      <c r="P3679">
        <v>12.91</v>
      </c>
      <c r="Q3679">
        <v>13.23</v>
      </c>
      <c r="R3679">
        <v>13.13</v>
      </c>
      <c r="S3679">
        <v>5.18</v>
      </c>
      <c r="T3679">
        <v>0.36</v>
      </c>
      <c r="U3679">
        <v>62.04</v>
      </c>
      <c r="V3679">
        <v>284</v>
      </c>
      <c r="W3679">
        <v>13.24</v>
      </c>
      <c r="X3679" t="s">
        <v>3069</v>
      </c>
      <c r="Y3679" t="s">
        <v>1400</v>
      </c>
      <c r="Z3679">
        <v>1.72</v>
      </c>
      <c r="AA3679">
        <v>87</v>
      </c>
      <c r="AB3679">
        <v>30</v>
      </c>
      <c r="AC3679">
        <v>3.19</v>
      </c>
      <c r="AD3679" t="s">
        <v>10988</v>
      </c>
      <c r="AE3679" t="s">
        <v>18054</v>
      </c>
      <c r="AF3679" t="s">
        <v>18055</v>
      </c>
      <c r="AG3679" t="s">
        <v>18056</v>
      </c>
      <c r="AH3679">
        <v>-8.23</v>
      </c>
      <c r="AI3679">
        <v>3.66</v>
      </c>
      <c r="AJ3679">
        <v>9.91</v>
      </c>
      <c r="AK3679">
        <v>31.82</v>
      </c>
      <c r="AL3679">
        <v>-4</v>
      </c>
      <c r="AM3679">
        <v>-0.69</v>
      </c>
      <c r="AN3679">
        <v>36.4</v>
      </c>
      <c r="AO3679">
        <v>26.97</v>
      </c>
      <c r="AP3679">
        <v>9.49</v>
      </c>
    </row>
    <row r="3680" spans="1:42">
      <c r="A3680">
        <v>3679</v>
      </c>
      <c r="B3680" t="str">
        <f>"300729"</f>
        <v>300729</v>
      </c>
      <c r="C3680" t="s">
        <v>18057</v>
      </c>
      <c r="D3680">
        <v>14.38</v>
      </c>
      <c r="E3680">
        <v>0.91</v>
      </c>
      <c r="F3680">
        <v>0.13</v>
      </c>
      <c r="G3680" t="s">
        <v>5746</v>
      </c>
      <c r="H3680">
        <v>319</v>
      </c>
      <c r="I3680">
        <v>14.38</v>
      </c>
      <c r="J3680">
        <v>14.39</v>
      </c>
      <c r="K3680" t="s">
        <v>18053</v>
      </c>
      <c r="L3680">
        <v>0.89</v>
      </c>
      <c r="M3680" t="s">
        <v>46</v>
      </c>
      <c r="N3680" t="s">
        <v>15765</v>
      </c>
      <c r="O3680">
        <v>14.45</v>
      </c>
      <c r="P3680">
        <v>14.11</v>
      </c>
      <c r="Q3680">
        <v>14.2</v>
      </c>
      <c r="R3680">
        <v>14.25</v>
      </c>
      <c r="S3680">
        <v>2.39</v>
      </c>
      <c r="T3680">
        <v>0.86</v>
      </c>
      <c r="U3680">
        <v>18.73</v>
      </c>
      <c r="V3680">
        <v>221</v>
      </c>
      <c r="W3680">
        <v>14.3</v>
      </c>
      <c r="X3680" t="s">
        <v>1384</v>
      </c>
      <c r="Y3680" t="s">
        <v>9445</v>
      </c>
      <c r="Z3680">
        <v>1.04</v>
      </c>
      <c r="AA3680">
        <v>8</v>
      </c>
      <c r="AB3680">
        <v>111</v>
      </c>
      <c r="AC3680">
        <v>1.54</v>
      </c>
      <c r="AD3680" t="s">
        <v>18058</v>
      </c>
      <c r="AE3680" t="s">
        <v>18059</v>
      </c>
      <c r="AF3680" t="s">
        <v>18060</v>
      </c>
      <c r="AG3680" t="s">
        <v>9742</v>
      </c>
      <c r="AH3680">
        <v>-2.18</v>
      </c>
      <c r="AI3680">
        <v>-2.77</v>
      </c>
      <c r="AJ3680">
        <v>3</v>
      </c>
      <c r="AK3680">
        <v>6.11</v>
      </c>
      <c r="AL3680">
        <v>1</v>
      </c>
      <c r="AM3680">
        <v>0.91</v>
      </c>
      <c r="AN3680">
        <v>18.16</v>
      </c>
      <c r="AO3680">
        <v>-1.51</v>
      </c>
      <c r="AP3680">
        <v>8.28</v>
      </c>
    </row>
    <row r="3681" spans="1:42">
      <c r="A3681">
        <v>3680</v>
      </c>
      <c r="B3681" t="str">
        <f>"300272"</f>
        <v>300272</v>
      </c>
      <c r="C3681" t="s">
        <v>18061</v>
      </c>
      <c r="D3681">
        <v>6.41</v>
      </c>
      <c r="E3681">
        <v>0.47</v>
      </c>
      <c r="F3681">
        <v>0.03</v>
      </c>
      <c r="G3681" t="s">
        <v>4753</v>
      </c>
      <c r="H3681">
        <v>533</v>
      </c>
      <c r="I3681">
        <v>6.4</v>
      </c>
      <c r="J3681">
        <v>6.41</v>
      </c>
      <c r="K3681" t="s">
        <v>18053</v>
      </c>
      <c r="L3681">
        <v>1.37</v>
      </c>
      <c r="M3681" t="s">
        <v>46</v>
      </c>
      <c r="N3681" t="s">
        <v>5397</v>
      </c>
      <c r="O3681">
        <v>6.46</v>
      </c>
      <c r="P3681">
        <v>6.35</v>
      </c>
      <c r="Q3681">
        <v>6.38</v>
      </c>
      <c r="R3681">
        <v>6.38</v>
      </c>
      <c r="S3681">
        <v>1.72</v>
      </c>
      <c r="T3681">
        <v>0.73</v>
      </c>
      <c r="U3681">
        <v>34.57</v>
      </c>
      <c r="V3681">
        <v>2143</v>
      </c>
      <c r="W3681">
        <v>6.41</v>
      </c>
      <c r="X3681" t="s">
        <v>7649</v>
      </c>
      <c r="Y3681" t="s">
        <v>2125</v>
      </c>
      <c r="Z3681">
        <v>0.99</v>
      </c>
      <c r="AA3681">
        <v>1422</v>
      </c>
      <c r="AB3681">
        <v>188</v>
      </c>
      <c r="AC3681">
        <v>3.16</v>
      </c>
      <c r="AD3681" t="s">
        <v>18062</v>
      </c>
      <c r="AE3681" t="s">
        <v>18063</v>
      </c>
      <c r="AF3681" t="s">
        <v>18064</v>
      </c>
      <c r="AG3681" t="s">
        <v>18065</v>
      </c>
      <c r="AH3681">
        <v>-1.69</v>
      </c>
      <c r="AI3681">
        <v>0.16</v>
      </c>
      <c r="AJ3681">
        <v>5.18</v>
      </c>
      <c r="AK3681">
        <v>10.83</v>
      </c>
      <c r="AL3681">
        <v>1</v>
      </c>
      <c r="AM3681">
        <v>0.47</v>
      </c>
      <c r="AN3681">
        <v>25.44</v>
      </c>
      <c r="AO3681">
        <v>10.14</v>
      </c>
      <c r="AP3681">
        <v>15.5</v>
      </c>
    </row>
    <row r="3682" spans="1:42">
      <c r="A3682">
        <v>3681</v>
      </c>
      <c r="B3682" t="str">
        <f>"600236"</f>
        <v>600236</v>
      </c>
      <c r="C3682" t="s">
        <v>18066</v>
      </c>
      <c r="D3682">
        <v>5.63</v>
      </c>
      <c r="E3682">
        <v>0</v>
      </c>
      <c r="F3682">
        <v>0</v>
      </c>
      <c r="G3682" t="s">
        <v>2359</v>
      </c>
      <c r="H3682">
        <v>478</v>
      </c>
      <c r="I3682">
        <v>5.63</v>
      </c>
      <c r="J3682">
        <v>5.64</v>
      </c>
      <c r="K3682" t="s">
        <v>18067</v>
      </c>
      <c r="L3682">
        <v>0.09</v>
      </c>
      <c r="M3682" t="s">
        <v>46</v>
      </c>
      <c r="N3682" t="s">
        <v>10441</v>
      </c>
      <c r="O3682">
        <v>5.67</v>
      </c>
      <c r="P3682">
        <v>5.59</v>
      </c>
      <c r="Q3682">
        <v>5.63</v>
      </c>
      <c r="R3682">
        <v>5.63</v>
      </c>
      <c r="S3682">
        <v>1.42</v>
      </c>
      <c r="T3682">
        <v>1.17</v>
      </c>
      <c r="U3682">
        <v>-42.91</v>
      </c>
      <c r="V3682">
        <v>-3804</v>
      </c>
      <c r="W3682">
        <v>5.64</v>
      </c>
      <c r="X3682" t="s">
        <v>10910</v>
      </c>
      <c r="Y3682" t="s">
        <v>3373</v>
      </c>
      <c r="Z3682">
        <v>0.66</v>
      </c>
      <c r="AA3682">
        <v>184</v>
      </c>
      <c r="AB3682">
        <v>137</v>
      </c>
      <c r="AC3682">
        <v>2.81</v>
      </c>
      <c r="AD3682" t="s">
        <v>6060</v>
      </c>
      <c r="AE3682" t="s">
        <v>18068</v>
      </c>
      <c r="AF3682" t="s">
        <v>6060</v>
      </c>
      <c r="AG3682" t="s">
        <v>18068</v>
      </c>
      <c r="AH3682">
        <v>1.62</v>
      </c>
      <c r="AI3682">
        <v>2.18</v>
      </c>
      <c r="AJ3682">
        <v>0.25</v>
      </c>
      <c r="AK3682">
        <v>0.45</v>
      </c>
      <c r="AL3682">
        <v>0</v>
      </c>
      <c r="AM3682">
        <v>0</v>
      </c>
      <c r="AN3682">
        <v>2.74</v>
      </c>
      <c r="AO3682">
        <v>2.36</v>
      </c>
      <c r="AP3682">
        <v>-4.25</v>
      </c>
    </row>
    <row r="3683" spans="1:42">
      <c r="A3683">
        <v>3682</v>
      </c>
      <c r="B3683" t="str">
        <f>"002287"</f>
        <v>002287</v>
      </c>
      <c r="C3683" t="s">
        <v>18069</v>
      </c>
      <c r="D3683">
        <v>23.9</v>
      </c>
      <c r="E3683">
        <v>-0.33</v>
      </c>
      <c r="F3683">
        <v>-0.08</v>
      </c>
      <c r="G3683" t="s">
        <v>4977</v>
      </c>
      <c r="H3683">
        <v>96</v>
      </c>
      <c r="I3683">
        <v>23.9</v>
      </c>
      <c r="J3683">
        <v>23.91</v>
      </c>
      <c r="K3683" t="s">
        <v>18070</v>
      </c>
      <c r="L3683">
        <v>0.3</v>
      </c>
      <c r="M3683" t="s">
        <v>46</v>
      </c>
      <c r="N3683" t="s">
        <v>958</v>
      </c>
      <c r="O3683">
        <v>24.18</v>
      </c>
      <c r="P3683">
        <v>23.77</v>
      </c>
      <c r="Q3683">
        <v>23.98</v>
      </c>
      <c r="R3683">
        <v>23.98</v>
      </c>
      <c r="S3683">
        <v>1.71</v>
      </c>
      <c r="T3683">
        <v>1.01</v>
      </c>
      <c r="U3683">
        <v>55.31</v>
      </c>
      <c r="V3683">
        <v>250</v>
      </c>
      <c r="W3683">
        <v>23.93</v>
      </c>
      <c r="X3683">
        <v>8833</v>
      </c>
      <c r="Y3683">
        <v>7020</v>
      </c>
      <c r="Z3683">
        <v>1.26</v>
      </c>
      <c r="AA3683">
        <v>5</v>
      </c>
      <c r="AB3683">
        <v>11</v>
      </c>
      <c r="AC3683">
        <v>3.75</v>
      </c>
      <c r="AD3683" t="s">
        <v>18071</v>
      </c>
      <c r="AE3683" t="s">
        <v>5658</v>
      </c>
      <c r="AF3683" t="s">
        <v>5728</v>
      </c>
      <c r="AG3683" t="s">
        <v>5503</v>
      </c>
      <c r="AH3683">
        <v>-0.75</v>
      </c>
      <c r="AI3683">
        <v>-0.75</v>
      </c>
      <c r="AJ3683">
        <v>0.72</v>
      </c>
      <c r="AK3683">
        <v>1.78</v>
      </c>
      <c r="AL3683">
        <v>-1</v>
      </c>
      <c r="AM3683">
        <v>-0.33</v>
      </c>
      <c r="AN3683">
        <v>6.41</v>
      </c>
      <c r="AO3683">
        <v>3.02</v>
      </c>
      <c r="AP3683">
        <v>-2.53</v>
      </c>
    </row>
    <row r="3684" spans="1:42">
      <c r="A3684">
        <v>3683</v>
      </c>
      <c r="B3684" t="str">
        <f>"300976"</f>
        <v>300976</v>
      </c>
      <c r="C3684" t="s">
        <v>18072</v>
      </c>
      <c r="D3684">
        <v>51.16</v>
      </c>
      <c r="E3684">
        <v>0.75</v>
      </c>
      <c r="F3684">
        <v>0.38</v>
      </c>
      <c r="G3684">
        <v>7442</v>
      </c>
      <c r="H3684">
        <v>193</v>
      </c>
      <c r="I3684">
        <v>51.15</v>
      </c>
      <c r="J3684">
        <v>51.16</v>
      </c>
      <c r="K3684" t="s">
        <v>18073</v>
      </c>
      <c r="L3684">
        <v>1.93</v>
      </c>
      <c r="M3684" t="s">
        <v>46</v>
      </c>
      <c r="N3684" t="s">
        <v>18074</v>
      </c>
      <c r="O3684">
        <v>51.39</v>
      </c>
      <c r="P3684">
        <v>50.32</v>
      </c>
      <c r="Q3684">
        <v>50.77</v>
      </c>
      <c r="R3684">
        <v>50.78</v>
      </c>
      <c r="S3684">
        <v>2.11</v>
      </c>
      <c r="T3684">
        <v>0.82</v>
      </c>
      <c r="U3684">
        <v>-63.87</v>
      </c>
      <c r="V3684">
        <v>-99</v>
      </c>
      <c r="W3684">
        <v>50.96</v>
      </c>
      <c r="X3684">
        <v>4264</v>
      </c>
      <c r="Y3684">
        <v>3178</v>
      </c>
      <c r="Z3684">
        <v>1.34</v>
      </c>
      <c r="AA3684">
        <v>1</v>
      </c>
      <c r="AB3684">
        <v>24</v>
      </c>
      <c r="AC3684">
        <v>1.55</v>
      </c>
      <c r="AD3684" t="s">
        <v>11219</v>
      </c>
      <c r="AE3684" t="s">
        <v>16529</v>
      </c>
      <c r="AF3684" t="s">
        <v>12624</v>
      </c>
      <c r="AG3684" t="s">
        <v>15678</v>
      </c>
      <c r="AH3684">
        <v>-3.44</v>
      </c>
      <c r="AI3684">
        <v>-1.48</v>
      </c>
      <c r="AJ3684">
        <v>6.8</v>
      </c>
      <c r="AK3684">
        <v>13.77</v>
      </c>
      <c r="AL3684">
        <v>1</v>
      </c>
      <c r="AM3684">
        <v>0.75</v>
      </c>
      <c r="AN3684">
        <v>25.64</v>
      </c>
      <c r="AO3684">
        <v>3.5</v>
      </c>
      <c r="AP3684">
        <v>13.59</v>
      </c>
    </row>
    <row r="3685" spans="1:42">
      <c r="A3685">
        <v>3684</v>
      </c>
      <c r="B3685" t="str">
        <f>"001914"</f>
        <v>001914</v>
      </c>
      <c r="C3685" t="s">
        <v>18075</v>
      </c>
      <c r="D3685">
        <v>13.29</v>
      </c>
      <c r="E3685">
        <v>0</v>
      </c>
      <c r="F3685">
        <v>0</v>
      </c>
      <c r="G3685" t="s">
        <v>6768</v>
      </c>
      <c r="H3685">
        <v>118</v>
      </c>
      <c r="I3685">
        <v>13.27</v>
      </c>
      <c r="J3685">
        <v>13.29</v>
      </c>
      <c r="K3685" t="s">
        <v>18076</v>
      </c>
      <c r="L3685">
        <v>0.27</v>
      </c>
      <c r="M3685" t="s">
        <v>46</v>
      </c>
      <c r="N3685" t="s">
        <v>17724</v>
      </c>
      <c r="O3685">
        <v>13.36</v>
      </c>
      <c r="P3685">
        <v>13.14</v>
      </c>
      <c r="Q3685">
        <v>13.26</v>
      </c>
      <c r="R3685">
        <v>13.29</v>
      </c>
      <c r="S3685">
        <v>1.66</v>
      </c>
      <c r="T3685">
        <v>0.95</v>
      </c>
      <c r="U3685">
        <v>-39.41</v>
      </c>
      <c r="V3685">
        <v>-199</v>
      </c>
      <c r="W3685">
        <v>13.25</v>
      </c>
      <c r="X3685" t="s">
        <v>144</v>
      </c>
      <c r="Y3685" t="s">
        <v>1427</v>
      </c>
      <c r="Z3685">
        <v>1.21</v>
      </c>
      <c r="AA3685">
        <v>7</v>
      </c>
      <c r="AB3685">
        <v>41</v>
      </c>
      <c r="AC3685">
        <v>1.47</v>
      </c>
      <c r="AD3685" t="s">
        <v>17767</v>
      </c>
      <c r="AE3685" t="s">
        <v>7819</v>
      </c>
      <c r="AF3685" t="s">
        <v>17767</v>
      </c>
      <c r="AG3685" t="s">
        <v>7819</v>
      </c>
      <c r="AH3685">
        <v>-1.63</v>
      </c>
      <c r="AI3685">
        <v>-4.11</v>
      </c>
      <c r="AJ3685">
        <v>0.76</v>
      </c>
      <c r="AK3685">
        <v>1.69</v>
      </c>
      <c r="AL3685">
        <v>0</v>
      </c>
      <c r="AM3685">
        <v>0</v>
      </c>
      <c r="AN3685">
        <v>-12.91</v>
      </c>
      <c r="AO3685">
        <v>-1.99</v>
      </c>
      <c r="AP3685">
        <v>-10.98</v>
      </c>
    </row>
    <row r="3686" spans="1:42">
      <c r="A3686">
        <v>3685</v>
      </c>
      <c r="B3686" t="str">
        <f>"002539"</f>
        <v>002539</v>
      </c>
      <c r="C3686" t="s">
        <v>18077</v>
      </c>
      <c r="D3686">
        <v>8.45</v>
      </c>
      <c r="E3686">
        <v>0.12</v>
      </c>
      <c r="F3686">
        <v>0.01</v>
      </c>
      <c r="G3686" t="s">
        <v>3779</v>
      </c>
      <c r="H3686">
        <v>108</v>
      </c>
      <c r="I3686">
        <v>8.45</v>
      </c>
      <c r="J3686">
        <v>8.46</v>
      </c>
      <c r="K3686" t="s">
        <v>18078</v>
      </c>
      <c r="L3686">
        <v>0.51</v>
      </c>
      <c r="M3686" t="s">
        <v>46</v>
      </c>
      <c r="N3686" t="s">
        <v>6181</v>
      </c>
      <c r="O3686">
        <v>8.51</v>
      </c>
      <c r="P3686">
        <v>8.38</v>
      </c>
      <c r="Q3686">
        <v>8.44</v>
      </c>
      <c r="R3686">
        <v>8.44</v>
      </c>
      <c r="S3686">
        <v>1.54</v>
      </c>
      <c r="T3686">
        <v>0.99</v>
      </c>
      <c r="U3686">
        <v>24.3</v>
      </c>
      <c r="V3686">
        <v>1431</v>
      </c>
      <c r="W3686">
        <v>8.43</v>
      </c>
      <c r="X3686" t="s">
        <v>9211</v>
      </c>
      <c r="Y3686" t="s">
        <v>2924</v>
      </c>
      <c r="Z3686">
        <v>1.28</v>
      </c>
      <c r="AA3686">
        <v>220</v>
      </c>
      <c r="AB3686">
        <v>112</v>
      </c>
      <c r="AC3686">
        <v>1.26</v>
      </c>
      <c r="AD3686" t="s">
        <v>9053</v>
      </c>
      <c r="AE3686" t="s">
        <v>9352</v>
      </c>
      <c r="AF3686" t="s">
        <v>18079</v>
      </c>
      <c r="AG3686" t="s">
        <v>15493</v>
      </c>
      <c r="AH3686">
        <v>-0.59</v>
      </c>
      <c r="AI3686">
        <v>-0.47</v>
      </c>
      <c r="AJ3686">
        <v>1.59</v>
      </c>
      <c r="AK3686">
        <v>3.09</v>
      </c>
      <c r="AL3686">
        <v>1</v>
      </c>
      <c r="AM3686">
        <v>0.12</v>
      </c>
      <c r="AN3686">
        <v>-21.9</v>
      </c>
      <c r="AO3686">
        <v>1.32</v>
      </c>
      <c r="AP3686">
        <v>-26.52</v>
      </c>
    </row>
    <row r="3687" spans="1:42">
      <c r="A3687">
        <v>3686</v>
      </c>
      <c r="B3687" t="str">
        <f>"836807"</f>
        <v>836807</v>
      </c>
      <c r="C3687" t="s">
        <v>18080</v>
      </c>
      <c r="D3687">
        <v>6.1</v>
      </c>
      <c r="E3687">
        <v>-6.15</v>
      </c>
      <c r="F3687">
        <v>-0.4</v>
      </c>
      <c r="G3687" t="s">
        <v>11085</v>
      </c>
      <c r="H3687">
        <v>1144</v>
      </c>
      <c r="I3687">
        <v>6.1</v>
      </c>
      <c r="J3687">
        <v>6.11</v>
      </c>
      <c r="K3687" t="s">
        <v>18078</v>
      </c>
      <c r="L3687">
        <v>7.55</v>
      </c>
      <c r="M3687" t="s">
        <v>46</v>
      </c>
      <c r="N3687" t="s">
        <v>3383</v>
      </c>
      <c r="O3687">
        <v>6.61</v>
      </c>
      <c r="P3687">
        <v>6.04</v>
      </c>
      <c r="Q3687">
        <v>6.52</v>
      </c>
      <c r="R3687">
        <v>6.5</v>
      </c>
      <c r="S3687">
        <v>8.77</v>
      </c>
      <c r="T3687">
        <v>0.56</v>
      </c>
      <c r="U3687">
        <v>35.18</v>
      </c>
      <c r="V3687">
        <v>1099</v>
      </c>
      <c r="W3687">
        <v>6.27</v>
      </c>
      <c r="X3687" t="s">
        <v>10547</v>
      </c>
      <c r="Y3687" t="s">
        <v>882</v>
      </c>
      <c r="Z3687">
        <v>2.16</v>
      </c>
      <c r="AA3687">
        <v>1449</v>
      </c>
      <c r="AB3687">
        <v>31</v>
      </c>
      <c r="AC3687">
        <v>1.18</v>
      </c>
      <c r="AD3687" t="s">
        <v>9872</v>
      </c>
      <c r="AE3687" t="s">
        <v>15068</v>
      </c>
      <c r="AF3687" t="s">
        <v>18081</v>
      </c>
      <c r="AG3687" t="s">
        <v>18082</v>
      </c>
      <c r="AH3687">
        <v>-7.58</v>
      </c>
      <c r="AI3687">
        <v>7.96</v>
      </c>
      <c r="AJ3687">
        <v>38.8</v>
      </c>
      <c r="AK3687">
        <v>75.41</v>
      </c>
      <c r="AL3687">
        <v>-2</v>
      </c>
      <c r="AM3687">
        <v>-6.15</v>
      </c>
      <c r="AN3687">
        <v>11.52</v>
      </c>
      <c r="AO3687">
        <v>25</v>
      </c>
      <c r="AP3687">
        <v>-28.65</v>
      </c>
    </row>
    <row r="3688" spans="1:42">
      <c r="A3688">
        <v>3687</v>
      </c>
      <c r="B3688" t="str">
        <f>"000890"</f>
        <v>000890</v>
      </c>
      <c r="C3688" t="s">
        <v>18083</v>
      </c>
      <c r="D3688">
        <v>4.72</v>
      </c>
      <c r="E3688">
        <v>-0.63</v>
      </c>
      <c r="F3688">
        <v>-0.03</v>
      </c>
      <c r="G3688" t="s">
        <v>4243</v>
      </c>
      <c r="H3688">
        <v>933</v>
      </c>
      <c r="I3688">
        <v>4.71</v>
      </c>
      <c r="J3688">
        <v>4.72</v>
      </c>
      <c r="K3688" t="s">
        <v>2653</v>
      </c>
      <c r="L3688">
        <v>1.91</v>
      </c>
      <c r="M3688" t="s">
        <v>46</v>
      </c>
      <c r="N3688" t="s">
        <v>1993</v>
      </c>
      <c r="O3688">
        <v>4.78</v>
      </c>
      <c r="P3688">
        <v>4.68</v>
      </c>
      <c r="Q3688">
        <v>4.76</v>
      </c>
      <c r="R3688">
        <v>4.75</v>
      </c>
      <c r="S3688">
        <v>2.11</v>
      </c>
      <c r="T3688">
        <v>1.24</v>
      </c>
      <c r="U3688">
        <v>45.84</v>
      </c>
      <c r="V3688">
        <v>3460</v>
      </c>
      <c r="W3688">
        <v>4.74</v>
      </c>
      <c r="X3688" t="s">
        <v>5983</v>
      </c>
      <c r="Y3688" t="s">
        <v>5355</v>
      </c>
      <c r="Z3688">
        <v>0.97</v>
      </c>
      <c r="AA3688">
        <v>1127</v>
      </c>
      <c r="AB3688">
        <v>144</v>
      </c>
      <c r="AC3688">
        <v>575.61</v>
      </c>
      <c r="AD3688" t="s">
        <v>15510</v>
      </c>
      <c r="AE3688" t="s">
        <v>15737</v>
      </c>
      <c r="AF3688" t="s">
        <v>15510</v>
      </c>
      <c r="AG3688" t="s">
        <v>15737</v>
      </c>
      <c r="AH3688">
        <v>-0.42</v>
      </c>
      <c r="AI3688">
        <v>-0.84</v>
      </c>
      <c r="AJ3688">
        <v>4.95</v>
      </c>
      <c r="AK3688">
        <v>9.58</v>
      </c>
      <c r="AL3688">
        <v>-2</v>
      </c>
      <c r="AM3688">
        <v>-0.63</v>
      </c>
      <c r="AN3688">
        <v>22.6</v>
      </c>
      <c r="AO3688">
        <v>1.29</v>
      </c>
      <c r="AP3688">
        <v>11.58</v>
      </c>
    </row>
    <row r="3689" spans="1:42">
      <c r="A3689">
        <v>3688</v>
      </c>
      <c r="B3689" t="str">
        <f>"836957"</f>
        <v>836957</v>
      </c>
      <c r="C3689" t="s">
        <v>18084</v>
      </c>
      <c r="D3689">
        <v>7.47</v>
      </c>
      <c r="E3689">
        <v>-14.14</v>
      </c>
      <c r="F3689">
        <v>-1.23</v>
      </c>
      <c r="G3689" t="s">
        <v>2560</v>
      </c>
      <c r="H3689">
        <v>275</v>
      </c>
      <c r="I3689">
        <v>7.41</v>
      </c>
      <c r="J3689">
        <v>7.47</v>
      </c>
      <c r="K3689" t="s">
        <v>18085</v>
      </c>
      <c r="L3689">
        <v>18.17</v>
      </c>
      <c r="M3689" t="s">
        <v>46</v>
      </c>
      <c r="N3689" t="s">
        <v>4289</v>
      </c>
      <c r="O3689">
        <v>8.58</v>
      </c>
      <c r="P3689">
        <v>7.03</v>
      </c>
      <c r="Q3689">
        <v>8.08</v>
      </c>
      <c r="R3689">
        <v>8.7</v>
      </c>
      <c r="S3689">
        <v>17.82</v>
      </c>
      <c r="T3689">
        <v>0.83</v>
      </c>
      <c r="U3689">
        <v>23.29</v>
      </c>
      <c r="V3689">
        <v>125</v>
      </c>
      <c r="W3689">
        <v>7.77</v>
      </c>
      <c r="X3689" t="s">
        <v>1704</v>
      </c>
      <c r="Y3689" t="s">
        <v>144</v>
      </c>
      <c r="Z3689">
        <v>2.1</v>
      </c>
      <c r="AA3689">
        <v>17</v>
      </c>
      <c r="AB3689">
        <v>89</v>
      </c>
      <c r="AC3689">
        <v>2.1</v>
      </c>
      <c r="AD3689" t="s">
        <v>18086</v>
      </c>
      <c r="AE3689" t="s">
        <v>18087</v>
      </c>
      <c r="AF3689" t="s">
        <v>18088</v>
      </c>
      <c r="AG3689" t="s">
        <v>3738</v>
      </c>
      <c r="AH3689">
        <v>-5.56</v>
      </c>
      <c r="AI3689">
        <v>30.37</v>
      </c>
      <c r="AJ3689">
        <v>59.15</v>
      </c>
      <c r="AK3689">
        <v>127.33</v>
      </c>
      <c r="AL3689">
        <v>-1</v>
      </c>
      <c r="AM3689">
        <v>-14.14</v>
      </c>
      <c r="AN3689">
        <v>45.9</v>
      </c>
      <c r="AO3689">
        <v>58.6</v>
      </c>
      <c r="AP3689">
        <v>-14.14</v>
      </c>
    </row>
    <row r="3690" spans="1:42">
      <c r="A3690">
        <v>3689</v>
      </c>
      <c r="B3690" t="str">
        <f>"830799"</f>
        <v>830799</v>
      </c>
      <c r="C3690" t="s">
        <v>18089</v>
      </c>
      <c r="D3690">
        <v>9.63</v>
      </c>
      <c r="E3690">
        <v>-4.94</v>
      </c>
      <c r="F3690">
        <v>-0.5</v>
      </c>
      <c r="G3690" t="s">
        <v>8166</v>
      </c>
      <c r="H3690">
        <v>472</v>
      </c>
      <c r="I3690">
        <v>9.63</v>
      </c>
      <c r="J3690">
        <v>9.64</v>
      </c>
      <c r="K3690" t="s">
        <v>18085</v>
      </c>
      <c r="L3690">
        <v>3.25</v>
      </c>
      <c r="M3690" t="s">
        <v>46</v>
      </c>
      <c r="N3690" t="s">
        <v>3303</v>
      </c>
      <c r="O3690">
        <v>10.38</v>
      </c>
      <c r="P3690">
        <v>9.53</v>
      </c>
      <c r="Q3690">
        <v>10.25</v>
      </c>
      <c r="R3690">
        <v>10.13</v>
      </c>
      <c r="S3690">
        <v>8.39</v>
      </c>
      <c r="T3690">
        <v>0.42</v>
      </c>
      <c r="U3690">
        <v>7.91</v>
      </c>
      <c r="V3690">
        <v>124</v>
      </c>
      <c r="W3690">
        <v>9.91</v>
      </c>
      <c r="X3690" t="s">
        <v>3328</v>
      </c>
      <c r="Y3690" t="s">
        <v>6867</v>
      </c>
      <c r="Z3690">
        <v>1.66</v>
      </c>
      <c r="AA3690">
        <v>449</v>
      </c>
      <c r="AB3690">
        <v>160</v>
      </c>
      <c r="AC3690">
        <v>5.64</v>
      </c>
      <c r="AD3690" t="s">
        <v>18090</v>
      </c>
      <c r="AE3690" t="s">
        <v>18091</v>
      </c>
      <c r="AF3690" t="s">
        <v>8889</v>
      </c>
      <c r="AG3690" t="s">
        <v>649</v>
      </c>
      <c r="AH3690">
        <v>-12.14</v>
      </c>
      <c r="AI3690">
        <v>1.16</v>
      </c>
      <c r="AJ3690">
        <v>12.53</v>
      </c>
      <c r="AK3690">
        <v>41.82</v>
      </c>
      <c r="AL3690">
        <v>-1</v>
      </c>
      <c r="AM3690">
        <v>-4.94</v>
      </c>
      <c r="AN3690">
        <v>62.67</v>
      </c>
      <c r="AO3690">
        <v>27.21</v>
      </c>
      <c r="AP3690">
        <v>45.91</v>
      </c>
    </row>
    <row r="3691" spans="1:42">
      <c r="A3691">
        <v>3690</v>
      </c>
      <c r="B3691" t="str">
        <f>"600295"</f>
        <v>600295</v>
      </c>
      <c r="C3691" t="s">
        <v>18092</v>
      </c>
      <c r="D3691">
        <v>9.13</v>
      </c>
      <c r="E3691">
        <v>0</v>
      </c>
      <c r="F3691">
        <v>0</v>
      </c>
      <c r="G3691" t="s">
        <v>5767</v>
      </c>
      <c r="H3691">
        <v>88</v>
      </c>
      <c r="I3691">
        <v>9.13</v>
      </c>
      <c r="J3691">
        <v>9.14</v>
      </c>
      <c r="K3691" t="s">
        <v>18093</v>
      </c>
      <c r="L3691">
        <v>0.21</v>
      </c>
      <c r="M3691" t="s">
        <v>46</v>
      </c>
      <c r="N3691" t="s">
        <v>4820</v>
      </c>
      <c r="O3691">
        <v>9.16</v>
      </c>
      <c r="P3691">
        <v>9.08</v>
      </c>
      <c r="Q3691">
        <v>9.12</v>
      </c>
      <c r="R3691">
        <v>9.13</v>
      </c>
      <c r="S3691">
        <v>0.88</v>
      </c>
      <c r="T3691">
        <v>0.71</v>
      </c>
      <c r="U3691">
        <v>32.26</v>
      </c>
      <c r="V3691">
        <v>1960</v>
      </c>
      <c r="W3691">
        <v>9.1</v>
      </c>
      <c r="X3691" t="s">
        <v>8267</v>
      </c>
      <c r="Y3691" t="s">
        <v>10934</v>
      </c>
      <c r="Z3691">
        <v>1.15</v>
      </c>
      <c r="AA3691">
        <v>121</v>
      </c>
      <c r="AB3691">
        <v>986</v>
      </c>
      <c r="AC3691">
        <v>1.22</v>
      </c>
      <c r="AD3691" t="s">
        <v>16023</v>
      </c>
      <c r="AE3691" t="s">
        <v>4408</v>
      </c>
      <c r="AF3691" t="s">
        <v>12853</v>
      </c>
      <c r="AG3691" t="s">
        <v>6457</v>
      </c>
      <c r="AH3691">
        <v>-0.98</v>
      </c>
      <c r="AI3691">
        <v>-0.76</v>
      </c>
      <c r="AJ3691">
        <v>0.79</v>
      </c>
      <c r="AK3691">
        <v>1.68</v>
      </c>
      <c r="AL3691">
        <v>0</v>
      </c>
      <c r="AM3691">
        <v>0</v>
      </c>
      <c r="AN3691">
        <v>-9.96</v>
      </c>
      <c r="AO3691">
        <v>-1.51</v>
      </c>
      <c r="AP3691">
        <v>-9.06</v>
      </c>
    </row>
    <row r="3692" spans="1:42">
      <c r="A3692">
        <v>3691</v>
      </c>
      <c r="B3692" t="str">
        <f>"300900"</f>
        <v>300900</v>
      </c>
      <c r="C3692" t="s">
        <v>18094</v>
      </c>
      <c r="D3692">
        <v>25.02</v>
      </c>
      <c r="E3692">
        <v>0.36</v>
      </c>
      <c r="F3692">
        <v>0.09</v>
      </c>
      <c r="G3692" t="s">
        <v>2371</v>
      </c>
      <c r="H3692">
        <v>159</v>
      </c>
      <c r="I3692">
        <v>25.01</v>
      </c>
      <c r="J3692">
        <v>25.02</v>
      </c>
      <c r="K3692" t="s">
        <v>18095</v>
      </c>
      <c r="L3692">
        <v>0.99</v>
      </c>
      <c r="M3692" t="s">
        <v>46</v>
      </c>
      <c r="N3692" t="s">
        <v>18096</v>
      </c>
      <c r="O3692">
        <v>25.15</v>
      </c>
      <c r="P3692">
        <v>24.73</v>
      </c>
      <c r="Q3692">
        <v>24.9</v>
      </c>
      <c r="R3692">
        <v>24.93</v>
      </c>
      <c r="S3692">
        <v>1.68</v>
      </c>
      <c r="T3692">
        <v>0.92</v>
      </c>
      <c r="U3692">
        <v>-52.01</v>
      </c>
      <c r="V3692">
        <v>-336</v>
      </c>
      <c r="W3692">
        <v>24.97</v>
      </c>
      <c r="X3692">
        <v>7079</v>
      </c>
      <c r="Y3692">
        <v>8043</v>
      </c>
      <c r="Z3692">
        <v>0.88</v>
      </c>
      <c r="AA3692">
        <v>11</v>
      </c>
      <c r="AB3692">
        <v>43</v>
      </c>
      <c r="AC3692">
        <v>3.76</v>
      </c>
      <c r="AD3692" t="s">
        <v>3331</v>
      </c>
      <c r="AE3692" t="s">
        <v>18097</v>
      </c>
      <c r="AF3692" t="s">
        <v>8727</v>
      </c>
      <c r="AG3692" t="s">
        <v>18098</v>
      </c>
      <c r="AH3692">
        <v>-1.57</v>
      </c>
      <c r="AI3692">
        <v>-2.49</v>
      </c>
      <c r="AJ3692">
        <v>3.17</v>
      </c>
      <c r="AK3692">
        <v>6.32</v>
      </c>
      <c r="AL3692">
        <v>1</v>
      </c>
      <c r="AM3692">
        <v>0.36</v>
      </c>
      <c r="AN3692">
        <v>-12.3</v>
      </c>
      <c r="AO3692">
        <v>2.21</v>
      </c>
      <c r="AP3692">
        <v>-13.96</v>
      </c>
    </row>
    <row r="3693" spans="1:42">
      <c r="A3693">
        <v>3692</v>
      </c>
      <c r="B3693" t="str">
        <f>"001872"</f>
        <v>001872</v>
      </c>
      <c r="C3693" t="s">
        <v>18099</v>
      </c>
      <c r="D3693">
        <v>16.06</v>
      </c>
      <c r="E3693">
        <v>0.75</v>
      </c>
      <c r="F3693">
        <v>0.12</v>
      </c>
      <c r="G3693" t="s">
        <v>2818</v>
      </c>
      <c r="H3693">
        <v>203</v>
      </c>
      <c r="I3693">
        <v>16.05</v>
      </c>
      <c r="J3693">
        <v>16.06</v>
      </c>
      <c r="K3693" t="s">
        <v>18095</v>
      </c>
      <c r="L3693">
        <v>0.14</v>
      </c>
      <c r="M3693" t="s">
        <v>46</v>
      </c>
      <c r="N3693" t="s">
        <v>9071</v>
      </c>
      <c r="O3693">
        <v>16.06</v>
      </c>
      <c r="P3693">
        <v>15.79</v>
      </c>
      <c r="Q3693">
        <v>15.98</v>
      </c>
      <c r="R3693">
        <v>15.94</v>
      </c>
      <c r="S3693">
        <v>1.69</v>
      </c>
      <c r="T3693">
        <v>1.17</v>
      </c>
      <c r="U3693">
        <v>-41.08</v>
      </c>
      <c r="V3693">
        <v>-534</v>
      </c>
      <c r="W3693">
        <v>15.98</v>
      </c>
      <c r="X3693">
        <v>9882</v>
      </c>
      <c r="Y3693" t="s">
        <v>4525</v>
      </c>
      <c r="Z3693">
        <v>0.72</v>
      </c>
      <c r="AA3693">
        <v>112</v>
      </c>
      <c r="AB3693">
        <v>56</v>
      </c>
      <c r="AC3693">
        <v>0.69</v>
      </c>
      <c r="AD3693" t="s">
        <v>18100</v>
      </c>
      <c r="AE3693" t="s">
        <v>18101</v>
      </c>
      <c r="AF3693" t="s">
        <v>8043</v>
      </c>
      <c r="AG3693" t="s">
        <v>12138</v>
      </c>
      <c r="AH3693">
        <v>1.52</v>
      </c>
      <c r="AI3693">
        <v>1.07</v>
      </c>
      <c r="AJ3693">
        <v>0.39</v>
      </c>
      <c r="AK3693">
        <v>0.72</v>
      </c>
      <c r="AL3693">
        <v>2</v>
      </c>
      <c r="AM3693">
        <v>0.75</v>
      </c>
      <c r="AN3693">
        <v>15.46</v>
      </c>
      <c r="AO3693">
        <v>2.82</v>
      </c>
      <c r="AP3693">
        <v>13.82</v>
      </c>
    </row>
    <row r="3694" spans="1:42">
      <c r="A3694">
        <v>3693</v>
      </c>
      <c r="B3694" t="str">
        <f>"003039"</f>
        <v>003039</v>
      </c>
      <c r="C3694" t="s">
        <v>18102</v>
      </c>
      <c r="D3694">
        <v>15.61</v>
      </c>
      <c r="E3694">
        <v>1.04</v>
      </c>
      <c r="F3694">
        <v>0.16</v>
      </c>
      <c r="G3694" t="s">
        <v>4037</v>
      </c>
      <c r="H3694">
        <v>838</v>
      </c>
      <c r="I3694">
        <v>15.61</v>
      </c>
      <c r="J3694">
        <v>15.62</v>
      </c>
      <c r="K3694" t="s">
        <v>18103</v>
      </c>
      <c r="L3694">
        <v>1.98</v>
      </c>
      <c r="M3694" t="s">
        <v>46</v>
      </c>
      <c r="N3694" t="s">
        <v>7120</v>
      </c>
      <c r="O3694">
        <v>15.64</v>
      </c>
      <c r="P3694">
        <v>15.46</v>
      </c>
      <c r="Q3694">
        <v>15.5</v>
      </c>
      <c r="R3694">
        <v>15.45</v>
      </c>
      <c r="S3694">
        <v>1.17</v>
      </c>
      <c r="T3694">
        <v>0.8</v>
      </c>
      <c r="U3694">
        <v>16.29</v>
      </c>
      <c r="V3694">
        <v>442</v>
      </c>
      <c r="W3694">
        <v>15.57</v>
      </c>
      <c r="X3694">
        <v>9173</v>
      </c>
      <c r="Y3694" t="s">
        <v>2371</v>
      </c>
      <c r="Z3694">
        <v>0.61</v>
      </c>
      <c r="AA3694">
        <v>979</v>
      </c>
      <c r="AB3694">
        <v>328</v>
      </c>
      <c r="AC3694">
        <v>3.83</v>
      </c>
      <c r="AD3694" t="s">
        <v>18104</v>
      </c>
      <c r="AE3694" t="s">
        <v>18105</v>
      </c>
      <c r="AF3694" t="s">
        <v>18106</v>
      </c>
      <c r="AG3694" t="s">
        <v>18107</v>
      </c>
      <c r="AH3694">
        <v>-0.7</v>
      </c>
      <c r="AI3694">
        <v>-0.76</v>
      </c>
      <c r="AJ3694">
        <v>6.76</v>
      </c>
      <c r="AK3694">
        <v>14.42</v>
      </c>
      <c r="AL3694">
        <v>1</v>
      </c>
      <c r="AM3694">
        <v>1.04</v>
      </c>
      <c r="AN3694">
        <v>-7.08</v>
      </c>
      <c r="AO3694">
        <v>-1.01</v>
      </c>
      <c r="AP3694">
        <v>-9.77</v>
      </c>
    </row>
    <row r="3695" spans="1:42">
      <c r="A3695">
        <v>3694</v>
      </c>
      <c r="B3695" t="str">
        <f>"300515"</f>
        <v>300515</v>
      </c>
      <c r="C3695" t="s">
        <v>18108</v>
      </c>
      <c r="D3695">
        <v>12</v>
      </c>
      <c r="E3695">
        <v>0.33</v>
      </c>
      <c r="F3695">
        <v>0.04</v>
      </c>
      <c r="G3695" t="s">
        <v>3558</v>
      </c>
      <c r="H3695">
        <v>272</v>
      </c>
      <c r="I3695">
        <v>12</v>
      </c>
      <c r="J3695">
        <v>12.02</v>
      </c>
      <c r="K3695" t="s">
        <v>18109</v>
      </c>
      <c r="L3695">
        <v>1.72</v>
      </c>
      <c r="M3695" t="s">
        <v>46</v>
      </c>
      <c r="N3695" t="s">
        <v>4501</v>
      </c>
      <c r="O3695">
        <v>12.06</v>
      </c>
      <c r="P3695">
        <v>11.79</v>
      </c>
      <c r="Q3695">
        <v>12.02</v>
      </c>
      <c r="R3695">
        <v>11.96</v>
      </c>
      <c r="S3695">
        <v>2.26</v>
      </c>
      <c r="T3695">
        <v>0.74</v>
      </c>
      <c r="U3695">
        <v>-11.04</v>
      </c>
      <c r="V3695">
        <v>-66</v>
      </c>
      <c r="W3695">
        <v>11.91</v>
      </c>
      <c r="X3695" t="s">
        <v>578</v>
      </c>
      <c r="Y3695" t="s">
        <v>4943</v>
      </c>
      <c r="Z3695">
        <v>0.94</v>
      </c>
      <c r="AA3695">
        <v>125</v>
      </c>
      <c r="AB3695">
        <v>228</v>
      </c>
      <c r="AC3695">
        <v>3.4</v>
      </c>
      <c r="AD3695" t="s">
        <v>14971</v>
      </c>
      <c r="AE3695" t="s">
        <v>14733</v>
      </c>
      <c r="AF3695" t="s">
        <v>18110</v>
      </c>
      <c r="AG3695" t="s">
        <v>18111</v>
      </c>
      <c r="AH3695">
        <v>-1.72</v>
      </c>
      <c r="AI3695">
        <v>-1.56</v>
      </c>
      <c r="AJ3695">
        <v>5.31</v>
      </c>
      <c r="AK3695">
        <v>13.4</v>
      </c>
      <c r="AL3695">
        <v>1</v>
      </c>
      <c r="AM3695">
        <v>0.33</v>
      </c>
      <c r="AN3695">
        <v>0.42</v>
      </c>
      <c r="AO3695">
        <v>2.74</v>
      </c>
      <c r="AP3695">
        <v>-27.62</v>
      </c>
    </row>
    <row r="3696" spans="1:42">
      <c r="A3696">
        <v>3695</v>
      </c>
      <c r="B3696" t="str">
        <f>"300743"</f>
        <v>300743</v>
      </c>
      <c r="C3696" t="s">
        <v>18112</v>
      </c>
      <c r="D3696">
        <v>14.29</v>
      </c>
      <c r="E3696">
        <v>0</v>
      </c>
      <c r="F3696">
        <v>0</v>
      </c>
      <c r="G3696" t="s">
        <v>7160</v>
      </c>
      <c r="H3696">
        <v>265</v>
      </c>
      <c r="I3696">
        <v>14.29</v>
      </c>
      <c r="J3696">
        <v>14.3</v>
      </c>
      <c r="K3696" t="s">
        <v>9398</v>
      </c>
      <c r="L3696">
        <v>2.04</v>
      </c>
      <c r="M3696" t="s">
        <v>46</v>
      </c>
      <c r="N3696" t="s">
        <v>3083</v>
      </c>
      <c r="O3696">
        <v>14.39</v>
      </c>
      <c r="P3696">
        <v>14.19</v>
      </c>
      <c r="Q3696">
        <v>14.28</v>
      </c>
      <c r="R3696">
        <v>14.29</v>
      </c>
      <c r="S3696">
        <v>1.4</v>
      </c>
      <c r="T3696">
        <v>0.98</v>
      </c>
      <c r="U3696">
        <v>50.26</v>
      </c>
      <c r="V3696">
        <v>307</v>
      </c>
      <c r="W3696">
        <v>14.28</v>
      </c>
      <c r="X3696" t="s">
        <v>7836</v>
      </c>
      <c r="Y3696" t="s">
        <v>1083</v>
      </c>
      <c r="Z3696">
        <v>1.24</v>
      </c>
      <c r="AA3696">
        <v>6</v>
      </c>
      <c r="AB3696">
        <v>12</v>
      </c>
      <c r="AC3696">
        <v>5.08</v>
      </c>
      <c r="AD3696" t="s">
        <v>11113</v>
      </c>
      <c r="AE3696" t="s">
        <v>17343</v>
      </c>
      <c r="AF3696" t="s">
        <v>16868</v>
      </c>
      <c r="AG3696" t="s">
        <v>18113</v>
      </c>
      <c r="AH3696">
        <v>-1.72</v>
      </c>
      <c r="AI3696">
        <v>-2.86</v>
      </c>
      <c r="AJ3696">
        <v>5.81</v>
      </c>
      <c r="AK3696">
        <v>12.44</v>
      </c>
      <c r="AL3696">
        <v>0</v>
      </c>
      <c r="AM3696">
        <v>0</v>
      </c>
      <c r="AN3696">
        <v>26.24</v>
      </c>
      <c r="AO3696">
        <v>-0.35</v>
      </c>
      <c r="AP3696">
        <v>15.8</v>
      </c>
    </row>
    <row r="3697" spans="1:42">
      <c r="A3697">
        <v>3696</v>
      </c>
      <c r="B3697" t="str">
        <f>"603855"</f>
        <v>603855</v>
      </c>
      <c r="C3697" t="s">
        <v>18114</v>
      </c>
      <c r="D3697">
        <v>19.48</v>
      </c>
      <c r="E3697">
        <v>-2.65</v>
      </c>
      <c r="F3697">
        <v>-0.53</v>
      </c>
      <c r="G3697" t="s">
        <v>10934</v>
      </c>
      <c r="H3697">
        <v>72</v>
      </c>
      <c r="I3697">
        <v>19.48</v>
      </c>
      <c r="J3697">
        <v>19.49</v>
      </c>
      <c r="K3697" t="s">
        <v>18115</v>
      </c>
      <c r="L3697">
        <v>0.58</v>
      </c>
      <c r="M3697" t="s">
        <v>46</v>
      </c>
      <c r="N3697" t="s">
        <v>5809</v>
      </c>
      <c r="O3697">
        <v>20.01</v>
      </c>
      <c r="P3697">
        <v>19.41</v>
      </c>
      <c r="Q3697">
        <v>19.93</v>
      </c>
      <c r="R3697">
        <v>20.01</v>
      </c>
      <c r="S3697">
        <v>3</v>
      </c>
      <c r="T3697">
        <v>0.72</v>
      </c>
      <c r="U3697">
        <v>53.57</v>
      </c>
      <c r="V3697">
        <v>328</v>
      </c>
      <c r="W3697">
        <v>19.57</v>
      </c>
      <c r="X3697">
        <v>9727</v>
      </c>
      <c r="Y3697">
        <v>9532</v>
      </c>
      <c r="Z3697">
        <v>1.02</v>
      </c>
      <c r="AA3697">
        <v>2</v>
      </c>
      <c r="AB3697">
        <v>54</v>
      </c>
      <c r="AC3697">
        <v>3.71</v>
      </c>
      <c r="AD3697" t="s">
        <v>18116</v>
      </c>
      <c r="AE3697" t="s">
        <v>18117</v>
      </c>
      <c r="AF3697" t="s">
        <v>18118</v>
      </c>
      <c r="AG3697" t="s">
        <v>18119</v>
      </c>
      <c r="AH3697">
        <v>-0.66</v>
      </c>
      <c r="AI3697">
        <v>-4.56</v>
      </c>
      <c r="AJ3697">
        <v>2.05</v>
      </c>
      <c r="AK3697">
        <v>4.55</v>
      </c>
      <c r="AL3697">
        <v>-2</v>
      </c>
      <c r="AM3697">
        <v>-2.65</v>
      </c>
      <c r="AN3697">
        <v>-11.86</v>
      </c>
      <c r="AO3697">
        <v>8.64</v>
      </c>
      <c r="AP3697">
        <v>-9.61</v>
      </c>
    </row>
    <row r="3698" spans="1:42">
      <c r="A3698">
        <v>3697</v>
      </c>
      <c r="B3698" t="str">
        <f>"834682"</f>
        <v>834682</v>
      </c>
      <c r="C3698" t="s">
        <v>18120</v>
      </c>
      <c r="D3698">
        <v>6.61</v>
      </c>
      <c r="E3698">
        <v>-6.24</v>
      </c>
      <c r="F3698">
        <v>-0.44</v>
      </c>
      <c r="G3698" t="s">
        <v>2405</v>
      </c>
      <c r="H3698">
        <v>1005</v>
      </c>
      <c r="I3698">
        <v>6.59</v>
      </c>
      <c r="J3698">
        <v>6.61</v>
      </c>
      <c r="K3698" t="s">
        <v>18121</v>
      </c>
      <c r="L3698">
        <v>6.89</v>
      </c>
      <c r="M3698" t="s">
        <v>46</v>
      </c>
      <c r="N3698" t="s">
        <v>5809</v>
      </c>
      <c r="O3698">
        <v>7.25</v>
      </c>
      <c r="P3698">
        <v>6.54</v>
      </c>
      <c r="Q3698">
        <v>7.12</v>
      </c>
      <c r="R3698">
        <v>7.05</v>
      </c>
      <c r="S3698">
        <v>10.07</v>
      </c>
      <c r="T3698">
        <v>0.48</v>
      </c>
      <c r="U3698">
        <v>-76.75</v>
      </c>
      <c r="V3698">
        <v>-1413</v>
      </c>
      <c r="W3698">
        <v>6.84</v>
      </c>
      <c r="X3698" t="s">
        <v>5454</v>
      </c>
      <c r="Y3698" t="s">
        <v>7053</v>
      </c>
      <c r="Z3698">
        <v>1.57</v>
      </c>
      <c r="AA3698">
        <v>1</v>
      </c>
      <c r="AB3698">
        <v>151</v>
      </c>
      <c r="AC3698">
        <v>1.35</v>
      </c>
      <c r="AD3698" t="s">
        <v>8126</v>
      </c>
      <c r="AE3698" t="s">
        <v>13694</v>
      </c>
      <c r="AF3698" t="s">
        <v>18122</v>
      </c>
      <c r="AG3698" t="s">
        <v>18123</v>
      </c>
      <c r="AH3698">
        <v>-18.4</v>
      </c>
      <c r="AI3698">
        <v>2.8</v>
      </c>
      <c r="AJ3698">
        <v>28.25</v>
      </c>
      <c r="AK3698">
        <v>78.93</v>
      </c>
      <c r="AL3698">
        <v>-3</v>
      </c>
      <c r="AM3698">
        <v>-6.24</v>
      </c>
      <c r="AN3698">
        <v>37.14</v>
      </c>
      <c r="AO3698">
        <v>21.73</v>
      </c>
      <c r="AP3698">
        <v>32.46</v>
      </c>
    </row>
    <row r="3699" spans="1:42">
      <c r="A3699">
        <v>3698</v>
      </c>
      <c r="B3699" t="str">
        <f>"300635"</f>
        <v>300635</v>
      </c>
      <c r="C3699" t="s">
        <v>18124</v>
      </c>
      <c r="D3699">
        <v>13.24</v>
      </c>
      <c r="E3699">
        <v>0.61</v>
      </c>
      <c r="F3699">
        <v>0.08</v>
      </c>
      <c r="G3699" t="s">
        <v>8681</v>
      </c>
      <c r="H3699">
        <v>369</v>
      </c>
      <c r="I3699">
        <v>13.24</v>
      </c>
      <c r="J3699">
        <v>13.25</v>
      </c>
      <c r="K3699" t="s">
        <v>18121</v>
      </c>
      <c r="L3699">
        <v>2.36</v>
      </c>
      <c r="M3699" t="s">
        <v>46</v>
      </c>
      <c r="N3699" t="s">
        <v>1501</v>
      </c>
      <c r="O3699">
        <v>13.6</v>
      </c>
      <c r="P3699">
        <v>13.15</v>
      </c>
      <c r="Q3699">
        <v>13.6</v>
      </c>
      <c r="R3699">
        <v>13.16</v>
      </c>
      <c r="S3699">
        <v>3.42</v>
      </c>
      <c r="T3699">
        <v>1.44</v>
      </c>
      <c r="U3699">
        <v>-8.7</v>
      </c>
      <c r="V3699">
        <v>-56</v>
      </c>
      <c r="W3699">
        <v>13.27</v>
      </c>
      <c r="X3699" t="s">
        <v>7836</v>
      </c>
      <c r="Y3699" t="s">
        <v>4525</v>
      </c>
      <c r="Z3699">
        <v>1.06</v>
      </c>
      <c r="AA3699">
        <v>60</v>
      </c>
      <c r="AB3699">
        <v>216</v>
      </c>
      <c r="AC3699">
        <v>4.26</v>
      </c>
      <c r="AD3699" t="s">
        <v>18125</v>
      </c>
      <c r="AE3699" t="s">
        <v>10585</v>
      </c>
      <c r="AF3699" t="s">
        <v>10246</v>
      </c>
      <c r="AG3699" t="s">
        <v>7788</v>
      </c>
      <c r="AH3699">
        <v>-0.6</v>
      </c>
      <c r="AI3699">
        <v>-0.68</v>
      </c>
      <c r="AJ3699">
        <v>5.6</v>
      </c>
      <c r="AK3699">
        <v>10.57</v>
      </c>
      <c r="AL3699">
        <v>1</v>
      </c>
      <c r="AM3699">
        <v>0.61</v>
      </c>
      <c r="AN3699">
        <v>4.75</v>
      </c>
      <c r="AO3699">
        <v>2.64</v>
      </c>
      <c r="AP3699">
        <v>-5.7</v>
      </c>
    </row>
    <row r="3700" spans="1:42">
      <c r="A3700">
        <v>3699</v>
      </c>
      <c r="B3700" t="str">
        <f>"603073"</f>
        <v>603073</v>
      </c>
      <c r="C3700" t="s">
        <v>18126</v>
      </c>
      <c r="D3700">
        <v>20.83</v>
      </c>
      <c r="E3700">
        <v>0.58</v>
      </c>
      <c r="F3700">
        <v>0.12</v>
      </c>
      <c r="G3700" t="s">
        <v>432</v>
      </c>
      <c r="H3700">
        <v>248</v>
      </c>
      <c r="I3700">
        <v>20.82</v>
      </c>
      <c r="J3700">
        <v>20.83</v>
      </c>
      <c r="K3700" t="s">
        <v>18127</v>
      </c>
      <c r="L3700">
        <v>6.22</v>
      </c>
      <c r="M3700" t="s">
        <v>46</v>
      </c>
      <c r="N3700" t="s">
        <v>9420</v>
      </c>
      <c r="O3700">
        <v>21.06</v>
      </c>
      <c r="P3700">
        <v>20.77</v>
      </c>
      <c r="Q3700">
        <v>21.06</v>
      </c>
      <c r="R3700">
        <v>20.71</v>
      </c>
      <c r="S3700">
        <v>1.4</v>
      </c>
      <c r="T3700">
        <v>0.42</v>
      </c>
      <c r="U3700">
        <v>-12.22</v>
      </c>
      <c r="V3700">
        <v>-103</v>
      </c>
      <c r="W3700">
        <v>20.88</v>
      </c>
      <c r="X3700">
        <v>8907</v>
      </c>
      <c r="Y3700">
        <v>9129</v>
      </c>
      <c r="Z3700">
        <v>0.98</v>
      </c>
      <c r="AA3700">
        <v>76</v>
      </c>
      <c r="AB3700">
        <v>108</v>
      </c>
      <c r="AC3700">
        <v>1.91</v>
      </c>
      <c r="AD3700" t="s">
        <v>15400</v>
      </c>
      <c r="AE3700" t="s">
        <v>11469</v>
      </c>
      <c r="AF3700" t="s">
        <v>11925</v>
      </c>
      <c r="AG3700" t="s">
        <v>18128</v>
      </c>
      <c r="AH3700">
        <v>-3.12</v>
      </c>
      <c r="AI3700">
        <v>-3.03</v>
      </c>
      <c r="AJ3700">
        <v>27.84</v>
      </c>
      <c r="AK3700">
        <v>80.19</v>
      </c>
      <c r="AL3700">
        <v>1</v>
      </c>
      <c r="AM3700">
        <v>0.58</v>
      </c>
      <c r="AN3700">
        <v>6.55</v>
      </c>
      <c r="AO3700">
        <v>5.36</v>
      </c>
      <c r="AP3700">
        <v>6.55</v>
      </c>
    </row>
    <row r="3701" spans="1:42">
      <c r="A3701">
        <v>3700</v>
      </c>
      <c r="B3701" t="str">
        <f>"300410"</f>
        <v>300410</v>
      </c>
      <c r="C3701" t="s">
        <v>18129</v>
      </c>
      <c r="D3701">
        <v>8.65</v>
      </c>
      <c r="E3701">
        <v>-0.12</v>
      </c>
      <c r="F3701">
        <v>-0.01</v>
      </c>
      <c r="G3701" t="s">
        <v>459</v>
      </c>
      <c r="H3701">
        <v>390</v>
      </c>
      <c r="I3701">
        <v>8.65</v>
      </c>
      <c r="J3701">
        <v>8.66</v>
      </c>
      <c r="K3701" t="s">
        <v>18130</v>
      </c>
      <c r="L3701">
        <v>1.18</v>
      </c>
      <c r="M3701" t="s">
        <v>46</v>
      </c>
      <c r="N3701" t="s">
        <v>16852</v>
      </c>
      <c r="O3701">
        <v>8.7</v>
      </c>
      <c r="P3701">
        <v>8.54</v>
      </c>
      <c r="Q3701">
        <v>8.64</v>
      </c>
      <c r="R3701">
        <v>8.66</v>
      </c>
      <c r="S3701">
        <v>1.85</v>
      </c>
      <c r="T3701">
        <v>0.8</v>
      </c>
      <c r="U3701">
        <v>12.87</v>
      </c>
      <c r="V3701">
        <v>258</v>
      </c>
      <c r="W3701">
        <v>8.64</v>
      </c>
      <c r="X3701" t="s">
        <v>587</v>
      </c>
      <c r="Y3701" t="s">
        <v>8073</v>
      </c>
      <c r="Z3701">
        <v>1.11</v>
      </c>
      <c r="AA3701">
        <v>225</v>
      </c>
      <c r="AB3701">
        <v>88</v>
      </c>
      <c r="AC3701">
        <v>5.4</v>
      </c>
      <c r="AD3701" t="s">
        <v>18131</v>
      </c>
      <c r="AE3701" t="s">
        <v>18132</v>
      </c>
      <c r="AF3701" t="s">
        <v>18133</v>
      </c>
      <c r="AG3701" t="s">
        <v>18134</v>
      </c>
      <c r="AH3701">
        <v>-1.48</v>
      </c>
      <c r="AI3701">
        <v>-0.92</v>
      </c>
      <c r="AJ3701">
        <v>4.05</v>
      </c>
      <c r="AK3701">
        <v>8.6</v>
      </c>
      <c r="AL3701">
        <v>-2</v>
      </c>
      <c r="AM3701">
        <v>-0.12</v>
      </c>
      <c r="AN3701">
        <v>-16.75</v>
      </c>
      <c r="AO3701">
        <v>5.36</v>
      </c>
      <c r="AP3701">
        <v>-26.13</v>
      </c>
    </row>
    <row r="3702" spans="1:42">
      <c r="A3702">
        <v>3701</v>
      </c>
      <c r="B3702" t="str">
        <f>"301399"</f>
        <v>301399</v>
      </c>
      <c r="C3702" t="s">
        <v>18135</v>
      </c>
      <c r="D3702">
        <v>41.33</v>
      </c>
      <c r="E3702">
        <v>0.46</v>
      </c>
      <c r="F3702">
        <v>0.19</v>
      </c>
      <c r="G3702">
        <v>9151</v>
      </c>
      <c r="H3702">
        <v>161</v>
      </c>
      <c r="I3702">
        <v>41.33</v>
      </c>
      <c r="J3702">
        <v>41.35</v>
      </c>
      <c r="K3702" t="s">
        <v>18130</v>
      </c>
      <c r="L3702">
        <v>4.16</v>
      </c>
      <c r="M3702" t="s">
        <v>46</v>
      </c>
      <c r="N3702" t="s">
        <v>3546</v>
      </c>
      <c r="O3702">
        <v>41.6</v>
      </c>
      <c r="P3702">
        <v>40.56</v>
      </c>
      <c r="Q3702">
        <v>41.26</v>
      </c>
      <c r="R3702">
        <v>41.14</v>
      </c>
      <c r="S3702">
        <v>2.53</v>
      </c>
      <c r="T3702">
        <v>0.93</v>
      </c>
      <c r="U3702">
        <v>15.08</v>
      </c>
      <c r="V3702">
        <v>15</v>
      </c>
      <c r="W3702">
        <v>41.11</v>
      </c>
      <c r="X3702">
        <v>4948</v>
      </c>
      <c r="Y3702">
        <v>4203</v>
      </c>
      <c r="Z3702">
        <v>1.18</v>
      </c>
      <c r="AA3702">
        <v>3</v>
      </c>
      <c r="AB3702">
        <v>5</v>
      </c>
      <c r="AC3702">
        <v>2.84</v>
      </c>
      <c r="AD3702" t="s">
        <v>10616</v>
      </c>
      <c r="AE3702" t="s">
        <v>18136</v>
      </c>
      <c r="AF3702" t="s">
        <v>18137</v>
      </c>
      <c r="AG3702" t="s">
        <v>18138</v>
      </c>
      <c r="AH3702">
        <v>-1.95</v>
      </c>
      <c r="AI3702">
        <v>-4.04</v>
      </c>
      <c r="AJ3702">
        <v>15.56</v>
      </c>
      <c r="AK3702">
        <v>26.51</v>
      </c>
      <c r="AL3702">
        <v>1</v>
      </c>
      <c r="AM3702">
        <v>0.46</v>
      </c>
      <c r="AN3702">
        <v>-4.53</v>
      </c>
      <c r="AO3702">
        <v>-3.46</v>
      </c>
      <c r="AP3702">
        <v>-4.53</v>
      </c>
    </row>
    <row r="3703" spans="1:42">
      <c r="A3703">
        <v>3702</v>
      </c>
      <c r="B3703" t="str">
        <f>"000663"</f>
        <v>000663</v>
      </c>
      <c r="C3703" t="s">
        <v>18139</v>
      </c>
      <c r="D3703">
        <v>8.71</v>
      </c>
      <c r="E3703">
        <v>0.46</v>
      </c>
      <c r="F3703">
        <v>0.04</v>
      </c>
      <c r="G3703" t="s">
        <v>616</v>
      </c>
      <c r="H3703">
        <v>218</v>
      </c>
      <c r="I3703">
        <v>8.71</v>
      </c>
      <c r="J3703">
        <v>8.72</v>
      </c>
      <c r="K3703" t="s">
        <v>18140</v>
      </c>
      <c r="L3703">
        <v>1.42</v>
      </c>
      <c r="M3703" t="s">
        <v>46</v>
      </c>
      <c r="N3703" t="s">
        <v>3396</v>
      </c>
      <c r="O3703">
        <v>8.74</v>
      </c>
      <c r="P3703">
        <v>8.57</v>
      </c>
      <c r="Q3703">
        <v>8.6</v>
      </c>
      <c r="R3703">
        <v>8.67</v>
      </c>
      <c r="S3703">
        <v>1.96</v>
      </c>
      <c r="T3703">
        <v>0.96</v>
      </c>
      <c r="U3703">
        <v>0.03</v>
      </c>
      <c r="V3703">
        <v>1</v>
      </c>
      <c r="W3703">
        <v>8.67</v>
      </c>
      <c r="X3703" t="s">
        <v>1455</v>
      </c>
      <c r="Y3703" t="s">
        <v>3328</v>
      </c>
      <c r="Z3703">
        <v>0.82</v>
      </c>
      <c r="AA3703">
        <v>319</v>
      </c>
      <c r="AB3703">
        <v>52</v>
      </c>
      <c r="AC3703">
        <v>2.81</v>
      </c>
      <c r="AD3703" t="s">
        <v>18141</v>
      </c>
      <c r="AE3703" t="s">
        <v>15533</v>
      </c>
      <c r="AF3703" t="s">
        <v>16376</v>
      </c>
      <c r="AG3703" t="s">
        <v>18142</v>
      </c>
      <c r="AH3703">
        <v>-3.01</v>
      </c>
      <c r="AI3703">
        <v>-5.02</v>
      </c>
      <c r="AJ3703">
        <v>5.03</v>
      </c>
      <c r="AK3703">
        <v>8.79</v>
      </c>
      <c r="AL3703">
        <v>1</v>
      </c>
      <c r="AM3703">
        <v>0.46</v>
      </c>
      <c r="AN3703">
        <v>5.07</v>
      </c>
      <c r="AO3703">
        <v>-2.24</v>
      </c>
      <c r="AP3703">
        <v>2.23</v>
      </c>
    </row>
    <row r="3704" spans="1:42">
      <c r="A3704">
        <v>3703</v>
      </c>
      <c r="B3704" t="str">
        <f>"600180"</f>
        <v>600180</v>
      </c>
      <c r="C3704" t="s">
        <v>18143</v>
      </c>
      <c r="D3704">
        <v>6.16</v>
      </c>
      <c r="E3704">
        <v>0.33</v>
      </c>
      <c r="F3704">
        <v>0.02</v>
      </c>
      <c r="G3704" t="s">
        <v>7126</v>
      </c>
      <c r="H3704">
        <v>142</v>
      </c>
      <c r="I3704">
        <v>6.15</v>
      </c>
      <c r="J3704">
        <v>6.16</v>
      </c>
      <c r="K3704" t="s">
        <v>18140</v>
      </c>
      <c r="L3704">
        <v>0.56</v>
      </c>
      <c r="M3704" t="s">
        <v>46</v>
      </c>
      <c r="N3704" t="s">
        <v>18144</v>
      </c>
      <c r="O3704">
        <v>6.19</v>
      </c>
      <c r="P3704">
        <v>6.12</v>
      </c>
      <c r="Q3704">
        <v>6.14</v>
      </c>
      <c r="R3704">
        <v>6.14</v>
      </c>
      <c r="S3704">
        <v>1.14</v>
      </c>
      <c r="T3704">
        <v>0.97</v>
      </c>
      <c r="U3704">
        <v>-33.87</v>
      </c>
      <c r="V3704">
        <v>-3055</v>
      </c>
      <c r="W3704">
        <v>6.16</v>
      </c>
      <c r="X3704" t="s">
        <v>7205</v>
      </c>
      <c r="Y3704" t="s">
        <v>3033</v>
      </c>
      <c r="Z3704">
        <v>1.01</v>
      </c>
      <c r="AA3704">
        <v>302</v>
      </c>
      <c r="AB3704">
        <v>413</v>
      </c>
      <c r="AC3704">
        <v>0.83</v>
      </c>
      <c r="AD3704" t="s">
        <v>16147</v>
      </c>
      <c r="AE3704" t="s">
        <v>18145</v>
      </c>
      <c r="AF3704" t="s">
        <v>16147</v>
      </c>
      <c r="AG3704" t="s">
        <v>18145</v>
      </c>
      <c r="AH3704">
        <v>0.33</v>
      </c>
      <c r="AI3704">
        <v>0.82</v>
      </c>
      <c r="AJ3704">
        <v>1.84</v>
      </c>
      <c r="AK3704">
        <v>3.47</v>
      </c>
      <c r="AL3704">
        <v>1</v>
      </c>
      <c r="AM3704">
        <v>0.33</v>
      </c>
      <c r="AN3704">
        <v>11.39</v>
      </c>
      <c r="AO3704">
        <v>5.66</v>
      </c>
      <c r="AP3704">
        <v>4.76</v>
      </c>
    </row>
    <row r="3705" spans="1:42">
      <c r="A3705">
        <v>3704</v>
      </c>
      <c r="B3705" t="str">
        <f>"688115"</f>
        <v>688115</v>
      </c>
      <c r="C3705" t="s">
        <v>18146</v>
      </c>
      <c r="D3705">
        <v>37.42</v>
      </c>
      <c r="E3705">
        <v>-2.02</v>
      </c>
      <c r="F3705">
        <v>-0.77</v>
      </c>
      <c r="G3705" t="s">
        <v>2615</v>
      </c>
      <c r="H3705">
        <v>298</v>
      </c>
      <c r="I3705">
        <v>37.42</v>
      </c>
      <c r="J3705">
        <v>37.49</v>
      </c>
      <c r="K3705" t="s">
        <v>11765</v>
      </c>
      <c r="L3705">
        <v>2.41</v>
      </c>
      <c r="M3705" t="s">
        <v>46</v>
      </c>
      <c r="N3705" t="s">
        <v>10362</v>
      </c>
      <c r="O3705">
        <v>38.29</v>
      </c>
      <c r="P3705">
        <v>37.29</v>
      </c>
      <c r="Q3705">
        <v>38.06</v>
      </c>
      <c r="R3705">
        <v>38.19</v>
      </c>
      <c r="S3705">
        <v>2.62</v>
      </c>
      <c r="T3705">
        <v>0.62</v>
      </c>
      <c r="U3705">
        <v>-35.33</v>
      </c>
      <c r="V3705">
        <v>-85</v>
      </c>
      <c r="W3705">
        <v>37.57</v>
      </c>
      <c r="X3705">
        <v>4387</v>
      </c>
      <c r="Y3705">
        <v>5620</v>
      </c>
      <c r="Z3705">
        <v>0.78</v>
      </c>
      <c r="AA3705">
        <v>47</v>
      </c>
      <c r="AB3705">
        <v>45</v>
      </c>
      <c r="AC3705">
        <v>1.94</v>
      </c>
      <c r="AD3705" t="s">
        <v>9889</v>
      </c>
      <c r="AE3705" t="s">
        <v>18147</v>
      </c>
      <c r="AF3705" t="s">
        <v>18148</v>
      </c>
      <c r="AG3705" t="s">
        <v>18149</v>
      </c>
      <c r="AH3705">
        <v>-4.47</v>
      </c>
      <c r="AI3705">
        <v>-1.96</v>
      </c>
      <c r="AJ3705">
        <v>8.28</v>
      </c>
      <c r="AK3705">
        <v>22.03</v>
      </c>
      <c r="AL3705">
        <v>-2</v>
      </c>
      <c r="AM3705">
        <v>-2.02</v>
      </c>
      <c r="AN3705">
        <v>-2.3</v>
      </c>
      <c r="AO3705">
        <v>16.28</v>
      </c>
      <c r="AP3705">
        <v>-24.8</v>
      </c>
    </row>
    <row r="3706" spans="1:42">
      <c r="A3706">
        <v>3705</v>
      </c>
      <c r="B3706" t="str">
        <f>"605128"</f>
        <v>605128</v>
      </c>
      <c r="C3706" t="s">
        <v>18150</v>
      </c>
      <c r="D3706">
        <v>53.74</v>
      </c>
      <c r="E3706">
        <v>-0.78</v>
      </c>
      <c r="F3706">
        <v>-0.42</v>
      </c>
      <c r="G3706">
        <v>6961</v>
      </c>
      <c r="H3706">
        <v>119</v>
      </c>
      <c r="I3706">
        <v>53.74</v>
      </c>
      <c r="J3706">
        <v>53.75</v>
      </c>
      <c r="K3706" t="s">
        <v>18151</v>
      </c>
      <c r="L3706">
        <v>0.87</v>
      </c>
      <c r="M3706" t="s">
        <v>46</v>
      </c>
      <c r="N3706" t="s">
        <v>119</v>
      </c>
      <c r="O3706">
        <v>54.42</v>
      </c>
      <c r="P3706">
        <v>53.52</v>
      </c>
      <c r="Q3706">
        <v>54.19</v>
      </c>
      <c r="R3706">
        <v>54.16</v>
      </c>
      <c r="S3706">
        <v>1.66</v>
      </c>
      <c r="T3706">
        <v>0.62</v>
      </c>
      <c r="U3706">
        <v>52.43</v>
      </c>
      <c r="V3706">
        <v>97</v>
      </c>
      <c r="W3706">
        <v>53.93</v>
      </c>
      <c r="X3706">
        <v>4456</v>
      </c>
      <c r="Y3706">
        <v>2505</v>
      </c>
      <c r="Z3706">
        <v>1.78</v>
      </c>
      <c r="AA3706">
        <v>77</v>
      </c>
      <c r="AB3706">
        <v>22</v>
      </c>
      <c r="AC3706">
        <v>3.84</v>
      </c>
      <c r="AD3706" t="s">
        <v>3612</v>
      </c>
      <c r="AE3706" t="s">
        <v>18152</v>
      </c>
      <c r="AF3706" t="s">
        <v>3612</v>
      </c>
      <c r="AG3706" t="s">
        <v>18152</v>
      </c>
      <c r="AH3706">
        <v>-1.56</v>
      </c>
      <c r="AI3706">
        <v>-1.92</v>
      </c>
      <c r="AJ3706">
        <v>4</v>
      </c>
      <c r="AK3706">
        <v>7.85</v>
      </c>
      <c r="AL3706">
        <v>-2</v>
      </c>
      <c r="AM3706">
        <v>-0.78</v>
      </c>
      <c r="AN3706">
        <v>0.34</v>
      </c>
      <c r="AO3706">
        <v>0.86</v>
      </c>
      <c r="AP3706">
        <v>-3.83</v>
      </c>
    </row>
    <row r="3707" spans="1:42">
      <c r="A3707">
        <v>3706</v>
      </c>
      <c r="B3707" t="str">
        <f>"603566"</f>
        <v>603566</v>
      </c>
      <c r="C3707" t="s">
        <v>18153</v>
      </c>
      <c r="D3707">
        <v>21.13</v>
      </c>
      <c r="E3707">
        <v>0.43</v>
      </c>
      <c r="F3707">
        <v>0.09</v>
      </c>
      <c r="G3707" t="s">
        <v>1255</v>
      </c>
      <c r="H3707">
        <v>229</v>
      </c>
      <c r="I3707">
        <v>21.12</v>
      </c>
      <c r="J3707">
        <v>21.13</v>
      </c>
      <c r="K3707" t="s">
        <v>18151</v>
      </c>
      <c r="L3707">
        <v>0.51</v>
      </c>
      <c r="M3707" t="s">
        <v>46</v>
      </c>
      <c r="N3707" t="s">
        <v>8287</v>
      </c>
      <c r="O3707">
        <v>21.25</v>
      </c>
      <c r="P3707">
        <v>20.88</v>
      </c>
      <c r="Q3707">
        <v>21.04</v>
      </c>
      <c r="R3707">
        <v>21.04</v>
      </c>
      <c r="S3707">
        <v>1.76</v>
      </c>
      <c r="T3707">
        <v>0.66</v>
      </c>
      <c r="U3707">
        <v>29.62</v>
      </c>
      <c r="V3707">
        <v>271</v>
      </c>
      <c r="W3707">
        <v>21</v>
      </c>
      <c r="X3707">
        <v>9361</v>
      </c>
      <c r="Y3707">
        <v>8515</v>
      </c>
      <c r="Z3707">
        <v>1.1</v>
      </c>
      <c r="AA3707">
        <v>101</v>
      </c>
      <c r="AB3707">
        <v>29</v>
      </c>
      <c r="AC3707">
        <v>2.73</v>
      </c>
      <c r="AD3707" t="s">
        <v>18154</v>
      </c>
      <c r="AE3707" t="s">
        <v>18155</v>
      </c>
      <c r="AF3707" t="s">
        <v>18156</v>
      </c>
      <c r="AG3707" t="s">
        <v>9378</v>
      </c>
      <c r="AH3707">
        <v>-2.04</v>
      </c>
      <c r="AI3707">
        <v>-3.38</v>
      </c>
      <c r="AJ3707">
        <v>2.1</v>
      </c>
      <c r="AK3707">
        <v>4.38</v>
      </c>
      <c r="AL3707">
        <v>1</v>
      </c>
      <c r="AM3707">
        <v>0.43</v>
      </c>
      <c r="AN3707">
        <v>-20.89</v>
      </c>
      <c r="AO3707">
        <v>4.45</v>
      </c>
      <c r="AP3707">
        <v>-24.32</v>
      </c>
    </row>
    <row r="3708" spans="1:42">
      <c r="A3708">
        <v>3707</v>
      </c>
      <c r="B3708" t="str">
        <f>"600653"</f>
        <v>600653</v>
      </c>
      <c r="C3708" t="s">
        <v>18157</v>
      </c>
      <c r="D3708">
        <v>2.01</v>
      </c>
      <c r="E3708">
        <v>1.52</v>
      </c>
      <c r="F3708">
        <v>0.03</v>
      </c>
      <c r="G3708" t="s">
        <v>3785</v>
      </c>
      <c r="H3708">
        <v>985</v>
      </c>
      <c r="I3708">
        <v>2</v>
      </c>
      <c r="J3708">
        <v>2.01</v>
      </c>
      <c r="K3708" t="s">
        <v>18158</v>
      </c>
      <c r="L3708">
        <v>0.97</v>
      </c>
      <c r="M3708" t="s">
        <v>46</v>
      </c>
      <c r="N3708" t="s">
        <v>17164</v>
      </c>
      <c r="O3708">
        <v>2.01</v>
      </c>
      <c r="P3708">
        <v>1.97</v>
      </c>
      <c r="Q3708">
        <v>1.98</v>
      </c>
      <c r="R3708">
        <v>1.98</v>
      </c>
      <c r="S3708">
        <v>2.02</v>
      </c>
      <c r="T3708">
        <v>0.91</v>
      </c>
      <c r="U3708">
        <v>-32.53</v>
      </c>
      <c r="V3708" t="s">
        <v>6857</v>
      </c>
      <c r="W3708">
        <v>2</v>
      </c>
      <c r="X3708" t="s">
        <v>4249</v>
      </c>
      <c r="Y3708" t="s">
        <v>1908</v>
      </c>
      <c r="Z3708">
        <v>0.58</v>
      </c>
      <c r="AA3708">
        <v>2234</v>
      </c>
      <c r="AB3708" t="s">
        <v>5183</v>
      </c>
      <c r="AC3708">
        <v>4.32</v>
      </c>
      <c r="AD3708" t="s">
        <v>13115</v>
      </c>
      <c r="AE3708" t="s">
        <v>14808</v>
      </c>
      <c r="AF3708" t="s">
        <v>13115</v>
      </c>
      <c r="AG3708" t="s">
        <v>14808</v>
      </c>
      <c r="AH3708">
        <v>-0.5</v>
      </c>
      <c r="AI3708">
        <v>0</v>
      </c>
      <c r="AJ3708">
        <v>2.98</v>
      </c>
      <c r="AK3708">
        <v>6.3</v>
      </c>
      <c r="AL3708">
        <v>1</v>
      </c>
      <c r="AM3708">
        <v>1.52</v>
      </c>
      <c r="AN3708">
        <v>6.35</v>
      </c>
      <c r="AO3708">
        <v>5.79</v>
      </c>
      <c r="AP3708">
        <v>1.01</v>
      </c>
    </row>
    <row r="3709" spans="1:42">
      <c r="A3709">
        <v>3708</v>
      </c>
      <c r="B3709" t="str">
        <f>"301210"</f>
        <v>301210</v>
      </c>
      <c r="C3709" t="s">
        <v>18159</v>
      </c>
      <c r="D3709">
        <v>45.65</v>
      </c>
      <c r="E3709">
        <v>-0.2</v>
      </c>
      <c r="F3709">
        <v>-0.09</v>
      </c>
      <c r="G3709">
        <v>8281</v>
      </c>
      <c r="H3709">
        <v>199</v>
      </c>
      <c r="I3709">
        <v>45.65</v>
      </c>
      <c r="J3709">
        <v>45.66</v>
      </c>
      <c r="K3709" t="s">
        <v>18160</v>
      </c>
      <c r="L3709">
        <v>5.04</v>
      </c>
      <c r="M3709" t="s">
        <v>46</v>
      </c>
      <c r="N3709" t="s">
        <v>1619</v>
      </c>
      <c r="O3709">
        <v>45.92</v>
      </c>
      <c r="P3709">
        <v>44.99</v>
      </c>
      <c r="Q3709">
        <v>45.7</v>
      </c>
      <c r="R3709">
        <v>45.74</v>
      </c>
      <c r="S3709">
        <v>2.03</v>
      </c>
      <c r="T3709">
        <v>0.8</v>
      </c>
      <c r="U3709">
        <v>36.33</v>
      </c>
      <c r="V3709">
        <v>41</v>
      </c>
      <c r="W3709">
        <v>45.31</v>
      </c>
      <c r="X3709">
        <v>4472</v>
      </c>
      <c r="Y3709">
        <v>3809</v>
      </c>
      <c r="Z3709">
        <v>1.17</v>
      </c>
      <c r="AA3709">
        <v>27</v>
      </c>
      <c r="AB3709">
        <v>23</v>
      </c>
      <c r="AC3709">
        <v>2.08</v>
      </c>
      <c r="AD3709" t="s">
        <v>18161</v>
      </c>
      <c r="AE3709" t="s">
        <v>18162</v>
      </c>
      <c r="AF3709" t="s">
        <v>18163</v>
      </c>
      <c r="AG3709" t="s">
        <v>18164</v>
      </c>
      <c r="AH3709">
        <v>-3.43</v>
      </c>
      <c r="AI3709">
        <v>-4.3</v>
      </c>
      <c r="AJ3709">
        <v>16.21</v>
      </c>
      <c r="AK3709">
        <v>36.63</v>
      </c>
      <c r="AL3709">
        <v>-3</v>
      </c>
      <c r="AM3709">
        <v>-0.2</v>
      </c>
      <c r="AN3709">
        <v>-21.13</v>
      </c>
      <c r="AO3709">
        <v>-1.28</v>
      </c>
      <c r="AP3709">
        <v>-21.13</v>
      </c>
    </row>
    <row r="3710" spans="1:42">
      <c r="A3710">
        <v>3709</v>
      </c>
      <c r="B3710" t="str">
        <f>"000048"</f>
        <v>000048</v>
      </c>
      <c r="C3710" t="s">
        <v>18165</v>
      </c>
      <c r="D3710">
        <v>18.7</v>
      </c>
      <c r="E3710">
        <v>-0.11</v>
      </c>
      <c r="F3710">
        <v>-0.02</v>
      </c>
      <c r="G3710" t="s">
        <v>1280</v>
      </c>
      <c r="H3710">
        <v>67</v>
      </c>
      <c r="I3710">
        <v>18.69</v>
      </c>
      <c r="J3710">
        <v>18.7</v>
      </c>
      <c r="K3710" t="s">
        <v>18166</v>
      </c>
      <c r="L3710">
        <v>0.38</v>
      </c>
      <c r="M3710" t="s">
        <v>46</v>
      </c>
      <c r="N3710" t="s">
        <v>9430</v>
      </c>
      <c r="O3710">
        <v>18.85</v>
      </c>
      <c r="P3710">
        <v>18.6</v>
      </c>
      <c r="Q3710">
        <v>18.83</v>
      </c>
      <c r="R3710">
        <v>18.72</v>
      </c>
      <c r="S3710">
        <v>1.34</v>
      </c>
      <c r="T3710">
        <v>0.54</v>
      </c>
      <c r="U3710">
        <v>22.9</v>
      </c>
      <c r="V3710">
        <v>142</v>
      </c>
      <c r="W3710">
        <v>18.7</v>
      </c>
      <c r="X3710" t="s">
        <v>1083</v>
      </c>
      <c r="Y3710">
        <v>8259</v>
      </c>
      <c r="Z3710">
        <v>1.42</v>
      </c>
      <c r="AA3710">
        <v>10</v>
      </c>
      <c r="AB3710">
        <v>75</v>
      </c>
      <c r="AC3710">
        <v>2.92</v>
      </c>
      <c r="AD3710" t="s">
        <v>18167</v>
      </c>
      <c r="AE3710" t="s">
        <v>18168</v>
      </c>
      <c r="AF3710" t="s">
        <v>18167</v>
      </c>
      <c r="AG3710" t="s">
        <v>18168</v>
      </c>
      <c r="AH3710">
        <v>-0.05</v>
      </c>
      <c r="AI3710">
        <v>-0.8</v>
      </c>
      <c r="AJ3710">
        <v>1.22</v>
      </c>
      <c r="AK3710">
        <v>3.92</v>
      </c>
      <c r="AL3710">
        <v>-1</v>
      </c>
      <c r="AM3710">
        <v>-0.11</v>
      </c>
      <c r="AN3710">
        <v>10.98</v>
      </c>
      <c r="AO3710">
        <v>3.09</v>
      </c>
      <c r="AP3710">
        <v>8.78</v>
      </c>
    </row>
    <row r="3711" spans="1:42">
      <c r="A3711">
        <v>3710</v>
      </c>
      <c r="B3711" t="str">
        <f>"300815"</f>
        <v>300815</v>
      </c>
      <c r="C3711" t="s">
        <v>18169</v>
      </c>
      <c r="D3711">
        <v>15.07</v>
      </c>
      <c r="E3711">
        <v>-0.46</v>
      </c>
      <c r="F3711">
        <v>-0.07</v>
      </c>
      <c r="G3711" t="s">
        <v>48</v>
      </c>
      <c r="H3711">
        <v>474</v>
      </c>
      <c r="I3711">
        <v>15.07</v>
      </c>
      <c r="J3711">
        <v>15.08</v>
      </c>
      <c r="K3711" t="s">
        <v>18166</v>
      </c>
      <c r="L3711">
        <v>0.64</v>
      </c>
      <c r="M3711" t="s">
        <v>46</v>
      </c>
      <c r="N3711" t="s">
        <v>9576</v>
      </c>
      <c r="O3711">
        <v>15.15</v>
      </c>
      <c r="P3711">
        <v>14.93</v>
      </c>
      <c r="Q3711">
        <v>15.15</v>
      </c>
      <c r="R3711">
        <v>15.14</v>
      </c>
      <c r="S3711">
        <v>1.45</v>
      </c>
      <c r="T3711">
        <v>0.88</v>
      </c>
      <c r="U3711">
        <v>0.56</v>
      </c>
      <c r="V3711">
        <v>6</v>
      </c>
      <c r="W3711">
        <v>15.03</v>
      </c>
      <c r="X3711" t="s">
        <v>10542</v>
      </c>
      <c r="Y3711" t="s">
        <v>4443</v>
      </c>
      <c r="Z3711">
        <v>1.26</v>
      </c>
      <c r="AA3711">
        <v>19</v>
      </c>
      <c r="AB3711">
        <v>107</v>
      </c>
      <c r="AC3711">
        <v>1.68</v>
      </c>
      <c r="AD3711" t="s">
        <v>18170</v>
      </c>
      <c r="AE3711" t="s">
        <v>18171</v>
      </c>
      <c r="AF3711" t="s">
        <v>18172</v>
      </c>
      <c r="AG3711" t="s">
        <v>18173</v>
      </c>
      <c r="AH3711">
        <v>-1.18</v>
      </c>
      <c r="AI3711">
        <v>0.2</v>
      </c>
      <c r="AJ3711">
        <v>1.79</v>
      </c>
      <c r="AK3711">
        <v>4.28</v>
      </c>
      <c r="AL3711">
        <v>-3</v>
      </c>
      <c r="AM3711">
        <v>-0.46</v>
      </c>
      <c r="AN3711">
        <v>23.32</v>
      </c>
      <c r="AO3711">
        <v>2.66</v>
      </c>
      <c r="AP3711">
        <v>12.63</v>
      </c>
    </row>
    <row r="3712" spans="1:42">
      <c r="A3712">
        <v>3711</v>
      </c>
      <c r="B3712" t="str">
        <f>"300284"</f>
        <v>300284</v>
      </c>
      <c r="C3712" t="s">
        <v>18174</v>
      </c>
      <c r="D3712">
        <v>5.67</v>
      </c>
      <c r="E3712">
        <v>1.43</v>
      </c>
      <c r="F3712">
        <v>0.08</v>
      </c>
      <c r="G3712" t="s">
        <v>1762</v>
      </c>
      <c r="H3712">
        <v>1020</v>
      </c>
      <c r="I3712">
        <v>5.67</v>
      </c>
      <c r="J3712">
        <v>5.68</v>
      </c>
      <c r="K3712" t="s">
        <v>18175</v>
      </c>
      <c r="L3712">
        <v>0.75</v>
      </c>
      <c r="M3712" t="s">
        <v>46</v>
      </c>
      <c r="N3712" t="s">
        <v>9706</v>
      </c>
      <c r="O3712">
        <v>5.69</v>
      </c>
      <c r="P3712">
        <v>5.57</v>
      </c>
      <c r="Q3712">
        <v>5.59</v>
      </c>
      <c r="R3712">
        <v>5.59</v>
      </c>
      <c r="S3712">
        <v>2.15</v>
      </c>
      <c r="T3712">
        <v>0.98</v>
      </c>
      <c r="U3712">
        <v>-41.62</v>
      </c>
      <c r="V3712">
        <v>-5709</v>
      </c>
      <c r="W3712">
        <v>5.65</v>
      </c>
      <c r="X3712" t="s">
        <v>3611</v>
      </c>
      <c r="Y3712" t="s">
        <v>459</v>
      </c>
      <c r="Z3712">
        <v>0.53</v>
      </c>
      <c r="AA3712">
        <v>84</v>
      </c>
      <c r="AB3712">
        <v>1393</v>
      </c>
      <c r="AC3712">
        <v>0.87</v>
      </c>
      <c r="AD3712" t="s">
        <v>18176</v>
      </c>
      <c r="AE3712" t="s">
        <v>18177</v>
      </c>
      <c r="AF3712" t="s">
        <v>17178</v>
      </c>
      <c r="AG3712" t="s">
        <v>5258</v>
      </c>
      <c r="AH3712">
        <v>-0.53</v>
      </c>
      <c r="AI3712">
        <v>-1.73</v>
      </c>
      <c r="AJ3712">
        <v>2.17</v>
      </c>
      <c r="AK3712">
        <v>4.55</v>
      </c>
      <c r="AL3712">
        <v>1</v>
      </c>
      <c r="AM3712">
        <v>1.43</v>
      </c>
      <c r="AN3712">
        <v>3.85</v>
      </c>
      <c r="AO3712">
        <v>2.16</v>
      </c>
      <c r="AP3712">
        <v>-3.24</v>
      </c>
    </row>
    <row r="3713" spans="1:42">
      <c r="A3713">
        <v>3712</v>
      </c>
      <c r="B3713" t="str">
        <f>"873833"</f>
        <v>873833</v>
      </c>
      <c r="C3713" t="s">
        <v>18178</v>
      </c>
      <c r="D3713">
        <v>13.18</v>
      </c>
      <c r="E3713">
        <v>-7.51</v>
      </c>
      <c r="F3713">
        <v>-1.07</v>
      </c>
      <c r="G3713" t="s">
        <v>3121</v>
      </c>
      <c r="H3713">
        <v>279</v>
      </c>
      <c r="I3713">
        <v>13.18</v>
      </c>
      <c r="J3713">
        <v>13.19</v>
      </c>
      <c r="K3713" t="s">
        <v>18175</v>
      </c>
      <c r="L3713">
        <v>10.32</v>
      </c>
      <c r="M3713" t="s">
        <v>11793</v>
      </c>
      <c r="N3713" t="s">
        <v>4655</v>
      </c>
      <c r="O3713">
        <v>14.62</v>
      </c>
      <c r="P3713">
        <v>13.15</v>
      </c>
      <c r="Q3713">
        <v>14.23</v>
      </c>
      <c r="R3713">
        <v>14.25</v>
      </c>
      <c r="S3713">
        <v>10.32</v>
      </c>
      <c r="T3713">
        <v>0.47</v>
      </c>
      <c r="U3713">
        <v>60.3</v>
      </c>
      <c r="V3713">
        <v>501</v>
      </c>
      <c r="W3713">
        <v>13.68</v>
      </c>
      <c r="X3713" t="s">
        <v>7178</v>
      </c>
      <c r="Y3713" t="s">
        <v>718</v>
      </c>
      <c r="Z3713">
        <v>1.29</v>
      </c>
      <c r="AA3713">
        <v>208</v>
      </c>
      <c r="AB3713">
        <v>6</v>
      </c>
      <c r="AC3713">
        <v>1.77</v>
      </c>
      <c r="AD3713" t="s">
        <v>18179</v>
      </c>
      <c r="AE3713" t="s">
        <v>1029</v>
      </c>
      <c r="AF3713" t="s">
        <v>18180</v>
      </c>
      <c r="AG3713" t="s">
        <v>13471</v>
      </c>
      <c r="AH3713">
        <v>-22.47</v>
      </c>
      <c r="AI3713">
        <v>0.38</v>
      </c>
      <c r="AJ3713">
        <v>44</v>
      </c>
      <c r="AK3713">
        <v>121.09</v>
      </c>
      <c r="AL3713">
        <v>-3</v>
      </c>
      <c r="AM3713">
        <v>-7.51</v>
      </c>
      <c r="AN3713">
        <v>54.69</v>
      </c>
      <c r="AO3713">
        <v>71.84</v>
      </c>
      <c r="AP3713">
        <v>78.11</v>
      </c>
    </row>
    <row r="3714" spans="1:42">
      <c r="A3714">
        <v>3713</v>
      </c>
      <c r="B3714" t="str">
        <f>"002652"</f>
        <v>002652</v>
      </c>
      <c r="C3714" t="s">
        <v>18181</v>
      </c>
      <c r="D3714">
        <v>3.31</v>
      </c>
      <c r="E3714">
        <v>-0.6</v>
      </c>
      <c r="F3714">
        <v>-0.02</v>
      </c>
      <c r="G3714" t="s">
        <v>262</v>
      </c>
      <c r="H3714">
        <v>1784</v>
      </c>
      <c r="I3714">
        <v>3.3</v>
      </c>
      <c r="J3714">
        <v>3.31</v>
      </c>
      <c r="K3714" t="s">
        <v>18182</v>
      </c>
      <c r="L3714">
        <v>2.21</v>
      </c>
      <c r="M3714" t="s">
        <v>46</v>
      </c>
      <c r="N3714" t="s">
        <v>4289</v>
      </c>
      <c r="O3714">
        <v>3.34</v>
      </c>
      <c r="P3714">
        <v>3.28</v>
      </c>
      <c r="Q3714">
        <v>3.33</v>
      </c>
      <c r="R3714">
        <v>3.33</v>
      </c>
      <c r="S3714">
        <v>1.8</v>
      </c>
      <c r="T3714">
        <v>0.81</v>
      </c>
      <c r="U3714">
        <v>-8.79</v>
      </c>
      <c r="V3714">
        <v>-1185</v>
      </c>
      <c r="W3714">
        <v>3.31</v>
      </c>
      <c r="X3714" t="s">
        <v>7400</v>
      </c>
      <c r="Y3714" t="s">
        <v>372</v>
      </c>
      <c r="Z3714">
        <v>1.12</v>
      </c>
      <c r="AA3714">
        <v>361</v>
      </c>
      <c r="AB3714">
        <v>913</v>
      </c>
      <c r="AC3714">
        <v>8.05</v>
      </c>
      <c r="AD3714" t="s">
        <v>15477</v>
      </c>
      <c r="AE3714" t="s">
        <v>10109</v>
      </c>
      <c r="AF3714" t="s">
        <v>18183</v>
      </c>
      <c r="AG3714" t="s">
        <v>12861</v>
      </c>
      <c r="AH3714">
        <v>-1.49</v>
      </c>
      <c r="AI3714">
        <v>-2.07</v>
      </c>
      <c r="AJ3714">
        <v>8.65</v>
      </c>
      <c r="AK3714">
        <v>15.84</v>
      </c>
      <c r="AL3714">
        <v>-2</v>
      </c>
      <c r="AM3714">
        <v>-0.6</v>
      </c>
      <c r="AN3714">
        <v>24.91</v>
      </c>
      <c r="AO3714">
        <v>2.16</v>
      </c>
      <c r="AP3714">
        <v>5.75</v>
      </c>
    </row>
    <row r="3715" spans="1:42">
      <c r="A3715">
        <v>3714</v>
      </c>
      <c r="B3715" t="str">
        <f>"001268"</f>
        <v>001268</v>
      </c>
      <c r="C3715" t="s">
        <v>18184</v>
      </c>
      <c r="D3715">
        <v>25.98</v>
      </c>
      <c r="E3715">
        <v>0.19</v>
      </c>
      <c r="F3715">
        <v>0.05</v>
      </c>
      <c r="G3715" t="s">
        <v>1769</v>
      </c>
      <c r="H3715">
        <v>231</v>
      </c>
      <c r="I3715">
        <v>25.98</v>
      </c>
      <c r="J3715">
        <v>25.99</v>
      </c>
      <c r="K3715" t="s">
        <v>18182</v>
      </c>
      <c r="L3715">
        <v>3.99</v>
      </c>
      <c r="M3715" t="s">
        <v>46</v>
      </c>
      <c r="N3715" t="s">
        <v>2767</v>
      </c>
      <c r="O3715">
        <v>26.04</v>
      </c>
      <c r="P3715">
        <v>25.52</v>
      </c>
      <c r="Q3715">
        <v>25.9</v>
      </c>
      <c r="R3715">
        <v>25.93</v>
      </c>
      <c r="S3715">
        <v>2.01</v>
      </c>
      <c r="T3715">
        <v>0.82</v>
      </c>
      <c r="U3715">
        <v>-3.25</v>
      </c>
      <c r="V3715">
        <v>-8</v>
      </c>
      <c r="W3715">
        <v>25.82</v>
      </c>
      <c r="X3715">
        <v>6755</v>
      </c>
      <c r="Y3715">
        <v>7741</v>
      </c>
      <c r="Z3715">
        <v>0.87</v>
      </c>
      <c r="AA3715">
        <v>5</v>
      </c>
      <c r="AB3715">
        <v>13</v>
      </c>
      <c r="AC3715">
        <v>2.89</v>
      </c>
      <c r="AD3715" t="s">
        <v>18185</v>
      </c>
      <c r="AE3715" t="s">
        <v>15784</v>
      </c>
      <c r="AF3715" t="s">
        <v>18186</v>
      </c>
      <c r="AG3715" t="s">
        <v>18187</v>
      </c>
      <c r="AH3715">
        <v>-0.99</v>
      </c>
      <c r="AI3715">
        <v>-3.02</v>
      </c>
      <c r="AJ3715">
        <v>15.06</v>
      </c>
      <c r="AK3715">
        <v>28.42</v>
      </c>
      <c r="AL3715">
        <v>1</v>
      </c>
      <c r="AM3715">
        <v>0.19</v>
      </c>
      <c r="AN3715">
        <v>10.04</v>
      </c>
      <c r="AO3715">
        <v>-1.03</v>
      </c>
      <c r="AP3715">
        <v>10.69</v>
      </c>
    </row>
    <row r="3716" spans="1:42">
      <c r="A3716">
        <v>3715</v>
      </c>
      <c r="B3716" t="str">
        <f>"000886"</f>
        <v>000886</v>
      </c>
      <c r="C3716" t="s">
        <v>18188</v>
      </c>
      <c r="D3716">
        <v>4.3</v>
      </c>
      <c r="E3716">
        <v>0.94</v>
      </c>
      <c r="F3716">
        <v>0.04</v>
      </c>
      <c r="G3716" t="s">
        <v>6210</v>
      </c>
      <c r="H3716">
        <v>114</v>
      </c>
      <c r="I3716">
        <v>4.29</v>
      </c>
      <c r="J3716">
        <v>4.3</v>
      </c>
      <c r="K3716" t="s">
        <v>18189</v>
      </c>
      <c r="L3716">
        <v>0.9</v>
      </c>
      <c r="M3716" t="s">
        <v>46</v>
      </c>
      <c r="N3716" t="s">
        <v>14644</v>
      </c>
      <c r="O3716">
        <v>4.32</v>
      </c>
      <c r="P3716">
        <v>4.24</v>
      </c>
      <c r="Q3716">
        <v>4.26</v>
      </c>
      <c r="R3716">
        <v>4.26</v>
      </c>
      <c r="S3716">
        <v>1.88</v>
      </c>
      <c r="T3716">
        <v>0.96</v>
      </c>
      <c r="U3716">
        <v>-23.66</v>
      </c>
      <c r="V3716">
        <v>-3492</v>
      </c>
      <c r="W3716">
        <v>4.28</v>
      </c>
      <c r="X3716" t="s">
        <v>1453</v>
      </c>
      <c r="Y3716" t="s">
        <v>3722</v>
      </c>
      <c r="Z3716">
        <v>0.73</v>
      </c>
      <c r="AA3716">
        <v>1785</v>
      </c>
      <c r="AB3716">
        <v>129</v>
      </c>
      <c r="AC3716">
        <v>1.41</v>
      </c>
      <c r="AD3716" t="s">
        <v>16948</v>
      </c>
      <c r="AE3716" t="s">
        <v>18190</v>
      </c>
      <c r="AF3716" t="s">
        <v>18191</v>
      </c>
      <c r="AG3716" t="s">
        <v>3451</v>
      </c>
      <c r="AH3716">
        <v>-0.23</v>
      </c>
      <c r="AI3716">
        <v>-3.15</v>
      </c>
      <c r="AJ3716">
        <v>2.34</v>
      </c>
      <c r="AK3716">
        <v>5.55</v>
      </c>
      <c r="AL3716">
        <v>1</v>
      </c>
      <c r="AM3716">
        <v>0.94</v>
      </c>
      <c r="AN3716">
        <v>-10.42</v>
      </c>
      <c r="AO3716">
        <v>1.18</v>
      </c>
      <c r="AP3716">
        <v>2.63</v>
      </c>
    </row>
    <row r="3717" spans="1:42">
      <c r="A3717">
        <v>3716</v>
      </c>
      <c r="B3717" t="str">
        <f>"002818"</f>
        <v>002818</v>
      </c>
      <c r="C3717" t="s">
        <v>18192</v>
      </c>
      <c r="D3717">
        <v>13.63</v>
      </c>
      <c r="E3717">
        <v>1.19</v>
      </c>
      <c r="F3717">
        <v>0.16</v>
      </c>
      <c r="G3717" t="s">
        <v>8952</v>
      </c>
      <c r="H3717">
        <v>107</v>
      </c>
      <c r="I3717">
        <v>13.63</v>
      </c>
      <c r="J3717">
        <v>13.65</v>
      </c>
      <c r="K3717" t="s">
        <v>18189</v>
      </c>
      <c r="L3717">
        <v>0.92</v>
      </c>
      <c r="M3717" t="s">
        <v>46</v>
      </c>
      <c r="N3717" t="s">
        <v>4336</v>
      </c>
      <c r="O3717">
        <v>13.72</v>
      </c>
      <c r="P3717">
        <v>13.45</v>
      </c>
      <c r="Q3717">
        <v>13.48</v>
      </c>
      <c r="R3717">
        <v>13.47</v>
      </c>
      <c r="S3717">
        <v>2</v>
      </c>
      <c r="T3717">
        <v>1.41</v>
      </c>
      <c r="U3717">
        <v>21.46</v>
      </c>
      <c r="V3717">
        <v>369</v>
      </c>
      <c r="W3717">
        <v>13.62</v>
      </c>
      <c r="X3717" t="s">
        <v>2147</v>
      </c>
      <c r="Y3717" t="s">
        <v>1112</v>
      </c>
      <c r="Z3717">
        <v>0.64</v>
      </c>
      <c r="AA3717">
        <v>37</v>
      </c>
      <c r="AB3717">
        <v>29</v>
      </c>
      <c r="AC3717">
        <v>1.78</v>
      </c>
      <c r="AD3717" t="s">
        <v>18193</v>
      </c>
      <c r="AE3717" t="s">
        <v>14715</v>
      </c>
      <c r="AF3717" t="s">
        <v>18194</v>
      </c>
      <c r="AG3717" t="s">
        <v>8574</v>
      </c>
      <c r="AH3717">
        <v>0.59</v>
      </c>
      <c r="AI3717">
        <v>-0.22</v>
      </c>
      <c r="AJ3717">
        <v>2.08</v>
      </c>
      <c r="AK3717">
        <v>4.17</v>
      </c>
      <c r="AL3717">
        <v>2</v>
      </c>
      <c r="AM3717">
        <v>1.19</v>
      </c>
      <c r="AN3717">
        <v>22.68</v>
      </c>
      <c r="AO3717">
        <v>0.66</v>
      </c>
      <c r="AP3717">
        <v>26.56</v>
      </c>
    </row>
    <row r="3718" spans="1:42">
      <c r="A3718">
        <v>3717</v>
      </c>
      <c r="B3718" t="str">
        <f>"603871"</f>
        <v>603871</v>
      </c>
      <c r="C3718" t="s">
        <v>18195</v>
      </c>
      <c r="D3718">
        <v>16.93</v>
      </c>
      <c r="E3718">
        <v>-0.94</v>
      </c>
      <c r="F3718">
        <v>-0.16</v>
      </c>
      <c r="G3718" t="s">
        <v>377</v>
      </c>
      <c r="H3718">
        <v>86</v>
      </c>
      <c r="I3718">
        <v>16.93</v>
      </c>
      <c r="J3718">
        <v>16.94</v>
      </c>
      <c r="K3718" t="s">
        <v>18189</v>
      </c>
      <c r="L3718">
        <v>0.32</v>
      </c>
      <c r="M3718" t="s">
        <v>46</v>
      </c>
      <c r="N3718" t="s">
        <v>18196</v>
      </c>
      <c r="O3718">
        <v>17.2</v>
      </c>
      <c r="P3718">
        <v>16.85</v>
      </c>
      <c r="Q3718">
        <v>17.07</v>
      </c>
      <c r="R3718">
        <v>17.09</v>
      </c>
      <c r="S3718">
        <v>2.05</v>
      </c>
      <c r="T3718">
        <v>0.9</v>
      </c>
      <c r="U3718">
        <v>9.02</v>
      </c>
      <c r="V3718">
        <v>48</v>
      </c>
      <c r="W3718">
        <v>16.98</v>
      </c>
      <c r="X3718" t="s">
        <v>6212</v>
      </c>
      <c r="Y3718">
        <v>9359</v>
      </c>
      <c r="Z3718">
        <v>1.35</v>
      </c>
      <c r="AA3718">
        <v>182</v>
      </c>
      <c r="AB3718">
        <v>32</v>
      </c>
      <c r="AC3718">
        <v>2.56</v>
      </c>
      <c r="AD3718" t="s">
        <v>18197</v>
      </c>
      <c r="AE3718" t="s">
        <v>17450</v>
      </c>
      <c r="AF3718" t="s">
        <v>18197</v>
      </c>
      <c r="AG3718" t="s">
        <v>17450</v>
      </c>
      <c r="AH3718">
        <v>-0.7</v>
      </c>
      <c r="AI3718">
        <v>0.42</v>
      </c>
      <c r="AJ3718">
        <v>1.14</v>
      </c>
      <c r="AK3718">
        <v>2.07</v>
      </c>
      <c r="AL3718">
        <v>-1</v>
      </c>
      <c r="AM3718">
        <v>-0.94</v>
      </c>
      <c r="AN3718">
        <v>7.22</v>
      </c>
      <c r="AO3718">
        <v>-1.34</v>
      </c>
      <c r="AP3718">
        <v>27.01</v>
      </c>
    </row>
    <row r="3719" spans="1:42">
      <c r="A3719">
        <v>3718</v>
      </c>
      <c r="B3719" t="str">
        <f>"603836"</f>
        <v>603836</v>
      </c>
      <c r="C3719" t="s">
        <v>18198</v>
      </c>
      <c r="D3719">
        <v>15.94</v>
      </c>
      <c r="E3719">
        <v>1.66</v>
      </c>
      <c r="F3719">
        <v>0.26</v>
      </c>
      <c r="G3719" t="s">
        <v>3151</v>
      </c>
      <c r="H3719">
        <v>213</v>
      </c>
      <c r="I3719">
        <v>15.93</v>
      </c>
      <c r="J3719">
        <v>15.94</v>
      </c>
      <c r="K3719" t="s">
        <v>18199</v>
      </c>
      <c r="L3719">
        <v>2.74</v>
      </c>
      <c r="M3719" t="s">
        <v>46</v>
      </c>
      <c r="N3719" t="s">
        <v>18200</v>
      </c>
      <c r="O3719">
        <v>16.01</v>
      </c>
      <c r="P3719">
        <v>15.68</v>
      </c>
      <c r="Q3719">
        <v>15.71</v>
      </c>
      <c r="R3719">
        <v>15.68</v>
      </c>
      <c r="S3719">
        <v>2.1</v>
      </c>
      <c r="T3719">
        <v>1.62</v>
      </c>
      <c r="U3719">
        <v>-70.38</v>
      </c>
      <c r="V3719">
        <v>-1107</v>
      </c>
      <c r="W3719">
        <v>15.91</v>
      </c>
      <c r="X3719">
        <v>8135</v>
      </c>
      <c r="Y3719" t="s">
        <v>7178</v>
      </c>
      <c r="Z3719">
        <v>0.53</v>
      </c>
      <c r="AA3719">
        <v>15</v>
      </c>
      <c r="AB3719">
        <v>605</v>
      </c>
      <c r="AC3719">
        <v>1.91</v>
      </c>
      <c r="AD3719" t="s">
        <v>13227</v>
      </c>
      <c r="AE3719" t="s">
        <v>18201</v>
      </c>
      <c r="AF3719" t="s">
        <v>18202</v>
      </c>
      <c r="AG3719" t="s">
        <v>16443</v>
      </c>
      <c r="AH3719">
        <v>0.69</v>
      </c>
      <c r="AI3719">
        <v>0.13</v>
      </c>
      <c r="AJ3719">
        <v>6.14</v>
      </c>
      <c r="AK3719">
        <v>11.18</v>
      </c>
      <c r="AL3719">
        <v>1</v>
      </c>
      <c r="AM3719">
        <v>1.66</v>
      </c>
      <c r="AN3719">
        <v>2.97</v>
      </c>
      <c r="AO3719">
        <v>1.46</v>
      </c>
      <c r="AP3719">
        <v>2.31</v>
      </c>
    </row>
    <row r="3720" spans="1:42">
      <c r="A3720">
        <v>3719</v>
      </c>
      <c r="B3720" t="str">
        <f>"300852"</f>
        <v>300852</v>
      </c>
      <c r="C3720" t="s">
        <v>18203</v>
      </c>
      <c r="D3720">
        <v>39.13</v>
      </c>
      <c r="E3720">
        <v>0.36</v>
      </c>
      <c r="F3720">
        <v>0.14</v>
      </c>
      <c r="G3720">
        <v>9597</v>
      </c>
      <c r="H3720">
        <v>66</v>
      </c>
      <c r="I3720">
        <v>39.13</v>
      </c>
      <c r="J3720">
        <v>39.15</v>
      </c>
      <c r="K3720" t="s">
        <v>18204</v>
      </c>
      <c r="L3720">
        <v>1.67</v>
      </c>
      <c r="M3720" t="s">
        <v>46</v>
      </c>
      <c r="N3720" t="s">
        <v>1178</v>
      </c>
      <c r="O3720">
        <v>39.29</v>
      </c>
      <c r="P3720">
        <v>38.63</v>
      </c>
      <c r="Q3720">
        <v>38.9</v>
      </c>
      <c r="R3720">
        <v>38.99</v>
      </c>
      <c r="S3720">
        <v>1.69</v>
      </c>
      <c r="T3720">
        <v>0.84</v>
      </c>
      <c r="U3720">
        <v>31.03</v>
      </c>
      <c r="V3720">
        <v>108</v>
      </c>
      <c r="W3720">
        <v>38.95</v>
      </c>
      <c r="X3720">
        <v>5106</v>
      </c>
      <c r="Y3720">
        <v>4490</v>
      </c>
      <c r="Z3720">
        <v>1.14</v>
      </c>
      <c r="AA3720">
        <v>90</v>
      </c>
      <c r="AB3720">
        <v>20</v>
      </c>
      <c r="AC3720">
        <v>2.95</v>
      </c>
      <c r="AD3720" t="s">
        <v>10452</v>
      </c>
      <c r="AE3720" t="s">
        <v>10676</v>
      </c>
      <c r="AF3720" t="s">
        <v>13231</v>
      </c>
      <c r="AG3720" t="s">
        <v>7457</v>
      </c>
      <c r="AH3720">
        <v>-1.73</v>
      </c>
      <c r="AI3720">
        <v>-1.68</v>
      </c>
      <c r="AJ3720">
        <v>5.44</v>
      </c>
      <c r="AK3720">
        <v>11.65</v>
      </c>
      <c r="AL3720">
        <v>1</v>
      </c>
      <c r="AM3720">
        <v>0.36</v>
      </c>
      <c r="AN3720">
        <v>25.66</v>
      </c>
      <c r="AO3720">
        <v>0.59</v>
      </c>
      <c r="AP3720">
        <v>6.19</v>
      </c>
    </row>
    <row r="3721" spans="1:42">
      <c r="A3721">
        <v>3720</v>
      </c>
      <c r="B3721" t="str">
        <f>"603515"</f>
        <v>603515</v>
      </c>
      <c r="C3721" t="s">
        <v>18205</v>
      </c>
      <c r="D3721">
        <v>18.31</v>
      </c>
      <c r="E3721">
        <v>-0.05</v>
      </c>
      <c r="F3721">
        <v>-0.01</v>
      </c>
      <c r="G3721" t="s">
        <v>5237</v>
      </c>
      <c r="H3721">
        <v>65</v>
      </c>
      <c r="I3721">
        <v>18.31</v>
      </c>
      <c r="J3721">
        <v>18.33</v>
      </c>
      <c r="K3721" t="s">
        <v>18204</v>
      </c>
      <c r="L3721">
        <v>0.28</v>
      </c>
      <c r="M3721" t="s">
        <v>46</v>
      </c>
      <c r="N3721" t="s">
        <v>18206</v>
      </c>
      <c r="O3721">
        <v>18.42</v>
      </c>
      <c r="P3721">
        <v>18.14</v>
      </c>
      <c r="Q3721">
        <v>18.4</v>
      </c>
      <c r="R3721">
        <v>18.32</v>
      </c>
      <c r="S3721">
        <v>1.53</v>
      </c>
      <c r="T3721">
        <v>1.09</v>
      </c>
      <c r="U3721">
        <v>15.57</v>
      </c>
      <c r="V3721">
        <v>83</v>
      </c>
      <c r="W3721">
        <v>18.29</v>
      </c>
      <c r="X3721">
        <v>9610</v>
      </c>
      <c r="Y3721" t="s">
        <v>7974</v>
      </c>
      <c r="Z3721">
        <v>0.89</v>
      </c>
      <c r="AA3721">
        <v>14</v>
      </c>
      <c r="AB3721">
        <v>11</v>
      </c>
      <c r="AC3721">
        <v>2.14</v>
      </c>
      <c r="AD3721" t="s">
        <v>18207</v>
      </c>
      <c r="AE3721" t="s">
        <v>5066</v>
      </c>
      <c r="AF3721" t="s">
        <v>18208</v>
      </c>
      <c r="AG3721" t="s">
        <v>2689</v>
      </c>
      <c r="AH3721">
        <v>-2.09</v>
      </c>
      <c r="AI3721">
        <v>-2.97</v>
      </c>
      <c r="AJ3721">
        <v>0.86</v>
      </c>
      <c r="AK3721">
        <v>1.55</v>
      </c>
      <c r="AL3721">
        <v>-3</v>
      </c>
      <c r="AM3721">
        <v>-0.05</v>
      </c>
      <c r="AN3721">
        <v>22.23</v>
      </c>
      <c r="AO3721">
        <v>-5.76</v>
      </c>
      <c r="AP3721">
        <v>16.25</v>
      </c>
    </row>
    <row r="3722" spans="1:42">
      <c r="A3722">
        <v>3721</v>
      </c>
      <c r="B3722" t="str">
        <f>"002319"</f>
        <v>002319</v>
      </c>
      <c r="C3722" t="s">
        <v>18209</v>
      </c>
      <c r="D3722">
        <v>13.14</v>
      </c>
      <c r="E3722">
        <v>-2.23</v>
      </c>
      <c r="F3722">
        <v>-0.3</v>
      </c>
      <c r="G3722" t="s">
        <v>8681</v>
      </c>
      <c r="H3722">
        <v>821</v>
      </c>
      <c r="I3722">
        <v>13.1</v>
      </c>
      <c r="J3722">
        <v>13.14</v>
      </c>
      <c r="K3722" t="s">
        <v>18204</v>
      </c>
      <c r="L3722">
        <v>1.42</v>
      </c>
      <c r="M3722" t="s">
        <v>46</v>
      </c>
      <c r="N3722" t="s">
        <v>4887</v>
      </c>
      <c r="O3722">
        <v>13.33</v>
      </c>
      <c r="P3722">
        <v>12.86</v>
      </c>
      <c r="Q3722">
        <v>13.33</v>
      </c>
      <c r="R3722">
        <v>13.44</v>
      </c>
      <c r="S3722">
        <v>3.5</v>
      </c>
      <c r="T3722">
        <v>0.87</v>
      </c>
      <c r="U3722">
        <v>34.37</v>
      </c>
      <c r="V3722">
        <v>265</v>
      </c>
      <c r="W3722">
        <v>13.15</v>
      </c>
      <c r="X3722" t="s">
        <v>6656</v>
      </c>
      <c r="Y3722" t="s">
        <v>2807</v>
      </c>
      <c r="Z3722">
        <v>1.56</v>
      </c>
      <c r="AA3722">
        <v>211</v>
      </c>
      <c r="AB3722">
        <v>212</v>
      </c>
      <c r="AC3722">
        <v>33.73</v>
      </c>
      <c r="AD3722" t="s">
        <v>5838</v>
      </c>
      <c r="AE3722" t="s">
        <v>18210</v>
      </c>
      <c r="AF3722" t="s">
        <v>5838</v>
      </c>
      <c r="AG3722" t="s">
        <v>18210</v>
      </c>
      <c r="AH3722">
        <v>-2.01</v>
      </c>
      <c r="AI3722">
        <v>-2.16</v>
      </c>
      <c r="AJ3722">
        <v>5.1</v>
      </c>
      <c r="AK3722">
        <v>9.6</v>
      </c>
      <c r="AL3722">
        <v>-2</v>
      </c>
      <c r="AM3722">
        <v>-2.23</v>
      </c>
      <c r="AN3722">
        <v>12.12</v>
      </c>
      <c r="AO3722">
        <v>-5.94</v>
      </c>
      <c r="AP3722">
        <v>4.78</v>
      </c>
    </row>
    <row r="3723" spans="1:42">
      <c r="A3723">
        <v>3722</v>
      </c>
      <c r="B3723" t="str">
        <f>"688314"</f>
        <v>688314</v>
      </c>
      <c r="C3723" t="s">
        <v>18211</v>
      </c>
      <c r="D3723">
        <v>34.68</v>
      </c>
      <c r="E3723">
        <v>2.85</v>
      </c>
      <c r="F3723">
        <v>0.96</v>
      </c>
      <c r="G3723" t="s">
        <v>4443</v>
      </c>
      <c r="H3723">
        <v>174</v>
      </c>
      <c r="I3723">
        <v>34.64</v>
      </c>
      <c r="J3723">
        <v>34.68</v>
      </c>
      <c r="K3723" t="s">
        <v>18212</v>
      </c>
      <c r="L3723">
        <v>2.99</v>
      </c>
      <c r="M3723" t="s">
        <v>46</v>
      </c>
      <c r="N3723" t="s">
        <v>6710</v>
      </c>
      <c r="O3723">
        <v>34.84</v>
      </c>
      <c r="P3723">
        <v>33.1</v>
      </c>
      <c r="Q3723">
        <v>33.72</v>
      </c>
      <c r="R3723">
        <v>33.72</v>
      </c>
      <c r="S3723">
        <v>5.16</v>
      </c>
      <c r="T3723">
        <v>1.39</v>
      </c>
      <c r="U3723">
        <v>6.34</v>
      </c>
      <c r="V3723">
        <v>15</v>
      </c>
      <c r="W3723">
        <v>34.02</v>
      </c>
      <c r="X3723">
        <v>4789</v>
      </c>
      <c r="Y3723">
        <v>6190</v>
      </c>
      <c r="Z3723">
        <v>0.77</v>
      </c>
      <c r="AA3723">
        <v>20</v>
      </c>
      <c r="AB3723">
        <v>3</v>
      </c>
      <c r="AC3723">
        <v>4.89</v>
      </c>
      <c r="AD3723" t="s">
        <v>18213</v>
      </c>
      <c r="AE3723" t="s">
        <v>10480</v>
      </c>
      <c r="AF3723" t="s">
        <v>18214</v>
      </c>
      <c r="AG3723" t="s">
        <v>18215</v>
      </c>
      <c r="AH3723">
        <v>2.18</v>
      </c>
      <c r="AI3723">
        <v>2.63</v>
      </c>
      <c r="AJ3723">
        <v>7.2</v>
      </c>
      <c r="AK3723">
        <v>13.77</v>
      </c>
      <c r="AL3723">
        <v>2</v>
      </c>
      <c r="AM3723">
        <v>2.85</v>
      </c>
      <c r="AN3723">
        <v>2.33</v>
      </c>
      <c r="AO3723">
        <v>11.4</v>
      </c>
      <c r="AP3723">
        <v>-7.37</v>
      </c>
    </row>
    <row r="3724" spans="1:42">
      <c r="A3724">
        <v>3723</v>
      </c>
      <c r="B3724" t="str">
        <f>"301216"</f>
        <v>301216</v>
      </c>
      <c r="C3724" t="s">
        <v>18216</v>
      </c>
      <c r="D3724">
        <v>14.01</v>
      </c>
      <c r="E3724">
        <v>0.79</v>
      </c>
      <c r="F3724">
        <v>0.11</v>
      </c>
      <c r="G3724" t="s">
        <v>10910</v>
      </c>
      <c r="H3724">
        <v>348</v>
      </c>
      <c r="I3724">
        <v>14</v>
      </c>
      <c r="J3724">
        <v>14.01</v>
      </c>
      <c r="K3724" t="s">
        <v>18217</v>
      </c>
      <c r="L3724">
        <v>1.17</v>
      </c>
      <c r="M3724" t="s">
        <v>46</v>
      </c>
      <c r="N3724" t="s">
        <v>7723</v>
      </c>
      <c r="O3724">
        <v>14.01</v>
      </c>
      <c r="P3724">
        <v>13.8</v>
      </c>
      <c r="Q3724">
        <v>13.87</v>
      </c>
      <c r="R3724">
        <v>13.9</v>
      </c>
      <c r="S3724">
        <v>1.51</v>
      </c>
      <c r="T3724">
        <v>1.04</v>
      </c>
      <c r="U3724">
        <v>-45.31</v>
      </c>
      <c r="V3724">
        <v>-442</v>
      </c>
      <c r="W3724">
        <v>13.93</v>
      </c>
      <c r="X3724" t="s">
        <v>1427</v>
      </c>
      <c r="Y3724" t="s">
        <v>10542</v>
      </c>
      <c r="Z3724">
        <v>0.93</v>
      </c>
      <c r="AA3724">
        <v>35</v>
      </c>
      <c r="AB3724">
        <v>116</v>
      </c>
      <c r="AC3724">
        <v>1.25</v>
      </c>
      <c r="AD3724" t="s">
        <v>17257</v>
      </c>
      <c r="AE3724" t="s">
        <v>18218</v>
      </c>
      <c r="AF3724" t="s">
        <v>7657</v>
      </c>
      <c r="AG3724" t="s">
        <v>18219</v>
      </c>
      <c r="AH3724">
        <v>-0.92</v>
      </c>
      <c r="AI3724">
        <v>-1.89</v>
      </c>
      <c r="AJ3724">
        <v>3.9</v>
      </c>
      <c r="AK3724">
        <v>6.8</v>
      </c>
      <c r="AL3724">
        <v>1</v>
      </c>
      <c r="AM3724">
        <v>0.79</v>
      </c>
      <c r="AN3724">
        <v>-25.95</v>
      </c>
      <c r="AO3724">
        <v>-0.85</v>
      </c>
      <c r="AP3724">
        <v>-28.26</v>
      </c>
    </row>
    <row r="3725" spans="1:42">
      <c r="A3725">
        <v>3724</v>
      </c>
      <c r="B3725" t="str">
        <f>"301019"</f>
        <v>301019</v>
      </c>
      <c r="C3725" t="s">
        <v>18220</v>
      </c>
      <c r="D3725">
        <v>22.75</v>
      </c>
      <c r="E3725">
        <v>0.57</v>
      </c>
      <c r="F3725">
        <v>0.13</v>
      </c>
      <c r="G3725" t="s">
        <v>1692</v>
      </c>
      <c r="H3725">
        <v>182</v>
      </c>
      <c r="I3725">
        <v>22.75</v>
      </c>
      <c r="J3725">
        <v>22.77</v>
      </c>
      <c r="K3725" t="s">
        <v>18221</v>
      </c>
      <c r="L3725">
        <v>2.85</v>
      </c>
      <c r="M3725" t="s">
        <v>46</v>
      </c>
      <c r="N3725" t="s">
        <v>4248</v>
      </c>
      <c r="O3725">
        <v>22.99</v>
      </c>
      <c r="P3725">
        <v>22.55</v>
      </c>
      <c r="Q3725">
        <v>22.56</v>
      </c>
      <c r="R3725">
        <v>22.62</v>
      </c>
      <c r="S3725">
        <v>1.95</v>
      </c>
      <c r="T3725">
        <v>0.71</v>
      </c>
      <c r="U3725">
        <v>-42.7</v>
      </c>
      <c r="V3725">
        <v>-79</v>
      </c>
      <c r="W3725">
        <v>22.83</v>
      </c>
      <c r="X3725">
        <v>8670</v>
      </c>
      <c r="Y3725">
        <v>7682</v>
      </c>
      <c r="Z3725">
        <v>1.13</v>
      </c>
      <c r="AA3725">
        <v>10</v>
      </c>
      <c r="AB3725">
        <v>9</v>
      </c>
      <c r="AC3725">
        <v>2.55</v>
      </c>
      <c r="AD3725" t="s">
        <v>5210</v>
      </c>
      <c r="AE3725" t="s">
        <v>18222</v>
      </c>
      <c r="AF3725" t="s">
        <v>18223</v>
      </c>
      <c r="AG3725" t="s">
        <v>11554</v>
      </c>
      <c r="AH3725">
        <v>-5.44</v>
      </c>
      <c r="AI3725">
        <v>-0.61</v>
      </c>
      <c r="AJ3725">
        <v>12.66</v>
      </c>
      <c r="AK3725">
        <v>22.91</v>
      </c>
      <c r="AL3725">
        <v>1</v>
      </c>
      <c r="AM3725">
        <v>0.57</v>
      </c>
      <c r="AN3725">
        <v>21.08</v>
      </c>
      <c r="AO3725">
        <v>2.29</v>
      </c>
      <c r="AP3725">
        <v>8.96</v>
      </c>
    </row>
    <row r="3726" spans="1:42">
      <c r="A3726">
        <v>3725</v>
      </c>
      <c r="B3726" t="str">
        <f>"688368"</f>
        <v>688368</v>
      </c>
      <c r="C3726" t="s">
        <v>18224</v>
      </c>
      <c r="D3726">
        <v>110.4</v>
      </c>
      <c r="E3726">
        <v>-0.81</v>
      </c>
      <c r="F3726">
        <v>-0.9</v>
      </c>
      <c r="G3726">
        <v>3406</v>
      </c>
      <c r="H3726">
        <v>13</v>
      </c>
      <c r="I3726">
        <v>110.36</v>
      </c>
      <c r="J3726">
        <v>110.4</v>
      </c>
      <c r="K3726" t="s">
        <v>18225</v>
      </c>
      <c r="L3726">
        <v>0.54</v>
      </c>
      <c r="M3726" t="s">
        <v>46</v>
      </c>
      <c r="N3726" t="s">
        <v>10890</v>
      </c>
      <c r="O3726">
        <v>112.8</v>
      </c>
      <c r="P3726">
        <v>108.3</v>
      </c>
      <c r="Q3726">
        <v>112.8</v>
      </c>
      <c r="R3726">
        <v>111.3</v>
      </c>
      <c r="S3726">
        <v>4.04</v>
      </c>
      <c r="T3726">
        <v>1.14</v>
      </c>
      <c r="U3726">
        <v>-1.38</v>
      </c>
      <c r="V3726">
        <v>0</v>
      </c>
      <c r="W3726">
        <v>109.51</v>
      </c>
      <c r="X3726">
        <v>2011</v>
      </c>
      <c r="Y3726">
        <v>1395</v>
      </c>
      <c r="Z3726">
        <v>1.44</v>
      </c>
      <c r="AA3726">
        <v>3</v>
      </c>
      <c r="AB3726">
        <v>1</v>
      </c>
      <c r="AC3726">
        <v>4.89</v>
      </c>
      <c r="AD3726" t="s">
        <v>18226</v>
      </c>
      <c r="AE3726" t="s">
        <v>18227</v>
      </c>
      <c r="AF3726" t="s">
        <v>18226</v>
      </c>
      <c r="AG3726" t="s">
        <v>18227</v>
      </c>
      <c r="AH3726">
        <v>-2.68</v>
      </c>
      <c r="AI3726">
        <v>-2.54</v>
      </c>
      <c r="AJ3726">
        <v>1.47</v>
      </c>
      <c r="AK3726">
        <v>2.91</v>
      </c>
      <c r="AL3726">
        <v>-3</v>
      </c>
      <c r="AM3726">
        <v>-0.81</v>
      </c>
      <c r="AN3726">
        <v>-1.16</v>
      </c>
      <c r="AO3726">
        <v>-3.87</v>
      </c>
      <c r="AP3726">
        <v>-17.78</v>
      </c>
    </row>
    <row r="3727" spans="1:42">
      <c r="A3727">
        <v>3726</v>
      </c>
      <c r="B3727" t="str">
        <f>"688488"</f>
        <v>688488</v>
      </c>
      <c r="C3727" t="s">
        <v>18228</v>
      </c>
      <c r="D3727">
        <v>13.74</v>
      </c>
      <c r="E3727">
        <v>1.78</v>
      </c>
      <c r="F3727">
        <v>0.24</v>
      </c>
      <c r="G3727" t="s">
        <v>5420</v>
      </c>
      <c r="H3727">
        <v>1090</v>
      </c>
      <c r="I3727">
        <v>13.74</v>
      </c>
      <c r="J3727">
        <v>13.75</v>
      </c>
      <c r="K3727" t="s">
        <v>18229</v>
      </c>
      <c r="L3727">
        <v>0.65</v>
      </c>
      <c r="M3727" t="s">
        <v>46</v>
      </c>
      <c r="N3727" t="s">
        <v>4760</v>
      </c>
      <c r="O3727">
        <v>13.8</v>
      </c>
      <c r="P3727">
        <v>13.39</v>
      </c>
      <c r="Q3727">
        <v>13.49</v>
      </c>
      <c r="R3727">
        <v>13.5</v>
      </c>
      <c r="S3727">
        <v>3.04</v>
      </c>
      <c r="T3727">
        <v>1.38</v>
      </c>
      <c r="U3727">
        <v>-40.65</v>
      </c>
      <c r="V3727">
        <v>-682</v>
      </c>
      <c r="W3727">
        <v>13.67</v>
      </c>
      <c r="X3727" t="s">
        <v>51</v>
      </c>
      <c r="Y3727" t="s">
        <v>1692</v>
      </c>
      <c r="Z3727">
        <v>0.66</v>
      </c>
      <c r="AA3727">
        <v>230</v>
      </c>
      <c r="AB3727">
        <v>110</v>
      </c>
      <c r="AC3727">
        <v>4.9</v>
      </c>
      <c r="AD3727" t="s">
        <v>18230</v>
      </c>
      <c r="AE3727" t="s">
        <v>17015</v>
      </c>
      <c r="AF3727" t="s">
        <v>18230</v>
      </c>
      <c r="AG3727" t="s">
        <v>17015</v>
      </c>
      <c r="AH3727">
        <v>1.63</v>
      </c>
      <c r="AI3727">
        <v>1.1</v>
      </c>
      <c r="AJ3727">
        <v>1.57</v>
      </c>
      <c r="AK3727">
        <v>3</v>
      </c>
      <c r="AL3727">
        <v>2</v>
      </c>
      <c r="AM3727">
        <v>1.78</v>
      </c>
      <c r="AN3727">
        <v>30.36</v>
      </c>
      <c r="AO3727">
        <v>8.45</v>
      </c>
      <c r="AP3727">
        <v>18.24</v>
      </c>
    </row>
    <row r="3728" spans="1:42">
      <c r="A3728">
        <v>3727</v>
      </c>
      <c r="B3728" t="str">
        <f>"300875"</f>
        <v>300875</v>
      </c>
      <c r="C3728" t="s">
        <v>18231</v>
      </c>
      <c r="D3728">
        <v>31.29</v>
      </c>
      <c r="E3728">
        <v>0.26</v>
      </c>
      <c r="F3728">
        <v>0.08</v>
      </c>
      <c r="G3728" t="s">
        <v>8636</v>
      </c>
      <c r="H3728">
        <v>149</v>
      </c>
      <c r="I3728">
        <v>31.29</v>
      </c>
      <c r="J3728">
        <v>31.3</v>
      </c>
      <c r="K3728" t="s">
        <v>18232</v>
      </c>
      <c r="L3728">
        <v>1.82</v>
      </c>
      <c r="M3728" t="s">
        <v>46</v>
      </c>
      <c r="N3728" t="s">
        <v>4150</v>
      </c>
      <c r="O3728">
        <v>31.46</v>
      </c>
      <c r="P3728">
        <v>30.82</v>
      </c>
      <c r="Q3728">
        <v>31.46</v>
      </c>
      <c r="R3728">
        <v>31.21</v>
      </c>
      <c r="S3728">
        <v>2.05</v>
      </c>
      <c r="T3728">
        <v>0.73</v>
      </c>
      <c r="U3728">
        <v>18.87</v>
      </c>
      <c r="V3728">
        <v>20</v>
      </c>
      <c r="W3728">
        <v>31.13</v>
      </c>
      <c r="X3728">
        <v>5519</v>
      </c>
      <c r="Y3728">
        <v>6451</v>
      </c>
      <c r="Z3728">
        <v>0.86</v>
      </c>
      <c r="AA3728">
        <v>3</v>
      </c>
      <c r="AB3728">
        <v>4</v>
      </c>
      <c r="AC3728">
        <v>2.37</v>
      </c>
      <c r="AD3728" t="s">
        <v>18233</v>
      </c>
      <c r="AE3728" t="s">
        <v>18234</v>
      </c>
      <c r="AF3728" t="s">
        <v>18235</v>
      </c>
      <c r="AG3728" t="s">
        <v>10836</v>
      </c>
      <c r="AH3728">
        <v>-3.28</v>
      </c>
      <c r="AI3728">
        <v>-4.98</v>
      </c>
      <c r="AJ3728">
        <v>7.69</v>
      </c>
      <c r="AK3728">
        <v>14.19</v>
      </c>
      <c r="AL3728">
        <v>1</v>
      </c>
      <c r="AM3728">
        <v>0.26</v>
      </c>
      <c r="AN3728">
        <v>3.47</v>
      </c>
      <c r="AO3728">
        <v>-4.72</v>
      </c>
      <c r="AP3728">
        <v>-10.55</v>
      </c>
    </row>
    <row r="3729" spans="1:42">
      <c r="A3729">
        <v>3728</v>
      </c>
      <c r="B3729" t="str">
        <f>"688232"</f>
        <v>688232</v>
      </c>
      <c r="C3729" t="s">
        <v>18236</v>
      </c>
      <c r="D3729">
        <v>38.46</v>
      </c>
      <c r="E3729">
        <v>1.42</v>
      </c>
      <c r="F3729">
        <v>0.54</v>
      </c>
      <c r="G3729">
        <v>9779</v>
      </c>
      <c r="H3729">
        <v>29</v>
      </c>
      <c r="I3729">
        <v>38.46</v>
      </c>
      <c r="J3729">
        <v>38.47</v>
      </c>
      <c r="K3729" t="s">
        <v>18232</v>
      </c>
      <c r="L3729">
        <v>0.99</v>
      </c>
      <c r="M3729" t="s">
        <v>46</v>
      </c>
      <c r="N3729" t="s">
        <v>1907</v>
      </c>
      <c r="O3729">
        <v>38.7</v>
      </c>
      <c r="P3729">
        <v>37.44</v>
      </c>
      <c r="Q3729">
        <v>37.86</v>
      </c>
      <c r="R3729">
        <v>37.92</v>
      </c>
      <c r="S3729">
        <v>3.32</v>
      </c>
      <c r="T3729">
        <v>0.78</v>
      </c>
      <c r="U3729">
        <v>21.83</v>
      </c>
      <c r="V3729">
        <v>105</v>
      </c>
      <c r="W3729">
        <v>38.1</v>
      </c>
      <c r="X3729">
        <v>5094</v>
      </c>
      <c r="Y3729">
        <v>4685</v>
      </c>
      <c r="Z3729">
        <v>1.09</v>
      </c>
      <c r="AA3729">
        <v>133</v>
      </c>
      <c r="AB3729">
        <v>118</v>
      </c>
      <c r="AC3729">
        <v>2.38</v>
      </c>
      <c r="AD3729" t="s">
        <v>18237</v>
      </c>
      <c r="AE3729" t="s">
        <v>13916</v>
      </c>
      <c r="AF3729" t="s">
        <v>18238</v>
      </c>
      <c r="AG3729" t="s">
        <v>18239</v>
      </c>
      <c r="AH3729">
        <v>0.58</v>
      </c>
      <c r="AI3729">
        <v>-0.7</v>
      </c>
      <c r="AJ3729">
        <v>2.78</v>
      </c>
      <c r="AK3729">
        <v>7.29</v>
      </c>
      <c r="AL3729">
        <v>2</v>
      </c>
      <c r="AM3729">
        <v>1.42</v>
      </c>
      <c r="AN3729">
        <v>-31.88</v>
      </c>
      <c r="AO3729">
        <v>10.42</v>
      </c>
      <c r="AP3729">
        <v>-29.05</v>
      </c>
    </row>
    <row r="3730" spans="1:42">
      <c r="A3730">
        <v>3729</v>
      </c>
      <c r="B3730" t="str">
        <f>"603568"</f>
        <v>603568</v>
      </c>
      <c r="C3730" t="s">
        <v>18240</v>
      </c>
      <c r="D3730">
        <v>17.49</v>
      </c>
      <c r="E3730">
        <v>-1.13</v>
      </c>
      <c r="F3730">
        <v>-0.2</v>
      </c>
      <c r="G3730" t="s">
        <v>7210</v>
      </c>
      <c r="H3730">
        <v>186</v>
      </c>
      <c r="I3730">
        <v>17.47</v>
      </c>
      <c r="J3730">
        <v>17.49</v>
      </c>
      <c r="K3730" t="s">
        <v>18241</v>
      </c>
      <c r="L3730">
        <v>0.13</v>
      </c>
      <c r="M3730" t="s">
        <v>46</v>
      </c>
      <c r="N3730" t="s">
        <v>18242</v>
      </c>
      <c r="O3730">
        <v>17.69</v>
      </c>
      <c r="P3730">
        <v>17.45</v>
      </c>
      <c r="Q3730">
        <v>17.69</v>
      </c>
      <c r="R3730">
        <v>17.69</v>
      </c>
      <c r="S3730">
        <v>1.36</v>
      </c>
      <c r="T3730">
        <v>1.04</v>
      </c>
      <c r="U3730">
        <v>9.29</v>
      </c>
      <c r="V3730">
        <v>75</v>
      </c>
      <c r="W3730">
        <v>17.54</v>
      </c>
      <c r="X3730" t="s">
        <v>1777</v>
      </c>
      <c r="Y3730">
        <v>7829</v>
      </c>
      <c r="Z3730">
        <v>1.71</v>
      </c>
      <c r="AA3730">
        <v>70</v>
      </c>
      <c r="AB3730">
        <v>51</v>
      </c>
      <c r="AC3730">
        <v>2.84</v>
      </c>
      <c r="AD3730" t="s">
        <v>18243</v>
      </c>
      <c r="AE3730" t="s">
        <v>18244</v>
      </c>
      <c r="AF3730" t="s">
        <v>12861</v>
      </c>
      <c r="AG3730" t="s">
        <v>18245</v>
      </c>
      <c r="AH3730">
        <v>-1.91</v>
      </c>
      <c r="AI3730">
        <v>-2.89</v>
      </c>
      <c r="AJ3730">
        <v>0.37</v>
      </c>
      <c r="AK3730">
        <v>0.73</v>
      </c>
      <c r="AL3730">
        <v>-3</v>
      </c>
      <c r="AM3730">
        <v>-1.13</v>
      </c>
      <c r="AN3730">
        <v>-4.84</v>
      </c>
      <c r="AO3730">
        <v>-3.69</v>
      </c>
      <c r="AP3730">
        <v>-12.37</v>
      </c>
    </row>
    <row r="3731" spans="1:42">
      <c r="A3731">
        <v>3730</v>
      </c>
      <c r="B3731" t="str">
        <f>"002278"</f>
        <v>002278</v>
      </c>
      <c r="C3731" t="s">
        <v>18246</v>
      </c>
      <c r="D3731">
        <v>5.98</v>
      </c>
      <c r="E3731">
        <v>-0.33</v>
      </c>
      <c r="F3731">
        <v>-0.02</v>
      </c>
      <c r="G3731" t="s">
        <v>9787</v>
      </c>
      <c r="H3731">
        <v>530</v>
      </c>
      <c r="I3731">
        <v>5.98</v>
      </c>
      <c r="J3731">
        <v>5.99</v>
      </c>
      <c r="K3731" t="s">
        <v>11648</v>
      </c>
      <c r="L3731">
        <v>1.82</v>
      </c>
      <c r="M3731" t="s">
        <v>46</v>
      </c>
      <c r="N3731" t="s">
        <v>4496</v>
      </c>
      <c r="O3731">
        <v>6.04</v>
      </c>
      <c r="P3731">
        <v>5.93</v>
      </c>
      <c r="Q3731">
        <v>5.99</v>
      </c>
      <c r="R3731">
        <v>6</v>
      </c>
      <c r="S3731">
        <v>1.83</v>
      </c>
      <c r="T3731">
        <v>1.2</v>
      </c>
      <c r="U3731">
        <v>-5.06</v>
      </c>
      <c r="V3731">
        <v>-182</v>
      </c>
      <c r="W3731">
        <v>5.99</v>
      </c>
      <c r="X3731" t="s">
        <v>617</v>
      </c>
      <c r="Y3731" t="s">
        <v>5675</v>
      </c>
      <c r="Z3731">
        <v>0.94</v>
      </c>
      <c r="AA3731">
        <v>30</v>
      </c>
      <c r="AB3731">
        <v>44</v>
      </c>
      <c r="AC3731">
        <v>1.99</v>
      </c>
      <c r="AD3731" t="s">
        <v>3851</v>
      </c>
      <c r="AE3731" t="s">
        <v>8745</v>
      </c>
      <c r="AF3731" t="s">
        <v>18247</v>
      </c>
      <c r="AG3731" t="s">
        <v>18248</v>
      </c>
      <c r="AH3731">
        <v>-0.66</v>
      </c>
      <c r="AI3731">
        <v>-0.66</v>
      </c>
      <c r="AJ3731">
        <v>4.48</v>
      </c>
      <c r="AK3731">
        <v>9.39</v>
      </c>
      <c r="AL3731">
        <v>-2</v>
      </c>
      <c r="AM3731">
        <v>-0.33</v>
      </c>
      <c r="AN3731">
        <v>14.34</v>
      </c>
      <c r="AO3731">
        <v>1.18</v>
      </c>
      <c r="AP3731">
        <v>13.26</v>
      </c>
    </row>
    <row r="3732" spans="1:42">
      <c r="A3732">
        <v>3731</v>
      </c>
      <c r="B3732" t="str">
        <f>"603977"</f>
        <v>603977</v>
      </c>
      <c r="C3732" t="s">
        <v>18249</v>
      </c>
      <c r="D3732">
        <v>8.67</v>
      </c>
      <c r="E3732">
        <v>0.81</v>
      </c>
      <c r="F3732">
        <v>0.07</v>
      </c>
      <c r="G3732" t="s">
        <v>2684</v>
      </c>
      <c r="H3732">
        <v>398</v>
      </c>
      <c r="I3732">
        <v>8.67</v>
      </c>
      <c r="J3732">
        <v>8.68</v>
      </c>
      <c r="K3732" t="s">
        <v>11648</v>
      </c>
      <c r="L3732">
        <v>0.69</v>
      </c>
      <c r="M3732" t="s">
        <v>46</v>
      </c>
      <c r="N3732" t="s">
        <v>2488</v>
      </c>
      <c r="O3732">
        <v>8.72</v>
      </c>
      <c r="P3732">
        <v>8.56</v>
      </c>
      <c r="Q3732">
        <v>8.59</v>
      </c>
      <c r="R3732">
        <v>8.6</v>
      </c>
      <c r="S3732">
        <v>1.86</v>
      </c>
      <c r="T3732">
        <v>0.99</v>
      </c>
      <c r="U3732">
        <v>-7.68</v>
      </c>
      <c r="V3732">
        <v>-330</v>
      </c>
      <c r="W3732">
        <v>8.66</v>
      </c>
      <c r="X3732" t="s">
        <v>390</v>
      </c>
      <c r="Y3732" t="s">
        <v>7160</v>
      </c>
      <c r="Z3732">
        <v>0.63</v>
      </c>
      <c r="AA3732">
        <v>21</v>
      </c>
      <c r="AB3732">
        <v>367</v>
      </c>
      <c r="AC3732">
        <v>1.77</v>
      </c>
      <c r="AD3732" t="s">
        <v>10653</v>
      </c>
      <c r="AE3732" t="s">
        <v>18250</v>
      </c>
      <c r="AF3732" t="s">
        <v>10653</v>
      </c>
      <c r="AG3732" t="s">
        <v>18250</v>
      </c>
      <c r="AH3732">
        <v>-0.34</v>
      </c>
      <c r="AI3732">
        <v>-1.81</v>
      </c>
      <c r="AJ3732">
        <v>2.13</v>
      </c>
      <c r="AK3732">
        <v>4.19</v>
      </c>
      <c r="AL3732">
        <v>1</v>
      </c>
      <c r="AM3732">
        <v>0.81</v>
      </c>
      <c r="AN3732">
        <v>8.92</v>
      </c>
      <c r="AO3732">
        <v>3.83</v>
      </c>
      <c r="AP3732">
        <v>3.96</v>
      </c>
    </row>
    <row r="3733" spans="1:42">
      <c r="A3733">
        <v>3732</v>
      </c>
      <c r="B3733" t="str">
        <f>"600533"</f>
        <v>600533</v>
      </c>
      <c r="C3733" t="s">
        <v>18251</v>
      </c>
      <c r="D3733">
        <v>3.09</v>
      </c>
      <c r="E3733">
        <v>1.64</v>
      </c>
      <c r="F3733">
        <v>0.05</v>
      </c>
      <c r="G3733" t="s">
        <v>1937</v>
      </c>
      <c r="H3733">
        <v>1482</v>
      </c>
      <c r="I3733">
        <v>3.08</v>
      </c>
      <c r="J3733">
        <v>3.09</v>
      </c>
      <c r="K3733" t="s">
        <v>7625</v>
      </c>
      <c r="L3733">
        <v>1.15</v>
      </c>
      <c r="M3733" t="s">
        <v>46</v>
      </c>
      <c r="N3733" t="s">
        <v>16629</v>
      </c>
      <c r="O3733">
        <v>3.13</v>
      </c>
      <c r="P3733">
        <v>3.03</v>
      </c>
      <c r="Q3733">
        <v>3.05</v>
      </c>
      <c r="R3733">
        <v>3.04</v>
      </c>
      <c r="S3733">
        <v>3.29</v>
      </c>
      <c r="T3733">
        <v>0.9</v>
      </c>
      <c r="U3733">
        <v>-30.14</v>
      </c>
      <c r="V3733">
        <v>-3824</v>
      </c>
      <c r="W3733">
        <v>3.09</v>
      </c>
      <c r="X3733" t="s">
        <v>2299</v>
      </c>
      <c r="Y3733" t="s">
        <v>4855</v>
      </c>
      <c r="Z3733">
        <v>0.63</v>
      </c>
      <c r="AA3733">
        <v>1549</v>
      </c>
      <c r="AB3733">
        <v>695</v>
      </c>
      <c r="AC3733">
        <v>0.75</v>
      </c>
      <c r="AD3733" t="s">
        <v>1039</v>
      </c>
      <c r="AE3733" t="s">
        <v>5575</v>
      </c>
      <c r="AF3733" t="s">
        <v>1039</v>
      </c>
      <c r="AG3733" t="s">
        <v>5575</v>
      </c>
      <c r="AH3733">
        <v>-0.64</v>
      </c>
      <c r="AI3733">
        <v>-4.33</v>
      </c>
      <c r="AJ3733">
        <v>3.14</v>
      </c>
      <c r="AK3733">
        <v>7.54</v>
      </c>
      <c r="AL3733">
        <v>1</v>
      </c>
      <c r="AM3733">
        <v>1.64</v>
      </c>
      <c r="AN3733">
        <v>-17.16</v>
      </c>
      <c r="AO3733">
        <v>4.04</v>
      </c>
      <c r="AP3733">
        <v>-24.45</v>
      </c>
    </row>
    <row r="3734" spans="1:42">
      <c r="A3734">
        <v>3733</v>
      </c>
      <c r="B3734" t="str">
        <f>"600676"</f>
        <v>600676</v>
      </c>
      <c r="C3734" t="s">
        <v>18252</v>
      </c>
      <c r="D3734">
        <v>4.52</v>
      </c>
      <c r="E3734">
        <v>-0.22</v>
      </c>
      <c r="F3734">
        <v>-0.01</v>
      </c>
      <c r="G3734" t="s">
        <v>4670</v>
      </c>
      <c r="H3734">
        <v>1423</v>
      </c>
      <c r="I3734">
        <v>4.52</v>
      </c>
      <c r="J3734">
        <v>4.53</v>
      </c>
      <c r="K3734" t="s">
        <v>16297</v>
      </c>
      <c r="L3734">
        <v>0.8</v>
      </c>
      <c r="M3734" t="s">
        <v>46</v>
      </c>
      <c r="N3734" t="s">
        <v>10164</v>
      </c>
      <c r="O3734">
        <v>4.56</v>
      </c>
      <c r="P3734">
        <v>4.49</v>
      </c>
      <c r="Q3734">
        <v>4.51</v>
      </c>
      <c r="R3734">
        <v>4.53</v>
      </c>
      <c r="S3734">
        <v>1.55</v>
      </c>
      <c r="T3734">
        <v>1.15</v>
      </c>
      <c r="U3734">
        <v>-19.62</v>
      </c>
      <c r="V3734">
        <v>-1363</v>
      </c>
      <c r="W3734">
        <v>4.52</v>
      </c>
      <c r="X3734" t="s">
        <v>4724</v>
      </c>
      <c r="Y3734" t="s">
        <v>2621</v>
      </c>
      <c r="Z3734">
        <v>0.96</v>
      </c>
      <c r="AA3734">
        <v>428</v>
      </c>
      <c r="AB3734">
        <v>611</v>
      </c>
      <c r="AC3734">
        <v>0.85</v>
      </c>
      <c r="AD3734" t="s">
        <v>304</v>
      </c>
      <c r="AE3734" t="s">
        <v>18253</v>
      </c>
      <c r="AF3734" t="s">
        <v>304</v>
      </c>
      <c r="AG3734" t="s">
        <v>18253</v>
      </c>
      <c r="AH3734">
        <v>-0.44</v>
      </c>
      <c r="AI3734">
        <v>1.12</v>
      </c>
      <c r="AJ3734">
        <v>2.29</v>
      </c>
      <c r="AK3734">
        <v>4.29</v>
      </c>
      <c r="AL3734">
        <v>-1</v>
      </c>
      <c r="AM3734">
        <v>-0.22</v>
      </c>
      <c r="AN3734">
        <v>16.8</v>
      </c>
      <c r="AO3734">
        <v>5.85</v>
      </c>
      <c r="AP3734">
        <v>20.86</v>
      </c>
    </row>
    <row r="3735" spans="1:42">
      <c r="A3735">
        <v>3734</v>
      </c>
      <c r="B3735" t="str">
        <f>"300685"</f>
        <v>300685</v>
      </c>
      <c r="C3735" t="s">
        <v>18254</v>
      </c>
      <c r="D3735">
        <v>22.36</v>
      </c>
      <c r="E3735">
        <v>0.49</v>
      </c>
      <c r="F3735">
        <v>0.11</v>
      </c>
      <c r="G3735" t="s">
        <v>1112</v>
      </c>
      <c r="H3735">
        <v>61</v>
      </c>
      <c r="I3735">
        <v>22.35</v>
      </c>
      <c r="J3735">
        <v>22.36</v>
      </c>
      <c r="K3735" t="s">
        <v>18255</v>
      </c>
      <c r="L3735">
        <v>0.42</v>
      </c>
      <c r="M3735" t="s">
        <v>46</v>
      </c>
      <c r="N3735" t="s">
        <v>18256</v>
      </c>
      <c r="O3735">
        <v>22.55</v>
      </c>
      <c r="P3735">
        <v>22.05</v>
      </c>
      <c r="Q3735">
        <v>22.27</v>
      </c>
      <c r="R3735">
        <v>22.25</v>
      </c>
      <c r="S3735">
        <v>2.25</v>
      </c>
      <c r="T3735">
        <v>0.82</v>
      </c>
      <c r="U3735">
        <v>-56.5</v>
      </c>
      <c r="V3735">
        <v>-115</v>
      </c>
      <c r="W3735">
        <v>22.28</v>
      </c>
      <c r="X3735">
        <v>9032</v>
      </c>
      <c r="Y3735">
        <v>7643</v>
      </c>
      <c r="Z3735">
        <v>1.18</v>
      </c>
      <c r="AA3735">
        <v>20</v>
      </c>
      <c r="AB3735">
        <v>17</v>
      </c>
      <c r="AC3735">
        <v>5.53</v>
      </c>
      <c r="AD3735" t="s">
        <v>18170</v>
      </c>
      <c r="AE3735" t="s">
        <v>18257</v>
      </c>
      <c r="AF3735" t="s">
        <v>18258</v>
      </c>
      <c r="AG3735" t="s">
        <v>18259</v>
      </c>
      <c r="AH3735">
        <v>-0.84</v>
      </c>
      <c r="AI3735">
        <v>-1.19</v>
      </c>
      <c r="AJ3735">
        <v>1.51</v>
      </c>
      <c r="AK3735">
        <v>3</v>
      </c>
      <c r="AL3735">
        <v>1</v>
      </c>
      <c r="AM3735">
        <v>0.49</v>
      </c>
      <c r="AN3735">
        <v>-15.01</v>
      </c>
      <c r="AO3735">
        <v>3.09</v>
      </c>
      <c r="AP3735">
        <v>-15.59</v>
      </c>
    </row>
    <row r="3736" spans="1:42">
      <c r="A3736">
        <v>3735</v>
      </c>
      <c r="B3736" t="str">
        <f>"300998"</f>
        <v>300998</v>
      </c>
      <c r="C3736" t="s">
        <v>18260</v>
      </c>
      <c r="D3736">
        <v>23.81</v>
      </c>
      <c r="E3736">
        <v>-0.63</v>
      </c>
      <c r="F3736">
        <v>-0.15</v>
      </c>
      <c r="G3736" t="s">
        <v>8212</v>
      </c>
      <c r="H3736">
        <v>200</v>
      </c>
      <c r="I3736">
        <v>23.8</v>
      </c>
      <c r="J3736">
        <v>23.81</v>
      </c>
      <c r="K3736" t="s">
        <v>18255</v>
      </c>
      <c r="L3736">
        <v>2.38</v>
      </c>
      <c r="M3736" t="s">
        <v>46</v>
      </c>
      <c r="N3736" t="s">
        <v>13389</v>
      </c>
      <c r="O3736">
        <v>24.13</v>
      </c>
      <c r="P3736">
        <v>23.6</v>
      </c>
      <c r="Q3736">
        <v>23.9</v>
      </c>
      <c r="R3736">
        <v>23.96</v>
      </c>
      <c r="S3736">
        <v>2.21</v>
      </c>
      <c r="T3736">
        <v>0.61</v>
      </c>
      <c r="U3736">
        <v>21.43</v>
      </c>
      <c r="V3736">
        <v>78</v>
      </c>
      <c r="W3736">
        <v>23.75</v>
      </c>
      <c r="X3736">
        <v>8320</v>
      </c>
      <c r="Y3736">
        <v>7320</v>
      </c>
      <c r="Z3736">
        <v>1.14</v>
      </c>
      <c r="AA3736">
        <v>28</v>
      </c>
      <c r="AB3736">
        <v>40</v>
      </c>
      <c r="AC3736">
        <v>2.45</v>
      </c>
      <c r="AD3736" t="s">
        <v>18261</v>
      </c>
      <c r="AE3736" t="s">
        <v>18262</v>
      </c>
      <c r="AF3736" t="s">
        <v>14025</v>
      </c>
      <c r="AG3736" t="s">
        <v>3829</v>
      </c>
      <c r="AH3736">
        <v>-2.86</v>
      </c>
      <c r="AI3736">
        <v>-2.58</v>
      </c>
      <c r="AJ3736">
        <v>8.88</v>
      </c>
      <c r="AK3736">
        <v>21.89</v>
      </c>
      <c r="AL3736">
        <v>-3</v>
      </c>
      <c r="AM3736">
        <v>-0.63</v>
      </c>
      <c r="AN3736">
        <v>-5.59</v>
      </c>
      <c r="AO3736">
        <v>2.59</v>
      </c>
      <c r="AP3736">
        <v>-8.25</v>
      </c>
    </row>
    <row r="3737" spans="1:42">
      <c r="A3737">
        <v>3736</v>
      </c>
      <c r="B3737" t="str">
        <f>"603301"</f>
        <v>603301</v>
      </c>
      <c r="C3737" t="s">
        <v>18263</v>
      </c>
      <c r="D3737">
        <v>26.51</v>
      </c>
      <c r="E3737">
        <v>0.23</v>
      </c>
      <c r="F3737">
        <v>0.06</v>
      </c>
      <c r="G3737" t="s">
        <v>5446</v>
      </c>
      <c r="H3737">
        <v>107</v>
      </c>
      <c r="I3737">
        <v>26.51</v>
      </c>
      <c r="J3737">
        <v>26.52</v>
      </c>
      <c r="K3737" t="s">
        <v>18264</v>
      </c>
      <c r="L3737">
        <v>0.62</v>
      </c>
      <c r="M3737" t="s">
        <v>46</v>
      </c>
      <c r="N3737" t="s">
        <v>9528</v>
      </c>
      <c r="O3737">
        <v>26.71</v>
      </c>
      <c r="P3737">
        <v>26.3</v>
      </c>
      <c r="Q3737">
        <v>26.5</v>
      </c>
      <c r="R3737">
        <v>26.45</v>
      </c>
      <c r="S3737">
        <v>1.55</v>
      </c>
      <c r="T3737">
        <v>1.04</v>
      </c>
      <c r="U3737">
        <v>-44.17</v>
      </c>
      <c r="V3737">
        <v>-125</v>
      </c>
      <c r="W3737">
        <v>26.5</v>
      </c>
      <c r="X3737">
        <v>7534</v>
      </c>
      <c r="Y3737">
        <v>6479</v>
      </c>
      <c r="Z3737">
        <v>1.16</v>
      </c>
      <c r="AA3737">
        <v>44</v>
      </c>
      <c r="AB3737">
        <v>65</v>
      </c>
      <c r="AC3737">
        <v>1.29</v>
      </c>
      <c r="AD3737" t="s">
        <v>429</v>
      </c>
      <c r="AE3737" t="s">
        <v>13344</v>
      </c>
      <c r="AF3737" t="s">
        <v>18265</v>
      </c>
      <c r="AG3737" t="s">
        <v>18266</v>
      </c>
      <c r="AH3737">
        <v>-0.56</v>
      </c>
      <c r="AI3737">
        <v>-1.56</v>
      </c>
      <c r="AJ3737">
        <v>1.72</v>
      </c>
      <c r="AK3737">
        <v>3.57</v>
      </c>
      <c r="AL3737">
        <v>2</v>
      </c>
      <c r="AM3737">
        <v>0.23</v>
      </c>
      <c r="AN3737">
        <v>-27.47</v>
      </c>
      <c r="AO3737">
        <v>2.95</v>
      </c>
      <c r="AP3737">
        <v>-39.91</v>
      </c>
    </row>
    <row r="3738" spans="1:42">
      <c r="A3738">
        <v>3737</v>
      </c>
      <c r="B3738" t="str">
        <f>"603196"</f>
        <v>603196</v>
      </c>
      <c r="C3738" t="s">
        <v>18267</v>
      </c>
      <c r="D3738">
        <v>14.43</v>
      </c>
      <c r="E3738">
        <v>1.12</v>
      </c>
      <c r="F3738">
        <v>0.16</v>
      </c>
      <c r="G3738" t="s">
        <v>6954</v>
      </c>
      <c r="H3738">
        <v>400</v>
      </c>
      <c r="I3738">
        <v>14.43</v>
      </c>
      <c r="J3738">
        <v>14.44</v>
      </c>
      <c r="K3738" t="s">
        <v>18268</v>
      </c>
      <c r="L3738">
        <v>1.08</v>
      </c>
      <c r="M3738" t="s">
        <v>46</v>
      </c>
      <c r="N3738" t="s">
        <v>14761</v>
      </c>
      <c r="O3738">
        <v>14.53</v>
      </c>
      <c r="P3738">
        <v>14.22</v>
      </c>
      <c r="Q3738">
        <v>14.32</v>
      </c>
      <c r="R3738">
        <v>14.27</v>
      </c>
      <c r="S3738">
        <v>2.17</v>
      </c>
      <c r="T3738">
        <v>0.46</v>
      </c>
      <c r="U3738">
        <v>8.04</v>
      </c>
      <c r="V3738">
        <v>60</v>
      </c>
      <c r="W3738">
        <v>14.41</v>
      </c>
      <c r="X3738" t="s">
        <v>218</v>
      </c>
      <c r="Y3738" t="s">
        <v>2371</v>
      </c>
      <c r="Z3738">
        <v>0.7</v>
      </c>
      <c r="AA3738">
        <v>48</v>
      </c>
      <c r="AB3738">
        <v>112</v>
      </c>
      <c r="AC3738">
        <v>4.28</v>
      </c>
      <c r="AD3738" t="s">
        <v>18269</v>
      </c>
      <c r="AE3738" t="s">
        <v>16455</v>
      </c>
      <c r="AF3738" t="s">
        <v>18270</v>
      </c>
      <c r="AG3738" t="s">
        <v>18271</v>
      </c>
      <c r="AH3738">
        <v>3.29</v>
      </c>
      <c r="AI3738">
        <v>-1.16</v>
      </c>
      <c r="AJ3738">
        <v>4.28</v>
      </c>
      <c r="AK3738">
        <v>12.84</v>
      </c>
      <c r="AL3738">
        <v>4</v>
      </c>
      <c r="AM3738">
        <v>1.12</v>
      </c>
      <c r="AN3738">
        <v>93.43</v>
      </c>
      <c r="AO3738">
        <v>-9.98</v>
      </c>
      <c r="AP3738">
        <v>99.59</v>
      </c>
    </row>
    <row r="3739" spans="1:42">
      <c r="A3739">
        <v>3738</v>
      </c>
      <c r="B3739" t="str">
        <f>"002208"</f>
        <v>002208</v>
      </c>
      <c r="C3739" t="s">
        <v>18272</v>
      </c>
      <c r="D3739">
        <v>6.83</v>
      </c>
      <c r="E3739">
        <v>1.04</v>
      </c>
      <c r="F3739">
        <v>0.07</v>
      </c>
      <c r="G3739" t="s">
        <v>5316</v>
      </c>
      <c r="H3739">
        <v>283</v>
      </c>
      <c r="I3739">
        <v>6.82</v>
      </c>
      <c r="J3739">
        <v>6.83</v>
      </c>
      <c r="K3739" t="s">
        <v>18268</v>
      </c>
      <c r="L3739">
        <v>0.68</v>
      </c>
      <c r="M3739" t="s">
        <v>46</v>
      </c>
      <c r="N3739" t="s">
        <v>3681</v>
      </c>
      <c r="O3739">
        <v>6.85</v>
      </c>
      <c r="P3739">
        <v>6.73</v>
      </c>
      <c r="Q3739">
        <v>6.76</v>
      </c>
      <c r="R3739">
        <v>6.76</v>
      </c>
      <c r="S3739">
        <v>1.78</v>
      </c>
      <c r="T3739">
        <v>0.64</v>
      </c>
      <c r="U3739">
        <v>-33.64</v>
      </c>
      <c r="V3739">
        <v>-2121</v>
      </c>
      <c r="W3739">
        <v>6.81</v>
      </c>
      <c r="X3739" t="s">
        <v>1639</v>
      </c>
      <c r="Y3739" t="s">
        <v>8966</v>
      </c>
      <c r="Z3739">
        <v>0.93</v>
      </c>
      <c r="AA3739">
        <v>15</v>
      </c>
      <c r="AB3739">
        <v>691</v>
      </c>
      <c r="AC3739">
        <v>0.83</v>
      </c>
      <c r="AD3739" t="s">
        <v>17755</v>
      </c>
      <c r="AE3739" t="s">
        <v>7637</v>
      </c>
      <c r="AF3739" t="s">
        <v>10887</v>
      </c>
      <c r="AG3739" t="s">
        <v>18273</v>
      </c>
      <c r="AH3739">
        <v>-0.58</v>
      </c>
      <c r="AI3739">
        <v>-3.53</v>
      </c>
      <c r="AJ3739">
        <v>2.11</v>
      </c>
      <c r="AK3739">
        <v>5.96</v>
      </c>
      <c r="AL3739">
        <v>1</v>
      </c>
      <c r="AM3739">
        <v>1.04</v>
      </c>
      <c r="AN3739">
        <v>2.4</v>
      </c>
      <c r="AO3739">
        <v>1.79</v>
      </c>
      <c r="AP3739">
        <v>-0.44</v>
      </c>
    </row>
    <row r="3740" spans="1:42">
      <c r="A3740">
        <v>3739</v>
      </c>
      <c r="B3740" t="str">
        <f>"832149"</f>
        <v>832149</v>
      </c>
      <c r="C3740" t="s">
        <v>18274</v>
      </c>
      <c r="D3740">
        <v>5.27</v>
      </c>
      <c r="E3740">
        <v>-4.18</v>
      </c>
      <c r="F3740">
        <v>-0.23</v>
      </c>
      <c r="G3740" t="s">
        <v>5300</v>
      </c>
      <c r="H3740">
        <v>741</v>
      </c>
      <c r="I3740">
        <v>5.27</v>
      </c>
      <c r="J3740">
        <v>5.28</v>
      </c>
      <c r="K3740" t="s">
        <v>18275</v>
      </c>
      <c r="L3740">
        <v>6.05</v>
      </c>
      <c r="M3740" t="s">
        <v>46</v>
      </c>
      <c r="N3740" t="s">
        <v>9029</v>
      </c>
      <c r="O3740">
        <v>5.66</v>
      </c>
      <c r="P3740">
        <v>5.18</v>
      </c>
      <c r="Q3740">
        <v>5.58</v>
      </c>
      <c r="R3740">
        <v>5.5</v>
      </c>
      <c r="S3740">
        <v>8.73</v>
      </c>
      <c r="T3740">
        <v>0.41</v>
      </c>
      <c r="U3740">
        <v>42.53</v>
      </c>
      <c r="V3740">
        <v>1525</v>
      </c>
      <c r="W3740">
        <v>5.35</v>
      </c>
      <c r="X3740" t="s">
        <v>459</v>
      </c>
      <c r="Y3740" t="s">
        <v>6954</v>
      </c>
      <c r="Z3740">
        <v>1.69</v>
      </c>
      <c r="AA3740">
        <v>1607</v>
      </c>
      <c r="AB3740">
        <v>198</v>
      </c>
      <c r="AC3740">
        <v>2.82</v>
      </c>
      <c r="AD3740" t="s">
        <v>18276</v>
      </c>
      <c r="AE3740" t="s">
        <v>9140</v>
      </c>
      <c r="AF3740" t="s">
        <v>10980</v>
      </c>
      <c r="AG3740" t="s">
        <v>18277</v>
      </c>
      <c r="AH3740">
        <v>-20.15</v>
      </c>
      <c r="AI3740">
        <v>0.96</v>
      </c>
      <c r="AJ3740">
        <v>27.83</v>
      </c>
      <c r="AK3740">
        <v>80.35</v>
      </c>
      <c r="AL3740">
        <v>-3</v>
      </c>
      <c r="AM3740">
        <v>-4.18</v>
      </c>
      <c r="AN3740">
        <v>-40.32</v>
      </c>
      <c r="AO3740">
        <v>31.09</v>
      </c>
      <c r="AP3740">
        <v>-40.32</v>
      </c>
    </row>
    <row r="3741" spans="1:42">
      <c r="A3741">
        <v>3740</v>
      </c>
      <c r="B3741" t="str">
        <f>"603067"</f>
        <v>603067</v>
      </c>
      <c r="C3741" t="s">
        <v>18278</v>
      </c>
      <c r="D3741">
        <v>10.14</v>
      </c>
      <c r="E3741">
        <v>-0.2</v>
      </c>
      <c r="F3741">
        <v>-0.02</v>
      </c>
      <c r="G3741" t="s">
        <v>6912</v>
      </c>
      <c r="H3741">
        <v>133</v>
      </c>
      <c r="I3741">
        <v>10.14</v>
      </c>
      <c r="J3741">
        <v>10.15</v>
      </c>
      <c r="K3741" t="s">
        <v>18275</v>
      </c>
      <c r="L3741">
        <v>0.72</v>
      </c>
      <c r="M3741" t="s">
        <v>46</v>
      </c>
      <c r="N3741" t="s">
        <v>2246</v>
      </c>
      <c r="O3741">
        <v>10.22</v>
      </c>
      <c r="P3741">
        <v>10.06</v>
      </c>
      <c r="Q3741">
        <v>10.19</v>
      </c>
      <c r="R3741">
        <v>10.16</v>
      </c>
      <c r="S3741">
        <v>1.57</v>
      </c>
      <c r="T3741">
        <v>1.04</v>
      </c>
      <c r="U3741">
        <v>-4.51</v>
      </c>
      <c r="V3741">
        <v>-69</v>
      </c>
      <c r="W3741">
        <v>10.14</v>
      </c>
      <c r="X3741" t="s">
        <v>4269</v>
      </c>
      <c r="Y3741" t="s">
        <v>1254</v>
      </c>
      <c r="Z3741">
        <v>2</v>
      </c>
      <c r="AA3741">
        <v>42</v>
      </c>
      <c r="AB3741">
        <v>47</v>
      </c>
      <c r="AC3741">
        <v>1.9</v>
      </c>
      <c r="AD3741" t="s">
        <v>18279</v>
      </c>
      <c r="AE3741" t="s">
        <v>491</v>
      </c>
      <c r="AF3741" t="s">
        <v>18280</v>
      </c>
      <c r="AG3741" t="s">
        <v>18281</v>
      </c>
      <c r="AH3741">
        <v>-2.03</v>
      </c>
      <c r="AI3741">
        <v>-2.03</v>
      </c>
      <c r="AJ3741">
        <v>2.18</v>
      </c>
      <c r="AK3741">
        <v>4.18</v>
      </c>
      <c r="AL3741">
        <v>-3</v>
      </c>
      <c r="AM3741">
        <v>-0.2</v>
      </c>
      <c r="AN3741">
        <v>-19.65</v>
      </c>
      <c r="AO3741">
        <v>0.5</v>
      </c>
      <c r="AP3741">
        <v>-32.13</v>
      </c>
    </row>
    <row r="3742" spans="1:42">
      <c r="A3742">
        <v>3741</v>
      </c>
      <c r="B3742" t="str">
        <f>"002679"</f>
        <v>002679</v>
      </c>
      <c r="C3742" t="s">
        <v>18282</v>
      </c>
      <c r="D3742">
        <v>12.97</v>
      </c>
      <c r="E3742">
        <v>1.41</v>
      </c>
      <c r="F3742">
        <v>0.18</v>
      </c>
      <c r="G3742" t="s">
        <v>4610</v>
      </c>
      <c r="H3742">
        <v>92</v>
      </c>
      <c r="I3742">
        <v>12.97</v>
      </c>
      <c r="J3742">
        <v>12.98</v>
      </c>
      <c r="K3742" t="s">
        <v>18283</v>
      </c>
      <c r="L3742">
        <v>1.21</v>
      </c>
      <c r="M3742" t="s">
        <v>46</v>
      </c>
      <c r="N3742" t="s">
        <v>18284</v>
      </c>
      <c r="O3742">
        <v>13.02</v>
      </c>
      <c r="P3742">
        <v>12.79</v>
      </c>
      <c r="Q3742">
        <v>12.79</v>
      </c>
      <c r="R3742">
        <v>12.79</v>
      </c>
      <c r="S3742">
        <v>1.8</v>
      </c>
      <c r="T3742">
        <v>1.11</v>
      </c>
      <c r="U3742">
        <v>-49.05</v>
      </c>
      <c r="V3742">
        <v>-439</v>
      </c>
      <c r="W3742">
        <v>12.95</v>
      </c>
      <c r="X3742" t="s">
        <v>1769</v>
      </c>
      <c r="Y3742" t="s">
        <v>4717</v>
      </c>
      <c r="Z3742">
        <v>1.03</v>
      </c>
      <c r="AA3742">
        <v>4</v>
      </c>
      <c r="AB3742">
        <v>63</v>
      </c>
      <c r="AC3742">
        <v>4.21</v>
      </c>
      <c r="AD3742" t="s">
        <v>18285</v>
      </c>
      <c r="AE3742" t="s">
        <v>17046</v>
      </c>
      <c r="AF3742" t="s">
        <v>18285</v>
      </c>
      <c r="AG3742" t="s">
        <v>17046</v>
      </c>
      <c r="AH3742">
        <v>-0.69</v>
      </c>
      <c r="AI3742">
        <v>0.23</v>
      </c>
      <c r="AJ3742">
        <v>3.62</v>
      </c>
      <c r="AK3742">
        <v>6.68</v>
      </c>
      <c r="AL3742">
        <v>1</v>
      </c>
      <c r="AM3742">
        <v>1.41</v>
      </c>
      <c r="AN3742">
        <v>24.11</v>
      </c>
      <c r="AO3742">
        <v>4.6</v>
      </c>
      <c r="AP3742">
        <v>18.77</v>
      </c>
    </row>
    <row r="3743" spans="1:42">
      <c r="A3743">
        <v>3742</v>
      </c>
      <c r="B3743" t="str">
        <f>"600622"</f>
        <v>600622</v>
      </c>
      <c r="C3743" t="s">
        <v>18286</v>
      </c>
      <c r="D3743">
        <v>2.7</v>
      </c>
      <c r="E3743">
        <v>1.5</v>
      </c>
      <c r="F3743">
        <v>0.04</v>
      </c>
      <c r="G3743" t="s">
        <v>784</v>
      </c>
      <c r="H3743">
        <v>3305</v>
      </c>
      <c r="I3743">
        <v>2.69</v>
      </c>
      <c r="J3743">
        <v>2.7</v>
      </c>
      <c r="K3743" t="s">
        <v>18287</v>
      </c>
      <c r="L3743">
        <v>0.92</v>
      </c>
      <c r="M3743" t="s">
        <v>46</v>
      </c>
      <c r="N3743" t="s">
        <v>14324</v>
      </c>
      <c r="O3743">
        <v>2.7</v>
      </c>
      <c r="P3743">
        <v>2.63</v>
      </c>
      <c r="Q3743">
        <v>2.65</v>
      </c>
      <c r="R3743">
        <v>2.66</v>
      </c>
      <c r="S3743">
        <v>2.63</v>
      </c>
      <c r="T3743">
        <v>0.82</v>
      </c>
      <c r="U3743">
        <v>2.16</v>
      </c>
      <c r="V3743">
        <v>507</v>
      </c>
      <c r="W3743">
        <v>2.68</v>
      </c>
      <c r="X3743" t="s">
        <v>4381</v>
      </c>
      <c r="Y3743" t="s">
        <v>4555</v>
      </c>
      <c r="Z3743">
        <v>0.73</v>
      </c>
      <c r="AA3743">
        <v>978</v>
      </c>
      <c r="AB3743">
        <v>3197</v>
      </c>
      <c r="AC3743">
        <v>0.62</v>
      </c>
      <c r="AD3743" t="s">
        <v>3481</v>
      </c>
      <c r="AE3743" t="s">
        <v>18288</v>
      </c>
      <c r="AF3743" t="s">
        <v>3481</v>
      </c>
      <c r="AG3743" t="s">
        <v>18288</v>
      </c>
      <c r="AH3743">
        <v>-1.46</v>
      </c>
      <c r="AI3743">
        <v>-5.92</v>
      </c>
      <c r="AJ3743">
        <v>2.76</v>
      </c>
      <c r="AK3743">
        <v>6.55</v>
      </c>
      <c r="AL3743">
        <v>2</v>
      </c>
      <c r="AM3743">
        <v>1.5</v>
      </c>
      <c r="AN3743">
        <v>-17.43</v>
      </c>
      <c r="AO3743">
        <v>0.75</v>
      </c>
      <c r="AP3743">
        <v>-9.7</v>
      </c>
    </row>
    <row r="3744" spans="1:42">
      <c r="A3744">
        <v>3743</v>
      </c>
      <c r="B3744" t="str">
        <f>"300711"</f>
        <v>300711</v>
      </c>
      <c r="C3744" t="s">
        <v>18289</v>
      </c>
      <c r="D3744">
        <v>14.19</v>
      </c>
      <c r="E3744">
        <v>2.09</v>
      </c>
      <c r="F3744">
        <v>0.29</v>
      </c>
      <c r="G3744" t="s">
        <v>688</v>
      </c>
      <c r="H3744">
        <v>385</v>
      </c>
      <c r="I3744">
        <v>14.19</v>
      </c>
      <c r="J3744">
        <v>14.2</v>
      </c>
      <c r="K3744" t="s">
        <v>18290</v>
      </c>
      <c r="L3744">
        <v>1.06</v>
      </c>
      <c r="M3744" t="s">
        <v>46</v>
      </c>
      <c r="N3744" t="s">
        <v>6815</v>
      </c>
      <c r="O3744">
        <v>14.21</v>
      </c>
      <c r="P3744">
        <v>13.83</v>
      </c>
      <c r="Q3744">
        <v>13.98</v>
      </c>
      <c r="R3744">
        <v>13.9</v>
      </c>
      <c r="S3744">
        <v>2.73</v>
      </c>
      <c r="T3744">
        <v>0.89</v>
      </c>
      <c r="U3744">
        <v>-14.9</v>
      </c>
      <c r="V3744">
        <v>-258</v>
      </c>
      <c r="W3744">
        <v>14.06</v>
      </c>
      <c r="X3744" t="s">
        <v>2147</v>
      </c>
      <c r="Y3744" t="s">
        <v>5951</v>
      </c>
      <c r="Z3744">
        <v>0.69</v>
      </c>
      <c r="AA3744">
        <v>157</v>
      </c>
      <c r="AB3744">
        <v>391</v>
      </c>
      <c r="AC3744">
        <v>5.35</v>
      </c>
      <c r="AD3744" t="s">
        <v>6692</v>
      </c>
      <c r="AE3744" t="s">
        <v>18291</v>
      </c>
      <c r="AF3744" t="s">
        <v>10425</v>
      </c>
      <c r="AG3744" t="s">
        <v>11611</v>
      </c>
      <c r="AH3744">
        <v>0.42</v>
      </c>
      <c r="AI3744">
        <v>-0.42</v>
      </c>
      <c r="AJ3744">
        <v>3.59</v>
      </c>
      <c r="AK3744">
        <v>7.01</v>
      </c>
      <c r="AL3744">
        <v>1</v>
      </c>
      <c r="AM3744">
        <v>2.09</v>
      </c>
      <c r="AN3744">
        <v>53.41</v>
      </c>
      <c r="AO3744">
        <v>4.03</v>
      </c>
      <c r="AP3744">
        <v>29.12</v>
      </c>
    </row>
    <row r="3745" spans="1:42">
      <c r="A3745">
        <v>3744</v>
      </c>
      <c r="B3745" t="str">
        <f>"836270"</f>
        <v>836270</v>
      </c>
      <c r="C3745" t="s">
        <v>18292</v>
      </c>
      <c r="D3745">
        <v>11.76</v>
      </c>
      <c r="E3745">
        <v>2.44</v>
      </c>
      <c r="F3745">
        <v>0.28</v>
      </c>
      <c r="G3745" t="s">
        <v>617</v>
      </c>
      <c r="H3745">
        <v>699</v>
      </c>
      <c r="I3745">
        <v>11.76</v>
      </c>
      <c r="J3745">
        <v>11.78</v>
      </c>
      <c r="K3745" t="s">
        <v>18290</v>
      </c>
      <c r="L3745">
        <v>13.56</v>
      </c>
      <c r="M3745" t="s">
        <v>46</v>
      </c>
      <c r="N3745" t="s">
        <v>3757</v>
      </c>
      <c r="O3745">
        <v>12.98</v>
      </c>
      <c r="P3745">
        <v>11.33</v>
      </c>
      <c r="Q3745">
        <v>11.58</v>
      </c>
      <c r="R3745">
        <v>11.48</v>
      </c>
      <c r="S3745">
        <v>14.37</v>
      </c>
      <c r="T3745">
        <v>0.65</v>
      </c>
      <c r="U3745">
        <v>39.3</v>
      </c>
      <c r="V3745">
        <v>177</v>
      </c>
      <c r="W3745">
        <v>12.26</v>
      </c>
      <c r="X3745" t="s">
        <v>3165</v>
      </c>
      <c r="Y3745" t="s">
        <v>905</v>
      </c>
      <c r="Z3745">
        <v>1.42</v>
      </c>
      <c r="AA3745">
        <v>70</v>
      </c>
      <c r="AB3745">
        <v>5</v>
      </c>
      <c r="AC3745">
        <v>2.59</v>
      </c>
      <c r="AD3745" t="s">
        <v>18293</v>
      </c>
      <c r="AE3745" t="s">
        <v>608</v>
      </c>
      <c r="AF3745" t="s">
        <v>18294</v>
      </c>
      <c r="AG3745" t="s">
        <v>4074</v>
      </c>
      <c r="AH3745">
        <v>-13.97</v>
      </c>
      <c r="AI3745">
        <v>15.75</v>
      </c>
      <c r="AJ3745">
        <v>40.43</v>
      </c>
      <c r="AK3745">
        <v>118.29</v>
      </c>
      <c r="AL3745">
        <v>1</v>
      </c>
      <c r="AM3745">
        <v>2.44</v>
      </c>
      <c r="AN3745">
        <v>95.67</v>
      </c>
      <c r="AO3745">
        <v>54.33</v>
      </c>
      <c r="AP3745">
        <v>70.19</v>
      </c>
    </row>
    <row r="3746" spans="1:42">
      <c r="A3746">
        <v>3745</v>
      </c>
      <c r="B3746" t="str">
        <f>"600301"</f>
        <v>600301</v>
      </c>
      <c r="C3746" t="s">
        <v>18295</v>
      </c>
      <c r="D3746">
        <v>12.58</v>
      </c>
      <c r="E3746">
        <v>0.64</v>
      </c>
      <c r="F3746">
        <v>0.08</v>
      </c>
      <c r="G3746" t="s">
        <v>7649</v>
      </c>
      <c r="H3746">
        <v>117</v>
      </c>
      <c r="I3746">
        <v>12.58</v>
      </c>
      <c r="J3746">
        <v>12.59</v>
      </c>
      <c r="K3746" t="s">
        <v>18296</v>
      </c>
      <c r="L3746">
        <v>1.47</v>
      </c>
      <c r="M3746" t="s">
        <v>46</v>
      </c>
      <c r="N3746" t="s">
        <v>4469</v>
      </c>
      <c r="O3746">
        <v>12.77</v>
      </c>
      <c r="P3746">
        <v>12.28</v>
      </c>
      <c r="Q3746">
        <v>12.77</v>
      </c>
      <c r="R3746">
        <v>12.5</v>
      </c>
      <c r="S3746">
        <v>3.92</v>
      </c>
      <c r="T3746">
        <v>0.67</v>
      </c>
      <c r="U3746">
        <v>97.74</v>
      </c>
      <c r="V3746" t="s">
        <v>5963</v>
      </c>
      <c r="W3746">
        <v>12.51</v>
      </c>
      <c r="X3746" t="s">
        <v>6212</v>
      </c>
      <c r="Y3746" t="s">
        <v>5997</v>
      </c>
      <c r="Z3746">
        <v>0.76</v>
      </c>
      <c r="AA3746">
        <v>18</v>
      </c>
      <c r="AB3746">
        <v>274</v>
      </c>
      <c r="AC3746">
        <v>3.14</v>
      </c>
      <c r="AD3746" t="s">
        <v>18297</v>
      </c>
      <c r="AE3746" t="s">
        <v>18298</v>
      </c>
      <c r="AF3746" t="s">
        <v>8708</v>
      </c>
      <c r="AG3746" t="s">
        <v>12762</v>
      </c>
      <c r="AH3746">
        <v>-1.49</v>
      </c>
      <c r="AI3746">
        <v>-5.63</v>
      </c>
      <c r="AJ3746">
        <v>5.38</v>
      </c>
      <c r="AK3746">
        <v>12.51</v>
      </c>
      <c r="AL3746">
        <v>1</v>
      </c>
      <c r="AM3746">
        <v>0.64</v>
      </c>
      <c r="AN3746">
        <v>-1.33</v>
      </c>
      <c r="AO3746">
        <v>-7.09</v>
      </c>
      <c r="AP3746">
        <v>1.53</v>
      </c>
    </row>
    <row r="3747" spans="1:42">
      <c r="A3747">
        <v>3746</v>
      </c>
      <c r="B3747" t="str">
        <f>"300546"</f>
        <v>300546</v>
      </c>
      <c r="C3747" t="s">
        <v>18299</v>
      </c>
      <c r="D3747">
        <v>17</v>
      </c>
      <c r="E3747">
        <v>2.22</v>
      </c>
      <c r="F3747">
        <v>0.37</v>
      </c>
      <c r="G3747" t="s">
        <v>2102</v>
      </c>
      <c r="H3747">
        <v>381</v>
      </c>
      <c r="I3747">
        <v>17</v>
      </c>
      <c r="J3747">
        <v>17.01</v>
      </c>
      <c r="K3747" t="s">
        <v>18300</v>
      </c>
      <c r="L3747">
        <v>1.68</v>
      </c>
      <c r="M3747" t="s">
        <v>46</v>
      </c>
      <c r="N3747" t="s">
        <v>5189</v>
      </c>
      <c r="O3747">
        <v>17.08</v>
      </c>
      <c r="P3747">
        <v>16.52</v>
      </c>
      <c r="Q3747">
        <v>16.68</v>
      </c>
      <c r="R3747">
        <v>16.63</v>
      </c>
      <c r="S3747">
        <v>3.37</v>
      </c>
      <c r="T3747">
        <v>0.94</v>
      </c>
      <c r="U3747">
        <v>-53.74</v>
      </c>
      <c r="V3747">
        <v>-281</v>
      </c>
      <c r="W3747">
        <v>16.86</v>
      </c>
      <c r="X3747">
        <v>8936</v>
      </c>
      <c r="Y3747" t="s">
        <v>1427</v>
      </c>
      <c r="Z3747">
        <v>0.69</v>
      </c>
      <c r="AA3747">
        <v>19</v>
      </c>
      <c r="AB3747">
        <v>117</v>
      </c>
      <c r="AC3747">
        <v>2.93</v>
      </c>
      <c r="AD3747" t="s">
        <v>18301</v>
      </c>
      <c r="AE3747" t="s">
        <v>18302</v>
      </c>
      <c r="AF3747" t="s">
        <v>7462</v>
      </c>
      <c r="AG3747" t="s">
        <v>18303</v>
      </c>
      <c r="AH3747">
        <v>-0.23</v>
      </c>
      <c r="AI3747">
        <v>-2.35</v>
      </c>
      <c r="AJ3747">
        <v>5.24</v>
      </c>
      <c r="AK3747">
        <v>10.62</v>
      </c>
      <c r="AL3747">
        <v>1</v>
      </c>
      <c r="AM3747">
        <v>2.22</v>
      </c>
      <c r="AN3747">
        <v>3.6</v>
      </c>
      <c r="AO3747">
        <v>6.92</v>
      </c>
      <c r="AP3747">
        <v>-13.84</v>
      </c>
    </row>
    <row r="3748" spans="1:42">
      <c r="A3748">
        <v>3747</v>
      </c>
      <c r="B3748" t="str">
        <f>"605108"</f>
        <v>605108</v>
      </c>
      <c r="C3748" t="s">
        <v>18304</v>
      </c>
      <c r="D3748">
        <v>32.57</v>
      </c>
      <c r="E3748">
        <v>0</v>
      </c>
      <c r="F3748">
        <v>0</v>
      </c>
      <c r="G3748" t="s">
        <v>2667</v>
      </c>
      <c r="H3748">
        <v>113</v>
      </c>
      <c r="I3748">
        <v>32.56</v>
      </c>
      <c r="J3748">
        <v>32.57</v>
      </c>
      <c r="K3748" t="s">
        <v>18305</v>
      </c>
      <c r="L3748">
        <v>0.44</v>
      </c>
      <c r="M3748" t="s">
        <v>46</v>
      </c>
      <c r="N3748" t="s">
        <v>9029</v>
      </c>
      <c r="O3748">
        <v>33.01</v>
      </c>
      <c r="P3748">
        <v>32.1</v>
      </c>
      <c r="Q3748">
        <v>32.2</v>
      </c>
      <c r="R3748">
        <v>32.57</v>
      </c>
      <c r="S3748">
        <v>2.79</v>
      </c>
      <c r="T3748">
        <v>0.7</v>
      </c>
      <c r="U3748">
        <v>-64.94</v>
      </c>
      <c r="V3748">
        <v>-226</v>
      </c>
      <c r="W3748">
        <v>32.47</v>
      </c>
      <c r="X3748">
        <v>5277</v>
      </c>
      <c r="Y3748">
        <v>6076</v>
      </c>
      <c r="Z3748">
        <v>0.87</v>
      </c>
      <c r="AA3748">
        <v>26</v>
      </c>
      <c r="AB3748">
        <v>212</v>
      </c>
      <c r="AC3748">
        <v>3.9</v>
      </c>
      <c r="AD3748" t="s">
        <v>18306</v>
      </c>
      <c r="AE3748" t="s">
        <v>18307</v>
      </c>
      <c r="AF3748" t="s">
        <v>18306</v>
      </c>
      <c r="AG3748" t="s">
        <v>18307</v>
      </c>
      <c r="AH3748">
        <v>-0.12</v>
      </c>
      <c r="AI3748">
        <v>4.66</v>
      </c>
      <c r="AJ3748">
        <v>1.38</v>
      </c>
      <c r="AK3748">
        <v>3.55</v>
      </c>
      <c r="AL3748">
        <v>0</v>
      </c>
      <c r="AM3748">
        <v>0</v>
      </c>
      <c r="AN3748">
        <v>-12.33</v>
      </c>
      <c r="AO3748">
        <v>10.48</v>
      </c>
      <c r="AP3748">
        <v>6.89</v>
      </c>
    </row>
    <row r="3749" spans="1:42">
      <c r="A3749">
        <v>3748</v>
      </c>
      <c r="B3749" t="str">
        <f>"688156"</f>
        <v>688156</v>
      </c>
      <c r="C3749" t="s">
        <v>18308</v>
      </c>
      <c r="D3749">
        <v>28.52</v>
      </c>
      <c r="E3749">
        <v>1.53</v>
      </c>
      <c r="F3749">
        <v>0.43</v>
      </c>
      <c r="G3749" t="s">
        <v>1170</v>
      </c>
      <c r="H3749">
        <v>3149</v>
      </c>
      <c r="I3749">
        <v>28.5</v>
      </c>
      <c r="J3749">
        <v>28.52</v>
      </c>
      <c r="K3749" t="s">
        <v>18309</v>
      </c>
      <c r="L3749">
        <v>1.42</v>
      </c>
      <c r="M3749" t="s">
        <v>46</v>
      </c>
      <c r="N3749" t="s">
        <v>6111</v>
      </c>
      <c r="O3749">
        <v>28.52</v>
      </c>
      <c r="P3749">
        <v>27.83</v>
      </c>
      <c r="Q3749">
        <v>28.09</v>
      </c>
      <c r="R3749">
        <v>28.09</v>
      </c>
      <c r="S3749">
        <v>2.46</v>
      </c>
      <c r="T3749">
        <v>0.98</v>
      </c>
      <c r="U3749">
        <v>-45.4</v>
      </c>
      <c r="V3749">
        <v>-56</v>
      </c>
      <c r="W3749">
        <v>28.17</v>
      </c>
      <c r="X3749">
        <v>6086</v>
      </c>
      <c r="Y3749">
        <v>6988</v>
      </c>
      <c r="Z3749">
        <v>0.87</v>
      </c>
      <c r="AA3749">
        <v>10</v>
      </c>
      <c r="AB3749">
        <v>23</v>
      </c>
      <c r="AC3749">
        <v>3.2</v>
      </c>
      <c r="AD3749" t="s">
        <v>4611</v>
      </c>
      <c r="AE3749" t="s">
        <v>16057</v>
      </c>
      <c r="AF3749" t="s">
        <v>18310</v>
      </c>
      <c r="AG3749" t="s">
        <v>5608</v>
      </c>
      <c r="AH3749">
        <v>-2.16</v>
      </c>
      <c r="AI3749">
        <v>-4.55</v>
      </c>
      <c r="AJ3749">
        <v>4.2</v>
      </c>
      <c r="AK3749">
        <v>8.66</v>
      </c>
      <c r="AL3749">
        <v>1</v>
      </c>
      <c r="AM3749">
        <v>1.53</v>
      </c>
      <c r="AN3749">
        <v>-4.46</v>
      </c>
      <c r="AO3749">
        <v>6.22</v>
      </c>
      <c r="AP3749">
        <v>3.03</v>
      </c>
    </row>
    <row r="3750" spans="1:42">
      <c r="A3750">
        <v>3749</v>
      </c>
      <c r="B3750" t="str">
        <f>"000567"</f>
        <v>000567</v>
      </c>
      <c r="C3750" t="s">
        <v>18311</v>
      </c>
      <c r="D3750">
        <v>11.2</v>
      </c>
      <c r="E3750">
        <v>0.36</v>
      </c>
      <c r="F3750">
        <v>0.04</v>
      </c>
      <c r="G3750" t="s">
        <v>9871</v>
      </c>
      <c r="H3750">
        <v>134</v>
      </c>
      <c r="I3750">
        <v>11.19</v>
      </c>
      <c r="J3750">
        <v>11.2</v>
      </c>
      <c r="K3750" t="s">
        <v>18312</v>
      </c>
      <c r="L3750">
        <v>0.24</v>
      </c>
      <c r="M3750" t="s">
        <v>46</v>
      </c>
      <c r="N3750" t="s">
        <v>12596</v>
      </c>
      <c r="O3750">
        <v>11.25</v>
      </c>
      <c r="P3750">
        <v>11.13</v>
      </c>
      <c r="Q3750">
        <v>11.22</v>
      </c>
      <c r="R3750">
        <v>11.16</v>
      </c>
      <c r="S3750">
        <v>1.08</v>
      </c>
      <c r="T3750">
        <v>1.04</v>
      </c>
      <c r="U3750">
        <v>12.4</v>
      </c>
      <c r="V3750">
        <v>512</v>
      </c>
      <c r="W3750">
        <v>11.19</v>
      </c>
      <c r="X3750" t="s">
        <v>1692</v>
      </c>
      <c r="Y3750" t="s">
        <v>8137</v>
      </c>
      <c r="Z3750">
        <v>1</v>
      </c>
      <c r="AA3750">
        <v>8</v>
      </c>
      <c r="AB3750">
        <v>53</v>
      </c>
      <c r="AC3750">
        <v>2.82</v>
      </c>
      <c r="AD3750" t="s">
        <v>18313</v>
      </c>
      <c r="AE3750" t="s">
        <v>18314</v>
      </c>
      <c r="AF3750" t="s">
        <v>4589</v>
      </c>
      <c r="AG3750" t="s">
        <v>2476</v>
      </c>
      <c r="AH3750">
        <v>-1.41</v>
      </c>
      <c r="AI3750">
        <v>-3.03</v>
      </c>
      <c r="AJ3750">
        <v>0.69</v>
      </c>
      <c r="AK3750">
        <v>1.42</v>
      </c>
      <c r="AL3750">
        <v>1</v>
      </c>
      <c r="AM3750">
        <v>0.36</v>
      </c>
      <c r="AN3750">
        <v>22</v>
      </c>
      <c r="AO3750">
        <v>-4.6</v>
      </c>
      <c r="AP3750">
        <v>16.3</v>
      </c>
    </row>
    <row r="3751" spans="1:42">
      <c r="A3751">
        <v>3750</v>
      </c>
      <c r="B3751" t="str">
        <f>"600783"</f>
        <v>600783</v>
      </c>
      <c r="C3751" t="s">
        <v>18315</v>
      </c>
      <c r="D3751">
        <v>12.02</v>
      </c>
      <c r="E3751">
        <v>1.01</v>
      </c>
      <c r="F3751">
        <v>0.12</v>
      </c>
      <c r="G3751" t="s">
        <v>925</v>
      </c>
      <c r="H3751">
        <v>423</v>
      </c>
      <c r="I3751">
        <v>12.02</v>
      </c>
      <c r="J3751">
        <v>12.03</v>
      </c>
      <c r="K3751" t="s">
        <v>18312</v>
      </c>
      <c r="L3751">
        <v>0.41</v>
      </c>
      <c r="M3751" t="s">
        <v>46</v>
      </c>
      <c r="N3751" t="s">
        <v>18316</v>
      </c>
      <c r="O3751">
        <v>12.06</v>
      </c>
      <c r="P3751">
        <v>11.81</v>
      </c>
      <c r="Q3751">
        <v>11.85</v>
      </c>
      <c r="R3751">
        <v>11.9</v>
      </c>
      <c r="S3751">
        <v>2.1</v>
      </c>
      <c r="T3751">
        <v>0.28</v>
      </c>
      <c r="U3751">
        <v>-46.57</v>
      </c>
      <c r="V3751">
        <v>-1438</v>
      </c>
      <c r="W3751">
        <v>11.94</v>
      </c>
      <c r="X3751" t="s">
        <v>10542</v>
      </c>
      <c r="Y3751" t="s">
        <v>1110</v>
      </c>
      <c r="Z3751">
        <v>0.82</v>
      </c>
      <c r="AA3751">
        <v>63</v>
      </c>
      <c r="AB3751">
        <v>513</v>
      </c>
      <c r="AC3751">
        <v>2.03</v>
      </c>
      <c r="AD3751" t="s">
        <v>14381</v>
      </c>
      <c r="AE3751" t="s">
        <v>18317</v>
      </c>
      <c r="AF3751" t="s">
        <v>14381</v>
      </c>
      <c r="AG3751" t="s">
        <v>18317</v>
      </c>
      <c r="AH3751">
        <v>-2.67</v>
      </c>
      <c r="AI3751">
        <v>-4.91</v>
      </c>
      <c r="AJ3751">
        <v>1.89</v>
      </c>
      <c r="AK3751">
        <v>7.71</v>
      </c>
      <c r="AL3751">
        <v>1</v>
      </c>
      <c r="AM3751">
        <v>1.01</v>
      </c>
      <c r="AN3751">
        <v>-1.31</v>
      </c>
      <c r="AO3751">
        <v>4.07</v>
      </c>
      <c r="AP3751">
        <v>-6.17</v>
      </c>
    </row>
    <row r="3752" spans="1:42">
      <c r="A3752">
        <v>3751</v>
      </c>
      <c r="B3752" t="str">
        <f>"688659"</f>
        <v>688659</v>
      </c>
      <c r="C3752" t="s">
        <v>18318</v>
      </c>
      <c r="D3752">
        <v>12.55</v>
      </c>
      <c r="E3752">
        <v>-1.1</v>
      </c>
      <c r="F3752">
        <v>-0.14</v>
      </c>
      <c r="G3752" t="s">
        <v>8622</v>
      </c>
      <c r="H3752">
        <v>335</v>
      </c>
      <c r="I3752">
        <v>12.55</v>
      </c>
      <c r="J3752">
        <v>12.56</v>
      </c>
      <c r="K3752" t="s">
        <v>18319</v>
      </c>
      <c r="L3752">
        <v>3.35</v>
      </c>
      <c r="M3752" t="s">
        <v>46</v>
      </c>
      <c r="N3752" t="s">
        <v>997</v>
      </c>
      <c r="O3752">
        <v>12.84</v>
      </c>
      <c r="P3752">
        <v>12.39</v>
      </c>
      <c r="Q3752">
        <v>12.84</v>
      </c>
      <c r="R3752">
        <v>12.69</v>
      </c>
      <c r="S3752">
        <v>3.55</v>
      </c>
      <c r="T3752">
        <v>0.9</v>
      </c>
      <c r="U3752">
        <v>12.72</v>
      </c>
      <c r="V3752">
        <v>49</v>
      </c>
      <c r="W3752">
        <v>12.5</v>
      </c>
      <c r="X3752" t="s">
        <v>1427</v>
      </c>
      <c r="Y3752" t="s">
        <v>390</v>
      </c>
      <c r="Z3752">
        <v>0.78</v>
      </c>
      <c r="AA3752">
        <v>33</v>
      </c>
      <c r="AB3752">
        <v>41</v>
      </c>
      <c r="AC3752">
        <v>3.11</v>
      </c>
      <c r="AD3752" t="s">
        <v>2521</v>
      </c>
      <c r="AE3752" t="s">
        <v>18320</v>
      </c>
      <c r="AF3752" t="s">
        <v>18321</v>
      </c>
      <c r="AG3752" t="s">
        <v>6404</v>
      </c>
      <c r="AH3752">
        <v>-2.26</v>
      </c>
      <c r="AI3752">
        <v>-4.42</v>
      </c>
      <c r="AJ3752">
        <v>10.67</v>
      </c>
      <c r="AK3752">
        <v>21.95</v>
      </c>
      <c r="AL3752">
        <v>-2</v>
      </c>
      <c r="AM3752">
        <v>-1.1</v>
      </c>
      <c r="AN3752">
        <v>-26.74</v>
      </c>
      <c r="AO3752">
        <v>6.99</v>
      </c>
      <c r="AP3752">
        <v>-53.79</v>
      </c>
    </row>
    <row r="3753" spans="1:42">
      <c r="A3753">
        <v>3752</v>
      </c>
      <c r="B3753" t="str">
        <f>"688509"</f>
        <v>688509</v>
      </c>
      <c r="C3753" t="s">
        <v>18322</v>
      </c>
      <c r="D3753">
        <v>5.06</v>
      </c>
      <c r="E3753">
        <v>1</v>
      </c>
      <c r="F3753">
        <v>0.05</v>
      </c>
      <c r="G3753" t="s">
        <v>4542</v>
      </c>
      <c r="H3753">
        <v>308</v>
      </c>
      <c r="I3753">
        <v>5.05</v>
      </c>
      <c r="J3753">
        <v>5.06</v>
      </c>
      <c r="K3753" t="s">
        <v>18323</v>
      </c>
      <c r="L3753">
        <v>1.9</v>
      </c>
      <c r="M3753" t="s">
        <v>46</v>
      </c>
      <c r="N3753" t="s">
        <v>7247</v>
      </c>
      <c r="O3753">
        <v>5.11</v>
      </c>
      <c r="P3753">
        <v>4.95</v>
      </c>
      <c r="Q3753">
        <v>5.01</v>
      </c>
      <c r="R3753">
        <v>5.01</v>
      </c>
      <c r="S3753">
        <v>3.19</v>
      </c>
      <c r="T3753">
        <v>0.67</v>
      </c>
      <c r="U3753">
        <v>-45.76</v>
      </c>
      <c r="V3753">
        <v>-3645</v>
      </c>
      <c r="W3753">
        <v>5.03</v>
      </c>
      <c r="X3753" t="s">
        <v>7058</v>
      </c>
      <c r="Y3753" t="s">
        <v>5774</v>
      </c>
      <c r="Z3753">
        <v>0.88</v>
      </c>
      <c r="AA3753">
        <v>477</v>
      </c>
      <c r="AB3753">
        <v>2009</v>
      </c>
      <c r="AC3753">
        <v>2.68</v>
      </c>
      <c r="AD3753" t="s">
        <v>7324</v>
      </c>
      <c r="AE3753" t="s">
        <v>13660</v>
      </c>
      <c r="AF3753" t="s">
        <v>18324</v>
      </c>
      <c r="AG3753" t="s">
        <v>17187</v>
      </c>
      <c r="AH3753">
        <v>-1.36</v>
      </c>
      <c r="AI3753">
        <v>-1.17</v>
      </c>
      <c r="AJ3753">
        <v>6.07</v>
      </c>
      <c r="AK3753">
        <v>16.07</v>
      </c>
      <c r="AL3753">
        <v>1</v>
      </c>
      <c r="AM3753">
        <v>1</v>
      </c>
      <c r="AN3753">
        <v>25.56</v>
      </c>
      <c r="AO3753">
        <v>6.75</v>
      </c>
      <c r="AP3753">
        <v>11.95</v>
      </c>
    </row>
    <row r="3754" spans="1:42">
      <c r="A3754">
        <v>3753</v>
      </c>
      <c r="B3754" t="str">
        <f>"002755"</f>
        <v>002755</v>
      </c>
      <c r="C3754" t="s">
        <v>18325</v>
      </c>
      <c r="D3754">
        <v>10.25</v>
      </c>
      <c r="E3754">
        <v>0.59</v>
      </c>
      <c r="F3754">
        <v>0.06</v>
      </c>
      <c r="G3754" t="s">
        <v>4974</v>
      </c>
      <c r="H3754">
        <v>358</v>
      </c>
      <c r="I3754">
        <v>10.24</v>
      </c>
      <c r="J3754">
        <v>10.25</v>
      </c>
      <c r="K3754" t="s">
        <v>18326</v>
      </c>
      <c r="L3754">
        <v>0.39</v>
      </c>
      <c r="M3754" t="s">
        <v>46</v>
      </c>
      <c r="N3754" t="s">
        <v>1645</v>
      </c>
      <c r="O3754">
        <v>10.28</v>
      </c>
      <c r="P3754">
        <v>10.13</v>
      </c>
      <c r="Q3754">
        <v>10.2</v>
      </c>
      <c r="R3754">
        <v>10.19</v>
      </c>
      <c r="S3754">
        <v>1.47</v>
      </c>
      <c r="T3754">
        <v>0.82</v>
      </c>
      <c r="U3754">
        <v>-34.22</v>
      </c>
      <c r="V3754">
        <v>-463</v>
      </c>
      <c r="W3754">
        <v>10.21</v>
      </c>
      <c r="X3754" t="s">
        <v>4943</v>
      </c>
      <c r="Y3754" t="s">
        <v>2924</v>
      </c>
      <c r="Z3754">
        <v>0.83</v>
      </c>
      <c r="AA3754">
        <v>18</v>
      </c>
      <c r="AB3754">
        <v>48</v>
      </c>
      <c r="AC3754">
        <v>3.4</v>
      </c>
      <c r="AD3754" t="s">
        <v>18327</v>
      </c>
      <c r="AE3754" t="s">
        <v>18328</v>
      </c>
      <c r="AF3754" t="s">
        <v>18327</v>
      </c>
      <c r="AG3754" t="s">
        <v>18328</v>
      </c>
      <c r="AH3754">
        <v>0.99</v>
      </c>
      <c r="AI3754">
        <v>0.29</v>
      </c>
      <c r="AJ3754">
        <v>1.27</v>
      </c>
      <c r="AK3754">
        <v>2.76</v>
      </c>
      <c r="AL3754">
        <v>2</v>
      </c>
      <c r="AM3754">
        <v>0.59</v>
      </c>
      <c r="AN3754">
        <v>29.09</v>
      </c>
      <c r="AO3754">
        <v>0.69</v>
      </c>
      <c r="AP3754">
        <v>14.14</v>
      </c>
    </row>
    <row r="3755" spans="1:42">
      <c r="A3755">
        <v>3754</v>
      </c>
      <c r="B3755" t="str">
        <f>"601908"</f>
        <v>601908</v>
      </c>
      <c r="C3755" t="s">
        <v>18329</v>
      </c>
      <c r="D3755">
        <v>4.58</v>
      </c>
      <c r="E3755">
        <v>0.44</v>
      </c>
      <c r="F3755">
        <v>0.02</v>
      </c>
      <c r="G3755" t="s">
        <v>8408</v>
      </c>
      <c r="H3755">
        <v>559</v>
      </c>
      <c r="I3755">
        <v>4.58</v>
      </c>
      <c r="J3755">
        <v>4.59</v>
      </c>
      <c r="K3755" t="s">
        <v>18330</v>
      </c>
      <c r="L3755">
        <v>0.33</v>
      </c>
      <c r="M3755" t="s">
        <v>46</v>
      </c>
      <c r="N3755" t="s">
        <v>18331</v>
      </c>
      <c r="O3755">
        <v>4.6</v>
      </c>
      <c r="P3755">
        <v>4.53</v>
      </c>
      <c r="Q3755">
        <v>4.56</v>
      </c>
      <c r="R3755">
        <v>4.56</v>
      </c>
      <c r="S3755">
        <v>1.54</v>
      </c>
      <c r="T3755">
        <v>0.89</v>
      </c>
      <c r="U3755">
        <v>-43.61</v>
      </c>
      <c r="V3755">
        <v>-5272</v>
      </c>
      <c r="W3755">
        <v>4.56</v>
      </c>
      <c r="X3755" t="s">
        <v>4941</v>
      </c>
      <c r="Y3755" t="s">
        <v>2752</v>
      </c>
      <c r="Z3755">
        <v>0.97</v>
      </c>
      <c r="AA3755">
        <v>133</v>
      </c>
      <c r="AB3755">
        <v>1239</v>
      </c>
      <c r="AC3755">
        <v>0.96</v>
      </c>
      <c r="AD3755" t="s">
        <v>18332</v>
      </c>
      <c r="AE3755" t="s">
        <v>18333</v>
      </c>
      <c r="AF3755" t="s">
        <v>18332</v>
      </c>
      <c r="AG3755" t="s">
        <v>18333</v>
      </c>
      <c r="AH3755">
        <v>-1.08</v>
      </c>
      <c r="AI3755">
        <v>-2.76</v>
      </c>
      <c r="AJ3755">
        <v>1.17</v>
      </c>
      <c r="AK3755">
        <v>2.21</v>
      </c>
      <c r="AL3755">
        <v>1</v>
      </c>
      <c r="AM3755">
        <v>0.44</v>
      </c>
      <c r="AN3755">
        <v>-30.29</v>
      </c>
      <c r="AO3755">
        <v>-0.65</v>
      </c>
      <c r="AP3755">
        <v>-35.13</v>
      </c>
    </row>
    <row r="3756" spans="1:42">
      <c r="A3756">
        <v>3755</v>
      </c>
      <c r="B3756" t="str">
        <f>"002258"</f>
        <v>002258</v>
      </c>
      <c r="C3756" t="s">
        <v>18334</v>
      </c>
      <c r="D3756">
        <v>12.6</v>
      </c>
      <c r="E3756">
        <v>-0.16</v>
      </c>
      <c r="F3756">
        <v>-0.02</v>
      </c>
      <c r="G3756" t="s">
        <v>1080</v>
      </c>
      <c r="H3756">
        <v>611</v>
      </c>
      <c r="I3756">
        <v>12.59</v>
      </c>
      <c r="J3756">
        <v>12.6</v>
      </c>
      <c r="K3756" t="s">
        <v>18335</v>
      </c>
      <c r="L3756">
        <v>0.37</v>
      </c>
      <c r="M3756" t="s">
        <v>46</v>
      </c>
      <c r="N3756" t="s">
        <v>15555</v>
      </c>
      <c r="O3756">
        <v>12.65</v>
      </c>
      <c r="P3756">
        <v>12.51</v>
      </c>
      <c r="Q3756">
        <v>12.63</v>
      </c>
      <c r="R3756">
        <v>12.62</v>
      </c>
      <c r="S3756">
        <v>1.11</v>
      </c>
      <c r="T3756">
        <v>0.68</v>
      </c>
      <c r="U3756">
        <v>19.82</v>
      </c>
      <c r="V3756">
        <v>476</v>
      </c>
      <c r="W3756">
        <v>12.57</v>
      </c>
      <c r="X3756" t="s">
        <v>5997</v>
      </c>
      <c r="Y3756" t="s">
        <v>2547</v>
      </c>
      <c r="Z3756">
        <v>1.34</v>
      </c>
      <c r="AA3756">
        <v>125</v>
      </c>
      <c r="AB3756">
        <v>34</v>
      </c>
      <c r="AC3756">
        <v>1.35</v>
      </c>
      <c r="AD3756" t="s">
        <v>18336</v>
      </c>
      <c r="AE3756" t="s">
        <v>8898</v>
      </c>
      <c r="AF3756" t="s">
        <v>18337</v>
      </c>
      <c r="AG3756" t="s">
        <v>3439</v>
      </c>
      <c r="AH3756">
        <v>-2.17</v>
      </c>
      <c r="AI3756">
        <v>-4.91</v>
      </c>
      <c r="AJ3756">
        <v>1.2</v>
      </c>
      <c r="AK3756">
        <v>3.05</v>
      </c>
      <c r="AL3756">
        <v>-3</v>
      </c>
      <c r="AM3756">
        <v>-0.16</v>
      </c>
      <c r="AN3756">
        <v>-27.84</v>
      </c>
      <c r="AO3756">
        <v>4.91</v>
      </c>
      <c r="AP3756">
        <v>-33.54</v>
      </c>
    </row>
    <row r="3757" spans="1:42">
      <c r="A3757">
        <v>3756</v>
      </c>
      <c r="B3757" t="str">
        <f>"003011"</f>
        <v>003011</v>
      </c>
      <c r="C3757" t="s">
        <v>18338</v>
      </c>
      <c r="D3757">
        <v>22.06</v>
      </c>
      <c r="E3757">
        <v>0.46</v>
      </c>
      <c r="F3757">
        <v>0.1</v>
      </c>
      <c r="G3757" t="s">
        <v>1112</v>
      </c>
      <c r="H3757">
        <v>122</v>
      </c>
      <c r="I3757">
        <v>22.06</v>
      </c>
      <c r="J3757">
        <v>22.07</v>
      </c>
      <c r="K3757" t="s">
        <v>18214</v>
      </c>
      <c r="L3757">
        <v>2.18</v>
      </c>
      <c r="M3757" t="s">
        <v>46</v>
      </c>
      <c r="N3757" t="s">
        <v>7742</v>
      </c>
      <c r="O3757">
        <v>22.19</v>
      </c>
      <c r="P3757">
        <v>21.9</v>
      </c>
      <c r="Q3757">
        <v>22.04</v>
      </c>
      <c r="R3757">
        <v>21.96</v>
      </c>
      <c r="S3757">
        <v>1.32</v>
      </c>
      <c r="T3757">
        <v>1.02</v>
      </c>
      <c r="U3757">
        <v>56.52</v>
      </c>
      <c r="V3757">
        <v>471</v>
      </c>
      <c r="W3757">
        <v>22.02</v>
      </c>
      <c r="X3757">
        <v>8105</v>
      </c>
      <c r="Y3757">
        <v>8552</v>
      </c>
      <c r="Z3757">
        <v>0.95</v>
      </c>
      <c r="AA3757">
        <v>33</v>
      </c>
      <c r="AB3757">
        <v>10</v>
      </c>
      <c r="AC3757">
        <v>1.47</v>
      </c>
      <c r="AD3757" t="s">
        <v>18339</v>
      </c>
      <c r="AE3757" t="s">
        <v>18340</v>
      </c>
      <c r="AF3757" t="s">
        <v>18341</v>
      </c>
      <c r="AG3757" t="s">
        <v>13626</v>
      </c>
      <c r="AH3757">
        <v>-1.25</v>
      </c>
      <c r="AI3757">
        <v>-2.86</v>
      </c>
      <c r="AJ3757">
        <v>5.26</v>
      </c>
      <c r="AK3757">
        <v>12.84</v>
      </c>
      <c r="AL3757">
        <v>1</v>
      </c>
      <c r="AM3757">
        <v>0.46</v>
      </c>
      <c r="AN3757">
        <v>6.21</v>
      </c>
      <c r="AO3757">
        <v>1.8</v>
      </c>
      <c r="AP3757">
        <v>0.78</v>
      </c>
    </row>
    <row r="3758" spans="1:42">
      <c r="A3758">
        <v>3757</v>
      </c>
      <c r="B3758" t="str">
        <f>"300868"</f>
        <v>300868</v>
      </c>
      <c r="C3758" t="s">
        <v>18342</v>
      </c>
      <c r="D3758">
        <v>22.36</v>
      </c>
      <c r="E3758">
        <v>1.08</v>
      </c>
      <c r="F3758">
        <v>0.24</v>
      </c>
      <c r="G3758" t="s">
        <v>8137</v>
      </c>
      <c r="H3758">
        <v>245</v>
      </c>
      <c r="I3758">
        <v>22.36</v>
      </c>
      <c r="J3758">
        <v>22.37</v>
      </c>
      <c r="K3758" t="s">
        <v>18343</v>
      </c>
      <c r="L3758">
        <v>2.81</v>
      </c>
      <c r="M3758" t="s">
        <v>46</v>
      </c>
      <c r="N3758" t="s">
        <v>18344</v>
      </c>
      <c r="O3758">
        <v>22.41</v>
      </c>
      <c r="P3758">
        <v>21.97</v>
      </c>
      <c r="Q3758">
        <v>22.13</v>
      </c>
      <c r="R3758">
        <v>22.12</v>
      </c>
      <c r="S3758">
        <v>1.99</v>
      </c>
      <c r="T3758">
        <v>0.63</v>
      </c>
      <c r="U3758">
        <v>-4.16</v>
      </c>
      <c r="V3758">
        <v>-15</v>
      </c>
      <c r="W3758">
        <v>22.26</v>
      </c>
      <c r="X3758">
        <v>7466</v>
      </c>
      <c r="Y3758">
        <v>9006</v>
      </c>
      <c r="Z3758">
        <v>0.83</v>
      </c>
      <c r="AA3758">
        <v>22</v>
      </c>
      <c r="AB3758">
        <v>10</v>
      </c>
      <c r="AC3758">
        <v>1.79</v>
      </c>
      <c r="AD3758" t="s">
        <v>9252</v>
      </c>
      <c r="AE3758" t="s">
        <v>18345</v>
      </c>
      <c r="AF3758" t="s">
        <v>18346</v>
      </c>
      <c r="AG3758" t="s">
        <v>3966</v>
      </c>
      <c r="AH3758">
        <v>0.4</v>
      </c>
      <c r="AI3758">
        <v>-1.67</v>
      </c>
      <c r="AJ3758">
        <v>10.69</v>
      </c>
      <c r="AK3758">
        <v>25.27</v>
      </c>
      <c r="AL3758">
        <v>1</v>
      </c>
      <c r="AM3758">
        <v>1.08</v>
      </c>
      <c r="AN3758">
        <v>46.43</v>
      </c>
      <c r="AO3758">
        <v>4.44</v>
      </c>
      <c r="AP3758">
        <v>30.61</v>
      </c>
    </row>
    <row r="3759" spans="1:42">
      <c r="A3759">
        <v>3758</v>
      </c>
      <c r="B3759" t="str">
        <f>"600562"</f>
        <v>600562</v>
      </c>
      <c r="C3759" t="s">
        <v>18347</v>
      </c>
      <c r="D3759">
        <v>14.31</v>
      </c>
      <c r="E3759">
        <v>0.21</v>
      </c>
      <c r="F3759">
        <v>0.03</v>
      </c>
      <c r="G3759" t="s">
        <v>6954</v>
      </c>
      <c r="H3759">
        <v>89</v>
      </c>
      <c r="I3759">
        <v>14.31</v>
      </c>
      <c r="J3759">
        <v>14.32</v>
      </c>
      <c r="K3759" t="s">
        <v>18348</v>
      </c>
      <c r="L3759">
        <v>0.21</v>
      </c>
      <c r="M3759" t="s">
        <v>46</v>
      </c>
      <c r="N3759" t="s">
        <v>1898</v>
      </c>
      <c r="O3759">
        <v>14.39</v>
      </c>
      <c r="P3759">
        <v>14.19</v>
      </c>
      <c r="Q3759">
        <v>14.28</v>
      </c>
      <c r="R3759">
        <v>14.28</v>
      </c>
      <c r="S3759">
        <v>1.4</v>
      </c>
      <c r="T3759">
        <v>0.57</v>
      </c>
      <c r="U3759">
        <v>-5.71</v>
      </c>
      <c r="V3759">
        <v>-50</v>
      </c>
      <c r="W3759">
        <v>14.27</v>
      </c>
      <c r="X3759" t="s">
        <v>4105</v>
      </c>
      <c r="Y3759" t="s">
        <v>2667</v>
      </c>
      <c r="Z3759">
        <v>1.24</v>
      </c>
      <c r="AA3759">
        <v>82</v>
      </c>
      <c r="AB3759">
        <v>14</v>
      </c>
      <c r="AC3759">
        <v>3.33</v>
      </c>
      <c r="AD3759" t="s">
        <v>18349</v>
      </c>
      <c r="AE3759" t="s">
        <v>4841</v>
      </c>
      <c r="AF3759" t="s">
        <v>6459</v>
      </c>
      <c r="AG3759" t="s">
        <v>11705</v>
      </c>
      <c r="AH3759">
        <v>-1.17</v>
      </c>
      <c r="AI3759">
        <v>-1.99</v>
      </c>
      <c r="AJ3759">
        <v>0.71</v>
      </c>
      <c r="AK3759">
        <v>2.05</v>
      </c>
      <c r="AL3759">
        <v>1</v>
      </c>
      <c r="AM3759">
        <v>0.21</v>
      </c>
      <c r="AN3759">
        <v>-14.92</v>
      </c>
      <c r="AO3759">
        <v>-0.21</v>
      </c>
      <c r="AP3759">
        <v>-20.19</v>
      </c>
    </row>
    <row r="3760" spans="1:42">
      <c r="A3760">
        <v>3759</v>
      </c>
      <c r="B3760" t="str">
        <f>"603150"</f>
        <v>603150</v>
      </c>
      <c r="C3760" t="s">
        <v>18350</v>
      </c>
      <c r="D3760">
        <v>29.16</v>
      </c>
      <c r="E3760">
        <v>-0.68</v>
      </c>
      <c r="F3760">
        <v>-0.2</v>
      </c>
      <c r="G3760" t="s">
        <v>2547</v>
      </c>
      <c r="H3760">
        <v>192</v>
      </c>
      <c r="I3760">
        <v>29.16</v>
      </c>
      <c r="J3760">
        <v>29.17</v>
      </c>
      <c r="K3760" t="s">
        <v>18351</v>
      </c>
      <c r="L3760">
        <v>2.4</v>
      </c>
      <c r="M3760" t="s">
        <v>46</v>
      </c>
      <c r="N3760" t="s">
        <v>3167</v>
      </c>
      <c r="O3760">
        <v>29.5</v>
      </c>
      <c r="P3760">
        <v>29.08</v>
      </c>
      <c r="Q3760">
        <v>29.3</v>
      </c>
      <c r="R3760">
        <v>29.36</v>
      </c>
      <c r="S3760">
        <v>1.43</v>
      </c>
      <c r="T3760">
        <v>0.95</v>
      </c>
      <c r="U3760">
        <v>-6.78</v>
      </c>
      <c r="V3760">
        <v>-23</v>
      </c>
      <c r="W3760">
        <v>29.2</v>
      </c>
      <c r="X3760">
        <v>8204</v>
      </c>
      <c r="Y3760">
        <v>4342</v>
      </c>
      <c r="Z3760">
        <v>1.89</v>
      </c>
      <c r="AA3760">
        <v>29</v>
      </c>
      <c r="AB3760">
        <v>55</v>
      </c>
      <c r="AC3760">
        <v>1.81</v>
      </c>
      <c r="AD3760" t="s">
        <v>18352</v>
      </c>
      <c r="AE3760" t="s">
        <v>11777</v>
      </c>
      <c r="AF3760" t="s">
        <v>18353</v>
      </c>
      <c r="AG3760" t="s">
        <v>6049</v>
      </c>
      <c r="AH3760">
        <v>-1.52</v>
      </c>
      <c r="AI3760">
        <v>-0.68</v>
      </c>
      <c r="AJ3760">
        <v>7.04</v>
      </c>
      <c r="AK3760">
        <v>15.01</v>
      </c>
      <c r="AL3760">
        <v>-1</v>
      </c>
      <c r="AM3760">
        <v>-0.68</v>
      </c>
      <c r="AN3760">
        <v>13.86</v>
      </c>
      <c r="AO3760">
        <v>4.85</v>
      </c>
      <c r="AP3760">
        <v>3.92</v>
      </c>
    </row>
    <row r="3761" spans="1:42">
      <c r="A3761">
        <v>3760</v>
      </c>
      <c r="B3761" t="str">
        <f>"603033"</f>
        <v>603033</v>
      </c>
      <c r="C3761" t="s">
        <v>18354</v>
      </c>
      <c r="D3761">
        <v>15.99</v>
      </c>
      <c r="E3761">
        <v>0.25</v>
      </c>
      <c r="F3761">
        <v>0.04</v>
      </c>
      <c r="G3761" t="s">
        <v>587</v>
      </c>
      <c r="H3761">
        <v>458</v>
      </c>
      <c r="I3761">
        <v>15.99</v>
      </c>
      <c r="J3761">
        <v>16.01</v>
      </c>
      <c r="K3761" t="s">
        <v>18355</v>
      </c>
      <c r="L3761">
        <v>0.23</v>
      </c>
      <c r="M3761" t="s">
        <v>46</v>
      </c>
      <c r="N3761" t="s">
        <v>6230</v>
      </c>
      <c r="O3761">
        <v>16.14</v>
      </c>
      <c r="P3761">
        <v>15.87</v>
      </c>
      <c r="Q3761">
        <v>15.95</v>
      </c>
      <c r="R3761">
        <v>15.95</v>
      </c>
      <c r="S3761">
        <v>1.69</v>
      </c>
      <c r="T3761">
        <v>0.64</v>
      </c>
      <c r="U3761">
        <v>6.09</v>
      </c>
      <c r="V3761">
        <v>49</v>
      </c>
      <c r="W3761">
        <v>16</v>
      </c>
      <c r="X3761" t="s">
        <v>2147</v>
      </c>
      <c r="Y3761" t="s">
        <v>1254</v>
      </c>
      <c r="Z3761">
        <v>0.88</v>
      </c>
      <c r="AA3761">
        <v>265</v>
      </c>
      <c r="AB3761">
        <v>38</v>
      </c>
      <c r="AC3761">
        <v>4.74</v>
      </c>
      <c r="AD3761" t="s">
        <v>1061</v>
      </c>
      <c r="AE3761" t="s">
        <v>18356</v>
      </c>
      <c r="AF3761" t="s">
        <v>3449</v>
      </c>
      <c r="AG3761" t="s">
        <v>18357</v>
      </c>
      <c r="AH3761">
        <v>0</v>
      </c>
      <c r="AI3761">
        <v>-5.66</v>
      </c>
      <c r="AJ3761">
        <v>0.92</v>
      </c>
      <c r="AK3761">
        <v>2.01</v>
      </c>
      <c r="AL3761">
        <v>1</v>
      </c>
      <c r="AM3761">
        <v>0.25</v>
      </c>
      <c r="AN3761">
        <v>20.41</v>
      </c>
      <c r="AO3761">
        <v>-9.81</v>
      </c>
      <c r="AP3761">
        <v>24.82</v>
      </c>
    </row>
    <row r="3762" spans="1:42">
      <c r="A3762">
        <v>3761</v>
      </c>
      <c r="B3762" t="str">
        <f>"603183"</f>
        <v>603183</v>
      </c>
      <c r="C3762" t="s">
        <v>18358</v>
      </c>
      <c r="D3762">
        <v>4.76</v>
      </c>
      <c r="E3762">
        <v>0.42</v>
      </c>
      <c r="F3762">
        <v>0.02</v>
      </c>
      <c r="G3762" t="s">
        <v>6478</v>
      </c>
      <c r="H3762">
        <v>656</v>
      </c>
      <c r="I3762">
        <v>4.76</v>
      </c>
      <c r="J3762">
        <v>4.77</v>
      </c>
      <c r="K3762" t="s">
        <v>18359</v>
      </c>
      <c r="L3762">
        <v>1.57</v>
      </c>
      <c r="M3762" t="s">
        <v>46</v>
      </c>
      <c r="N3762" t="s">
        <v>496</v>
      </c>
      <c r="O3762">
        <v>4.77</v>
      </c>
      <c r="P3762">
        <v>4.71</v>
      </c>
      <c r="Q3762">
        <v>4.74</v>
      </c>
      <c r="R3762">
        <v>4.74</v>
      </c>
      <c r="S3762">
        <v>1.27</v>
      </c>
      <c r="T3762">
        <v>1.43</v>
      </c>
      <c r="U3762">
        <v>-12.28</v>
      </c>
      <c r="V3762">
        <v>-538</v>
      </c>
      <c r="W3762">
        <v>4.74</v>
      </c>
      <c r="X3762" t="s">
        <v>2189</v>
      </c>
      <c r="Y3762" t="s">
        <v>4724</v>
      </c>
      <c r="Z3762">
        <v>0.92</v>
      </c>
      <c r="AA3762">
        <v>30</v>
      </c>
      <c r="AB3762">
        <v>853</v>
      </c>
      <c r="AC3762">
        <v>1.59</v>
      </c>
      <c r="AD3762" t="s">
        <v>7192</v>
      </c>
      <c r="AE3762" t="s">
        <v>18360</v>
      </c>
      <c r="AF3762" t="s">
        <v>18361</v>
      </c>
      <c r="AG3762" t="s">
        <v>18362</v>
      </c>
      <c r="AH3762">
        <v>-1.24</v>
      </c>
      <c r="AI3762">
        <v>-1.65</v>
      </c>
      <c r="AJ3762">
        <v>4.1</v>
      </c>
      <c r="AK3762">
        <v>7.07</v>
      </c>
      <c r="AL3762">
        <v>1</v>
      </c>
      <c r="AM3762">
        <v>0.42</v>
      </c>
      <c r="AN3762">
        <v>4.39</v>
      </c>
      <c r="AO3762">
        <v>0.21</v>
      </c>
      <c r="AP3762">
        <v>-1.86</v>
      </c>
    </row>
    <row r="3763" spans="1:42">
      <c r="A3763">
        <v>3762</v>
      </c>
      <c r="B3763" t="str">
        <f>"603255"</f>
        <v>603255</v>
      </c>
      <c r="C3763" t="s">
        <v>18363</v>
      </c>
      <c r="D3763">
        <v>37.85</v>
      </c>
      <c r="E3763">
        <v>-3</v>
      </c>
      <c r="F3763">
        <v>-1.17</v>
      </c>
      <c r="G3763">
        <v>9623</v>
      </c>
      <c r="H3763">
        <v>150</v>
      </c>
      <c r="I3763">
        <v>37.84</v>
      </c>
      <c r="J3763">
        <v>37.85</v>
      </c>
      <c r="K3763" t="s">
        <v>18364</v>
      </c>
      <c r="L3763">
        <v>1.59</v>
      </c>
      <c r="M3763" t="s">
        <v>46</v>
      </c>
      <c r="N3763" t="s">
        <v>18365</v>
      </c>
      <c r="O3763">
        <v>39.51</v>
      </c>
      <c r="P3763">
        <v>37.58</v>
      </c>
      <c r="Q3763">
        <v>39.02</v>
      </c>
      <c r="R3763">
        <v>39.02</v>
      </c>
      <c r="S3763">
        <v>4.95</v>
      </c>
      <c r="T3763">
        <v>1.84</v>
      </c>
      <c r="U3763">
        <v>10.35</v>
      </c>
      <c r="V3763">
        <v>53</v>
      </c>
      <c r="W3763">
        <v>37.96</v>
      </c>
      <c r="X3763">
        <v>5316</v>
      </c>
      <c r="Y3763">
        <v>4307</v>
      </c>
      <c r="Z3763">
        <v>1.23</v>
      </c>
      <c r="AA3763">
        <v>100</v>
      </c>
      <c r="AB3763">
        <v>49</v>
      </c>
      <c r="AC3763">
        <v>3.22</v>
      </c>
      <c r="AD3763" t="s">
        <v>11452</v>
      </c>
      <c r="AE3763" t="s">
        <v>18366</v>
      </c>
      <c r="AF3763" t="s">
        <v>14660</v>
      </c>
      <c r="AG3763" t="s">
        <v>18367</v>
      </c>
      <c r="AH3763">
        <v>-3.71</v>
      </c>
      <c r="AI3763">
        <v>-3.89</v>
      </c>
      <c r="AJ3763">
        <v>3.23</v>
      </c>
      <c r="AK3763">
        <v>5.9</v>
      </c>
      <c r="AL3763">
        <v>-1</v>
      </c>
      <c r="AM3763">
        <v>-3</v>
      </c>
      <c r="AN3763">
        <v>-15.57</v>
      </c>
      <c r="AO3763">
        <v>3.25</v>
      </c>
      <c r="AP3763">
        <v>38.64</v>
      </c>
    </row>
    <row r="3764" spans="1:42">
      <c r="A3764">
        <v>3763</v>
      </c>
      <c r="B3764" t="str">
        <f>"300447"</f>
        <v>300447</v>
      </c>
      <c r="C3764" t="s">
        <v>18368</v>
      </c>
      <c r="D3764">
        <v>15.21</v>
      </c>
      <c r="E3764">
        <v>0.4</v>
      </c>
      <c r="F3764">
        <v>0.06</v>
      </c>
      <c r="G3764" t="s">
        <v>8211</v>
      </c>
      <c r="H3764">
        <v>261</v>
      </c>
      <c r="I3764">
        <v>15.21</v>
      </c>
      <c r="J3764">
        <v>15.22</v>
      </c>
      <c r="K3764" t="s">
        <v>18369</v>
      </c>
      <c r="L3764">
        <v>1.2</v>
      </c>
      <c r="M3764" t="s">
        <v>46</v>
      </c>
      <c r="N3764" t="s">
        <v>18370</v>
      </c>
      <c r="O3764">
        <v>15.32</v>
      </c>
      <c r="P3764">
        <v>14.98</v>
      </c>
      <c r="Q3764">
        <v>15.17</v>
      </c>
      <c r="R3764">
        <v>15.15</v>
      </c>
      <c r="S3764">
        <v>2.24</v>
      </c>
      <c r="T3764">
        <v>0.77</v>
      </c>
      <c r="U3764">
        <v>14.7</v>
      </c>
      <c r="V3764">
        <v>102</v>
      </c>
      <c r="W3764">
        <v>15.14</v>
      </c>
      <c r="X3764" t="s">
        <v>4959</v>
      </c>
      <c r="Y3764" t="s">
        <v>209</v>
      </c>
      <c r="Z3764">
        <v>0.88</v>
      </c>
      <c r="AA3764">
        <v>6</v>
      </c>
      <c r="AB3764">
        <v>74</v>
      </c>
      <c r="AC3764">
        <v>2.36</v>
      </c>
      <c r="AD3764" t="s">
        <v>18058</v>
      </c>
      <c r="AE3764" t="s">
        <v>18371</v>
      </c>
      <c r="AF3764" t="s">
        <v>9683</v>
      </c>
      <c r="AG3764" t="s">
        <v>17046</v>
      </c>
      <c r="AH3764">
        <v>-1.36</v>
      </c>
      <c r="AI3764">
        <v>-2.56</v>
      </c>
      <c r="AJ3764">
        <v>4.22</v>
      </c>
      <c r="AK3764">
        <v>8.95</v>
      </c>
      <c r="AL3764">
        <v>1</v>
      </c>
      <c r="AM3764">
        <v>0.4</v>
      </c>
      <c r="AN3764">
        <v>-1.23</v>
      </c>
      <c r="AO3764">
        <v>2.22</v>
      </c>
      <c r="AP3764">
        <v>-10.21</v>
      </c>
    </row>
    <row r="3765" spans="1:42">
      <c r="A3765">
        <v>3764</v>
      </c>
      <c r="B3765" t="str">
        <f>"301187"</f>
        <v>301187</v>
      </c>
      <c r="C3765" t="s">
        <v>18372</v>
      </c>
      <c r="D3765">
        <v>19.41</v>
      </c>
      <c r="E3765">
        <v>-0.92</v>
      </c>
      <c r="F3765">
        <v>-0.18</v>
      </c>
      <c r="G3765" t="s">
        <v>5578</v>
      </c>
      <c r="H3765">
        <v>277</v>
      </c>
      <c r="I3765">
        <v>19.41</v>
      </c>
      <c r="J3765">
        <v>19.42</v>
      </c>
      <c r="K3765" t="s">
        <v>18369</v>
      </c>
      <c r="L3765">
        <v>3.93</v>
      </c>
      <c r="M3765" t="s">
        <v>46</v>
      </c>
      <c r="N3765" t="s">
        <v>3650</v>
      </c>
      <c r="O3765">
        <v>19.7</v>
      </c>
      <c r="P3765">
        <v>19.3</v>
      </c>
      <c r="Q3765">
        <v>19.61</v>
      </c>
      <c r="R3765">
        <v>19.59</v>
      </c>
      <c r="S3765">
        <v>2.04</v>
      </c>
      <c r="T3765">
        <v>0.64</v>
      </c>
      <c r="U3765">
        <v>13.27</v>
      </c>
      <c r="V3765">
        <v>45</v>
      </c>
      <c r="W3765">
        <v>19.42</v>
      </c>
      <c r="X3765">
        <v>9840</v>
      </c>
      <c r="Y3765">
        <v>8960</v>
      </c>
      <c r="Z3765">
        <v>1.1</v>
      </c>
      <c r="AA3765">
        <v>39</v>
      </c>
      <c r="AB3765">
        <v>23</v>
      </c>
      <c r="AC3765">
        <v>2.48</v>
      </c>
      <c r="AD3765" t="s">
        <v>18373</v>
      </c>
      <c r="AE3765" t="s">
        <v>14862</v>
      </c>
      <c r="AF3765" t="s">
        <v>16459</v>
      </c>
      <c r="AG3765" t="s">
        <v>18374</v>
      </c>
      <c r="AH3765">
        <v>-0.15</v>
      </c>
      <c r="AI3765">
        <v>0.57</v>
      </c>
      <c r="AJ3765">
        <v>17.76</v>
      </c>
      <c r="AK3765">
        <v>34.75</v>
      </c>
      <c r="AL3765">
        <v>-2</v>
      </c>
      <c r="AM3765">
        <v>-0.92</v>
      </c>
      <c r="AN3765">
        <v>19.67</v>
      </c>
      <c r="AO3765">
        <v>3.69</v>
      </c>
      <c r="AP3765">
        <v>10.47</v>
      </c>
    </row>
    <row r="3766" spans="1:42">
      <c r="A3766">
        <v>3765</v>
      </c>
      <c r="B3766" t="str">
        <f>"833819"</f>
        <v>833819</v>
      </c>
      <c r="C3766" t="s">
        <v>18375</v>
      </c>
      <c r="D3766">
        <v>4.27</v>
      </c>
      <c r="E3766">
        <v>-3.83</v>
      </c>
      <c r="F3766">
        <v>-0.17</v>
      </c>
      <c r="G3766" t="s">
        <v>7465</v>
      </c>
      <c r="H3766">
        <v>816</v>
      </c>
      <c r="I3766">
        <v>4.26</v>
      </c>
      <c r="J3766">
        <v>4.27</v>
      </c>
      <c r="K3766" t="s">
        <v>18376</v>
      </c>
      <c r="L3766">
        <v>0.69</v>
      </c>
      <c r="M3766" t="s">
        <v>46</v>
      </c>
      <c r="N3766" t="s">
        <v>16468</v>
      </c>
      <c r="O3766">
        <v>4.53</v>
      </c>
      <c r="P3766">
        <v>4.24</v>
      </c>
      <c r="Q3766">
        <v>4.44</v>
      </c>
      <c r="R3766">
        <v>4.44</v>
      </c>
      <c r="S3766">
        <v>6.53</v>
      </c>
      <c r="T3766">
        <v>0.36</v>
      </c>
      <c r="U3766">
        <v>18.89</v>
      </c>
      <c r="V3766">
        <v>603</v>
      </c>
      <c r="W3766">
        <v>4.35</v>
      </c>
      <c r="X3766" t="s">
        <v>7068</v>
      </c>
      <c r="Y3766" t="s">
        <v>7205</v>
      </c>
      <c r="Z3766">
        <v>1.73</v>
      </c>
      <c r="AA3766">
        <v>283</v>
      </c>
      <c r="AB3766">
        <v>20</v>
      </c>
      <c r="AC3766">
        <v>0.89</v>
      </c>
      <c r="AD3766" t="s">
        <v>6459</v>
      </c>
      <c r="AE3766" t="s">
        <v>18377</v>
      </c>
      <c r="AF3766" t="s">
        <v>9053</v>
      </c>
      <c r="AG3766" t="s">
        <v>18378</v>
      </c>
      <c r="AH3766">
        <v>-9.73</v>
      </c>
      <c r="AI3766">
        <v>0.47</v>
      </c>
      <c r="AJ3766">
        <v>2.72</v>
      </c>
      <c r="AK3766">
        <v>10.37</v>
      </c>
      <c r="AL3766">
        <v>-1</v>
      </c>
      <c r="AM3766">
        <v>-3.83</v>
      </c>
      <c r="AN3766">
        <v>-16.11</v>
      </c>
      <c r="AO3766">
        <v>14.17</v>
      </c>
      <c r="AP3766">
        <v>-19.43</v>
      </c>
    </row>
    <row r="3767" spans="1:42">
      <c r="A3767">
        <v>3766</v>
      </c>
      <c r="B3767" t="str">
        <f>"001209"</f>
        <v>001209</v>
      </c>
      <c r="C3767" t="s">
        <v>18379</v>
      </c>
      <c r="D3767">
        <v>17.85</v>
      </c>
      <c r="E3767">
        <v>1.65</v>
      </c>
      <c r="F3767">
        <v>0.29</v>
      </c>
      <c r="G3767" t="s">
        <v>3372</v>
      </c>
      <c r="H3767">
        <v>107</v>
      </c>
      <c r="I3767">
        <v>17.84</v>
      </c>
      <c r="J3767">
        <v>17.85</v>
      </c>
      <c r="K3767" t="s">
        <v>18380</v>
      </c>
      <c r="L3767">
        <v>5.08</v>
      </c>
      <c r="M3767" t="s">
        <v>46</v>
      </c>
      <c r="N3767" t="s">
        <v>185</v>
      </c>
      <c r="O3767">
        <v>17.95</v>
      </c>
      <c r="P3767">
        <v>17.46</v>
      </c>
      <c r="Q3767">
        <v>17.58</v>
      </c>
      <c r="R3767">
        <v>17.56</v>
      </c>
      <c r="S3767">
        <v>2.79</v>
      </c>
      <c r="T3767">
        <v>1.37</v>
      </c>
      <c r="U3767">
        <v>5.1</v>
      </c>
      <c r="V3767">
        <v>27</v>
      </c>
      <c r="W3767">
        <v>17.83</v>
      </c>
      <c r="X3767">
        <v>9990</v>
      </c>
      <c r="Y3767" t="s">
        <v>1400</v>
      </c>
      <c r="Z3767">
        <v>0.95</v>
      </c>
      <c r="AA3767">
        <v>40</v>
      </c>
      <c r="AB3767">
        <v>165</v>
      </c>
      <c r="AC3767">
        <v>1.87</v>
      </c>
      <c r="AD3767" t="s">
        <v>2616</v>
      </c>
      <c r="AE3767" t="s">
        <v>5308</v>
      </c>
      <c r="AF3767" t="s">
        <v>18381</v>
      </c>
      <c r="AG3767" t="s">
        <v>18382</v>
      </c>
      <c r="AH3767">
        <v>1.59</v>
      </c>
      <c r="AI3767">
        <v>1.13</v>
      </c>
      <c r="AJ3767">
        <v>11.44</v>
      </c>
      <c r="AK3767">
        <v>23.59</v>
      </c>
      <c r="AL3767">
        <v>1</v>
      </c>
      <c r="AM3767">
        <v>1.65</v>
      </c>
      <c r="AN3767">
        <v>35.64</v>
      </c>
      <c r="AO3767">
        <v>5.19</v>
      </c>
      <c r="AP3767">
        <v>33.21</v>
      </c>
    </row>
    <row r="3768" spans="1:42">
      <c r="A3768">
        <v>3767</v>
      </c>
      <c r="B3768" t="str">
        <f>"301152"</f>
        <v>301152</v>
      </c>
      <c r="C3768" t="s">
        <v>18383</v>
      </c>
      <c r="D3768">
        <v>30.33</v>
      </c>
      <c r="E3768">
        <v>0.56</v>
      </c>
      <c r="F3768">
        <v>0.17</v>
      </c>
      <c r="G3768" t="s">
        <v>1052</v>
      </c>
      <c r="H3768">
        <v>429</v>
      </c>
      <c r="I3768">
        <v>30.32</v>
      </c>
      <c r="J3768">
        <v>30.33</v>
      </c>
      <c r="K3768" t="s">
        <v>18380</v>
      </c>
      <c r="L3768">
        <v>1.65</v>
      </c>
      <c r="M3768" t="s">
        <v>46</v>
      </c>
      <c r="N3768" t="s">
        <v>360</v>
      </c>
      <c r="O3768">
        <v>30.61</v>
      </c>
      <c r="P3768">
        <v>29.9</v>
      </c>
      <c r="Q3768">
        <v>30.2</v>
      </c>
      <c r="R3768">
        <v>30.16</v>
      </c>
      <c r="S3768">
        <v>2.35</v>
      </c>
      <c r="T3768">
        <v>0.81</v>
      </c>
      <c r="U3768">
        <v>3.9</v>
      </c>
      <c r="V3768">
        <v>26</v>
      </c>
      <c r="W3768">
        <v>30.23</v>
      </c>
      <c r="X3768">
        <v>6479</v>
      </c>
      <c r="Y3768">
        <v>5590</v>
      </c>
      <c r="Z3768">
        <v>1.16</v>
      </c>
      <c r="AA3768">
        <v>105</v>
      </c>
      <c r="AB3768">
        <v>4</v>
      </c>
      <c r="AC3768">
        <v>1.58</v>
      </c>
      <c r="AD3768" t="s">
        <v>13105</v>
      </c>
      <c r="AE3768" t="s">
        <v>18063</v>
      </c>
      <c r="AF3768" t="s">
        <v>13206</v>
      </c>
      <c r="AG3768" t="s">
        <v>7069</v>
      </c>
      <c r="AH3768">
        <v>-3.16</v>
      </c>
      <c r="AI3768">
        <v>-4.8</v>
      </c>
      <c r="AJ3768">
        <v>5.55</v>
      </c>
      <c r="AK3768">
        <v>11.89</v>
      </c>
      <c r="AL3768">
        <v>1</v>
      </c>
      <c r="AM3768">
        <v>0.56</v>
      </c>
      <c r="AN3768">
        <v>-36.68</v>
      </c>
      <c r="AO3768">
        <v>-3.78</v>
      </c>
      <c r="AP3768">
        <v>-42.09</v>
      </c>
    </row>
    <row r="3769" spans="1:42">
      <c r="A3769">
        <v>3768</v>
      </c>
      <c r="B3769" t="str">
        <f>"600496"</f>
        <v>600496</v>
      </c>
      <c r="C3769" t="s">
        <v>18384</v>
      </c>
      <c r="D3769">
        <v>3.19</v>
      </c>
      <c r="E3769">
        <v>0.63</v>
      </c>
      <c r="F3769">
        <v>0.02</v>
      </c>
      <c r="G3769" t="s">
        <v>4356</v>
      </c>
      <c r="H3769">
        <v>921</v>
      </c>
      <c r="I3769">
        <v>3.19</v>
      </c>
      <c r="J3769">
        <v>3.2</v>
      </c>
      <c r="K3769" t="s">
        <v>17307</v>
      </c>
      <c r="L3769">
        <v>0.57</v>
      </c>
      <c r="M3769" t="s">
        <v>46</v>
      </c>
      <c r="N3769" t="s">
        <v>8858</v>
      </c>
      <c r="O3769">
        <v>3.2</v>
      </c>
      <c r="P3769">
        <v>3.16</v>
      </c>
      <c r="Q3769">
        <v>3.17</v>
      </c>
      <c r="R3769">
        <v>3.17</v>
      </c>
      <c r="S3769">
        <v>1.26</v>
      </c>
      <c r="T3769">
        <v>0.92</v>
      </c>
      <c r="U3769">
        <v>15.34</v>
      </c>
      <c r="V3769">
        <v>6172</v>
      </c>
      <c r="W3769">
        <v>3.18</v>
      </c>
      <c r="X3769" t="s">
        <v>5917</v>
      </c>
      <c r="Y3769" t="s">
        <v>10064</v>
      </c>
      <c r="Z3769">
        <v>0.8</v>
      </c>
      <c r="AA3769">
        <v>2360</v>
      </c>
      <c r="AB3769">
        <v>3500</v>
      </c>
      <c r="AC3769">
        <v>0.77</v>
      </c>
      <c r="AD3769" t="s">
        <v>6411</v>
      </c>
      <c r="AE3769" t="s">
        <v>18385</v>
      </c>
      <c r="AF3769" t="s">
        <v>6411</v>
      </c>
      <c r="AG3769" t="s">
        <v>18385</v>
      </c>
      <c r="AH3769">
        <v>-1.54</v>
      </c>
      <c r="AI3769">
        <v>-2.45</v>
      </c>
      <c r="AJ3769">
        <v>1.87</v>
      </c>
      <c r="AK3769">
        <v>3.66</v>
      </c>
      <c r="AL3769">
        <v>1</v>
      </c>
      <c r="AM3769">
        <v>0.63</v>
      </c>
      <c r="AN3769">
        <v>-18.41</v>
      </c>
      <c r="AO3769">
        <v>-1.85</v>
      </c>
      <c r="AP3769">
        <v>-24.05</v>
      </c>
    </row>
    <row r="3770" spans="1:42">
      <c r="A3770">
        <v>3769</v>
      </c>
      <c r="B3770" t="str">
        <f>"002571"</f>
        <v>002571</v>
      </c>
      <c r="C3770" t="s">
        <v>18386</v>
      </c>
      <c r="D3770">
        <v>6.76</v>
      </c>
      <c r="E3770">
        <v>1.2</v>
      </c>
      <c r="F3770">
        <v>0.08</v>
      </c>
      <c r="G3770" t="s">
        <v>6890</v>
      </c>
      <c r="H3770">
        <v>531</v>
      </c>
      <c r="I3770">
        <v>6.76</v>
      </c>
      <c r="J3770">
        <v>6.77</v>
      </c>
      <c r="K3770" t="s">
        <v>18387</v>
      </c>
      <c r="L3770">
        <v>1.81</v>
      </c>
      <c r="M3770" t="s">
        <v>46</v>
      </c>
      <c r="N3770" t="s">
        <v>18388</v>
      </c>
      <c r="O3770">
        <v>6.84</v>
      </c>
      <c r="P3770">
        <v>6.58</v>
      </c>
      <c r="Q3770">
        <v>6.63</v>
      </c>
      <c r="R3770">
        <v>6.68</v>
      </c>
      <c r="S3770">
        <v>3.89</v>
      </c>
      <c r="T3770">
        <v>1.24</v>
      </c>
      <c r="U3770">
        <v>-0.39</v>
      </c>
      <c r="V3770">
        <v>-10</v>
      </c>
      <c r="W3770">
        <v>6.75</v>
      </c>
      <c r="X3770" t="s">
        <v>6419</v>
      </c>
      <c r="Y3770" t="s">
        <v>6803</v>
      </c>
      <c r="Z3770">
        <v>0.78</v>
      </c>
      <c r="AA3770">
        <v>179</v>
      </c>
      <c r="AB3770">
        <v>10</v>
      </c>
      <c r="AC3770">
        <v>2.1</v>
      </c>
      <c r="AD3770" t="s">
        <v>18389</v>
      </c>
      <c r="AE3770" t="s">
        <v>15218</v>
      </c>
      <c r="AF3770" t="s">
        <v>16432</v>
      </c>
      <c r="AG3770" t="s">
        <v>979</v>
      </c>
      <c r="AH3770">
        <v>1.05</v>
      </c>
      <c r="AI3770">
        <v>0.6</v>
      </c>
      <c r="AJ3770">
        <v>5.5</v>
      </c>
      <c r="AK3770">
        <v>9.11</v>
      </c>
      <c r="AL3770">
        <v>2</v>
      </c>
      <c r="AM3770">
        <v>1.2</v>
      </c>
      <c r="AN3770">
        <v>8.33</v>
      </c>
      <c r="AO3770">
        <v>7.81</v>
      </c>
      <c r="AP3770">
        <v>0.15</v>
      </c>
    </row>
    <row r="3771" spans="1:42">
      <c r="A3771">
        <v>3770</v>
      </c>
      <c r="B3771" t="str">
        <f>"603607"</f>
        <v>603607</v>
      </c>
      <c r="C3771" t="s">
        <v>18390</v>
      </c>
      <c r="D3771">
        <v>16.07</v>
      </c>
      <c r="E3771">
        <v>0.56</v>
      </c>
      <c r="F3771">
        <v>0.09</v>
      </c>
      <c r="G3771" t="s">
        <v>1335</v>
      </c>
      <c r="H3771">
        <v>430</v>
      </c>
      <c r="I3771">
        <v>16.07</v>
      </c>
      <c r="J3771">
        <v>16.08</v>
      </c>
      <c r="K3771" t="s">
        <v>18391</v>
      </c>
      <c r="L3771">
        <v>1.27</v>
      </c>
      <c r="M3771" t="s">
        <v>46</v>
      </c>
      <c r="N3771" t="s">
        <v>2892</v>
      </c>
      <c r="O3771">
        <v>16.12</v>
      </c>
      <c r="P3771">
        <v>15.92</v>
      </c>
      <c r="Q3771">
        <v>16</v>
      </c>
      <c r="R3771">
        <v>15.98</v>
      </c>
      <c r="S3771">
        <v>1.25</v>
      </c>
      <c r="T3771">
        <v>0.55</v>
      </c>
      <c r="U3771">
        <v>18.76</v>
      </c>
      <c r="V3771">
        <v>255</v>
      </c>
      <c r="W3771">
        <v>16.03</v>
      </c>
      <c r="X3771" t="s">
        <v>239</v>
      </c>
      <c r="Y3771" t="s">
        <v>905</v>
      </c>
      <c r="Z3771">
        <v>0.84</v>
      </c>
      <c r="AA3771">
        <v>95</v>
      </c>
      <c r="AB3771">
        <v>81</v>
      </c>
      <c r="AC3771">
        <v>2.94</v>
      </c>
      <c r="AD3771" t="s">
        <v>18392</v>
      </c>
      <c r="AE3771" t="s">
        <v>18393</v>
      </c>
      <c r="AF3771" t="s">
        <v>18392</v>
      </c>
      <c r="AG3771" t="s">
        <v>18393</v>
      </c>
      <c r="AH3771">
        <v>-0.99</v>
      </c>
      <c r="AI3771">
        <v>-2.49</v>
      </c>
      <c r="AJ3771">
        <v>5.53</v>
      </c>
      <c r="AK3771">
        <v>12.78</v>
      </c>
      <c r="AL3771">
        <v>1</v>
      </c>
      <c r="AM3771">
        <v>0.56</v>
      </c>
      <c r="AN3771">
        <v>29.7</v>
      </c>
      <c r="AO3771">
        <v>1.52</v>
      </c>
      <c r="AP3771">
        <v>19.13</v>
      </c>
    </row>
    <row r="3772" spans="1:42">
      <c r="A3772">
        <v>3771</v>
      </c>
      <c r="B3772" t="str">
        <f>"600389"</f>
        <v>600389</v>
      </c>
      <c r="C3772" t="s">
        <v>18394</v>
      </c>
      <c r="D3772">
        <v>17.95</v>
      </c>
      <c r="E3772">
        <v>0.79</v>
      </c>
      <c r="F3772">
        <v>0.14</v>
      </c>
      <c r="G3772" t="s">
        <v>5237</v>
      </c>
      <c r="H3772">
        <v>47</v>
      </c>
      <c r="I3772">
        <v>17.95</v>
      </c>
      <c r="J3772">
        <v>17.97</v>
      </c>
      <c r="K3772" t="s">
        <v>18395</v>
      </c>
      <c r="L3772">
        <v>0.47</v>
      </c>
      <c r="M3772" t="s">
        <v>46</v>
      </c>
      <c r="N3772" t="s">
        <v>1814</v>
      </c>
      <c r="O3772">
        <v>18.04</v>
      </c>
      <c r="P3772">
        <v>17.65</v>
      </c>
      <c r="Q3772">
        <v>17.95</v>
      </c>
      <c r="R3772">
        <v>17.81</v>
      </c>
      <c r="S3772">
        <v>2.19</v>
      </c>
      <c r="T3772">
        <v>0.85</v>
      </c>
      <c r="U3772">
        <v>-35.02</v>
      </c>
      <c r="V3772">
        <v>-346</v>
      </c>
      <c r="W3772">
        <v>17.87</v>
      </c>
      <c r="X3772" t="s">
        <v>4959</v>
      </c>
      <c r="Y3772">
        <v>9026</v>
      </c>
      <c r="Z3772">
        <v>1.26</v>
      </c>
      <c r="AA3772">
        <v>12</v>
      </c>
      <c r="AB3772">
        <v>256</v>
      </c>
      <c r="AC3772">
        <v>2.21</v>
      </c>
      <c r="AD3772" t="s">
        <v>1193</v>
      </c>
      <c r="AE3772" t="s">
        <v>6830</v>
      </c>
      <c r="AF3772" t="s">
        <v>18064</v>
      </c>
      <c r="AG3772" t="s">
        <v>17765</v>
      </c>
      <c r="AH3772">
        <v>-2.13</v>
      </c>
      <c r="AI3772">
        <v>-3.8</v>
      </c>
      <c r="AJ3772">
        <v>1.53</v>
      </c>
      <c r="AK3772">
        <v>3.25</v>
      </c>
      <c r="AL3772">
        <v>1</v>
      </c>
      <c r="AM3772">
        <v>0.79</v>
      </c>
      <c r="AN3772">
        <v>-40.68</v>
      </c>
      <c r="AO3772">
        <v>-4.47</v>
      </c>
      <c r="AP3772">
        <v>-39.03</v>
      </c>
    </row>
    <row r="3773" spans="1:42">
      <c r="A3773">
        <v>3772</v>
      </c>
      <c r="B3773" t="str">
        <f>"300583"</f>
        <v>300583</v>
      </c>
      <c r="C3773" t="s">
        <v>18396</v>
      </c>
      <c r="D3773">
        <v>19.61</v>
      </c>
      <c r="E3773">
        <v>-1.26</v>
      </c>
      <c r="F3773">
        <v>-0.25</v>
      </c>
      <c r="G3773" t="s">
        <v>2723</v>
      </c>
      <c r="H3773">
        <v>157</v>
      </c>
      <c r="I3773">
        <v>19.61</v>
      </c>
      <c r="J3773">
        <v>19.62</v>
      </c>
      <c r="K3773" t="s">
        <v>18395</v>
      </c>
      <c r="L3773">
        <v>1</v>
      </c>
      <c r="M3773" t="s">
        <v>46</v>
      </c>
      <c r="N3773" t="s">
        <v>11618</v>
      </c>
      <c r="O3773">
        <v>20.09</v>
      </c>
      <c r="P3773">
        <v>19.39</v>
      </c>
      <c r="Q3773">
        <v>19.81</v>
      </c>
      <c r="R3773">
        <v>19.86</v>
      </c>
      <c r="S3773">
        <v>3.52</v>
      </c>
      <c r="T3773">
        <v>0.57</v>
      </c>
      <c r="U3773">
        <v>-21.95</v>
      </c>
      <c r="V3773">
        <v>-49</v>
      </c>
      <c r="W3773">
        <v>19.6</v>
      </c>
      <c r="X3773" t="s">
        <v>1646</v>
      </c>
      <c r="Y3773">
        <v>8323</v>
      </c>
      <c r="Z3773">
        <v>1.23</v>
      </c>
      <c r="AA3773">
        <v>24</v>
      </c>
      <c r="AB3773">
        <v>23</v>
      </c>
      <c r="AC3773">
        <v>1.83</v>
      </c>
      <c r="AD3773" t="s">
        <v>18397</v>
      </c>
      <c r="AE3773" t="s">
        <v>18398</v>
      </c>
      <c r="AF3773" t="s">
        <v>12185</v>
      </c>
      <c r="AG3773" t="s">
        <v>18399</v>
      </c>
      <c r="AH3773">
        <v>-1.8</v>
      </c>
      <c r="AI3773">
        <v>-4.01</v>
      </c>
      <c r="AJ3773">
        <v>3.78</v>
      </c>
      <c r="AK3773">
        <v>9.72</v>
      </c>
      <c r="AL3773">
        <v>-1</v>
      </c>
      <c r="AM3773">
        <v>-1.26</v>
      </c>
      <c r="AN3773">
        <v>37.81</v>
      </c>
      <c r="AO3773">
        <v>-5.99</v>
      </c>
      <c r="AP3773">
        <v>23.1</v>
      </c>
    </row>
    <row r="3774" spans="1:42">
      <c r="A3774">
        <v>3773</v>
      </c>
      <c r="B3774" t="str">
        <f>"832089"</f>
        <v>832089</v>
      </c>
      <c r="C3774" t="s">
        <v>18400</v>
      </c>
      <c r="D3774">
        <v>16.51</v>
      </c>
      <c r="E3774">
        <v>-5.28</v>
      </c>
      <c r="F3774">
        <v>-0.92</v>
      </c>
      <c r="G3774" t="s">
        <v>4963</v>
      </c>
      <c r="H3774">
        <v>629</v>
      </c>
      <c r="I3774">
        <v>16.51</v>
      </c>
      <c r="J3774">
        <v>16.54</v>
      </c>
      <c r="K3774" t="s">
        <v>18395</v>
      </c>
      <c r="L3774">
        <v>3.24</v>
      </c>
      <c r="M3774" t="s">
        <v>46</v>
      </c>
      <c r="N3774" t="s">
        <v>8488</v>
      </c>
      <c r="O3774">
        <v>17.35</v>
      </c>
      <c r="P3774">
        <v>16.5</v>
      </c>
      <c r="Q3774">
        <v>17.08</v>
      </c>
      <c r="R3774">
        <v>17.43</v>
      </c>
      <c r="S3774">
        <v>4.88</v>
      </c>
      <c r="T3774">
        <v>0.5</v>
      </c>
      <c r="U3774">
        <v>68.66</v>
      </c>
      <c r="V3774">
        <v>532</v>
      </c>
      <c r="W3774">
        <v>16.81</v>
      </c>
      <c r="X3774" t="s">
        <v>3793</v>
      </c>
      <c r="Y3774">
        <v>6685</v>
      </c>
      <c r="Z3774">
        <v>2.24</v>
      </c>
      <c r="AA3774">
        <v>334</v>
      </c>
      <c r="AB3774">
        <v>5</v>
      </c>
      <c r="AC3774">
        <v>1.81</v>
      </c>
      <c r="AD3774" t="s">
        <v>18401</v>
      </c>
      <c r="AE3774" t="s">
        <v>10277</v>
      </c>
      <c r="AF3774" t="s">
        <v>18402</v>
      </c>
      <c r="AG3774" t="s">
        <v>18403</v>
      </c>
      <c r="AH3774">
        <v>-6.93</v>
      </c>
      <c r="AI3774">
        <v>4.16</v>
      </c>
      <c r="AJ3774">
        <v>13.79</v>
      </c>
      <c r="AK3774">
        <v>35.83</v>
      </c>
      <c r="AL3774">
        <v>-2</v>
      </c>
      <c r="AM3774">
        <v>-5.28</v>
      </c>
      <c r="AN3774">
        <v>79.46</v>
      </c>
      <c r="AO3774">
        <v>27.29</v>
      </c>
      <c r="AP3774">
        <v>77.91</v>
      </c>
    </row>
    <row r="3775" spans="1:42">
      <c r="A3775">
        <v>3774</v>
      </c>
      <c r="B3775" t="str">
        <f>"300099"</f>
        <v>300099</v>
      </c>
      <c r="C3775" t="s">
        <v>18404</v>
      </c>
      <c r="D3775">
        <v>6.3</v>
      </c>
      <c r="E3775">
        <v>0.96</v>
      </c>
      <c r="F3775">
        <v>0.06</v>
      </c>
      <c r="G3775" t="s">
        <v>4381</v>
      </c>
      <c r="H3775">
        <v>1028</v>
      </c>
      <c r="I3775">
        <v>6.29</v>
      </c>
      <c r="J3775">
        <v>6.3</v>
      </c>
      <c r="K3775" t="s">
        <v>18405</v>
      </c>
      <c r="L3775">
        <v>1</v>
      </c>
      <c r="M3775" t="s">
        <v>46</v>
      </c>
      <c r="N3775" t="s">
        <v>3680</v>
      </c>
      <c r="O3775">
        <v>6.32</v>
      </c>
      <c r="P3775">
        <v>6.19</v>
      </c>
      <c r="Q3775">
        <v>6.25</v>
      </c>
      <c r="R3775">
        <v>6.24</v>
      </c>
      <c r="S3775">
        <v>2.08</v>
      </c>
      <c r="T3775">
        <v>0.63</v>
      </c>
      <c r="U3775">
        <v>-22.76</v>
      </c>
      <c r="V3775">
        <v>-1213</v>
      </c>
      <c r="W3775">
        <v>6.26</v>
      </c>
      <c r="X3775" t="s">
        <v>925</v>
      </c>
      <c r="Y3775" t="s">
        <v>5420</v>
      </c>
      <c r="Z3775">
        <v>1.13</v>
      </c>
      <c r="AA3775">
        <v>872</v>
      </c>
      <c r="AB3775">
        <v>211</v>
      </c>
      <c r="AC3775">
        <v>2.04</v>
      </c>
      <c r="AD3775" t="s">
        <v>18406</v>
      </c>
      <c r="AE3775" t="s">
        <v>18407</v>
      </c>
      <c r="AF3775" t="s">
        <v>18408</v>
      </c>
      <c r="AG3775" t="s">
        <v>18409</v>
      </c>
      <c r="AH3775">
        <v>-0.47</v>
      </c>
      <c r="AI3775">
        <v>-0.32</v>
      </c>
      <c r="AJ3775">
        <v>3.64</v>
      </c>
      <c r="AK3775">
        <v>8.95</v>
      </c>
      <c r="AL3775">
        <v>1</v>
      </c>
      <c r="AM3775">
        <v>0.96</v>
      </c>
      <c r="AN3775">
        <v>10.53</v>
      </c>
      <c r="AO3775">
        <v>3.62</v>
      </c>
      <c r="AP3775">
        <v>1.29</v>
      </c>
    </row>
    <row r="3776" spans="1:42">
      <c r="A3776">
        <v>3775</v>
      </c>
      <c r="B3776" t="str">
        <f>"834062"</f>
        <v>834062</v>
      </c>
      <c r="C3776" t="s">
        <v>18410</v>
      </c>
      <c r="D3776">
        <v>5.48</v>
      </c>
      <c r="E3776">
        <v>-6.64</v>
      </c>
      <c r="F3776">
        <v>-0.39</v>
      </c>
      <c r="G3776" t="s">
        <v>9204</v>
      </c>
      <c r="H3776">
        <v>433</v>
      </c>
      <c r="I3776">
        <v>5.47</v>
      </c>
      <c r="J3776">
        <v>5.48</v>
      </c>
      <c r="K3776" t="s">
        <v>18411</v>
      </c>
      <c r="L3776">
        <v>5.95</v>
      </c>
      <c r="M3776" t="s">
        <v>46</v>
      </c>
      <c r="N3776" t="s">
        <v>12602</v>
      </c>
      <c r="O3776">
        <v>5.99</v>
      </c>
      <c r="P3776">
        <v>5.46</v>
      </c>
      <c r="Q3776">
        <v>5.87</v>
      </c>
      <c r="R3776">
        <v>5.87</v>
      </c>
      <c r="S3776">
        <v>9.03</v>
      </c>
      <c r="T3776">
        <v>0.48</v>
      </c>
      <c r="U3776">
        <v>-22.55</v>
      </c>
      <c r="V3776">
        <v>-149</v>
      </c>
      <c r="W3776">
        <v>5.69</v>
      </c>
      <c r="X3776" t="s">
        <v>6645</v>
      </c>
      <c r="Y3776" t="s">
        <v>2389</v>
      </c>
      <c r="Z3776">
        <v>1.59</v>
      </c>
      <c r="AA3776">
        <v>41</v>
      </c>
      <c r="AB3776">
        <v>142</v>
      </c>
      <c r="AC3776">
        <v>1.57</v>
      </c>
      <c r="AD3776" t="s">
        <v>18412</v>
      </c>
      <c r="AE3776" t="s">
        <v>18413</v>
      </c>
      <c r="AF3776" t="s">
        <v>15090</v>
      </c>
      <c r="AG3776" t="s">
        <v>12773</v>
      </c>
      <c r="AH3776">
        <v>-16.84</v>
      </c>
      <c r="AI3776">
        <v>-0.36</v>
      </c>
      <c r="AJ3776">
        <v>20.96</v>
      </c>
      <c r="AK3776">
        <v>67.8</v>
      </c>
      <c r="AL3776">
        <v>-4</v>
      </c>
      <c r="AM3776">
        <v>-6.64</v>
      </c>
      <c r="AN3776">
        <v>7.87</v>
      </c>
      <c r="AO3776">
        <v>26.27</v>
      </c>
      <c r="AP3776">
        <v>-2.14</v>
      </c>
    </row>
    <row r="3777" spans="1:42">
      <c r="A3777">
        <v>3776</v>
      </c>
      <c r="B3777" t="str">
        <f>"002246"</f>
        <v>002246</v>
      </c>
      <c r="C3777" t="s">
        <v>18414</v>
      </c>
      <c r="D3777">
        <v>8.4</v>
      </c>
      <c r="E3777">
        <v>0.72</v>
      </c>
      <c r="F3777">
        <v>0.06</v>
      </c>
      <c r="G3777" t="s">
        <v>459</v>
      </c>
      <c r="H3777">
        <v>157</v>
      </c>
      <c r="I3777">
        <v>8.4</v>
      </c>
      <c r="J3777">
        <v>8.41</v>
      </c>
      <c r="K3777" t="s">
        <v>18415</v>
      </c>
      <c r="L3777">
        <v>0.79</v>
      </c>
      <c r="M3777" t="s">
        <v>46</v>
      </c>
      <c r="N3777" t="s">
        <v>2591</v>
      </c>
      <c r="O3777">
        <v>8.44</v>
      </c>
      <c r="P3777">
        <v>8.29</v>
      </c>
      <c r="Q3777">
        <v>8.33</v>
      </c>
      <c r="R3777">
        <v>8.34</v>
      </c>
      <c r="S3777">
        <v>1.8</v>
      </c>
      <c r="T3777">
        <v>1.32</v>
      </c>
      <c r="U3777">
        <v>23.88</v>
      </c>
      <c r="V3777">
        <v>1512</v>
      </c>
      <c r="W3777">
        <v>8.36</v>
      </c>
      <c r="X3777" t="s">
        <v>5620</v>
      </c>
      <c r="Y3777" t="s">
        <v>985</v>
      </c>
      <c r="Z3777">
        <v>1.15</v>
      </c>
      <c r="AA3777">
        <v>67</v>
      </c>
      <c r="AB3777">
        <v>300</v>
      </c>
      <c r="AC3777">
        <v>1.62</v>
      </c>
      <c r="AD3777" t="s">
        <v>18416</v>
      </c>
      <c r="AE3777" t="s">
        <v>6306</v>
      </c>
      <c r="AF3777" t="s">
        <v>18416</v>
      </c>
      <c r="AG3777" t="s">
        <v>6306</v>
      </c>
      <c r="AH3777">
        <v>-1.52</v>
      </c>
      <c r="AI3777">
        <v>-1.98</v>
      </c>
      <c r="AJ3777">
        <v>2.07</v>
      </c>
      <c r="AK3777">
        <v>3.8</v>
      </c>
      <c r="AL3777">
        <v>1</v>
      </c>
      <c r="AM3777">
        <v>0.72</v>
      </c>
      <c r="AN3777">
        <v>-11.58</v>
      </c>
      <c r="AO3777">
        <v>0.36</v>
      </c>
      <c r="AP3777">
        <v>-24.87</v>
      </c>
    </row>
    <row r="3778" spans="1:42">
      <c r="A3778">
        <v>3777</v>
      </c>
      <c r="B3778" t="str">
        <f>"002940"</f>
        <v>002940</v>
      </c>
      <c r="C3778" t="s">
        <v>18417</v>
      </c>
      <c r="D3778">
        <v>22.2</v>
      </c>
      <c r="E3778">
        <v>0.68</v>
      </c>
      <c r="F3778">
        <v>0.15</v>
      </c>
      <c r="G3778" t="s">
        <v>8137</v>
      </c>
      <c r="H3778">
        <v>104</v>
      </c>
      <c r="I3778">
        <v>22.2</v>
      </c>
      <c r="J3778">
        <v>22.21</v>
      </c>
      <c r="K3778" t="s">
        <v>18415</v>
      </c>
      <c r="L3778">
        <v>0.89</v>
      </c>
      <c r="M3778" t="s">
        <v>46</v>
      </c>
      <c r="N3778" t="s">
        <v>517</v>
      </c>
      <c r="O3778">
        <v>22.23</v>
      </c>
      <c r="P3778">
        <v>21.91</v>
      </c>
      <c r="Q3778">
        <v>22.1</v>
      </c>
      <c r="R3778">
        <v>22.05</v>
      </c>
      <c r="S3778">
        <v>1.45</v>
      </c>
      <c r="T3778">
        <v>0.85</v>
      </c>
      <c r="U3778">
        <v>4.99</v>
      </c>
      <c r="V3778">
        <v>18</v>
      </c>
      <c r="W3778">
        <v>22.07</v>
      </c>
      <c r="X3778">
        <v>6846</v>
      </c>
      <c r="Y3778">
        <v>9623</v>
      </c>
      <c r="Z3778">
        <v>0.71</v>
      </c>
      <c r="AA3778">
        <v>6</v>
      </c>
      <c r="AB3778">
        <v>27</v>
      </c>
      <c r="AC3778">
        <v>2.84</v>
      </c>
      <c r="AD3778" t="s">
        <v>18418</v>
      </c>
      <c r="AE3778" t="s">
        <v>8497</v>
      </c>
      <c r="AF3778" t="s">
        <v>18419</v>
      </c>
      <c r="AG3778" t="s">
        <v>12966</v>
      </c>
      <c r="AH3778">
        <v>1.83</v>
      </c>
      <c r="AI3778">
        <v>-0.18</v>
      </c>
      <c r="AJ3778">
        <v>2.76</v>
      </c>
      <c r="AK3778">
        <v>6.1</v>
      </c>
      <c r="AL3778">
        <v>3</v>
      </c>
      <c r="AM3778">
        <v>0.68</v>
      </c>
      <c r="AN3778">
        <v>20.26</v>
      </c>
      <c r="AO3778">
        <v>11.78</v>
      </c>
      <c r="AP3778">
        <v>-0.76</v>
      </c>
    </row>
    <row r="3779" spans="1:42">
      <c r="A3779">
        <v>3778</v>
      </c>
      <c r="B3779" t="str">
        <f>"002452"</f>
        <v>002452</v>
      </c>
      <c r="C3779" t="s">
        <v>18420</v>
      </c>
      <c r="D3779">
        <v>7.02</v>
      </c>
      <c r="E3779">
        <v>-0.28</v>
      </c>
      <c r="F3779">
        <v>-0.02</v>
      </c>
      <c r="G3779" t="s">
        <v>2386</v>
      </c>
      <c r="H3779">
        <v>605</v>
      </c>
      <c r="I3779">
        <v>7.01</v>
      </c>
      <c r="J3779">
        <v>7.02</v>
      </c>
      <c r="K3779" t="s">
        <v>9336</v>
      </c>
      <c r="L3779">
        <v>1</v>
      </c>
      <c r="M3779" t="s">
        <v>46</v>
      </c>
      <c r="N3779" t="s">
        <v>5944</v>
      </c>
      <c r="O3779">
        <v>7.06</v>
      </c>
      <c r="P3779">
        <v>6.97</v>
      </c>
      <c r="Q3779">
        <v>7.05</v>
      </c>
      <c r="R3779">
        <v>7.04</v>
      </c>
      <c r="S3779">
        <v>1.28</v>
      </c>
      <c r="T3779">
        <v>0.82</v>
      </c>
      <c r="U3779">
        <v>32.56</v>
      </c>
      <c r="V3779">
        <v>1593</v>
      </c>
      <c r="W3779">
        <v>7.01</v>
      </c>
      <c r="X3779" t="s">
        <v>2727</v>
      </c>
      <c r="Y3779" t="s">
        <v>1710</v>
      </c>
      <c r="Z3779">
        <v>1.25</v>
      </c>
      <c r="AA3779">
        <v>520</v>
      </c>
      <c r="AB3779">
        <v>223</v>
      </c>
      <c r="AC3779">
        <v>1.93</v>
      </c>
      <c r="AD3779" t="s">
        <v>18421</v>
      </c>
      <c r="AE3779" t="s">
        <v>16647</v>
      </c>
      <c r="AF3779" t="s">
        <v>18422</v>
      </c>
      <c r="AG3779" t="s">
        <v>18423</v>
      </c>
      <c r="AH3779">
        <v>-2.09</v>
      </c>
      <c r="AI3779">
        <v>-1.68</v>
      </c>
      <c r="AJ3779">
        <v>3.83</v>
      </c>
      <c r="AK3779">
        <v>7.13</v>
      </c>
      <c r="AL3779">
        <v>-2</v>
      </c>
      <c r="AM3779">
        <v>-0.28</v>
      </c>
      <c r="AN3779">
        <v>13.59</v>
      </c>
      <c r="AO3779">
        <v>0.43</v>
      </c>
      <c r="AP3779">
        <v>1.59</v>
      </c>
    </row>
    <row r="3780" spans="1:42">
      <c r="A3780">
        <v>3779</v>
      </c>
      <c r="B3780" t="str">
        <f>"603330"</f>
        <v>603330</v>
      </c>
      <c r="C3780" t="s">
        <v>18424</v>
      </c>
      <c r="D3780">
        <v>7.92</v>
      </c>
      <c r="E3780">
        <v>-0.88</v>
      </c>
      <c r="F3780">
        <v>-0.07</v>
      </c>
      <c r="G3780" t="s">
        <v>7035</v>
      </c>
      <c r="H3780">
        <v>509</v>
      </c>
      <c r="I3780">
        <v>7.92</v>
      </c>
      <c r="J3780">
        <v>7.93</v>
      </c>
      <c r="K3780" t="s">
        <v>18425</v>
      </c>
      <c r="L3780">
        <v>1.07</v>
      </c>
      <c r="M3780" t="s">
        <v>46</v>
      </c>
      <c r="N3780" t="s">
        <v>6876</v>
      </c>
      <c r="O3780">
        <v>8.02</v>
      </c>
      <c r="P3780">
        <v>7.9</v>
      </c>
      <c r="Q3780">
        <v>8.02</v>
      </c>
      <c r="R3780">
        <v>7.99</v>
      </c>
      <c r="S3780">
        <v>1.5</v>
      </c>
      <c r="T3780">
        <v>1.22</v>
      </c>
      <c r="U3780">
        <v>25.58</v>
      </c>
      <c r="V3780">
        <v>908</v>
      </c>
      <c r="W3780">
        <v>7.95</v>
      </c>
      <c r="X3780" t="s">
        <v>7649</v>
      </c>
      <c r="Y3780" t="s">
        <v>7487</v>
      </c>
      <c r="Z3780">
        <v>1.83</v>
      </c>
      <c r="AA3780">
        <v>77</v>
      </c>
      <c r="AB3780">
        <v>322</v>
      </c>
      <c r="AC3780">
        <v>1.82</v>
      </c>
      <c r="AD3780" t="s">
        <v>5919</v>
      </c>
      <c r="AE3780" t="s">
        <v>10649</v>
      </c>
      <c r="AF3780" t="s">
        <v>18426</v>
      </c>
      <c r="AG3780" t="s">
        <v>18427</v>
      </c>
      <c r="AH3780">
        <v>-3.53</v>
      </c>
      <c r="AI3780">
        <v>-5.04</v>
      </c>
      <c r="AJ3780">
        <v>2.78</v>
      </c>
      <c r="AK3780">
        <v>5.47</v>
      </c>
      <c r="AL3780">
        <v>-3</v>
      </c>
      <c r="AM3780">
        <v>-0.88</v>
      </c>
      <c r="AN3780">
        <v>-40.41</v>
      </c>
      <c r="AO3780">
        <v>-0.38</v>
      </c>
      <c r="AP3780">
        <v>-32.37</v>
      </c>
    </row>
    <row r="3781" spans="1:42">
      <c r="A3781">
        <v>3780</v>
      </c>
      <c r="B3781" t="str">
        <f>"002480"</f>
        <v>002480</v>
      </c>
      <c r="C3781" t="s">
        <v>18428</v>
      </c>
      <c r="D3781">
        <v>4.91</v>
      </c>
      <c r="E3781">
        <v>-0.61</v>
      </c>
      <c r="F3781">
        <v>-0.03</v>
      </c>
      <c r="G3781" t="s">
        <v>3041</v>
      </c>
      <c r="H3781">
        <v>705</v>
      </c>
      <c r="I3781">
        <v>4.9</v>
      </c>
      <c r="J3781">
        <v>4.91</v>
      </c>
      <c r="K3781" t="s">
        <v>18425</v>
      </c>
      <c r="L3781">
        <v>0.96</v>
      </c>
      <c r="M3781" t="s">
        <v>46</v>
      </c>
      <c r="N3781" t="s">
        <v>654</v>
      </c>
      <c r="O3781">
        <v>4.95</v>
      </c>
      <c r="P3781">
        <v>4.88</v>
      </c>
      <c r="Q3781">
        <v>4.91</v>
      </c>
      <c r="R3781">
        <v>4.94</v>
      </c>
      <c r="S3781">
        <v>1.42</v>
      </c>
      <c r="T3781">
        <v>0.73</v>
      </c>
      <c r="U3781">
        <v>0.98</v>
      </c>
      <c r="V3781">
        <v>105</v>
      </c>
      <c r="W3781">
        <v>4.91</v>
      </c>
      <c r="X3781" t="s">
        <v>1313</v>
      </c>
      <c r="Y3781" t="s">
        <v>1718</v>
      </c>
      <c r="Z3781">
        <v>0.98</v>
      </c>
      <c r="AA3781">
        <v>127</v>
      </c>
      <c r="AB3781">
        <v>626</v>
      </c>
      <c r="AC3781">
        <v>2.44</v>
      </c>
      <c r="AD3781" t="s">
        <v>18429</v>
      </c>
      <c r="AE3781" t="s">
        <v>18430</v>
      </c>
      <c r="AF3781" t="s">
        <v>18431</v>
      </c>
      <c r="AG3781" t="s">
        <v>9310</v>
      </c>
      <c r="AH3781">
        <v>-1.01</v>
      </c>
      <c r="AI3781">
        <v>-1.8</v>
      </c>
      <c r="AJ3781">
        <v>2.93</v>
      </c>
      <c r="AK3781">
        <v>7.57</v>
      </c>
      <c r="AL3781">
        <v>-2</v>
      </c>
      <c r="AM3781">
        <v>-0.61</v>
      </c>
      <c r="AN3781">
        <v>-3.73</v>
      </c>
      <c r="AO3781">
        <v>6.97</v>
      </c>
      <c r="AP3781">
        <v>-12.94</v>
      </c>
    </row>
    <row r="3782" spans="1:42">
      <c r="A3782">
        <v>3781</v>
      </c>
      <c r="B3782" t="str">
        <f>"688319"</f>
        <v>688319</v>
      </c>
      <c r="C3782" t="s">
        <v>18432</v>
      </c>
      <c r="D3782">
        <v>19.62</v>
      </c>
      <c r="E3782">
        <v>-0.51</v>
      </c>
      <c r="F3782">
        <v>-0.1</v>
      </c>
      <c r="G3782" t="s">
        <v>6012</v>
      </c>
      <c r="H3782">
        <v>87</v>
      </c>
      <c r="I3782">
        <v>19.62</v>
      </c>
      <c r="J3782">
        <v>19.64</v>
      </c>
      <c r="K3782" t="s">
        <v>18433</v>
      </c>
      <c r="L3782">
        <v>0.64</v>
      </c>
      <c r="M3782" t="s">
        <v>46</v>
      </c>
      <c r="N3782" t="s">
        <v>4134</v>
      </c>
      <c r="O3782">
        <v>19.98</v>
      </c>
      <c r="P3782">
        <v>19.51</v>
      </c>
      <c r="Q3782">
        <v>19.71</v>
      </c>
      <c r="R3782">
        <v>19.72</v>
      </c>
      <c r="S3782">
        <v>2.38</v>
      </c>
      <c r="T3782">
        <v>0.58</v>
      </c>
      <c r="U3782">
        <v>54.65</v>
      </c>
      <c r="V3782">
        <v>702</v>
      </c>
      <c r="W3782">
        <v>19.73</v>
      </c>
      <c r="X3782">
        <v>8491</v>
      </c>
      <c r="Y3782">
        <v>9905</v>
      </c>
      <c r="Z3782">
        <v>0.86</v>
      </c>
      <c r="AA3782">
        <v>50</v>
      </c>
      <c r="AB3782">
        <v>6</v>
      </c>
      <c r="AC3782">
        <v>8.62</v>
      </c>
      <c r="AD3782" t="s">
        <v>17813</v>
      </c>
      <c r="AE3782" t="s">
        <v>2939</v>
      </c>
      <c r="AF3782" t="s">
        <v>11004</v>
      </c>
      <c r="AG3782" t="s">
        <v>18434</v>
      </c>
      <c r="AH3782">
        <v>-1.85</v>
      </c>
      <c r="AI3782">
        <v>1.82</v>
      </c>
      <c r="AJ3782">
        <v>2.33</v>
      </c>
      <c r="AK3782">
        <v>6.12</v>
      </c>
      <c r="AL3782">
        <v>-4</v>
      </c>
      <c r="AM3782">
        <v>-0.51</v>
      </c>
      <c r="AN3782">
        <v>41.46</v>
      </c>
      <c r="AO3782">
        <v>-1.8</v>
      </c>
      <c r="AP3782">
        <v>21.26</v>
      </c>
    </row>
    <row r="3783" spans="1:42">
      <c r="A3783">
        <v>3782</v>
      </c>
      <c r="B3783" t="str">
        <f>"601969"</f>
        <v>601969</v>
      </c>
      <c r="C3783" t="s">
        <v>18435</v>
      </c>
      <c r="D3783">
        <v>6.72</v>
      </c>
      <c r="E3783">
        <v>0.45</v>
      </c>
      <c r="F3783">
        <v>0.03</v>
      </c>
      <c r="G3783" t="s">
        <v>4981</v>
      </c>
      <c r="H3783">
        <v>327</v>
      </c>
      <c r="I3783">
        <v>6.71</v>
      </c>
      <c r="J3783">
        <v>6.72</v>
      </c>
      <c r="K3783" t="s">
        <v>18436</v>
      </c>
      <c r="L3783">
        <v>0.27</v>
      </c>
      <c r="M3783" t="s">
        <v>46</v>
      </c>
      <c r="N3783" t="s">
        <v>13397</v>
      </c>
      <c r="O3783">
        <v>6.76</v>
      </c>
      <c r="P3783">
        <v>6.67</v>
      </c>
      <c r="Q3783">
        <v>6.71</v>
      </c>
      <c r="R3783">
        <v>6.69</v>
      </c>
      <c r="S3783">
        <v>1.35</v>
      </c>
      <c r="T3783">
        <v>0.82</v>
      </c>
      <c r="U3783">
        <v>-28.79</v>
      </c>
      <c r="V3783">
        <v>-1596</v>
      </c>
      <c r="W3783">
        <v>6.72</v>
      </c>
      <c r="X3783" t="s">
        <v>1077</v>
      </c>
      <c r="Y3783" t="s">
        <v>7993</v>
      </c>
      <c r="Z3783">
        <v>0.92</v>
      </c>
      <c r="AA3783">
        <v>189</v>
      </c>
      <c r="AB3783">
        <v>30</v>
      </c>
      <c r="AC3783">
        <v>2.05</v>
      </c>
      <c r="AD3783" t="s">
        <v>18437</v>
      </c>
      <c r="AE3783" t="s">
        <v>10209</v>
      </c>
      <c r="AF3783" t="s">
        <v>288</v>
      </c>
      <c r="AG3783" t="s">
        <v>17025</v>
      </c>
      <c r="AH3783">
        <v>-1.03</v>
      </c>
      <c r="AI3783">
        <v>-1.32</v>
      </c>
      <c r="AJ3783">
        <v>0.88</v>
      </c>
      <c r="AK3783">
        <v>1.9</v>
      </c>
      <c r="AL3783">
        <v>1</v>
      </c>
      <c r="AM3783">
        <v>0.45</v>
      </c>
      <c r="AN3783">
        <v>-8.07</v>
      </c>
      <c r="AO3783">
        <v>2.44</v>
      </c>
      <c r="AP3783">
        <v>-3.45</v>
      </c>
    </row>
    <row r="3784" spans="1:42">
      <c r="A3784">
        <v>3783</v>
      </c>
      <c r="B3784" t="str">
        <f>"600903"</f>
        <v>600903</v>
      </c>
      <c r="C3784" t="s">
        <v>18438</v>
      </c>
      <c r="D3784">
        <v>8.33</v>
      </c>
      <c r="E3784">
        <v>-0.12</v>
      </c>
      <c r="F3784">
        <v>-0.01</v>
      </c>
      <c r="G3784" t="s">
        <v>459</v>
      </c>
      <c r="H3784">
        <v>852</v>
      </c>
      <c r="I3784">
        <v>8.32</v>
      </c>
      <c r="J3784">
        <v>8.33</v>
      </c>
      <c r="K3784" t="s">
        <v>18439</v>
      </c>
      <c r="L3784">
        <v>0.38</v>
      </c>
      <c r="M3784" t="s">
        <v>46</v>
      </c>
      <c r="N3784" t="s">
        <v>18440</v>
      </c>
      <c r="O3784">
        <v>8.37</v>
      </c>
      <c r="P3784">
        <v>8.29</v>
      </c>
      <c r="Q3784">
        <v>8.34</v>
      </c>
      <c r="R3784">
        <v>8.34</v>
      </c>
      <c r="S3784">
        <v>0.96</v>
      </c>
      <c r="T3784">
        <v>0.8</v>
      </c>
      <c r="U3784">
        <v>-5.04</v>
      </c>
      <c r="V3784">
        <v>-322</v>
      </c>
      <c r="W3784">
        <v>8.32</v>
      </c>
      <c r="X3784" t="s">
        <v>4037</v>
      </c>
      <c r="Y3784" t="s">
        <v>10934</v>
      </c>
      <c r="Z3784">
        <v>1.26</v>
      </c>
      <c r="AA3784">
        <v>106</v>
      </c>
      <c r="AB3784">
        <v>461</v>
      </c>
      <c r="AC3784">
        <v>3.12</v>
      </c>
      <c r="AD3784" t="s">
        <v>915</v>
      </c>
      <c r="AE3784" t="s">
        <v>7118</v>
      </c>
      <c r="AF3784" t="s">
        <v>915</v>
      </c>
      <c r="AG3784" t="s">
        <v>7118</v>
      </c>
      <c r="AH3784">
        <v>-0.6</v>
      </c>
      <c r="AI3784">
        <v>-1.42</v>
      </c>
      <c r="AJ3784">
        <v>1.26</v>
      </c>
      <c r="AK3784">
        <v>2.74</v>
      </c>
      <c r="AL3784">
        <v>-1</v>
      </c>
      <c r="AM3784">
        <v>-0.12</v>
      </c>
      <c r="AN3784">
        <v>7.48</v>
      </c>
      <c r="AO3784">
        <v>1.22</v>
      </c>
      <c r="AP3784">
        <v>5.58</v>
      </c>
    </row>
    <row r="3785" spans="1:42">
      <c r="A3785">
        <v>3784</v>
      </c>
      <c r="B3785" t="str">
        <f>"300046"</f>
        <v>300046</v>
      </c>
      <c r="C3785" t="s">
        <v>18441</v>
      </c>
      <c r="D3785">
        <v>16.65</v>
      </c>
      <c r="E3785">
        <v>0.6</v>
      </c>
      <c r="F3785">
        <v>0.1</v>
      </c>
      <c r="G3785" t="s">
        <v>6827</v>
      </c>
      <c r="H3785">
        <v>374</v>
      </c>
      <c r="I3785">
        <v>16.65</v>
      </c>
      <c r="J3785">
        <v>16.66</v>
      </c>
      <c r="K3785" t="s">
        <v>18442</v>
      </c>
      <c r="L3785">
        <v>0.92</v>
      </c>
      <c r="M3785" t="s">
        <v>46</v>
      </c>
      <c r="N3785" t="s">
        <v>5854</v>
      </c>
      <c r="O3785">
        <v>16.73</v>
      </c>
      <c r="P3785">
        <v>16.43</v>
      </c>
      <c r="Q3785">
        <v>16.52</v>
      </c>
      <c r="R3785">
        <v>16.55</v>
      </c>
      <c r="S3785">
        <v>1.81</v>
      </c>
      <c r="T3785">
        <v>0.77</v>
      </c>
      <c r="U3785">
        <v>6.53</v>
      </c>
      <c r="V3785">
        <v>64</v>
      </c>
      <c r="W3785">
        <v>16.57</v>
      </c>
      <c r="X3785" t="s">
        <v>7974</v>
      </c>
      <c r="Y3785" t="s">
        <v>2807</v>
      </c>
      <c r="Z3785">
        <v>0.97</v>
      </c>
      <c r="AA3785">
        <v>247</v>
      </c>
      <c r="AB3785">
        <v>56</v>
      </c>
      <c r="AC3785">
        <v>3.61</v>
      </c>
      <c r="AD3785" t="s">
        <v>18443</v>
      </c>
      <c r="AE3785" t="s">
        <v>15846</v>
      </c>
      <c r="AF3785" t="s">
        <v>18444</v>
      </c>
      <c r="AG3785" t="s">
        <v>2948</v>
      </c>
      <c r="AH3785">
        <v>-1.71</v>
      </c>
      <c r="AI3785">
        <v>-1.48</v>
      </c>
      <c r="AJ3785">
        <v>3.82</v>
      </c>
      <c r="AK3785">
        <v>6.93</v>
      </c>
      <c r="AL3785">
        <v>1</v>
      </c>
      <c r="AM3785">
        <v>0.6</v>
      </c>
      <c r="AN3785">
        <v>12.58</v>
      </c>
      <c r="AO3785">
        <v>-1.19</v>
      </c>
      <c r="AP3785">
        <v>3.22</v>
      </c>
    </row>
    <row r="3786" spans="1:42">
      <c r="A3786">
        <v>3785</v>
      </c>
      <c r="B3786" t="str">
        <f>"001201"</f>
        <v>001201</v>
      </c>
      <c r="C3786" t="s">
        <v>18445</v>
      </c>
      <c r="D3786">
        <v>23.82</v>
      </c>
      <c r="E3786">
        <v>-2.85</v>
      </c>
      <c r="F3786">
        <v>-0.7</v>
      </c>
      <c r="G3786" t="s">
        <v>2371</v>
      </c>
      <c r="H3786">
        <v>116</v>
      </c>
      <c r="I3786">
        <v>23.81</v>
      </c>
      <c r="J3786">
        <v>23.83</v>
      </c>
      <c r="K3786" t="s">
        <v>18446</v>
      </c>
      <c r="L3786">
        <v>1.64</v>
      </c>
      <c r="M3786" t="s">
        <v>46</v>
      </c>
      <c r="N3786" t="s">
        <v>1653</v>
      </c>
      <c r="O3786">
        <v>24.52</v>
      </c>
      <c r="P3786">
        <v>23.8</v>
      </c>
      <c r="Q3786">
        <v>24.35</v>
      </c>
      <c r="R3786">
        <v>24.52</v>
      </c>
      <c r="S3786">
        <v>2.94</v>
      </c>
      <c r="T3786">
        <v>0.66</v>
      </c>
      <c r="U3786">
        <v>-13.24</v>
      </c>
      <c r="V3786">
        <v>-65</v>
      </c>
      <c r="W3786">
        <v>24.03</v>
      </c>
      <c r="X3786">
        <v>8442</v>
      </c>
      <c r="Y3786">
        <v>6622</v>
      </c>
      <c r="Z3786">
        <v>1.27</v>
      </c>
      <c r="AA3786">
        <v>29</v>
      </c>
      <c r="AB3786">
        <v>141</v>
      </c>
      <c r="AC3786">
        <v>1.88</v>
      </c>
      <c r="AD3786" t="s">
        <v>1989</v>
      </c>
      <c r="AE3786" t="s">
        <v>7749</v>
      </c>
      <c r="AF3786" t="s">
        <v>18447</v>
      </c>
      <c r="AG3786" t="s">
        <v>5470</v>
      </c>
      <c r="AH3786">
        <v>-2.22</v>
      </c>
      <c r="AI3786">
        <v>4.66</v>
      </c>
      <c r="AJ3786">
        <v>6.1</v>
      </c>
      <c r="AK3786">
        <v>14.11</v>
      </c>
      <c r="AL3786">
        <v>-1</v>
      </c>
      <c r="AM3786">
        <v>-2.85</v>
      </c>
      <c r="AN3786">
        <v>-17.06</v>
      </c>
      <c r="AO3786">
        <v>5.26</v>
      </c>
      <c r="AP3786">
        <v>-20.86</v>
      </c>
    </row>
    <row r="3787" spans="1:42">
      <c r="A3787">
        <v>3786</v>
      </c>
      <c r="B3787" t="str">
        <f>"300019"</f>
        <v>300019</v>
      </c>
      <c r="C3787" t="s">
        <v>18448</v>
      </c>
      <c r="D3787">
        <v>16.73</v>
      </c>
      <c r="E3787">
        <v>-0.65</v>
      </c>
      <c r="F3787">
        <v>-0.11</v>
      </c>
      <c r="G3787" t="s">
        <v>1520</v>
      </c>
      <c r="H3787">
        <v>154</v>
      </c>
      <c r="I3787">
        <v>16.73</v>
      </c>
      <c r="J3787">
        <v>16.74</v>
      </c>
      <c r="K3787" t="s">
        <v>18446</v>
      </c>
      <c r="L3787">
        <v>0.64</v>
      </c>
      <c r="M3787" t="s">
        <v>46</v>
      </c>
      <c r="N3787" t="s">
        <v>2027</v>
      </c>
      <c r="O3787">
        <v>16.87</v>
      </c>
      <c r="P3787">
        <v>16.64</v>
      </c>
      <c r="Q3787">
        <v>16.83</v>
      </c>
      <c r="R3787">
        <v>16.84</v>
      </c>
      <c r="S3787">
        <v>1.37</v>
      </c>
      <c r="T3787">
        <v>1.11</v>
      </c>
      <c r="U3787">
        <v>-9.79</v>
      </c>
      <c r="V3787">
        <v>-43</v>
      </c>
      <c r="W3787">
        <v>16.74</v>
      </c>
      <c r="X3787" t="s">
        <v>2547</v>
      </c>
      <c r="Y3787">
        <v>9121</v>
      </c>
      <c r="Z3787">
        <v>1.37</v>
      </c>
      <c r="AA3787">
        <v>37</v>
      </c>
      <c r="AB3787">
        <v>10</v>
      </c>
      <c r="AC3787">
        <v>2.8</v>
      </c>
      <c r="AD3787" t="s">
        <v>14086</v>
      </c>
      <c r="AE3787" t="s">
        <v>18449</v>
      </c>
      <c r="AF3787" t="s">
        <v>18450</v>
      </c>
      <c r="AG3787" t="s">
        <v>5915</v>
      </c>
      <c r="AH3787">
        <v>-1.47</v>
      </c>
      <c r="AI3787">
        <v>-2.68</v>
      </c>
      <c r="AJ3787">
        <v>1.92</v>
      </c>
      <c r="AK3787">
        <v>3.54</v>
      </c>
      <c r="AL3787">
        <v>-2</v>
      </c>
      <c r="AM3787">
        <v>-0.65</v>
      </c>
      <c r="AN3787">
        <v>8.5</v>
      </c>
      <c r="AO3787">
        <v>1.09</v>
      </c>
      <c r="AP3787">
        <v>-0.3</v>
      </c>
    </row>
    <row r="3788" spans="1:42">
      <c r="A3788">
        <v>3787</v>
      </c>
      <c r="B3788" t="str">
        <f>"605288"</f>
        <v>605288</v>
      </c>
      <c r="C3788" t="s">
        <v>18451</v>
      </c>
      <c r="D3788">
        <v>45.19</v>
      </c>
      <c r="E3788">
        <v>-1.5</v>
      </c>
      <c r="F3788">
        <v>-0.69</v>
      </c>
      <c r="G3788">
        <v>7997</v>
      </c>
      <c r="H3788">
        <v>54</v>
      </c>
      <c r="I3788">
        <v>45.19</v>
      </c>
      <c r="J3788">
        <v>45.21</v>
      </c>
      <c r="K3788" t="s">
        <v>18446</v>
      </c>
      <c r="L3788">
        <v>1.14</v>
      </c>
      <c r="M3788" t="s">
        <v>46</v>
      </c>
      <c r="N3788" t="s">
        <v>7812</v>
      </c>
      <c r="O3788">
        <v>46</v>
      </c>
      <c r="P3788">
        <v>44.98</v>
      </c>
      <c r="Q3788">
        <v>45.86</v>
      </c>
      <c r="R3788">
        <v>45.88</v>
      </c>
      <c r="S3788">
        <v>2.22</v>
      </c>
      <c r="T3788">
        <v>0.98</v>
      </c>
      <c r="U3788">
        <v>-20.34</v>
      </c>
      <c r="V3788">
        <v>-24</v>
      </c>
      <c r="W3788">
        <v>45.26</v>
      </c>
      <c r="X3788">
        <v>4620</v>
      </c>
      <c r="Y3788">
        <v>3378</v>
      </c>
      <c r="Z3788">
        <v>1.37</v>
      </c>
      <c r="AA3788">
        <v>15</v>
      </c>
      <c r="AB3788">
        <v>37</v>
      </c>
      <c r="AC3788">
        <v>1.48</v>
      </c>
      <c r="AD3788" t="s">
        <v>18452</v>
      </c>
      <c r="AE3788" t="s">
        <v>12169</v>
      </c>
      <c r="AF3788" t="s">
        <v>18452</v>
      </c>
      <c r="AG3788" t="s">
        <v>12169</v>
      </c>
      <c r="AH3788">
        <v>-5.3</v>
      </c>
      <c r="AI3788">
        <v>-2.27</v>
      </c>
      <c r="AJ3788">
        <v>3.74</v>
      </c>
      <c r="AK3788">
        <v>6.94</v>
      </c>
      <c r="AL3788">
        <v>-3</v>
      </c>
      <c r="AM3788">
        <v>-1.5</v>
      </c>
      <c r="AN3788">
        <v>19.68</v>
      </c>
      <c r="AO3788">
        <v>1.55</v>
      </c>
      <c r="AP3788">
        <v>21.22</v>
      </c>
    </row>
    <row r="3789" spans="1:42">
      <c r="A3789">
        <v>3788</v>
      </c>
      <c r="B3789" t="str">
        <f>"301326"</f>
        <v>301326</v>
      </c>
      <c r="C3789" t="s">
        <v>18453</v>
      </c>
      <c r="D3789">
        <v>37.95</v>
      </c>
      <c r="E3789">
        <v>-0.03</v>
      </c>
      <c r="F3789">
        <v>-0.01</v>
      </c>
      <c r="G3789">
        <v>9568</v>
      </c>
      <c r="H3789">
        <v>39</v>
      </c>
      <c r="I3789">
        <v>37.95</v>
      </c>
      <c r="J3789">
        <v>37.96</v>
      </c>
      <c r="K3789" t="s">
        <v>14150</v>
      </c>
      <c r="L3789">
        <v>4.31</v>
      </c>
      <c r="M3789" t="s">
        <v>46</v>
      </c>
      <c r="N3789" t="s">
        <v>9012</v>
      </c>
      <c r="O3789">
        <v>38.2</v>
      </c>
      <c r="P3789">
        <v>37.01</v>
      </c>
      <c r="Q3789">
        <v>37.84</v>
      </c>
      <c r="R3789">
        <v>37.96</v>
      </c>
      <c r="S3789">
        <v>3.13</v>
      </c>
      <c r="T3789">
        <v>1.01</v>
      </c>
      <c r="U3789">
        <v>14</v>
      </c>
      <c r="V3789">
        <v>14</v>
      </c>
      <c r="W3789">
        <v>37.83</v>
      </c>
      <c r="X3789">
        <v>5234</v>
      </c>
      <c r="Y3789">
        <v>4334</v>
      </c>
      <c r="Z3789">
        <v>1.21</v>
      </c>
      <c r="AA3789">
        <v>9</v>
      </c>
      <c r="AB3789">
        <v>20</v>
      </c>
      <c r="AC3789">
        <v>2.01</v>
      </c>
      <c r="AD3789" t="s">
        <v>18454</v>
      </c>
      <c r="AE3789" t="s">
        <v>18455</v>
      </c>
      <c r="AF3789" t="s">
        <v>18456</v>
      </c>
      <c r="AG3789" t="s">
        <v>18457</v>
      </c>
      <c r="AH3789">
        <v>0.37</v>
      </c>
      <c r="AI3789">
        <v>1.5</v>
      </c>
      <c r="AJ3789">
        <v>12.7</v>
      </c>
      <c r="AK3789">
        <v>25.68</v>
      </c>
      <c r="AL3789">
        <v>-2</v>
      </c>
      <c r="AM3789">
        <v>-0.03</v>
      </c>
      <c r="AN3789">
        <v>-0.73</v>
      </c>
      <c r="AO3789">
        <v>3.97</v>
      </c>
      <c r="AP3789">
        <v>-8.93</v>
      </c>
    </row>
    <row r="3790" spans="1:42">
      <c r="A3790">
        <v>3789</v>
      </c>
      <c r="B3790" t="str">
        <f>"000967"</f>
        <v>000967</v>
      </c>
      <c r="C3790" t="s">
        <v>18458</v>
      </c>
      <c r="D3790">
        <v>4.91</v>
      </c>
      <c r="E3790">
        <v>0.61</v>
      </c>
      <c r="F3790">
        <v>0.03</v>
      </c>
      <c r="G3790" t="s">
        <v>4881</v>
      </c>
      <c r="H3790">
        <v>544</v>
      </c>
      <c r="I3790">
        <v>4.9</v>
      </c>
      <c r="J3790">
        <v>4.91</v>
      </c>
      <c r="K3790" t="s">
        <v>18459</v>
      </c>
      <c r="L3790">
        <v>0.23</v>
      </c>
      <c r="M3790" t="s">
        <v>46</v>
      </c>
      <c r="N3790" t="s">
        <v>18460</v>
      </c>
      <c r="O3790">
        <v>4.92</v>
      </c>
      <c r="P3790">
        <v>4.86</v>
      </c>
      <c r="Q3790">
        <v>4.88</v>
      </c>
      <c r="R3790">
        <v>4.88</v>
      </c>
      <c r="S3790">
        <v>1.23</v>
      </c>
      <c r="T3790">
        <v>1.13</v>
      </c>
      <c r="U3790">
        <v>-28.25</v>
      </c>
      <c r="V3790">
        <v>-3441</v>
      </c>
      <c r="W3790">
        <v>4.9</v>
      </c>
      <c r="X3790" t="s">
        <v>617</v>
      </c>
      <c r="Y3790" t="s">
        <v>6838</v>
      </c>
      <c r="Z3790">
        <v>0.69</v>
      </c>
      <c r="AA3790">
        <v>963</v>
      </c>
      <c r="AB3790">
        <v>89</v>
      </c>
      <c r="AC3790">
        <v>0.9</v>
      </c>
      <c r="AD3790" t="s">
        <v>18132</v>
      </c>
      <c r="AE3790" t="s">
        <v>18461</v>
      </c>
      <c r="AF3790" t="s">
        <v>18462</v>
      </c>
      <c r="AG3790" t="s">
        <v>3215</v>
      </c>
      <c r="AH3790">
        <v>-0.2</v>
      </c>
      <c r="AI3790">
        <v>0</v>
      </c>
      <c r="AJ3790">
        <v>0.58</v>
      </c>
      <c r="AK3790">
        <v>1.26</v>
      </c>
      <c r="AL3790">
        <v>1</v>
      </c>
      <c r="AM3790">
        <v>0.61</v>
      </c>
      <c r="AN3790">
        <v>10.84</v>
      </c>
      <c r="AO3790">
        <v>1.24</v>
      </c>
      <c r="AP3790">
        <v>4.03</v>
      </c>
    </row>
    <row r="3791" spans="1:42">
      <c r="A3791">
        <v>3790</v>
      </c>
      <c r="B3791" t="str">
        <f>"002774"</f>
        <v>002774</v>
      </c>
      <c r="C3791" t="s">
        <v>18463</v>
      </c>
      <c r="D3791">
        <v>8.25</v>
      </c>
      <c r="E3791">
        <v>-1.2</v>
      </c>
      <c r="F3791">
        <v>-0.1</v>
      </c>
      <c r="G3791" t="s">
        <v>456</v>
      </c>
      <c r="H3791">
        <v>339</v>
      </c>
      <c r="I3791">
        <v>8.23</v>
      </c>
      <c r="J3791">
        <v>8.25</v>
      </c>
      <c r="K3791" t="s">
        <v>18459</v>
      </c>
      <c r="L3791">
        <v>1.56</v>
      </c>
      <c r="M3791" t="s">
        <v>46</v>
      </c>
      <c r="N3791" t="s">
        <v>1568</v>
      </c>
      <c r="O3791">
        <v>8.37</v>
      </c>
      <c r="P3791">
        <v>8.19</v>
      </c>
      <c r="Q3791">
        <v>8.35</v>
      </c>
      <c r="R3791">
        <v>8.35</v>
      </c>
      <c r="S3791">
        <v>2.16</v>
      </c>
      <c r="T3791">
        <v>1.69</v>
      </c>
      <c r="U3791">
        <v>5.11</v>
      </c>
      <c r="V3791">
        <v>68</v>
      </c>
      <c r="W3791">
        <v>8.25</v>
      </c>
      <c r="X3791" t="s">
        <v>1520</v>
      </c>
      <c r="Y3791" t="s">
        <v>8267</v>
      </c>
      <c r="Z3791">
        <v>0.97</v>
      </c>
      <c r="AA3791">
        <v>66</v>
      </c>
      <c r="AB3791">
        <v>128</v>
      </c>
      <c r="AC3791">
        <v>2.28</v>
      </c>
      <c r="AD3791" t="s">
        <v>18141</v>
      </c>
      <c r="AE3791" t="s">
        <v>8005</v>
      </c>
      <c r="AF3791" t="s">
        <v>18464</v>
      </c>
      <c r="AG3791" t="s">
        <v>10165</v>
      </c>
      <c r="AH3791">
        <v>-2.37</v>
      </c>
      <c r="AI3791">
        <v>-1.32</v>
      </c>
      <c r="AJ3791">
        <v>3.27</v>
      </c>
      <c r="AK3791">
        <v>6.15</v>
      </c>
      <c r="AL3791">
        <v>-3</v>
      </c>
      <c r="AM3791">
        <v>-1.2</v>
      </c>
      <c r="AN3791">
        <v>34.15</v>
      </c>
      <c r="AO3791">
        <v>3.77</v>
      </c>
      <c r="AP3791">
        <v>27.51</v>
      </c>
    </row>
    <row r="3792" spans="1:42">
      <c r="A3792">
        <v>3791</v>
      </c>
      <c r="B3792" t="str">
        <f>"000966"</f>
        <v>000966</v>
      </c>
      <c r="C3792" t="s">
        <v>18465</v>
      </c>
      <c r="D3792">
        <v>4.54</v>
      </c>
      <c r="E3792">
        <v>-0.22</v>
      </c>
      <c r="F3792">
        <v>-0.01</v>
      </c>
      <c r="G3792" t="s">
        <v>3759</v>
      </c>
      <c r="H3792">
        <v>753</v>
      </c>
      <c r="I3792">
        <v>4.54</v>
      </c>
      <c r="J3792">
        <v>4.55</v>
      </c>
      <c r="K3792" t="s">
        <v>18466</v>
      </c>
      <c r="L3792">
        <v>0.61</v>
      </c>
      <c r="M3792" t="s">
        <v>46</v>
      </c>
      <c r="N3792" t="s">
        <v>2466</v>
      </c>
      <c r="O3792">
        <v>4.56</v>
      </c>
      <c r="P3792">
        <v>4.52</v>
      </c>
      <c r="Q3792">
        <v>4.54</v>
      </c>
      <c r="R3792">
        <v>4.55</v>
      </c>
      <c r="S3792">
        <v>0.88</v>
      </c>
      <c r="T3792">
        <v>0.9</v>
      </c>
      <c r="U3792">
        <v>-23.22</v>
      </c>
      <c r="V3792">
        <v>-5626</v>
      </c>
      <c r="W3792">
        <v>4.54</v>
      </c>
      <c r="X3792" t="s">
        <v>5983</v>
      </c>
      <c r="Y3792" t="s">
        <v>6748</v>
      </c>
      <c r="Z3792">
        <v>0.98</v>
      </c>
      <c r="AA3792">
        <v>1534</v>
      </c>
      <c r="AB3792">
        <v>1500</v>
      </c>
      <c r="AC3792">
        <v>1.21</v>
      </c>
      <c r="AD3792" t="s">
        <v>18467</v>
      </c>
      <c r="AE3792" t="s">
        <v>1818</v>
      </c>
      <c r="AF3792" t="s">
        <v>3968</v>
      </c>
      <c r="AG3792" t="s">
        <v>18468</v>
      </c>
      <c r="AH3792">
        <v>-1.3</v>
      </c>
      <c r="AI3792">
        <v>-2.16</v>
      </c>
      <c r="AJ3792">
        <v>1.86</v>
      </c>
      <c r="AK3792">
        <v>3.98</v>
      </c>
      <c r="AL3792">
        <v>-1</v>
      </c>
      <c r="AM3792">
        <v>-0.22</v>
      </c>
      <c r="AN3792">
        <v>-1.73</v>
      </c>
      <c r="AO3792">
        <v>-1.94</v>
      </c>
      <c r="AP3792">
        <v>-3.81</v>
      </c>
    </row>
    <row r="3793" spans="1:42">
      <c r="A3793">
        <v>3792</v>
      </c>
      <c r="B3793" t="str">
        <f>"688168"</f>
        <v>688168</v>
      </c>
      <c r="C3793" t="s">
        <v>18469</v>
      </c>
      <c r="D3793">
        <v>35.01</v>
      </c>
      <c r="E3793">
        <v>2.49</v>
      </c>
      <c r="F3793">
        <v>0.85</v>
      </c>
      <c r="G3793" t="s">
        <v>1400</v>
      </c>
      <c r="H3793">
        <v>114</v>
      </c>
      <c r="I3793">
        <v>34.98</v>
      </c>
      <c r="J3793">
        <v>35.01</v>
      </c>
      <c r="K3793" t="s">
        <v>9891</v>
      </c>
      <c r="L3793">
        <v>1.38</v>
      </c>
      <c r="M3793" t="s">
        <v>46</v>
      </c>
      <c r="N3793" t="s">
        <v>3818</v>
      </c>
      <c r="O3793">
        <v>35.07</v>
      </c>
      <c r="P3793">
        <v>33.8</v>
      </c>
      <c r="Q3793">
        <v>34.16</v>
      </c>
      <c r="R3793">
        <v>34.16</v>
      </c>
      <c r="S3793">
        <v>3.72</v>
      </c>
      <c r="T3793">
        <v>1.18</v>
      </c>
      <c r="U3793">
        <v>-52.96</v>
      </c>
      <c r="V3793">
        <v>-147</v>
      </c>
      <c r="W3793">
        <v>34.43</v>
      </c>
      <c r="X3793">
        <v>5836</v>
      </c>
      <c r="Y3793">
        <v>4658</v>
      </c>
      <c r="Z3793">
        <v>1.25</v>
      </c>
      <c r="AA3793">
        <v>6</v>
      </c>
      <c r="AB3793">
        <v>51</v>
      </c>
      <c r="AC3793">
        <v>2.34</v>
      </c>
      <c r="AD3793" t="s">
        <v>18470</v>
      </c>
      <c r="AE3793" t="s">
        <v>8816</v>
      </c>
      <c r="AF3793" t="s">
        <v>18470</v>
      </c>
      <c r="AG3793" t="s">
        <v>8816</v>
      </c>
      <c r="AH3793">
        <v>1.24</v>
      </c>
      <c r="AI3793">
        <v>-0.31</v>
      </c>
      <c r="AJ3793">
        <v>3.16</v>
      </c>
      <c r="AK3793">
        <v>7.18</v>
      </c>
      <c r="AL3793">
        <v>1</v>
      </c>
      <c r="AM3793">
        <v>2.49</v>
      </c>
      <c r="AN3793">
        <v>9.44</v>
      </c>
      <c r="AO3793">
        <v>6.84</v>
      </c>
      <c r="AP3793">
        <v>-3.26</v>
      </c>
    </row>
    <row r="3794" spans="1:42">
      <c r="A3794">
        <v>3793</v>
      </c>
      <c r="B3794" t="str">
        <f>"688172"</f>
        <v>688172</v>
      </c>
      <c r="C3794" t="s">
        <v>18471</v>
      </c>
      <c r="D3794">
        <v>18.81</v>
      </c>
      <c r="E3794">
        <v>0</v>
      </c>
      <c r="F3794">
        <v>0</v>
      </c>
      <c r="G3794" t="s">
        <v>10934</v>
      </c>
      <c r="H3794">
        <v>306</v>
      </c>
      <c r="I3794">
        <v>18.81</v>
      </c>
      <c r="J3794">
        <v>18.84</v>
      </c>
      <c r="K3794" t="s">
        <v>18472</v>
      </c>
      <c r="L3794">
        <v>1.53</v>
      </c>
      <c r="M3794" t="s">
        <v>46</v>
      </c>
      <c r="N3794" t="s">
        <v>208</v>
      </c>
      <c r="O3794">
        <v>18.94</v>
      </c>
      <c r="P3794">
        <v>18.58</v>
      </c>
      <c r="Q3794">
        <v>18.81</v>
      </c>
      <c r="R3794">
        <v>18.81</v>
      </c>
      <c r="S3794">
        <v>1.91</v>
      </c>
      <c r="T3794">
        <v>0.8</v>
      </c>
      <c r="U3794">
        <v>32.01</v>
      </c>
      <c r="V3794">
        <v>80</v>
      </c>
      <c r="W3794">
        <v>18.72</v>
      </c>
      <c r="X3794">
        <v>9868</v>
      </c>
      <c r="Y3794">
        <v>9422</v>
      </c>
      <c r="Z3794">
        <v>1.05</v>
      </c>
      <c r="AA3794">
        <v>30</v>
      </c>
      <c r="AB3794">
        <v>8</v>
      </c>
      <c r="AC3794">
        <v>1.53</v>
      </c>
      <c r="AD3794" t="s">
        <v>5045</v>
      </c>
      <c r="AE3794" t="s">
        <v>11636</v>
      </c>
      <c r="AF3794" t="s">
        <v>490</v>
      </c>
      <c r="AG3794" t="s">
        <v>18473</v>
      </c>
      <c r="AH3794">
        <v>-2.64</v>
      </c>
      <c r="AI3794">
        <v>-3.74</v>
      </c>
      <c r="AJ3794">
        <v>5.18</v>
      </c>
      <c r="AK3794">
        <v>11.11</v>
      </c>
      <c r="AL3794">
        <v>0</v>
      </c>
      <c r="AM3794">
        <v>0</v>
      </c>
      <c r="AN3794">
        <v>-0.9</v>
      </c>
      <c r="AO3794">
        <v>-2.54</v>
      </c>
      <c r="AP3794">
        <v>-14.42</v>
      </c>
    </row>
    <row r="3795" spans="1:42">
      <c r="A3795">
        <v>3794</v>
      </c>
      <c r="B3795" t="str">
        <f>"300237"</f>
        <v>300237</v>
      </c>
      <c r="C3795" t="s">
        <v>18474</v>
      </c>
      <c r="D3795">
        <v>2.12</v>
      </c>
      <c r="E3795">
        <v>0.95</v>
      </c>
      <c r="F3795">
        <v>0.02</v>
      </c>
      <c r="G3795" t="s">
        <v>172</v>
      </c>
      <c r="H3795">
        <v>2119</v>
      </c>
      <c r="I3795">
        <v>2.12</v>
      </c>
      <c r="J3795">
        <v>2.13</v>
      </c>
      <c r="K3795" t="s">
        <v>18475</v>
      </c>
      <c r="L3795">
        <v>1.18</v>
      </c>
      <c r="M3795" t="s">
        <v>46</v>
      </c>
      <c r="N3795" t="s">
        <v>4336</v>
      </c>
      <c r="O3795">
        <v>2.13</v>
      </c>
      <c r="P3795">
        <v>2.09</v>
      </c>
      <c r="Q3795">
        <v>2.1</v>
      </c>
      <c r="R3795">
        <v>2.1</v>
      </c>
      <c r="S3795">
        <v>1.9</v>
      </c>
      <c r="T3795">
        <v>0.68</v>
      </c>
      <c r="U3795">
        <v>-43.43</v>
      </c>
      <c r="V3795" t="s">
        <v>18476</v>
      </c>
      <c r="W3795">
        <v>2.12</v>
      </c>
      <c r="X3795" t="s">
        <v>3296</v>
      </c>
      <c r="Y3795" t="s">
        <v>2781</v>
      </c>
      <c r="Z3795">
        <v>0.99</v>
      </c>
      <c r="AA3795">
        <v>2331</v>
      </c>
      <c r="AB3795">
        <v>8699</v>
      </c>
      <c r="AC3795">
        <v>6.85</v>
      </c>
      <c r="AD3795" t="s">
        <v>8450</v>
      </c>
      <c r="AE3795" t="s">
        <v>18477</v>
      </c>
      <c r="AF3795" t="s">
        <v>16817</v>
      </c>
      <c r="AG3795" t="s">
        <v>18478</v>
      </c>
      <c r="AH3795">
        <v>-0.93</v>
      </c>
      <c r="AI3795">
        <v>-0.47</v>
      </c>
      <c r="AJ3795">
        <v>4.52</v>
      </c>
      <c r="AK3795">
        <v>9.86</v>
      </c>
      <c r="AL3795">
        <v>1</v>
      </c>
      <c r="AM3795">
        <v>0.95</v>
      </c>
      <c r="AN3795">
        <v>-3.64</v>
      </c>
      <c r="AO3795">
        <v>4.43</v>
      </c>
      <c r="AP3795">
        <v>-12.76</v>
      </c>
    </row>
    <row r="3796" spans="1:42">
      <c r="A3796">
        <v>3795</v>
      </c>
      <c r="B3796" t="str">
        <f>"300946"</f>
        <v>300946</v>
      </c>
      <c r="C3796" t="s">
        <v>18479</v>
      </c>
      <c r="D3796">
        <v>32.68</v>
      </c>
      <c r="E3796">
        <v>-1.95</v>
      </c>
      <c r="F3796">
        <v>-0.65</v>
      </c>
      <c r="G3796" t="s">
        <v>4443</v>
      </c>
      <c r="H3796">
        <v>81</v>
      </c>
      <c r="I3796">
        <v>32.68</v>
      </c>
      <c r="J3796">
        <v>32.69</v>
      </c>
      <c r="K3796" t="s">
        <v>18480</v>
      </c>
      <c r="L3796">
        <v>3.23</v>
      </c>
      <c r="M3796" t="s">
        <v>46</v>
      </c>
      <c r="N3796" t="s">
        <v>3534</v>
      </c>
      <c r="O3796">
        <v>33.31</v>
      </c>
      <c r="P3796">
        <v>32.48</v>
      </c>
      <c r="Q3796">
        <v>33.31</v>
      </c>
      <c r="R3796">
        <v>33.33</v>
      </c>
      <c r="S3796">
        <v>2.49</v>
      </c>
      <c r="T3796">
        <v>1.11</v>
      </c>
      <c r="U3796">
        <v>48</v>
      </c>
      <c r="V3796">
        <v>72</v>
      </c>
      <c r="W3796">
        <v>32.74</v>
      </c>
      <c r="X3796">
        <v>6795</v>
      </c>
      <c r="Y3796">
        <v>4219</v>
      </c>
      <c r="Z3796">
        <v>1.61</v>
      </c>
      <c r="AA3796">
        <v>3</v>
      </c>
      <c r="AB3796">
        <v>5</v>
      </c>
      <c r="AC3796">
        <v>3.55</v>
      </c>
      <c r="AD3796" t="s">
        <v>5210</v>
      </c>
      <c r="AE3796" t="s">
        <v>18481</v>
      </c>
      <c r="AF3796" t="s">
        <v>18482</v>
      </c>
      <c r="AG3796" t="s">
        <v>5555</v>
      </c>
      <c r="AH3796">
        <v>-3.43</v>
      </c>
      <c r="AI3796">
        <v>-2.59</v>
      </c>
      <c r="AJ3796">
        <v>8.85</v>
      </c>
      <c r="AK3796">
        <v>17.74</v>
      </c>
      <c r="AL3796">
        <v>-3</v>
      </c>
      <c r="AM3796">
        <v>-1.95</v>
      </c>
      <c r="AN3796">
        <v>15.03</v>
      </c>
      <c r="AO3796">
        <v>2.22</v>
      </c>
      <c r="AP3796">
        <v>-1.83</v>
      </c>
    </row>
    <row r="3797" spans="1:42">
      <c r="A3797">
        <v>3796</v>
      </c>
      <c r="B3797" t="str">
        <f>"301126"</f>
        <v>301126</v>
      </c>
      <c r="C3797" t="s">
        <v>18483</v>
      </c>
      <c r="D3797">
        <v>13.69</v>
      </c>
      <c r="E3797">
        <v>0.51</v>
      </c>
      <c r="F3797">
        <v>0.07</v>
      </c>
      <c r="G3797" t="s">
        <v>1639</v>
      </c>
      <c r="H3797">
        <v>240</v>
      </c>
      <c r="I3797">
        <v>13.69</v>
      </c>
      <c r="J3797">
        <v>13.7</v>
      </c>
      <c r="K3797" t="s">
        <v>18480</v>
      </c>
      <c r="L3797">
        <v>2.41</v>
      </c>
      <c r="M3797" t="s">
        <v>46</v>
      </c>
      <c r="N3797" t="s">
        <v>2909</v>
      </c>
      <c r="O3797">
        <v>13.91</v>
      </c>
      <c r="P3797">
        <v>13.62</v>
      </c>
      <c r="Q3797">
        <v>13.62</v>
      </c>
      <c r="R3797">
        <v>13.62</v>
      </c>
      <c r="S3797">
        <v>2.13</v>
      </c>
      <c r="T3797">
        <v>0.45</v>
      </c>
      <c r="U3797">
        <v>-19.4</v>
      </c>
      <c r="V3797">
        <v>-77</v>
      </c>
      <c r="W3797">
        <v>13.74</v>
      </c>
      <c r="X3797" t="s">
        <v>7836</v>
      </c>
      <c r="Y3797" t="s">
        <v>189</v>
      </c>
      <c r="Z3797">
        <v>1.25</v>
      </c>
      <c r="AA3797">
        <v>34</v>
      </c>
      <c r="AB3797">
        <v>33</v>
      </c>
      <c r="AC3797">
        <v>1.62</v>
      </c>
      <c r="AD3797" t="s">
        <v>12087</v>
      </c>
      <c r="AE3797" t="s">
        <v>6275</v>
      </c>
      <c r="AF3797" t="s">
        <v>5747</v>
      </c>
      <c r="AG3797" t="s">
        <v>12857</v>
      </c>
      <c r="AH3797">
        <v>-1.01</v>
      </c>
      <c r="AI3797">
        <v>-2.63</v>
      </c>
      <c r="AJ3797">
        <v>7.74</v>
      </c>
      <c r="AK3797">
        <v>28.95</v>
      </c>
      <c r="AL3797">
        <v>2</v>
      </c>
      <c r="AM3797">
        <v>0.51</v>
      </c>
      <c r="AN3797">
        <v>-7.87</v>
      </c>
      <c r="AO3797">
        <v>2.7</v>
      </c>
      <c r="AP3797">
        <v>-23.35</v>
      </c>
    </row>
    <row r="3798" spans="1:42">
      <c r="A3798">
        <v>3797</v>
      </c>
      <c r="B3798" t="str">
        <f>"001216"</f>
        <v>001216</v>
      </c>
      <c r="C3798" t="s">
        <v>18484</v>
      </c>
      <c r="D3798">
        <v>13.06</v>
      </c>
      <c r="E3798">
        <v>-0.76</v>
      </c>
      <c r="F3798">
        <v>-0.1</v>
      </c>
      <c r="G3798" t="s">
        <v>3121</v>
      </c>
      <c r="H3798">
        <v>368</v>
      </c>
      <c r="I3798">
        <v>13.06</v>
      </c>
      <c r="J3798">
        <v>13.07</v>
      </c>
      <c r="K3798" t="s">
        <v>18485</v>
      </c>
      <c r="L3798">
        <v>4.36</v>
      </c>
      <c r="M3798" t="s">
        <v>46</v>
      </c>
      <c r="N3798" t="s">
        <v>18486</v>
      </c>
      <c r="O3798">
        <v>13.29</v>
      </c>
      <c r="P3798">
        <v>13</v>
      </c>
      <c r="Q3798">
        <v>13.2</v>
      </c>
      <c r="R3798">
        <v>13.16</v>
      </c>
      <c r="S3798">
        <v>2.2</v>
      </c>
      <c r="T3798">
        <v>1.92</v>
      </c>
      <c r="U3798">
        <v>53.97</v>
      </c>
      <c r="V3798">
        <v>544</v>
      </c>
      <c r="W3798">
        <v>13.13</v>
      </c>
      <c r="X3798" t="s">
        <v>189</v>
      </c>
      <c r="Y3798" t="s">
        <v>141</v>
      </c>
      <c r="Z3798">
        <v>0.74</v>
      </c>
      <c r="AA3798">
        <v>74</v>
      </c>
      <c r="AB3798">
        <v>133</v>
      </c>
      <c r="AC3798">
        <v>2.12</v>
      </c>
      <c r="AD3798" t="s">
        <v>18487</v>
      </c>
      <c r="AE3798" t="s">
        <v>16370</v>
      </c>
      <c r="AF3798" t="s">
        <v>18488</v>
      </c>
      <c r="AG3798" t="s">
        <v>18489</v>
      </c>
      <c r="AH3798">
        <v>-2.17</v>
      </c>
      <c r="AI3798">
        <v>-1.88</v>
      </c>
      <c r="AJ3798">
        <v>9.41</v>
      </c>
      <c r="AK3798">
        <v>15.68</v>
      </c>
      <c r="AL3798">
        <v>-3</v>
      </c>
      <c r="AM3798">
        <v>-0.76</v>
      </c>
      <c r="AN3798">
        <v>-2.83</v>
      </c>
      <c r="AO3798">
        <v>2.35</v>
      </c>
      <c r="AP3798">
        <v>-6.78</v>
      </c>
    </row>
    <row r="3799" spans="1:42">
      <c r="A3799">
        <v>3798</v>
      </c>
      <c r="B3799" t="str">
        <f>"002114"</f>
        <v>002114</v>
      </c>
      <c r="C3799" t="s">
        <v>18490</v>
      </c>
      <c r="D3799">
        <v>7.22</v>
      </c>
      <c r="E3799">
        <v>0.84</v>
      </c>
      <c r="F3799">
        <v>0.06</v>
      </c>
      <c r="G3799" t="s">
        <v>4639</v>
      </c>
      <c r="H3799">
        <v>136</v>
      </c>
      <c r="I3799">
        <v>7.21</v>
      </c>
      <c r="J3799">
        <v>7.22</v>
      </c>
      <c r="K3799" t="s">
        <v>18491</v>
      </c>
      <c r="L3799">
        <v>1.55</v>
      </c>
      <c r="M3799" t="s">
        <v>46</v>
      </c>
      <c r="N3799" t="s">
        <v>5453</v>
      </c>
      <c r="O3799">
        <v>7.24</v>
      </c>
      <c r="P3799">
        <v>7.11</v>
      </c>
      <c r="Q3799">
        <v>7.14</v>
      </c>
      <c r="R3799">
        <v>7.16</v>
      </c>
      <c r="S3799">
        <v>1.82</v>
      </c>
      <c r="T3799">
        <v>1</v>
      </c>
      <c r="U3799">
        <v>-1.64</v>
      </c>
      <c r="V3799">
        <v>-62</v>
      </c>
      <c r="W3799">
        <v>7.19</v>
      </c>
      <c r="X3799" t="s">
        <v>3372</v>
      </c>
      <c r="Y3799" t="s">
        <v>7649</v>
      </c>
      <c r="Z3799">
        <v>0.7</v>
      </c>
      <c r="AA3799">
        <v>371</v>
      </c>
      <c r="AB3799">
        <v>378</v>
      </c>
      <c r="AC3799">
        <v>2.06</v>
      </c>
      <c r="AD3799" t="s">
        <v>18492</v>
      </c>
      <c r="AE3799" t="s">
        <v>12130</v>
      </c>
      <c r="AF3799" t="s">
        <v>18492</v>
      </c>
      <c r="AG3799" t="s">
        <v>12130</v>
      </c>
      <c r="AH3799">
        <v>-0.96</v>
      </c>
      <c r="AI3799">
        <v>0.14</v>
      </c>
      <c r="AJ3799">
        <v>5.04</v>
      </c>
      <c r="AK3799">
        <v>9.27</v>
      </c>
      <c r="AL3799">
        <v>1</v>
      </c>
      <c r="AM3799">
        <v>0.84</v>
      </c>
      <c r="AN3799">
        <v>8.08</v>
      </c>
      <c r="AO3799">
        <v>4.49</v>
      </c>
      <c r="AP3799">
        <v>6.33</v>
      </c>
    </row>
    <row r="3800" spans="1:42">
      <c r="A3800">
        <v>3799</v>
      </c>
      <c r="B3800" t="str">
        <f>"002072"</f>
        <v>002072</v>
      </c>
      <c r="C3800" t="s">
        <v>18493</v>
      </c>
      <c r="D3800">
        <v>6.61</v>
      </c>
      <c r="E3800">
        <v>0.92</v>
      </c>
      <c r="F3800">
        <v>0.06</v>
      </c>
      <c r="G3800" t="s">
        <v>5316</v>
      </c>
      <c r="H3800">
        <v>225</v>
      </c>
      <c r="I3800">
        <v>6.61</v>
      </c>
      <c r="J3800">
        <v>6.62</v>
      </c>
      <c r="K3800" t="s">
        <v>18494</v>
      </c>
      <c r="L3800">
        <v>2.11</v>
      </c>
      <c r="M3800" t="s">
        <v>46</v>
      </c>
      <c r="N3800" t="s">
        <v>6489</v>
      </c>
      <c r="O3800">
        <v>6.67</v>
      </c>
      <c r="P3800">
        <v>6.52</v>
      </c>
      <c r="Q3800">
        <v>6.55</v>
      </c>
      <c r="R3800">
        <v>6.55</v>
      </c>
      <c r="S3800">
        <v>2.29</v>
      </c>
      <c r="T3800">
        <v>1.2</v>
      </c>
      <c r="U3800">
        <v>6.95</v>
      </c>
      <c r="V3800">
        <v>169</v>
      </c>
      <c r="W3800">
        <v>6.61</v>
      </c>
      <c r="X3800" t="s">
        <v>5553</v>
      </c>
      <c r="Y3800" t="s">
        <v>914</v>
      </c>
      <c r="Z3800">
        <v>1.05</v>
      </c>
      <c r="AA3800">
        <v>151</v>
      </c>
      <c r="AB3800">
        <v>220</v>
      </c>
      <c r="AC3800">
        <v>47.67</v>
      </c>
      <c r="AD3800" t="s">
        <v>18131</v>
      </c>
      <c r="AE3800" t="s">
        <v>18495</v>
      </c>
      <c r="AF3800" t="s">
        <v>14910</v>
      </c>
      <c r="AG3800" t="s">
        <v>18496</v>
      </c>
      <c r="AH3800">
        <v>0.15</v>
      </c>
      <c r="AI3800">
        <v>-0.9</v>
      </c>
      <c r="AJ3800">
        <v>4.53</v>
      </c>
      <c r="AK3800">
        <v>10.93</v>
      </c>
      <c r="AL3800">
        <v>1</v>
      </c>
      <c r="AM3800">
        <v>0.92</v>
      </c>
      <c r="AN3800">
        <v>-15.04</v>
      </c>
      <c r="AO3800">
        <v>2.32</v>
      </c>
      <c r="AP3800">
        <v>-33.03</v>
      </c>
    </row>
    <row r="3801" spans="1:42">
      <c r="A3801">
        <v>3800</v>
      </c>
      <c r="B3801" t="str">
        <f>"688337"</f>
        <v>688337</v>
      </c>
      <c r="C3801" t="s">
        <v>18497</v>
      </c>
      <c r="D3801">
        <v>48.55</v>
      </c>
      <c r="E3801">
        <v>1.38</v>
      </c>
      <c r="F3801">
        <v>0.66</v>
      </c>
      <c r="G3801">
        <v>7412</v>
      </c>
      <c r="H3801">
        <v>53</v>
      </c>
      <c r="I3801">
        <v>48.52</v>
      </c>
      <c r="J3801">
        <v>48.55</v>
      </c>
      <c r="K3801" t="s">
        <v>18498</v>
      </c>
      <c r="L3801">
        <v>1.32</v>
      </c>
      <c r="M3801" t="s">
        <v>46</v>
      </c>
      <c r="N3801" t="s">
        <v>1214</v>
      </c>
      <c r="O3801">
        <v>49.38</v>
      </c>
      <c r="P3801">
        <v>47.31</v>
      </c>
      <c r="Q3801">
        <v>48.33</v>
      </c>
      <c r="R3801">
        <v>47.89</v>
      </c>
      <c r="S3801">
        <v>4.32</v>
      </c>
      <c r="T3801">
        <v>1.35</v>
      </c>
      <c r="U3801">
        <v>-58.13</v>
      </c>
      <c r="V3801">
        <v>-131</v>
      </c>
      <c r="W3801">
        <v>48.51</v>
      </c>
      <c r="X3801">
        <v>2599</v>
      </c>
      <c r="Y3801">
        <v>4814</v>
      </c>
      <c r="Z3801">
        <v>0.54</v>
      </c>
      <c r="AA3801">
        <v>21</v>
      </c>
      <c r="AB3801">
        <v>105</v>
      </c>
      <c r="AC3801">
        <v>3.16</v>
      </c>
      <c r="AD3801" t="s">
        <v>18499</v>
      </c>
      <c r="AE3801" t="s">
        <v>18500</v>
      </c>
      <c r="AF3801" t="s">
        <v>18501</v>
      </c>
      <c r="AG3801" t="s">
        <v>3312</v>
      </c>
      <c r="AH3801">
        <v>0</v>
      </c>
      <c r="AI3801">
        <v>0.1</v>
      </c>
      <c r="AJ3801">
        <v>3.05</v>
      </c>
      <c r="AK3801">
        <v>6.2</v>
      </c>
      <c r="AL3801">
        <v>1</v>
      </c>
      <c r="AM3801">
        <v>1.38</v>
      </c>
      <c r="AN3801">
        <v>-25.91</v>
      </c>
      <c r="AO3801">
        <v>13.73</v>
      </c>
      <c r="AP3801">
        <v>-32.2</v>
      </c>
    </row>
    <row r="3802" spans="1:42">
      <c r="A3802">
        <v>3801</v>
      </c>
      <c r="B3802" t="str">
        <f>"600336"</f>
        <v>600336</v>
      </c>
      <c r="C3802" t="s">
        <v>18502</v>
      </c>
      <c r="D3802">
        <v>5.6</v>
      </c>
      <c r="E3802">
        <v>0.9</v>
      </c>
      <c r="F3802">
        <v>0.05</v>
      </c>
      <c r="G3802" t="s">
        <v>3958</v>
      </c>
      <c r="H3802">
        <v>807</v>
      </c>
      <c r="I3802">
        <v>5.59</v>
      </c>
      <c r="J3802">
        <v>5.6</v>
      </c>
      <c r="K3802" t="s">
        <v>18498</v>
      </c>
      <c r="L3802">
        <v>0.81</v>
      </c>
      <c r="M3802" t="s">
        <v>46</v>
      </c>
      <c r="N3802" t="s">
        <v>552</v>
      </c>
      <c r="O3802">
        <v>5.6</v>
      </c>
      <c r="P3802">
        <v>5.51</v>
      </c>
      <c r="Q3802">
        <v>5.54</v>
      </c>
      <c r="R3802">
        <v>5.55</v>
      </c>
      <c r="S3802">
        <v>1.62</v>
      </c>
      <c r="T3802">
        <v>0.79</v>
      </c>
      <c r="U3802">
        <v>-46.49</v>
      </c>
      <c r="V3802">
        <v>-6126</v>
      </c>
      <c r="W3802">
        <v>5.56</v>
      </c>
      <c r="X3802" t="s">
        <v>2818</v>
      </c>
      <c r="Y3802" t="s">
        <v>3925</v>
      </c>
      <c r="Z3802">
        <v>0.57</v>
      </c>
      <c r="AA3802">
        <v>343</v>
      </c>
      <c r="AB3802">
        <v>5409</v>
      </c>
      <c r="AC3802">
        <v>1.76</v>
      </c>
      <c r="AD3802" t="s">
        <v>18503</v>
      </c>
      <c r="AE3802" t="s">
        <v>18504</v>
      </c>
      <c r="AF3802" t="s">
        <v>18503</v>
      </c>
      <c r="AG3802" t="s">
        <v>18504</v>
      </c>
      <c r="AH3802">
        <v>0.36</v>
      </c>
      <c r="AI3802">
        <v>0.18</v>
      </c>
      <c r="AJ3802">
        <v>2.37</v>
      </c>
      <c r="AK3802">
        <v>5.93</v>
      </c>
      <c r="AL3802">
        <v>1</v>
      </c>
      <c r="AM3802">
        <v>0.9</v>
      </c>
      <c r="AN3802">
        <v>4.09</v>
      </c>
      <c r="AO3802">
        <v>2.38</v>
      </c>
      <c r="AP3802">
        <v>-1.06</v>
      </c>
    </row>
    <row r="3803" spans="1:42">
      <c r="A3803">
        <v>3802</v>
      </c>
      <c r="B3803" t="str">
        <f>"600678"</f>
        <v>600678</v>
      </c>
      <c r="C3803" t="s">
        <v>18505</v>
      </c>
      <c r="D3803">
        <v>5.72</v>
      </c>
      <c r="E3803">
        <v>1.42</v>
      </c>
      <c r="F3803">
        <v>0.08</v>
      </c>
      <c r="G3803" t="s">
        <v>3175</v>
      </c>
      <c r="H3803">
        <v>591</v>
      </c>
      <c r="I3803">
        <v>5.71</v>
      </c>
      <c r="J3803">
        <v>5.72</v>
      </c>
      <c r="K3803" t="s">
        <v>18506</v>
      </c>
      <c r="L3803">
        <v>1.81</v>
      </c>
      <c r="M3803" t="s">
        <v>46</v>
      </c>
      <c r="N3803" t="s">
        <v>4655</v>
      </c>
      <c r="O3803">
        <v>5.74</v>
      </c>
      <c r="P3803">
        <v>5.61</v>
      </c>
      <c r="Q3803">
        <v>5.64</v>
      </c>
      <c r="R3803">
        <v>5.64</v>
      </c>
      <c r="S3803">
        <v>2.3</v>
      </c>
      <c r="T3803">
        <v>1.56</v>
      </c>
      <c r="U3803">
        <v>-41.93</v>
      </c>
      <c r="V3803">
        <v>-2363</v>
      </c>
      <c r="W3803">
        <v>5.7</v>
      </c>
      <c r="X3803" t="s">
        <v>4036</v>
      </c>
      <c r="Y3803" t="s">
        <v>6646</v>
      </c>
      <c r="Z3803">
        <v>0.69</v>
      </c>
      <c r="AA3803">
        <v>55</v>
      </c>
      <c r="AB3803">
        <v>254</v>
      </c>
      <c r="AC3803">
        <v>7.73</v>
      </c>
      <c r="AD3803" t="s">
        <v>14527</v>
      </c>
      <c r="AE3803" t="s">
        <v>3515</v>
      </c>
      <c r="AF3803" t="s">
        <v>14527</v>
      </c>
      <c r="AG3803" t="s">
        <v>3515</v>
      </c>
      <c r="AH3803">
        <v>-0.17</v>
      </c>
      <c r="AI3803">
        <v>0</v>
      </c>
      <c r="AJ3803">
        <v>4.28</v>
      </c>
      <c r="AK3803">
        <v>7.61</v>
      </c>
      <c r="AL3803">
        <v>1</v>
      </c>
      <c r="AM3803">
        <v>1.42</v>
      </c>
      <c r="AN3803">
        <v>-2.56</v>
      </c>
      <c r="AO3803">
        <v>5.34</v>
      </c>
      <c r="AP3803">
        <v>1.78</v>
      </c>
    </row>
    <row r="3804" spans="1:42">
      <c r="A3804">
        <v>3803</v>
      </c>
      <c r="B3804" t="str">
        <f>"002627"</f>
        <v>002627</v>
      </c>
      <c r="C3804" t="s">
        <v>18507</v>
      </c>
      <c r="D3804">
        <v>5.53</v>
      </c>
      <c r="E3804">
        <v>0.18</v>
      </c>
      <c r="F3804">
        <v>0.01</v>
      </c>
      <c r="G3804" t="s">
        <v>4913</v>
      </c>
      <c r="H3804">
        <v>568</v>
      </c>
      <c r="I3804">
        <v>5.52</v>
      </c>
      <c r="J3804">
        <v>5.53</v>
      </c>
      <c r="K3804" t="s">
        <v>8817</v>
      </c>
      <c r="L3804">
        <v>0.93</v>
      </c>
      <c r="M3804" t="s">
        <v>46</v>
      </c>
      <c r="N3804" t="s">
        <v>5022</v>
      </c>
      <c r="O3804">
        <v>5.57</v>
      </c>
      <c r="P3804">
        <v>5.51</v>
      </c>
      <c r="Q3804">
        <v>5.51</v>
      </c>
      <c r="R3804">
        <v>5.52</v>
      </c>
      <c r="S3804">
        <v>1.09</v>
      </c>
      <c r="T3804">
        <v>0.91</v>
      </c>
      <c r="U3804">
        <v>-23</v>
      </c>
      <c r="V3804">
        <v>-1822</v>
      </c>
      <c r="W3804">
        <v>5.55</v>
      </c>
      <c r="X3804" t="s">
        <v>6097</v>
      </c>
      <c r="Y3804" t="s">
        <v>7781</v>
      </c>
      <c r="Z3804">
        <v>0.81</v>
      </c>
      <c r="AA3804">
        <v>701</v>
      </c>
      <c r="AB3804">
        <v>284</v>
      </c>
      <c r="AC3804">
        <v>1.31</v>
      </c>
      <c r="AD3804" t="s">
        <v>18508</v>
      </c>
      <c r="AE3804" t="s">
        <v>11562</v>
      </c>
      <c r="AF3804" t="s">
        <v>18509</v>
      </c>
      <c r="AG3804" t="s">
        <v>8935</v>
      </c>
      <c r="AH3804">
        <v>0.55</v>
      </c>
      <c r="AI3804">
        <v>2.79</v>
      </c>
      <c r="AJ3804">
        <v>3.16</v>
      </c>
      <c r="AK3804">
        <v>6.04</v>
      </c>
      <c r="AL3804">
        <v>1</v>
      </c>
      <c r="AM3804">
        <v>0.18</v>
      </c>
      <c r="AN3804">
        <v>-7.21</v>
      </c>
      <c r="AO3804">
        <v>5.33</v>
      </c>
      <c r="AP3804">
        <v>11.72</v>
      </c>
    </row>
    <row r="3805" spans="1:42">
      <c r="A3805">
        <v>3804</v>
      </c>
      <c r="B3805" t="str">
        <f>"688192"</f>
        <v>688192</v>
      </c>
      <c r="C3805" t="s">
        <v>18510</v>
      </c>
      <c r="D3805">
        <v>46.65</v>
      </c>
      <c r="E3805">
        <v>0</v>
      </c>
      <c r="F3805">
        <v>0</v>
      </c>
      <c r="G3805">
        <v>7685</v>
      </c>
      <c r="H3805">
        <v>20</v>
      </c>
      <c r="I3805">
        <v>46.62</v>
      </c>
      <c r="J3805">
        <v>46.65</v>
      </c>
      <c r="K3805" t="s">
        <v>18511</v>
      </c>
      <c r="L3805">
        <v>0.65</v>
      </c>
      <c r="M3805" t="s">
        <v>46</v>
      </c>
      <c r="N3805" t="s">
        <v>14505</v>
      </c>
      <c r="O3805">
        <v>47.19</v>
      </c>
      <c r="P3805">
        <v>46.22</v>
      </c>
      <c r="Q3805">
        <v>46.49</v>
      </c>
      <c r="R3805">
        <v>46.65</v>
      </c>
      <c r="S3805">
        <v>2.08</v>
      </c>
      <c r="T3805">
        <v>0.66</v>
      </c>
      <c r="U3805">
        <v>72.81</v>
      </c>
      <c r="V3805">
        <v>73</v>
      </c>
      <c r="W3805">
        <v>46.68</v>
      </c>
      <c r="X3805">
        <v>3411</v>
      </c>
      <c r="Y3805">
        <v>4274</v>
      </c>
      <c r="Z3805">
        <v>0.8</v>
      </c>
      <c r="AA3805">
        <v>2</v>
      </c>
      <c r="AB3805">
        <v>3</v>
      </c>
      <c r="AC3805">
        <v>17.59</v>
      </c>
      <c r="AD3805" t="s">
        <v>4184</v>
      </c>
      <c r="AE3805" t="s">
        <v>11647</v>
      </c>
      <c r="AF3805" t="s">
        <v>11667</v>
      </c>
      <c r="AG3805" t="s">
        <v>18512</v>
      </c>
      <c r="AH3805">
        <v>1.41</v>
      </c>
      <c r="AI3805">
        <v>6.92</v>
      </c>
      <c r="AJ3805">
        <v>2.35</v>
      </c>
      <c r="AK3805">
        <v>5.58</v>
      </c>
      <c r="AL3805">
        <v>0</v>
      </c>
      <c r="AM3805">
        <v>0</v>
      </c>
      <c r="AN3805">
        <v>18.49</v>
      </c>
      <c r="AO3805">
        <v>8.26</v>
      </c>
      <c r="AP3805">
        <v>35.89</v>
      </c>
    </row>
    <row r="3806" spans="1:42">
      <c r="A3806">
        <v>3805</v>
      </c>
      <c r="B3806" t="str">
        <f>"002638"</f>
        <v>002638</v>
      </c>
      <c r="C3806" t="s">
        <v>18513</v>
      </c>
      <c r="D3806">
        <v>2.89</v>
      </c>
      <c r="E3806">
        <v>1.76</v>
      </c>
      <c r="F3806">
        <v>0.05</v>
      </c>
      <c r="G3806" t="s">
        <v>1986</v>
      </c>
      <c r="H3806">
        <v>899</v>
      </c>
      <c r="I3806">
        <v>2.88</v>
      </c>
      <c r="J3806">
        <v>2.89</v>
      </c>
      <c r="K3806" t="s">
        <v>18514</v>
      </c>
      <c r="L3806">
        <v>0.93</v>
      </c>
      <c r="M3806" t="s">
        <v>46</v>
      </c>
      <c r="N3806" t="s">
        <v>4444</v>
      </c>
      <c r="O3806">
        <v>2.89</v>
      </c>
      <c r="P3806">
        <v>2.83</v>
      </c>
      <c r="Q3806">
        <v>2.84</v>
      </c>
      <c r="R3806">
        <v>2.84</v>
      </c>
      <c r="S3806">
        <v>2.11</v>
      </c>
      <c r="T3806">
        <v>1.11</v>
      </c>
      <c r="U3806">
        <v>-37.68</v>
      </c>
      <c r="V3806" t="s">
        <v>3568</v>
      </c>
      <c r="W3806">
        <v>2.87</v>
      </c>
      <c r="X3806" t="s">
        <v>5674</v>
      </c>
      <c r="Y3806" t="s">
        <v>771</v>
      </c>
      <c r="Z3806">
        <v>0.61</v>
      </c>
      <c r="AA3806">
        <v>1526</v>
      </c>
      <c r="AB3806">
        <v>7293</v>
      </c>
      <c r="AC3806">
        <v>1.58</v>
      </c>
      <c r="AD3806" t="s">
        <v>653</v>
      </c>
      <c r="AE3806" t="s">
        <v>5851</v>
      </c>
      <c r="AF3806" t="s">
        <v>18515</v>
      </c>
      <c r="AG3806" t="s">
        <v>13188</v>
      </c>
      <c r="AH3806">
        <v>0.7</v>
      </c>
      <c r="AI3806">
        <v>1.05</v>
      </c>
      <c r="AJ3806">
        <v>2.39</v>
      </c>
      <c r="AK3806">
        <v>5.09</v>
      </c>
      <c r="AL3806">
        <v>1</v>
      </c>
      <c r="AM3806">
        <v>1.76</v>
      </c>
      <c r="AN3806">
        <v>27.88</v>
      </c>
      <c r="AO3806">
        <v>5.47</v>
      </c>
      <c r="AP3806">
        <v>16.53</v>
      </c>
    </row>
    <row r="3807" spans="1:42">
      <c r="A3807">
        <v>3806</v>
      </c>
      <c r="B3807" t="str">
        <f>"002075"</f>
        <v>002075</v>
      </c>
      <c r="C3807" t="s">
        <v>18516</v>
      </c>
      <c r="D3807">
        <v>3.99</v>
      </c>
      <c r="E3807">
        <v>0.5</v>
      </c>
      <c r="F3807">
        <v>0.02</v>
      </c>
      <c r="G3807" t="s">
        <v>775</v>
      </c>
      <c r="H3807">
        <v>521</v>
      </c>
      <c r="I3807">
        <v>3.98</v>
      </c>
      <c r="J3807">
        <v>3.99</v>
      </c>
      <c r="K3807" t="s">
        <v>18517</v>
      </c>
      <c r="L3807">
        <v>0.41</v>
      </c>
      <c r="M3807" t="s">
        <v>46</v>
      </c>
      <c r="N3807" t="s">
        <v>4440</v>
      </c>
      <c r="O3807">
        <v>4</v>
      </c>
      <c r="P3807">
        <v>3.95</v>
      </c>
      <c r="Q3807">
        <v>3.97</v>
      </c>
      <c r="R3807">
        <v>3.97</v>
      </c>
      <c r="S3807">
        <v>1.26</v>
      </c>
      <c r="T3807">
        <v>0.66</v>
      </c>
      <c r="U3807">
        <v>-29.63</v>
      </c>
      <c r="V3807" t="s">
        <v>5348</v>
      </c>
      <c r="W3807">
        <v>3.98</v>
      </c>
      <c r="X3807" t="s">
        <v>3290</v>
      </c>
      <c r="Y3807" t="s">
        <v>7035</v>
      </c>
      <c r="Z3807">
        <v>0.98</v>
      </c>
      <c r="AA3807">
        <v>2101</v>
      </c>
      <c r="AB3807">
        <v>4097</v>
      </c>
      <c r="AC3807">
        <v>1.35</v>
      </c>
      <c r="AD3807" t="s">
        <v>18518</v>
      </c>
      <c r="AE3807" t="s">
        <v>18519</v>
      </c>
      <c r="AF3807" t="s">
        <v>18518</v>
      </c>
      <c r="AG3807" t="s">
        <v>18519</v>
      </c>
      <c r="AH3807">
        <v>-0.75</v>
      </c>
      <c r="AI3807">
        <v>-0.99</v>
      </c>
      <c r="AJ3807">
        <v>1.41</v>
      </c>
      <c r="AK3807">
        <v>3.52</v>
      </c>
      <c r="AL3807">
        <v>1</v>
      </c>
      <c r="AM3807">
        <v>0.5</v>
      </c>
      <c r="AN3807">
        <v>2.84</v>
      </c>
      <c r="AO3807">
        <v>1.53</v>
      </c>
      <c r="AP3807">
        <v>-1.24</v>
      </c>
    </row>
    <row r="3808" spans="1:42">
      <c r="A3808">
        <v>3807</v>
      </c>
      <c r="B3808" t="str">
        <f>"300240"</f>
        <v>300240</v>
      </c>
      <c r="C3808" t="s">
        <v>18520</v>
      </c>
      <c r="D3808">
        <v>7.18</v>
      </c>
      <c r="E3808">
        <v>1.27</v>
      </c>
      <c r="F3808">
        <v>0.09</v>
      </c>
      <c r="G3808" t="s">
        <v>4639</v>
      </c>
      <c r="H3808">
        <v>697</v>
      </c>
      <c r="I3808">
        <v>7.18</v>
      </c>
      <c r="J3808">
        <v>7.19</v>
      </c>
      <c r="K3808" t="s">
        <v>10338</v>
      </c>
      <c r="L3808">
        <v>1.38</v>
      </c>
      <c r="M3808" t="s">
        <v>46</v>
      </c>
      <c r="N3808" t="s">
        <v>9178</v>
      </c>
      <c r="O3808">
        <v>7.2</v>
      </c>
      <c r="P3808">
        <v>7.06</v>
      </c>
      <c r="Q3808">
        <v>7.09</v>
      </c>
      <c r="R3808">
        <v>7.09</v>
      </c>
      <c r="S3808">
        <v>1.97</v>
      </c>
      <c r="T3808">
        <v>0.7</v>
      </c>
      <c r="U3808">
        <v>-60.36</v>
      </c>
      <c r="V3808">
        <v>-3298</v>
      </c>
      <c r="W3808">
        <v>7.16</v>
      </c>
      <c r="X3808" t="s">
        <v>3069</v>
      </c>
      <c r="Y3808" t="s">
        <v>10810</v>
      </c>
      <c r="Z3808">
        <v>0.57</v>
      </c>
      <c r="AA3808">
        <v>122</v>
      </c>
      <c r="AB3808">
        <v>667</v>
      </c>
      <c r="AC3808">
        <v>1.78</v>
      </c>
      <c r="AD3808" t="s">
        <v>18521</v>
      </c>
      <c r="AE3808" t="s">
        <v>18522</v>
      </c>
      <c r="AF3808" t="s">
        <v>3244</v>
      </c>
      <c r="AG3808" t="s">
        <v>13149</v>
      </c>
      <c r="AH3808">
        <v>0.14</v>
      </c>
      <c r="AI3808">
        <v>-1.1</v>
      </c>
      <c r="AJ3808">
        <v>4.87</v>
      </c>
      <c r="AK3808">
        <v>11.21</v>
      </c>
      <c r="AL3808">
        <v>1</v>
      </c>
      <c r="AM3808">
        <v>1.27</v>
      </c>
      <c r="AN3808">
        <v>-3.23</v>
      </c>
      <c r="AO3808">
        <v>-1.24</v>
      </c>
      <c r="AP3808">
        <v>-2.45</v>
      </c>
    </row>
    <row r="3809" spans="1:42">
      <c r="A3809">
        <v>3808</v>
      </c>
      <c r="B3809" t="str">
        <f>"002524"</f>
        <v>002524</v>
      </c>
      <c r="C3809" t="s">
        <v>18523</v>
      </c>
      <c r="D3809">
        <v>6.82</v>
      </c>
      <c r="E3809">
        <v>-0.73</v>
      </c>
      <c r="F3809">
        <v>-0.05</v>
      </c>
      <c r="G3809" t="s">
        <v>3915</v>
      </c>
      <c r="H3809">
        <v>436</v>
      </c>
      <c r="I3809">
        <v>6.82</v>
      </c>
      <c r="J3809">
        <v>6.83</v>
      </c>
      <c r="K3809" t="s">
        <v>18524</v>
      </c>
      <c r="L3809">
        <v>1.03</v>
      </c>
      <c r="M3809" t="s">
        <v>46</v>
      </c>
      <c r="N3809" t="s">
        <v>11558</v>
      </c>
      <c r="O3809">
        <v>6.97</v>
      </c>
      <c r="P3809">
        <v>6.8</v>
      </c>
      <c r="Q3809">
        <v>6.96</v>
      </c>
      <c r="R3809">
        <v>6.87</v>
      </c>
      <c r="S3809">
        <v>2.47</v>
      </c>
      <c r="T3809">
        <v>0.9</v>
      </c>
      <c r="U3809">
        <v>22.53</v>
      </c>
      <c r="V3809">
        <v>708</v>
      </c>
      <c r="W3809">
        <v>6.87</v>
      </c>
      <c r="X3809" t="s">
        <v>1710</v>
      </c>
      <c r="Y3809" t="s">
        <v>6395</v>
      </c>
      <c r="Z3809">
        <v>0.79</v>
      </c>
      <c r="AA3809">
        <v>201</v>
      </c>
      <c r="AB3809">
        <v>10</v>
      </c>
      <c r="AC3809">
        <v>11.98</v>
      </c>
      <c r="AD3809" t="s">
        <v>18525</v>
      </c>
      <c r="AE3809" t="s">
        <v>18526</v>
      </c>
      <c r="AF3809" t="s">
        <v>18527</v>
      </c>
      <c r="AG3809" t="s">
        <v>6315</v>
      </c>
      <c r="AH3809">
        <v>-2.01</v>
      </c>
      <c r="AI3809">
        <v>-2.99</v>
      </c>
      <c r="AJ3809">
        <v>2.52</v>
      </c>
      <c r="AK3809">
        <v>6.7</v>
      </c>
      <c r="AL3809">
        <v>-3</v>
      </c>
      <c r="AM3809">
        <v>-0.73</v>
      </c>
      <c r="AN3809">
        <v>-4.48</v>
      </c>
      <c r="AO3809">
        <v>-2.99</v>
      </c>
      <c r="AP3809">
        <v>-8.82</v>
      </c>
    </row>
    <row r="3810" spans="1:42">
      <c r="A3810">
        <v>3809</v>
      </c>
      <c r="B3810" t="str">
        <f>"001226"</f>
        <v>001226</v>
      </c>
      <c r="C3810" t="s">
        <v>18528</v>
      </c>
      <c r="D3810">
        <v>33.28</v>
      </c>
      <c r="E3810">
        <v>1.31</v>
      </c>
      <c r="F3810">
        <v>0.43</v>
      </c>
      <c r="G3810" t="s">
        <v>2147</v>
      </c>
      <c r="H3810">
        <v>89</v>
      </c>
      <c r="I3810">
        <v>33.27</v>
      </c>
      <c r="J3810">
        <v>33.28</v>
      </c>
      <c r="K3810" t="s">
        <v>18529</v>
      </c>
      <c r="L3810">
        <v>5.76</v>
      </c>
      <c r="M3810" t="s">
        <v>46</v>
      </c>
      <c r="N3810" t="s">
        <v>3946</v>
      </c>
      <c r="O3810">
        <v>34.08</v>
      </c>
      <c r="P3810">
        <v>32.41</v>
      </c>
      <c r="Q3810">
        <v>32.84</v>
      </c>
      <c r="R3810">
        <v>32.85</v>
      </c>
      <c r="S3810">
        <v>5.08</v>
      </c>
      <c r="T3810">
        <v>0.42</v>
      </c>
      <c r="U3810">
        <v>20.44</v>
      </c>
      <c r="V3810">
        <v>92</v>
      </c>
      <c r="W3810">
        <v>33.29</v>
      </c>
      <c r="X3810">
        <v>4312</v>
      </c>
      <c r="Y3810">
        <v>6434</v>
      </c>
      <c r="Z3810">
        <v>0.67</v>
      </c>
      <c r="AA3810">
        <v>21</v>
      </c>
      <c r="AB3810">
        <v>20</v>
      </c>
      <c r="AC3810">
        <v>3.42</v>
      </c>
      <c r="AD3810" t="s">
        <v>12871</v>
      </c>
      <c r="AE3810" t="s">
        <v>7729</v>
      </c>
      <c r="AF3810" t="s">
        <v>18530</v>
      </c>
      <c r="AG3810" t="s">
        <v>10653</v>
      </c>
      <c r="AH3810">
        <v>-2.69</v>
      </c>
      <c r="AI3810">
        <v>0.67</v>
      </c>
      <c r="AJ3810">
        <v>32.19</v>
      </c>
      <c r="AK3810">
        <v>74.19</v>
      </c>
      <c r="AL3810">
        <v>1</v>
      </c>
      <c r="AM3810">
        <v>1.31</v>
      </c>
      <c r="AN3810">
        <v>22.35</v>
      </c>
      <c r="AO3810">
        <v>-3.54</v>
      </c>
      <c r="AP3810">
        <v>8.58</v>
      </c>
    </row>
    <row r="3811" spans="1:42">
      <c r="A3811">
        <v>3810</v>
      </c>
      <c r="B3811" t="str">
        <f>"000929"</f>
        <v>000929</v>
      </c>
      <c r="C3811" t="s">
        <v>18531</v>
      </c>
      <c r="D3811">
        <v>10.23</v>
      </c>
      <c r="E3811">
        <v>-0.49</v>
      </c>
      <c r="F3811">
        <v>-0.05</v>
      </c>
      <c r="G3811" t="s">
        <v>762</v>
      </c>
      <c r="H3811">
        <v>71</v>
      </c>
      <c r="I3811">
        <v>10.23</v>
      </c>
      <c r="J3811">
        <v>10.24</v>
      </c>
      <c r="K3811" t="s">
        <v>18532</v>
      </c>
      <c r="L3811">
        <v>1.88</v>
      </c>
      <c r="M3811" t="s">
        <v>46</v>
      </c>
      <c r="N3811" t="s">
        <v>6946</v>
      </c>
      <c r="O3811">
        <v>10.34</v>
      </c>
      <c r="P3811">
        <v>10.17</v>
      </c>
      <c r="Q3811">
        <v>10.25</v>
      </c>
      <c r="R3811">
        <v>10.28</v>
      </c>
      <c r="S3811">
        <v>1.65</v>
      </c>
      <c r="T3811">
        <v>1.03</v>
      </c>
      <c r="U3811">
        <v>40.87</v>
      </c>
      <c r="V3811">
        <v>773</v>
      </c>
      <c r="W3811">
        <v>10.26</v>
      </c>
      <c r="X3811" t="s">
        <v>128</v>
      </c>
      <c r="Y3811" t="s">
        <v>1692</v>
      </c>
      <c r="Z3811">
        <v>1.13</v>
      </c>
      <c r="AA3811">
        <v>132</v>
      </c>
      <c r="AB3811">
        <v>52</v>
      </c>
      <c r="AC3811">
        <v>2.91</v>
      </c>
      <c r="AD3811" t="s">
        <v>13173</v>
      </c>
      <c r="AE3811" t="s">
        <v>2503</v>
      </c>
      <c r="AF3811" t="s">
        <v>13173</v>
      </c>
      <c r="AG3811" t="s">
        <v>2503</v>
      </c>
      <c r="AH3811">
        <v>0.69</v>
      </c>
      <c r="AI3811">
        <v>1.29</v>
      </c>
      <c r="AJ3811">
        <v>6.36</v>
      </c>
      <c r="AK3811">
        <v>10.98</v>
      </c>
      <c r="AL3811">
        <v>-1</v>
      </c>
      <c r="AM3811">
        <v>-0.49</v>
      </c>
      <c r="AN3811">
        <v>-15.73</v>
      </c>
      <c r="AO3811">
        <v>3.54</v>
      </c>
      <c r="AP3811">
        <v>11.32</v>
      </c>
    </row>
    <row r="3812" spans="1:42">
      <c r="A3812">
        <v>3811</v>
      </c>
      <c r="B3812" t="str">
        <f>"002375"</f>
        <v>002375</v>
      </c>
      <c r="C3812" t="s">
        <v>18533</v>
      </c>
      <c r="D3812">
        <v>4.96</v>
      </c>
      <c r="E3812">
        <v>0.81</v>
      </c>
      <c r="F3812">
        <v>0.04</v>
      </c>
      <c r="G3812" t="s">
        <v>8775</v>
      </c>
      <c r="H3812">
        <v>1393</v>
      </c>
      <c r="I3812">
        <v>4.95</v>
      </c>
      <c r="J3812">
        <v>4.96</v>
      </c>
      <c r="K3812" t="s">
        <v>18532</v>
      </c>
      <c r="L3812">
        <v>0.54</v>
      </c>
      <c r="M3812" t="s">
        <v>46</v>
      </c>
      <c r="N3812" t="s">
        <v>6579</v>
      </c>
      <c r="O3812">
        <v>4.97</v>
      </c>
      <c r="P3812">
        <v>4.9</v>
      </c>
      <c r="Q3812">
        <v>4.92</v>
      </c>
      <c r="R3812">
        <v>4.92</v>
      </c>
      <c r="S3812">
        <v>1.42</v>
      </c>
      <c r="T3812">
        <v>0.7</v>
      </c>
      <c r="U3812">
        <v>-5.19</v>
      </c>
      <c r="V3812">
        <v>-995</v>
      </c>
      <c r="W3812">
        <v>4.94</v>
      </c>
      <c r="X3812" t="s">
        <v>7679</v>
      </c>
      <c r="Y3812" t="s">
        <v>3318</v>
      </c>
      <c r="Z3812">
        <v>0.83</v>
      </c>
      <c r="AA3812">
        <v>1320</v>
      </c>
      <c r="AB3812">
        <v>1197</v>
      </c>
      <c r="AC3812">
        <v>0.84</v>
      </c>
      <c r="AD3812" t="s">
        <v>6686</v>
      </c>
      <c r="AE3812" t="s">
        <v>4296</v>
      </c>
      <c r="AF3812" t="s">
        <v>18534</v>
      </c>
      <c r="AG3812" t="s">
        <v>4506</v>
      </c>
      <c r="AH3812">
        <v>-0.2</v>
      </c>
      <c r="AI3812">
        <v>-2.36</v>
      </c>
      <c r="AJ3812">
        <v>2.02</v>
      </c>
      <c r="AK3812">
        <v>4.45</v>
      </c>
      <c r="AL3812">
        <v>2</v>
      </c>
      <c r="AM3812">
        <v>0.81</v>
      </c>
      <c r="AN3812">
        <v>12.98</v>
      </c>
      <c r="AO3812">
        <v>0.61</v>
      </c>
      <c r="AP3812">
        <v>5.98</v>
      </c>
    </row>
    <row r="3813" spans="1:42">
      <c r="A3813">
        <v>3812</v>
      </c>
      <c r="B3813" t="str">
        <f>"000906"</f>
        <v>000906</v>
      </c>
      <c r="C3813" t="s">
        <v>18535</v>
      </c>
      <c r="D3813">
        <v>7.4</v>
      </c>
      <c r="E3813">
        <v>1.23</v>
      </c>
      <c r="F3813">
        <v>0.09</v>
      </c>
      <c r="G3813" t="s">
        <v>4988</v>
      </c>
      <c r="H3813">
        <v>458</v>
      </c>
      <c r="I3813">
        <v>7.39</v>
      </c>
      <c r="J3813">
        <v>7.4</v>
      </c>
      <c r="K3813" t="s">
        <v>18536</v>
      </c>
      <c r="L3813">
        <v>0.7</v>
      </c>
      <c r="M3813" t="s">
        <v>46</v>
      </c>
      <c r="N3813" t="s">
        <v>18537</v>
      </c>
      <c r="O3813">
        <v>7.42</v>
      </c>
      <c r="P3813">
        <v>7.29</v>
      </c>
      <c r="Q3813">
        <v>7.3</v>
      </c>
      <c r="R3813">
        <v>7.31</v>
      </c>
      <c r="S3813">
        <v>1.78</v>
      </c>
      <c r="T3813">
        <v>1.3</v>
      </c>
      <c r="U3813">
        <v>-29.54</v>
      </c>
      <c r="V3813">
        <v>-2204</v>
      </c>
      <c r="W3813">
        <v>7.38</v>
      </c>
      <c r="X3813" t="s">
        <v>3165</v>
      </c>
      <c r="Y3813" t="s">
        <v>7205</v>
      </c>
      <c r="Z3813">
        <v>0.58</v>
      </c>
      <c r="AA3813">
        <v>255</v>
      </c>
      <c r="AB3813">
        <v>372</v>
      </c>
      <c r="AC3813">
        <v>1.16</v>
      </c>
      <c r="AD3813" t="s">
        <v>18538</v>
      </c>
      <c r="AE3813" t="s">
        <v>18539</v>
      </c>
      <c r="AF3813" t="s">
        <v>18540</v>
      </c>
      <c r="AG3813" t="s">
        <v>18541</v>
      </c>
      <c r="AH3813">
        <v>-0.54</v>
      </c>
      <c r="AI3813">
        <v>0</v>
      </c>
      <c r="AJ3813">
        <v>1.8</v>
      </c>
      <c r="AK3813">
        <v>3.39</v>
      </c>
      <c r="AL3813">
        <v>1</v>
      </c>
      <c r="AM3813">
        <v>1.23</v>
      </c>
      <c r="AN3813">
        <v>-13.04</v>
      </c>
      <c r="AO3813">
        <v>3.06</v>
      </c>
      <c r="AP3813">
        <v>-12.11</v>
      </c>
    </row>
    <row r="3814" spans="1:42">
      <c r="A3814">
        <v>3813</v>
      </c>
      <c r="B3814" t="str">
        <f>"603193"</f>
        <v>603193</v>
      </c>
      <c r="C3814" t="s">
        <v>18542</v>
      </c>
      <c r="D3814">
        <v>17.13</v>
      </c>
      <c r="E3814">
        <v>0.47</v>
      </c>
      <c r="F3814">
        <v>0.08</v>
      </c>
      <c r="G3814" t="s">
        <v>156</v>
      </c>
      <c r="H3814">
        <v>217</v>
      </c>
      <c r="I3814">
        <v>17.13</v>
      </c>
      <c r="J3814">
        <v>17.14</v>
      </c>
      <c r="K3814" t="s">
        <v>16354</v>
      </c>
      <c r="L3814">
        <v>3.56</v>
      </c>
      <c r="M3814" t="s">
        <v>46</v>
      </c>
      <c r="N3814" t="s">
        <v>18543</v>
      </c>
      <c r="O3814">
        <v>17.19</v>
      </c>
      <c r="P3814">
        <v>16.91</v>
      </c>
      <c r="Q3814">
        <v>16.96</v>
      </c>
      <c r="R3814">
        <v>17.05</v>
      </c>
      <c r="S3814">
        <v>1.64</v>
      </c>
      <c r="T3814">
        <v>0.6</v>
      </c>
      <c r="U3814">
        <v>-25.64</v>
      </c>
      <c r="V3814">
        <v>-231</v>
      </c>
      <c r="W3814">
        <v>17.06</v>
      </c>
      <c r="X3814" t="s">
        <v>2147</v>
      </c>
      <c r="Y3814" t="s">
        <v>1646</v>
      </c>
      <c r="Z3814">
        <v>1.05</v>
      </c>
      <c r="AA3814">
        <v>19</v>
      </c>
      <c r="AB3814">
        <v>69</v>
      </c>
      <c r="AC3814">
        <v>3.69</v>
      </c>
      <c r="AD3814" t="s">
        <v>10666</v>
      </c>
      <c r="AE3814" t="s">
        <v>18544</v>
      </c>
      <c r="AF3814" t="s">
        <v>14865</v>
      </c>
      <c r="AG3814" t="s">
        <v>3449</v>
      </c>
      <c r="AH3814">
        <v>-2.39</v>
      </c>
      <c r="AI3814">
        <v>-5.62</v>
      </c>
      <c r="AJ3814">
        <v>13.84</v>
      </c>
      <c r="AK3814">
        <v>33.06</v>
      </c>
      <c r="AL3814">
        <v>1</v>
      </c>
      <c r="AM3814">
        <v>0.47</v>
      </c>
      <c r="AN3814">
        <v>-1.44</v>
      </c>
      <c r="AO3814">
        <v>-3.98</v>
      </c>
      <c r="AP3814">
        <v>-1.44</v>
      </c>
    </row>
    <row r="3815" spans="1:42">
      <c r="A3815">
        <v>3814</v>
      </c>
      <c r="B3815" t="str">
        <f>"600212"</f>
        <v>600212</v>
      </c>
      <c r="C3815" t="s">
        <v>18545</v>
      </c>
      <c r="D3815">
        <v>7.44</v>
      </c>
      <c r="E3815">
        <v>-0.4</v>
      </c>
      <c r="F3815">
        <v>-0.03</v>
      </c>
      <c r="G3815" t="s">
        <v>6203</v>
      </c>
      <c r="H3815">
        <v>300</v>
      </c>
      <c r="I3815">
        <v>7.44</v>
      </c>
      <c r="J3815">
        <v>7.45</v>
      </c>
      <c r="K3815" t="s">
        <v>16354</v>
      </c>
      <c r="L3815">
        <v>0.94</v>
      </c>
      <c r="M3815" t="s">
        <v>46</v>
      </c>
      <c r="N3815" t="s">
        <v>2692</v>
      </c>
      <c r="O3815">
        <v>7.52</v>
      </c>
      <c r="P3815">
        <v>7.38</v>
      </c>
      <c r="Q3815">
        <v>7.42</v>
      </c>
      <c r="R3815">
        <v>7.47</v>
      </c>
      <c r="S3815">
        <v>1.87</v>
      </c>
      <c r="T3815">
        <v>0.76</v>
      </c>
      <c r="U3815">
        <v>42.98</v>
      </c>
      <c r="V3815">
        <v>1040</v>
      </c>
      <c r="W3815">
        <v>7.42</v>
      </c>
      <c r="X3815" t="s">
        <v>9766</v>
      </c>
      <c r="Y3815" t="s">
        <v>6419</v>
      </c>
      <c r="Z3815">
        <v>1.03</v>
      </c>
      <c r="AA3815">
        <v>855</v>
      </c>
      <c r="AB3815">
        <v>123</v>
      </c>
      <c r="AC3815">
        <v>8.24</v>
      </c>
      <c r="AD3815" t="s">
        <v>18546</v>
      </c>
      <c r="AE3815" t="s">
        <v>8978</v>
      </c>
      <c r="AF3815" t="s">
        <v>18183</v>
      </c>
      <c r="AG3815" t="s">
        <v>14402</v>
      </c>
      <c r="AH3815">
        <v>-1.33</v>
      </c>
      <c r="AI3815">
        <v>-2.11</v>
      </c>
      <c r="AJ3815">
        <v>3.82</v>
      </c>
      <c r="AK3815">
        <v>7.16</v>
      </c>
      <c r="AL3815">
        <v>-2</v>
      </c>
      <c r="AM3815">
        <v>-0.4</v>
      </c>
      <c r="AN3815">
        <v>-4.49</v>
      </c>
      <c r="AO3815">
        <v>1.78</v>
      </c>
      <c r="AP3815">
        <v>-9.05</v>
      </c>
    </row>
    <row r="3816" spans="1:42">
      <c r="A3816">
        <v>3815</v>
      </c>
      <c r="B3816" t="str">
        <f>"603508"</f>
        <v>603508</v>
      </c>
      <c r="C3816" t="s">
        <v>18547</v>
      </c>
      <c r="D3816">
        <v>16.18</v>
      </c>
      <c r="E3816">
        <v>1.19</v>
      </c>
      <c r="F3816">
        <v>0.19</v>
      </c>
      <c r="G3816" t="s">
        <v>4509</v>
      </c>
      <c r="H3816">
        <v>275</v>
      </c>
      <c r="I3816">
        <v>16.18</v>
      </c>
      <c r="J3816">
        <v>16.19</v>
      </c>
      <c r="K3816" t="s">
        <v>18548</v>
      </c>
      <c r="L3816">
        <v>0.58</v>
      </c>
      <c r="M3816" t="s">
        <v>46</v>
      </c>
      <c r="N3816" t="s">
        <v>7655</v>
      </c>
      <c r="O3816">
        <v>16.2</v>
      </c>
      <c r="P3816">
        <v>15.84</v>
      </c>
      <c r="Q3816">
        <v>15.88</v>
      </c>
      <c r="R3816">
        <v>15.99</v>
      </c>
      <c r="S3816">
        <v>2.25</v>
      </c>
      <c r="T3816">
        <v>1.08</v>
      </c>
      <c r="U3816">
        <v>-9.2</v>
      </c>
      <c r="V3816">
        <v>-126</v>
      </c>
      <c r="W3816">
        <v>16.04</v>
      </c>
      <c r="X3816" t="s">
        <v>2667</v>
      </c>
      <c r="Y3816" t="s">
        <v>51</v>
      </c>
      <c r="Z3816">
        <v>1.05</v>
      </c>
      <c r="AA3816">
        <v>537</v>
      </c>
      <c r="AB3816">
        <v>187</v>
      </c>
      <c r="AC3816">
        <v>1.41</v>
      </c>
      <c r="AD3816" t="s">
        <v>18549</v>
      </c>
      <c r="AE3816" t="s">
        <v>8581</v>
      </c>
      <c r="AF3816" t="s">
        <v>18549</v>
      </c>
      <c r="AG3816" t="s">
        <v>8581</v>
      </c>
      <c r="AH3816">
        <v>-0.31</v>
      </c>
      <c r="AI3816">
        <v>-0.74</v>
      </c>
      <c r="AJ3816">
        <v>1.59</v>
      </c>
      <c r="AK3816">
        <v>3.29</v>
      </c>
      <c r="AL3816">
        <v>1</v>
      </c>
      <c r="AM3816">
        <v>1.19</v>
      </c>
      <c r="AN3816">
        <v>2.53</v>
      </c>
      <c r="AO3816">
        <v>3.92</v>
      </c>
      <c r="AP3816">
        <v>24.27</v>
      </c>
    </row>
    <row r="3817" spans="1:42">
      <c r="A3817">
        <v>3816</v>
      </c>
      <c r="B3817" t="str">
        <f>"300414"</f>
        <v>300414</v>
      </c>
      <c r="C3817" t="s">
        <v>18550</v>
      </c>
      <c r="D3817">
        <v>10.15</v>
      </c>
      <c r="E3817">
        <v>0.4</v>
      </c>
      <c r="F3817">
        <v>0.04</v>
      </c>
      <c r="G3817" t="s">
        <v>1069</v>
      </c>
      <c r="H3817">
        <v>565</v>
      </c>
      <c r="I3817">
        <v>10.14</v>
      </c>
      <c r="J3817">
        <v>10.15</v>
      </c>
      <c r="K3817" t="s">
        <v>18548</v>
      </c>
      <c r="L3817">
        <v>1.14</v>
      </c>
      <c r="M3817" t="s">
        <v>46</v>
      </c>
      <c r="N3817" t="s">
        <v>18551</v>
      </c>
      <c r="O3817">
        <v>10.19</v>
      </c>
      <c r="P3817">
        <v>10</v>
      </c>
      <c r="Q3817">
        <v>10.13</v>
      </c>
      <c r="R3817">
        <v>10.11</v>
      </c>
      <c r="S3817">
        <v>1.88</v>
      </c>
      <c r="T3817">
        <v>0.85</v>
      </c>
      <c r="U3817">
        <v>16.76</v>
      </c>
      <c r="V3817">
        <v>262</v>
      </c>
      <c r="W3817">
        <v>10.1</v>
      </c>
      <c r="X3817" t="s">
        <v>5578</v>
      </c>
      <c r="Y3817" t="s">
        <v>8137</v>
      </c>
      <c r="Z3817">
        <v>1.14</v>
      </c>
      <c r="AA3817">
        <v>177</v>
      </c>
      <c r="AB3817">
        <v>32</v>
      </c>
      <c r="AC3817">
        <v>3.27</v>
      </c>
      <c r="AD3817" t="s">
        <v>7295</v>
      </c>
      <c r="AE3817" t="s">
        <v>13339</v>
      </c>
      <c r="AF3817" t="s">
        <v>18552</v>
      </c>
      <c r="AG3817" t="s">
        <v>18553</v>
      </c>
      <c r="AH3817">
        <v>-1.26</v>
      </c>
      <c r="AI3817">
        <v>-2.31</v>
      </c>
      <c r="AJ3817">
        <v>3.58</v>
      </c>
      <c r="AK3817">
        <v>7.8</v>
      </c>
      <c r="AL3817">
        <v>1</v>
      </c>
      <c r="AM3817">
        <v>0.4</v>
      </c>
      <c r="AN3817">
        <v>39.23</v>
      </c>
      <c r="AO3817">
        <v>1.6</v>
      </c>
      <c r="AP3817">
        <v>24.85</v>
      </c>
    </row>
    <row r="3818" spans="1:42">
      <c r="A3818">
        <v>3817</v>
      </c>
      <c r="B3818" t="str">
        <f>"002554"</f>
        <v>002554</v>
      </c>
      <c r="C3818" t="s">
        <v>18554</v>
      </c>
      <c r="D3818">
        <v>3.33</v>
      </c>
      <c r="E3818">
        <v>0</v>
      </c>
      <c r="F3818">
        <v>0</v>
      </c>
      <c r="G3818" t="s">
        <v>1909</v>
      </c>
      <c r="H3818">
        <v>548</v>
      </c>
      <c r="I3818">
        <v>3.32</v>
      </c>
      <c r="J3818">
        <v>3.33</v>
      </c>
      <c r="K3818" t="s">
        <v>18555</v>
      </c>
      <c r="L3818">
        <v>1.18</v>
      </c>
      <c r="M3818" t="s">
        <v>46</v>
      </c>
      <c r="N3818" t="s">
        <v>761</v>
      </c>
      <c r="O3818">
        <v>3.35</v>
      </c>
      <c r="P3818">
        <v>3.3</v>
      </c>
      <c r="Q3818">
        <v>3.34</v>
      </c>
      <c r="R3818">
        <v>3.33</v>
      </c>
      <c r="S3818">
        <v>1.5</v>
      </c>
      <c r="T3818">
        <v>1.13</v>
      </c>
      <c r="U3818">
        <v>-27.92</v>
      </c>
      <c r="V3818" t="s">
        <v>2701</v>
      </c>
      <c r="W3818">
        <v>3.32</v>
      </c>
      <c r="X3818" t="s">
        <v>5878</v>
      </c>
      <c r="Y3818" t="s">
        <v>5660</v>
      </c>
      <c r="Z3818">
        <v>1.14</v>
      </c>
      <c r="AA3818">
        <v>1736</v>
      </c>
      <c r="AB3818">
        <v>2769</v>
      </c>
      <c r="AC3818">
        <v>1.75</v>
      </c>
      <c r="AD3818" t="s">
        <v>18515</v>
      </c>
      <c r="AE3818" t="s">
        <v>7936</v>
      </c>
      <c r="AF3818" t="s">
        <v>17312</v>
      </c>
      <c r="AG3818" t="s">
        <v>18556</v>
      </c>
      <c r="AH3818">
        <v>-1.48</v>
      </c>
      <c r="AI3818">
        <v>-2.35</v>
      </c>
      <c r="AJ3818">
        <v>3.09</v>
      </c>
      <c r="AK3818">
        <v>6.39</v>
      </c>
      <c r="AL3818">
        <v>0</v>
      </c>
      <c r="AM3818">
        <v>0</v>
      </c>
      <c r="AN3818">
        <v>-13.73</v>
      </c>
      <c r="AO3818">
        <v>-2.06</v>
      </c>
      <c r="AP3818">
        <v>-10.24</v>
      </c>
    </row>
    <row r="3819" spans="1:42">
      <c r="A3819">
        <v>3818</v>
      </c>
      <c r="B3819" t="str">
        <f>"600894"</f>
        <v>600894</v>
      </c>
      <c r="C3819" t="s">
        <v>18557</v>
      </c>
      <c r="D3819">
        <v>7.57</v>
      </c>
      <c r="E3819">
        <v>0.66</v>
      </c>
      <c r="F3819">
        <v>0.05</v>
      </c>
      <c r="G3819" t="s">
        <v>5674</v>
      </c>
      <c r="H3819">
        <v>264</v>
      </c>
      <c r="I3819">
        <v>7.57</v>
      </c>
      <c r="J3819">
        <v>7.58</v>
      </c>
      <c r="K3819" t="s">
        <v>18558</v>
      </c>
      <c r="L3819">
        <v>0.55</v>
      </c>
      <c r="M3819" t="s">
        <v>46</v>
      </c>
      <c r="N3819" t="s">
        <v>17155</v>
      </c>
      <c r="O3819">
        <v>7.59</v>
      </c>
      <c r="P3819">
        <v>7.45</v>
      </c>
      <c r="Q3819">
        <v>7.52</v>
      </c>
      <c r="R3819">
        <v>7.52</v>
      </c>
      <c r="S3819">
        <v>1.86</v>
      </c>
      <c r="T3819">
        <v>1.11</v>
      </c>
      <c r="U3819">
        <v>-31.03</v>
      </c>
      <c r="V3819">
        <v>-1497</v>
      </c>
      <c r="W3819">
        <v>7.52</v>
      </c>
      <c r="X3819" t="s">
        <v>1280</v>
      </c>
      <c r="Y3819" t="s">
        <v>8952</v>
      </c>
      <c r="Z3819">
        <v>0.73</v>
      </c>
      <c r="AA3819">
        <v>7</v>
      </c>
      <c r="AB3819">
        <v>448</v>
      </c>
      <c r="AC3819">
        <v>0.72</v>
      </c>
      <c r="AD3819" t="s">
        <v>18559</v>
      </c>
      <c r="AE3819" t="s">
        <v>11698</v>
      </c>
      <c r="AF3819" t="s">
        <v>18559</v>
      </c>
      <c r="AG3819" t="s">
        <v>11698</v>
      </c>
      <c r="AH3819">
        <v>-0.13</v>
      </c>
      <c r="AI3819">
        <v>-0.26</v>
      </c>
      <c r="AJ3819">
        <v>1.66</v>
      </c>
      <c r="AK3819">
        <v>3.04</v>
      </c>
      <c r="AL3819">
        <v>2</v>
      </c>
      <c r="AM3819">
        <v>0.66</v>
      </c>
      <c r="AN3819">
        <v>20.73</v>
      </c>
      <c r="AO3819">
        <v>2.85</v>
      </c>
      <c r="AP3819">
        <v>16.64</v>
      </c>
    </row>
    <row r="3820" spans="1:42">
      <c r="A3820">
        <v>3819</v>
      </c>
      <c r="B3820" t="str">
        <f>"688334"</f>
        <v>688334</v>
      </c>
      <c r="C3820" t="s">
        <v>18560</v>
      </c>
      <c r="D3820">
        <v>17.15</v>
      </c>
      <c r="E3820">
        <v>-0.29</v>
      </c>
      <c r="F3820">
        <v>-0.05</v>
      </c>
      <c r="G3820" t="s">
        <v>156</v>
      </c>
      <c r="H3820">
        <v>51</v>
      </c>
      <c r="I3820">
        <v>17.15</v>
      </c>
      <c r="J3820">
        <v>17.17</v>
      </c>
      <c r="K3820" t="s">
        <v>18561</v>
      </c>
      <c r="L3820">
        <v>2.84</v>
      </c>
      <c r="M3820" t="s">
        <v>46</v>
      </c>
      <c r="N3820" t="s">
        <v>3303</v>
      </c>
      <c r="O3820">
        <v>17.22</v>
      </c>
      <c r="P3820">
        <v>16.89</v>
      </c>
      <c r="Q3820">
        <v>17.19</v>
      </c>
      <c r="R3820">
        <v>17.2</v>
      </c>
      <c r="S3820">
        <v>1.92</v>
      </c>
      <c r="T3820">
        <v>0.61</v>
      </c>
      <c r="U3820">
        <v>-50.19</v>
      </c>
      <c r="V3820">
        <v>-245</v>
      </c>
      <c r="W3820">
        <v>17.02</v>
      </c>
      <c r="X3820" t="s">
        <v>4792</v>
      </c>
      <c r="Y3820">
        <v>8634</v>
      </c>
      <c r="Z3820">
        <v>1.43</v>
      </c>
      <c r="AA3820">
        <v>47</v>
      </c>
      <c r="AB3820">
        <v>23</v>
      </c>
      <c r="AC3820">
        <v>1.83</v>
      </c>
      <c r="AD3820" t="s">
        <v>16207</v>
      </c>
      <c r="AE3820" t="s">
        <v>3279</v>
      </c>
      <c r="AF3820" t="s">
        <v>13109</v>
      </c>
      <c r="AG3820" t="s">
        <v>2255</v>
      </c>
      <c r="AH3820">
        <v>-1.78</v>
      </c>
      <c r="AI3820">
        <v>0.82</v>
      </c>
      <c r="AJ3820">
        <v>9.8</v>
      </c>
      <c r="AK3820">
        <v>26</v>
      </c>
      <c r="AL3820">
        <v>-1</v>
      </c>
      <c r="AM3820">
        <v>-0.29</v>
      </c>
      <c r="AN3820">
        <v>21.12</v>
      </c>
      <c r="AO3820">
        <v>0.88</v>
      </c>
      <c r="AP3820">
        <v>21.12</v>
      </c>
    </row>
    <row r="3821" spans="1:42">
      <c r="A3821">
        <v>3820</v>
      </c>
      <c r="B3821" t="str">
        <f>"301093"</f>
        <v>301093</v>
      </c>
      <c r="C3821" t="s">
        <v>18562</v>
      </c>
      <c r="D3821">
        <v>34.32</v>
      </c>
      <c r="E3821">
        <v>-1.46</v>
      </c>
      <c r="F3821">
        <v>-0.51</v>
      </c>
      <c r="G3821" t="s">
        <v>239</v>
      </c>
      <c r="H3821">
        <v>132</v>
      </c>
      <c r="I3821">
        <v>34.23</v>
      </c>
      <c r="J3821">
        <v>34.32</v>
      </c>
      <c r="K3821" t="s">
        <v>18561</v>
      </c>
      <c r="L3821">
        <v>1.08</v>
      </c>
      <c r="M3821" t="s">
        <v>46</v>
      </c>
      <c r="N3821" t="s">
        <v>3166</v>
      </c>
      <c r="O3821">
        <v>34.8</v>
      </c>
      <c r="P3821">
        <v>33.93</v>
      </c>
      <c r="Q3821">
        <v>34.63</v>
      </c>
      <c r="R3821">
        <v>34.83</v>
      </c>
      <c r="S3821">
        <v>2.5</v>
      </c>
      <c r="T3821">
        <v>0.88</v>
      </c>
      <c r="U3821">
        <v>50.73</v>
      </c>
      <c r="V3821">
        <v>173</v>
      </c>
      <c r="W3821">
        <v>34.26</v>
      </c>
      <c r="X3821">
        <v>7077</v>
      </c>
      <c r="Y3821">
        <v>3332</v>
      </c>
      <c r="Z3821">
        <v>2.12</v>
      </c>
      <c r="AA3821">
        <v>5</v>
      </c>
      <c r="AB3821">
        <v>21</v>
      </c>
      <c r="AC3821">
        <v>1.9</v>
      </c>
      <c r="AD3821" t="s">
        <v>6938</v>
      </c>
      <c r="AE3821" t="s">
        <v>18563</v>
      </c>
      <c r="AF3821" t="s">
        <v>18564</v>
      </c>
      <c r="AG3821" t="s">
        <v>18565</v>
      </c>
      <c r="AH3821">
        <v>-2.14</v>
      </c>
      <c r="AI3821">
        <v>-1.29</v>
      </c>
      <c r="AJ3821">
        <v>2.57</v>
      </c>
      <c r="AK3821">
        <v>7.21</v>
      </c>
      <c r="AL3821">
        <v>-1</v>
      </c>
      <c r="AM3821">
        <v>-1.46</v>
      </c>
      <c r="AN3821">
        <v>36.73</v>
      </c>
      <c r="AO3821">
        <v>-0.52</v>
      </c>
      <c r="AP3821">
        <v>22.44</v>
      </c>
    </row>
    <row r="3822" spans="1:42">
      <c r="A3822">
        <v>3821</v>
      </c>
      <c r="B3822" t="str">
        <f>"300340"</f>
        <v>300340</v>
      </c>
      <c r="C3822" t="s">
        <v>18566</v>
      </c>
      <c r="D3822">
        <v>12.36</v>
      </c>
      <c r="E3822">
        <v>-0.32</v>
      </c>
      <c r="F3822">
        <v>-0.04</v>
      </c>
      <c r="G3822" t="s">
        <v>541</v>
      </c>
      <c r="H3822">
        <v>220</v>
      </c>
      <c r="I3822">
        <v>12.35</v>
      </c>
      <c r="J3822">
        <v>12.36</v>
      </c>
      <c r="K3822" t="s">
        <v>18567</v>
      </c>
      <c r="L3822">
        <v>1.55</v>
      </c>
      <c r="M3822" t="s">
        <v>46</v>
      </c>
      <c r="N3822" t="s">
        <v>2966</v>
      </c>
      <c r="O3822">
        <v>12.44</v>
      </c>
      <c r="P3822">
        <v>12.23</v>
      </c>
      <c r="Q3822">
        <v>12.42</v>
      </c>
      <c r="R3822">
        <v>12.4</v>
      </c>
      <c r="S3822">
        <v>1.69</v>
      </c>
      <c r="T3822">
        <v>0.62</v>
      </c>
      <c r="U3822">
        <v>-27.43</v>
      </c>
      <c r="V3822">
        <v>-313</v>
      </c>
      <c r="W3822">
        <v>12.34</v>
      </c>
      <c r="X3822" t="s">
        <v>5900</v>
      </c>
      <c r="Y3822" t="s">
        <v>7836</v>
      </c>
      <c r="Z3822">
        <v>0.98</v>
      </c>
      <c r="AA3822">
        <v>39</v>
      </c>
      <c r="AB3822">
        <v>519</v>
      </c>
      <c r="AC3822">
        <v>18.72</v>
      </c>
      <c r="AD3822" t="s">
        <v>16076</v>
      </c>
      <c r="AE3822" t="s">
        <v>18568</v>
      </c>
      <c r="AF3822" t="s">
        <v>11797</v>
      </c>
      <c r="AG3822" t="s">
        <v>5132</v>
      </c>
      <c r="AH3822">
        <v>-1.59</v>
      </c>
      <c r="AI3822">
        <v>-2.45</v>
      </c>
      <c r="AJ3822">
        <v>4.85</v>
      </c>
      <c r="AK3822">
        <v>13.95</v>
      </c>
      <c r="AL3822">
        <v>-2</v>
      </c>
      <c r="AM3822">
        <v>-0.32</v>
      </c>
      <c r="AN3822">
        <v>19.08</v>
      </c>
      <c r="AO3822">
        <v>6.37</v>
      </c>
      <c r="AP3822">
        <v>5.01</v>
      </c>
    </row>
    <row r="3823" spans="1:42">
      <c r="A3823">
        <v>3822</v>
      </c>
      <c r="B3823" t="str">
        <f>"688299"</f>
        <v>688299</v>
      </c>
      <c r="C3823" t="s">
        <v>18569</v>
      </c>
      <c r="D3823">
        <v>14.32</v>
      </c>
      <c r="E3823">
        <v>-1.24</v>
      </c>
      <c r="F3823">
        <v>-0.18</v>
      </c>
      <c r="G3823" t="s">
        <v>4013</v>
      </c>
      <c r="H3823">
        <v>201</v>
      </c>
      <c r="I3823">
        <v>14.32</v>
      </c>
      <c r="J3823">
        <v>14.33</v>
      </c>
      <c r="K3823" t="s">
        <v>18570</v>
      </c>
      <c r="L3823">
        <v>0.87</v>
      </c>
      <c r="M3823" t="s">
        <v>46</v>
      </c>
      <c r="N3823" t="s">
        <v>8031</v>
      </c>
      <c r="O3823">
        <v>14.58</v>
      </c>
      <c r="P3823">
        <v>14.3</v>
      </c>
      <c r="Q3823">
        <v>14.58</v>
      </c>
      <c r="R3823">
        <v>14.5</v>
      </c>
      <c r="S3823">
        <v>1.93</v>
      </c>
      <c r="T3823">
        <v>0.87</v>
      </c>
      <c r="U3823">
        <v>63.38</v>
      </c>
      <c r="V3823">
        <v>690</v>
      </c>
      <c r="W3823">
        <v>14.37</v>
      </c>
      <c r="X3823" t="s">
        <v>7178</v>
      </c>
      <c r="Y3823">
        <v>9427</v>
      </c>
      <c r="Z3823">
        <v>1.63</v>
      </c>
      <c r="AA3823">
        <v>457</v>
      </c>
      <c r="AB3823">
        <v>20</v>
      </c>
      <c r="AC3823">
        <v>1.93</v>
      </c>
      <c r="AD3823" t="s">
        <v>18571</v>
      </c>
      <c r="AE3823" t="s">
        <v>15880</v>
      </c>
      <c r="AF3823" t="s">
        <v>6020</v>
      </c>
      <c r="AG3823" t="s">
        <v>18572</v>
      </c>
      <c r="AH3823">
        <v>-3.37</v>
      </c>
      <c r="AI3823">
        <v>-3.57</v>
      </c>
      <c r="AJ3823">
        <v>2.68</v>
      </c>
      <c r="AK3823">
        <v>5.85</v>
      </c>
      <c r="AL3823">
        <v>-2</v>
      </c>
      <c r="AM3823">
        <v>-1.24</v>
      </c>
      <c r="AN3823">
        <v>-12.15</v>
      </c>
      <c r="AO3823">
        <v>0.42</v>
      </c>
      <c r="AP3823">
        <v>-22.3</v>
      </c>
    </row>
    <row r="3824" spans="1:42">
      <c r="A3824">
        <v>3823</v>
      </c>
      <c r="B3824" t="str">
        <f>"002687"</f>
        <v>002687</v>
      </c>
      <c r="C3824" t="s">
        <v>18573</v>
      </c>
      <c r="D3824">
        <v>5.5</v>
      </c>
      <c r="E3824">
        <v>0.92</v>
      </c>
      <c r="F3824">
        <v>0.05</v>
      </c>
      <c r="G3824" t="s">
        <v>4913</v>
      </c>
      <c r="H3824">
        <v>496</v>
      </c>
      <c r="I3824">
        <v>5.49</v>
      </c>
      <c r="J3824">
        <v>5.5</v>
      </c>
      <c r="K3824" t="s">
        <v>18570</v>
      </c>
      <c r="L3824">
        <v>1.61</v>
      </c>
      <c r="M3824" t="s">
        <v>46</v>
      </c>
      <c r="N3824" t="s">
        <v>18574</v>
      </c>
      <c r="O3824">
        <v>5.54</v>
      </c>
      <c r="P3824">
        <v>5.41</v>
      </c>
      <c r="Q3824">
        <v>5.45</v>
      </c>
      <c r="R3824">
        <v>5.45</v>
      </c>
      <c r="S3824">
        <v>2.39</v>
      </c>
      <c r="T3824">
        <v>1.06</v>
      </c>
      <c r="U3824">
        <v>-39.25</v>
      </c>
      <c r="V3824">
        <v>-2023</v>
      </c>
      <c r="W3824">
        <v>5.5</v>
      </c>
      <c r="X3824" t="s">
        <v>10177</v>
      </c>
      <c r="Y3824" t="s">
        <v>5923</v>
      </c>
      <c r="Z3824">
        <v>0.99</v>
      </c>
      <c r="AA3824">
        <v>227</v>
      </c>
      <c r="AB3824">
        <v>125</v>
      </c>
      <c r="AC3824">
        <v>1.93</v>
      </c>
      <c r="AD3824" t="s">
        <v>4532</v>
      </c>
      <c r="AE3824" t="s">
        <v>18575</v>
      </c>
      <c r="AF3824" t="s">
        <v>5090</v>
      </c>
      <c r="AG3824" t="s">
        <v>17148</v>
      </c>
      <c r="AH3824">
        <v>-0.36</v>
      </c>
      <c r="AI3824">
        <v>-0.18</v>
      </c>
      <c r="AJ3824">
        <v>4.25</v>
      </c>
      <c r="AK3824">
        <v>9.23</v>
      </c>
      <c r="AL3824">
        <v>1</v>
      </c>
      <c r="AM3824">
        <v>0.92</v>
      </c>
      <c r="AN3824">
        <v>16.77</v>
      </c>
      <c r="AO3824">
        <v>2.8</v>
      </c>
      <c r="AP3824">
        <v>28.21</v>
      </c>
    </row>
    <row r="3825" spans="1:42">
      <c r="A3825">
        <v>3824</v>
      </c>
      <c r="B3825" t="str">
        <f>"600778"</f>
        <v>600778</v>
      </c>
      <c r="C3825" t="s">
        <v>18576</v>
      </c>
      <c r="D3825">
        <v>6.41</v>
      </c>
      <c r="E3825">
        <v>-0.77</v>
      </c>
      <c r="F3825">
        <v>-0.05</v>
      </c>
      <c r="G3825" t="s">
        <v>2405</v>
      </c>
      <c r="H3825">
        <v>373</v>
      </c>
      <c r="I3825">
        <v>6.41</v>
      </c>
      <c r="J3825">
        <v>6.42</v>
      </c>
      <c r="K3825" t="s">
        <v>18570</v>
      </c>
      <c r="L3825">
        <v>1.77</v>
      </c>
      <c r="M3825" t="s">
        <v>46</v>
      </c>
      <c r="N3825" t="s">
        <v>4927</v>
      </c>
      <c r="O3825">
        <v>6.56</v>
      </c>
      <c r="P3825">
        <v>6.3</v>
      </c>
      <c r="Q3825">
        <v>6.41</v>
      </c>
      <c r="R3825">
        <v>6.46</v>
      </c>
      <c r="S3825">
        <v>4.02</v>
      </c>
      <c r="T3825">
        <v>1.22</v>
      </c>
      <c r="U3825">
        <v>-77.35</v>
      </c>
      <c r="V3825">
        <v>-1523</v>
      </c>
      <c r="W3825">
        <v>6.47</v>
      </c>
      <c r="X3825" t="s">
        <v>3456</v>
      </c>
      <c r="Y3825" t="s">
        <v>7993</v>
      </c>
      <c r="Z3825">
        <v>0.96</v>
      </c>
      <c r="AA3825">
        <v>71</v>
      </c>
      <c r="AB3825">
        <v>191</v>
      </c>
      <c r="AC3825">
        <v>8.32</v>
      </c>
      <c r="AD3825" t="s">
        <v>18577</v>
      </c>
      <c r="AE3825" t="s">
        <v>332</v>
      </c>
      <c r="AF3825" t="s">
        <v>18578</v>
      </c>
      <c r="AG3825" t="s">
        <v>1633</v>
      </c>
      <c r="AH3825">
        <v>-0.47</v>
      </c>
      <c r="AI3825">
        <v>-2.14</v>
      </c>
      <c r="AJ3825">
        <v>4.77</v>
      </c>
      <c r="AK3825">
        <v>9.06</v>
      </c>
      <c r="AL3825">
        <v>-1</v>
      </c>
      <c r="AM3825">
        <v>-0.77</v>
      </c>
      <c r="AN3825">
        <v>-6.83</v>
      </c>
      <c r="AO3825">
        <v>4.4</v>
      </c>
      <c r="AP3825">
        <v>-3.9</v>
      </c>
    </row>
    <row r="3826" spans="1:42">
      <c r="A3826">
        <v>3825</v>
      </c>
      <c r="B3826" t="str">
        <f>"000900"</f>
        <v>000900</v>
      </c>
      <c r="C3826" t="s">
        <v>18579</v>
      </c>
      <c r="D3826">
        <v>4.06</v>
      </c>
      <c r="E3826">
        <v>1.25</v>
      </c>
      <c r="F3826">
        <v>0.05</v>
      </c>
      <c r="G3826" t="s">
        <v>5144</v>
      </c>
      <c r="H3826">
        <v>814</v>
      </c>
      <c r="I3826">
        <v>4.05</v>
      </c>
      <c r="J3826">
        <v>4.06</v>
      </c>
      <c r="K3826" t="s">
        <v>18570</v>
      </c>
      <c r="L3826">
        <v>0.58</v>
      </c>
      <c r="M3826" t="s">
        <v>46</v>
      </c>
      <c r="N3826" t="s">
        <v>5757</v>
      </c>
      <c r="O3826">
        <v>4.08</v>
      </c>
      <c r="P3826">
        <v>4.01</v>
      </c>
      <c r="Q3826">
        <v>4.03</v>
      </c>
      <c r="R3826">
        <v>4.01</v>
      </c>
      <c r="S3826">
        <v>1.75</v>
      </c>
      <c r="T3826">
        <v>1.17</v>
      </c>
      <c r="U3826">
        <v>-60.88</v>
      </c>
      <c r="V3826" t="s">
        <v>18580</v>
      </c>
      <c r="W3826">
        <v>4.05</v>
      </c>
      <c r="X3826" t="s">
        <v>7472</v>
      </c>
      <c r="Y3826" t="s">
        <v>6873</v>
      </c>
      <c r="Z3826">
        <v>0.44</v>
      </c>
      <c r="AA3826">
        <v>3532</v>
      </c>
      <c r="AB3826">
        <v>1540</v>
      </c>
      <c r="AC3826">
        <v>0.58</v>
      </c>
      <c r="AD3826" t="s">
        <v>6054</v>
      </c>
      <c r="AE3826" t="s">
        <v>13023</v>
      </c>
      <c r="AF3826" t="s">
        <v>6054</v>
      </c>
      <c r="AG3826" t="s">
        <v>13023</v>
      </c>
      <c r="AH3826">
        <v>0</v>
      </c>
      <c r="AI3826">
        <v>-0.73</v>
      </c>
      <c r="AJ3826">
        <v>1.51</v>
      </c>
      <c r="AK3826">
        <v>3.06</v>
      </c>
      <c r="AL3826">
        <v>1</v>
      </c>
      <c r="AM3826">
        <v>1.25</v>
      </c>
      <c r="AN3826">
        <v>-0.49</v>
      </c>
      <c r="AO3826">
        <v>0.5</v>
      </c>
      <c r="AP3826">
        <v>1.25</v>
      </c>
    </row>
    <row r="3827" spans="1:42">
      <c r="A3827">
        <v>3826</v>
      </c>
      <c r="B3827" t="str">
        <f>"000839"</f>
        <v>000839</v>
      </c>
      <c r="C3827" t="s">
        <v>18581</v>
      </c>
      <c r="D3827">
        <v>2.31</v>
      </c>
      <c r="E3827">
        <v>-0.43</v>
      </c>
      <c r="F3827">
        <v>-0.01</v>
      </c>
      <c r="G3827" t="s">
        <v>562</v>
      </c>
      <c r="H3827">
        <v>3568</v>
      </c>
      <c r="I3827">
        <v>2.3</v>
      </c>
      <c r="J3827">
        <v>2.31</v>
      </c>
      <c r="K3827" t="s">
        <v>18570</v>
      </c>
      <c r="L3827">
        <v>0.4</v>
      </c>
      <c r="M3827" t="s">
        <v>46</v>
      </c>
      <c r="N3827" t="s">
        <v>1898</v>
      </c>
      <c r="O3827">
        <v>2.32</v>
      </c>
      <c r="P3827">
        <v>2.27</v>
      </c>
      <c r="Q3827">
        <v>2.3</v>
      </c>
      <c r="R3827">
        <v>2.32</v>
      </c>
      <c r="S3827">
        <v>2.16</v>
      </c>
      <c r="T3827">
        <v>0.78</v>
      </c>
      <c r="U3827">
        <v>15.49</v>
      </c>
      <c r="V3827" t="s">
        <v>1400</v>
      </c>
      <c r="W3827">
        <v>2.3</v>
      </c>
      <c r="X3827" t="s">
        <v>1978</v>
      </c>
      <c r="Y3827" t="s">
        <v>9326</v>
      </c>
      <c r="Z3827">
        <v>1.63</v>
      </c>
      <c r="AA3827">
        <v>5317</v>
      </c>
      <c r="AB3827">
        <v>6220</v>
      </c>
      <c r="AC3827">
        <v>5.63</v>
      </c>
      <c r="AD3827" t="s">
        <v>14530</v>
      </c>
      <c r="AE3827" t="s">
        <v>18582</v>
      </c>
      <c r="AF3827" t="s">
        <v>14530</v>
      </c>
      <c r="AG3827" t="s">
        <v>18582</v>
      </c>
      <c r="AH3827">
        <v>-1.28</v>
      </c>
      <c r="AI3827">
        <v>-2.94</v>
      </c>
      <c r="AJ3827">
        <v>0.94</v>
      </c>
      <c r="AK3827">
        <v>2.95</v>
      </c>
      <c r="AL3827">
        <v>-2</v>
      </c>
      <c r="AM3827">
        <v>-0.43</v>
      </c>
      <c r="AN3827">
        <v>-8.7</v>
      </c>
      <c r="AO3827">
        <v>1.32</v>
      </c>
      <c r="AP3827">
        <v>-9.77</v>
      </c>
    </row>
    <row r="3828" spans="1:42">
      <c r="A3828">
        <v>3827</v>
      </c>
      <c r="B3828" t="str">
        <f>"603313"</f>
        <v>603313</v>
      </c>
      <c r="C3828" t="s">
        <v>18583</v>
      </c>
      <c r="D3828">
        <v>10.02</v>
      </c>
      <c r="E3828">
        <v>-0.89</v>
      </c>
      <c r="F3828">
        <v>-0.09</v>
      </c>
      <c r="G3828" t="s">
        <v>5693</v>
      </c>
      <c r="H3828">
        <v>125</v>
      </c>
      <c r="I3828">
        <v>10.01</v>
      </c>
      <c r="J3828">
        <v>10.02</v>
      </c>
      <c r="K3828" t="s">
        <v>18584</v>
      </c>
      <c r="L3828">
        <v>0.73</v>
      </c>
      <c r="M3828" t="s">
        <v>46</v>
      </c>
      <c r="N3828" t="s">
        <v>10254</v>
      </c>
      <c r="O3828">
        <v>10.15</v>
      </c>
      <c r="P3828">
        <v>9.82</v>
      </c>
      <c r="Q3828">
        <v>10.15</v>
      </c>
      <c r="R3828">
        <v>10.11</v>
      </c>
      <c r="S3828">
        <v>3.26</v>
      </c>
      <c r="T3828">
        <v>1.17</v>
      </c>
      <c r="U3828">
        <v>78.85</v>
      </c>
      <c r="V3828">
        <v>932</v>
      </c>
      <c r="W3828">
        <v>9.99</v>
      </c>
      <c r="X3828" t="s">
        <v>5578</v>
      </c>
      <c r="Y3828" t="s">
        <v>5997</v>
      </c>
      <c r="Z3828">
        <v>1.12</v>
      </c>
      <c r="AA3828">
        <v>180</v>
      </c>
      <c r="AB3828">
        <v>2</v>
      </c>
      <c r="AC3828">
        <v>1.46</v>
      </c>
      <c r="AD3828" t="s">
        <v>18585</v>
      </c>
      <c r="AE3828" t="s">
        <v>18586</v>
      </c>
      <c r="AF3828" t="s">
        <v>18587</v>
      </c>
      <c r="AG3828" t="s">
        <v>18588</v>
      </c>
      <c r="AH3828">
        <v>-4.11</v>
      </c>
      <c r="AI3828">
        <v>-4.66</v>
      </c>
      <c r="AJ3828">
        <v>1.92</v>
      </c>
      <c r="AK3828">
        <v>3.88</v>
      </c>
      <c r="AL3828">
        <v>-3</v>
      </c>
      <c r="AM3828">
        <v>-0.89</v>
      </c>
      <c r="AN3828">
        <v>-5.47</v>
      </c>
      <c r="AO3828">
        <v>-3.84</v>
      </c>
      <c r="AP3828">
        <v>-1.38</v>
      </c>
    </row>
    <row r="3829" spans="1:42">
      <c r="A3829">
        <v>3828</v>
      </c>
      <c r="B3829" t="str">
        <f>"001296"</f>
        <v>001296</v>
      </c>
      <c r="C3829" t="s">
        <v>18589</v>
      </c>
      <c r="D3829">
        <v>23.96</v>
      </c>
      <c r="E3829">
        <v>-0.04</v>
      </c>
      <c r="F3829">
        <v>-0.01</v>
      </c>
      <c r="G3829" t="s">
        <v>7656</v>
      </c>
      <c r="H3829">
        <v>33</v>
      </c>
      <c r="I3829">
        <v>23.95</v>
      </c>
      <c r="J3829">
        <v>23.96</v>
      </c>
      <c r="K3829" t="s">
        <v>18590</v>
      </c>
      <c r="L3829">
        <v>3.94</v>
      </c>
      <c r="M3829" t="s">
        <v>46</v>
      </c>
      <c r="N3829" t="s">
        <v>18591</v>
      </c>
      <c r="O3829">
        <v>24.2</v>
      </c>
      <c r="P3829">
        <v>23.81</v>
      </c>
      <c r="Q3829">
        <v>24.04</v>
      </c>
      <c r="R3829">
        <v>23.97</v>
      </c>
      <c r="S3829">
        <v>1.63</v>
      </c>
      <c r="T3829">
        <v>0.69</v>
      </c>
      <c r="U3829">
        <v>-30.31</v>
      </c>
      <c r="V3829">
        <v>-87</v>
      </c>
      <c r="W3829">
        <v>24.01</v>
      </c>
      <c r="X3829">
        <v>8667</v>
      </c>
      <c r="Y3829">
        <v>6151</v>
      </c>
      <c r="Z3829">
        <v>1.41</v>
      </c>
      <c r="AA3829">
        <v>37</v>
      </c>
      <c r="AB3829">
        <v>16</v>
      </c>
      <c r="AC3829">
        <v>1.55</v>
      </c>
      <c r="AD3829" t="s">
        <v>8042</v>
      </c>
      <c r="AE3829" t="s">
        <v>18592</v>
      </c>
      <c r="AF3829" t="s">
        <v>18593</v>
      </c>
      <c r="AG3829" t="s">
        <v>16911</v>
      </c>
      <c r="AH3829">
        <v>-2.76</v>
      </c>
      <c r="AI3829">
        <v>-3.97</v>
      </c>
      <c r="AJ3829">
        <v>12.88</v>
      </c>
      <c r="AK3829">
        <v>32.63</v>
      </c>
      <c r="AL3829">
        <v>-3</v>
      </c>
      <c r="AM3829">
        <v>-0.04</v>
      </c>
      <c r="AN3829">
        <v>25.31</v>
      </c>
      <c r="AO3829">
        <v>3.05</v>
      </c>
      <c r="AP3829">
        <v>10.16</v>
      </c>
    </row>
    <row r="3830" spans="1:42">
      <c r="A3830">
        <v>3829</v>
      </c>
      <c r="B3830" t="str">
        <f>"603689"</f>
        <v>603689</v>
      </c>
      <c r="C3830" t="s">
        <v>18594</v>
      </c>
      <c r="D3830">
        <v>8.88</v>
      </c>
      <c r="E3830">
        <v>-0.22</v>
      </c>
      <c r="F3830">
        <v>-0.02</v>
      </c>
      <c r="G3830" t="s">
        <v>8404</v>
      </c>
      <c r="H3830">
        <v>354</v>
      </c>
      <c r="I3830">
        <v>8.87</v>
      </c>
      <c r="J3830">
        <v>8.88</v>
      </c>
      <c r="K3830" t="s">
        <v>18595</v>
      </c>
      <c r="L3830">
        <v>0.85</v>
      </c>
      <c r="M3830" t="s">
        <v>46</v>
      </c>
      <c r="N3830" t="s">
        <v>18242</v>
      </c>
      <c r="O3830">
        <v>8.96</v>
      </c>
      <c r="P3830">
        <v>8.81</v>
      </c>
      <c r="Q3830">
        <v>8.81</v>
      </c>
      <c r="R3830">
        <v>8.9</v>
      </c>
      <c r="S3830">
        <v>1.69</v>
      </c>
      <c r="T3830">
        <v>1.17</v>
      </c>
      <c r="U3830">
        <v>-29.63</v>
      </c>
      <c r="V3830">
        <v>-470</v>
      </c>
      <c r="W3830">
        <v>8.89</v>
      </c>
      <c r="X3830" t="s">
        <v>5237</v>
      </c>
      <c r="Y3830" t="s">
        <v>1455</v>
      </c>
      <c r="Z3830">
        <v>1.04</v>
      </c>
      <c r="AA3830">
        <v>56</v>
      </c>
      <c r="AB3830">
        <v>728</v>
      </c>
      <c r="AC3830">
        <v>1.45</v>
      </c>
      <c r="AD3830" t="s">
        <v>6227</v>
      </c>
      <c r="AE3830" t="s">
        <v>18596</v>
      </c>
      <c r="AF3830" t="s">
        <v>10625</v>
      </c>
      <c r="AG3830" t="s">
        <v>7970</v>
      </c>
      <c r="AH3830">
        <v>-0.11</v>
      </c>
      <c r="AI3830">
        <v>-1.33</v>
      </c>
      <c r="AJ3830">
        <v>2.25</v>
      </c>
      <c r="AK3830">
        <v>4.47</v>
      </c>
      <c r="AL3830">
        <v>-1</v>
      </c>
      <c r="AM3830">
        <v>-0.22</v>
      </c>
      <c r="AN3830">
        <v>15.93</v>
      </c>
      <c r="AO3830">
        <v>2.3</v>
      </c>
      <c r="AP3830">
        <v>12.83</v>
      </c>
    </row>
    <row r="3831" spans="1:42">
      <c r="A3831">
        <v>3830</v>
      </c>
      <c r="B3831" t="str">
        <f>"300195"</f>
        <v>300195</v>
      </c>
      <c r="C3831" t="s">
        <v>18597</v>
      </c>
      <c r="D3831">
        <v>6.54</v>
      </c>
      <c r="E3831">
        <v>0.62</v>
      </c>
      <c r="F3831">
        <v>0.04</v>
      </c>
      <c r="G3831" t="s">
        <v>7374</v>
      </c>
      <c r="H3831">
        <v>438</v>
      </c>
      <c r="I3831">
        <v>6.53</v>
      </c>
      <c r="J3831">
        <v>6.54</v>
      </c>
      <c r="K3831" t="s">
        <v>18595</v>
      </c>
      <c r="L3831">
        <v>1.74</v>
      </c>
      <c r="M3831" t="s">
        <v>46</v>
      </c>
      <c r="N3831" t="s">
        <v>1568</v>
      </c>
      <c r="O3831">
        <v>6.56</v>
      </c>
      <c r="P3831">
        <v>6.46</v>
      </c>
      <c r="Q3831">
        <v>6.5</v>
      </c>
      <c r="R3831">
        <v>6.5</v>
      </c>
      <c r="S3831">
        <v>1.54</v>
      </c>
      <c r="T3831">
        <v>0.89</v>
      </c>
      <c r="U3831">
        <v>2.44</v>
      </c>
      <c r="V3831">
        <v>118</v>
      </c>
      <c r="W3831">
        <v>6.52</v>
      </c>
      <c r="X3831" t="s">
        <v>8622</v>
      </c>
      <c r="Y3831" t="s">
        <v>3110</v>
      </c>
      <c r="Z3831">
        <v>1.17</v>
      </c>
      <c r="AA3831">
        <v>189</v>
      </c>
      <c r="AB3831">
        <v>213</v>
      </c>
      <c r="AC3831">
        <v>1.04</v>
      </c>
      <c r="AD3831" t="s">
        <v>2510</v>
      </c>
      <c r="AE3831" t="s">
        <v>10195</v>
      </c>
      <c r="AF3831" t="s">
        <v>12410</v>
      </c>
      <c r="AG3831" t="s">
        <v>18598</v>
      </c>
      <c r="AH3831">
        <v>-0.3</v>
      </c>
      <c r="AI3831">
        <v>-0.91</v>
      </c>
      <c r="AJ3831">
        <v>5.68</v>
      </c>
      <c r="AK3831">
        <v>11.54</v>
      </c>
      <c r="AL3831">
        <v>1</v>
      </c>
      <c r="AM3831">
        <v>0.62</v>
      </c>
      <c r="AN3831">
        <v>21.79</v>
      </c>
      <c r="AO3831">
        <v>4.14</v>
      </c>
      <c r="AP3831">
        <v>20.89</v>
      </c>
    </row>
    <row r="3832" spans="1:42">
      <c r="A3832">
        <v>3831</v>
      </c>
      <c r="B3832" t="str">
        <f>"600764"</f>
        <v>600764</v>
      </c>
      <c r="C3832" t="s">
        <v>18599</v>
      </c>
      <c r="D3832">
        <v>22.89</v>
      </c>
      <c r="E3832">
        <v>0.18</v>
      </c>
      <c r="F3832">
        <v>0.04</v>
      </c>
      <c r="G3832" t="s">
        <v>8212</v>
      </c>
      <c r="H3832">
        <v>250</v>
      </c>
      <c r="I3832">
        <v>22.88</v>
      </c>
      <c r="J3832">
        <v>22.89</v>
      </c>
      <c r="K3832" t="s">
        <v>18600</v>
      </c>
      <c r="L3832">
        <v>0.22</v>
      </c>
      <c r="M3832" t="s">
        <v>46</v>
      </c>
      <c r="N3832" t="s">
        <v>2088</v>
      </c>
      <c r="O3832">
        <v>22.94</v>
      </c>
      <c r="P3832">
        <v>22.45</v>
      </c>
      <c r="Q3832">
        <v>22.79</v>
      </c>
      <c r="R3832">
        <v>22.85</v>
      </c>
      <c r="S3832">
        <v>2.14</v>
      </c>
      <c r="T3832">
        <v>1.05</v>
      </c>
      <c r="U3832">
        <v>-14.29</v>
      </c>
      <c r="V3832">
        <v>-73</v>
      </c>
      <c r="W3832">
        <v>22.71</v>
      </c>
      <c r="X3832">
        <v>6960</v>
      </c>
      <c r="Y3832">
        <v>8680</v>
      </c>
      <c r="Z3832">
        <v>0.8</v>
      </c>
      <c r="AA3832">
        <v>179</v>
      </c>
      <c r="AB3832">
        <v>14</v>
      </c>
      <c r="AC3832">
        <v>2.1</v>
      </c>
      <c r="AD3832" t="s">
        <v>18601</v>
      </c>
      <c r="AE3832" t="s">
        <v>18602</v>
      </c>
      <c r="AF3832" t="s">
        <v>18601</v>
      </c>
      <c r="AG3832" t="s">
        <v>18602</v>
      </c>
      <c r="AH3832">
        <v>-0.69</v>
      </c>
      <c r="AI3832">
        <v>-0.61</v>
      </c>
      <c r="AJ3832">
        <v>0.71</v>
      </c>
      <c r="AK3832">
        <v>1.26</v>
      </c>
      <c r="AL3832">
        <v>1</v>
      </c>
      <c r="AM3832">
        <v>0.18</v>
      </c>
      <c r="AN3832">
        <v>0.79</v>
      </c>
      <c r="AO3832">
        <v>6.56</v>
      </c>
      <c r="AP3832">
        <v>-2.22</v>
      </c>
    </row>
    <row r="3833" spans="1:42">
      <c r="A3833">
        <v>3832</v>
      </c>
      <c r="B3833" t="str">
        <f>"600477"</f>
        <v>600477</v>
      </c>
      <c r="C3833" t="s">
        <v>18603</v>
      </c>
      <c r="D3833">
        <v>3.36</v>
      </c>
      <c r="E3833">
        <v>0.6</v>
      </c>
      <c r="F3833">
        <v>0.02</v>
      </c>
      <c r="G3833" t="s">
        <v>1128</v>
      </c>
      <c r="H3833">
        <v>1706</v>
      </c>
      <c r="I3833">
        <v>3.35</v>
      </c>
      <c r="J3833">
        <v>3.36</v>
      </c>
      <c r="K3833" t="s">
        <v>18604</v>
      </c>
      <c r="L3833">
        <v>0.45</v>
      </c>
      <c r="M3833" t="s">
        <v>46</v>
      </c>
      <c r="N3833" t="s">
        <v>11272</v>
      </c>
      <c r="O3833">
        <v>3.37</v>
      </c>
      <c r="P3833">
        <v>3.32</v>
      </c>
      <c r="Q3833">
        <v>3.35</v>
      </c>
      <c r="R3833">
        <v>3.34</v>
      </c>
      <c r="S3833">
        <v>1.5</v>
      </c>
      <c r="T3833">
        <v>0.7</v>
      </c>
      <c r="U3833">
        <v>18.77</v>
      </c>
      <c r="V3833">
        <v>7861</v>
      </c>
      <c r="W3833">
        <v>3.35</v>
      </c>
      <c r="X3833" t="s">
        <v>2559</v>
      </c>
      <c r="Y3833" t="s">
        <v>4517</v>
      </c>
      <c r="Z3833">
        <v>0.73</v>
      </c>
      <c r="AA3833">
        <v>5826</v>
      </c>
      <c r="AB3833">
        <v>1161</v>
      </c>
      <c r="AC3833">
        <v>1.52</v>
      </c>
      <c r="AD3833" t="s">
        <v>18605</v>
      </c>
      <c r="AE3833" t="s">
        <v>18606</v>
      </c>
      <c r="AF3833" t="s">
        <v>18605</v>
      </c>
      <c r="AG3833" t="s">
        <v>18606</v>
      </c>
      <c r="AH3833">
        <v>-2.04</v>
      </c>
      <c r="AI3833">
        <v>-4.55</v>
      </c>
      <c r="AJ3833">
        <v>1.71</v>
      </c>
      <c r="AK3833">
        <v>3.66</v>
      </c>
      <c r="AL3833">
        <v>1</v>
      </c>
      <c r="AM3833">
        <v>0.6</v>
      </c>
      <c r="AN3833">
        <v>-16.42</v>
      </c>
      <c r="AO3833">
        <v>-2.04</v>
      </c>
      <c r="AP3833">
        <v>-16</v>
      </c>
    </row>
    <row r="3834" spans="1:42">
      <c r="A3834">
        <v>3833</v>
      </c>
      <c r="B3834" t="str">
        <f>"300845"</f>
        <v>300845</v>
      </c>
      <c r="C3834" t="s">
        <v>18607</v>
      </c>
      <c r="D3834">
        <v>19.61</v>
      </c>
      <c r="E3834">
        <v>3.05</v>
      </c>
      <c r="F3834">
        <v>0.58</v>
      </c>
      <c r="G3834" t="s">
        <v>6012</v>
      </c>
      <c r="H3834">
        <v>330</v>
      </c>
      <c r="I3834">
        <v>19.6</v>
      </c>
      <c r="J3834">
        <v>19.61</v>
      </c>
      <c r="K3834" t="s">
        <v>18608</v>
      </c>
      <c r="L3834">
        <v>1.65</v>
      </c>
      <c r="M3834" t="s">
        <v>46</v>
      </c>
      <c r="N3834" t="s">
        <v>8409</v>
      </c>
      <c r="O3834">
        <v>19.68</v>
      </c>
      <c r="P3834">
        <v>18.91</v>
      </c>
      <c r="Q3834">
        <v>19.06</v>
      </c>
      <c r="R3834">
        <v>19.03</v>
      </c>
      <c r="S3834">
        <v>4.05</v>
      </c>
      <c r="T3834">
        <v>1.01</v>
      </c>
      <c r="U3834">
        <v>-33.17</v>
      </c>
      <c r="V3834">
        <v>-133</v>
      </c>
      <c r="W3834">
        <v>19.31</v>
      </c>
      <c r="X3834">
        <v>8131</v>
      </c>
      <c r="Y3834" t="s">
        <v>1154</v>
      </c>
      <c r="Z3834">
        <v>0.79</v>
      </c>
      <c r="AA3834">
        <v>35</v>
      </c>
      <c r="AB3834">
        <v>93</v>
      </c>
      <c r="AC3834">
        <v>2.84</v>
      </c>
      <c r="AD3834" t="s">
        <v>18609</v>
      </c>
      <c r="AE3834" t="s">
        <v>18610</v>
      </c>
      <c r="AF3834" t="s">
        <v>18609</v>
      </c>
      <c r="AG3834" t="s">
        <v>18610</v>
      </c>
      <c r="AH3834">
        <v>0.93</v>
      </c>
      <c r="AI3834">
        <v>-1.06</v>
      </c>
      <c r="AJ3834">
        <v>4.26</v>
      </c>
      <c r="AK3834">
        <v>9.82</v>
      </c>
      <c r="AL3834">
        <v>1</v>
      </c>
      <c r="AM3834">
        <v>3.05</v>
      </c>
      <c r="AN3834">
        <v>8.46</v>
      </c>
      <c r="AO3834">
        <v>6.11</v>
      </c>
      <c r="AP3834">
        <v>-23.7</v>
      </c>
    </row>
    <row r="3835" spans="1:42">
      <c r="A3835">
        <v>3834</v>
      </c>
      <c r="B3835" t="str">
        <f>"838701"</f>
        <v>838701</v>
      </c>
      <c r="C3835" t="s">
        <v>18611</v>
      </c>
      <c r="D3835">
        <v>9.32</v>
      </c>
      <c r="E3835">
        <v>-7.72</v>
      </c>
      <c r="F3835">
        <v>-0.78</v>
      </c>
      <c r="G3835" t="s">
        <v>8663</v>
      </c>
      <c r="H3835">
        <v>1710</v>
      </c>
      <c r="I3835">
        <v>9.31</v>
      </c>
      <c r="J3835">
        <v>9.32</v>
      </c>
      <c r="K3835" t="s">
        <v>18608</v>
      </c>
      <c r="L3835">
        <v>18.73</v>
      </c>
      <c r="M3835" t="s">
        <v>46</v>
      </c>
      <c r="N3835" t="s">
        <v>3067</v>
      </c>
      <c r="O3835">
        <v>10.33</v>
      </c>
      <c r="P3835">
        <v>9.25</v>
      </c>
      <c r="Q3835">
        <v>10.3</v>
      </c>
      <c r="R3835">
        <v>10.1</v>
      </c>
      <c r="S3835">
        <v>10.69</v>
      </c>
      <c r="T3835">
        <v>0.44</v>
      </c>
      <c r="U3835">
        <v>38.36</v>
      </c>
      <c r="V3835">
        <v>171</v>
      </c>
      <c r="W3835">
        <v>9.67</v>
      </c>
      <c r="X3835" t="s">
        <v>3662</v>
      </c>
      <c r="Y3835" t="s">
        <v>1052</v>
      </c>
      <c r="Z3835">
        <v>2.03</v>
      </c>
      <c r="AA3835">
        <v>167</v>
      </c>
      <c r="AB3835">
        <v>22</v>
      </c>
      <c r="AC3835">
        <v>1.7</v>
      </c>
      <c r="AD3835" t="s">
        <v>18612</v>
      </c>
      <c r="AE3835" t="s">
        <v>18613</v>
      </c>
      <c r="AF3835" t="s">
        <v>18614</v>
      </c>
      <c r="AG3835" t="s">
        <v>18615</v>
      </c>
      <c r="AH3835">
        <v>-20.61</v>
      </c>
      <c r="AI3835">
        <v>-6.8</v>
      </c>
      <c r="AJ3835">
        <v>72.08</v>
      </c>
      <c r="AK3835">
        <v>229.52</v>
      </c>
      <c r="AL3835">
        <v>-1</v>
      </c>
      <c r="AM3835">
        <v>-7.72</v>
      </c>
      <c r="AN3835">
        <v>141.45</v>
      </c>
      <c r="AO3835">
        <v>44.72</v>
      </c>
      <c r="AP3835">
        <v>141.45</v>
      </c>
    </row>
    <row r="3836" spans="1:42">
      <c r="A3836">
        <v>3835</v>
      </c>
      <c r="B3836" t="str">
        <f>"000420"</f>
        <v>000420</v>
      </c>
      <c r="C3836" t="s">
        <v>18616</v>
      </c>
      <c r="D3836">
        <v>3.05</v>
      </c>
      <c r="E3836">
        <v>0.66</v>
      </c>
      <c r="F3836">
        <v>0.02</v>
      </c>
      <c r="G3836" t="s">
        <v>1807</v>
      </c>
      <c r="H3836">
        <v>722</v>
      </c>
      <c r="I3836">
        <v>3.04</v>
      </c>
      <c r="J3836">
        <v>3.05</v>
      </c>
      <c r="K3836" t="s">
        <v>18617</v>
      </c>
      <c r="L3836">
        <v>0.48</v>
      </c>
      <c r="M3836" t="s">
        <v>46</v>
      </c>
      <c r="N3836" t="s">
        <v>18618</v>
      </c>
      <c r="O3836">
        <v>3.06</v>
      </c>
      <c r="P3836">
        <v>3.01</v>
      </c>
      <c r="Q3836">
        <v>3.04</v>
      </c>
      <c r="R3836">
        <v>3.03</v>
      </c>
      <c r="S3836">
        <v>1.65</v>
      </c>
      <c r="T3836">
        <v>0.72</v>
      </c>
      <c r="U3836">
        <v>29.99</v>
      </c>
      <c r="V3836" t="s">
        <v>2667</v>
      </c>
      <c r="W3836">
        <v>3.04</v>
      </c>
      <c r="X3836" t="s">
        <v>3255</v>
      </c>
      <c r="Y3836" t="s">
        <v>9996</v>
      </c>
      <c r="Z3836">
        <v>0.74</v>
      </c>
      <c r="AA3836">
        <v>5375</v>
      </c>
      <c r="AB3836">
        <v>564</v>
      </c>
      <c r="AC3836">
        <v>1.71</v>
      </c>
      <c r="AD3836" t="s">
        <v>2848</v>
      </c>
      <c r="AE3836" t="s">
        <v>18619</v>
      </c>
      <c r="AF3836" t="s">
        <v>7257</v>
      </c>
      <c r="AG3836" t="s">
        <v>18620</v>
      </c>
      <c r="AH3836">
        <v>-1.93</v>
      </c>
      <c r="AI3836">
        <v>-3.48</v>
      </c>
      <c r="AJ3836">
        <v>1.73</v>
      </c>
      <c r="AK3836">
        <v>3.77</v>
      </c>
      <c r="AL3836">
        <v>1</v>
      </c>
      <c r="AM3836">
        <v>0.66</v>
      </c>
      <c r="AN3836">
        <v>-31.15</v>
      </c>
      <c r="AO3836">
        <v>0.33</v>
      </c>
      <c r="AP3836">
        <v>-45.54</v>
      </c>
    </row>
    <row r="3837" spans="1:42">
      <c r="A3837">
        <v>3836</v>
      </c>
      <c r="B3837" t="str">
        <f>"688551"</f>
        <v>688551</v>
      </c>
      <c r="C3837" t="s">
        <v>18621</v>
      </c>
      <c r="D3837">
        <v>49.71</v>
      </c>
      <c r="E3837">
        <v>-0.96</v>
      </c>
      <c r="F3837">
        <v>-0.48</v>
      </c>
      <c r="G3837">
        <v>7143</v>
      </c>
      <c r="H3837">
        <v>81</v>
      </c>
      <c r="I3837">
        <v>49.71</v>
      </c>
      <c r="J3837">
        <v>49.76</v>
      </c>
      <c r="K3837" t="s">
        <v>18622</v>
      </c>
      <c r="L3837">
        <v>1.34</v>
      </c>
      <c r="M3837" t="s">
        <v>46</v>
      </c>
      <c r="N3837" t="s">
        <v>4102</v>
      </c>
      <c r="O3837">
        <v>50.55</v>
      </c>
      <c r="P3837">
        <v>48.99</v>
      </c>
      <c r="Q3837">
        <v>49.51</v>
      </c>
      <c r="R3837">
        <v>50.19</v>
      </c>
      <c r="S3837">
        <v>3.11</v>
      </c>
      <c r="T3837">
        <v>0.71</v>
      </c>
      <c r="U3837">
        <v>-46.51</v>
      </c>
      <c r="V3837">
        <v>-34</v>
      </c>
      <c r="W3837">
        <v>49.69</v>
      </c>
      <c r="X3837">
        <v>2945</v>
      </c>
      <c r="Y3837">
        <v>4198</v>
      </c>
      <c r="Z3837">
        <v>0.7</v>
      </c>
      <c r="AA3837">
        <v>8</v>
      </c>
      <c r="AB3837">
        <v>10</v>
      </c>
      <c r="AC3837">
        <v>3.7</v>
      </c>
      <c r="AD3837" t="s">
        <v>18623</v>
      </c>
      <c r="AE3837" t="s">
        <v>18624</v>
      </c>
      <c r="AF3837" t="s">
        <v>18625</v>
      </c>
      <c r="AG3837" t="s">
        <v>11848</v>
      </c>
      <c r="AH3837">
        <v>1.45</v>
      </c>
      <c r="AI3837">
        <v>6.67</v>
      </c>
      <c r="AJ3837">
        <v>6.52</v>
      </c>
      <c r="AK3837">
        <v>10.79</v>
      </c>
      <c r="AL3837">
        <v>-2</v>
      </c>
      <c r="AM3837">
        <v>-0.96</v>
      </c>
      <c r="AN3837">
        <v>2.64</v>
      </c>
      <c r="AO3837">
        <v>8.07</v>
      </c>
      <c r="AP3837">
        <v>-0.66</v>
      </c>
    </row>
    <row r="3838" spans="1:42">
      <c r="A3838">
        <v>3837</v>
      </c>
      <c r="B3838" t="str">
        <f>"300668"</f>
        <v>300668</v>
      </c>
      <c r="C3838" t="s">
        <v>18626</v>
      </c>
      <c r="D3838">
        <v>23.42</v>
      </c>
      <c r="E3838">
        <v>-0.17</v>
      </c>
      <c r="F3838">
        <v>-0.04</v>
      </c>
      <c r="G3838" t="s">
        <v>61</v>
      </c>
      <c r="H3838">
        <v>281</v>
      </c>
      <c r="I3838">
        <v>23.42</v>
      </c>
      <c r="J3838">
        <v>23.44</v>
      </c>
      <c r="K3838" t="s">
        <v>18622</v>
      </c>
      <c r="L3838">
        <v>1.93</v>
      </c>
      <c r="M3838" t="s">
        <v>46</v>
      </c>
      <c r="N3838" t="s">
        <v>2635</v>
      </c>
      <c r="O3838">
        <v>23.79</v>
      </c>
      <c r="P3838">
        <v>23.05</v>
      </c>
      <c r="Q3838">
        <v>23.47</v>
      </c>
      <c r="R3838">
        <v>23.46</v>
      </c>
      <c r="S3838">
        <v>3.15</v>
      </c>
      <c r="T3838">
        <v>1.35</v>
      </c>
      <c r="U3838">
        <v>-47.46</v>
      </c>
      <c r="V3838">
        <v>-112</v>
      </c>
      <c r="W3838">
        <v>23.35</v>
      </c>
      <c r="X3838">
        <v>8075</v>
      </c>
      <c r="Y3838">
        <v>7126</v>
      </c>
      <c r="Z3838">
        <v>1.13</v>
      </c>
      <c r="AA3838">
        <v>40</v>
      </c>
      <c r="AB3838">
        <v>30</v>
      </c>
      <c r="AC3838">
        <v>3.66</v>
      </c>
      <c r="AD3838" t="s">
        <v>266</v>
      </c>
      <c r="AE3838" t="s">
        <v>10484</v>
      </c>
      <c r="AF3838" t="s">
        <v>18627</v>
      </c>
      <c r="AG3838" t="s">
        <v>18113</v>
      </c>
      <c r="AH3838">
        <v>1.83</v>
      </c>
      <c r="AI3838">
        <v>-0.04</v>
      </c>
      <c r="AJ3838">
        <v>4.2</v>
      </c>
      <c r="AK3838">
        <v>9.08</v>
      </c>
      <c r="AL3838">
        <v>-1</v>
      </c>
      <c r="AM3838">
        <v>-0.17</v>
      </c>
      <c r="AN3838">
        <v>19</v>
      </c>
      <c r="AO3838">
        <v>6.36</v>
      </c>
      <c r="AP3838">
        <v>20.29</v>
      </c>
    </row>
    <row r="3839" spans="1:42">
      <c r="A3839">
        <v>3838</v>
      </c>
      <c r="B3839" t="str">
        <f>"300956"</f>
        <v>300956</v>
      </c>
      <c r="C3839" t="s">
        <v>18628</v>
      </c>
      <c r="D3839">
        <v>18.26</v>
      </c>
      <c r="E3839">
        <v>-0.49</v>
      </c>
      <c r="F3839">
        <v>-0.09</v>
      </c>
      <c r="G3839" t="s">
        <v>10934</v>
      </c>
      <c r="H3839">
        <v>292</v>
      </c>
      <c r="I3839">
        <v>18.26</v>
      </c>
      <c r="J3839">
        <v>18.27</v>
      </c>
      <c r="K3839" t="s">
        <v>18622</v>
      </c>
      <c r="L3839">
        <v>3.39</v>
      </c>
      <c r="M3839" t="s">
        <v>46</v>
      </c>
      <c r="N3839" t="s">
        <v>289</v>
      </c>
      <c r="O3839">
        <v>18.49</v>
      </c>
      <c r="P3839">
        <v>18.16</v>
      </c>
      <c r="Q3839">
        <v>18.48</v>
      </c>
      <c r="R3839">
        <v>18.35</v>
      </c>
      <c r="S3839">
        <v>1.8</v>
      </c>
      <c r="T3839">
        <v>0.88</v>
      </c>
      <c r="U3839">
        <v>21.05</v>
      </c>
      <c r="V3839">
        <v>112</v>
      </c>
      <c r="W3839">
        <v>18.36</v>
      </c>
      <c r="X3839">
        <v>9652</v>
      </c>
      <c r="Y3839">
        <v>9680</v>
      </c>
      <c r="Z3839">
        <v>1</v>
      </c>
      <c r="AA3839">
        <v>24</v>
      </c>
      <c r="AB3839">
        <v>83</v>
      </c>
      <c r="AC3839">
        <v>2.37</v>
      </c>
      <c r="AD3839" t="s">
        <v>3221</v>
      </c>
      <c r="AE3839" t="s">
        <v>18629</v>
      </c>
      <c r="AF3839" t="s">
        <v>15127</v>
      </c>
      <c r="AG3839" t="s">
        <v>1053</v>
      </c>
      <c r="AH3839">
        <v>-2.98</v>
      </c>
      <c r="AI3839">
        <v>-1.46</v>
      </c>
      <c r="AJ3839">
        <v>9.99</v>
      </c>
      <c r="AK3839">
        <v>22.75</v>
      </c>
      <c r="AL3839">
        <v>-3</v>
      </c>
      <c r="AM3839">
        <v>-0.49</v>
      </c>
      <c r="AN3839">
        <v>35.06</v>
      </c>
      <c r="AO3839">
        <v>-0.81</v>
      </c>
      <c r="AP3839">
        <v>21.17</v>
      </c>
    </row>
    <row r="3840" spans="1:42">
      <c r="A3840">
        <v>3839</v>
      </c>
      <c r="B3840" t="str">
        <f>"003009"</f>
        <v>003009</v>
      </c>
      <c r="C3840" t="s">
        <v>18630</v>
      </c>
      <c r="D3840">
        <v>44.42</v>
      </c>
      <c r="E3840">
        <v>1.09</v>
      </c>
      <c r="F3840">
        <v>0.48</v>
      </c>
      <c r="G3840">
        <v>8028</v>
      </c>
      <c r="H3840">
        <v>167</v>
      </c>
      <c r="I3840">
        <v>44.42</v>
      </c>
      <c r="J3840">
        <v>44.43</v>
      </c>
      <c r="K3840" t="s">
        <v>18631</v>
      </c>
      <c r="L3840">
        <v>0.52</v>
      </c>
      <c r="M3840" t="s">
        <v>46</v>
      </c>
      <c r="N3840" t="s">
        <v>10939</v>
      </c>
      <c r="O3840">
        <v>44.58</v>
      </c>
      <c r="P3840">
        <v>43.74</v>
      </c>
      <c r="Q3840">
        <v>43.88</v>
      </c>
      <c r="R3840">
        <v>43.94</v>
      </c>
      <c r="S3840">
        <v>1.91</v>
      </c>
      <c r="T3840">
        <v>0.64</v>
      </c>
      <c r="U3840">
        <v>6.27</v>
      </c>
      <c r="V3840">
        <v>17</v>
      </c>
      <c r="W3840">
        <v>44.2</v>
      </c>
      <c r="X3840">
        <v>4209</v>
      </c>
      <c r="Y3840">
        <v>3819</v>
      </c>
      <c r="Z3840">
        <v>1.1</v>
      </c>
      <c r="AA3840">
        <v>47</v>
      </c>
      <c r="AB3840">
        <v>48</v>
      </c>
      <c r="AC3840">
        <v>4.58</v>
      </c>
      <c r="AD3840" t="s">
        <v>18632</v>
      </c>
      <c r="AE3840" t="s">
        <v>7646</v>
      </c>
      <c r="AF3840" t="s">
        <v>18632</v>
      </c>
      <c r="AG3840" t="s">
        <v>7646</v>
      </c>
      <c r="AH3840">
        <v>-0.07</v>
      </c>
      <c r="AI3840">
        <v>-3.94</v>
      </c>
      <c r="AJ3840">
        <v>1.75</v>
      </c>
      <c r="AK3840">
        <v>4.56</v>
      </c>
      <c r="AL3840">
        <v>1</v>
      </c>
      <c r="AM3840">
        <v>1.09</v>
      </c>
      <c r="AN3840">
        <v>12.86</v>
      </c>
      <c r="AO3840">
        <v>-4.12</v>
      </c>
      <c r="AP3840">
        <v>3.81</v>
      </c>
    </row>
    <row r="3841" spans="1:42">
      <c r="A3841">
        <v>3840</v>
      </c>
      <c r="B3841" t="str">
        <f>"301053"</f>
        <v>301053</v>
      </c>
      <c r="C3841" t="s">
        <v>18633</v>
      </c>
      <c r="D3841">
        <v>26.42</v>
      </c>
      <c r="E3841">
        <v>-1.23</v>
      </c>
      <c r="F3841">
        <v>-0.33</v>
      </c>
      <c r="G3841" t="s">
        <v>1384</v>
      </c>
      <c r="H3841">
        <v>113</v>
      </c>
      <c r="I3841">
        <v>26.41</v>
      </c>
      <c r="J3841">
        <v>26.42</v>
      </c>
      <c r="K3841" t="s">
        <v>18634</v>
      </c>
      <c r="L3841">
        <v>5.78</v>
      </c>
      <c r="M3841" t="s">
        <v>46</v>
      </c>
      <c r="N3841" t="s">
        <v>3810</v>
      </c>
      <c r="O3841">
        <v>26.75</v>
      </c>
      <c r="P3841">
        <v>26.2</v>
      </c>
      <c r="Q3841">
        <v>26.65</v>
      </c>
      <c r="R3841">
        <v>26.75</v>
      </c>
      <c r="S3841">
        <v>2.06</v>
      </c>
      <c r="T3841">
        <v>0.99</v>
      </c>
      <c r="U3841">
        <v>-29.93</v>
      </c>
      <c r="V3841">
        <v>-41</v>
      </c>
      <c r="W3841">
        <v>26.35</v>
      </c>
      <c r="X3841">
        <v>7364</v>
      </c>
      <c r="Y3841">
        <v>6092</v>
      </c>
      <c r="Z3841">
        <v>1.21</v>
      </c>
      <c r="AA3841">
        <v>14</v>
      </c>
      <c r="AB3841">
        <v>4</v>
      </c>
      <c r="AC3841">
        <v>3.69</v>
      </c>
      <c r="AD3841" t="s">
        <v>9579</v>
      </c>
      <c r="AE3841" t="s">
        <v>18635</v>
      </c>
      <c r="AF3841" t="s">
        <v>18636</v>
      </c>
      <c r="AG3841" t="s">
        <v>18637</v>
      </c>
      <c r="AH3841">
        <v>-3.26</v>
      </c>
      <c r="AI3841">
        <v>-2.8</v>
      </c>
      <c r="AJ3841">
        <v>16.18</v>
      </c>
      <c r="AK3841">
        <v>34.94</v>
      </c>
      <c r="AL3841">
        <v>-3</v>
      </c>
      <c r="AM3841">
        <v>-1.23</v>
      </c>
      <c r="AN3841">
        <v>30.86</v>
      </c>
      <c r="AO3841">
        <v>-1.49</v>
      </c>
      <c r="AP3841">
        <v>11.43</v>
      </c>
    </row>
    <row r="3842" spans="1:42">
      <c r="A3842">
        <v>3841</v>
      </c>
      <c r="B3842" t="str">
        <f>"000523"</f>
        <v>000523</v>
      </c>
      <c r="C3842" t="s">
        <v>18638</v>
      </c>
      <c r="D3842">
        <v>3.31</v>
      </c>
      <c r="E3842">
        <v>0.91</v>
      </c>
      <c r="F3842">
        <v>0.03</v>
      </c>
      <c r="G3842" t="s">
        <v>1909</v>
      </c>
      <c r="H3842">
        <v>575</v>
      </c>
      <c r="I3842">
        <v>3.31</v>
      </c>
      <c r="J3842">
        <v>3.32</v>
      </c>
      <c r="K3842" t="s">
        <v>18639</v>
      </c>
      <c r="L3842">
        <v>0.78</v>
      </c>
      <c r="M3842" t="s">
        <v>46</v>
      </c>
      <c r="N3842" t="s">
        <v>9913</v>
      </c>
      <c r="O3842">
        <v>3.33</v>
      </c>
      <c r="P3842">
        <v>3.26</v>
      </c>
      <c r="Q3842">
        <v>3.27</v>
      </c>
      <c r="R3842">
        <v>3.28</v>
      </c>
      <c r="S3842">
        <v>2.13</v>
      </c>
      <c r="T3842">
        <v>1.19</v>
      </c>
      <c r="U3842">
        <v>-56.83</v>
      </c>
      <c r="V3842" t="s">
        <v>18640</v>
      </c>
      <c r="W3842">
        <v>3.31</v>
      </c>
      <c r="X3842" t="s">
        <v>5028</v>
      </c>
      <c r="Y3842" t="s">
        <v>3030</v>
      </c>
      <c r="Z3842">
        <v>0.84</v>
      </c>
      <c r="AA3842">
        <v>1595</v>
      </c>
      <c r="AB3842">
        <v>6501</v>
      </c>
      <c r="AC3842">
        <v>4.63</v>
      </c>
      <c r="AD3842" t="s">
        <v>18641</v>
      </c>
      <c r="AE3842" t="s">
        <v>18642</v>
      </c>
      <c r="AF3842" t="s">
        <v>18643</v>
      </c>
      <c r="AG3842" t="s">
        <v>18644</v>
      </c>
      <c r="AH3842">
        <v>0.3</v>
      </c>
      <c r="AI3842">
        <v>1.53</v>
      </c>
      <c r="AJ3842">
        <v>1.9</v>
      </c>
      <c r="AK3842">
        <v>4.06</v>
      </c>
      <c r="AL3842">
        <v>1</v>
      </c>
      <c r="AM3842">
        <v>0.91</v>
      </c>
      <c r="AN3842">
        <v>-13.8</v>
      </c>
      <c r="AO3842">
        <v>3.76</v>
      </c>
      <c r="AP3842">
        <v>-11.02</v>
      </c>
    </row>
    <row r="3843" spans="1:42">
      <c r="A3843">
        <v>3842</v>
      </c>
      <c r="B3843" t="str">
        <f>"000881"</f>
        <v>000881</v>
      </c>
      <c r="C3843" t="s">
        <v>18645</v>
      </c>
      <c r="D3843">
        <v>7.4</v>
      </c>
      <c r="E3843">
        <v>0.54</v>
      </c>
      <c r="F3843">
        <v>0.04</v>
      </c>
      <c r="G3843" t="s">
        <v>4928</v>
      </c>
      <c r="H3843">
        <v>303</v>
      </c>
      <c r="I3843">
        <v>7.39</v>
      </c>
      <c r="J3843">
        <v>7.4</v>
      </c>
      <c r="K3843" t="s">
        <v>18646</v>
      </c>
      <c r="L3843">
        <v>0.62</v>
      </c>
      <c r="M3843" t="s">
        <v>46</v>
      </c>
      <c r="N3843" t="s">
        <v>7846</v>
      </c>
      <c r="O3843">
        <v>7.43</v>
      </c>
      <c r="P3843">
        <v>7.33</v>
      </c>
      <c r="Q3843">
        <v>7.35</v>
      </c>
      <c r="R3843">
        <v>7.36</v>
      </c>
      <c r="S3843">
        <v>1.36</v>
      </c>
      <c r="T3843">
        <v>0.95</v>
      </c>
      <c r="U3843">
        <v>-1.47</v>
      </c>
      <c r="V3843">
        <v>-83</v>
      </c>
      <c r="W3843">
        <v>7.38</v>
      </c>
      <c r="X3843" t="s">
        <v>2877</v>
      </c>
      <c r="Y3843" t="s">
        <v>6418</v>
      </c>
      <c r="Z3843">
        <v>0.7</v>
      </c>
      <c r="AA3843">
        <v>668</v>
      </c>
      <c r="AB3843">
        <v>479</v>
      </c>
      <c r="AC3843">
        <v>1.13</v>
      </c>
      <c r="AD3843" t="s">
        <v>18647</v>
      </c>
      <c r="AE3843" t="s">
        <v>18648</v>
      </c>
      <c r="AF3843" t="s">
        <v>18649</v>
      </c>
      <c r="AG3843" t="s">
        <v>18650</v>
      </c>
      <c r="AH3843">
        <v>-0.67</v>
      </c>
      <c r="AI3843">
        <v>-1.2</v>
      </c>
      <c r="AJ3843">
        <v>1.74</v>
      </c>
      <c r="AK3843">
        <v>3.87</v>
      </c>
      <c r="AL3843">
        <v>1</v>
      </c>
      <c r="AM3843">
        <v>0.54</v>
      </c>
      <c r="AN3843">
        <v>-3.77</v>
      </c>
      <c r="AO3843">
        <v>1.23</v>
      </c>
      <c r="AP3843">
        <v>-1.73</v>
      </c>
    </row>
    <row r="3844" spans="1:42">
      <c r="A3844">
        <v>3843</v>
      </c>
      <c r="B3844" t="str">
        <f>"300970"</f>
        <v>300970</v>
      </c>
      <c r="C3844" t="s">
        <v>18651</v>
      </c>
      <c r="D3844">
        <v>18.19</v>
      </c>
      <c r="E3844">
        <v>0.17</v>
      </c>
      <c r="F3844">
        <v>0.03</v>
      </c>
      <c r="G3844" t="s">
        <v>6425</v>
      </c>
      <c r="H3844">
        <v>139</v>
      </c>
      <c r="I3844">
        <v>18.18</v>
      </c>
      <c r="J3844">
        <v>18.19</v>
      </c>
      <c r="K3844" t="s">
        <v>18652</v>
      </c>
      <c r="L3844">
        <v>2.8</v>
      </c>
      <c r="M3844" t="s">
        <v>46</v>
      </c>
      <c r="N3844" t="s">
        <v>18653</v>
      </c>
      <c r="O3844">
        <v>18.28</v>
      </c>
      <c r="P3844">
        <v>18.03</v>
      </c>
      <c r="Q3844">
        <v>18.19</v>
      </c>
      <c r="R3844">
        <v>18.16</v>
      </c>
      <c r="S3844">
        <v>1.38</v>
      </c>
      <c r="T3844">
        <v>1.08</v>
      </c>
      <c r="U3844">
        <v>-6.45</v>
      </c>
      <c r="V3844">
        <v>-32</v>
      </c>
      <c r="W3844">
        <v>18.21</v>
      </c>
      <c r="X3844" t="s">
        <v>4443</v>
      </c>
      <c r="Y3844">
        <v>8475</v>
      </c>
      <c r="Z3844">
        <v>1.29</v>
      </c>
      <c r="AA3844">
        <v>48</v>
      </c>
      <c r="AB3844">
        <v>172</v>
      </c>
      <c r="AC3844">
        <v>1.36</v>
      </c>
      <c r="AD3844" t="s">
        <v>18654</v>
      </c>
      <c r="AE3844" t="s">
        <v>7926</v>
      </c>
      <c r="AF3844" t="s">
        <v>18655</v>
      </c>
      <c r="AG3844" t="s">
        <v>18176</v>
      </c>
      <c r="AH3844">
        <v>-0.93</v>
      </c>
      <c r="AI3844">
        <v>-0.44</v>
      </c>
      <c r="AJ3844">
        <v>7.35</v>
      </c>
      <c r="AK3844">
        <v>15.76</v>
      </c>
      <c r="AL3844">
        <v>1</v>
      </c>
      <c r="AM3844">
        <v>0.17</v>
      </c>
      <c r="AN3844">
        <v>3.35</v>
      </c>
      <c r="AO3844">
        <v>1.96</v>
      </c>
      <c r="AP3844">
        <v>3.59</v>
      </c>
    </row>
    <row r="3845" spans="1:42">
      <c r="A3845">
        <v>3844</v>
      </c>
      <c r="B3845" t="str">
        <f>"688553"</f>
        <v>688553</v>
      </c>
      <c r="C3845" t="s">
        <v>18656</v>
      </c>
      <c r="D3845">
        <v>15.08</v>
      </c>
      <c r="E3845">
        <v>1.34</v>
      </c>
      <c r="F3845">
        <v>0.2</v>
      </c>
      <c r="G3845" t="s">
        <v>2818</v>
      </c>
      <c r="H3845">
        <v>69</v>
      </c>
      <c r="I3845">
        <v>15.08</v>
      </c>
      <c r="J3845">
        <v>15.09</v>
      </c>
      <c r="K3845" t="s">
        <v>18657</v>
      </c>
      <c r="L3845">
        <v>0.81</v>
      </c>
      <c r="M3845" t="s">
        <v>46</v>
      </c>
      <c r="N3845" t="s">
        <v>13389</v>
      </c>
      <c r="O3845">
        <v>15.13</v>
      </c>
      <c r="P3845">
        <v>14.84</v>
      </c>
      <c r="Q3845">
        <v>14.84</v>
      </c>
      <c r="R3845">
        <v>14.88</v>
      </c>
      <c r="S3845">
        <v>1.95</v>
      </c>
      <c r="T3845">
        <v>1.12</v>
      </c>
      <c r="U3845">
        <v>-56.32</v>
      </c>
      <c r="V3845">
        <v>-310</v>
      </c>
      <c r="W3845">
        <v>15.01</v>
      </c>
      <c r="X3845" t="s">
        <v>2807</v>
      </c>
      <c r="Y3845" t="s">
        <v>2547</v>
      </c>
      <c r="Z3845">
        <v>0.89</v>
      </c>
      <c r="AA3845">
        <v>26</v>
      </c>
      <c r="AB3845">
        <v>0</v>
      </c>
      <c r="AC3845">
        <v>1.72</v>
      </c>
      <c r="AD3845" t="s">
        <v>5952</v>
      </c>
      <c r="AE3845" t="s">
        <v>18658</v>
      </c>
      <c r="AF3845" t="s">
        <v>12618</v>
      </c>
      <c r="AG3845" t="s">
        <v>18659</v>
      </c>
      <c r="AH3845">
        <v>-0.53</v>
      </c>
      <c r="AI3845">
        <v>-2.08</v>
      </c>
      <c r="AJ3845">
        <v>2.15</v>
      </c>
      <c r="AK3845">
        <v>4.41</v>
      </c>
      <c r="AL3845">
        <v>1</v>
      </c>
      <c r="AM3845">
        <v>1.34</v>
      </c>
      <c r="AN3845">
        <v>-1.82</v>
      </c>
      <c r="AO3845">
        <v>1.55</v>
      </c>
      <c r="AP3845">
        <v>-17.69</v>
      </c>
    </row>
    <row r="3846" spans="1:42">
      <c r="A3846">
        <v>3845</v>
      </c>
      <c r="B3846" t="str">
        <f>"300540"</f>
        <v>300540</v>
      </c>
      <c r="C3846" t="s">
        <v>18660</v>
      </c>
      <c r="D3846">
        <v>23.78</v>
      </c>
      <c r="E3846">
        <v>-2.18</v>
      </c>
      <c r="F3846">
        <v>-0.53</v>
      </c>
      <c r="G3846" t="s">
        <v>7656</v>
      </c>
      <c r="H3846">
        <v>228</v>
      </c>
      <c r="I3846">
        <v>23.76</v>
      </c>
      <c r="J3846">
        <v>23.78</v>
      </c>
      <c r="K3846" t="s">
        <v>18661</v>
      </c>
      <c r="L3846">
        <v>1.36</v>
      </c>
      <c r="M3846" t="s">
        <v>46</v>
      </c>
      <c r="N3846" t="s">
        <v>4181</v>
      </c>
      <c r="O3846">
        <v>24.29</v>
      </c>
      <c r="P3846">
        <v>23.75</v>
      </c>
      <c r="Q3846">
        <v>24.16</v>
      </c>
      <c r="R3846">
        <v>24.31</v>
      </c>
      <c r="S3846">
        <v>2.22</v>
      </c>
      <c r="T3846">
        <v>0.94</v>
      </c>
      <c r="U3846">
        <v>-27.18</v>
      </c>
      <c r="V3846">
        <v>-259</v>
      </c>
      <c r="W3846">
        <v>23.86</v>
      </c>
      <c r="X3846">
        <v>8447</v>
      </c>
      <c r="Y3846">
        <v>6368</v>
      </c>
      <c r="Z3846">
        <v>1.33</v>
      </c>
      <c r="AA3846">
        <v>96</v>
      </c>
      <c r="AB3846">
        <v>473</v>
      </c>
      <c r="AC3846">
        <v>3.84</v>
      </c>
      <c r="AD3846" t="s">
        <v>18662</v>
      </c>
      <c r="AE3846" t="s">
        <v>18663</v>
      </c>
      <c r="AF3846" t="s">
        <v>18664</v>
      </c>
      <c r="AG3846" t="s">
        <v>18665</v>
      </c>
      <c r="AH3846">
        <v>-2.18</v>
      </c>
      <c r="AI3846">
        <v>-1.86</v>
      </c>
      <c r="AJ3846">
        <v>4.2</v>
      </c>
      <c r="AK3846">
        <v>8.61</v>
      </c>
      <c r="AL3846">
        <v>-1</v>
      </c>
      <c r="AM3846">
        <v>-2.18</v>
      </c>
      <c r="AN3846">
        <v>43.6</v>
      </c>
      <c r="AO3846">
        <v>5.36</v>
      </c>
      <c r="AP3846">
        <v>27.71</v>
      </c>
    </row>
    <row r="3847" spans="1:42">
      <c r="A3847">
        <v>3846</v>
      </c>
      <c r="B3847" t="str">
        <f>"300387"</f>
        <v>300387</v>
      </c>
      <c r="C3847" t="s">
        <v>18666</v>
      </c>
      <c r="D3847">
        <v>7.71</v>
      </c>
      <c r="E3847">
        <v>-0.39</v>
      </c>
      <c r="F3847">
        <v>-0.03</v>
      </c>
      <c r="G3847" t="s">
        <v>5645</v>
      </c>
      <c r="H3847">
        <v>1258</v>
      </c>
      <c r="I3847">
        <v>7.71</v>
      </c>
      <c r="J3847">
        <v>7.72</v>
      </c>
      <c r="K3847" t="s">
        <v>18667</v>
      </c>
      <c r="L3847">
        <v>1.63</v>
      </c>
      <c r="M3847" t="s">
        <v>46</v>
      </c>
      <c r="N3847" t="s">
        <v>1839</v>
      </c>
      <c r="O3847">
        <v>7.78</v>
      </c>
      <c r="P3847">
        <v>7.67</v>
      </c>
      <c r="Q3847">
        <v>7.76</v>
      </c>
      <c r="R3847">
        <v>7.74</v>
      </c>
      <c r="S3847">
        <v>1.42</v>
      </c>
      <c r="T3847">
        <v>0.97</v>
      </c>
      <c r="U3847">
        <v>23.4</v>
      </c>
      <c r="V3847">
        <v>654</v>
      </c>
      <c r="W3847">
        <v>7.72</v>
      </c>
      <c r="X3847" t="s">
        <v>7195</v>
      </c>
      <c r="Y3847" t="s">
        <v>314</v>
      </c>
      <c r="Z3847">
        <v>0.96</v>
      </c>
      <c r="AA3847">
        <v>154</v>
      </c>
      <c r="AB3847">
        <v>551</v>
      </c>
      <c r="AC3847">
        <v>1.7</v>
      </c>
      <c r="AD3847" t="s">
        <v>18668</v>
      </c>
      <c r="AE3847" t="s">
        <v>13405</v>
      </c>
      <c r="AF3847" t="s">
        <v>18669</v>
      </c>
      <c r="AG3847" t="s">
        <v>18670</v>
      </c>
      <c r="AH3847">
        <v>-2.16</v>
      </c>
      <c r="AI3847">
        <v>-0.13</v>
      </c>
      <c r="AJ3847">
        <v>5.26</v>
      </c>
      <c r="AK3847">
        <v>10.04</v>
      </c>
      <c r="AL3847">
        <v>-3</v>
      </c>
      <c r="AM3847">
        <v>-0.39</v>
      </c>
      <c r="AN3847">
        <v>19.91</v>
      </c>
      <c r="AO3847">
        <v>3.63</v>
      </c>
      <c r="AP3847">
        <v>11.42</v>
      </c>
    </row>
    <row r="3848" spans="1:42">
      <c r="A3848">
        <v>3847</v>
      </c>
      <c r="B3848" t="str">
        <f>"003035"</f>
        <v>003035</v>
      </c>
      <c r="C3848" t="s">
        <v>18671</v>
      </c>
      <c r="D3848">
        <v>5.39</v>
      </c>
      <c r="E3848">
        <v>0.19</v>
      </c>
      <c r="F3848">
        <v>0.01</v>
      </c>
      <c r="G3848" t="s">
        <v>4585</v>
      </c>
      <c r="H3848">
        <v>479</v>
      </c>
      <c r="I3848">
        <v>5.39</v>
      </c>
      <c r="J3848">
        <v>5.4</v>
      </c>
      <c r="K3848" t="s">
        <v>18672</v>
      </c>
      <c r="L3848">
        <v>0.4</v>
      </c>
      <c r="M3848" t="s">
        <v>46</v>
      </c>
      <c r="N3848" t="s">
        <v>3326</v>
      </c>
      <c r="O3848">
        <v>5.41</v>
      </c>
      <c r="P3848">
        <v>5.33</v>
      </c>
      <c r="Q3848">
        <v>5.39</v>
      </c>
      <c r="R3848">
        <v>5.38</v>
      </c>
      <c r="S3848">
        <v>1.49</v>
      </c>
      <c r="T3848">
        <v>0.77</v>
      </c>
      <c r="U3848">
        <v>-20.43</v>
      </c>
      <c r="V3848">
        <v>-2685</v>
      </c>
      <c r="W3848">
        <v>5.36</v>
      </c>
      <c r="X3848" t="s">
        <v>1566</v>
      </c>
      <c r="Y3848" t="s">
        <v>5553</v>
      </c>
      <c r="Z3848">
        <v>1.36</v>
      </c>
      <c r="AA3848">
        <v>153</v>
      </c>
      <c r="AB3848">
        <v>3146</v>
      </c>
      <c r="AC3848">
        <v>3.02</v>
      </c>
      <c r="AD3848" t="s">
        <v>9373</v>
      </c>
      <c r="AE3848" t="s">
        <v>1713</v>
      </c>
      <c r="AF3848" t="s">
        <v>18673</v>
      </c>
      <c r="AG3848" t="s">
        <v>18674</v>
      </c>
      <c r="AH3848">
        <v>-1.1</v>
      </c>
      <c r="AI3848">
        <v>-2.53</v>
      </c>
      <c r="AJ3848">
        <v>1.4</v>
      </c>
      <c r="AK3848">
        <v>3.01</v>
      </c>
      <c r="AL3848">
        <v>1</v>
      </c>
      <c r="AM3848">
        <v>0.19</v>
      </c>
      <c r="AN3848">
        <v>-4.77</v>
      </c>
      <c r="AO3848">
        <v>-1.82</v>
      </c>
      <c r="AP3848">
        <v>-9.41</v>
      </c>
    </row>
    <row r="3849" spans="1:42">
      <c r="A3849">
        <v>3848</v>
      </c>
      <c r="B3849" t="str">
        <f>"000717"</f>
        <v>000717</v>
      </c>
      <c r="C3849" t="s">
        <v>18675</v>
      </c>
      <c r="D3849">
        <v>2.85</v>
      </c>
      <c r="E3849">
        <v>0.71</v>
      </c>
      <c r="F3849">
        <v>0.02</v>
      </c>
      <c r="G3849" t="s">
        <v>1261</v>
      </c>
      <c r="H3849">
        <v>567</v>
      </c>
      <c r="I3849">
        <v>2.84</v>
      </c>
      <c r="J3849">
        <v>2.85</v>
      </c>
      <c r="K3849" t="s">
        <v>18676</v>
      </c>
      <c r="L3849">
        <v>0.51</v>
      </c>
      <c r="M3849" t="s">
        <v>46</v>
      </c>
      <c r="N3849" t="s">
        <v>5317</v>
      </c>
      <c r="O3849">
        <v>2.86</v>
      </c>
      <c r="P3849">
        <v>2.81</v>
      </c>
      <c r="Q3849">
        <v>2.83</v>
      </c>
      <c r="R3849">
        <v>2.83</v>
      </c>
      <c r="S3849">
        <v>1.77</v>
      </c>
      <c r="T3849">
        <v>0.77</v>
      </c>
      <c r="U3849">
        <v>-2.61</v>
      </c>
      <c r="V3849">
        <v>-672</v>
      </c>
      <c r="W3849">
        <v>2.84</v>
      </c>
      <c r="X3849" t="s">
        <v>7126</v>
      </c>
      <c r="Y3849" t="s">
        <v>2705</v>
      </c>
      <c r="Z3849">
        <v>0.97</v>
      </c>
      <c r="AA3849">
        <v>1624</v>
      </c>
      <c r="AB3849">
        <v>257</v>
      </c>
      <c r="AC3849">
        <v>0.77</v>
      </c>
      <c r="AD3849" t="s">
        <v>13829</v>
      </c>
      <c r="AE3849" t="s">
        <v>18677</v>
      </c>
      <c r="AF3849" t="s">
        <v>13829</v>
      </c>
      <c r="AG3849" t="s">
        <v>18678</v>
      </c>
      <c r="AH3849">
        <v>-1.38</v>
      </c>
      <c r="AI3849">
        <v>-2.06</v>
      </c>
      <c r="AJ3849">
        <v>1.82</v>
      </c>
      <c r="AK3849">
        <v>3.84</v>
      </c>
      <c r="AL3849">
        <v>1</v>
      </c>
      <c r="AM3849">
        <v>0.71</v>
      </c>
      <c r="AN3849">
        <v>1.06</v>
      </c>
      <c r="AO3849">
        <v>-0.35</v>
      </c>
      <c r="AP3849">
        <v>-5.63</v>
      </c>
    </row>
    <row r="3850" spans="1:42">
      <c r="A3850">
        <v>3849</v>
      </c>
      <c r="B3850" t="str">
        <f>"688141"</f>
        <v>688141</v>
      </c>
      <c r="C3850" t="s">
        <v>18679</v>
      </c>
      <c r="D3850">
        <v>32.08</v>
      </c>
      <c r="E3850">
        <v>-0.06</v>
      </c>
      <c r="F3850">
        <v>-0.02</v>
      </c>
      <c r="G3850" t="s">
        <v>2807</v>
      </c>
      <c r="H3850">
        <v>129</v>
      </c>
      <c r="I3850">
        <v>32.07</v>
      </c>
      <c r="J3850">
        <v>32.08</v>
      </c>
      <c r="K3850" t="s">
        <v>11817</v>
      </c>
      <c r="L3850">
        <v>2.12</v>
      </c>
      <c r="M3850" t="s">
        <v>46</v>
      </c>
      <c r="N3850" t="s">
        <v>6876</v>
      </c>
      <c r="O3850">
        <v>32.41</v>
      </c>
      <c r="P3850">
        <v>31.48</v>
      </c>
      <c r="Q3850">
        <v>32.16</v>
      </c>
      <c r="R3850">
        <v>32.1</v>
      </c>
      <c r="S3850">
        <v>2.9</v>
      </c>
      <c r="T3850">
        <v>0.44</v>
      </c>
      <c r="U3850">
        <v>-28.02</v>
      </c>
      <c r="V3850">
        <v>-57</v>
      </c>
      <c r="W3850">
        <v>31.8</v>
      </c>
      <c r="X3850">
        <v>5904</v>
      </c>
      <c r="Y3850">
        <v>5165</v>
      </c>
      <c r="Z3850">
        <v>1.14</v>
      </c>
      <c r="AA3850">
        <v>35</v>
      </c>
      <c r="AB3850">
        <v>21</v>
      </c>
      <c r="AC3850">
        <v>5.06</v>
      </c>
      <c r="AD3850" t="s">
        <v>18680</v>
      </c>
      <c r="AE3850" t="s">
        <v>9038</v>
      </c>
      <c r="AF3850" t="s">
        <v>18681</v>
      </c>
      <c r="AG3850" t="s">
        <v>7330</v>
      </c>
      <c r="AH3850">
        <v>-3.84</v>
      </c>
      <c r="AI3850">
        <v>0.6</v>
      </c>
      <c r="AJ3850">
        <v>11.52</v>
      </c>
      <c r="AK3850">
        <v>26.24</v>
      </c>
      <c r="AL3850">
        <v>-2</v>
      </c>
      <c r="AM3850">
        <v>-0.06</v>
      </c>
      <c r="AN3850">
        <v>-32.46</v>
      </c>
      <c r="AO3850">
        <v>-5.67</v>
      </c>
      <c r="AP3850">
        <v>-16.15</v>
      </c>
    </row>
    <row r="3851" spans="1:42">
      <c r="A3851">
        <v>3850</v>
      </c>
      <c r="B3851" t="str">
        <f>"600673"</f>
        <v>600673</v>
      </c>
      <c r="C3851" t="s">
        <v>18682</v>
      </c>
      <c r="D3851">
        <v>6.64</v>
      </c>
      <c r="E3851">
        <v>-0.15</v>
      </c>
      <c r="F3851">
        <v>-0.01</v>
      </c>
      <c r="G3851" t="s">
        <v>7068</v>
      </c>
      <c r="H3851">
        <v>1480</v>
      </c>
      <c r="I3851">
        <v>6.63</v>
      </c>
      <c r="J3851">
        <v>6.64</v>
      </c>
      <c r="K3851" t="s">
        <v>18683</v>
      </c>
      <c r="L3851">
        <v>0.18</v>
      </c>
      <c r="M3851" t="s">
        <v>46</v>
      </c>
      <c r="N3851" t="s">
        <v>18460</v>
      </c>
      <c r="O3851">
        <v>6.68</v>
      </c>
      <c r="P3851">
        <v>6.59</v>
      </c>
      <c r="Q3851">
        <v>6.68</v>
      </c>
      <c r="R3851">
        <v>6.65</v>
      </c>
      <c r="S3851">
        <v>1.35</v>
      </c>
      <c r="T3851">
        <v>0.72</v>
      </c>
      <c r="U3851">
        <v>30.19</v>
      </c>
      <c r="V3851">
        <v>2564</v>
      </c>
      <c r="W3851">
        <v>6.62</v>
      </c>
      <c r="X3851" t="s">
        <v>925</v>
      </c>
      <c r="Y3851" t="s">
        <v>4509</v>
      </c>
      <c r="Z3851">
        <v>1.38</v>
      </c>
      <c r="AA3851">
        <v>507</v>
      </c>
      <c r="AB3851">
        <v>566</v>
      </c>
      <c r="AC3851">
        <v>2</v>
      </c>
      <c r="AD3851" t="s">
        <v>9100</v>
      </c>
      <c r="AE3851" t="s">
        <v>18684</v>
      </c>
      <c r="AF3851" t="s">
        <v>8851</v>
      </c>
      <c r="AG3851" t="s">
        <v>5181</v>
      </c>
      <c r="AH3851">
        <v>-1.34</v>
      </c>
      <c r="AI3851">
        <v>-1.63</v>
      </c>
      <c r="AJ3851">
        <v>0.81</v>
      </c>
      <c r="AK3851">
        <v>1.41</v>
      </c>
      <c r="AL3851">
        <v>-2</v>
      </c>
      <c r="AM3851">
        <v>-0.15</v>
      </c>
      <c r="AN3851">
        <v>-23.59</v>
      </c>
      <c r="AO3851">
        <v>-2.64</v>
      </c>
      <c r="AP3851">
        <v>-30.11</v>
      </c>
    </row>
    <row r="3852" spans="1:42">
      <c r="A3852">
        <v>3851</v>
      </c>
      <c r="B3852" t="str">
        <f>"600980"</f>
        <v>600980</v>
      </c>
      <c r="C3852" t="s">
        <v>18685</v>
      </c>
      <c r="D3852">
        <v>16.34</v>
      </c>
      <c r="E3852">
        <v>0.06</v>
      </c>
      <c r="F3852">
        <v>0.01</v>
      </c>
      <c r="G3852" t="s">
        <v>1520</v>
      </c>
      <c r="H3852">
        <v>91</v>
      </c>
      <c r="I3852">
        <v>16.34</v>
      </c>
      <c r="J3852">
        <v>16.35</v>
      </c>
      <c r="K3852" t="s">
        <v>9418</v>
      </c>
      <c r="L3852">
        <v>1.38</v>
      </c>
      <c r="M3852" t="s">
        <v>46</v>
      </c>
      <c r="N3852" t="s">
        <v>1797</v>
      </c>
      <c r="O3852">
        <v>16.43</v>
      </c>
      <c r="P3852">
        <v>16.16</v>
      </c>
      <c r="Q3852">
        <v>16.24</v>
      </c>
      <c r="R3852">
        <v>16.33</v>
      </c>
      <c r="S3852">
        <v>1.65</v>
      </c>
      <c r="T3852">
        <v>1.16</v>
      </c>
      <c r="U3852">
        <v>-39.35</v>
      </c>
      <c r="V3852">
        <v>-183</v>
      </c>
      <c r="W3852">
        <v>16.29</v>
      </c>
      <c r="X3852" t="s">
        <v>734</v>
      </c>
      <c r="Y3852" t="s">
        <v>239</v>
      </c>
      <c r="Z3852">
        <v>1.08</v>
      </c>
      <c r="AA3852">
        <v>31</v>
      </c>
      <c r="AB3852">
        <v>12</v>
      </c>
      <c r="AC3852">
        <v>2.42</v>
      </c>
      <c r="AD3852" t="s">
        <v>8491</v>
      </c>
      <c r="AE3852" t="s">
        <v>15856</v>
      </c>
      <c r="AF3852" t="s">
        <v>14866</v>
      </c>
      <c r="AG3852" t="s">
        <v>17097</v>
      </c>
      <c r="AH3852">
        <v>-0.55</v>
      </c>
      <c r="AI3852">
        <v>-0.79</v>
      </c>
      <c r="AJ3852">
        <v>3.78</v>
      </c>
      <c r="AK3852">
        <v>7.37</v>
      </c>
      <c r="AL3852">
        <v>1</v>
      </c>
      <c r="AM3852">
        <v>0.06</v>
      </c>
      <c r="AN3852">
        <v>17.72</v>
      </c>
      <c r="AO3852">
        <v>2.7</v>
      </c>
      <c r="AP3852">
        <v>9.89</v>
      </c>
    </row>
    <row r="3853" spans="1:42">
      <c r="A3853">
        <v>3852</v>
      </c>
      <c r="B3853" t="str">
        <f>"002651"</f>
        <v>002651</v>
      </c>
      <c r="C3853" t="s">
        <v>18686</v>
      </c>
      <c r="D3853">
        <v>7.05</v>
      </c>
      <c r="E3853">
        <v>-0.42</v>
      </c>
      <c r="F3853">
        <v>-0.03</v>
      </c>
      <c r="G3853" t="s">
        <v>4035</v>
      </c>
      <c r="H3853">
        <v>702</v>
      </c>
      <c r="I3853">
        <v>7.05</v>
      </c>
      <c r="J3853">
        <v>7.06</v>
      </c>
      <c r="K3853" t="s">
        <v>18687</v>
      </c>
      <c r="L3853">
        <v>0.89</v>
      </c>
      <c r="M3853" t="s">
        <v>46</v>
      </c>
      <c r="N3853" t="s">
        <v>18688</v>
      </c>
      <c r="O3853">
        <v>7.08</v>
      </c>
      <c r="P3853">
        <v>6.96</v>
      </c>
      <c r="Q3853">
        <v>7.07</v>
      </c>
      <c r="R3853">
        <v>7.08</v>
      </c>
      <c r="S3853">
        <v>1.69</v>
      </c>
      <c r="T3853">
        <v>1.04</v>
      </c>
      <c r="U3853">
        <v>15.01</v>
      </c>
      <c r="V3853">
        <v>549</v>
      </c>
      <c r="W3853">
        <v>7.02</v>
      </c>
      <c r="X3853" t="s">
        <v>5746</v>
      </c>
      <c r="Y3853" t="s">
        <v>2818</v>
      </c>
      <c r="Z3853">
        <v>1.12</v>
      </c>
      <c r="AA3853">
        <v>234</v>
      </c>
      <c r="AB3853">
        <v>620</v>
      </c>
      <c r="AC3853">
        <v>2.6</v>
      </c>
      <c r="AD3853" t="s">
        <v>9131</v>
      </c>
      <c r="AE3853" t="s">
        <v>18689</v>
      </c>
      <c r="AF3853" t="s">
        <v>11673</v>
      </c>
      <c r="AG3853" t="s">
        <v>11958</v>
      </c>
      <c r="AH3853">
        <v>-1.95</v>
      </c>
      <c r="AI3853">
        <v>-2.22</v>
      </c>
      <c r="AJ3853">
        <v>2.67</v>
      </c>
      <c r="AK3853">
        <v>5.15</v>
      </c>
      <c r="AL3853">
        <v>-3</v>
      </c>
      <c r="AM3853">
        <v>-0.42</v>
      </c>
      <c r="AN3853">
        <v>8.46</v>
      </c>
      <c r="AO3853">
        <v>-0.14</v>
      </c>
      <c r="AP3853">
        <v>-6.75</v>
      </c>
    </row>
    <row r="3854" spans="1:42">
      <c r="A3854">
        <v>3853</v>
      </c>
      <c r="B3854" t="str">
        <f>"002207"</f>
        <v>002207</v>
      </c>
      <c r="C3854" t="s">
        <v>18690</v>
      </c>
      <c r="D3854">
        <v>7.24</v>
      </c>
      <c r="E3854">
        <v>-0.82</v>
      </c>
      <c r="F3854">
        <v>-0.06</v>
      </c>
      <c r="G3854" t="s">
        <v>2650</v>
      </c>
      <c r="H3854">
        <v>514</v>
      </c>
      <c r="I3854">
        <v>7.24</v>
      </c>
      <c r="J3854">
        <v>7.25</v>
      </c>
      <c r="K3854" t="s">
        <v>15321</v>
      </c>
      <c r="L3854">
        <v>1.85</v>
      </c>
      <c r="M3854" t="s">
        <v>46</v>
      </c>
      <c r="N3854" t="s">
        <v>7870</v>
      </c>
      <c r="O3854">
        <v>7.34</v>
      </c>
      <c r="P3854">
        <v>7.2</v>
      </c>
      <c r="Q3854">
        <v>7.28</v>
      </c>
      <c r="R3854">
        <v>7.3</v>
      </c>
      <c r="S3854">
        <v>1.92</v>
      </c>
      <c r="T3854">
        <v>0.94</v>
      </c>
      <c r="U3854">
        <v>53.05</v>
      </c>
      <c r="V3854">
        <v>2402</v>
      </c>
      <c r="W3854">
        <v>7.27</v>
      </c>
      <c r="X3854" t="s">
        <v>6418</v>
      </c>
      <c r="Y3854" t="s">
        <v>1280</v>
      </c>
      <c r="Z3854">
        <v>1.41</v>
      </c>
      <c r="AA3854">
        <v>1316</v>
      </c>
      <c r="AB3854">
        <v>100</v>
      </c>
      <c r="AC3854">
        <v>21.69</v>
      </c>
      <c r="AD3854" t="s">
        <v>12366</v>
      </c>
      <c r="AE3854" t="s">
        <v>17614</v>
      </c>
      <c r="AF3854" t="s">
        <v>18691</v>
      </c>
      <c r="AG3854" t="s">
        <v>16361</v>
      </c>
      <c r="AH3854">
        <v>-1.5</v>
      </c>
      <c r="AI3854">
        <v>-3.08</v>
      </c>
      <c r="AJ3854">
        <v>5.61</v>
      </c>
      <c r="AK3854">
        <v>11.7</v>
      </c>
      <c r="AL3854">
        <v>-1</v>
      </c>
      <c r="AM3854">
        <v>-0.82</v>
      </c>
      <c r="AN3854">
        <v>1.83</v>
      </c>
      <c r="AO3854">
        <v>0</v>
      </c>
      <c r="AP3854">
        <v>-10.17</v>
      </c>
    </row>
    <row r="3855" spans="1:42">
      <c r="A3855">
        <v>3854</v>
      </c>
      <c r="B3855" t="str">
        <f>"600578"</f>
        <v>600578</v>
      </c>
      <c r="C3855" t="s">
        <v>18692</v>
      </c>
      <c r="D3855">
        <v>3</v>
      </c>
      <c r="E3855">
        <v>0.67</v>
      </c>
      <c r="F3855">
        <v>0.02</v>
      </c>
      <c r="G3855" t="s">
        <v>1807</v>
      </c>
      <c r="H3855">
        <v>1791</v>
      </c>
      <c r="I3855">
        <v>2.99</v>
      </c>
      <c r="J3855">
        <v>3</v>
      </c>
      <c r="K3855" t="s">
        <v>18693</v>
      </c>
      <c r="L3855">
        <v>0.18</v>
      </c>
      <c r="M3855" t="s">
        <v>46</v>
      </c>
      <c r="N3855" t="s">
        <v>8313</v>
      </c>
      <c r="O3855">
        <v>3</v>
      </c>
      <c r="P3855">
        <v>2.97</v>
      </c>
      <c r="Q3855">
        <v>2.99</v>
      </c>
      <c r="R3855">
        <v>2.98</v>
      </c>
      <c r="S3855">
        <v>1.01</v>
      </c>
      <c r="T3855">
        <v>0.72</v>
      </c>
      <c r="U3855">
        <v>-29.92</v>
      </c>
      <c r="V3855" t="s">
        <v>18694</v>
      </c>
      <c r="W3855">
        <v>2.99</v>
      </c>
      <c r="X3855" t="s">
        <v>4264</v>
      </c>
      <c r="Y3855" t="s">
        <v>4833</v>
      </c>
      <c r="Z3855">
        <v>0.73</v>
      </c>
      <c r="AA3855">
        <v>4043</v>
      </c>
      <c r="AB3855">
        <v>8460</v>
      </c>
      <c r="AC3855">
        <v>0.96</v>
      </c>
      <c r="AD3855" t="s">
        <v>18695</v>
      </c>
      <c r="AE3855" t="s">
        <v>18696</v>
      </c>
      <c r="AF3855" t="s">
        <v>18695</v>
      </c>
      <c r="AG3855" t="s">
        <v>18696</v>
      </c>
      <c r="AH3855">
        <v>0.33</v>
      </c>
      <c r="AI3855">
        <v>0.33</v>
      </c>
      <c r="AJ3855">
        <v>0.55</v>
      </c>
      <c r="AK3855">
        <v>1.38</v>
      </c>
      <c r="AL3855">
        <v>2</v>
      </c>
      <c r="AM3855">
        <v>0.67</v>
      </c>
      <c r="AN3855">
        <v>-4.15</v>
      </c>
      <c r="AO3855">
        <v>1.01</v>
      </c>
      <c r="AP3855">
        <v>-8.81</v>
      </c>
    </row>
    <row r="3856" spans="1:42">
      <c r="A3856">
        <v>3855</v>
      </c>
      <c r="B3856" t="str">
        <f>"600848"</f>
        <v>600848</v>
      </c>
      <c r="C3856" t="s">
        <v>18697</v>
      </c>
      <c r="D3856">
        <v>10.86</v>
      </c>
      <c r="E3856">
        <v>-1.09</v>
      </c>
      <c r="F3856">
        <v>-0.12</v>
      </c>
      <c r="G3856" t="s">
        <v>10177</v>
      </c>
      <c r="H3856">
        <v>338</v>
      </c>
      <c r="I3856">
        <v>10.86</v>
      </c>
      <c r="J3856">
        <v>10.87</v>
      </c>
      <c r="K3856" t="s">
        <v>18693</v>
      </c>
      <c r="L3856">
        <v>0.13</v>
      </c>
      <c r="M3856" t="s">
        <v>46</v>
      </c>
      <c r="N3856" t="s">
        <v>3096</v>
      </c>
      <c r="O3856">
        <v>11</v>
      </c>
      <c r="P3856">
        <v>10.84</v>
      </c>
      <c r="Q3856">
        <v>10.95</v>
      </c>
      <c r="R3856">
        <v>10.98</v>
      </c>
      <c r="S3856">
        <v>1.46</v>
      </c>
      <c r="T3856">
        <v>0.84</v>
      </c>
      <c r="U3856">
        <v>-3.08</v>
      </c>
      <c r="V3856">
        <v>-82</v>
      </c>
      <c r="W3856">
        <v>10.88</v>
      </c>
      <c r="X3856" t="s">
        <v>1280</v>
      </c>
      <c r="Y3856" t="s">
        <v>1254</v>
      </c>
      <c r="Z3856">
        <v>1.64</v>
      </c>
      <c r="AA3856">
        <v>38</v>
      </c>
      <c r="AB3856">
        <v>4</v>
      </c>
      <c r="AC3856">
        <v>1.59</v>
      </c>
      <c r="AD3856" t="s">
        <v>18698</v>
      </c>
      <c r="AE3856" t="s">
        <v>2872</v>
      </c>
      <c r="AF3856" t="s">
        <v>14257</v>
      </c>
      <c r="AG3856" t="s">
        <v>18699</v>
      </c>
      <c r="AH3856">
        <v>-2.07</v>
      </c>
      <c r="AI3856">
        <v>-2.86</v>
      </c>
      <c r="AJ3856">
        <v>0.43</v>
      </c>
      <c r="AK3856">
        <v>0.94</v>
      </c>
      <c r="AL3856">
        <v>-1</v>
      </c>
      <c r="AM3856">
        <v>-1.09</v>
      </c>
      <c r="AN3856">
        <v>-7.34</v>
      </c>
      <c r="AO3856">
        <v>0.65</v>
      </c>
      <c r="AP3856">
        <v>-8.51</v>
      </c>
    </row>
    <row r="3857" spans="1:42">
      <c r="A3857">
        <v>3856</v>
      </c>
      <c r="B3857" t="str">
        <f>"688778"</f>
        <v>688778</v>
      </c>
      <c r="C3857" t="s">
        <v>18700</v>
      </c>
      <c r="D3857">
        <v>39.63</v>
      </c>
      <c r="E3857">
        <v>-0.58</v>
      </c>
      <c r="F3857">
        <v>-0.23</v>
      </c>
      <c r="G3857">
        <v>8823</v>
      </c>
      <c r="H3857">
        <v>96</v>
      </c>
      <c r="I3857">
        <v>39.63</v>
      </c>
      <c r="J3857">
        <v>39.8</v>
      </c>
      <c r="K3857" t="s">
        <v>18701</v>
      </c>
      <c r="L3857">
        <v>0.65</v>
      </c>
      <c r="M3857" t="s">
        <v>46</v>
      </c>
      <c r="N3857" t="s">
        <v>11309</v>
      </c>
      <c r="O3857">
        <v>40.06</v>
      </c>
      <c r="P3857">
        <v>39.42</v>
      </c>
      <c r="Q3857">
        <v>40.06</v>
      </c>
      <c r="R3857">
        <v>39.86</v>
      </c>
      <c r="S3857">
        <v>1.61</v>
      </c>
      <c r="T3857">
        <v>0.94</v>
      </c>
      <c r="U3857">
        <v>78.46</v>
      </c>
      <c r="V3857">
        <v>821</v>
      </c>
      <c r="W3857">
        <v>39.7</v>
      </c>
      <c r="X3857">
        <v>4706</v>
      </c>
      <c r="Y3857">
        <v>4117</v>
      </c>
      <c r="Z3857">
        <v>1.14</v>
      </c>
      <c r="AA3857">
        <v>5</v>
      </c>
      <c r="AB3857">
        <v>7</v>
      </c>
      <c r="AC3857">
        <v>1.97</v>
      </c>
      <c r="AD3857" t="s">
        <v>18230</v>
      </c>
      <c r="AE3857" t="s">
        <v>18702</v>
      </c>
      <c r="AF3857" t="s">
        <v>18703</v>
      </c>
      <c r="AG3857" t="s">
        <v>18704</v>
      </c>
      <c r="AH3857">
        <v>-2.68</v>
      </c>
      <c r="AI3857">
        <v>-4.16</v>
      </c>
      <c r="AJ3857">
        <v>2.08</v>
      </c>
      <c r="AK3857">
        <v>4.1</v>
      </c>
      <c r="AL3857">
        <v>-3</v>
      </c>
      <c r="AM3857">
        <v>-0.58</v>
      </c>
      <c r="AN3857">
        <v>-28.12</v>
      </c>
      <c r="AO3857">
        <v>-7.64</v>
      </c>
      <c r="AP3857">
        <v>-33.36</v>
      </c>
    </row>
    <row r="3858" spans="1:42">
      <c r="A3858">
        <v>3857</v>
      </c>
      <c r="B3858" t="str">
        <f>"300720"</f>
        <v>300720</v>
      </c>
      <c r="C3858" t="s">
        <v>18705</v>
      </c>
      <c r="D3858">
        <v>13.47</v>
      </c>
      <c r="E3858">
        <v>0.37</v>
      </c>
      <c r="F3858">
        <v>0.05</v>
      </c>
      <c r="G3858" t="s">
        <v>7160</v>
      </c>
      <c r="H3858">
        <v>58</v>
      </c>
      <c r="I3858">
        <v>13.47</v>
      </c>
      <c r="J3858">
        <v>13.48</v>
      </c>
      <c r="K3858" t="s">
        <v>18706</v>
      </c>
      <c r="L3858">
        <v>1.52</v>
      </c>
      <c r="M3858" t="s">
        <v>46</v>
      </c>
      <c r="N3858" t="s">
        <v>3289</v>
      </c>
      <c r="O3858">
        <v>13.54</v>
      </c>
      <c r="P3858">
        <v>13</v>
      </c>
      <c r="Q3858">
        <v>13.5</v>
      </c>
      <c r="R3858">
        <v>13.42</v>
      </c>
      <c r="S3858">
        <v>4.02</v>
      </c>
      <c r="T3858">
        <v>0.9</v>
      </c>
      <c r="U3858">
        <v>25.27</v>
      </c>
      <c r="V3858">
        <v>255</v>
      </c>
      <c r="W3858">
        <v>13.28</v>
      </c>
      <c r="X3858" t="s">
        <v>682</v>
      </c>
      <c r="Y3858" t="s">
        <v>4525</v>
      </c>
      <c r="Z3858">
        <v>0.91</v>
      </c>
      <c r="AA3858">
        <v>99</v>
      </c>
      <c r="AB3858">
        <v>73</v>
      </c>
      <c r="AC3858">
        <v>4.5</v>
      </c>
      <c r="AD3858" t="s">
        <v>18707</v>
      </c>
      <c r="AE3858" t="s">
        <v>13044</v>
      </c>
      <c r="AF3858" t="s">
        <v>18708</v>
      </c>
      <c r="AG3858" t="s">
        <v>18709</v>
      </c>
      <c r="AH3858">
        <v>-2.11</v>
      </c>
      <c r="AI3858">
        <v>-2.53</v>
      </c>
      <c r="AJ3858">
        <v>4.5</v>
      </c>
      <c r="AK3858">
        <v>9.94</v>
      </c>
      <c r="AL3858">
        <v>1</v>
      </c>
      <c r="AM3858">
        <v>0.37</v>
      </c>
      <c r="AN3858">
        <v>4.1</v>
      </c>
      <c r="AO3858">
        <v>2.43</v>
      </c>
      <c r="AP3858">
        <v>-2.46</v>
      </c>
    </row>
    <row r="3859" spans="1:42">
      <c r="A3859">
        <v>3858</v>
      </c>
      <c r="B3859" t="str">
        <f>"600063"</f>
        <v>600063</v>
      </c>
      <c r="C3859" t="s">
        <v>18710</v>
      </c>
      <c r="D3859">
        <v>4.53</v>
      </c>
      <c r="E3859">
        <v>0.22</v>
      </c>
      <c r="F3859">
        <v>0.01</v>
      </c>
      <c r="G3859" t="s">
        <v>5794</v>
      </c>
      <c r="H3859">
        <v>248</v>
      </c>
      <c r="I3859">
        <v>4.53</v>
      </c>
      <c r="J3859">
        <v>4.54</v>
      </c>
      <c r="K3859" t="s">
        <v>16694</v>
      </c>
      <c r="L3859">
        <v>0.4</v>
      </c>
      <c r="M3859" t="s">
        <v>46</v>
      </c>
      <c r="N3859" t="s">
        <v>18711</v>
      </c>
      <c r="O3859">
        <v>4.55</v>
      </c>
      <c r="P3859">
        <v>4.5</v>
      </c>
      <c r="Q3859">
        <v>4.51</v>
      </c>
      <c r="R3859">
        <v>4.52</v>
      </c>
      <c r="S3859">
        <v>1.11</v>
      </c>
      <c r="T3859">
        <v>0.85</v>
      </c>
      <c r="U3859">
        <v>-26.63</v>
      </c>
      <c r="V3859">
        <v>-4477</v>
      </c>
      <c r="W3859">
        <v>4.52</v>
      </c>
      <c r="X3859" t="s">
        <v>10547</v>
      </c>
      <c r="Y3859" t="s">
        <v>6314</v>
      </c>
      <c r="Z3859">
        <v>1.14</v>
      </c>
      <c r="AA3859">
        <v>88</v>
      </c>
      <c r="AB3859">
        <v>4720</v>
      </c>
      <c r="AC3859">
        <v>1.24</v>
      </c>
      <c r="AD3859" t="s">
        <v>18712</v>
      </c>
      <c r="AE3859" t="s">
        <v>18713</v>
      </c>
      <c r="AF3859" t="s">
        <v>3270</v>
      </c>
      <c r="AG3859" t="s">
        <v>18714</v>
      </c>
      <c r="AH3859">
        <v>-1.74</v>
      </c>
      <c r="AI3859">
        <v>-3.21</v>
      </c>
      <c r="AJ3859">
        <v>1.21</v>
      </c>
      <c r="AK3859">
        <v>2.77</v>
      </c>
      <c r="AL3859">
        <v>1</v>
      </c>
      <c r="AM3859">
        <v>0.22</v>
      </c>
      <c r="AN3859">
        <v>-20.53</v>
      </c>
      <c r="AO3859">
        <v>-3</v>
      </c>
      <c r="AP3859">
        <v>-27.29</v>
      </c>
    </row>
    <row r="3860" spans="1:42">
      <c r="A3860">
        <v>3859</v>
      </c>
      <c r="B3860" t="str">
        <f>"603333"</f>
        <v>603333</v>
      </c>
      <c r="C3860" t="s">
        <v>18715</v>
      </c>
      <c r="D3860">
        <v>4.99</v>
      </c>
      <c r="E3860">
        <v>0.2</v>
      </c>
      <c r="F3860">
        <v>0.01</v>
      </c>
      <c r="G3860" t="s">
        <v>8501</v>
      </c>
      <c r="H3860">
        <v>323</v>
      </c>
      <c r="I3860">
        <v>4.98</v>
      </c>
      <c r="J3860">
        <v>4.99</v>
      </c>
      <c r="K3860" t="s">
        <v>16694</v>
      </c>
      <c r="L3860">
        <v>1.13</v>
      </c>
      <c r="M3860" t="s">
        <v>46</v>
      </c>
      <c r="N3860" t="s">
        <v>3024</v>
      </c>
      <c r="O3860">
        <v>5.02</v>
      </c>
      <c r="P3860">
        <v>4.95</v>
      </c>
      <c r="Q3860">
        <v>4.96</v>
      </c>
      <c r="R3860">
        <v>4.98</v>
      </c>
      <c r="S3860">
        <v>1.41</v>
      </c>
      <c r="T3860">
        <v>0.99</v>
      </c>
      <c r="U3860">
        <v>-46.23</v>
      </c>
      <c r="V3860">
        <v>-2718</v>
      </c>
      <c r="W3860">
        <v>4.98</v>
      </c>
      <c r="X3860" t="s">
        <v>3149</v>
      </c>
      <c r="Y3860" t="s">
        <v>1080</v>
      </c>
      <c r="Z3860">
        <v>1.4</v>
      </c>
      <c r="AA3860">
        <v>19</v>
      </c>
      <c r="AB3860">
        <v>773</v>
      </c>
      <c r="AC3860">
        <v>1.45</v>
      </c>
      <c r="AD3860" t="s">
        <v>18716</v>
      </c>
      <c r="AE3860" t="s">
        <v>18717</v>
      </c>
      <c r="AF3860" t="s">
        <v>18716</v>
      </c>
      <c r="AG3860" t="s">
        <v>18717</v>
      </c>
      <c r="AH3860">
        <v>-0.8</v>
      </c>
      <c r="AI3860">
        <v>0</v>
      </c>
      <c r="AJ3860">
        <v>3.38</v>
      </c>
      <c r="AK3860">
        <v>6.82</v>
      </c>
      <c r="AL3860">
        <v>1</v>
      </c>
      <c r="AM3860">
        <v>0.2</v>
      </c>
      <c r="AN3860">
        <v>-4.77</v>
      </c>
      <c r="AO3860">
        <v>2.89</v>
      </c>
      <c r="AP3860">
        <v>-12.91</v>
      </c>
    </row>
    <row r="3861" spans="1:42">
      <c r="A3861">
        <v>3860</v>
      </c>
      <c r="B3861" t="str">
        <f>"688349"</f>
        <v>688349</v>
      </c>
      <c r="C3861" t="s">
        <v>18718</v>
      </c>
      <c r="D3861">
        <v>29.38</v>
      </c>
      <c r="E3861">
        <v>0.2</v>
      </c>
      <c r="F3861">
        <v>0.06</v>
      </c>
      <c r="G3861" t="s">
        <v>718</v>
      </c>
      <c r="H3861">
        <v>52</v>
      </c>
      <c r="I3861">
        <v>29.37</v>
      </c>
      <c r="J3861">
        <v>29.38</v>
      </c>
      <c r="K3861" t="s">
        <v>18719</v>
      </c>
      <c r="L3861">
        <v>0.64</v>
      </c>
      <c r="M3861" t="s">
        <v>46</v>
      </c>
      <c r="N3861" t="s">
        <v>6225</v>
      </c>
      <c r="O3861">
        <v>29.6</v>
      </c>
      <c r="P3861">
        <v>29.25</v>
      </c>
      <c r="Q3861">
        <v>29.32</v>
      </c>
      <c r="R3861">
        <v>29.32</v>
      </c>
      <c r="S3861">
        <v>1.19</v>
      </c>
      <c r="T3861">
        <v>0.6</v>
      </c>
      <c r="U3861">
        <v>34.2</v>
      </c>
      <c r="V3861">
        <v>164</v>
      </c>
      <c r="W3861">
        <v>29.41</v>
      </c>
      <c r="X3861">
        <v>4611</v>
      </c>
      <c r="Y3861">
        <v>7284</v>
      </c>
      <c r="Z3861">
        <v>0.63</v>
      </c>
      <c r="AA3861">
        <v>4</v>
      </c>
      <c r="AB3861">
        <v>49</v>
      </c>
      <c r="AC3861">
        <v>3.01</v>
      </c>
      <c r="AD3861" t="s">
        <v>18720</v>
      </c>
      <c r="AE3861" t="s">
        <v>18721</v>
      </c>
      <c r="AF3861" t="s">
        <v>5605</v>
      </c>
      <c r="AG3861" t="s">
        <v>18722</v>
      </c>
      <c r="AH3861">
        <v>-0.91</v>
      </c>
      <c r="AI3861">
        <v>2.37</v>
      </c>
      <c r="AJ3861">
        <v>2.26</v>
      </c>
      <c r="AK3861">
        <v>5.99</v>
      </c>
      <c r="AL3861">
        <v>2</v>
      </c>
      <c r="AM3861">
        <v>0.2</v>
      </c>
      <c r="AN3861">
        <v>1.8</v>
      </c>
      <c r="AO3861">
        <v>-1.01</v>
      </c>
      <c r="AP3861">
        <v>-10.94</v>
      </c>
    </row>
    <row r="3862" spans="1:42">
      <c r="A3862">
        <v>3861</v>
      </c>
      <c r="B3862" t="str">
        <f>"000935"</f>
        <v>000935</v>
      </c>
      <c r="C3862" t="s">
        <v>18723</v>
      </c>
      <c r="D3862">
        <v>15.65</v>
      </c>
      <c r="E3862">
        <v>0.9</v>
      </c>
      <c r="F3862">
        <v>0.14</v>
      </c>
      <c r="G3862" t="s">
        <v>1212</v>
      </c>
      <c r="H3862">
        <v>308</v>
      </c>
      <c r="I3862">
        <v>15.64</v>
      </c>
      <c r="J3862">
        <v>15.65</v>
      </c>
      <c r="K3862" t="s">
        <v>18724</v>
      </c>
      <c r="L3862">
        <v>0.29</v>
      </c>
      <c r="M3862" t="s">
        <v>46</v>
      </c>
      <c r="N3862" t="s">
        <v>5691</v>
      </c>
      <c r="O3862">
        <v>15.73</v>
      </c>
      <c r="P3862">
        <v>15.46</v>
      </c>
      <c r="Q3862">
        <v>15.54</v>
      </c>
      <c r="R3862">
        <v>15.51</v>
      </c>
      <c r="S3862">
        <v>1.74</v>
      </c>
      <c r="T3862">
        <v>0.55</v>
      </c>
      <c r="U3862">
        <v>-34.3</v>
      </c>
      <c r="V3862">
        <v>-356</v>
      </c>
      <c r="W3862">
        <v>15.57</v>
      </c>
      <c r="X3862" t="s">
        <v>2284</v>
      </c>
      <c r="Y3862" t="s">
        <v>4443</v>
      </c>
      <c r="Z3862">
        <v>1.05</v>
      </c>
      <c r="AA3862">
        <v>38</v>
      </c>
      <c r="AB3862">
        <v>76</v>
      </c>
      <c r="AC3862">
        <v>1.67</v>
      </c>
      <c r="AD3862" t="s">
        <v>18725</v>
      </c>
      <c r="AE3862" t="s">
        <v>7064</v>
      </c>
      <c r="AF3862" t="s">
        <v>18725</v>
      </c>
      <c r="AG3862" t="s">
        <v>7064</v>
      </c>
      <c r="AH3862">
        <v>-2.19</v>
      </c>
      <c r="AI3862">
        <v>-4.92</v>
      </c>
      <c r="AJ3862">
        <v>1.13</v>
      </c>
      <c r="AK3862">
        <v>2.98</v>
      </c>
      <c r="AL3862">
        <v>1</v>
      </c>
      <c r="AM3862">
        <v>0.9</v>
      </c>
      <c r="AN3862">
        <v>-25.48</v>
      </c>
      <c r="AO3862">
        <v>2.49</v>
      </c>
      <c r="AP3862">
        <v>-32.51</v>
      </c>
    </row>
    <row r="3863" spans="1:42">
      <c r="A3863">
        <v>3862</v>
      </c>
      <c r="B3863" t="str">
        <f>"688109"</f>
        <v>688109</v>
      </c>
      <c r="C3863" t="s">
        <v>18726</v>
      </c>
      <c r="D3863">
        <v>27.97</v>
      </c>
      <c r="E3863">
        <v>1.12</v>
      </c>
      <c r="F3863">
        <v>0.31</v>
      </c>
      <c r="G3863" t="s">
        <v>2547</v>
      </c>
      <c r="H3863">
        <v>144</v>
      </c>
      <c r="I3863">
        <v>27.97</v>
      </c>
      <c r="J3863">
        <v>28.01</v>
      </c>
      <c r="K3863" t="s">
        <v>18724</v>
      </c>
      <c r="L3863">
        <v>3.24</v>
      </c>
      <c r="M3863" t="s">
        <v>46</v>
      </c>
      <c r="N3863" t="s">
        <v>936</v>
      </c>
      <c r="O3863">
        <v>28.58</v>
      </c>
      <c r="P3863">
        <v>27.48</v>
      </c>
      <c r="Q3863">
        <v>27.59</v>
      </c>
      <c r="R3863">
        <v>27.66</v>
      </c>
      <c r="S3863">
        <v>3.98</v>
      </c>
      <c r="T3863">
        <v>1.5</v>
      </c>
      <c r="U3863">
        <v>-59.59</v>
      </c>
      <c r="V3863">
        <v>-67</v>
      </c>
      <c r="W3863">
        <v>27.91</v>
      </c>
      <c r="X3863">
        <v>5017</v>
      </c>
      <c r="Y3863">
        <v>7511</v>
      </c>
      <c r="Z3863">
        <v>0.67</v>
      </c>
      <c r="AA3863">
        <v>1</v>
      </c>
      <c r="AB3863">
        <v>12</v>
      </c>
      <c r="AC3863">
        <v>2.81</v>
      </c>
      <c r="AD3863" t="s">
        <v>18727</v>
      </c>
      <c r="AE3863" t="s">
        <v>14327</v>
      </c>
      <c r="AF3863" t="s">
        <v>18728</v>
      </c>
      <c r="AG3863" t="s">
        <v>13399</v>
      </c>
      <c r="AH3863">
        <v>-1.44</v>
      </c>
      <c r="AI3863">
        <v>0.76</v>
      </c>
      <c r="AJ3863">
        <v>7.47</v>
      </c>
      <c r="AK3863">
        <v>14</v>
      </c>
      <c r="AL3863">
        <v>2</v>
      </c>
      <c r="AM3863">
        <v>1.12</v>
      </c>
      <c r="AN3863">
        <v>43.29</v>
      </c>
      <c r="AO3863">
        <v>10.51</v>
      </c>
      <c r="AP3863">
        <v>22.14</v>
      </c>
    </row>
    <row r="3864" spans="1:42">
      <c r="A3864">
        <v>3863</v>
      </c>
      <c r="B3864" t="str">
        <f>"301378"</f>
        <v>301378</v>
      </c>
      <c r="C3864" t="s">
        <v>18729</v>
      </c>
      <c r="D3864">
        <v>51.78</v>
      </c>
      <c r="E3864">
        <v>3.77</v>
      </c>
      <c r="F3864">
        <v>1.88</v>
      </c>
      <c r="G3864">
        <v>6846</v>
      </c>
      <c r="H3864">
        <v>102</v>
      </c>
      <c r="I3864">
        <v>51.75</v>
      </c>
      <c r="J3864">
        <v>51.78</v>
      </c>
      <c r="K3864" t="s">
        <v>18730</v>
      </c>
      <c r="L3864">
        <v>3.97</v>
      </c>
      <c r="M3864" t="s">
        <v>46</v>
      </c>
      <c r="N3864" t="s">
        <v>4563</v>
      </c>
      <c r="O3864">
        <v>52</v>
      </c>
      <c r="P3864">
        <v>49.5</v>
      </c>
      <c r="Q3864">
        <v>49.62</v>
      </c>
      <c r="R3864">
        <v>49.9</v>
      </c>
      <c r="S3864">
        <v>5.01</v>
      </c>
      <c r="T3864">
        <v>1.55</v>
      </c>
      <c r="U3864">
        <v>-42.08</v>
      </c>
      <c r="V3864">
        <v>-39</v>
      </c>
      <c r="W3864">
        <v>50.97</v>
      </c>
      <c r="X3864">
        <v>2608</v>
      </c>
      <c r="Y3864">
        <v>4238</v>
      </c>
      <c r="Z3864">
        <v>0.62</v>
      </c>
      <c r="AA3864">
        <v>8</v>
      </c>
      <c r="AB3864">
        <v>1</v>
      </c>
      <c r="AC3864">
        <v>2.6</v>
      </c>
      <c r="AD3864" t="s">
        <v>18731</v>
      </c>
      <c r="AE3864" t="s">
        <v>18732</v>
      </c>
      <c r="AF3864" t="s">
        <v>18733</v>
      </c>
      <c r="AG3864" t="s">
        <v>18734</v>
      </c>
      <c r="AH3864">
        <v>2.33</v>
      </c>
      <c r="AI3864">
        <v>0.52</v>
      </c>
      <c r="AJ3864">
        <v>8.79</v>
      </c>
      <c r="AK3864">
        <v>16.77</v>
      </c>
      <c r="AL3864">
        <v>1</v>
      </c>
      <c r="AM3864">
        <v>3.77</v>
      </c>
      <c r="AN3864">
        <v>-17.38</v>
      </c>
      <c r="AO3864">
        <v>8.35</v>
      </c>
      <c r="AP3864">
        <v>-17.38</v>
      </c>
    </row>
    <row r="3865" spans="1:42">
      <c r="A3865">
        <v>3864</v>
      </c>
      <c r="B3865" t="str">
        <f>"002669"</f>
        <v>002669</v>
      </c>
      <c r="C3865" t="s">
        <v>18735</v>
      </c>
      <c r="D3865">
        <v>12.25</v>
      </c>
      <c r="E3865">
        <v>0.57</v>
      </c>
      <c r="F3865">
        <v>0.07</v>
      </c>
      <c r="G3865" t="s">
        <v>6768</v>
      </c>
      <c r="H3865">
        <v>287</v>
      </c>
      <c r="I3865">
        <v>12.24</v>
      </c>
      <c r="J3865">
        <v>12.25</v>
      </c>
      <c r="K3865" t="s">
        <v>18730</v>
      </c>
      <c r="L3865">
        <v>0.98</v>
      </c>
      <c r="M3865" t="s">
        <v>46</v>
      </c>
      <c r="N3865" t="s">
        <v>507</v>
      </c>
      <c r="O3865">
        <v>12.28</v>
      </c>
      <c r="P3865">
        <v>12.12</v>
      </c>
      <c r="Q3865">
        <v>12.18</v>
      </c>
      <c r="R3865">
        <v>12.18</v>
      </c>
      <c r="S3865">
        <v>1.31</v>
      </c>
      <c r="T3865">
        <v>0.84</v>
      </c>
      <c r="U3865">
        <v>7.06</v>
      </c>
      <c r="V3865">
        <v>84</v>
      </c>
      <c r="W3865">
        <v>12.2</v>
      </c>
      <c r="X3865" t="s">
        <v>7656</v>
      </c>
      <c r="Y3865" t="s">
        <v>4525</v>
      </c>
      <c r="Z3865">
        <v>1.07</v>
      </c>
      <c r="AA3865">
        <v>19</v>
      </c>
      <c r="AB3865">
        <v>5</v>
      </c>
      <c r="AC3865">
        <v>1.25</v>
      </c>
      <c r="AD3865" t="s">
        <v>18736</v>
      </c>
      <c r="AE3865" t="s">
        <v>18737</v>
      </c>
      <c r="AF3865" t="s">
        <v>18738</v>
      </c>
      <c r="AG3865" t="s">
        <v>17168</v>
      </c>
      <c r="AH3865">
        <v>-1.53</v>
      </c>
      <c r="AI3865">
        <v>-2.78</v>
      </c>
      <c r="AJ3865">
        <v>3.3</v>
      </c>
      <c r="AK3865">
        <v>6.82</v>
      </c>
      <c r="AL3865">
        <v>1</v>
      </c>
      <c r="AM3865">
        <v>0.57</v>
      </c>
      <c r="AN3865">
        <v>-4.82</v>
      </c>
      <c r="AO3865">
        <v>-0.65</v>
      </c>
      <c r="AP3865">
        <v>-1.69</v>
      </c>
    </row>
    <row r="3866" spans="1:42">
      <c r="A3866">
        <v>3865</v>
      </c>
      <c r="B3866" t="str">
        <f>"301069"</f>
        <v>301069</v>
      </c>
      <c r="C3866" t="s">
        <v>18739</v>
      </c>
      <c r="D3866">
        <v>19.08</v>
      </c>
      <c r="E3866">
        <v>0.1</v>
      </c>
      <c r="F3866">
        <v>0.02</v>
      </c>
      <c r="G3866" t="s">
        <v>6012</v>
      </c>
      <c r="H3866">
        <v>393</v>
      </c>
      <c r="I3866">
        <v>19.08</v>
      </c>
      <c r="J3866">
        <v>19.09</v>
      </c>
      <c r="K3866" t="s">
        <v>18740</v>
      </c>
      <c r="L3866">
        <v>1.31</v>
      </c>
      <c r="M3866" t="s">
        <v>46</v>
      </c>
      <c r="N3866" t="s">
        <v>18741</v>
      </c>
      <c r="O3866">
        <v>19.21</v>
      </c>
      <c r="P3866">
        <v>18.76</v>
      </c>
      <c r="Q3866">
        <v>19.04</v>
      </c>
      <c r="R3866">
        <v>19.06</v>
      </c>
      <c r="S3866">
        <v>2.36</v>
      </c>
      <c r="T3866">
        <v>0.74</v>
      </c>
      <c r="U3866">
        <v>-11.17</v>
      </c>
      <c r="V3866">
        <v>-46</v>
      </c>
      <c r="W3866">
        <v>18.96</v>
      </c>
      <c r="X3866">
        <v>9973</v>
      </c>
      <c r="Y3866">
        <v>8421</v>
      </c>
      <c r="Z3866">
        <v>1.18</v>
      </c>
      <c r="AA3866">
        <v>46</v>
      </c>
      <c r="AB3866">
        <v>41</v>
      </c>
      <c r="AC3866">
        <v>5.38</v>
      </c>
      <c r="AD3866" t="s">
        <v>18742</v>
      </c>
      <c r="AE3866" t="s">
        <v>18743</v>
      </c>
      <c r="AF3866" t="s">
        <v>12199</v>
      </c>
      <c r="AG3866" t="s">
        <v>10894</v>
      </c>
      <c r="AH3866">
        <v>-5.4</v>
      </c>
      <c r="AI3866">
        <v>-6.56</v>
      </c>
      <c r="AJ3866">
        <v>5.17</v>
      </c>
      <c r="AK3866">
        <v>10.16</v>
      </c>
      <c r="AL3866">
        <v>1</v>
      </c>
      <c r="AM3866">
        <v>0.1</v>
      </c>
      <c r="AN3866">
        <v>-30.44</v>
      </c>
      <c r="AO3866">
        <v>-5.03</v>
      </c>
      <c r="AP3866">
        <v>-34.86</v>
      </c>
    </row>
    <row r="3867" spans="1:42">
      <c r="A3867">
        <v>3866</v>
      </c>
      <c r="B3867" t="str">
        <f>"002288"</f>
        <v>002288</v>
      </c>
      <c r="C3867" t="s">
        <v>18744</v>
      </c>
      <c r="D3867">
        <v>4.64</v>
      </c>
      <c r="E3867">
        <v>0.87</v>
      </c>
      <c r="F3867">
        <v>0.04</v>
      </c>
      <c r="G3867" t="s">
        <v>16707</v>
      </c>
      <c r="H3867">
        <v>689</v>
      </c>
      <c r="I3867">
        <v>4.63</v>
      </c>
      <c r="J3867">
        <v>4.64</v>
      </c>
      <c r="K3867" t="s">
        <v>13483</v>
      </c>
      <c r="L3867">
        <v>0.94</v>
      </c>
      <c r="M3867" t="s">
        <v>46</v>
      </c>
      <c r="N3867" t="s">
        <v>1813</v>
      </c>
      <c r="O3867">
        <v>4.66</v>
      </c>
      <c r="P3867">
        <v>4.56</v>
      </c>
      <c r="Q3867">
        <v>4.6</v>
      </c>
      <c r="R3867">
        <v>4.6</v>
      </c>
      <c r="S3867">
        <v>2.17</v>
      </c>
      <c r="T3867">
        <v>0.7</v>
      </c>
      <c r="U3867">
        <v>-6.02</v>
      </c>
      <c r="V3867">
        <v>-961</v>
      </c>
      <c r="W3867">
        <v>4.61</v>
      </c>
      <c r="X3867" t="s">
        <v>5454</v>
      </c>
      <c r="Y3867" t="s">
        <v>7877</v>
      </c>
      <c r="Z3867">
        <v>0.8</v>
      </c>
      <c r="AA3867">
        <v>343</v>
      </c>
      <c r="AB3867">
        <v>1048</v>
      </c>
      <c r="AC3867">
        <v>3.25</v>
      </c>
      <c r="AD3867" t="s">
        <v>18745</v>
      </c>
      <c r="AE3867" t="s">
        <v>18746</v>
      </c>
      <c r="AF3867" t="s">
        <v>18747</v>
      </c>
      <c r="AG3867" t="s">
        <v>11576</v>
      </c>
      <c r="AH3867">
        <v>-1.69</v>
      </c>
      <c r="AI3867">
        <v>-1.9</v>
      </c>
      <c r="AJ3867">
        <v>3.59</v>
      </c>
      <c r="AK3867">
        <v>7.71</v>
      </c>
      <c r="AL3867">
        <v>1</v>
      </c>
      <c r="AM3867">
        <v>0.87</v>
      </c>
      <c r="AN3867">
        <v>-1.28</v>
      </c>
      <c r="AO3867">
        <v>2.43</v>
      </c>
      <c r="AP3867">
        <v>-15.33</v>
      </c>
    </row>
    <row r="3868" spans="1:42">
      <c r="A3868">
        <v>3867</v>
      </c>
      <c r="B3868" t="str">
        <f>"601952"</f>
        <v>601952</v>
      </c>
      <c r="C3868" t="s">
        <v>18748</v>
      </c>
      <c r="D3868">
        <v>10.62</v>
      </c>
      <c r="E3868">
        <v>-0.28</v>
      </c>
      <c r="F3868">
        <v>-0.03</v>
      </c>
      <c r="G3868" t="s">
        <v>7679</v>
      </c>
      <c r="H3868">
        <v>159</v>
      </c>
      <c r="I3868">
        <v>10.62</v>
      </c>
      <c r="J3868">
        <v>10.63</v>
      </c>
      <c r="K3868" t="s">
        <v>18749</v>
      </c>
      <c r="L3868">
        <v>0.24</v>
      </c>
      <c r="M3868" t="s">
        <v>46</v>
      </c>
      <c r="N3868" t="s">
        <v>18750</v>
      </c>
      <c r="O3868">
        <v>10.7</v>
      </c>
      <c r="P3868">
        <v>10.57</v>
      </c>
      <c r="Q3868">
        <v>10.63</v>
      </c>
      <c r="R3868">
        <v>10.65</v>
      </c>
      <c r="S3868">
        <v>1.22</v>
      </c>
      <c r="T3868">
        <v>0.71</v>
      </c>
      <c r="U3868">
        <v>25.68</v>
      </c>
      <c r="V3868">
        <v>848</v>
      </c>
      <c r="W3868">
        <v>10.62</v>
      </c>
      <c r="X3868" t="s">
        <v>1112</v>
      </c>
      <c r="Y3868" t="s">
        <v>7487</v>
      </c>
      <c r="Z3868">
        <v>1.03</v>
      </c>
      <c r="AA3868">
        <v>52</v>
      </c>
      <c r="AB3868">
        <v>114</v>
      </c>
      <c r="AC3868">
        <v>2.31</v>
      </c>
      <c r="AD3868" t="s">
        <v>14450</v>
      </c>
      <c r="AE3868" t="s">
        <v>8016</v>
      </c>
      <c r="AF3868" t="s">
        <v>14450</v>
      </c>
      <c r="AG3868" t="s">
        <v>8016</v>
      </c>
      <c r="AH3868">
        <v>-0.56</v>
      </c>
      <c r="AI3868">
        <v>0.38</v>
      </c>
      <c r="AJ3868">
        <v>0.87</v>
      </c>
      <c r="AK3868">
        <v>1.93</v>
      </c>
      <c r="AL3868">
        <v>-1</v>
      </c>
      <c r="AM3868">
        <v>-0.28</v>
      </c>
      <c r="AN3868">
        <v>-7.97</v>
      </c>
      <c r="AO3868">
        <v>0.38</v>
      </c>
      <c r="AP3868">
        <v>-13.31</v>
      </c>
    </row>
    <row r="3869" spans="1:42">
      <c r="A3869">
        <v>3868</v>
      </c>
      <c r="B3869" t="str">
        <f>"300349"</f>
        <v>300349</v>
      </c>
      <c r="C3869" t="s">
        <v>18751</v>
      </c>
      <c r="D3869">
        <v>12.94</v>
      </c>
      <c r="E3869">
        <v>0.15</v>
      </c>
      <c r="F3869">
        <v>0.02</v>
      </c>
      <c r="G3869" t="s">
        <v>3456</v>
      </c>
      <c r="H3869">
        <v>590</v>
      </c>
      <c r="I3869">
        <v>12.93</v>
      </c>
      <c r="J3869">
        <v>12.94</v>
      </c>
      <c r="K3869" t="s">
        <v>18752</v>
      </c>
      <c r="L3869">
        <v>0.72</v>
      </c>
      <c r="M3869" t="s">
        <v>46</v>
      </c>
      <c r="N3869" t="s">
        <v>7267</v>
      </c>
      <c r="O3869">
        <v>13.05</v>
      </c>
      <c r="P3869">
        <v>12.75</v>
      </c>
      <c r="Q3869">
        <v>12.89</v>
      </c>
      <c r="R3869">
        <v>12.92</v>
      </c>
      <c r="S3869">
        <v>2.32</v>
      </c>
      <c r="T3869">
        <v>0.79</v>
      </c>
      <c r="U3869">
        <v>17.3</v>
      </c>
      <c r="V3869">
        <v>113</v>
      </c>
      <c r="W3869">
        <v>12.92</v>
      </c>
      <c r="X3869" t="s">
        <v>7656</v>
      </c>
      <c r="Y3869" t="s">
        <v>1052</v>
      </c>
      <c r="Z3869">
        <v>1.22</v>
      </c>
      <c r="AA3869">
        <v>98</v>
      </c>
      <c r="AB3869">
        <v>18</v>
      </c>
      <c r="AC3869">
        <v>1.31</v>
      </c>
      <c r="AD3869" t="s">
        <v>18230</v>
      </c>
      <c r="AE3869" t="s">
        <v>10359</v>
      </c>
      <c r="AF3869" t="s">
        <v>18753</v>
      </c>
      <c r="AG3869" t="s">
        <v>11974</v>
      </c>
      <c r="AH3869">
        <v>-1.22</v>
      </c>
      <c r="AI3869">
        <v>-0.46</v>
      </c>
      <c r="AJ3869">
        <v>2.58</v>
      </c>
      <c r="AK3869">
        <v>5.29</v>
      </c>
      <c r="AL3869">
        <v>1</v>
      </c>
      <c r="AM3869">
        <v>0.15</v>
      </c>
      <c r="AN3869">
        <v>39.59</v>
      </c>
      <c r="AO3869">
        <v>3.69</v>
      </c>
      <c r="AP3869">
        <v>30.71</v>
      </c>
    </row>
    <row r="3870" spans="1:42">
      <c r="A3870">
        <v>3869</v>
      </c>
      <c r="B3870" t="str">
        <f>"688707"</f>
        <v>688707</v>
      </c>
      <c r="C3870" t="s">
        <v>18754</v>
      </c>
      <c r="D3870">
        <v>21.55</v>
      </c>
      <c r="E3870">
        <v>-0.28</v>
      </c>
      <c r="F3870">
        <v>-0.06</v>
      </c>
      <c r="G3870" t="s">
        <v>4943</v>
      </c>
      <c r="H3870">
        <v>154</v>
      </c>
      <c r="I3870">
        <v>21.53</v>
      </c>
      <c r="J3870">
        <v>21.55</v>
      </c>
      <c r="K3870" t="s">
        <v>18755</v>
      </c>
      <c r="L3870">
        <v>0.57</v>
      </c>
      <c r="M3870" t="s">
        <v>46</v>
      </c>
      <c r="N3870" t="s">
        <v>12015</v>
      </c>
      <c r="O3870">
        <v>21.65</v>
      </c>
      <c r="P3870">
        <v>21.2</v>
      </c>
      <c r="Q3870">
        <v>21.51</v>
      </c>
      <c r="R3870">
        <v>21.61</v>
      </c>
      <c r="S3870">
        <v>2.08</v>
      </c>
      <c r="T3870">
        <v>1.06</v>
      </c>
      <c r="U3870">
        <v>0.45</v>
      </c>
      <c r="V3870">
        <v>1</v>
      </c>
      <c r="W3870">
        <v>21.41</v>
      </c>
      <c r="X3870">
        <v>9173</v>
      </c>
      <c r="Y3870">
        <v>7095</v>
      </c>
      <c r="Z3870">
        <v>1.29</v>
      </c>
      <c r="AA3870">
        <v>13</v>
      </c>
      <c r="AB3870">
        <v>13</v>
      </c>
      <c r="AC3870">
        <v>2.5</v>
      </c>
      <c r="AD3870" t="s">
        <v>18756</v>
      </c>
      <c r="AE3870" t="s">
        <v>18757</v>
      </c>
      <c r="AF3870" t="s">
        <v>14693</v>
      </c>
      <c r="AG3870" t="s">
        <v>12785</v>
      </c>
      <c r="AH3870">
        <v>-3.79</v>
      </c>
      <c r="AI3870">
        <v>-6.47</v>
      </c>
      <c r="AJ3870">
        <v>1.63</v>
      </c>
      <c r="AK3870">
        <v>3.28</v>
      </c>
      <c r="AL3870">
        <v>-3</v>
      </c>
      <c r="AM3870">
        <v>-0.28</v>
      </c>
      <c r="AN3870">
        <v>-51.3</v>
      </c>
      <c r="AO3870">
        <v>-5.52</v>
      </c>
      <c r="AP3870">
        <v>-56.58</v>
      </c>
    </row>
    <row r="3871" spans="1:42">
      <c r="A3871">
        <v>3870</v>
      </c>
      <c r="B3871" t="str">
        <f>"002060"</f>
        <v>002060</v>
      </c>
      <c r="C3871" t="s">
        <v>18758</v>
      </c>
      <c r="D3871">
        <v>5.08</v>
      </c>
      <c r="E3871">
        <v>0.99</v>
      </c>
      <c r="F3871">
        <v>0.05</v>
      </c>
      <c r="G3871" t="s">
        <v>8859</v>
      </c>
      <c r="H3871">
        <v>544</v>
      </c>
      <c r="I3871">
        <v>5.07</v>
      </c>
      <c r="J3871">
        <v>5.08</v>
      </c>
      <c r="K3871" t="s">
        <v>18759</v>
      </c>
      <c r="L3871">
        <v>0.57</v>
      </c>
      <c r="M3871" t="s">
        <v>46</v>
      </c>
      <c r="N3871" t="s">
        <v>1977</v>
      </c>
      <c r="O3871">
        <v>5.08</v>
      </c>
      <c r="P3871">
        <v>5.01</v>
      </c>
      <c r="Q3871">
        <v>5.03</v>
      </c>
      <c r="R3871">
        <v>5.03</v>
      </c>
      <c r="S3871">
        <v>1.39</v>
      </c>
      <c r="T3871">
        <v>0.93</v>
      </c>
      <c r="U3871">
        <v>-19.79</v>
      </c>
      <c r="V3871">
        <v>-3159</v>
      </c>
      <c r="W3871">
        <v>5.05</v>
      </c>
      <c r="X3871" t="s">
        <v>6803</v>
      </c>
      <c r="Y3871" t="s">
        <v>3716</v>
      </c>
      <c r="Z3871">
        <v>0.79</v>
      </c>
      <c r="AA3871">
        <v>1226</v>
      </c>
      <c r="AB3871">
        <v>4381</v>
      </c>
      <c r="AC3871">
        <v>1.55</v>
      </c>
      <c r="AD3871" t="s">
        <v>18760</v>
      </c>
      <c r="AE3871" t="s">
        <v>10763</v>
      </c>
      <c r="AF3871" t="s">
        <v>838</v>
      </c>
      <c r="AG3871" t="s">
        <v>18761</v>
      </c>
      <c r="AH3871">
        <v>-0.59</v>
      </c>
      <c r="AI3871">
        <v>-1.93</v>
      </c>
      <c r="AJ3871">
        <v>1.79</v>
      </c>
      <c r="AK3871">
        <v>3.66</v>
      </c>
      <c r="AL3871">
        <v>1</v>
      </c>
      <c r="AM3871">
        <v>0.99</v>
      </c>
      <c r="AN3871">
        <v>-24.52</v>
      </c>
      <c r="AO3871">
        <v>-3.05</v>
      </c>
      <c r="AP3871">
        <v>-31.35</v>
      </c>
    </row>
    <row r="3872" spans="1:42">
      <c r="A3872">
        <v>3871</v>
      </c>
      <c r="B3872" t="str">
        <f>"002936"</f>
        <v>002936</v>
      </c>
      <c r="C3872" t="s">
        <v>18762</v>
      </c>
      <c r="D3872">
        <v>2.06</v>
      </c>
      <c r="E3872">
        <v>0</v>
      </c>
      <c r="F3872">
        <v>0</v>
      </c>
      <c r="G3872" t="s">
        <v>2859</v>
      </c>
      <c r="H3872">
        <v>7172</v>
      </c>
      <c r="I3872">
        <v>2.06</v>
      </c>
      <c r="J3872">
        <v>2.07</v>
      </c>
      <c r="K3872" t="s">
        <v>18763</v>
      </c>
      <c r="L3872">
        <v>0.25</v>
      </c>
      <c r="M3872" t="s">
        <v>46</v>
      </c>
      <c r="N3872" t="s">
        <v>916</v>
      </c>
      <c r="O3872">
        <v>2.07</v>
      </c>
      <c r="P3872">
        <v>2.05</v>
      </c>
      <c r="Q3872">
        <v>2.06</v>
      </c>
      <c r="R3872">
        <v>2.06</v>
      </c>
      <c r="S3872">
        <v>0.97</v>
      </c>
      <c r="T3872">
        <v>0.65</v>
      </c>
      <c r="U3872">
        <v>-36.41</v>
      </c>
      <c r="V3872" t="s">
        <v>18764</v>
      </c>
      <c r="W3872">
        <v>2.06</v>
      </c>
      <c r="X3872" t="s">
        <v>1317</v>
      </c>
      <c r="Y3872" t="s">
        <v>2781</v>
      </c>
      <c r="Z3872">
        <v>0.98</v>
      </c>
      <c r="AA3872" t="s">
        <v>3211</v>
      </c>
      <c r="AB3872" t="s">
        <v>6691</v>
      </c>
      <c r="AC3872">
        <v>0.43</v>
      </c>
      <c r="AD3872" t="s">
        <v>18765</v>
      </c>
      <c r="AE3872" t="s">
        <v>18766</v>
      </c>
      <c r="AF3872" t="s">
        <v>18767</v>
      </c>
      <c r="AG3872" t="s">
        <v>18768</v>
      </c>
      <c r="AH3872">
        <v>-0.48</v>
      </c>
      <c r="AI3872">
        <v>-0.48</v>
      </c>
      <c r="AJ3872">
        <v>1.04</v>
      </c>
      <c r="AK3872">
        <v>2.18</v>
      </c>
      <c r="AL3872">
        <v>0</v>
      </c>
      <c r="AM3872">
        <v>0</v>
      </c>
      <c r="AN3872">
        <v>-3.74</v>
      </c>
      <c r="AO3872">
        <v>-0.96</v>
      </c>
      <c r="AP3872">
        <v>-5.07</v>
      </c>
    </row>
    <row r="3873" spans="1:42">
      <c r="A3873">
        <v>3872</v>
      </c>
      <c r="B3873" t="str">
        <f>"000062"</f>
        <v>000062</v>
      </c>
      <c r="C3873" t="s">
        <v>18769</v>
      </c>
      <c r="D3873">
        <v>11.75</v>
      </c>
      <c r="E3873">
        <v>0.69</v>
      </c>
      <c r="F3873">
        <v>0.08</v>
      </c>
      <c r="G3873" t="s">
        <v>8050</v>
      </c>
      <c r="H3873">
        <v>217</v>
      </c>
      <c r="I3873">
        <v>11.74</v>
      </c>
      <c r="J3873">
        <v>11.75</v>
      </c>
      <c r="K3873" t="s">
        <v>18763</v>
      </c>
      <c r="L3873">
        <v>0.29</v>
      </c>
      <c r="M3873" t="s">
        <v>46</v>
      </c>
      <c r="N3873" t="s">
        <v>3209</v>
      </c>
      <c r="O3873">
        <v>11.77</v>
      </c>
      <c r="P3873">
        <v>11.56</v>
      </c>
      <c r="Q3873">
        <v>11.68</v>
      </c>
      <c r="R3873">
        <v>11.67</v>
      </c>
      <c r="S3873">
        <v>1.8</v>
      </c>
      <c r="T3873">
        <v>0.88</v>
      </c>
      <c r="U3873">
        <v>-52.26</v>
      </c>
      <c r="V3873">
        <v>-2012</v>
      </c>
      <c r="W3873">
        <v>11.68</v>
      </c>
      <c r="X3873" t="s">
        <v>6212</v>
      </c>
      <c r="Y3873" t="s">
        <v>2397</v>
      </c>
      <c r="Z3873">
        <v>0.74</v>
      </c>
      <c r="AA3873">
        <v>72</v>
      </c>
      <c r="AB3873">
        <v>885</v>
      </c>
      <c r="AC3873">
        <v>1.72</v>
      </c>
      <c r="AD3873" t="s">
        <v>5046</v>
      </c>
      <c r="AE3873" t="s">
        <v>18770</v>
      </c>
      <c r="AF3873" t="s">
        <v>2997</v>
      </c>
      <c r="AG3873" t="s">
        <v>9132</v>
      </c>
      <c r="AH3873">
        <v>-0.59</v>
      </c>
      <c r="AI3873">
        <v>-0.42</v>
      </c>
      <c r="AJ3873">
        <v>0.89</v>
      </c>
      <c r="AK3873">
        <v>1.91</v>
      </c>
      <c r="AL3873">
        <v>1</v>
      </c>
      <c r="AM3873">
        <v>0.69</v>
      </c>
      <c r="AN3873">
        <v>-1.34</v>
      </c>
      <c r="AO3873">
        <v>2.53</v>
      </c>
      <c r="AP3873">
        <v>5.48</v>
      </c>
    </row>
    <row r="3874" spans="1:42">
      <c r="A3874">
        <v>3873</v>
      </c>
      <c r="B3874" t="str">
        <f>"600805"</f>
        <v>600805</v>
      </c>
      <c r="C3874" t="s">
        <v>18771</v>
      </c>
      <c r="D3874">
        <v>4.68</v>
      </c>
      <c r="E3874">
        <v>1.3</v>
      </c>
      <c r="F3874">
        <v>0.06</v>
      </c>
      <c r="G3874" t="s">
        <v>5969</v>
      </c>
      <c r="H3874">
        <v>2013</v>
      </c>
      <c r="I3874">
        <v>4.67</v>
      </c>
      <c r="J3874">
        <v>4.68</v>
      </c>
      <c r="K3874" t="s">
        <v>18772</v>
      </c>
      <c r="L3874">
        <v>0.88</v>
      </c>
      <c r="M3874" t="s">
        <v>46</v>
      </c>
      <c r="N3874" t="s">
        <v>4677</v>
      </c>
      <c r="O3874">
        <v>4.69</v>
      </c>
      <c r="P3874">
        <v>4.63</v>
      </c>
      <c r="Q3874">
        <v>4.64</v>
      </c>
      <c r="R3874">
        <v>4.62</v>
      </c>
      <c r="S3874">
        <v>1.3</v>
      </c>
      <c r="T3874">
        <v>1.08</v>
      </c>
      <c r="U3874">
        <v>-56.42</v>
      </c>
      <c r="V3874">
        <v>-6696</v>
      </c>
      <c r="W3874">
        <v>4.66</v>
      </c>
      <c r="X3874" t="s">
        <v>1604</v>
      </c>
      <c r="Y3874" t="s">
        <v>5383</v>
      </c>
      <c r="Z3874">
        <v>0.86</v>
      </c>
      <c r="AA3874">
        <v>221</v>
      </c>
      <c r="AB3874">
        <v>1867</v>
      </c>
      <c r="AC3874">
        <v>0.91</v>
      </c>
      <c r="AD3874" t="s">
        <v>18773</v>
      </c>
      <c r="AE3874" t="s">
        <v>18774</v>
      </c>
      <c r="AF3874" t="s">
        <v>18775</v>
      </c>
      <c r="AG3874" t="s">
        <v>18776</v>
      </c>
      <c r="AH3874">
        <v>-0.21</v>
      </c>
      <c r="AI3874">
        <v>0.43</v>
      </c>
      <c r="AJ3874">
        <v>2.3</v>
      </c>
      <c r="AK3874">
        <v>4.93</v>
      </c>
      <c r="AL3874">
        <v>1</v>
      </c>
      <c r="AM3874">
        <v>1.3</v>
      </c>
      <c r="AN3874">
        <v>10.12</v>
      </c>
      <c r="AO3874">
        <v>6.36</v>
      </c>
      <c r="AP3874">
        <v>0</v>
      </c>
    </row>
    <row r="3875" spans="1:42">
      <c r="A3875">
        <v>3874</v>
      </c>
      <c r="B3875" t="str">
        <f>"300550"</f>
        <v>300550</v>
      </c>
      <c r="C3875" t="s">
        <v>18777</v>
      </c>
      <c r="D3875">
        <v>15.22</v>
      </c>
      <c r="E3875">
        <v>1.81</v>
      </c>
      <c r="F3875">
        <v>0.27</v>
      </c>
      <c r="G3875" t="s">
        <v>6266</v>
      </c>
      <c r="H3875">
        <v>233</v>
      </c>
      <c r="I3875">
        <v>15.2</v>
      </c>
      <c r="J3875">
        <v>15.22</v>
      </c>
      <c r="K3875" t="s">
        <v>18778</v>
      </c>
      <c r="L3875">
        <v>0.88</v>
      </c>
      <c r="M3875" t="s">
        <v>46</v>
      </c>
      <c r="N3875" t="s">
        <v>5134</v>
      </c>
      <c r="O3875">
        <v>15.25</v>
      </c>
      <c r="P3875">
        <v>14.78</v>
      </c>
      <c r="Q3875">
        <v>14.95</v>
      </c>
      <c r="R3875">
        <v>14.95</v>
      </c>
      <c r="S3875">
        <v>3.14</v>
      </c>
      <c r="T3875">
        <v>1.25</v>
      </c>
      <c r="U3875">
        <v>31.87</v>
      </c>
      <c r="V3875">
        <v>261</v>
      </c>
      <c r="W3875">
        <v>15.06</v>
      </c>
      <c r="X3875" t="s">
        <v>239</v>
      </c>
      <c r="Y3875" t="s">
        <v>682</v>
      </c>
      <c r="Z3875">
        <v>0.82</v>
      </c>
      <c r="AA3875">
        <v>344</v>
      </c>
      <c r="AB3875">
        <v>189</v>
      </c>
      <c r="AC3875">
        <v>3.79</v>
      </c>
      <c r="AD3875" t="s">
        <v>18779</v>
      </c>
      <c r="AE3875" t="s">
        <v>18780</v>
      </c>
      <c r="AF3875" t="s">
        <v>18781</v>
      </c>
      <c r="AG3875" t="s">
        <v>4535</v>
      </c>
      <c r="AH3875">
        <v>-0.52</v>
      </c>
      <c r="AI3875">
        <v>-1.81</v>
      </c>
      <c r="AJ3875">
        <v>2.3</v>
      </c>
      <c r="AK3875">
        <v>4.4</v>
      </c>
      <c r="AL3875">
        <v>1</v>
      </c>
      <c r="AM3875">
        <v>1.81</v>
      </c>
      <c r="AN3875">
        <v>-3.73</v>
      </c>
      <c r="AO3875">
        <v>3.33</v>
      </c>
      <c r="AP3875">
        <v>2.28</v>
      </c>
    </row>
    <row r="3876" spans="1:42">
      <c r="A3876">
        <v>3875</v>
      </c>
      <c r="B3876" t="str">
        <f>"002630"</f>
        <v>002630</v>
      </c>
      <c r="C3876" t="s">
        <v>18782</v>
      </c>
      <c r="D3876">
        <v>2.53</v>
      </c>
      <c r="E3876">
        <v>0</v>
      </c>
      <c r="F3876">
        <v>0</v>
      </c>
      <c r="G3876" t="s">
        <v>2753</v>
      </c>
      <c r="H3876">
        <v>981</v>
      </c>
      <c r="I3876">
        <v>2.53</v>
      </c>
      <c r="J3876">
        <v>2.54</v>
      </c>
      <c r="K3876" t="s">
        <v>18783</v>
      </c>
      <c r="L3876">
        <v>1.3</v>
      </c>
      <c r="M3876" t="s">
        <v>46</v>
      </c>
      <c r="N3876" t="s">
        <v>4927</v>
      </c>
      <c r="O3876">
        <v>2.54</v>
      </c>
      <c r="P3876">
        <v>2.5</v>
      </c>
      <c r="Q3876">
        <v>2.53</v>
      </c>
      <c r="R3876">
        <v>2.53</v>
      </c>
      <c r="S3876">
        <v>1.58</v>
      </c>
      <c r="T3876">
        <v>0.85</v>
      </c>
      <c r="U3876">
        <v>7.81</v>
      </c>
      <c r="V3876">
        <v>7128</v>
      </c>
      <c r="W3876">
        <v>2.53</v>
      </c>
      <c r="X3876" t="s">
        <v>5124</v>
      </c>
      <c r="Y3876" t="s">
        <v>700</v>
      </c>
      <c r="Z3876">
        <v>0.8</v>
      </c>
      <c r="AA3876">
        <v>9027</v>
      </c>
      <c r="AB3876">
        <v>4925</v>
      </c>
      <c r="AC3876">
        <v>4.85</v>
      </c>
      <c r="AD3876" t="s">
        <v>5720</v>
      </c>
      <c r="AE3876" t="s">
        <v>16485</v>
      </c>
      <c r="AF3876" t="s">
        <v>17767</v>
      </c>
      <c r="AG3876" t="s">
        <v>18784</v>
      </c>
      <c r="AH3876">
        <v>-1.17</v>
      </c>
      <c r="AI3876">
        <v>-1.17</v>
      </c>
      <c r="AJ3876">
        <v>4.34</v>
      </c>
      <c r="AK3876">
        <v>8.94</v>
      </c>
      <c r="AL3876">
        <v>0</v>
      </c>
      <c r="AM3876">
        <v>0</v>
      </c>
      <c r="AN3876">
        <v>-13.95</v>
      </c>
      <c r="AO3876">
        <v>2.02</v>
      </c>
      <c r="AP3876">
        <v>-22.39</v>
      </c>
    </row>
    <row r="3877" spans="1:42">
      <c r="A3877">
        <v>3876</v>
      </c>
      <c r="B3877" t="str">
        <f>"002274"</f>
        <v>002274</v>
      </c>
      <c r="C3877" t="s">
        <v>18785</v>
      </c>
      <c r="D3877">
        <v>7.37</v>
      </c>
      <c r="E3877">
        <v>-0.41</v>
      </c>
      <c r="F3877">
        <v>-0.03</v>
      </c>
      <c r="G3877" t="s">
        <v>778</v>
      </c>
      <c r="H3877">
        <v>469</v>
      </c>
      <c r="I3877">
        <v>7.36</v>
      </c>
      <c r="J3877">
        <v>7.37</v>
      </c>
      <c r="K3877" t="s">
        <v>18783</v>
      </c>
      <c r="L3877">
        <v>0.5</v>
      </c>
      <c r="M3877" t="s">
        <v>46</v>
      </c>
      <c r="N3877" t="s">
        <v>6863</v>
      </c>
      <c r="O3877">
        <v>7.4</v>
      </c>
      <c r="P3877">
        <v>7.32</v>
      </c>
      <c r="Q3877">
        <v>7.4</v>
      </c>
      <c r="R3877">
        <v>7.4</v>
      </c>
      <c r="S3877">
        <v>1.08</v>
      </c>
      <c r="T3877">
        <v>0.89</v>
      </c>
      <c r="U3877">
        <v>-60.55</v>
      </c>
      <c r="V3877">
        <v>-3994</v>
      </c>
      <c r="W3877">
        <v>7.36</v>
      </c>
      <c r="X3877" t="s">
        <v>7946</v>
      </c>
      <c r="Y3877" t="s">
        <v>6827</v>
      </c>
      <c r="Z3877">
        <v>1.17</v>
      </c>
      <c r="AA3877">
        <v>71</v>
      </c>
      <c r="AB3877">
        <v>23</v>
      </c>
      <c r="AC3877">
        <v>1.35</v>
      </c>
      <c r="AD3877" t="s">
        <v>18786</v>
      </c>
      <c r="AE3877" t="s">
        <v>18787</v>
      </c>
      <c r="AF3877" t="s">
        <v>18788</v>
      </c>
      <c r="AG3877" t="s">
        <v>18789</v>
      </c>
      <c r="AH3877">
        <v>-1.07</v>
      </c>
      <c r="AI3877">
        <v>-0.27</v>
      </c>
      <c r="AJ3877">
        <v>1.6</v>
      </c>
      <c r="AK3877">
        <v>3.34</v>
      </c>
      <c r="AL3877">
        <v>-2</v>
      </c>
      <c r="AM3877">
        <v>-0.41</v>
      </c>
      <c r="AN3877">
        <v>5.44</v>
      </c>
      <c r="AO3877">
        <v>3.08</v>
      </c>
      <c r="AP3877">
        <v>-1.47</v>
      </c>
    </row>
    <row r="3878" spans="1:42">
      <c r="A3878">
        <v>3877</v>
      </c>
      <c r="B3878" t="str">
        <f>"301106"</f>
        <v>301106</v>
      </c>
      <c r="C3878" t="s">
        <v>18790</v>
      </c>
      <c r="D3878">
        <v>43.22</v>
      </c>
      <c r="E3878">
        <v>0.72</v>
      </c>
      <c r="F3878">
        <v>0.31</v>
      </c>
      <c r="G3878">
        <v>8071</v>
      </c>
      <c r="H3878">
        <v>27</v>
      </c>
      <c r="I3878">
        <v>43.18</v>
      </c>
      <c r="J3878">
        <v>43.23</v>
      </c>
      <c r="K3878" t="s">
        <v>18791</v>
      </c>
      <c r="L3878">
        <v>3.87</v>
      </c>
      <c r="M3878" t="s">
        <v>46</v>
      </c>
      <c r="N3878" t="s">
        <v>8330</v>
      </c>
      <c r="O3878">
        <v>43.47</v>
      </c>
      <c r="P3878">
        <v>42.3</v>
      </c>
      <c r="Q3878">
        <v>42.91</v>
      </c>
      <c r="R3878">
        <v>42.91</v>
      </c>
      <c r="S3878">
        <v>2.73</v>
      </c>
      <c r="T3878">
        <v>0.76</v>
      </c>
      <c r="U3878">
        <v>-45.07</v>
      </c>
      <c r="V3878">
        <v>-64</v>
      </c>
      <c r="W3878">
        <v>42.97</v>
      </c>
      <c r="X3878">
        <v>3401</v>
      </c>
      <c r="Y3878">
        <v>4670</v>
      </c>
      <c r="Z3878">
        <v>0.73</v>
      </c>
      <c r="AA3878">
        <v>1</v>
      </c>
      <c r="AB3878">
        <v>60</v>
      </c>
      <c r="AC3878">
        <v>2.74</v>
      </c>
      <c r="AD3878" t="s">
        <v>18792</v>
      </c>
      <c r="AE3878" t="s">
        <v>17635</v>
      </c>
      <c r="AF3878" t="s">
        <v>18793</v>
      </c>
      <c r="AG3878" t="s">
        <v>18794</v>
      </c>
      <c r="AH3878">
        <v>-1.77</v>
      </c>
      <c r="AI3878">
        <v>0.61</v>
      </c>
      <c r="AJ3878">
        <v>12.8</v>
      </c>
      <c r="AK3878">
        <v>29.38</v>
      </c>
      <c r="AL3878">
        <v>1</v>
      </c>
      <c r="AM3878">
        <v>0.72</v>
      </c>
      <c r="AN3878">
        <v>62.73</v>
      </c>
      <c r="AO3878">
        <v>2.13</v>
      </c>
      <c r="AP3878">
        <v>41.94</v>
      </c>
    </row>
    <row r="3879" spans="1:42">
      <c r="A3879">
        <v>3878</v>
      </c>
      <c r="B3879" t="str">
        <f>"835174"</f>
        <v>835174</v>
      </c>
      <c r="C3879" t="s">
        <v>18795</v>
      </c>
      <c r="D3879">
        <v>16.54</v>
      </c>
      <c r="E3879">
        <v>0.98</v>
      </c>
      <c r="F3879">
        <v>0.16</v>
      </c>
      <c r="G3879" t="s">
        <v>8073</v>
      </c>
      <c r="H3879">
        <v>119</v>
      </c>
      <c r="I3879">
        <v>16.54</v>
      </c>
      <c r="J3879">
        <v>16.6</v>
      </c>
      <c r="K3879" t="s">
        <v>18791</v>
      </c>
      <c r="L3879">
        <v>4.14</v>
      </c>
      <c r="M3879" t="s">
        <v>46</v>
      </c>
      <c r="N3879" t="s">
        <v>858</v>
      </c>
      <c r="O3879">
        <v>17.25</v>
      </c>
      <c r="P3879">
        <v>16.4</v>
      </c>
      <c r="Q3879">
        <v>16.52</v>
      </c>
      <c r="R3879">
        <v>16.38</v>
      </c>
      <c r="S3879">
        <v>5.19</v>
      </c>
      <c r="T3879">
        <v>0.38</v>
      </c>
      <c r="U3879">
        <v>30.26</v>
      </c>
      <c r="V3879">
        <v>132</v>
      </c>
      <c r="W3879">
        <v>16.81</v>
      </c>
      <c r="X3879">
        <v>9271</v>
      </c>
      <c r="Y3879" t="s">
        <v>2667</v>
      </c>
      <c r="Z3879">
        <v>0.82</v>
      </c>
      <c r="AA3879">
        <v>22</v>
      </c>
      <c r="AB3879">
        <v>9</v>
      </c>
      <c r="AC3879">
        <v>2.24</v>
      </c>
      <c r="AD3879" t="s">
        <v>18796</v>
      </c>
      <c r="AE3879" t="s">
        <v>17143</v>
      </c>
      <c r="AF3879" t="s">
        <v>18797</v>
      </c>
      <c r="AG3879" t="s">
        <v>18798</v>
      </c>
      <c r="AH3879">
        <v>-6.71</v>
      </c>
      <c r="AI3879">
        <v>8.96</v>
      </c>
      <c r="AJ3879">
        <v>20.36</v>
      </c>
      <c r="AK3879">
        <v>58.18</v>
      </c>
      <c r="AL3879">
        <v>2</v>
      </c>
      <c r="AM3879">
        <v>0.98</v>
      </c>
      <c r="AN3879">
        <v>125.34</v>
      </c>
      <c r="AO3879">
        <v>24.83</v>
      </c>
      <c r="AP3879">
        <v>113.7</v>
      </c>
    </row>
    <row r="3880" spans="1:42">
      <c r="A3880">
        <v>3879</v>
      </c>
      <c r="B3880" t="str">
        <f>"688376"</f>
        <v>688376</v>
      </c>
      <c r="C3880" t="s">
        <v>18799</v>
      </c>
      <c r="D3880">
        <v>37.51</v>
      </c>
      <c r="E3880">
        <v>0.97</v>
      </c>
      <c r="F3880">
        <v>0.36</v>
      </c>
      <c r="G3880">
        <v>9304</v>
      </c>
      <c r="H3880">
        <v>96</v>
      </c>
      <c r="I3880">
        <v>37.49</v>
      </c>
      <c r="J3880">
        <v>37.51</v>
      </c>
      <c r="K3880" t="s">
        <v>18800</v>
      </c>
      <c r="L3880">
        <v>1.87</v>
      </c>
      <c r="M3880" t="s">
        <v>46</v>
      </c>
      <c r="N3880" t="s">
        <v>7120</v>
      </c>
      <c r="O3880">
        <v>37.8</v>
      </c>
      <c r="P3880">
        <v>36.63</v>
      </c>
      <c r="Q3880">
        <v>37.51</v>
      </c>
      <c r="R3880">
        <v>37.15</v>
      </c>
      <c r="S3880">
        <v>3.15</v>
      </c>
      <c r="T3880">
        <v>0.83</v>
      </c>
      <c r="U3880">
        <v>-44.34</v>
      </c>
      <c r="V3880">
        <v>-46</v>
      </c>
      <c r="W3880">
        <v>37.27</v>
      </c>
      <c r="X3880">
        <v>3948</v>
      </c>
      <c r="Y3880">
        <v>5356</v>
      </c>
      <c r="Z3880">
        <v>0.74</v>
      </c>
      <c r="AA3880">
        <v>8</v>
      </c>
      <c r="AB3880">
        <v>35</v>
      </c>
      <c r="AC3880">
        <v>3.17</v>
      </c>
      <c r="AD3880" t="s">
        <v>18801</v>
      </c>
      <c r="AE3880" t="s">
        <v>18802</v>
      </c>
      <c r="AF3880" t="s">
        <v>18803</v>
      </c>
      <c r="AG3880" t="s">
        <v>18804</v>
      </c>
      <c r="AH3880">
        <v>-0.5</v>
      </c>
      <c r="AI3880">
        <v>-1.73</v>
      </c>
      <c r="AJ3880">
        <v>6.13</v>
      </c>
      <c r="AK3880">
        <v>13.13</v>
      </c>
      <c r="AL3880">
        <v>1</v>
      </c>
      <c r="AM3880">
        <v>0.97</v>
      </c>
      <c r="AN3880">
        <v>20.3</v>
      </c>
      <c r="AO3880">
        <v>0.32</v>
      </c>
      <c r="AP3880">
        <v>17.7</v>
      </c>
    </row>
    <row r="3881" spans="1:42">
      <c r="A3881">
        <v>3880</v>
      </c>
      <c r="B3881" t="str">
        <f>"301213"</f>
        <v>301213</v>
      </c>
      <c r="C3881" t="s">
        <v>18805</v>
      </c>
      <c r="D3881">
        <v>42.63</v>
      </c>
      <c r="E3881">
        <v>1.94</v>
      </c>
      <c r="F3881">
        <v>0.81</v>
      </c>
      <c r="G3881">
        <v>8194</v>
      </c>
      <c r="H3881">
        <v>116</v>
      </c>
      <c r="I3881">
        <v>42.63</v>
      </c>
      <c r="J3881">
        <v>42.64</v>
      </c>
      <c r="K3881" t="s">
        <v>4378</v>
      </c>
      <c r="L3881">
        <v>2.85</v>
      </c>
      <c r="M3881" t="s">
        <v>46</v>
      </c>
      <c r="N3881" t="s">
        <v>18806</v>
      </c>
      <c r="O3881">
        <v>42.85</v>
      </c>
      <c r="P3881">
        <v>41.7</v>
      </c>
      <c r="Q3881">
        <v>42.09</v>
      </c>
      <c r="R3881">
        <v>41.82</v>
      </c>
      <c r="S3881">
        <v>2.75</v>
      </c>
      <c r="T3881">
        <v>1</v>
      </c>
      <c r="U3881">
        <v>30.77</v>
      </c>
      <c r="V3881">
        <v>56</v>
      </c>
      <c r="W3881">
        <v>42.27</v>
      </c>
      <c r="X3881">
        <v>3505</v>
      </c>
      <c r="Y3881">
        <v>4689</v>
      </c>
      <c r="Z3881">
        <v>0.75</v>
      </c>
      <c r="AA3881">
        <v>1</v>
      </c>
      <c r="AB3881">
        <v>1</v>
      </c>
      <c r="AC3881">
        <v>4.22</v>
      </c>
      <c r="AD3881" t="s">
        <v>3612</v>
      </c>
      <c r="AE3881" t="s">
        <v>6290</v>
      </c>
      <c r="AF3881" t="s">
        <v>8258</v>
      </c>
      <c r="AG3881" t="s">
        <v>6459</v>
      </c>
      <c r="AH3881">
        <v>-0.61</v>
      </c>
      <c r="AI3881">
        <v>-2.98</v>
      </c>
      <c r="AJ3881">
        <v>7.73</v>
      </c>
      <c r="AK3881">
        <v>17.12</v>
      </c>
      <c r="AL3881">
        <v>1</v>
      </c>
      <c r="AM3881">
        <v>1.94</v>
      </c>
      <c r="AN3881">
        <v>25.09</v>
      </c>
      <c r="AO3881">
        <v>0.52</v>
      </c>
      <c r="AP3881">
        <v>8.72</v>
      </c>
    </row>
    <row r="3882" spans="1:42">
      <c r="A3882">
        <v>3881</v>
      </c>
      <c r="B3882" t="str">
        <f>"600051"</f>
        <v>600051</v>
      </c>
      <c r="C3882" t="s">
        <v>18807</v>
      </c>
      <c r="D3882">
        <v>7.39</v>
      </c>
      <c r="E3882">
        <v>1.09</v>
      </c>
      <c r="F3882">
        <v>0.08</v>
      </c>
      <c r="G3882" t="s">
        <v>7735</v>
      </c>
      <c r="H3882">
        <v>696</v>
      </c>
      <c r="I3882">
        <v>7.39</v>
      </c>
      <c r="J3882">
        <v>7.4</v>
      </c>
      <c r="K3882" t="s">
        <v>18808</v>
      </c>
      <c r="L3882">
        <v>1.51</v>
      </c>
      <c r="M3882" t="s">
        <v>46</v>
      </c>
      <c r="N3882" t="s">
        <v>4069</v>
      </c>
      <c r="O3882">
        <v>7.41</v>
      </c>
      <c r="P3882">
        <v>7.25</v>
      </c>
      <c r="Q3882">
        <v>7.31</v>
      </c>
      <c r="R3882">
        <v>7.31</v>
      </c>
      <c r="S3882">
        <v>2.19</v>
      </c>
      <c r="T3882">
        <v>1.53</v>
      </c>
      <c r="U3882">
        <v>-57.79</v>
      </c>
      <c r="V3882">
        <v>-3031</v>
      </c>
      <c r="W3882">
        <v>7.36</v>
      </c>
      <c r="X3882" t="s">
        <v>128</v>
      </c>
      <c r="Y3882" t="s">
        <v>8681</v>
      </c>
      <c r="Z3882">
        <v>0.65</v>
      </c>
      <c r="AA3882">
        <v>401</v>
      </c>
      <c r="AB3882">
        <v>1010</v>
      </c>
      <c r="AC3882">
        <v>0.7</v>
      </c>
      <c r="AD3882" t="s">
        <v>12412</v>
      </c>
      <c r="AE3882" t="s">
        <v>18367</v>
      </c>
      <c r="AF3882" t="s">
        <v>12412</v>
      </c>
      <c r="AG3882" t="s">
        <v>18367</v>
      </c>
      <c r="AH3882">
        <v>0.54</v>
      </c>
      <c r="AI3882">
        <v>0.27</v>
      </c>
      <c r="AJ3882">
        <v>2.98</v>
      </c>
      <c r="AK3882">
        <v>6.44</v>
      </c>
      <c r="AL3882">
        <v>2</v>
      </c>
      <c r="AM3882">
        <v>1.09</v>
      </c>
      <c r="AN3882">
        <v>-0.4</v>
      </c>
      <c r="AO3882">
        <v>4.23</v>
      </c>
      <c r="AP3882">
        <v>4.08</v>
      </c>
    </row>
    <row r="3883" spans="1:42">
      <c r="A3883">
        <v>3882</v>
      </c>
      <c r="B3883" t="str">
        <f>"600883"</f>
        <v>600883</v>
      </c>
      <c r="C3883" t="s">
        <v>18809</v>
      </c>
      <c r="D3883">
        <v>8.62</v>
      </c>
      <c r="E3883">
        <v>1.89</v>
      </c>
      <c r="F3883">
        <v>0.16</v>
      </c>
      <c r="G3883" t="s">
        <v>5383</v>
      </c>
      <c r="H3883">
        <v>633</v>
      </c>
      <c r="I3883">
        <v>8.62</v>
      </c>
      <c r="J3883">
        <v>8.63</v>
      </c>
      <c r="K3883" t="s">
        <v>18810</v>
      </c>
      <c r="L3883">
        <v>1.7</v>
      </c>
      <c r="M3883" t="s">
        <v>46</v>
      </c>
      <c r="N3883" t="s">
        <v>18811</v>
      </c>
      <c r="O3883">
        <v>8.65</v>
      </c>
      <c r="P3883">
        <v>8.42</v>
      </c>
      <c r="Q3883">
        <v>8.45</v>
      </c>
      <c r="R3883">
        <v>8.46</v>
      </c>
      <c r="S3883">
        <v>2.72</v>
      </c>
      <c r="T3883">
        <v>1.66</v>
      </c>
      <c r="U3883">
        <v>-71.32</v>
      </c>
      <c r="V3883">
        <v>-1562</v>
      </c>
      <c r="W3883">
        <v>8.58</v>
      </c>
      <c r="X3883" t="s">
        <v>128</v>
      </c>
      <c r="Y3883" t="s">
        <v>4963</v>
      </c>
      <c r="Z3883">
        <v>0.85</v>
      </c>
      <c r="AA3883">
        <v>52</v>
      </c>
      <c r="AB3883">
        <v>110</v>
      </c>
      <c r="AC3883">
        <v>2.27</v>
      </c>
      <c r="AD3883" t="s">
        <v>18812</v>
      </c>
      <c r="AE3883" t="s">
        <v>18813</v>
      </c>
      <c r="AF3883" t="s">
        <v>18812</v>
      </c>
      <c r="AG3883" t="s">
        <v>18813</v>
      </c>
      <c r="AH3883">
        <v>1.06</v>
      </c>
      <c r="AI3883">
        <v>2.74</v>
      </c>
      <c r="AJ3883">
        <v>3.43</v>
      </c>
      <c r="AK3883">
        <v>6.82</v>
      </c>
      <c r="AL3883">
        <v>1</v>
      </c>
      <c r="AM3883">
        <v>1.89</v>
      </c>
      <c r="AN3883">
        <v>20.9</v>
      </c>
      <c r="AO3883">
        <v>4.87</v>
      </c>
      <c r="AP3883">
        <v>14.78</v>
      </c>
    </row>
    <row r="3884" spans="1:42">
      <c r="A3884">
        <v>3883</v>
      </c>
      <c r="B3884" t="str">
        <f>"300092"</f>
        <v>300092</v>
      </c>
      <c r="C3884" t="s">
        <v>18814</v>
      </c>
      <c r="D3884">
        <v>13.74</v>
      </c>
      <c r="E3884">
        <v>-1.43</v>
      </c>
      <c r="F3884">
        <v>-0.2</v>
      </c>
      <c r="G3884" t="s">
        <v>3110</v>
      </c>
      <c r="H3884">
        <v>235</v>
      </c>
      <c r="I3884">
        <v>13.72</v>
      </c>
      <c r="J3884">
        <v>13.75</v>
      </c>
      <c r="K3884" t="s">
        <v>18815</v>
      </c>
      <c r="L3884">
        <v>1.2</v>
      </c>
      <c r="M3884" t="s">
        <v>46</v>
      </c>
      <c r="N3884" t="s">
        <v>5105</v>
      </c>
      <c r="O3884">
        <v>13.92</v>
      </c>
      <c r="P3884">
        <v>13.56</v>
      </c>
      <c r="Q3884">
        <v>13.88</v>
      </c>
      <c r="R3884">
        <v>13.94</v>
      </c>
      <c r="S3884">
        <v>2.58</v>
      </c>
      <c r="T3884">
        <v>0.85</v>
      </c>
      <c r="U3884">
        <v>-10.16</v>
      </c>
      <c r="V3884">
        <v>-115</v>
      </c>
      <c r="W3884">
        <v>13.71</v>
      </c>
      <c r="X3884" t="s">
        <v>2284</v>
      </c>
      <c r="Y3884" t="s">
        <v>3284</v>
      </c>
      <c r="Z3884">
        <v>0.84</v>
      </c>
      <c r="AA3884">
        <v>61</v>
      </c>
      <c r="AB3884">
        <v>266</v>
      </c>
      <c r="AC3884">
        <v>2.52</v>
      </c>
      <c r="AD3884" t="s">
        <v>18816</v>
      </c>
      <c r="AE3884" t="s">
        <v>18162</v>
      </c>
      <c r="AF3884" t="s">
        <v>18817</v>
      </c>
      <c r="AG3884" t="s">
        <v>13491</v>
      </c>
      <c r="AH3884">
        <v>-1.15</v>
      </c>
      <c r="AI3884">
        <v>-0.07</v>
      </c>
      <c r="AJ3884">
        <v>5.25</v>
      </c>
      <c r="AK3884">
        <v>8.22</v>
      </c>
      <c r="AL3884">
        <v>-2</v>
      </c>
      <c r="AM3884">
        <v>-1.43</v>
      </c>
      <c r="AN3884">
        <v>4.49</v>
      </c>
      <c r="AO3884">
        <v>3.7</v>
      </c>
      <c r="AP3884">
        <v>-8.64</v>
      </c>
    </row>
    <row r="3885" spans="1:42">
      <c r="A3885">
        <v>3884</v>
      </c>
      <c r="B3885" t="str">
        <f>"300197"</f>
        <v>300197</v>
      </c>
      <c r="C3885" t="s">
        <v>18818</v>
      </c>
      <c r="D3885">
        <v>2.31</v>
      </c>
      <c r="E3885">
        <v>0.87</v>
      </c>
      <c r="F3885">
        <v>0.02</v>
      </c>
      <c r="G3885" t="s">
        <v>2222</v>
      </c>
      <c r="H3885">
        <v>3365</v>
      </c>
      <c r="I3885">
        <v>2.3</v>
      </c>
      <c r="J3885">
        <v>2.31</v>
      </c>
      <c r="K3885" t="s">
        <v>18819</v>
      </c>
      <c r="L3885">
        <v>0.72</v>
      </c>
      <c r="M3885" t="s">
        <v>46</v>
      </c>
      <c r="N3885" t="s">
        <v>208</v>
      </c>
      <c r="O3885">
        <v>2.31</v>
      </c>
      <c r="P3885">
        <v>2.27</v>
      </c>
      <c r="Q3885">
        <v>2.28</v>
      </c>
      <c r="R3885">
        <v>2.29</v>
      </c>
      <c r="S3885">
        <v>1.75</v>
      </c>
      <c r="T3885">
        <v>0.39</v>
      </c>
      <c r="U3885">
        <v>8.42</v>
      </c>
      <c r="V3885">
        <v>6769</v>
      </c>
      <c r="W3885">
        <v>2.29</v>
      </c>
      <c r="X3885" t="s">
        <v>4175</v>
      </c>
      <c r="Y3885" t="s">
        <v>12160</v>
      </c>
      <c r="Z3885">
        <v>1.1</v>
      </c>
      <c r="AA3885">
        <v>2991</v>
      </c>
      <c r="AB3885" t="s">
        <v>5183</v>
      </c>
      <c r="AC3885">
        <v>1.24</v>
      </c>
      <c r="AD3885" t="s">
        <v>18820</v>
      </c>
      <c r="AE3885" t="s">
        <v>18821</v>
      </c>
      <c r="AF3885" t="s">
        <v>15545</v>
      </c>
      <c r="AG3885" t="s">
        <v>5456</v>
      </c>
      <c r="AH3885">
        <v>-2.12</v>
      </c>
      <c r="AI3885">
        <v>0.43</v>
      </c>
      <c r="AJ3885">
        <v>3.39</v>
      </c>
      <c r="AK3885">
        <v>10.02</v>
      </c>
      <c r="AL3885">
        <v>1</v>
      </c>
      <c r="AM3885">
        <v>0.87</v>
      </c>
      <c r="AN3885">
        <v>1.76</v>
      </c>
      <c r="AO3885">
        <v>0.43</v>
      </c>
      <c r="AP3885">
        <v>0</v>
      </c>
    </row>
    <row r="3886" spans="1:42">
      <c r="A3886">
        <v>3885</v>
      </c>
      <c r="B3886" t="str">
        <f>"603682"</f>
        <v>603682</v>
      </c>
      <c r="C3886" t="s">
        <v>18822</v>
      </c>
      <c r="D3886">
        <v>6</v>
      </c>
      <c r="E3886">
        <v>0.84</v>
      </c>
      <c r="F3886">
        <v>0.05</v>
      </c>
      <c r="G3886" t="s">
        <v>5878</v>
      </c>
      <c r="H3886">
        <v>565</v>
      </c>
      <c r="I3886">
        <v>6</v>
      </c>
      <c r="J3886">
        <v>6.01</v>
      </c>
      <c r="K3886" t="s">
        <v>10025</v>
      </c>
      <c r="L3886">
        <v>1.21</v>
      </c>
      <c r="M3886" t="s">
        <v>46</v>
      </c>
      <c r="N3886" t="s">
        <v>18823</v>
      </c>
      <c r="O3886">
        <v>6.05</v>
      </c>
      <c r="P3886">
        <v>5.95</v>
      </c>
      <c r="Q3886">
        <v>5.96</v>
      </c>
      <c r="R3886">
        <v>5.95</v>
      </c>
      <c r="S3886">
        <v>1.68</v>
      </c>
      <c r="T3886">
        <v>0.82</v>
      </c>
      <c r="U3886">
        <v>-39.64</v>
      </c>
      <c r="V3886">
        <v>-2768</v>
      </c>
      <c r="W3886">
        <v>6.01</v>
      </c>
      <c r="X3886" t="s">
        <v>48</v>
      </c>
      <c r="Y3886" t="s">
        <v>8255</v>
      </c>
      <c r="Z3886">
        <v>0.77</v>
      </c>
      <c r="AA3886">
        <v>99</v>
      </c>
      <c r="AB3886">
        <v>148</v>
      </c>
      <c r="AC3886">
        <v>2.54</v>
      </c>
      <c r="AD3886" t="s">
        <v>4396</v>
      </c>
      <c r="AE3886" t="s">
        <v>11932</v>
      </c>
      <c r="AF3886" t="s">
        <v>4396</v>
      </c>
      <c r="AG3886" t="s">
        <v>11932</v>
      </c>
      <c r="AH3886">
        <v>-1.32</v>
      </c>
      <c r="AI3886">
        <v>-2.28</v>
      </c>
      <c r="AJ3886">
        <v>3.85</v>
      </c>
      <c r="AK3886">
        <v>8.65</v>
      </c>
      <c r="AL3886">
        <v>1</v>
      </c>
      <c r="AM3886">
        <v>0.84</v>
      </c>
      <c r="AN3886">
        <v>15.61</v>
      </c>
      <c r="AO3886">
        <v>3.27</v>
      </c>
      <c r="AP3886">
        <v>12.78</v>
      </c>
    </row>
    <row r="3887" spans="1:42">
      <c r="A3887">
        <v>3886</v>
      </c>
      <c r="B3887" t="str">
        <f>"002838"</f>
        <v>002838</v>
      </c>
      <c r="C3887" t="s">
        <v>18824</v>
      </c>
      <c r="D3887">
        <v>13.18</v>
      </c>
      <c r="E3887">
        <v>-0.68</v>
      </c>
      <c r="F3887">
        <v>-0.09</v>
      </c>
      <c r="G3887" t="s">
        <v>4012</v>
      </c>
      <c r="H3887">
        <v>102</v>
      </c>
      <c r="I3887">
        <v>13.17</v>
      </c>
      <c r="J3887">
        <v>13.18</v>
      </c>
      <c r="K3887" t="s">
        <v>18825</v>
      </c>
      <c r="L3887">
        <v>0.67</v>
      </c>
      <c r="M3887" t="s">
        <v>46</v>
      </c>
      <c r="N3887" t="s">
        <v>18015</v>
      </c>
      <c r="O3887">
        <v>13.28</v>
      </c>
      <c r="P3887">
        <v>13.07</v>
      </c>
      <c r="Q3887">
        <v>13.27</v>
      </c>
      <c r="R3887">
        <v>13.27</v>
      </c>
      <c r="S3887">
        <v>1.58</v>
      </c>
      <c r="T3887">
        <v>1.28</v>
      </c>
      <c r="U3887">
        <v>7.05</v>
      </c>
      <c r="V3887">
        <v>58</v>
      </c>
      <c r="W3887">
        <v>13.15</v>
      </c>
      <c r="X3887" t="s">
        <v>209</v>
      </c>
      <c r="Y3887" t="s">
        <v>1777</v>
      </c>
      <c r="Z3887">
        <v>0.96</v>
      </c>
      <c r="AA3887">
        <v>145</v>
      </c>
      <c r="AB3887">
        <v>226</v>
      </c>
      <c r="AC3887">
        <v>1.99</v>
      </c>
      <c r="AD3887" t="s">
        <v>18826</v>
      </c>
      <c r="AE3887" t="s">
        <v>18827</v>
      </c>
      <c r="AF3887" t="s">
        <v>18828</v>
      </c>
      <c r="AG3887" t="s">
        <v>13139</v>
      </c>
      <c r="AH3887">
        <v>-3.02</v>
      </c>
      <c r="AI3887">
        <v>-3.16</v>
      </c>
      <c r="AJ3887">
        <v>1.66</v>
      </c>
      <c r="AK3887">
        <v>3.32</v>
      </c>
      <c r="AL3887">
        <v>-3</v>
      </c>
      <c r="AM3887">
        <v>-0.68</v>
      </c>
      <c r="AN3887">
        <v>-25.16</v>
      </c>
      <c r="AO3887">
        <v>-3.58</v>
      </c>
      <c r="AP3887">
        <v>-33.77</v>
      </c>
    </row>
    <row r="3888" spans="1:42">
      <c r="A3888">
        <v>3887</v>
      </c>
      <c r="B3888" t="str">
        <f>"002933"</f>
        <v>002933</v>
      </c>
      <c r="C3888" t="s">
        <v>18829</v>
      </c>
      <c r="D3888">
        <v>29.61</v>
      </c>
      <c r="E3888">
        <v>-0.07</v>
      </c>
      <c r="F3888">
        <v>-0.02</v>
      </c>
      <c r="G3888" t="s">
        <v>1743</v>
      </c>
      <c r="H3888">
        <v>102</v>
      </c>
      <c r="I3888">
        <v>29.6</v>
      </c>
      <c r="J3888">
        <v>29.61</v>
      </c>
      <c r="K3888" t="s">
        <v>18830</v>
      </c>
      <c r="L3888">
        <v>1.03</v>
      </c>
      <c r="M3888" t="s">
        <v>46</v>
      </c>
      <c r="N3888" t="s">
        <v>5632</v>
      </c>
      <c r="O3888">
        <v>29.7</v>
      </c>
      <c r="P3888">
        <v>29.21</v>
      </c>
      <c r="Q3888">
        <v>29.53</v>
      </c>
      <c r="R3888">
        <v>29.63</v>
      </c>
      <c r="S3888">
        <v>1.65</v>
      </c>
      <c r="T3888">
        <v>0.88</v>
      </c>
      <c r="U3888">
        <v>75.81</v>
      </c>
      <c r="V3888">
        <v>1003</v>
      </c>
      <c r="W3888">
        <v>29.51</v>
      </c>
      <c r="X3888">
        <v>5700</v>
      </c>
      <c r="Y3888">
        <v>5939</v>
      </c>
      <c r="Z3888">
        <v>0.96</v>
      </c>
      <c r="AA3888">
        <v>30</v>
      </c>
      <c r="AB3888">
        <v>15</v>
      </c>
      <c r="AC3888">
        <v>2.36</v>
      </c>
      <c r="AD3888" t="s">
        <v>18831</v>
      </c>
      <c r="AE3888" t="s">
        <v>7689</v>
      </c>
      <c r="AF3888" t="s">
        <v>8536</v>
      </c>
      <c r="AG3888" t="s">
        <v>18832</v>
      </c>
      <c r="AH3888">
        <v>-0.6</v>
      </c>
      <c r="AI3888">
        <v>-0.27</v>
      </c>
      <c r="AJ3888">
        <v>3.36</v>
      </c>
      <c r="AK3888">
        <v>6.87</v>
      </c>
      <c r="AL3888">
        <v>-1</v>
      </c>
      <c r="AM3888">
        <v>-0.07</v>
      </c>
      <c r="AN3888">
        <v>-5.43</v>
      </c>
      <c r="AO3888">
        <v>3.5</v>
      </c>
      <c r="AP3888">
        <v>31.31</v>
      </c>
    </row>
    <row r="3889" spans="1:42">
      <c r="A3889">
        <v>3888</v>
      </c>
      <c r="B3889" t="str">
        <f>"603208"</f>
        <v>603208</v>
      </c>
      <c r="C3889" t="s">
        <v>18833</v>
      </c>
      <c r="D3889">
        <v>32.09</v>
      </c>
      <c r="E3889">
        <v>0.63</v>
      </c>
      <c r="F3889">
        <v>0.2</v>
      </c>
      <c r="G3889" t="s">
        <v>2147</v>
      </c>
      <c r="H3889">
        <v>17</v>
      </c>
      <c r="I3889">
        <v>32.09</v>
      </c>
      <c r="J3889">
        <v>32.12</v>
      </c>
      <c r="K3889" t="s">
        <v>18834</v>
      </c>
      <c r="L3889">
        <v>0.61</v>
      </c>
      <c r="M3889" t="s">
        <v>46</v>
      </c>
      <c r="N3889" t="s">
        <v>14076</v>
      </c>
      <c r="O3889">
        <v>32.45</v>
      </c>
      <c r="P3889">
        <v>31.52</v>
      </c>
      <c r="Q3889">
        <v>31.96</v>
      </c>
      <c r="R3889">
        <v>31.89</v>
      </c>
      <c r="S3889">
        <v>2.92</v>
      </c>
      <c r="T3889">
        <v>1.36</v>
      </c>
      <c r="U3889">
        <v>36.03</v>
      </c>
      <c r="V3889">
        <v>96</v>
      </c>
      <c r="W3889">
        <v>31.95</v>
      </c>
      <c r="X3889">
        <v>5171</v>
      </c>
      <c r="Y3889">
        <v>5568</v>
      </c>
      <c r="Z3889">
        <v>0.93</v>
      </c>
      <c r="AA3889">
        <v>124</v>
      </c>
      <c r="AB3889">
        <v>29</v>
      </c>
      <c r="AC3889">
        <v>4.06</v>
      </c>
      <c r="AD3889" t="s">
        <v>18835</v>
      </c>
      <c r="AE3889" t="s">
        <v>10589</v>
      </c>
      <c r="AF3889" t="s">
        <v>18835</v>
      </c>
      <c r="AG3889" t="s">
        <v>10589</v>
      </c>
      <c r="AH3889">
        <v>-2.37</v>
      </c>
      <c r="AI3889">
        <v>-4.78</v>
      </c>
      <c r="AJ3889">
        <v>1.5</v>
      </c>
      <c r="AK3889">
        <v>2.84</v>
      </c>
      <c r="AL3889">
        <v>1</v>
      </c>
      <c r="AM3889">
        <v>0.63</v>
      </c>
      <c r="AN3889">
        <v>-29.77</v>
      </c>
      <c r="AO3889">
        <v>-3.34</v>
      </c>
      <c r="AP3889">
        <v>-10.29</v>
      </c>
    </row>
    <row r="3890" spans="1:42">
      <c r="A3890">
        <v>3889</v>
      </c>
      <c r="B3890" t="str">
        <f>"000707"</f>
        <v>000707</v>
      </c>
      <c r="C3890" t="s">
        <v>18836</v>
      </c>
      <c r="D3890">
        <v>7.99</v>
      </c>
      <c r="E3890">
        <v>-0.13</v>
      </c>
      <c r="F3890">
        <v>-0.01</v>
      </c>
      <c r="G3890" t="s">
        <v>2684</v>
      </c>
      <c r="H3890">
        <v>636</v>
      </c>
      <c r="I3890">
        <v>7.99</v>
      </c>
      <c r="J3890">
        <v>8</v>
      </c>
      <c r="K3890" t="s">
        <v>12522</v>
      </c>
      <c r="L3890">
        <v>0.93</v>
      </c>
      <c r="M3890" t="s">
        <v>46</v>
      </c>
      <c r="N3890" t="s">
        <v>18837</v>
      </c>
      <c r="O3890">
        <v>8.03</v>
      </c>
      <c r="P3890">
        <v>7.93</v>
      </c>
      <c r="Q3890">
        <v>7.98</v>
      </c>
      <c r="R3890">
        <v>8</v>
      </c>
      <c r="S3890">
        <v>1.25</v>
      </c>
      <c r="T3890">
        <v>0.69</v>
      </c>
      <c r="U3890">
        <v>-53.98</v>
      </c>
      <c r="V3890">
        <v>-2372</v>
      </c>
      <c r="W3890">
        <v>7.97</v>
      </c>
      <c r="X3890" t="s">
        <v>4017</v>
      </c>
      <c r="Y3890" t="s">
        <v>2329</v>
      </c>
      <c r="Z3890">
        <v>1.25</v>
      </c>
      <c r="AA3890">
        <v>64</v>
      </c>
      <c r="AB3890">
        <v>554</v>
      </c>
      <c r="AC3890">
        <v>1.93</v>
      </c>
      <c r="AD3890" t="s">
        <v>18838</v>
      </c>
      <c r="AE3890" t="s">
        <v>18839</v>
      </c>
      <c r="AF3890" t="s">
        <v>18838</v>
      </c>
      <c r="AG3890" t="s">
        <v>18839</v>
      </c>
      <c r="AH3890">
        <v>-1.11</v>
      </c>
      <c r="AI3890">
        <v>-0.75</v>
      </c>
      <c r="AJ3890">
        <v>2.9</v>
      </c>
      <c r="AK3890">
        <v>7.62</v>
      </c>
      <c r="AL3890">
        <v>-4</v>
      </c>
      <c r="AM3890">
        <v>-0.13</v>
      </c>
      <c r="AN3890">
        <v>-15.18</v>
      </c>
      <c r="AO3890">
        <v>7.1</v>
      </c>
      <c r="AP3890">
        <v>-15.81</v>
      </c>
    </row>
    <row r="3891" spans="1:42">
      <c r="A3891">
        <v>3890</v>
      </c>
      <c r="B3891" t="str">
        <f>"001301"</f>
        <v>001301</v>
      </c>
      <c r="C3891" t="s">
        <v>18840</v>
      </c>
      <c r="D3891">
        <v>41.57</v>
      </c>
      <c r="E3891">
        <v>0.56</v>
      </c>
      <c r="F3891">
        <v>0.23</v>
      </c>
      <c r="G3891">
        <v>8310</v>
      </c>
      <c r="H3891">
        <v>46</v>
      </c>
      <c r="I3891">
        <v>41.57</v>
      </c>
      <c r="J3891">
        <v>41.58</v>
      </c>
      <c r="K3891" t="s">
        <v>18841</v>
      </c>
      <c r="L3891">
        <v>1.28</v>
      </c>
      <c r="M3891" t="s">
        <v>46</v>
      </c>
      <c r="N3891" t="s">
        <v>6185</v>
      </c>
      <c r="O3891">
        <v>42.04</v>
      </c>
      <c r="P3891">
        <v>40.71</v>
      </c>
      <c r="Q3891">
        <v>41.34</v>
      </c>
      <c r="R3891">
        <v>41.34</v>
      </c>
      <c r="S3891">
        <v>3.22</v>
      </c>
      <c r="T3891">
        <v>1.05</v>
      </c>
      <c r="U3891">
        <v>16.13</v>
      </c>
      <c r="V3891">
        <v>10</v>
      </c>
      <c r="W3891">
        <v>41.25</v>
      </c>
      <c r="X3891">
        <v>4001</v>
      </c>
      <c r="Y3891">
        <v>4308</v>
      </c>
      <c r="Z3891">
        <v>0.93</v>
      </c>
      <c r="AA3891">
        <v>10</v>
      </c>
      <c r="AB3891">
        <v>2</v>
      </c>
      <c r="AC3891">
        <v>1.97</v>
      </c>
      <c r="AD3891" t="s">
        <v>18691</v>
      </c>
      <c r="AE3891" t="s">
        <v>11422</v>
      </c>
      <c r="AF3891" t="s">
        <v>18842</v>
      </c>
      <c r="AG3891" t="s">
        <v>7595</v>
      </c>
      <c r="AH3891">
        <v>-2.87</v>
      </c>
      <c r="AI3891">
        <v>-6.61</v>
      </c>
      <c r="AJ3891">
        <v>3.79</v>
      </c>
      <c r="AK3891">
        <v>7.36</v>
      </c>
      <c r="AL3891">
        <v>1</v>
      </c>
      <c r="AM3891">
        <v>0.56</v>
      </c>
      <c r="AN3891">
        <v>-28.38</v>
      </c>
      <c r="AO3891">
        <v>-6.33</v>
      </c>
      <c r="AP3891">
        <v>26.43</v>
      </c>
    </row>
    <row r="3892" spans="1:42">
      <c r="A3892">
        <v>3891</v>
      </c>
      <c r="B3892" t="str">
        <f>"688288"</f>
        <v>688288</v>
      </c>
      <c r="C3892" t="s">
        <v>18843</v>
      </c>
      <c r="D3892">
        <v>25.62</v>
      </c>
      <c r="E3892">
        <v>1.18</v>
      </c>
      <c r="F3892">
        <v>0.3</v>
      </c>
      <c r="G3892" t="s">
        <v>1384</v>
      </c>
      <c r="H3892">
        <v>101</v>
      </c>
      <c r="I3892">
        <v>25.54</v>
      </c>
      <c r="J3892">
        <v>25.62</v>
      </c>
      <c r="K3892" t="s">
        <v>18844</v>
      </c>
      <c r="L3892">
        <v>1.34</v>
      </c>
      <c r="M3892" t="s">
        <v>46</v>
      </c>
      <c r="N3892" t="s">
        <v>897</v>
      </c>
      <c r="O3892">
        <v>25.78</v>
      </c>
      <c r="P3892">
        <v>25.03</v>
      </c>
      <c r="Q3892">
        <v>25.32</v>
      </c>
      <c r="R3892">
        <v>25.32</v>
      </c>
      <c r="S3892">
        <v>2.96</v>
      </c>
      <c r="T3892">
        <v>0.64</v>
      </c>
      <c r="U3892">
        <v>-39.29</v>
      </c>
      <c r="V3892">
        <v>-333</v>
      </c>
      <c r="W3892">
        <v>25.41</v>
      </c>
      <c r="X3892">
        <v>6156</v>
      </c>
      <c r="Y3892">
        <v>7327</v>
      </c>
      <c r="Z3892">
        <v>0.84</v>
      </c>
      <c r="AA3892">
        <v>5</v>
      </c>
      <c r="AB3892">
        <v>550</v>
      </c>
      <c r="AC3892">
        <v>3.3</v>
      </c>
      <c r="AD3892" t="s">
        <v>18845</v>
      </c>
      <c r="AE3892" t="s">
        <v>14778</v>
      </c>
      <c r="AF3892" t="s">
        <v>18845</v>
      </c>
      <c r="AG3892" t="s">
        <v>14778</v>
      </c>
      <c r="AH3892">
        <v>-2.21</v>
      </c>
      <c r="AI3892">
        <v>-3.17</v>
      </c>
      <c r="AJ3892">
        <v>4.92</v>
      </c>
      <c r="AK3892">
        <v>11.81</v>
      </c>
      <c r="AL3892">
        <v>1</v>
      </c>
      <c r="AM3892">
        <v>1.18</v>
      </c>
      <c r="AN3892">
        <v>50.88</v>
      </c>
      <c r="AO3892">
        <v>5.91</v>
      </c>
      <c r="AP3892">
        <v>29.26</v>
      </c>
    </row>
    <row r="3893" spans="1:42">
      <c r="A3893">
        <v>3892</v>
      </c>
      <c r="B3893" t="str">
        <f>"830809"</f>
        <v>830809</v>
      </c>
      <c r="C3893" t="s">
        <v>18846</v>
      </c>
      <c r="D3893">
        <v>5.15</v>
      </c>
      <c r="E3893">
        <v>-4.28</v>
      </c>
      <c r="F3893">
        <v>-0.23</v>
      </c>
      <c r="G3893" t="s">
        <v>1605</v>
      </c>
      <c r="H3893">
        <v>1100</v>
      </c>
      <c r="I3893">
        <v>5.14</v>
      </c>
      <c r="J3893">
        <v>5.15</v>
      </c>
      <c r="K3893" t="s">
        <v>17639</v>
      </c>
      <c r="L3893">
        <v>1.96</v>
      </c>
      <c r="M3893" t="s">
        <v>46</v>
      </c>
      <c r="N3893" t="s">
        <v>18847</v>
      </c>
      <c r="O3893">
        <v>5.54</v>
      </c>
      <c r="P3893">
        <v>5.08</v>
      </c>
      <c r="Q3893">
        <v>5.43</v>
      </c>
      <c r="R3893">
        <v>5.38</v>
      </c>
      <c r="S3893">
        <v>8.55</v>
      </c>
      <c r="T3893">
        <v>0.37</v>
      </c>
      <c r="U3893">
        <v>37.8</v>
      </c>
      <c r="V3893">
        <v>1514</v>
      </c>
      <c r="W3893">
        <v>5.27</v>
      </c>
      <c r="X3893" t="s">
        <v>5666</v>
      </c>
      <c r="Y3893" t="s">
        <v>6419</v>
      </c>
      <c r="Z3893">
        <v>1.75</v>
      </c>
      <c r="AA3893">
        <v>1130</v>
      </c>
      <c r="AB3893">
        <v>206</v>
      </c>
      <c r="AC3893">
        <v>1.2</v>
      </c>
      <c r="AD3893" t="s">
        <v>18848</v>
      </c>
      <c r="AE3893" t="s">
        <v>4006</v>
      </c>
      <c r="AF3893" t="s">
        <v>18849</v>
      </c>
      <c r="AG3893" t="s">
        <v>18850</v>
      </c>
      <c r="AH3893">
        <v>-19.66</v>
      </c>
      <c r="AI3893">
        <v>-4.98</v>
      </c>
      <c r="AJ3893">
        <v>9.89</v>
      </c>
      <c r="AK3893">
        <v>28.39</v>
      </c>
      <c r="AL3893">
        <v>-4</v>
      </c>
      <c r="AM3893">
        <v>-4.28</v>
      </c>
      <c r="AN3893">
        <v>-74.93</v>
      </c>
      <c r="AO3893">
        <v>27.48</v>
      </c>
      <c r="AP3893">
        <v>-74.93</v>
      </c>
    </row>
    <row r="3894" spans="1:42">
      <c r="A3894">
        <v>3893</v>
      </c>
      <c r="B3894" t="str">
        <f>"832000"</f>
        <v>832000</v>
      </c>
      <c r="C3894" t="s">
        <v>18851</v>
      </c>
      <c r="D3894">
        <v>8.15</v>
      </c>
      <c r="E3894">
        <v>-6.96</v>
      </c>
      <c r="F3894">
        <v>-0.61</v>
      </c>
      <c r="G3894" t="s">
        <v>3373</v>
      </c>
      <c r="H3894">
        <v>366</v>
      </c>
      <c r="I3894">
        <v>8.15</v>
      </c>
      <c r="J3894">
        <v>8.16</v>
      </c>
      <c r="K3894" t="s">
        <v>18852</v>
      </c>
      <c r="L3894">
        <v>12.36</v>
      </c>
      <c r="M3894" t="s">
        <v>46</v>
      </c>
      <c r="N3894" t="s">
        <v>4845</v>
      </c>
      <c r="O3894">
        <v>8.93</v>
      </c>
      <c r="P3894">
        <v>8.1</v>
      </c>
      <c r="Q3894">
        <v>8.82</v>
      </c>
      <c r="R3894">
        <v>8.76</v>
      </c>
      <c r="S3894">
        <v>9.47</v>
      </c>
      <c r="T3894">
        <v>0.48</v>
      </c>
      <c r="U3894">
        <v>16.64</v>
      </c>
      <c r="V3894">
        <v>259</v>
      </c>
      <c r="W3894">
        <v>8.44</v>
      </c>
      <c r="X3894" t="s">
        <v>4013</v>
      </c>
      <c r="Y3894" t="s">
        <v>144</v>
      </c>
      <c r="Z3894">
        <v>1.58</v>
      </c>
      <c r="AA3894">
        <v>122</v>
      </c>
      <c r="AB3894">
        <v>216</v>
      </c>
      <c r="AC3894">
        <v>1.38</v>
      </c>
      <c r="AD3894" t="s">
        <v>11626</v>
      </c>
      <c r="AE3894" t="s">
        <v>18853</v>
      </c>
      <c r="AF3894" t="s">
        <v>18854</v>
      </c>
      <c r="AG3894" t="s">
        <v>9448</v>
      </c>
      <c r="AH3894">
        <v>-18.58</v>
      </c>
      <c r="AI3894">
        <v>9.25</v>
      </c>
      <c r="AJ3894">
        <v>47.11</v>
      </c>
      <c r="AK3894">
        <v>140.62</v>
      </c>
      <c r="AL3894">
        <v>-4</v>
      </c>
      <c r="AM3894">
        <v>-6.96</v>
      </c>
      <c r="AN3894">
        <v>69.09</v>
      </c>
      <c r="AO3894">
        <v>60.12</v>
      </c>
      <c r="AP3894">
        <v>53.2</v>
      </c>
    </row>
    <row r="3895" spans="1:42">
      <c r="A3895">
        <v>3894</v>
      </c>
      <c r="B3895" t="str">
        <f>"603088"</f>
        <v>603088</v>
      </c>
      <c r="C3895" t="s">
        <v>18855</v>
      </c>
      <c r="D3895">
        <v>8.38</v>
      </c>
      <c r="E3895">
        <v>0</v>
      </c>
      <c r="F3895">
        <v>0</v>
      </c>
      <c r="G3895" t="s">
        <v>3149</v>
      </c>
      <c r="H3895">
        <v>438</v>
      </c>
      <c r="I3895">
        <v>8.37</v>
      </c>
      <c r="J3895">
        <v>8.38</v>
      </c>
      <c r="K3895" t="s">
        <v>18856</v>
      </c>
      <c r="L3895">
        <v>0.95</v>
      </c>
      <c r="M3895" t="s">
        <v>46</v>
      </c>
      <c r="N3895" t="s">
        <v>2711</v>
      </c>
      <c r="O3895">
        <v>8.4</v>
      </c>
      <c r="P3895">
        <v>8.27</v>
      </c>
      <c r="Q3895">
        <v>8.37</v>
      </c>
      <c r="R3895">
        <v>8.38</v>
      </c>
      <c r="S3895">
        <v>1.55</v>
      </c>
      <c r="T3895">
        <v>0.81</v>
      </c>
      <c r="U3895">
        <v>2.38</v>
      </c>
      <c r="V3895">
        <v>50</v>
      </c>
      <c r="W3895">
        <v>8.34</v>
      </c>
      <c r="X3895" t="s">
        <v>1710</v>
      </c>
      <c r="Y3895" t="s">
        <v>432</v>
      </c>
      <c r="Z3895">
        <v>1.28</v>
      </c>
      <c r="AA3895">
        <v>32</v>
      </c>
      <c r="AB3895">
        <v>18</v>
      </c>
      <c r="AC3895">
        <v>5.41</v>
      </c>
      <c r="AD3895" t="s">
        <v>18857</v>
      </c>
      <c r="AE3895" t="s">
        <v>3231</v>
      </c>
      <c r="AF3895" t="s">
        <v>18858</v>
      </c>
      <c r="AG3895" t="s">
        <v>18859</v>
      </c>
      <c r="AH3895">
        <v>-1.53</v>
      </c>
      <c r="AI3895">
        <v>-1.99</v>
      </c>
      <c r="AJ3895">
        <v>3.59</v>
      </c>
      <c r="AK3895">
        <v>6.77</v>
      </c>
      <c r="AL3895">
        <v>0</v>
      </c>
      <c r="AM3895">
        <v>0</v>
      </c>
      <c r="AN3895">
        <v>20.06</v>
      </c>
      <c r="AO3895">
        <v>0.24</v>
      </c>
      <c r="AP3895">
        <v>9.11</v>
      </c>
    </row>
    <row r="3896" spans="1:42">
      <c r="A3896">
        <v>3895</v>
      </c>
      <c r="B3896" t="str">
        <f>"600925"</f>
        <v>600925</v>
      </c>
      <c r="C3896" t="s">
        <v>18860</v>
      </c>
      <c r="D3896">
        <v>5.65</v>
      </c>
      <c r="E3896">
        <v>0.53</v>
      </c>
      <c r="F3896">
        <v>0.03</v>
      </c>
      <c r="G3896" t="s">
        <v>7494</v>
      </c>
      <c r="H3896">
        <v>812</v>
      </c>
      <c r="I3896">
        <v>5.64</v>
      </c>
      <c r="J3896">
        <v>5.65</v>
      </c>
      <c r="K3896" t="s">
        <v>18861</v>
      </c>
      <c r="L3896">
        <v>0.88</v>
      </c>
      <c r="M3896" t="s">
        <v>46</v>
      </c>
      <c r="N3896" t="s">
        <v>8424</v>
      </c>
      <c r="O3896">
        <v>5.66</v>
      </c>
      <c r="P3896">
        <v>5.61</v>
      </c>
      <c r="Q3896">
        <v>5.62</v>
      </c>
      <c r="R3896">
        <v>5.62</v>
      </c>
      <c r="S3896">
        <v>0.89</v>
      </c>
      <c r="T3896">
        <v>0.84</v>
      </c>
      <c r="U3896">
        <v>-7.07</v>
      </c>
      <c r="V3896">
        <v>-1762</v>
      </c>
      <c r="W3896">
        <v>5.64</v>
      </c>
      <c r="X3896" t="s">
        <v>153</v>
      </c>
      <c r="Y3896" t="s">
        <v>5706</v>
      </c>
      <c r="Z3896">
        <v>0.53</v>
      </c>
      <c r="AA3896">
        <v>2282</v>
      </c>
      <c r="AB3896">
        <v>193</v>
      </c>
      <c r="AC3896">
        <v>2.51</v>
      </c>
      <c r="AD3896" t="s">
        <v>14208</v>
      </c>
      <c r="AE3896" t="s">
        <v>18862</v>
      </c>
      <c r="AF3896" t="s">
        <v>18863</v>
      </c>
      <c r="AG3896" t="s">
        <v>18864</v>
      </c>
      <c r="AH3896">
        <v>0</v>
      </c>
      <c r="AI3896">
        <v>0</v>
      </c>
      <c r="AJ3896">
        <v>2.43</v>
      </c>
      <c r="AK3896">
        <v>6.14</v>
      </c>
      <c r="AL3896">
        <v>1</v>
      </c>
      <c r="AM3896">
        <v>0.53</v>
      </c>
      <c r="AN3896">
        <v>-5.52</v>
      </c>
      <c r="AO3896">
        <v>1.99</v>
      </c>
      <c r="AP3896">
        <v>-5.52</v>
      </c>
    </row>
    <row r="3897" spans="1:42">
      <c r="A3897">
        <v>3896</v>
      </c>
      <c r="B3897" t="str">
        <f>"300823"</f>
        <v>300823</v>
      </c>
      <c r="C3897" t="s">
        <v>18865</v>
      </c>
      <c r="D3897">
        <v>21.62</v>
      </c>
      <c r="E3897">
        <v>-1.28</v>
      </c>
      <c r="F3897">
        <v>-0.28</v>
      </c>
      <c r="G3897" t="s">
        <v>141</v>
      </c>
      <c r="H3897">
        <v>259</v>
      </c>
      <c r="I3897">
        <v>21.62</v>
      </c>
      <c r="J3897">
        <v>21.63</v>
      </c>
      <c r="K3897" t="s">
        <v>18866</v>
      </c>
      <c r="L3897">
        <v>2.88</v>
      </c>
      <c r="M3897" t="s">
        <v>46</v>
      </c>
      <c r="N3897" t="s">
        <v>4289</v>
      </c>
      <c r="O3897">
        <v>22.02</v>
      </c>
      <c r="P3897">
        <v>21.53</v>
      </c>
      <c r="Q3897">
        <v>21.79</v>
      </c>
      <c r="R3897">
        <v>21.9</v>
      </c>
      <c r="S3897">
        <v>2.24</v>
      </c>
      <c r="T3897">
        <v>0.8</v>
      </c>
      <c r="U3897">
        <v>-4.35</v>
      </c>
      <c r="V3897">
        <v>-9</v>
      </c>
      <c r="W3897">
        <v>21.67</v>
      </c>
      <c r="X3897">
        <v>8250</v>
      </c>
      <c r="Y3897">
        <v>7512</v>
      </c>
      <c r="Z3897">
        <v>1.1</v>
      </c>
      <c r="AA3897">
        <v>15</v>
      </c>
      <c r="AB3897">
        <v>10</v>
      </c>
      <c r="AC3897">
        <v>2.12</v>
      </c>
      <c r="AD3897" t="s">
        <v>11348</v>
      </c>
      <c r="AE3897" t="s">
        <v>18867</v>
      </c>
      <c r="AF3897" t="s">
        <v>15423</v>
      </c>
      <c r="AG3897" t="s">
        <v>857</v>
      </c>
      <c r="AH3897">
        <v>-2.7</v>
      </c>
      <c r="AI3897">
        <v>-1.01</v>
      </c>
      <c r="AJ3897">
        <v>9.21</v>
      </c>
      <c r="AK3897">
        <v>20.8</v>
      </c>
      <c r="AL3897">
        <v>-3</v>
      </c>
      <c r="AM3897">
        <v>-1.28</v>
      </c>
      <c r="AN3897">
        <v>39.21</v>
      </c>
      <c r="AO3897">
        <v>0.46</v>
      </c>
      <c r="AP3897">
        <v>24.11</v>
      </c>
    </row>
    <row r="3898" spans="1:42">
      <c r="A3898">
        <v>3897</v>
      </c>
      <c r="B3898" t="str">
        <f>"301137"</f>
        <v>301137</v>
      </c>
      <c r="C3898" t="s">
        <v>18868</v>
      </c>
      <c r="D3898">
        <v>18.32</v>
      </c>
      <c r="E3898">
        <v>0.05</v>
      </c>
      <c r="F3898">
        <v>0.01</v>
      </c>
      <c r="G3898" t="s">
        <v>5578</v>
      </c>
      <c r="H3898">
        <v>234</v>
      </c>
      <c r="I3898">
        <v>18.32</v>
      </c>
      <c r="J3898">
        <v>18.33</v>
      </c>
      <c r="K3898" t="s">
        <v>18869</v>
      </c>
      <c r="L3898">
        <v>1.84</v>
      </c>
      <c r="M3898" t="s">
        <v>46</v>
      </c>
      <c r="N3898" t="s">
        <v>1729</v>
      </c>
      <c r="O3898">
        <v>18.46</v>
      </c>
      <c r="P3898">
        <v>17.95</v>
      </c>
      <c r="Q3898">
        <v>18.31</v>
      </c>
      <c r="R3898">
        <v>18.31</v>
      </c>
      <c r="S3898">
        <v>2.79</v>
      </c>
      <c r="T3898">
        <v>0.74</v>
      </c>
      <c r="U3898">
        <v>10.34</v>
      </c>
      <c r="V3898">
        <v>39</v>
      </c>
      <c r="W3898">
        <v>18.18</v>
      </c>
      <c r="X3898">
        <v>9751</v>
      </c>
      <c r="Y3898">
        <v>9003</v>
      </c>
      <c r="Z3898">
        <v>1.08</v>
      </c>
      <c r="AA3898">
        <v>26</v>
      </c>
      <c r="AB3898">
        <v>20</v>
      </c>
      <c r="AC3898">
        <v>2.53</v>
      </c>
      <c r="AD3898" t="s">
        <v>18870</v>
      </c>
      <c r="AE3898" t="s">
        <v>11834</v>
      </c>
      <c r="AF3898" t="s">
        <v>14880</v>
      </c>
      <c r="AG3898" t="s">
        <v>11334</v>
      </c>
      <c r="AH3898">
        <v>-0.76</v>
      </c>
      <c r="AI3898">
        <v>-2.71</v>
      </c>
      <c r="AJ3898">
        <v>6.31</v>
      </c>
      <c r="AK3898">
        <v>14.33</v>
      </c>
      <c r="AL3898">
        <v>1</v>
      </c>
      <c r="AM3898">
        <v>0.05</v>
      </c>
      <c r="AN3898">
        <v>38.58</v>
      </c>
      <c r="AO3898">
        <v>-2.66</v>
      </c>
      <c r="AP3898">
        <v>20.29</v>
      </c>
    </row>
    <row r="3899" spans="1:42">
      <c r="A3899">
        <v>3898</v>
      </c>
      <c r="B3899" t="str">
        <f>"600802"</f>
        <v>600802</v>
      </c>
      <c r="C3899" t="s">
        <v>18871</v>
      </c>
      <c r="D3899">
        <v>5.37</v>
      </c>
      <c r="E3899">
        <v>1.9</v>
      </c>
      <c r="F3899">
        <v>0.1</v>
      </c>
      <c r="G3899" t="s">
        <v>7628</v>
      </c>
      <c r="H3899">
        <v>174</v>
      </c>
      <c r="I3899">
        <v>5.35</v>
      </c>
      <c r="J3899">
        <v>5.37</v>
      </c>
      <c r="K3899" t="s">
        <v>18872</v>
      </c>
      <c r="L3899">
        <v>1.39</v>
      </c>
      <c r="M3899" t="s">
        <v>46</v>
      </c>
      <c r="N3899" t="s">
        <v>2959</v>
      </c>
      <c r="O3899">
        <v>5.38</v>
      </c>
      <c r="P3899">
        <v>5.26</v>
      </c>
      <c r="Q3899">
        <v>5.26</v>
      </c>
      <c r="R3899">
        <v>5.27</v>
      </c>
      <c r="S3899">
        <v>2.28</v>
      </c>
      <c r="T3899">
        <v>1.69</v>
      </c>
      <c r="U3899">
        <v>-28.77</v>
      </c>
      <c r="V3899">
        <v>-1368</v>
      </c>
      <c r="W3899">
        <v>5.34</v>
      </c>
      <c r="X3899" t="s">
        <v>5620</v>
      </c>
      <c r="Y3899" t="s">
        <v>3373</v>
      </c>
      <c r="Z3899">
        <v>0.57</v>
      </c>
      <c r="AA3899">
        <v>30</v>
      </c>
      <c r="AB3899">
        <v>186</v>
      </c>
      <c r="AC3899">
        <v>1.92</v>
      </c>
      <c r="AD3899" t="s">
        <v>18873</v>
      </c>
      <c r="AE3899" t="s">
        <v>16359</v>
      </c>
      <c r="AF3899" t="s">
        <v>18873</v>
      </c>
      <c r="AG3899" t="s">
        <v>16359</v>
      </c>
      <c r="AH3899">
        <v>-0.19</v>
      </c>
      <c r="AI3899">
        <v>-0.19</v>
      </c>
      <c r="AJ3899">
        <v>2.99</v>
      </c>
      <c r="AK3899">
        <v>5.52</v>
      </c>
      <c r="AL3899">
        <v>1</v>
      </c>
      <c r="AM3899">
        <v>1.9</v>
      </c>
      <c r="AN3899">
        <v>0.37</v>
      </c>
      <c r="AO3899">
        <v>3.07</v>
      </c>
      <c r="AP3899">
        <v>-2.72</v>
      </c>
    </row>
    <row r="3900" spans="1:42">
      <c r="A3900">
        <v>3899</v>
      </c>
      <c r="B3900" t="str">
        <f>"688286"</f>
        <v>688286</v>
      </c>
      <c r="C3900" t="s">
        <v>18874</v>
      </c>
      <c r="D3900">
        <v>55.52</v>
      </c>
      <c r="E3900">
        <v>0.67</v>
      </c>
      <c r="F3900">
        <v>0.37</v>
      </c>
      <c r="G3900">
        <v>6175</v>
      </c>
      <c r="H3900">
        <v>118</v>
      </c>
      <c r="I3900">
        <v>55.5</v>
      </c>
      <c r="J3900">
        <v>55.52</v>
      </c>
      <c r="K3900" t="s">
        <v>18875</v>
      </c>
      <c r="L3900">
        <v>1.15</v>
      </c>
      <c r="M3900" t="s">
        <v>46</v>
      </c>
      <c r="N3900" t="s">
        <v>4375</v>
      </c>
      <c r="O3900">
        <v>55.55</v>
      </c>
      <c r="P3900">
        <v>54.72</v>
      </c>
      <c r="Q3900">
        <v>55</v>
      </c>
      <c r="R3900">
        <v>55.15</v>
      </c>
      <c r="S3900">
        <v>1.5</v>
      </c>
      <c r="T3900">
        <v>0.7</v>
      </c>
      <c r="U3900">
        <v>24.01</v>
      </c>
      <c r="V3900">
        <v>72</v>
      </c>
      <c r="W3900">
        <v>55.19</v>
      </c>
      <c r="X3900">
        <v>3227</v>
      </c>
      <c r="Y3900">
        <v>2948</v>
      </c>
      <c r="Z3900">
        <v>1.09</v>
      </c>
      <c r="AA3900">
        <v>99</v>
      </c>
      <c r="AB3900">
        <v>63</v>
      </c>
      <c r="AC3900">
        <v>3.13</v>
      </c>
      <c r="AD3900" t="s">
        <v>15554</v>
      </c>
      <c r="AE3900" t="s">
        <v>17906</v>
      </c>
      <c r="AF3900" t="s">
        <v>15554</v>
      </c>
      <c r="AG3900" t="s">
        <v>17906</v>
      </c>
      <c r="AH3900">
        <v>-2.1</v>
      </c>
      <c r="AI3900">
        <v>0.16</v>
      </c>
      <c r="AJ3900">
        <v>5.07</v>
      </c>
      <c r="AK3900">
        <v>9.41</v>
      </c>
      <c r="AL3900">
        <v>1</v>
      </c>
      <c r="AM3900">
        <v>0.67</v>
      </c>
      <c r="AN3900">
        <v>12.62</v>
      </c>
      <c r="AO3900">
        <v>2.85</v>
      </c>
      <c r="AP3900">
        <v>14.73</v>
      </c>
    </row>
    <row r="3901" spans="1:42">
      <c r="A3901">
        <v>3900</v>
      </c>
      <c r="B3901" t="str">
        <f>"688255"</f>
        <v>688255</v>
      </c>
      <c r="C3901" t="s">
        <v>18876</v>
      </c>
      <c r="D3901">
        <v>24.74</v>
      </c>
      <c r="E3901">
        <v>-4.03</v>
      </c>
      <c r="F3901">
        <v>-1.04</v>
      </c>
      <c r="G3901" t="s">
        <v>3284</v>
      </c>
      <c r="H3901">
        <v>54</v>
      </c>
      <c r="I3901">
        <v>24.74</v>
      </c>
      <c r="J3901">
        <v>24.75</v>
      </c>
      <c r="K3901" t="s">
        <v>18875</v>
      </c>
      <c r="L3901">
        <v>1.95</v>
      </c>
      <c r="M3901" t="s">
        <v>46</v>
      </c>
      <c r="N3901" t="s">
        <v>3882</v>
      </c>
      <c r="O3901">
        <v>25.82</v>
      </c>
      <c r="P3901">
        <v>24.7</v>
      </c>
      <c r="Q3901">
        <v>25.6</v>
      </c>
      <c r="R3901">
        <v>25.78</v>
      </c>
      <c r="S3901">
        <v>4.34</v>
      </c>
      <c r="T3901">
        <v>1.54</v>
      </c>
      <c r="U3901">
        <v>-30.78</v>
      </c>
      <c r="V3901">
        <v>-159</v>
      </c>
      <c r="W3901">
        <v>24.95</v>
      </c>
      <c r="X3901">
        <v>8100</v>
      </c>
      <c r="Y3901">
        <v>5555</v>
      </c>
      <c r="Z3901">
        <v>1.46</v>
      </c>
      <c r="AA3901">
        <v>49</v>
      </c>
      <c r="AB3901">
        <v>65</v>
      </c>
      <c r="AC3901">
        <v>2.44</v>
      </c>
      <c r="AD3901" t="s">
        <v>5786</v>
      </c>
      <c r="AE3901" t="s">
        <v>10378</v>
      </c>
      <c r="AF3901" t="s">
        <v>13513</v>
      </c>
      <c r="AG3901" t="s">
        <v>14240</v>
      </c>
      <c r="AH3901">
        <v>-6</v>
      </c>
      <c r="AI3901">
        <v>-4.22</v>
      </c>
      <c r="AJ3901">
        <v>4.45</v>
      </c>
      <c r="AK3901">
        <v>8.28</v>
      </c>
      <c r="AL3901">
        <v>-3</v>
      </c>
      <c r="AM3901">
        <v>-4.03</v>
      </c>
      <c r="AN3901">
        <v>36.16</v>
      </c>
      <c r="AO3901">
        <v>-1.55</v>
      </c>
      <c r="AP3901">
        <v>13.96</v>
      </c>
    </row>
    <row r="3902" spans="1:42">
      <c r="A3902">
        <v>3901</v>
      </c>
      <c r="B3902" t="str">
        <f>"600774"</f>
        <v>600774</v>
      </c>
      <c r="C3902" t="s">
        <v>18877</v>
      </c>
      <c r="D3902">
        <v>10.35</v>
      </c>
      <c r="E3902">
        <v>1.17</v>
      </c>
      <c r="F3902">
        <v>0.12</v>
      </c>
      <c r="G3902" t="s">
        <v>1704</v>
      </c>
      <c r="H3902">
        <v>305</v>
      </c>
      <c r="I3902">
        <v>10.35</v>
      </c>
      <c r="J3902">
        <v>10.36</v>
      </c>
      <c r="K3902" t="s">
        <v>18878</v>
      </c>
      <c r="L3902">
        <v>1.12</v>
      </c>
      <c r="M3902" t="s">
        <v>46</v>
      </c>
      <c r="N3902" t="s">
        <v>119</v>
      </c>
      <c r="O3902">
        <v>10.43</v>
      </c>
      <c r="P3902">
        <v>10.18</v>
      </c>
      <c r="Q3902">
        <v>10.22</v>
      </c>
      <c r="R3902">
        <v>10.23</v>
      </c>
      <c r="S3902">
        <v>2.44</v>
      </c>
      <c r="T3902">
        <v>0.83</v>
      </c>
      <c r="U3902">
        <v>19.92</v>
      </c>
      <c r="V3902">
        <v>284</v>
      </c>
      <c r="W3902">
        <v>10.34</v>
      </c>
      <c r="X3902" t="s">
        <v>6867</v>
      </c>
      <c r="Y3902" t="s">
        <v>2723</v>
      </c>
      <c r="Z3902">
        <v>0.78</v>
      </c>
      <c r="AA3902">
        <v>129</v>
      </c>
      <c r="AB3902">
        <v>124</v>
      </c>
      <c r="AC3902">
        <v>1.82</v>
      </c>
      <c r="AD3902" t="s">
        <v>18879</v>
      </c>
      <c r="AE3902" t="s">
        <v>18880</v>
      </c>
      <c r="AF3902" t="s">
        <v>16595</v>
      </c>
      <c r="AG3902" t="s">
        <v>5091</v>
      </c>
      <c r="AH3902">
        <v>-0.19</v>
      </c>
      <c r="AI3902">
        <v>-0.29</v>
      </c>
      <c r="AJ3902">
        <v>2.85</v>
      </c>
      <c r="AK3902">
        <v>7.84</v>
      </c>
      <c r="AL3902">
        <v>2</v>
      </c>
      <c r="AM3902">
        <v>1.17</v>
      </c>
      <c r="AN3902">
        <v>-7.84</v>
      </c>
      <c r="AO3902">
        <v>4.33</v>
      </c>
      <c r="AP3902">
        <v>-16.53</v>
      </c>
    </row>
    <row r="3903" spans="1:42">
      <c r="A3903">
        <v>3902</v>
      </c>
      <c r="B3903" t="str">
        <f>"600220"</f>
        <v>600220</v>
      </c>
      <c r="C3903" t="s">
        <v>18881</v>
      </c>
      <c r="D3903">
        <v>2.14</v>
      </c>
      <c r="E3903">
        <v>1.9</v>
      </c>
      <c r="F3903">
        <v>0.04</v>
      </c>
      <c r="G3903" t="s">
        <v>571</v>
      </c>
      <c r="H3903">
        <v>770</v>
      </c>
      <c r="I3903">
        <v>2.13</v>
      </c>
      <c r="J3903">
        <v>2.14</v>
      </c>
      <c r="K3903" t="s">
        <v>18882</v>
      </c>
      <c r="L3903">
        <v>0.9</v>
      </c>
      <c r="M3903" t="s">
        <v>46</v>
      </c>
      <c r="N3903" t="s">
        <v>2636</v>
      </c>
      <c r="O3903">
        <v>2.15</v>
      </c>
      <c r="P3903">
        <v>2.09</v>
      </c>
      <c r="Q3903">
        <v>2.11</v>
      </c>
      <c r="R3903">
        <v>2.1</v>
      </c>
      <c r="S3903">
        <v>2.86</v>
      </c>
      <c r="T3903">
        <v>0.88</v>
      </c>
      <c r="U3903">
        <v>-47.23</v>
      </c>
      <c r="V3903" t="s">
        <v>8779</v>
      </c>
      <c r="W3903">
        <v>2.13</v>
      </c>
      <c r="X3903" t="s">
        <v>6673</v>
      </c>
      <c r="Y3903" t="s">
        <v>1909</v>
      </c>
      <c r="Z3903">
        <v>0.49</v>
      </c>
      <c r="AA3903">
        <v>3772</v>
      </c>
      <c r="AB3903">
        <v>1377</v>
      </c>
      <c r="AC3903">
        <v>1.81</v>
      </c>
      <c r="AD3903" t="s">
        <v>13690</v>
      </c>
      <c r="AE3903" t="s">
        <v>6743</v>
      </c>
      <c r="AF3903" t="s">
        <v>13690</v>
      </c>
      <c r="AG3903" t="s">
        <v>6743</v>
      </c>
      <c r="AH3903">
        <v>0</v>
      </c>
      <c r="AI3903">
        <v>-1.83</v>
      </c>
      <c r="AJ3903">
        <v>2.51</v>
      </c>
      <c r="AK3903">
        <v>5.97</v>
      </c>
      <c r="AL3903">
        <v>1</v>
      </c>
      <c r="AM3903">
        <v>1.9</v>
      </c>
      <c r="AN3903">
        <v>-20.74</v>
      </c>
      <c r="AO3903">
        <v>1.9</v>
      </c>
      <c r="AP3903">
        <v>-24.65</v>
      </c>
    </row>
    <row r="3904" spans="1:42">
      <c r="A3904">
        <v>3903</v>
      </c>
      <c r="B3904" t="str">
        <f>"600099"</f>
        <v>600099</v>
      </c>
      <c r="C3904" t="s">
        <v>18883</v>
      </c>
      <c r="D3904">
        <v>10.21</v>
      </c>
      <c r="E3904">
        <v>1.39</v>
      </c>
      <c r="F3904">
        <v>0.14</v>
      </c>
      <c r="G3904" t="s">
        <v>6365</v>
      </c>
      <c r="H3904">
        <v>126</v>
      </c>
      <c r="I3904">
        <v>10.21</v>
      </c>
      <c r="J3904">
        <v>10.22</v>
      </c>
      <c r="K3904" t="s">
        <v>18884</v>
      </c>
      <c r="L3904">
        <v>1.53</v>
      </c>
      <c r="M3904" t="s">
        <v>46</v>
      </c>
      <c r="N3904" t="s">
        <v>7011</v>
      </c>
      <c r="O3904">
        <v>10.26</v>
      </c>
      <c r="P3904">
        <v>10</v>
      </c>
      <c r="Q3904">
        <v>10.07</v>
      </c>
      <c r="R3904">
        <v>10.07</v>
      </c>
      <c r="S3904">
        <v>2.58</v>
      </c>
      <c r="T3904">
        <v>1.36</v>
      </c>
      <c r="U3904">
        <v>-39.65</v>
      </c>
      <c r="V3904">
        <v>-540</v>
      </c>
      <c r="W3904">
        <v>10.16</v>
      </c>
      <c r="X3904" t="s">
        <v>6867</v>
      </c>
      <c r="Y3904" t="s">
        <v>2329</v>
      </c>
      <c r="Z3904">
        <v>0.75</v>
      </c>
      <c r="AA3904">
        <v>76</v>
      </c>
      <c r="AB3904">
        <v>488</v>
      </c>
      <c r="AC3904">
        <v>4.41</v>
      </c>
      <c r="AD3904" t="s">
        <v>6046</v>
      </c>
      <c r="AE3904" t="s">
        <v>18885</v>
      </c>
      <c r="AF3904" t="s">
        <v>6046</v>
      </c>
      <c r="AG3904" t="s">
        <v>18885</v>
      </c>
      <c r="AH3904">
        <v>0.59</v>
      </c>
      <c r="AI3904">
        <v>1.09</v>
      </c>
      <c r="AJ3904">
        <v>3.9</v>
      </c>
      <c r="AK3904">
        <v>7.13</v>
      </c>
      <c r="AL3904">
        <v>1</v>
      </c>
      <c r="AM3904">
        <v>1.39</v>
      </c>
      <c r="AN3904">
        <v>17.22</v>
      </c>
      <c r="AO3904">
        <v>5.69</v>
      </c>
      <c r="AP3904">
        <v>11.1</v>
      </c>
    </row>
    <row r="3905" spans="1:42">
      <c r="A3905">
        <v>3904</v>
      </c>
      <c r="B3905" t="str">
        <f>"002160"</f>
        <v>002160</v>
      </c>
      <c r="C3905" t="s">
        <v>18886</v>
      </c>
      <c r="D3905">
        <v>4.03</v>
      </c>
      <c r="E3905">
        <v>0</v>
      </c>
      <c r="F3905">
        <v>0</v>
      </c>
      <c r="G3905" t="s">
        <v>5122</v>
      </c>
      <c r="H3905">
        <v>906</v>
      </c>
      <c r="I3905">
        <v>4.03</v>
      </c>
      <c r="J3905">
        <v>4.04</v>
      </c>
      <c r="K3905" t="s">
        <v>18887</v>
      </c>
      <c r="L3905">
        <v>1.07</v>
      </c>
      <c r="M3905" t="s">
        <v>46</v>
      </c>
      <c r="N3905" t="s">
        <v>2358</v>
      </c>
      <c r="O3905">
        <v>4.05</v>
      </c>
      <c r="P3905">
        <v>3.99</v>
      </c>
      <c r="Q3905">
        <v>4.01</v>
      </c>
      <c r="R3905">
        <v>4.03</v>
      </c>
      <c r="S3905">
        <v>1.49</v>
      </c>
      <c r="T3905">
        <v>0.89</v>
      </c>
      <c r="U3905">
        <v>-20.88</v>
      </c>
      <c r="V3905">
        <v>-3183</v>
      </c>
      <c r="W3905">
        <v>4.02</v>
      </c>
      <c r="X3905" t="s">
        <v>3758</v>
      </c>
      <c r="Y3905" t="s">
        <v>5666</v>
      </c>
      <c r="Z3905">
        <v>1.04</v>
      </c>
      <c r="AA3905">
        <v>384</v>
      </c>
      <c r="AB3905">
        <v>689</v>
      </c>
      <c r="AC3905">
        <v>1.17</v>
      </c>
      <c r="AD3905" t="s">
        <v>9131</v>
      </c>
      <c r="AE3905" t="s">
        <v>14460</v>
      </c>
      <c r="AF3905" t="s">
        <v>18888</v>
      </c>
      <c r="AG3905" t="s">
        <v>17204</v>
      </c>
      <c r="AH3905">
        <v>-0.98</v>
      </c>
      <c r="AI3905">
        <v>-0.98</v>
      </c>
      <c r="AJ3905">
        <v>3.88</v>
      </c>
      <c r="AK3905">
        <v>7.07</v>
      </c>
      <c r="AL3905">
        <v>0</v>
      </c>
      <c r="AM3905">
        <v>0</v>
      </c>
      <c r="AN3905">
        <v>1.26</v>
      </c>
      <c r="AO3905">
        <v>1.26</v>
      </c>
      <c r="AP3905">
        <v>-5.84</v>
      </c>
    </row>
    <row r="3906" spans="1:42">
      <c r="A3906">
        <v>3905</v>
      </c>
      <c r="B3906" t="str">
        <f>"300030"</f>
        <v>300030</v>
      </c>
      <c r="C3906" t="s">
        <v>18889</v>
      </c>
      <c r="D3906">
        <v>8.44</v>
      </c>
      <c r="E3906">
        <v>-0.12</v>
      </c>
      <c r="F3906">
        <v>-0.01</v>
      </c>
      <c r="G3906" t="s">
        <v>5383</v>
      </c>
      <c r="H3906">
        <v>100</v>
      </c>
      <c r="I3906">
        <v>8.42</v>
      </c>
      <c r="J3906">
        <v>8.44</v>
      </c>
      <c r="K3906" t="s">
        <v>18890</v>
      </c>
      <c r="L3906">
        <v>1.48</v>
      </c>
      <c r="M3906" t="s">
        <v>46</v>
      </c>
      <c r="N3906" t="s">
        <v>14440</v>
      </c>
      <c r="O3906">
        <v>8.54</v>
      </c>
      <c r="P3906">
        <v>8.37</v>
      </c>
      <c r="Q3906">
        <v>8.43</v>
      </c>
      <c r="R3906">
        <v>8.45</v>
      </c>
      <c r="S3906">
        <v>2.01</v>
      </c>
      <c r="T3906">
        <v>0.84</v>
      </c>
      <c r="U3906">
        <v>-50.77</v>
      </c>
      <c r="V3906">
        <v>-990</v>
      </c>
      <c r="W3906">
        <v>8.45</v>
      </c>
      <c r="X3906" t="s">
        <v>3116</v>
      </c>
      <c r="Y3906" t="s">
        <v>5578</v>
      </c>
      <c r="Z3906">
        <v>1.13</v>
      </c>
      <c r="AA3906">
        <v>64</v>
      </c>
      <c r="AB3906">
        <v>115</v>
      </c>
      <c r="AC3906">
        <v>3.31</v>
      </c>
      <c r="AD3906" t="s">
        <v>18891</v>
      </c>
      <c r="AE3906" t="s">
        <v>184</v>
      </c>
      <c r="AF3906" t="s">
        <v>18892</v>
      </c>
      <c r="AG3906" t="s">
        <v>7265</v>
      </c>
      <c r="AH3906">
        <v>-1.06</v>
      </c>
      <c r="AI3906">
        <v>-1.86</v>
      </c>
      <c r="AJ3906">
        <v>4.1</v>
      </c>
      <c r="AK3906">
        <v>10.34</v>
      </c>
      <c r="AL3906">
        <v>-1</v>
      </c>
      <c r="AM3906">
        <v>-0.12</v>
      </c>
      <c r="AN3906">
        <v>22.5</v>
      </c>
      <c r="AO3906">
        <v>5.9</v>
      </c>
      <c r="AP3906">
        <v>10.62</v>
      </c>
    </row>
    <row r="3907" spans="1:42">
      <c r="A3907">
        <v>3906</v>
      </c>
      <c r="B3907" t="str">
        <f>"001313"</f>
        <v>001313</v>
      </c>
      <c r="C3907" t="s">
        <v>18893</v>
      </c>
      <c r="D3907">
        <v>9.34</v>
      </c>
      <c r="E3907">
        <v>-0.85</v>
      </c>
      <c r="F3907">
        <v>-0.08</v>
      </c>
      <c r="G3907" t="s">
        <v>4974</v>
      </c>
      <c r="H3907">
        <v>365</v>
      </c>
      <c r="I3907">
        <v>9.33</v>
      </c>
      <c r="J3907">
        <v>9.34</v>
      </c>
      <c r="K3907" t="s">
        <v>18894</v>
      </c>
      <c r="L3907">
        <v>1.65</v>
      </c>
      <c r="M3907" t="s">
        <v>46</v>
      </c>
      <c r="N3907" t="s">
        <v>18895</v>
      </c>
      <c r="O3907">
        <v>9.55</v>
      </c>
      <c r="P3907">
        <v>9.32</v>
      </c>
      <c r="Q3907">
        <v>9.42</v>
      </c>
      <c r="R3907">
        <v>9.42</v>
      </c>
      <c r="S3907">
        <v>2.44</v>
      </c>
      <c r="T3907">
        <v>0.68</v>
      </c>
      <c r="U3907">
        <v>30.22</v>
      </c>
      <c r="V3907">
        <v>447</v>
      </c>
      <c r="W3907">
        <v>9.42</v>
      </c>
      <c r="X3907" t="s">
        <v>1455</v>
      </c>
      <c r="Y3907" t="s">
        <v>1692</v>
      </c>
      <c r="Z3907">
        <v>1.19</v>
      </c>
      <c r="AA3907">
        <v>19</v>
      </c>
      <c r="AB3907">
        <v>1</v>
      </c>
      <c r="AC3907">
        <v>2.42</v>
      </c>
      <c r="AD3907" t="s">
        <v>18896</v>
      </c>
      <c r="AE3907" t="s">
        <v>18897</v>
      </c>
      <c r="AF3907" t="s">
        <v>4391</v>
      </c>
      <c r="AG3907" t="s">
        <v>12742</v>
      </c>
      <c r="AH3907">
        <v>-0.64</v>
      </c>
      <c r="AI3907">
        <v>0.97</v>
      </c>
      <c r="AJ3907">
        <v>4.97</v>
      </c>
      <c r="AK3907">
        <v>13.73</v>
      </c>
      <c r="AL3907">
        <v>-1</v>
      </c>
      <c r="AM3907">
        <v>-0.85</v>
      </c>
      <c r="AN3907">
        <v>-0.11</v>
      </c>
      <c r="AO3907">
        <v>0</v>
      </c>
      <c r="AP3907">
        <v>-4.3</v>
      </c>
    </row>
    <row r="3908" spans="1:42">
      <c r="A3908">
        <v>3907</v>
      </c>
      <c r="B3908" t="str">
        <f>"002376"</f>
        <v>002376</v>
      </c>
      <c r="C3908" t="s">
        <v>18898</v>
      </c>
      <c r="D3908">
        <v>7.91</v>
      </c>
      <c r="E3908">
        <v>1.15</v>
      </c>
      <c r="F3908">
        <v>0.09</v>
      </c>
      <c r="G3908" t="s">
        <v>3758</v>
      </c>
      <c r="H3908">
        <v>231</v>
      </c>
      <c r="I3908">
        <v>7.91</v>
      </c>
      <c r="J3908">
        <v>7.92</v>
      </c>
      <c r="K3908" t="s">
        <v>18899</v>
      </c>
      <c r="L3908">
        <v>0.69</v>
      </c>
      <c r="M3908" t="s">
        <v>46</v>
      </c>
      <c r="N3908" t="s">
        <v>1386</v>
      </c>
      <c r="O3908">
        <v>7.92</v>
      </c>
      <c r="P3908">
        <v>7.76</v>
      </c>
      <c r="Q3908">
        <v>7.82</v>
      </c>
      <c r="R3908">
        <v>7.82</v>
      </c>
      <c r="S3908">
        <v>2.05</v>
      </c>
      <c r="T3908">
        <v>1.09</v>
      </c>
      <c r="U3908">
        <v>-49.49</v>
      </c>
      <c r="V3908">
        <v>-1411</v>
      </c>
      <c r="W3908">
        <v>7.86</v>
      </c>
      <c r="X3908" t="s">
        <v>1520</v>
      </c>
      <c r="Y3908" t="s">
        <v>7053</v>
      </c>
      <c r="Z3908">
        <v>1.01</v>
      </c>
      <c r="AA3908">
        <v>113</v>
      </c>
      <c r="AB3908">
        <v>1219</v>
      </c>
      <c r="AC3908">
        <v>1.72</v>
      </c>
      <c r="AD3908" t="s">
        <v>18900</v>
      </c>
      <c r="AE3908" t="s">
        <v>18901</v>
      </c>
      <c r="AF3908" t="s">
        <v>4709</v>
      </c>
      <c r="AG3908" t="s">
        <v>18902</v>
      </c>
      <c r="AH3908">
        <v>0.25</v>
      </c>
      <c r="AI3908">
        <v>-0.75</v>
      </c>
      <c r="AJ3908">
        <v>2.02</v>
      </c>
      <c r="AK3908">
        <v>3.87</v>
      </c>
      <c r="AL3908">
        <v>1</v>
      </c>
      <c r="AM3908">
        <v>1.15</v>
      </c>
      <c r="AN3908">
        <v>20.95</v>
      </c>
      <c r="AO3908">
        <v>4.91</v>
      </c>
      <c r="AP3908">
        <v>10.94</v>
      </c>
    </row>
    <row r="3909" spans="1:42">
      <c r="A3909">
        <v>3908</v>
      </c>
      <c r="B3909" t="str">
        <f>"601956"</f>
        <v>601956</v>
      </c>
      <c r="C3909" t="s">
        <v>18903</v>
      </c>
      <c r="D3909">
        <v>6.07</v>
      </c>
      <c r="E3909">
        <v>0.5</v>
      </c>
      <c r="F3909">
        <v>0.03</v>
      </c>
      <c r="G3909" t="s">
        <v>6604</v>
      </c>
      <c r="H3909">
        <v>323</v>
      </c>
      <c r="I3909">
        <v>6.06</v>
      </c>
      <c r="J3909">
        <v>6.07</v>
      </c>
      <c r="K3909" t="s">
        <v>18904</v>
      </c>
      <c r="L3909">
        <v>1.74</v>
      </c>
      <c r="M3909" t="s">
        <v>46</v>
      </c>
      <c r="N3909" t="s">
        <v>11051</v>
      </c>
      <c r="O3909">
        <v>6.1</v>
      </c>
      <c r="P3909">
        <v>6</v>
      </c>
      <c r="Q3909">
        <v>6.02</v>
      </c>
      <c r="R3909">
        <v>6.04</v>
      </c>
      <c r="S3909">
        <v>1.66</v>
      </c>
      <c r="T3909">
        <v>0.95</v>
      </c>
      <c r="U3909">
        <v>-7.07</v>
      </c>
      <c r="V3909">
        <v>-307</v>
      </c>
      <c r="W3909">
        <v>6.06</v>
      </c>
      <c r="X3909" t="s">
        <v>7160</v>
      </c>
      <c r="Y3909" t="s">
        <v>7389</v>
      </c>
      <c r="Z3909">
        <v>0.89</v>
      </c>
      <c r="AA3909">
        <v>28</v>
      </c>
      <c r="AB3909">
        <v>179</v>
      </c>
      <c r="AC3909">
        <v>1.56</v>
      </c>
      <c r="AD3909" t="s">
        <v>14144</v>
      </c>
      <c r="AE3909" t="s">
        <v>18430</v>
      </c>
      <c r="AF3909" t="s">
        <v>18905</v>
      </c>
      <c r="AG3909" t="s">
        <v>14774</v>
      </c>
      <c r="AH3909">
        <v>-0.65</v>
      </c>
      <c r="AI3909">
        <v>-0.16</v>
      </c>
      <c r="AJ3909">
        <v>5.09</v>
      </c>
      <c r="AK3909">
        <v>10.89</v>
      </c>
      <c r="AL3909">
        <v>1</v>
      </c>
      <c r="AM3909">
        <v>0.5</v>
      </c>
      <c r="AN3909">
        <v>4.84</v>
      </c>
      <c r="AO3909">
        <v>5.02</v>
      </c>
      <c r="AP3909">
        <v>1.17</v>
      </c>
    </row>
    <row r="3910" spans="1:42">
      <c r="A3910">
        <v>3909</v>
      </c>
      <c r="B3910" t="str">
        <f>"603215"</f>
        <v>603215</v>
      </c>
      <c r="C3910" t="s">
        <v>18906</v>
      </c>
      <c r="D3910">
        <v>17.18</v>
      </c>
      <c r="E3910">
        <v>0.41</v>
      </c>
      <c r="F3910">
        <v>0.07</v>
      </c>
      <c r="G3910" t="s">
        <v>2877</v>
      </c>
      <c r="H3910">
        <v>215</v>
      </c>
      <c r="I3910">
        <v>17.18</v>
      </c>
      <c r="J3910">
        <v>17.19</v>
      </c>
      <c r="K3910" t="s">
        <v>18907</v>
      </c>
      <c r="L3910">
        <v>2.8</v>
      </c>
      <c r="M3910" t="s">
        <v>46</v>
      </c>
      <c r="N3910" t="s">
        <v>7742</v>
      </c>
      <c r="O3910">
        <v>17.25</v>
      </c>
      <c r="P3910">
        <v>17.03</v>
      </c>
      <c r="Q3910">
        <v>17.11</v>
      </c>
      <c r="R3910">
        <v>17.11</v>
      </c>
      <c r="S3910">
        <v>1.29</v>
      </c>
      <c r="T3910">
        <v>0.78</v>
      </c>
      <c r="U3910">
        <v>18.75</v>
      </c>
      <c r="V3910">
        <v>126</v>
      </c>
      <c r="W3910">
        <v>17.12</v>
      </c>
      <c r="X3910" t="s">
        <v>2667</v>
      </c>
      <c r="Y3910">
        <v>8401</v>
      </c>
      <c r="Z3910">
        <v>1.35</v>
      </c>
      <c r="AA3910">
        <v>13</v>
      </c>
      <c r="AB3910">
        <v>160</v>
      </c>
      <c r="AC3910">
        <v>2.98</v>
      </c>
      <c r="AD3910" t="s">
        <v>18908</v>
      </c>
      <c r="AE3910" t="s">
        <v>18909</v>
      </c>
      <c r="AF3910" t="s">
        <v>18910</v>
      </c>
      <c r="AG3910" t="s">
        <v>13207</v>
      </c>
      <c r="AH3910">
        <v>-1.09</v>
      </c>
      <c r="AI3910">
        <v>-1.72</v>
      </c>
      <c r="AJ3910">
        <v>8</v>
      </c>
      <c r="AK3910">
        <v>20.73</v>
      </c>
      <c r="AL3910">
        <v>1</v>
      </c>
      <c r="AM3910">
        <v>0.41</v>
      </c>
      <c r="AN3910">
        <v>21.24</v>
      </c>
      <c r="AO3910">
        <v>4.31</v>
      </c>
      <c r="AP3910">
        <v>12.73</v>
      </c>
    </row>
    <row r="3911" spans="1:42">
      <c r="A3911">
        <v>3910</v>
      </c>
      <c r="B3911" t="str">
        <f>"603956"</f>
        <v>603956</v>
      </c>
      <c r="C3911" t="s">
        <v>18911</v>
      </c>
      <c r="D3911">
        <v>8.12</v>
      </c>
      <c r="E3911">
        <v>0.62</v>
      </c>
      <c r="F3911">
        <v>0.05</v>
      </c>
      <c r="G3911" t="s">
        <v>2337</v>
      </c>
      <c r="H3911">
        <v>732</v>
      </c>
      <c r="I3911">
        <v>8.11</v>
      </c>
      <c r="J3911">
        <v>8.12</v>
      </c>
      <c r="K3911" t="s">
        <v>18912</v>
      </c>
      <c r="L3911">
        <v>0.82</v>
      </c>
      <c r="M3911" t="s">
        <v>46</v>
      </c>
      <c r="N3911" t="s">
        <v>1787</v>
      </c>
      <c r="O3911">
        <v>8.14</v>
      </c>
      <c r="P3911">
        <v>8</v>
      </c>
      <c r="Q3911">
        <v>8.09</v>
      </c>
      <c r="R3911">
        <v>8.07</v>
      </c>
      <c r="S3911">
        <v>1.73</v>
      </c>
      <c r="T3911">
        <v>0.84</v>
      </c>
      <c r="U3911">
        <v>-24.62</v>
      </c>
      <c r="V3911">
        <v>-1408</v>
      </c>
      <c r="W3911">
        <v>8.08</v>
      </c>
      <c r="X3911" t="s">
        <v>2976</v>
      </c>
      <c r="Y3911" t="s">
        <v>1520</v>
      </c>
      <c r="Z3911">
        <v>0.93</v>
      </c>
      <c r="AA3911">
        <v>462</v>
      </c>
      <c r="AB3911">
        <v>258</v>
      </c>
      <c r="AC3911">
        <v>2.22</v>
      </c>
      <c r="AD3911" t="s">
        <v>18913</v>
      </c>
      <c r="AE3911" t="s">
        <v>10460</v>
      </c>
      <c r="AF3911" t="s">
        <v>18913</v>
      </c>
      <c r="AG3911" t="s">
        <v>10460</v>
      </c>
      <c r="AH3911">
        <v>0.12</v>
      </c>
      <c r="AI3911">
        <v>-0.37</v>
      </c>
      <c r="AJ3911">
        <v>2.57</v>
      </c>
      <c r="AK3911">
        <v>5.75</v>
      </c>
      <c r="AL3911">
        <v>2</v>
      </c>
      <c r="AM3911">
        <v>0.62</v>
      </c>
      <c r="AN3911">
        <v>10.33</v>
      </c>
      <c r="AO3911">
        <v>5.32</v>
      </c>
      <c r="AP3911">
        <v>-0.85</v>
      </c>
    </row>
    <row r="3912" spans="1:42">
      <c r="A3912">
        <v>3911</v>
      </c>
      <c r="B3912" t="str">
        <f>"603877"</f>
        <v>603877</v>
      </c>
      <c r="C3912" t="s">
        <v>18914</v>
      </c>
      <c r="D3912">
        <v>15.88</v>
      </c>
      <c r="E3912">
        <v>1.15</v>
      </c>
      <c r="F3912">
        <v>0.18</v>
      </c>
      <c r="G3912" t="s">
        <v>7053</v>
      </c>
      <c r="H3912">
        <v>1548</v>
      </c>
      <c r="I3912">
        <v>15.78</v>
      </c>
      <c r="J3912">
        <v>15.88</v>
      </c>
      <c r="K3912" t="s">
        <v>18915</v>
      </c>
      <c r="L3912">
        <v>0.45</v>
      </c>
      <c r="M3912" t="s">
        <v>46</v>
      </c>
      <c r="N3912" t="s">
        <v>4167</v>
      </c>
      <c r="O3912">
        <v>15.88</v>
      </c>
      <c r="P3912">
        <v>15.58</v>
      </c>
      <c r="Q3912">
        <v>15.62</v>
      </c>
      <c r="R3912">
        <v>15.7</v>
      </c>
      <c r="S3912">
        <v>1.91</v>
      </c>
      <c r="T3912">
        <v>1.08</v>
      </c>
      <c r="U3912">
        <v>-80.68</v>
      </c>
      <c r="V3912">
        <v>-284</v>
      </c>
      <c r="W3912">
        <v>15.72</v>
      </c>
      <c r="X3912" t="s">
        <v>7974</v>
      </c>
      <c r="Y3912" t="s">
        <v>2147</v>
      </c>
      <c r="Z3912">
        <v>1</v>
      </c>
      <c r="AA3912">
        <v>1</v>
      </c>
      <c r="AB3912">
        <v>215</v>
      </c>
      <c r="AC3912">
        <v>1.77</v>
      </c>
      <c r="AD3912" t="s">
        <v>18916</v>
      </c>
      <c r="AE3912" t="s">
        <v>18917</v>
      </c>
      <c r="AF3912" t="s">
        <v>18918</v>
      </c>
      <c r="AG3912" t="s">
        <v>18919</v>
      </c>
      <c r="AH3912">
        <v>0.63</v>
      </c>
      <c r="AI3912">
        <v>-0.56</v>
      </c>
      <c r="AJ3912">
        <v>1.28</v>
      </c>
      <c r="AK3912">
        <v>2.56</v>
      </c>
      <c r="AL3912">
        <v>1</v>
      </c>
      <c r="AM3912">
        <v>1.15</v>
      </c>
      <c r="AN3912">
        <v>-12.94</v>
      </c>
      <c r="AO3912">
        <v>1.47</v>
      </c>
      <c r="AP3912">
        <v>-6.09</v>
      </c>
    </row>
    <row r="3913" spans="1:42">
      <c r="A3913">
        <v>3912</v>
      </c>
      <c r="B3913" t="str">
        <f>"300523"</f>
        <v>300523</v>
      </c>
      <c r="C3913" t="s">
        <v>18920</v>
      </c>
      <c r="D3913">
        <v>21.45</v>
      </c>
      <c r="E3913">
        <v>2.83</v>
      </c>
      <c r="F3913">
        <v>0.59</v>
      </c>
      <c r="G3913" t="s">
        <v>4977</v>
      </c>
      <c r="H3913">
        <v>95</v>
      </c>
      <c r="I3913">
        <v>21.43</v>
      </c>
      <c r="J3913">
        <v>21.45</v>
      </c>
      <c r="K3913" t="s">
        <v>18921</v>
      </c>
      <c r="L3913">
        <v>0.68</v>
      </c>
      <c r="M3913" t="s">
        <v>46</v>
      </c>
      <c r="N3913" t="s">
        <v>4069</v>
      </c>
      <c r="O3913">
        <v>21.55</v>
      </c>
      <c r="P3913">
        <v>20.73</v>
      </c>
      <c r="Q3913">
        <v>20.83</v>
      </c>
      <c r="R3913">
        <v>20.86</v>
      </c>
      <c r="S3913">
        <v>3.93</v>
      </c>
      <c r="T3913">
        <v>1.15</v>
      </c>
      <c r="U3913">
        <v>-42.62</v>
      </c>
      <c r="V3913">
        <v>-260</v>
      </c>
      <c r="W3913">
        <v>21.24</v>
      </c>
      <c r="X3913">
        <v>5758</v>
      </c>
      <c r="Y3913" t="s">
        <v>2074</v>
      </c>
      <c r="Z3913">
        <v>0.57</v>
      </c>
      <c r="AA3913">
        <v>3</v>
      </c>
      <c r="AB3913">
        <v>126</v>
      </c>
      <c r="AC3913">
        <v>3.46</v>
      </c>
      <c r="AD3913" t="s">
        <v>18922</v>
      </c>
      <c r="AE3913" t="s">
        <v>77</v>
      </c>
      <c r="AF3913" t="s">
        <v>5041</v>
      </c>
      <c r="AG3913" t="s">
        <v>12603</v>
      </c>
      <c r="AH3913">
        <v>0.66</v>
      </c>
      <c r="AI3913">
        <v>-1.65</v>
      </c>
      <c r="AJ3913">
        <v>1.62</v>
      </c>
      <c r="AK3913">
        <v>3.65</v>
      </c>
      <c r="AL3913">
        <v>1</v>
      </c>
      <c r="AM3913">
        <v>2.83</v>
      </c>
      <c r="AN3913">
        <v>2.78</v>
      </c>
      <c r="AO3913">
        <v>4.99</v>
      </c>
      <c r="AP3913">
        <v>-12.95</v>
      </c>
    </row>
    <row r="3914" spans="1:42">
      <c r="A3914">
        <v>3913</v>
      </c>
      <c r="B3914" t="str">
        <f>"600561"</f>
        <v>600561</v>
      </c>
      <c r="C3914" t="s">
        <v>18923</v>
      </c>
      <c r="D3914">
        <v>6.45</v>
      </c>
      <c r="E3914">
        <v>1.1</v>
      </c>
      <c r="F3914">
        <v>0.07</v>
      </c>
      <c r="G3914" t="s">
        <v>4616</v>
      </c>
      <c r="H3914">
        <v>716</v>
      </c>
      <c r="I3914">
        <v>6.44</v>
      </c>
      <c r="J3914">
        <v>6.45</v>
      </c>
      <c r="K3914" t="s">
        <v>18924</v>
      </c>
      <c r="L3914">
        <v>1.83</v>
      </c>
      <c r="M3914" t="s">
        <v>46</v>
      </c>
      <c r="N3914" t="s">
        <v>1729</v>
      </c>
      <c r="O3914">
        <v>6.54</v>
      </c>
      <c r="P3914">
        <v>6.33</v>
      </c>
      <c r="Q3914">
        <v>6.38</v>
      </c>
      <c r="R3914">
        <v>6.38</v>
      </c>
      <c r="S3914">
        <v>3.29</v>
      </c>
      <c r="T3914">
        <v>1.05</v>
      </c>
      <c r="U3914">
        <v>-12.29</v>
      </c>
      <c r="V3914">
        <v>-409</v>
      </c>
      <c r="W3914">
        <v>6.47</v>
      </c>
      <c r="X3914" t="s">
        <v>8211</v>
      </c>
      <c r="Y3914" t="s">
        <v>7993</v>
      </c>
      <c r="Z3914">
        <v>0.85</v>
      </c>
      <c r="AA3914">
        <v>198</v>
      </c>
      <c r="AB3914">
        <v>520</v>
      </c>
      <c r="AC3914">
        <v>2</v>
      </c>
      <c r="AD3914" t="s">
        <v>4756</v>
      </c>
      <c r="AE3914" t="s">
        <v>18641</v>
      </c>
      <c r="AF3914" t="s">
        <v>4756</v>
      </c>
      <c r="AG3914" t="s">
        <v>18641</v>
      </c>
      <c r="AH3914">
        <v>0.47</v>
      </c>
      <c r="AI3914">
        <v>-0.31</v>
      </c>
      <c r="AJ3914">
        <v>4.53</v>
      </c>
      <c r="AK3914">
        <v>10.61</v>
      </c>
      <c r="AL3914">
        <v>2</v>
      </c>
      <c r="AM3914">
        <v>1.1</v>
      </c>
      <c r="AN3914">
        <v>8.22</v>
      </c>
      <c r="AO3914">
        <v>5.74</v>
      </c>
      <c r="AP3914">
        <v>17.27</v>
      </c>
    </row>
    <row r="3915" spans="1:42">
      <c r="A3915">
        <v>3914</v>
      </c>
      <c r="B3915" t="str">
        <f>"002877"</f>
        <v>002877</v>
      </c>
      <c r="C3915" t="s">
        <v>18925</v>
      </c>
      <c r="D3915">
        <v>10.18</v>
      </c>
      <c r="E3915">
        <v>-0.2</v>
      </c>
      <c r="F3915">
        <v>-0.02</v>
      </c>
      <c r="G3915" t="s">
        <v>3457</v>
      </c>
      <c r="H3915">
        <v>274</v>
      </c>
      <c r="I3915">
        <v>10.18</v>
      </c>
      <c r="J3915">
        <v>10.2</v>
      </c>
      <c r="K3915" t="s">
        <v>18926</v>
      </c>
      <c r="L3915">
        <v>1.6</v>
      </c>
      <c r="M3915" t="s">
        <v>46</v>
      </c>
      <c r="N3915" t="s">
        <v>15362</v>
      </c>
      <c r="O3915">
        <v>10.24</v>
      </c>
      <c r="P3915">
        <v>10.06</v>
      </c>
      <c r="Q3915">
        <v>10.19</v>
      </c>
      <c r="R3915">
        <v>10.2</v>
      </c>
      <c r="S3915">
        <v>1.76</v>
      </c>
      <c r="T3915">
        <v>0.91</v>
      </c>
      <c r="U3915">
        <v>-40.87</v>
      </c>
      <c r="V3915">
        <v>-803</v>
      </c>
      <c r="W3915">
        <v>10.14</v>
      </c>
      <c r="X3915" t="s">
        <v>7487</v>
      </c>
      <c r="Y3915" t="s">
        <v>1456</v>
      </c>
      <c r="Z3915">
        <v>0.94</v>
      </c>
      <c r="AA3915">
        <v>179</v>
      </c>
      <c r="AB3915">
        <v>65</v>
      </c>
      <c r="AC3915">
        <v>3.27</v>
      </c>
      <c r="AD3915" t="s">
        <v>1016</v>
      </c>
      <c r="AE3915" t="s">
        <v>16337</v>
      </c>
      <c r="AF3915" t="s">
        <v>18927</v>
      </c>
      <c r="AG3915" t="s">
        <v>8135</v>
      </c>
      <c r="AH3915">
        <v>-1.74</v>
      </c>
      <c r="AI3915">
        <v>-1.17</v>
      </c>
      <c r="AJ3915">
        <v>4.82</v>
      </c>
      <c r="AK3915">
        <v>10.33</v>
      </c>
      <c r="AL3915">
        <v>-3</v>
      </c>
      <c r="AM3915">
        <v>-0.2</v>
      </c>
      <c r="AN3915">
        <v>49.93</v>
      </c>
      <c r="AO3915">
        <v>3.88</v>
      </c>
      <c r="AP3915">
        <v>38.69</v>
      </c>
    </row>
    <row r="3916" spans="1:42">
      <c r="A3916">
        <v>3915</v>
      </c>
      <c r="B3916" t="str">
        <f>"688089"</f>
        <v>688089</v>
      </c>
      <c r="C3916" t="s">
        <v>18928</v>
      </c>
      <c r="D3916">
        <v>19.24</v>
      </c>
      <c r="E3916">
        <v>-0.16</v>
      </c>
      <c r="F3916">
        <v>-0.03</v>
      </c>
      <c r="G3916" t="s">
        <v>1177</v>
      </c>
      <c r="H3916">
        <v>50</v>
      </c>
      <c r="I3916">
        <v>19.24</v>
      </c>
      <c r="J3916">
        <v>19.25</v>
      </c>
      <c r="K3916" t="s">
        <v>18926</v>
      </c>
      <c r="L3916">
        <v>1.04</v>
      </c>
      <c r="M3916" t="s">
        <v>46</v>
      </c>
      <c r="N3916" t="s">
        <v>4400</v>
      </c>
      <c r="O3916">
        <v>19.44</v>
      </c>
      <c r="P3916">
        <v>19.04</v>
      </c>
      <c r="Q3916">
        <v>19.31</v>
      </c>
      <c r="R3916">
        <v>19.27</v>
      </c>
      <c r="S3916">
        <v>2.08</v>
      </c>
      <c r="T3916">
        <v>1.22</v>
      </c>
      <c r="U3916">
        <v>10.43</v>
      </c>
      <c r="V3916">
        <v>37</v>
      </c>
      <c r="W3916">
        <v>19.21</v>
      </c>
      <c r="X3916">
        <v>9092</v>
      </c>
      <c r="Y3916">
        <v>8485</v>
      </c>
      <c r="Z3916">
        <v>1.07</v>
      </c>
      <c r="AA3916">
        <v>83</v>
      </c>
      <c r="AB3916">
        <v>2</v>
      </c>
      <c r="AC3916">
        <v>2.22</v>
      </c>
      <c r="AD3916" t="s">
        <v>18929</v>
      </c>
      <c r="AE3916" t="s">
        <v>18930</v>
      </c>
      <c r="AF3916" t="s">
        <v>18929</v>
      </c>
      <c r="AG3916" t="s">
        <v>18930</v>
      </c>
      <c r="AH3916">
        <v>-1.99</v>
      </c>
      <c r="AI3916">
        <v>-2.98</v>
      </c>
      <c r="AJ3916">
        <v>2.62</v>
      </c>
      <c r="AK3916">
        <v>5.34</v>
      </c>
      <c r="AL3916">
        <v>-3</v>
      </c>
      <c r="AM3916">
        <v>-0.16</v>
      </c>
      <c r="AN3916">
        <v>-40.17</v>
      </c>
      <c r="AO3916">
        <v>0.58</v>
      </c>
      <c r="AP3916">
        <v>-41.64</v>
      </c>
    </row>
    <row r="3917" spans="1:42">
      <c r="A3917">
        <v>3916</v>
      </c>
      <c r="B3917" t="str">
        <f>"688562"</f>
        <v>688562</v>
      </c>
      <c r="C3917" t="s">
        <v>18931</v>
      </c>
      <c r="D3917">
        <v>23.88</v>
      </c>
      <c r="E3917">
        <v>0.42</v>
      </c>
      <c r="F3917">
        <v>0.1</v>
      </c>
      <c r="G3917" t="s">
        <v>4105</v>
      </c>
      <c r="H3917">
        <v>108</v>
      </c>
      <c r="I3917">
        <v>23.87</v>
      </c>
      <c r="J3917">
        <v>23.88</v>
      </c>
      <c r="K3917" t="s">
        <v>18932</v>
      </c>
      <c r="L3917">
        <v>2.03</v>
      </c>
      <c r="M3917" t="s">
        <v>46</v>
      </c>
      <c r="N3917" t="s">
        <v>3436</v>
      </c>
      <c r="O3917">
        <v>23.95</v>
      </c>
      <c r="P3917">
        <v>23.43</v>
      </c>
      <c r="Q3917">
        <v>23.62</v>
      </c>
      <c r="R3917">
        <v>23.78</v>
      </c>
      <c r="S3917">
        <v>2.19</v>
      </c>
      <c r="T3917">
        <v>0.59</v>
      </c>
      <c r="U3917">
        <v>-7.62</v>
      </c>
      <c r="V3917">
        <v>-19</v>
      </c>
      <c r="W3917">
        <v>23.68</v>
      </c>
      <c r="X3917">
        <v>7028</v>
      </c>
      <c r="Y3917">
        <v>7202</v>
      </c>
      <c r="Z3917">
        <v>0.98</v>
      </c>
      <c r="AA3917">
        <v>38</v>
      </c>
      <c r="AB3917">
        <v>19</v>
      </c>
      <c r="AC3917">
        <v>5.39</v>
      </c>
      <c r="AD3917" t="s">
        <v>7381</v>
      </c>
      <c r="AE3917" t="s">
        <v>3936</v>
      </c>
      <c r="AF3917" t="s">
        <v>13535</v>
      </c>
      <c r="AG3917" t="s">
        <v>18933</v>
      </c>
      <c r="AH3917">
        <v>-0.75</v>
      </c>
      <c r="AI3917">
        <v>-0.17</v>
      </c>
      <c r="AJ3917">
        <v>5.84</v>
      </c>
      <c r="AK3917">
        <v>19.3</v>
      </c>
      <c r="AL3917">
        <v>2</v>
      </c>
      <c r="AM3917">
        <v>0.42</v>
      </c>
      <c r="AN3917">
        <v>88.33</v>
      </c>
      <c r="AO3917">
        <v>-8.33</v>
      </c>
      <c r="AP3917">
        <v>88.33</v>
      </c>
    </row>
    <row r="3918" spans="1:42">
      <c r="A3918">
        <v>3917</v>
      </c>
      <c r="B3918" t="str">
        <f>"002169"</f>
        <v>002169</v>
      </c>
      <c r="C3918" t="s">
        <v>18934</v>
      </c>
      <c r="D3918">
        <v>7.1</v>
      </c>
      <c r="E3918">
        <v>0.28</v>
      </c>
      <c r="F3918">
        <v>0.02</v>
      </c>
      <c r="G3918" t="s">
        <v>13012</v>
      </c>
      <c r="H3918">
        <v>2706</v>
      </c>
      <c r="I3918">
        <v>7.09</v>
      </c>
      <c r="J3918">
        <v>7.1</v>
      </c>
      <c r="K3918" t="s">
        <v>18935</v>
      </c>
      <c r="L3918">
        <v>0.62</v>
      </c>
      <c r="M3918" t="s">
        <v>46</v>
      </c>
      <c r="N3918" t="s">
        <v>2027</v>
      </c>
      <c r="O3918">
        <v>7.12</v>
      </c>
      <c r="P3918">
        <v>7.02</v>
      </c>
      <c r="Q3918">
        <v>7.07</v>
      </c>
      <c r="R3918">
        <v>7.08</v>
      </c>
      <c r="S3918">
        <v>1.41</v>
      </c>
      <c r="T3918">
        <v>0.75</v>
      </c>
      <c r="U3918">
        <v>-13.72</v>
      </c>
      <c r="V3918">
        <v>-847</v>
      </c>
      <c r="W3918">
        <v>7.06</v>
      </c>
      <c r="X3918" t="s">
        <v>2727</v>
      </c>
      <c r="Y3918" t="s">
        <v>1525</v>
      </c>
      <c r="Z3918">
        <v>1.52</v>
      </c>
      <c r="AA3918">
        <v>270</v>
      </c>
      <c r="AB3918">
        <v>219</v>
      </c>
      <c r="AC3918">
        <v>1.72</v>
      </c>
      <c r="AD3918" t="s">
        <v>18936</v>
      </c>
      <c r="AE3918" t="s">
        <v>18937</v>
      </c>
      <c r="AF3918" t="s">
        <v>18938</v>
      </c>
      <c r="AG3918" t="s">
        <v>18939</v>
      </c>
      <c r="AH3918">
        <v>-1.66</v>
      </c>
      <c r="AI3918">
        <v>-1.39</v>
      </c>
      <c r="AJ3918">
        <v>2.24</v>
      </c>
      <c r="AK3918">
        <v>4.81</v>
      </c>
      <c r="AL3918">
        <v>1</v>
      </c>
      <c r="AM3918">
        <v>0.28</v>
      </c>
      <c r="AN3918">
        <v>-5.96</v>
      </c>
      <c r="AO3918">
        <v>0.14</v>
      </c>
      <c r="AP3918">
        <v>-13.41</v>
      </c>
    </row>
    <row r="3919" spans="1:42">
      <c r="A3919">
        <v>3918</v>
      </c>
      <c r="B3919" t="str">
        <f>"300193"</f>
        <v>300193</v>
      </c>
      <c r="C3919" t="s">
        <v>18940</v>
      </c>
      <c r="D3919">
        <v>7.99</v>
      </c>
      <c r="E3919">
        <v>-0.13</v>
      </c>
      <c r="F3919">
        <v>-0.01</v>
      </c>
      <c r="G3919" t="s">
        <v>4087</v>
      </c>
      <c r="H3919">
        <v>206</v>
      </c>
      <c r="I3919">
        <v>7.99</v>
      </c>
      <c r="J3919">
        <v>8</v>
      </c>
      <c r="K3919" t="s">
        <v>18935</v>
      </c>
      <c r="L3919">
        <v>0.97</v>
      </c>
      <c r="M3919" t="s">
        <v>46</v>
      </c>
      <c r="N3919" t="s">
        <v>18941</v>
      </c>
      <c r="O3919">
        <v>8.02</v>
      </c>
      <c r="P3919">
        <v>7.89</v>
      </c>
      <c r="Q3919">
        <v>8.01</v>
      </c>
      <c r="R3919">
        <v>8</v>
      </c>
      <c r="S3919">
        <v>1.63</v>
      </c>
      <c r="T3919">
        <v>0.79</v>
      </c>
      <c r="U3919">
        <v>2.68</v>
      </c>
      <c r="V3919">
        <v>68</v>
      </c>
      <c r="W3919">
        <v>7.96</v>
      </c>
      <c r="X3919" t="s">
        <v>1520</v>
      </c>
      <c r="Y3919" t="s">
        <v>9024</v>
      </c>
      <c r="Z3919">
        <v>1.04</v>
      </c>
      <c r="AA3919">
        <v>110</v>
      </c>
      <c r="AB3919">
        <v>47</v>
      </c>
      <c r="AC3919">
        <v>1.77</v>
      </c>
      <c r="AD3919" t="s">
        <v>1299</v>
      </c>
      <c r="AE3919" t="s">
        <v>18942</v>
      </c>
      <c r="AF3919" t="s">
        <v>18943</v>
      </c>
      <c r="AG3919" t="s">
        <v>4097</v>
      </c>
      <c r="AH3919">
        <v>-1.24</v>
      </c>
      <c r="AI3919">
        <v>-1.6</v>
      </c>
      <c r="AJ3919">
        <v>3.04</v>
      </c>
      <c r="AK3919">
        <v>7.1</v>
      </c>
      <c r="AL3919">
        <v>-3</v>
      </c>
      <c r="AM3919">
        <v>-0.13</v>
      </c>
      <c r="AN3919">
        <v>11.28</v>
      </c>
      <c r="AO3919">
        <v>2.57</v>
      </c>
      <c r="AP3919">
        <v>3.1</v>
      </c>
    </row>
    <row r="3920" spans="1:42">
      <c r="A3920">
        <v>3919</v>
      </c>
      <c r="B3920" t="str">
        <f>"836239"</f>
        <v>836239</v>
      </c>
      <c r="C3920" t="s">
        <v>18944</v>
      </c>
      <c r="D3920">
        <v>13.3</v>
      </c>
      <c r="E3920">
        <v>-9.83</v>
      </c>
      <c r="F3920">
        <v>-1.45</v>
      </c>
      <c r="G3920" t="s">
        <v>4037</v>
      </c>
      <c r="H3920">
        <v>387</v>
      </c>
      <c r="I3920">
        <v>13.3</v>
      </c>
      <c r="J3920">
        <v>13.36</v>
      </c>
      <c r="K3920" t="s">
        <v>18945</v>
      </c>
      <c r="L3920">
        <v>4.87</v>
      </c>
      <c r="M3920" t="s">
        <v>46</v>
      </c>
      <c r="N3920" t="s">
        <v>4428</v>
      </c>
      <c r="O3920">
        <v>15.17</v>
      </c>
      <c r="P3920">
        <v>13.2</v>
      </c>
      <c r="Q3920">
        <v>14.83</v>
      </c>
      <c r="R3920">
        <v>14.75</v>
      </c>
      <c r="S3920">
        <v>13.36</v>
      </c>
      <c r="T3920">
        <v>0.68</v>
      </c>
      <c r="U3920">
        <v>-31.79</v>
      </c>
      <c r="V3920">
        <v>-254</v>
      </c>
      <c r="W3920">
        <v>13.92</v>
      </c>
      <c r="X3920" t="s">
        <v>4525</v>
      </c>
      <c r="Y3920" t="s">
        <v>239</v>
      </c>
      <c r="Z3920">
        <v>1.32</v>
      </c>
      <c r="AA3920">
        <v>173</v>
      </c>
      <c r="AB3920">
        <v>16</v>
      </c>
      <c r="AC3920">
        <v>2.22</v>
      </c>
      <c r="AD3920" t="s">
        <v>17111</v>
      </c>
      <c r="AE3920" t="s">
        <v>495</v>
      </c>
      <c r="AF3920" t="s">
        <v>16115</v>
      </c>
      <c r="AG3920" t="s">
        <v>18946</v>
      </c>
      <c r="AH3920">
        <v>-16.3</v>
      </c>
      <c r="AI3920">
        <v>-3.69</v>
      </c>
      <c r="AJ3920">
        <v>16.12</v>
      </c>
      <c r="AK3920">
        <v>40.49</v>
      </c>
      <c r="AL3920">
        <v>-2</v>
      </c>
      <c r="AM3920">
        <v>-9.83</v>
      </c>
      <c r="AN3920">
        <v>-41.07</v>
      </c>
      <c r="AO3920">
        <v>33.4</v>
      </c>
      <c r="AP3920">
        <v>-44.4</v>
      </c>
    </row>
    <row r="3921" spans="1:42">
      <c r="A3921">
        <v>3920</v>
      </c>
      <c r="B3921" t="str">
        <f>"603040"</f>
        <v>603040</v>
      </c>
      <c r="C3921" t="s">
        <v>18947</v>
      </c>
      <c r="D3921">
        <v>23.15</v>
      </c>
      <c r="E3921">
        <v>-0.56</v>
      </c>
      <c r="F3921">
        <v>-0.13</v>
      </c>
      <c r="G3921" t="s">
        <v>7836</v>
      </c>
      <c r="H3921">
        <v>45</v>
      </c>
      <c r="I3921">
        <v>23.15</v>
      </c>
      <c r="J3921">
        <v>23.17</v>
      </c>
      <c r="K3921" t="s">
        <v>18945</v>
      </c>
      <c r="L3921">
        <v>1.08</v>
      </c>
      <c r="M3921" t="s">
        <v>46</v>
      </c>
      <c r="N3921" t="s">
        <v>3396</v>
      </c>
      <c r="O3921">
        <v>23.44</v>
      </c>
      <c r="P3921">
        <v>22.92</v>
      </c>
      <c r="Q3921">
        <v>23.04</v>
      </c>
      <c r="R3921">
        <v>23.28</v>
      </c>
      <c r="S3921">
        <v>2.23</v>
      </c>
      <c r="T3921">
        <v>0.57</v>
      </c>
      <c r="U3921">
        <v>27.76</v>
      </c>
      <c r="V3921">
        <v>73</v>
      </c>
      <c r="W3921">
        <v>23.1</v>
      </c>
      <c r="X3921">
        <v>8135</v>
      </c>
      <c r="Y3921">
        <v>6438</v>
      </c>
      <c r="Z3921">
        <v>1.26</v>
      </c>
      <c r="AA3921">
        <v>56</v>
      </c>
      <c r="AB3921">
        <v>2</v>
      </c>
      <c r="AC3921">
        <v>2.62</v>
      </c>
      <c r="AD3921" t="s">
        <v>18948</v>
      </c>
      <c r="AE3921" t="s">
        <v>9501</v>
      </c>
      <c r="AF3921" t="s">
        <v>11452</v>
      </c>
      <c r="AG3921" t="s">
        <v>3400</v>
      </c>
      <c r="AH3921">
        <v>-2.69</v>
      </c>
      <c r="AI3921">
        <v>-2.03</v>
      </c>
      <c r="AJ3921">
        <v>3.97</v>
      </c>
      <c r="AK3921">
        <v>10.66</v>
      </c>
      <c r="AL3921">
        <v>-3</v>
      </c>
      <c r="AM3921">
        <v>-0.56</v>
      </c>
      <c r="AN3921">
        <v>39.63</v>
      </c>
      <c r="AO3921">
        <v>6.98</v>
      </c>
      <c r="AP3921">
        <v>27.55</v>
      </c>
    </row>
    <row r="3922" spans="1:42">
      <c r="A3922">
        <v>3921</v>
      </c>
      <c r="B3922" t="str">
        <f>"600881"</f>
        <v>600881</v>
      </c>
      <c r="C3922" t="s">
        <v>18949</v>
      </c>
      <c r="D3922">
        <v>2.15</v>
      </c>
      <c r="E3922">
        <v>0.94</v>
      </c>
      <c r="F3922">
        <v>0.02</v>
      </c>
      <c r="G3922" t="s">
        <v>3687</v>
      </c>
      <c r="H3922">
        <v>1789</v>
      </c>
      <c r="I3922">
        <v>2.15</v>
      </c>
      <c r="J3922">
        <v>2.16</v>
      </c>
      <c r="K3922" t="s">
        <v>7105</v>
      </c>
      <c r="L3922">
        <v>0.48</v>
      </c>
      <c r="M3922" t="s">
        <v>46</v>
      </c>
      <c r="N3922" t="s">
        <v>5261</v>
      </c>
      <c r="O3922">
        <v>2.16</v>
      </c>
      <c r="P3922">
        <v>2.12</v>
      </c>
      <c r="Q3922">
        <v>2.13</v>
      </c>
      <c r="R3922">
        <v>2.13</v>
      </c>
      <c r="S3922">
        <v>1.88</v>
      </c>
      <c r="T3922">
        <v>1.12</v>
      </c>
      <c r="U3922">
        <v>-10.57</v>
      </c>
      <c r="V3922">
        <v>-8277</v>
      </c>
      <c r="W3922">
        <v>2.15</v>
      </c>
      <c r="X3922" t="s">
        <v>7279</v>
      </c>
      <c r="Y3922" t="s">
        <v>7733</v>
      </c>
      <c r="Z3922">
        <v>0.65</v>
      </c>
      <c r="AA3922">
        <v>3806</v>
      </c>
      <c r="AB3922" t="s">
        <v>239</v>
      </c>
      <c r="AC3922">
        <v>0.84</v>
      </c>
      <c r="AD3922" t="s">
        <v>18950</v>
      </c>
      <c r="AE3922" t="s">
        <v>18951</v>
      </c>
      <c r="AF3922" t="s">
        <v>18950</v>
      </c>
      <c r="AG3922" t="s">
        <v>18951</v>
      </c>
      <c r="AH3922">
        <v>-0.46</v>
      </c>
      <c r="AI3922">
        <v>-1.83</v>
      </c>
      <c r="AJ3922">
        <v>1.25</v>
      </c>
      <c r="AK3922">
        <v>2.64</v>
      </c>
      <c r="AL3922">
        <v>1</v>
      </c>
      <c r="AM3922">
        <v>0.94</v>
      </c>
      <c r="AN3922">
        <v>-10.42</v>
      </c>
      <c r="AO3922">
        <v>1.42</v>
      </c>
      <c r="AP3922">
        <v>-22.1</v>
      </c>
    </row>
    <row r="3923" spans="1:42">
      <c r="A3923">
        <v>3922</v>
      </c>
      <c r="B3923" t="str">
        <f>"000509"</f>
        <v>000509</v>
      </c>
      <c r="C3923" t="s">
        <v>18952</v>
      </c>
      <c r="D3923">
        <v>3.97</v>
      </c>
      <c r="E3923">
        <v>0.25</v>
      </c>
      <c r="F3923">
        <v>0.01</v>
      </c>
      <c r="G3923" t="s">
        <v>4547</v>
      </c>
      <c r="H3923">
        <v>2247</v>
      </c>
      <c r="I3923">
        <v>3.96</v>
      </c>
      <c r="J3923">
        <v>3.97</v>
      </c>
      <c r="K3923" t="s">
        <v>18953</v>
      </c>
      <c r="L3923">
        <v>0.79</v>
      </c>
      <c r="M3923" t="s">
        <v>46</v>
      </c>
      <c r="N3923" t="s">
        <v>2996</v>
      </c>
      <c r="O3923">
        <v>3.98</v>
      </c>
      <c r="P3923">
        <v>3.92</v>
      </c>
      <c r="Q3923">
        <v>3.98</v>
      </c>
      <c r="R3923">
        <v>3.96</v>
      </c>
      <c r="S3923">
        <v>1.52</v>
      </c>
      <c r="T3923">
        <v>0.88</v>
      </c>
      <c r="U3923">
        <v>-37.74</v>
      </c>
      <c r="V3923">
        <v>-6718</v>
      </c>
      <c r="W3923">
        <v>3.94</v>
      </c>
      <c r="X3923" t="s">
        <v>3373</v>
      </c>
      <c r="Y3923" t="s">
        <v>843</v>
      </c>
      <c r="Z3923">
        <v>0.9</v>
      </c>
      <c r="AA3923">
        <v>1257</v>
      </c>
      <c r="AB3923">
        <v>2575</v>
      </c>
      <c r="AC3923">
        <v>25.8</v>
      </c>
      <c r="AD3923" t="s">
        <v>1013</v>
      </c>
      <c r="AE3923" t="s">
        <v>10994</v>
      </c>
      <c r="AF3923" t="s">
        <v>1013</v>
      </c>
      <c r="AG3923" t="s">
        <v>10994</v>
      </c>
      <c r="AH3923">
        <v>1.79</v>
      </c>
      <c r="AI3923">
        <v>2.85</v>
      </c>
      <c r="AJ3923">
        <v>2.81</v>
      </c>
      <c r="AK3923">
        <v>5.31</v>
      </c>
      <c r="AL3923">
        <v>1</v>
      </c>
      <c r="AM3923">
        <v>0.25</v>
      </c>
      <c r="AN3923">
        <v>4.47</v>
      </c>
      <c r="AO3923">
        <v>5.31</v>
      </c>
      <c r="AP3923">
        <v>-2.93</v>
      </c>
    </row>
    <row r="3924" spans="1:42">
      <c r="A3924">
        <v>3923</v>
      </c>
      <c r="B3924" t="str">
        <f>"002135"</f>
        <v>002135</v>
      </c>
      <c r="C3924" t="s">
        <v>18954</v>
      </c>
      <c r="D3924">
        <v>5.77</v>
      </c>
      <c r="E3924">
        <v>1.41</v>
      </c>
      <c r="F3924">
        <v>0.08</v>
      </c>
      <c r="G3924" t="s">
        <v>2629</v>
      </c>
      <c r="H3924">
        <v>468</v>
      </c>
      <c r="I3924">
        <v>5.76</v>
      </c>
      <c r="J3924">
        <v>5.77</v>
      </c>
      <c r="K3924" t="s">
        <v>18953</v>
      </c>
      <c r="L3924">
        <v>0.54</v>
      </c>
      <c r="M3924" t="s">
        <v>46</v>
      </c>
      <c r="N3924" t="s">
        <v>18955</v>
      </c>
      <c r="O3924">
        <v>5.81</v>
      </c>
      <c r="P3924">
        <v>5.67</v>
      </c>
      <c r="Q3924">
        <v>5.7</v>
      </c>
      <c r="R3924">
        <v>5.69</v>
      </c>
      <c r="S3924">
        <v>2.46</v>
      </c>
      <c r="T3924">
        <v>0.85</v>
      </c>
      <c r="U3924">
        <v>-30.44</v>
      </c>
      <c r="V3924">
        <v>-2634</v>
      </c>
      <c r="W3924">
        <v>5.75</v>
      </c>
      <c r="X3924" t="s">
        <v>2818</v>
      </c>
      <c r="Y3924" t="s">
        <v>762</v>
      </c>
      <c r="Z3924">
        <v>0.68</v>
      </c>
      <c r="AA3924">
        <v>744</v>
      </c>
      <c r="AB3924">
        <v>179</v>
      </c>
      <c r="AC3924">
        <v>1.04</v>
      </c>
      <c r="AD3924" t="s">
        <v>915</v>
      </c>
      <c r="AE3924" t="s">
        <v>18956</v>
      </c>
      <c r="AF3924" t="s">
        <v>5935</v>
      </c>
      <c r="AG3924" t="s">
        <v>18957</v>
      </c>
      <c r="AH3924">
        <v>-0.52</v>
      </c>
      <c r="AI3924">
        <v>-2.2</v>
      </c>
      <c r="AJ3924">
        <v>1.93</v>
      </c>
      <c r="AK3924">
        <v>3.74</v>
      </c>
      <c r="AL3924">
        <v>1</v>
      </c>
      <c r="AM3924">
        <v>1.41</v>
      </c>
      <c r="AN3924">
        <v>-5.87</v>
      </c>
      <c r="AO3924">
        <v>1.41</v>
      </c>
      <c r="AP3924">
        <v>-15.15</v>
      </c>
    </row>
    <row r="3925" spans="1:42">
      <c r="A3925">
        <v>3924</v>
      </c>
      <c r="B3925" t="str">
        <f>"300246"</f>
        <v>300246</v>
      </c>
      <c r="C3925" t="s">
        <v>18958</v>
      </c>
      <c r="D3925">
        <v>11.39</v>
      </c>
      <c r="E3925">
        <v>0.35</v>
      </c>
      <c r="F3925">
        <v>0.04</v>
      </c>
      <c r="G3925" t="s">
        <v>7649</v>
      </c>
      <c r="H3925">
        <v>432</v>
      </c>
      <c r="I3925">
        <v>11.38</v>
      </c>
      <c r="J3925">
        <v>11.39</v>
      </c>
      <c r="K3925" t="s">
        <v>18959</v>
      </c>
      <c r="L3925">
        <v>1.4</v>
      </c>
      <c r="M3925" t="s">
        <v>46</v>
      </c>
      <c r="N3925" t="s">
        <v>18960</v>
      </c>
      <c r="O3925">
        <v>11.49</v>
      </c>
      <c r="P3925">
        <v>11.31</v>
      </c>
      <c r="Q3925">
        <v>11.35</v>
      </c>
      <c r="R3925">
        <v>11.35</v>
      </c>
      <c r="S3925">
        <v>1.59</v>
      </c>
      <c r="T3925">
        <v>0.31</v>
      </c>
      <c r="U3925">
        <v>0.16</v>
      </c>
      <c r="V3925">
        <v>2</v>
      </c>
      <c r="W3925">
        <v>11.4</v>
      </c>
      <c r="X3925" t="s">
        <v>141</v>
      </c>
      <c r="Y3925" t="s">
        <v>3284</v>
      </c>
      <c r="Z3925">
        <v>1.16</v>
      </c>
      <c r="AA3925">
        <v>123</v>
      </c>
      <c r="AB3925">
        <v>56</v>
      </c>
      <c r="AC3925">
        <v>2.17</v>
      </c>
      <c r="AD3925" t="s">
        <v>8025</v>
      </c>
      <c r="AE3925" t="s">
        <v>1874</v>
      </c>
      <c r="AF3925" t="s">
        <v>7499</v>
      </c>
      <c r="AG3925" t="s">
        <v>18961</v>
      </c>
      <c r="AH3925">
        <v>-1.21</v>
      </c>
      <c r="AI3925">
        <v>-0.7</v>
      </c>
      <c r="AJ3925">
        <v>5.13</v>
      </c>
      <c r="AK3925">
        <v>23.88</v>
      </c>
      <c r="AL3925">
        <v>1</v>
      </c>
      <c r="AM3925">
        <v>0.35</v>
      </c>
      <c r="AN3925">
        <v>5.95</v>
      </c>
      <c r="AO3925">
        <v>4.88</v>
      </c>
      <c r="AP3925">
        <v>6.05</v>
      </c>
    </row>
    <row r="3926" spans="1:42">
      <c r="A3926">
        <v>3925</v>
      </c>
      <c r="B3926" t="str">
        <f>"605376"</f>
        <v>605376</v>
      </c>
      <c r="C3926" t="s">
        <v>18962</v>
      </c>
      <c r="D3926">
        <v>29.12</v>
      </c>
      <c r="E3926">
        <v>0</v>
      </c>
      <c r="F3926">
        <v>0</v>
      </c>
      <c r="G3926" t="s">
        <v>2284</v>
      </c>
      <c r="H3926">
        <v>138</v>
      </c>
      <c r="I3926">
        <v>29.12</v>
      </c>
      <c r="J3926">
        <v>29.13</v>
      </c>
      <c r="K3926" t="s">
        <v>18963</v>
      </c>
      <c r="L3926">
        <v>0.66</v>
      </c>
      <c r="M3926" t="s">
        <v>46</v>
      </c>
      <c r="N3926" t="s">
        <v>2834</v>
      </c>
      <c r="O3926">
        <v>29.42</v>
      </c>
      <c r="P3926">
        <v>28.86</v>
      </c>
      <c r="Q3926">
        <v>29.42</v>
      </c>
      <c r="R3926">
        <v>29.12</v>
      </c>
      <c r="S3926">
        <v>1.92</v>
      </c>
      <c r="T3926">
        <v>0.82</v>
      </c>
      <c r="U3926">
        <v>59.57</v>
      </c>
      <c r="V3926">
        <v>112</v>
      </c>
      <c r="W3926">
        <v>29.1</v>
      </c>
      <c r="X3926">
        <v>5972</v>
      </c>
      <c r="Y3926">
        <v>5576</v>
      </c>
      <c r="Z3926">
        <v>1.07</v>
      </c>
      <c r="AA3926">
        <v>67</v>
      </c>
      <c r="AB3926">
        <v>2</v>
      </c>
      <c r="AC3926">
        <v>4.69</v>
      </c>
      <c r="AD3926" t="s">
        <v>10210</v>
      </c>
      <c r="AE3926" t="s">
        <v>18964</v>
      </c>
      <c r="AF3926" t="s">
        <v>5769</v>
      </c>
      <c r="AG3926" t="s">
        <v>18965</v>
      </c>
      <c r="AH3926">
        <v>-0.51</v>
      </c>
      <c r="AI3926">
        <v>-1.92</v>
      </c>
      <c r="AJ3926">
        <v>2.19</v>
      </c>
      <c r="AK3926">
        <v>4.67</v>
      </c>
      <c r="AL3926">
        <v>0</v>
      </c>
      <c r="AM3926">
        <v>0</v>
      </c>
      <c r="AN3926">
        <v>-36.87</v>
      </c>
      <c r="AO3926">
        <v>0.76</v>
      </c>
      <c r="AP3926">
        <v>-42.45</v>
      </c>
    </row>
    <row r="3927" spans="1:42">
      <c r="A3927">
        <v>3926</v>
      </c>
      <c r="B3927" t="str">
        <f>"688793"</f>
        <v>688793</v>
      </c>
      <c r="C3927" t="s">
        <v>18966</v>
      </c>
      <c r="D3927">
        <v>37.38</v>
      </c>
      <c r="E3927">
        <v>-2.02</v>
      </c>
      <c r="F3927">
        <v>-0.77</v>
      </c>
      <c r="G3927">
        <v>8963</v>
      </c>
      <c r="H3927">
        <v>16</v>
      </c>
      <c r="I3927">
        <v>37.38</v>
      </c>
      <c r="J3927">
        <v>37.7</v>
      </c>
      <c r="K3927" t="s">
        <v>18967</v>
      </c>
      <c r="L3927">
        <v>2.7</v>
      </c>
      <c r="M3927" t="s">
        <v>46</v>
      </c>
      <c r="N3927" t="s">
        <v>18968</v>
      </c>
      <c r="O3927">
        <v>38.15</v>
      </c>
      <c r="P3927">
        <v>30.52</v>
      </c>
      <c r="Q3927">
        <v>30.52</v>
      </c>
      <c r="R3927">
        <v>38.15</v>
      </c>
      <c r="S3927">
        <v>20</v>
      </c>
      <c r="T3927">
        <v>1.22</v>
      </c>
      <c r="U3927">
        <v>-51.96</v>
      </c>
      <c r="V3927">
        <v>-61</v>
      </c>
      <c r="W3927">
        <v>37.46</v>
      </c>
      <c r="X3927">
        <v>4530</v>
      </c>
      <c r="Y3927">
        <v>4433</v>
      </c>
      <c r="Z3927">
        <v>1.02</v>
      </c>
      <c r="AA3927">
        <v>10</v>
      </c>
      <c r="AB3927">
        <v>5</v>
      </c>
      <c r="AC3927">
        <v>7.3</v>
      </c>
      <c r="AD3927" t="s">
        <v>18969</v>
      </c>
      <c r="AE3927" t="s">
        <v>13424</v>
      </c>
      <c r="AF3927" t="s">
        <v>18970</v>
      </c>
      <c r="AG3927" t="s">
        <v>5894</v>
      </c>
      <c r="AH3927">
        <v>-1.89</v>
      </c>
      <c r="AI3927">
        <v>-4.13</v>
      </c>
      <c r="AJ3927">
        <v>6.16</v>
      </c>
      <c r="AK3927">
        <v>13.76</v>
      </c>
      <c r="AL3927">
        <v>-1</v>
      </c>
      <c r="AM3927">
        <v>-2.02</v>
      </c>
      <c r="AN3927">
        <v>6.74</v>
      </c>
      <c r="AO3927">
        <v>-2.25</v>
      </c>
      <c r="AP3927">
        <v>26.97</v>
      </c>
    </row>
    <row r="3928" spans="1:42">
      <c r="A3928">
        <v>3927</v>
      </c>
      <c r="B3928" t="str">
        <f>"000972"</f>
        <v>000972</v>
      </c>
      <c r="C3928" t="s">
        <v>18971</v>
      </c>
      <c r="D3928">
        <v>3.76</v>
      </c>
      <c r="E3928">
        <v>1.35</v>
      </c>
      <c r="F3928">
        <v>0.05</v>
      </c>
      <c r="G3928" t="s">
        <v>7232</v>
      </c>
      <c r="H3928">
        <v>308</v>
      </c>
      <c r="I3928">
        <v>3.75</v>
      </c>
      <c r="J3928">
        <v>3.76</v>
      </c>
      <c r="K3928" t="s">
        <v>18972</v>
      </c>
      <c r="L3928">
        <v>1.16</v>
      </c>
      <c r="M3928" t="s">
        <v>46</v>
      </c>
      <c r="N3928" t="s">
        <v>4226</v>
      </c>
      <c r="O3928">
        <v>3.78</v>
      </c>
      <c r="P3928">
        <v>3.68</v>
      </c>
      <c r="Q3928">
        <v>3.72</v>
      </c>
      <c r="R3928">
        <v>3.71</v>
      </c>
      <c r="S3928">
        <v>2.7</v>
      </c>
      <c r="T3928">
        <v>1.51</v>
      </c>
      <c r="U3928">
        <v>-33.57</v>
      </c>
      <c r="V3928">
        <v>-4910</v>
      </c>
      <c r="W3928">
        <v>3.75</v>
      </c>
      <c r="X3928" t="s">
        <v>6431</v>
      </c>
      <c r="Y3928" t="s">
        <v>4049</v>
      </c>
      <c r="Z3928">
        <v>0.56</v>
      </c>
      <c r="AA3928">
        <v>1126</v>
      </c>
      <c r="AB3928">
        <v>814</v>
      </c>
      <c r="AC3928">
        <v>20.97</v>
      </c>
      <c r="AD3928" t="s">
        <v>18973</v>
      </c>
      <c r="AE3928" t="s">
        <v>18974</v>
      </c>
      <c r="AF3928" t="s">
        <v>18973</v>
      </c>
      <c r="AG3928" t="s">
        <v>18974</v>
      </c>
      <c r="AH3928">
        <v>1.35</v>
      </c>
      <c r="AI3928">
        <v>2.73</v>
      </c>
      <c r="AJ3928">
        <v>2.65</v>
      </c>
      <c r="AK3928">
        <v>4.99</v>
      </c>
      <c r="AL3928">
        <v>2</v>
      </c>
      <c r="AM3928">
        <v>1.35</v>
      </c>
      <c r="AN3928">
        <v>33.33</v>
      </c>
      <c r="AO3928">
        <v>1.62</v>
      </c>
      <c r="AP3928">
        <v>39.26</v>
      </c>
    </row>
    <row r="3929" spans="1:42">
      <c r="A3929">
        <v>3928</v>
      </c>
      <c r="B3929" t="str">
        <f>"002306"</f>
        <v>002306</v>
      </c>
      <c r="C3929" t="s">
        <v>18975</v>
      </c>
      <c r="D3929">
        <v>4.05</v>
      </c>
      <c r="E3929">
        <v>1.5</v>
      </c>
      <c r="F3929">
        <v>0.06</v>
      </c>
      <c r="G3929" t="s">
        <v>6356</v>
      </c>
      <c r="H3929">
        <v>1761</v>
      </c>
      <c r="I3929">
        <v>4.04</v>
      </c>
      <c r="J3929">
        <v>4.05</v>
      </c>
      <c r="K3929" t="s">
        <v>18976</v>
      </c>
      <c r="L3929">
        <v>1.02</v>
      </c>
      <c r="M3929" t="s">
        <v>46</v>
      </c>
      <c r="N3929" t="s">
        <v>8725</v>
      </c>
      <c r="O3929">
        <v>4.07</v>
      </c>
      <c r="P3929">
        <v>3.99</v>
      </c>
      <c r="Q3929">
        <v>3.99</v>
      </c>
      <c r="R3929">
        <v>3.99</v>
      </c>
      <c r="S3929">
        <v>2.01</v>
      </c>
      <c r="T3929">
        <v>1.09</v>
      </c>
      <c r="U3929">
        <v>-17.44</v>
      </c>
      <c r="V3929">
        <v>-2217</v>
      </c>
      <c r="W3929">
        <v>4.04</v>
      </c>
      <c r="X3929" t="s">
        <v>762</v>
      </c>
      <c r="Y3929" t="s">
        <v>4928</v>
      </c>
      <c r="Z3929">
        <v>0.73</v>
      </c>
      <c r="AA3929">
        <v>929</v>
      </c>
      <c r="AB3929">
        <v>118</v>
      </c>
      <c r="AC3929">
        <v>672.76</v>
      </c>
      <c r="AD3929" t="s">
        <v>15151</v>
      </c>
      <c r="AE3929" t="s">
        <v>13668</v>
      </c>
      <c r="AF3929" t="s">
        <v>18977</v>
      </c>
      <c r="AG3929" t="s">
        <v>2313</v>
      </c>
      <c r="AH3929">
        <v>0.25</v>
      </c>
      <c r="AI3929">
        <v>1</v>
      </c>
      <c r="AJ3929">
        <v>2.5</v>
      </c>
      <c r="AK3929">
        <v>5.68</v>
      </c>
      <c r="AL3929">
        <v>1</v>
      </c>
      <c r="AM3929">
        <v>1.5</v>
      </c>
      <c r="AN3929">
        <v>-23.73</v>
      </c>
      <c r="AO3929">
        <v>3.85</v>
      </c>
      <c r="AP3929">
        <v>0</v>
      </c>
    </row>
    <row r="3930" spans="1:42">
      <c r="A3930">
        <v>3929</v>
      </c>
      <c r="B3930" t="str">
        <f>"300799"</f>
        <v>300799</v>
      </c>
      <c r="C3930" t="s">
        <v>18978</v>
      </c>
      <c r="D3930">
        <v>223.86</v>
      </c>
      <c r="E3930">
        <v>1.85</v>
      </c>
      <c r="F3930">
        <v>4.06</v>
      </c>
      <c r="G3930">
        <v>1522</v>
      </c>
      <c r="H3930">
        <v>34</v>
      </c>
      <c r="I3930">
        <v>223.85</v>
      </c>
      <c r="J3930">
        <v>223.86</v>
      </c>
      <c r="K3930" t="s">
        <v>18979</v>
      </c>
      <c r="L3930">
        <v>0.23</v>
      </c>
      <c r="M3930" t="s">
        <v>46</v>
      </c>
      <c r="N3930" t="s">
        <v>18980</v>
      </c>
      <c r="O3930">
        <v>225</v>
      </c>
      <c r="P3930">
        <v>215</v>
      </c>
      <c r="Q3930">
        <v>218.99</v>
      </c>
      <c r="R3930">
        <v>219.8</v>
      </c>
      <c r="S3930">
        <v>4.55</v>
      </c>
      <c r="T3930">
        <v>0.53</v>
      </c>
      <c r="U3930">
        <v>-7.44</v>
      </c>
      <c r="V3930">
        <v>-9</v>
      </c>
      <c r="W3930">
        <v>220.27</v>
      </c>
      <c r="X3930">
        <v>603</v>
      </c>
      <c r="Y3930">
        <v>919</v>
      </c>
      <c r="Z3930">
        <v>0.66</v>
      </c>
      <c r="AA3930">
        <v>29</v>
      </c>
      <c r="AB3930">
        <v>1</v>
      </c>
      <c r="AC3930">
        <v>39.43</v>
      </c>
      <c r="AD3930" t="s">
        <v>12712</v>
      </c>
      <c r="AE3930" t="s">
        <v>18981</v>
      </c>
      <c r="AF3930" t="s">
        <v>13813</v>
      </c>
      <c r="AG3930" t="s">
        <v>8803</v>
      </c>
      <c r="AH3930">
        <v>2.4</v>
      </c>
      <c r="AI3930">
        <v>8.66</v>
      </c>
      <c r="AJ3930">
        <v>1.16</v>
      </c>
      <c r="AK3930">
        <v>2.35</v>
      </c>
      <c r="AL3930">
        <v>2</v>
      </c>
      <c r="AM3930">
        <v>1.85</v>
      </c>
      <c r="AN3930">
        <v>71.72</v>
      </c>
      <c r="AO3930">
        <v>0.25</v>
      </c>
      <c r="AP3930">
        <v>82.42</v>
      </c>
    </row>
    <row r="3931" spans="1:42">
      <c r="A3931">
        <v>3930</v>
      </c>
      <c r="B3931" t="str">
        <f>"603700"</f>
        <v>603700</v>
      </c>
      <c r="C3931" t="s">
        <v>18982</v>
      </c>
      <c r="D3931">
        <v>14.19</v>
      </c>
      <c r="E3931">
        <v>-1.6</v>
      </c>
      <c r="F3931">
        <v>-0.23</v>
      </c>
      <c r="G3931" t="s">
        <v>2818</v>
      </c>
      <c r="H3931">
        <v>205</v>
      </c>
      <c r="I3931">
        <v>14.19</v>
      </c>
      <c r="J3931">
        <v>14.2</v>
      </c>
      <c r="K3931" t="s">
        <v>18979</v>
      </c>
      <c r="L3931">
        <v>1.16</v>
      </c>
      <c r="M3931" t="s">
        <v>46</v>
      </c>
      <c r="N3931" t="s">
        <v>7742</v>
      </c>
      <c r="O3931">
        <v>14.37</v>
      </c>
      <c r="P3931">
        <v>14.16</v>
      </c>
      <c r="Q3931">
        <v>14.36</v>
      </c>
      <c r="R3931">
        <v>14.42</v>
      </c>
      <c r="S3931">
        <v>1.46</v>
      </c>
      <c r="T3931">
        <v>1.55</v>
      </c>
      <c r="U3931">
        <v>2.12</v>
      </c>
      <c r="V3931">
        <v>15</v>
      </c>
      <c r="W3931">
        <v>14.22</v>
      </c>
      <c r="X3931" t="s">
        <v>61</v>
      </c>
      <c r="Y3931">
        <v>8387</v>
      </c>
      <c r="Z3931">
        <v>1.81</v>
      </c>
      <c r="AA3931">
        <v>39</v>
      </c>
      <c r="AB3931">
        <v>90</v>
      </c>
      <c r="AC3931">
        <v>1.85</v>
      </c>
      <c r="AD3931" t="s">
        <v>7777</v>
      </c>
      <c r="AE3931" t="s">
        <v>13491</v>
      </c>
      <c r="AF3931" t="s">
        <v>7777</v>
      </c>
      <c r="AG3931" t="s">
        <v>13491</v>
      </c>
      <c r="AH3931">
        <v>-2.07</v>
      </c>
      <c r="AI3931">
        <v>-1.8</v>
      </c>
      <c r="AJ3931">
        <v>2.55</v>
      </c>
      <c r="AK3931">
        <v>4.9</v>
      </c>
      <c r="AL3931">
        <v>-1</v>
      </c>
      <c r="AM3931">
        <v>-1.6</v>
      </c>
      <c r="AN3931">
        <v>10.43</v>
      </c>
      <c r="AO3931">
        <v>1.65</v>
      </c>
      <c r="AP3931">
        <v>0.07</v>
      </c>
    </row>
    <row r="3932" spans="1:42">
      <c r="A3932">
        <v>3931</v>
      </c>
      <c r="B3932" t="str">
        <f>"000737"</f>
        <v>000737</v>
      </c>
      <c r="C3932" t="s">
        <v>18983</v>
      </c>
      <c r="D3932">
        <v>5.56</v>
      </c>
      <c r="E3932">
        <v>0</v>
      </c>
      <c r="F3932">
        <v>0</v>
      </c>
      <c r="G3932" t="s">
        <v>5962</v>
      </c>
      <c r="H3932">
        <v>1029</v>
      </c>
      <c r="I3932">
        <v>5.55</v>
      </c>
      <c r="J3932">
        <v>5.56</v>
      </c>
      <c r="K3932" t="s">
        <v>18984</v>
      </c>
      <c r="L3932">
        <v>0.83</v>
      </c>
      <c r="M3932" t="s">
        <v>46</v>
      </c>
      <c r="N3932" t="s">
        <v>18985</v>
      </c>
      <c r="O3932">
        <v>5.6</v>
      </c>
      <c r="P3932">
        <v>5.53</v>
      </c>
      <c r="Q3932">
        <v>5.56</v>
      </c>
      <c r="R3932">
        <v>5.56</v>
      </c>
      <c r="S3932">
        <v>1.26</v>
      </c>
      <c r="T3932">
        <v>0.92</v>
      </c>
      <c r="U3932">
        <v>-0.16</v>
      </c>
      <c r="V3932">
        <v>-15</v>
      </c>
      <c r="W3932">
        <v>5.57</v>
      </c>
      <c r="X3932" t="s">
        <v>8050</v>
      </c>
      <c r="Y3932" t="s">
        <v>3033</v>
      </c>
      <c r="Z3932">
        <v>0.98</v>
      </c>
      <c r="AA3932">
        <v>738</v>
      </c>
      <c r="AB3932">
        <v>439</v>
      </c>
      <c r="AC3932">
        <v>2.06</v>
      </c>
      <c r="AD3932" t="s">
        <v>12936</v>
      </c>
      <c r="AE3932" t="s">
        <v>14056</v>
      </c>
      <c r="AF3932" t="s">
        <v>18986</v>
      </c>
      <c r="AG3932" t="s">
        <v>13854</v>
      </c>
      <c r="AH3932">
        <v>-0.36</v>
      </c>
      <c r="AI3932">
        <v>0</v>
      </c>
      <c r="AJ3932">
        <v>2.9</v>
      </c>
      <c r="AK3932">
        <v>5.36</v>
      </c>
      <c r="AL3932">
        <v>0</v>
      </c>
      <c r="AM3932">
        <v>0</v>
      </c>
      <c r="AN3932">
        <v>8.17</v>
      </c>
      <c r="AO3932">
        <v>1.46</v>
      </c>
      <c r="AP3932">
        <v>3.35</v>
      </c>
    </row>
    <row r="3933" spans="1:42">
      <c r="A3933">
        <v>3932</v>
      </c>
      <c r="B3933" t="str">
        <f>"000498"</f>
        <v>000498</v>
      </c>
      <c r="C3933" t="s">
        <v>18987</v>
      </c>
      <c r="D3933">
        <v>5.75</v>
      </c>
      <c r="E3933">
        <v>0.88</v>
      </c>
      <c r="F3933">
        <v>0.05</v>
      </c>
      <c r="G3933" t="s">
        <v>2629</v>
      </c>
      <c r="H3933">
        <v>449</v>
      </c>
      <c r="I3933">
        <v>5.75</v>
      </c>
      <c r="J3933">
        <v>5.76</v>
      </c>
      <c r="K3933" t="s">
        <v>18988</v>
      </c>
      <c r="L3933">
        <v>0.4</v>
      </c>
      <c r="M3933" t="s">
        <v>46</v>
      </c>
      <c r="N3933" t="s">
        <v>4285</v>
      </c>
      <c r="O3933">
        <v>5.77</v>
      </c>
      <c r="P3933">
        <v>5.69</v>
      </c>
      <c r="Q3933">
        <v>5.72</v>
      </c>
      <c r="R3933">
        <v>5.7</v>
      </c>
      <c r="S3933">
        <v>1.4</v>
      </c>
      <c r="T3933">
        <v>1.09</v>
      </c>
      <c r="U3933">
        <v>-49.62</v>
      </c>
      <c r="V3933">
        <v>-8531</v>
      </c>
      <c r="W3933">
        <v>5.73</v>
      </c>
      <c r="X3933" t="s">
        <v>4976</v>
      </c>
      <c r="Y3933" t="s">
        <v>4846</v>
      </c>
      <c r="Z3933">
        <v>0.53</v>
      </c>
      <c r="AA3933">
        <v>539</v>
      </c>
      <c r="AB3933">
        <v>3882</v>
      </c>
      <c r="AC3933">
        <v>0.71</v>
      </c>
      <c r="AD3933" t="s">
        <v>1961</v>
      </c>
      <c r="AE3933" t="s">
        <v>18989</v>
      </c>
      <c r="AF3933" t="s">
        <v>7237</v>
      </c>
      <c r="AG3933" t="s">
        <v>13087</v>
      </c>
      <c r="AH3933">
        <v>-0.69</v>
      </c>
      <c r="AI3933">
        <v>-1.54</v>
      </c>
      <c r="AJ3933">
        <v>1.11</v>
      </c>
      <c r="AK3933">
        <v>2.24</v>
      </c>
      <c r="AL3933">
        <v>1</v>
      </c>
      <c r="AM3933">
        <v>0.88</v>
      </c>
      <c r="AN3933">
        <v>-14.31</v>
      </c>
      <c r="AO3933">
        <v>-1.2</v>
      </c>
      <c r="AP3933">
        <v>-18.09</v>
      </c>
    </row>
    <row r="3934" spans="1:42">
      <c r="A3934">
        <v>3933</v>
      </c>
      <c r="B3934" t="str">
        <f>"600367"</f>
        <v>600367</v>
      </c>
      <c r="C3934" t="s">
        <v>18990</v>
      </c>
      <c r="D3934">
        <v>12.89</v>
      </c>
      <c r="E3934">
        <v>0.62</v>
      </c>
      <c r="F3934">
        <v>0.08</v>
      </c>
      <c r="G3934" t="s">
        <v>117</v>
      </c>
      <c r="H3934">
        <v>494</v>
      </c>
      <c r="I3934">
        <v>12.89</v>
      </c>
      <c r="J3934">
        <v>12.9</v>
      </c>
      <c r="K3934" t="s">
        <v>18991</v>
      </c>
      <c r="L3934">
        <v>0.89</v>
      </c>
      <c r="M3934" t="s">
        <v>46</v>
      </c>
      <c r="N3934" t="s">
        <v>4531</v>
      </c>
      <c r="O3934">
        <v>12.98</v>
      </c>
      <c r="P3934">
        <v>12.77</v>
      </c>
      <c r="Q3934">
        <v>12.84</v>
      </c>
      <c r="R3934">
        <v>12.81</v>
      </c>
      <c r="S3934">
        <v>1.64</v>
      </c>
      <c r="T3934">
        <v>0.97</v>
      </c>
      <c r="U3934">
        <v>31.16</v>
      </c>
      <c r="V3934">
        <v>484</v>
      </c>
      <c r="W3934">
        <v>12.86</v>
      </c>
      <c r="X3934" t="s">
        <v>4105</v>
      </c>
      <c r="Y3934" t="s">
        <v>718</v>
      </c>
      <c r="Z3934">
        <v>1.19</v>
      </c>
      <c r="AA3934">
        <v>123</v>
      </c>
      <c r="AB3934">
        <v>130</v>
      </c>
      <c r="AC3934">
        <v>1.91</v>
      </c>
      <c r="AD3934" t="s">
        <v>18247</v>
      </c>
      <c r="AE3934" t="s">
        <v>18992</v>
      </c>
      <c r="AF3934" t="s">
        <v>12616</v>
      </c>
      <c r="AG3934" t="s">
        <v>18993</v>
      </c>
      <c r="AH3934">
        <v>-1.15</v>
      </c>
      <c r="AI3934">
        <v>-3.08</v>
      </c>
      <c r="AJ3934">
        <v>2.41</v>
      </c>
      <c r="AK3934">
        <v>5.48</v>
      </c>
      <c r="AL3934">
        <v>1</v>
      </c>
      <c r="AM3934">
        <v>0.62</v>
      </c>
      <c r="AN3934">
        <v>-15.92</v>
      </c>
      <c r="AO3934">
        <v>-0.31</v>
      </c>
      <c r="AP3934">
        <v>-25.19</v>
      </c>
    </row>
    <row r="3935" spans="1:42">
      <c r="A3935">
        <v>3934</v>
      </c>
      <c r="B3935" t="str">
        <f>"600184"</f>
        <v>600184</v>
      </c>
      <c r="C3935" t="s">
        <v>18994</v>
      </c>
      <c r="D3935">
        <v>12.45</v>
      </c>
      <c r="E3935">
        <v>0.16</v>
      </c>
      <c r="F3935">
        <v>0.02</v>
      </c>
      <c r="G3935" t="s">
        <v>3456</v>
      </c>
      <c r="H3935">
        <v>211</v>
      </c>
      <c r="I3935">
        <v>12.44</v>
      </c>
      <c r="J3935">
        <v>12.45</v>
      </c>
      <c r="K3935" t="s">
        <v>18995</v>
      </c>
      <c r="L3935">
        <v>0.53</v>
      </c>
      <c r="M3935" t="s">
        <v>46</v>
      </c>
      <c r="N3935" t="s">
        <v>4689</v>
      </c>
      <c r="O3935">
        <v>12.5</v>
      </c>
      <c r="P3935">
        <v>12.29</v>
      </c>
      <c r="Q3935">
        <v>12.43</v>
      </c>
      <c r="R3935">
        <v>12.43</v>
      </c>
      <c r="S3935">
        <v>1.69</v>
      </c>
      <c r="T3935">
        <v>0.7</v>
      </c>
      <c r="U3935">
        <v>-64.16</v>
      </c>
      <c r="V3935">
        <v>-1500</v>
      </c>
      <c r="W3935">
        <v>12.4</v>
      </c>
      <c r="X3935" t="s">
        <v>9445</v>
      </c>
      <c r="Y3935" t="s">
        <v>5446</v>
      </c>
      <c r="Z3935">
        <v>0.93</v>
      </c>
      <c r="AA3935">
        <v>127</v>
      </c>
      <c r="AB3935">
        <v>11</v>
      </c>
      <c r="AC3935">
        <v>2.52</v>
      </c>
      <c r="AD3935" t="s">
        <v>10156</v>
      </c>
      <c r="AE3935" t="s">
        <v>5157</v>
      </c>
      <c r="AF3935" t="s">
        <v>10156</v>
      </c>
      <c r="AG3935" t="s">
        <v>5157</v>
      </c>
      <c r="AH3935">
        <v>-2.05</v>
      </c>
      <c r="AI3935">
        <v>-1.89</v>
      </c>
      <c r="AJ3935">
        <v>2.21</v>
      </c>
      <c r="AK3935">
        <v>4.31</v>
      </c>
      <c r="AL3935">
        <v>1</v>
      </c>
      <c r="AM3935">
        <v>0.16</v>
      </c>
      <c r="AN3935">
        <v>11.76</v>
      </c>
      <c r="AO3935">
        <v>1.88</v>
      </c>
      <c r="AP3935">
        <v>5.33</v>
      </c>
    </row>
    <row r="3936" spans="1:42">
      <c r="A3936">
        <v>3935</v>
      </c>
      <c r="B3936" t="str">
        <f>"688722"</f>
        <v>688722</v>
      </c>
      <c r="C3936" t="s">
        <v>18996</v>
      </c>
      <c r="D3936">
        <v>14</v>
      </c>
      <c r="E3936">
        <v>-0.92</v>
      </c>
      <c r="F3936">
        <v>-0.13</v>
      </c>
      <c r="G3936" t="s">
        <v>8211</v>
      </c>
      <c r="H3936">
        <v>94</v>
      </c>
      <c r="I3936">
        <v>14</v>
      </c>
      <c r="J3936">
        <v>14.01</v>
      </c>
      <c r="K3936" t="s">
        <v>18997</v>
      </c>
      <c r="L3936">
        <v>1.89</v>
      </c>
      <c r="M3936" t="s">
        <v>46</v>
      </c>
      <c r="N3936" t="s">
        <v>6625</v>
      </c>
      <c r="O3936">
        <v>14.11</v>
      </c>
      <c r="P3936">
        <v>13.73</v>
      </c>
      <c r="Q3936">
        <v>14.1</v>
      </c>
      <c r="R3936">
        <v>14.13</v>
      </c>
      <c r="S3936">
        <v>2.69</v>
      </c>
      <c r="T3936">
        <v>1.16</v>
      </c>
      <c r="U3936">
        <v>52.91</v>
      </c>
      <c r="V3936">
        <v>1832</v>
      </c>
      <c r="W3936">
        <v>13.86</v>
      </c>
      <c r="X3936" t="s">
        <v>4977</v>
      </c>
      <c r="Y3936">
        <v>8264</v>
      </c>
      <c r="Z3936">
        <v>1.92</v>
      </c>
      <c r="AA3936">
        <v>835</v>
      </c>
      <c r="AB3936">
        <v>172</v>
      </c>
      <c r="AC3936">
        <v>2.6</v>
      </c>
      <c r="AD3936" t="s">
        <v>18998</v>
      </c>
      <c r="AE3936" t="s">
        <v>9890</v>
      </c>
      <c r="AF3936" t="s">
        <v>18999</v>
      </c>
      <c r="AG3936" t="s">
        <v>19000</v>
      </c>
      <c r="AH3936">
        <v>-1.89</v>
      </c>
      <c r="AI3936">
        <v>-1.69</v>
      </c>
      <c r="AJ3936">
        <v>6.02</v>
      </c>
      <c r="AK3936">
        <v>10.03</v>
      </c>
      <c r="AL3936">
        <v>-2</v>
      </c>
      <c r="AM3936">
        <v>-0.92</v>
      </c>
      <c r="AN3936">
        <v>-20.5</v>
      </c>
      <c r="AO3936">
        <v>0.5</v>
      </c>
      <c r="AP3936">
        <v>-33.37</v>
      </c>
    </row>
    <row r="3937" spans="1:42">
      <c r="A3937">
        <v>3936</v>
      </c>
      <c r="B3937" t="str">
        <f>"300326"</f>
        <v>300326</v>
      </c>
      <c r="C3937" t="s">
        <v>19001</v>
      </c>
      <c r="D3937">
        <v>6.82</v>
      </c>
      <c r="E3937">
        <v>-0.29</v>
      </c>
      <c r="F3937">
        <v>-0.02</v>
      </c>
      <c r="G3937" t="s">
        <v>4888</v>
      </c>
      <c r="H3937">
        <v>719</v>
      </c>
      <c r="I3937">
        <v>6.81</v>
      </c>
      <c r="J3937">
        <v>6.82</v>
      </c>
      <c r="K3937" t="s">
        <v>19002</v>
      </c>
      <c r="L3937">
        <v>0.68</v>
      </c>
      <c r="M3937" t="s">
        <v>46</v>
      </c>
      <c r="N3937" t="s">
        <v>10554</v>
      </c>
      <c r="O3937">
        <v>6.85</v>
      </c>
      <c r="P3937">
        <v>6.78</v>
      </c>
      <c r="Q3937">
        <v>6.82</v>
      </c>
      <c r="R3937">
        <v>6.84</v>
      </c>
      <c r="S3937">
        <v>1.02</v>
      </c>
      <c r="T3937">
        <v>0.58</v>
      </c>
      <c r="U3937">
        <v>-4.41</v>
      </c>
      <c r="V3937">
        <v>-176</v>
      </c>
      <c r="W3937">
        <v>6.81</v>
      </c>
      <c r="X3937" t="s">
        <v>8952</v>
      </c>
      <c r="Y3937" t="s">
        <v>7053</v>
      </c>
      <c r="Z3937">
        <v>1.28</v>
      </c>
      <c r="AA3937">
        <v>213</v>
      </c>
      <c r="AB3937">
        <v>19</v>
      </c>
      <c r="AC3937">
        <v>1.69</v>
      </c>
      <c r="AD3937" t="s">
        <v>2059</v>
      </c>
      <c r="AE3937" t="s">
        <v>10823</v>
      </c>
      <c r="AF3937" t="s">
        <v>19003</v>
      </c>
      <c r="AG3937" t="s">
        <v>10055</v>
      </c>
      <c r="AH3937">
        <v>-1.02</v>
      </c>
      <c r="AI3937">
        <v>-1.3</v>
      </c>
      <c r="AJ3937">
        <v>2.62</v>
      </c>
      <c r="AK3937">
        <v>6.56</v>
      </c>
      <c r="AL3937">
        <v>-1</v>
      </c>
      <c r="AM3937">
        <v>-0.29</v>
      </c>
      <c r="AN3937">
        <v>-5.28</v>
      </c>
      <c r="AO3937">
        <v>1.94</v>
      </c>
      <c r="AP3937">
        <v>-12.11</v>
      </c>
    </row>
    <row r="3938" spans="1:42">
      <c r="A3938">
        <v>3937</v>
      </c>
      <c r="B3938" t="str">
        <f>"002188"</f>
        <v>002188</v>
      </c>
      <c r="C3938" t="s">
        <v>19004</v>
      </c>
      <c r="D3938">
        <v>6.66</v>
      </c>
      <c r="E3938">
        <v>0</v>
      </c>
      <c r="F3938">
        <v>0</v>
      </c>
      <c r="G3938" t="s">
        <v>4096</v>
      </c>
      <c r="H3938">
        <v>227</v>
      </c>
      <c r="I3938">
        <v>6.66</v>
      </c>
      <c r="J3938">
        <v>6.67</v>
      </c>
      <c r="K3938" t="s">
        <v>19002</v>
      </c>
      <c r="L3938">
        <v>2.07</v>
      </c>
      <c r="M3938" t="s">
        <v>46</v>
      </c>
      <c r="N3938" t="s">
        <v>5479</v>
      </c>
      <c r="O3938">
        <v>6.76</v>
      </c>
      <c r="P3938">
        <v>6.61</v>
      </c>
      <c r="Q3938">
        <v>6.65</v>
      </c>
      <c r="R3938">
        <v>6.66</v>
      </c>
      <c r="S3938">
        <v>2.25</v>
      </c>
      <c r="T3938">
        <v>1.15</v>
      </c>
      <c r="U3938">
        <v>-9.69</v>
      </c>
      <c r="V3938">
        <v>-139</v>
      </c>
      <c r="W3938">
        <v>6.7</v>
      </c>
      <c r="X3938" t="s">
        <v>587</v>
      </c>
      <c r="Y3938" t="s">
        <v>3456</v>
      </c>
      <c r="Z3938">
        <v>0.85</v>
      </c>
      <c r="AA3938">
        <v>148</v>
      </c>
      <c r="AB3938">
        <v>41</v>
      </c>
      <c r="AC3938">
        <v>14.83</v>
      </c>
      <c r="AD3938" t="s">
        <v>19005</v>
      </c>
      <c r="AE3938" t="s">
        <v>11126</v>
      </c>
      <c r="AF3938" t="s">
        <v>17096</v>
      </c>
      <c r="AG3938" t="s">
        <v>569</v>
      </c>
      <c r="AH3938">
        <v>-0.6</v>
      </c>
      <c r="AI3938">
        <v>-2.06</v>
      </c>
      <c r="AJ3938">
        <v>5.16</v>
      </c>
      <c r="AK3938">
        <v>11.05</v>
      </c>
      <c r="AL3938">
        <v>0</v>
      </c>
      <c r="AM3938">
        <v>0</v>
      </c>
      <c r="AN3938">
        <v>-6.98</v>
      </c>
      <c r="AO3938">
        <v>5.55</v>
      </c>
      <c r="AP3938">
        <v>-8.64</v>
      </c>
    </row>
    <row r="3939" spans="1:42">
      <c r="A3939">
        <v>3938</v>
      </c>
      <c r="B3939" t="str">
        <f>"603076"</f>
        <v>603076</v>
      </c>
      <c r="C3939" t="s">
        <v>19006</v>
      </c>
      <c r="D3939">
        <v>28.35</v>
      </c>
      <c r="E3939">
        <v>-1.46</v>
      </c>
      <c r="F3939">
        <v>-0.42</v>
      </c>
      <c r="G3939" t="s">
        <v>189</v>
      </c>
      <c r="H3939">
        <v>53</v>
      </c>
      <c r="I3939">
        <v>28.34</v>
      </c>
      <c r="J3939">
        <v>28.36</v>
      </c>
      <c r="K3939" t="s">
        <v>10704</v>
      </c>
      <c r="L3939">
        <v>0.97</v>
      </c>
      <c r="M3939" t="s">
        <v>46</v>
      </c>
      <c r="N3939" t="s">
        <v>1645</v>
      </c>
      <c r="O3939">
        <v>28.95</v>
      </c>
      <c r="P3939">
        <v>28.22</v>
      </c>
      <c r="Q3939">
        <v>28.88</v>
      </c>
      <c r="R3939">
        <v>28.77</v>
      </c>
      <c r="S3939">
        <v>2.54</v>
      </c>
      <c r="T3939">
        <v>1.04</v>
      </c>
      <c r="U3939">
        <v>-44.8</v>
      </c>
      <c r="V3939">
        <v>-99</v>
      </c>
      <c r="W3939">
        <v>28.43</v>
      </c>
      <c r="X3939">
        <v>5947</v>
      </c>
      <c r="Y3939">
        <v>5787</v>
      </c>
      <c r="Z3939">
        <v>1.03</v>
      </c>
      <c r="AA3939">
        <v>26</v>
      </c>
      <c r="AB3939">
        <v>98</v>
      </c>
      <c r="AC3939">
        <v>2.55</v>
      </c>
      <c r="AD3939" t="s">
        <v>8032</v>
      </c>
      <c r="AE3939" t="s">
        <v>19007</v>
      </c>
      <c r="AF3939" t="s">
        <v>8032</v>
      </c>
      <c r="AG3939" t="s">
        <v>19007</v>
      </c>
      <c r="AH3939">
        <v>-3.04</v>
      </c>
      <c r="AI3939">
        <v>-3.87</v>
      </c>
      <c r="AJ3939">
        <v>2.8</v>
      </c>
      <c r="AK3939">
        <v>5.66</v>
      </c>
      <c r="AL3939">
        <v>-3</v>
      </c>
      <c r="AM3939">
        <v>-1.46</v>
      </c>
      <c r="AN3939">
        <v>-22.79</v>
      </c>
      <c r="AO3939">
        <v>1.5</v>
      </c>
      <c r="AP3939">
        <v>-16.79</v>
      </c>
    </row>
    <row r="3940" spans="1:42">
      <c r="A3940">
        <v>3939</v>
      </c>
      <c r="B3940" t="str">
        <f>"600156"</f>
        <v>600156</v>
      </c>
      <c r="C3940" t="s">
        <v>19008</v>
      </c>
      <c r="D3940">
        <v>4.89</v>
      </c>
      <c r="E3940">
        <v>0.41</v>
      </c>
      <c r="F3940">
        <v>0.02</v>
      </c>
      <c r="G3940" t="s">
        <v>4759</v>
      </c>
      <c r="H3940">
        <v>380</v>
      </c>
      <c r="I3940">
        <v>4.88</v>
      </c>
      <c r="J3940">
        <v>4.89</v>
      </c>
      <c r="K3940" t="s">
        <v>19009</v>
      </c>
      <c r="L3940">
        <v>1.68</v>
      </c>
      <c r="M3940" t="s">
        <v>46</v>
      </c>
      <c r="N3940" t="s">
        <v>2858</v>
      </c>
      <c r="O3940">
        <v>4.98</v>
      </c>
      <c r="P3940">
        <v>4.84</v>
      </c>
      <c r="Q3940">
        <v>4.86</v>
      </c>
      <c r="R3940">
        <v>4.87</v>
      </c>
      <c r="S3940">
        <v>2.87</v>
      </c>
      <c r="T3940">
        <v>1.4</v>
      </c>
      <c r="U3940">
        <v>46.22</v>
      </c>
      <c r="V3940">
        <v>1999</v>
      </c>
      <c r="W3940">
        <v>4.92</v>
      </c>
      <c r="X3940" t="s">
        <v>7649</v>
      </c>
      <c r="Y3940" t="s">
        <v>5975</v>
      </c>
      <c r="Z3940">
        <v>0.78</v>
      </c>
      <c r="AA3940">
        <v>325</v>
      </c>
      <c r="AB3940">
        <v>69</v>
      </c>
      <c r="AC3940">
        <v>4.68</v>
      </c>
      <c r="AD3940" t="s">
        <v>4229</v>
      </c>
      <c r="AE3940" t="s">
        <v>6908</v>
      </c>
      <c r="AF3940" t="s">
        <v>4229</v>
      </c>
      <c r="AG3940" t="s">
        <v>6908</v>
      </c>
      <c r="AH3940">
        <v>-0.41</v>
      </c>
      <c r="AI3940">
        <v>-0.61</v>
      </c>
      <c r="AJ3940">
        <v>3.9</v>
      </c>
      <c r="AK3940">
        <v>7.7</v>
      </c>
      <c r="AL3940">
        <v>2</v>
      </c>
      <c r="AM3940">
        <v>0.41</v>
      </c>
      <c r="AN3940">
        <v>3.16</v>
      </c>
      <c r="AO3940">
        <v>5.39</v>
      </c>
      <c r="AP3940">
        <v>-0.81</v>
      </c>
    </row>
    <row r="3941" spans="1:42">
      <c r="A3941">
        <v>3940</v>
      </c>
      <c r="B3941" t="str">
        <f>"300452"</f>
        <v>300452</v>
      </c>
      <c r="C3941" t="s">
        <v>19010</v>
      </c>
      <c r="D3941">
        <v>15.31</v>
      </c>
      <c r="E3941">
        <v>0.2</v>
      </c>
      <c r="F3941">
        <v>0.03</v>
      </c>
      <c r="G3941" t="s">
        <v>4963</v>
      </c>
      <c r="H3941">
        <v>171</v>
      </c>
      <c r="I3941">
        <v>15.3</v>
      </c>
      <c r="J3941">
        <v>15.31</v>
      </c>
      <c r="K3941" t="s">
        <v>19011</v>
      </c>
      <c r="L3941">
        <v>1.16</v>
      </c>
      <c r="M3941" t="s">
        <v>46</v>
      </c>
      <c r="N3941" t="s">
        <v>9446</v>
      </c>
      <c r="O3941">
        <v>15.45</v>
      </c>
      <c r="P3941">
        <v>15.23</v>
      </c>
      <c r="Q3941">
        <v>15.28</v>
      </c>
      <c r="R3941">
        <v>15.28</v>
      </c>
      <c r="S3941">
        <v>1.44</v>
      </c>
      <c r="T3941">
        <v>0.75</v>
      </c>
      <c r="U3941">
        <v>1.39</v>
      </c>
      <c r="V3941">
        <v>13</v>
      </c>
      <c r="W3941">
        <v>15.33</v>
      </c>
      <c r="X3941" t="s">
        <v>7974</v>
      </c>
      <c r="Y3941" t="s">
        <v>51</v>
      </c>
      <c r="Z3941">
        <v>0.99</v>
      </c>
      <c r="AA3941">
        <v>22</v>
      </c>
      <c r="AB3941">
        <v>3</v>
      </c>
      <c r="AC3941">
        <v>4.55</v>
      </c>
      <c r="AD3941" t="s">
        <v>9119</v>
      </c>
      <c r="AE3941" t="s">
        <v>1782</v>
      </c>
      <c r="AF3941" t="s">
        <v>10648</v>
      </c>
      <c r="AG3941" t="s">
        <v>16860</v>
      </c>
      <c r="AH3941">
        <v>-0.65</v>
      </c>
      <c r="AI3941">
        <v>-1.03</v>
      </c>
      <c r="AJ3941">
        <v>3.3</v>
      </c>
      <c r="AK3941">
        <v>8.94</v>
      </c>
      <c r="AL3941">
        <v>1</v>
      </c>
      <c r="AM3941">
        <v>0.2</v>
      </c>
      <c r="AN3941">
        <v>-11.35</v>
      </c>
      <c r="AO3941">
        <v>2.41</v>
      </c>
      <c r="AP3941">
        <v>-3.71</v>
      </c>
    </row>
    <row r="3942" spans="1:42">
      <c r="A3942">
        <v>3941</v>
      </c>
      <c r="B3942" t="str">
        <f>"688410"</f>
        <v>688410</v>
      </c>
      <c r="C3942" t="s">
        <v>19012</v>
      </c>
      <c r="D3942">
        <v>28.2</v>
      </c>
      <c r="E3942">
        <v>0.18</v>
      </c>
      <c r="F3942">
        <v>0.05</v>
      </c>
      <c r="G3942" t="s">
        <v>1083</v>
      </c>
      <c r="H3942">
        <v>89</v>
      </c>
      <c r="I3942">
        <v>28.2</v>
      </c>
      <c r="J3942">
        <v>28.21</v>
      </c>
      <c r="K3942" t="s">
        <v>19013</v>
      </c>
      <c r="L3942">
        <v>2.26</v>
      </c>
      <c r="M3942" t="s">
        <v>46</v>
      </c>
      <c r="N3942" t="s">
        <v>2473</v>
      </c>
      <c r="O3942">
        <v>28.35</v>
      </c>
      <c r="P3942">
        <v>27.74</v>
      </c>
      <c r="Q3942">
        <v>28.09</v>
      </c>
      <c r="R3942">
        <v>28.15</v>
      </c>
      <c r="S3942">
        <v>2.17</v>
      </c>
      <c r="T3942">
        <v>0.69</v>
      </c>
      <c r="U3942">
        <v>-20.59</v>
      </c>
      <c r="V3942">
        <v>-41</v>
      </c>
      <c r="W3942">
        <v>28.07</v>
      </c>
      <c r="X3942">
        <v>6440</v>
      </c>
      <c r="Y3942">
        <v>5403</v>
      </c>
      <c r="Z3942">
        <v>1.19</v>
      </c>
      <c r="AA3942">
        <v>47</v>
      </c>
      <c r="AB3942">
        <v>21</v>
      </c>
      <c r="AC3942">
        <v>3.63</v>
      </c>
      <c r="AD3942" t="s">
        <v>19014</v>
      </c>
      <c r="AE3942" t="s">
        <v>19015</v>
      </c>
      <c r="AF3942" t="s">
        <v>4588</v>
      </c>
      <c r="AG3942" t="s">
        <v>623</v>
      </c>
      <c r="AH3942">
        <v>-1.26</v>
      </c>
      <c r="AI3942">
        <v>-4.31</v>
      </c>
      <c r="AJ3942">
        <v>9.13</v>
      </c>
      <c r="AK3942">
        <v>18.69</v>
      </c>
      <c r="AL3942">
        <v>2</v>
      </c>
      <c r="AM3942">
        <v>0.18</v>
      </c>
      <c r="AN3942">
        <v>67.56</v>
      </c>
      <c r="AO3942">
        <v>-9.18</v>
      </c>
      <c r="AP3942">
        <v>30.92</v>
      </c>
    </row>
    <row r="3943" spans="1:42">
      <c r="A3943">
        <v>3942</v>
      </c>
      <c r="B3943" t="str">
        <f>"300860"</f>
        <v>300860</v>
      </c>
      <c r="C3943" t="s">
        <v>19016</v>
      </c>
      <c r="D3943">
        <v>51.26</v>
      </c>
      <c r="E3943">
        <v>3.01</v>
      </c>
      <c r="F3943">
        <v>1.5</v>
      </c>
      <c r="G3943">
        <v>6548</v>
      </c>
      <c r="H3943">
        <v>107</v>
      </c>
      <c r="I3943">
        <v>51.2</v>
      </c>
      <c r="J3943">
        <v>51.27</v>
      </c>
      <c r="K3943" t="s">
        <v>19017</v>
      </c>
      <c r="L3943">
        <v>1.32</v>
      </c>
      <c r="M3943" t="s">
        <v>46</v>
      </c>
      <c r="N3943" t="s">
        <v>3946</v>
      </c>
      <c r="O3943">
        <v>51.42</v>
      </c>
      <c r="P3943">
        <v>49.41</v>
      </c>
      <c r="Q3943">
        <v>49.76</v>
      </c>
      <c r="R3943">
        <v>49.76</v>
      </c>
      <c r="S3943">
        <v>4.04</v>
      </c>
      <c r="T3943">
        <v>1.29</v>
      </c>
      <c r="U3943">
        <v>6.85</v>
      </c>
      <c r="V3943">
        <v>5</v>
      </c>
      <c r="W3943">
        <v>50.69</v>
      </c>
      <c r="X3943">
        <v>2167</v>
      </c>
      <c r="Y3943">
        <v>4381</v>
      </c>
      <c r="Z3943">
        <v>0.49</v>
      </c>
      <c r="AA3943">
        <v>4</v>
      </c>
      <c r="AB3943">
        <v>1</v>
      </c>
      <c r="AC3943">
        <v>2.18</v>
      </c>
      <c r="AD3943" t="s">
        <v>18261</v>
      </c>
      <c r="AE3943" t="s">
        <v>19018</v>
      </c>
      <c r="AF3943" t="s">
        <v>16132</v>
      </c>
      <c r="AG3943" t="s">
        <v>4407</v>
      </c>
      <c r="AH3943">
        <v>1.99</v>
      </c>
      <c r="AI3943">
        <v>0.27</v>
      </c>
      <c r="AJ3943">
        <v>3.06</v>
      </c>
      <c r="AK3943">
        <v>6.43</v>
      </c>
      <c r="AL3943">
        <v>1</v>
      </c>
      <c r="AM3943">
        <v>3.01</v>
      </c>
      <c r="AN3943">
        <v>-1.48</v>
      </c>
      <c r="AO3943">
        <v>4.21</v>
      </c>
      <c r="AP3943">
        <v>-1.97</v>
      </c>
    </row>
    <row r="3944" spans="1:42">
      <c r="A3944">
        <v>3943</v>
      </c>
      <c r="B3944" t="str">
        <f>"002871"</f>
        <v>002871</v>
      </c>
      <c r="C3944" t="s">
        <v>19019</v>
      </c>
      <c r="D3944">
        <v>11.2</v>
      </c>
      <c r="E3944">
        <v>-2.52</v>
      </c>
      <c r="F3944">
        <v>-0.29</v>
      </c>
      <c r="G3944" t="s">
        <v>7649</v>
      </c>
      <c r="H3944">
        <v>100</v>
      </c>
      <c r="I3944">
        <v>11.19</v>
      </c>
      <c r="J3944">
        <v>11.2</v>
      </c>
      <c r="K3944" t="s">
        <v>19020</v>
      </c>
      <c r="L3944">
        <v>2.46</v>
      </c>
      <c r="M3944" t="s">
        <v>46</v>
      </c>
      <c r="N3944" t="s">
        <v>3617</v>
      </c>
      <c r="O3944">
        <v>11.49</v>
      </c>
      <c r="P3944">
        <v>11.15</v>
      </c>
      <c r="Q3944">
        <v>11.49</v>
      </c>
      <c r="R3944">
        <v>11.49</v>
      </c>
      <c r="S3944">
        <v>2.96</v>
      </c>
      <c r="T3944">
        <v>1.94</v>
      </c>
      <c r="U3944">
        <v>-33.88</v>
      </c>
      <c r="V3944">
        <v>-217</v>
      </c>
      <c r="W3944">
        <v>11.26</v>
      </c>
      <c r="X3944" t="s">
        <v>10542</v>
      </c>
      <c r="Y3944" t="s">
        <v>5951</v>
      </c>
      <c r="Z3944">
        <v>0.9</v>
      </c>
      <c r="AA3944">
        <v>33</v>
      </c>
      <c r="AB3944">
        <v>100</v>
      </c>
      <c r="AC3944">
        <v>3.14</v>
      </c>
      <c r="AD3944" t="s">
        <v>11717</v>
      </c>
      <c r="AE3944" t="s">
        <v>2848</v>
      </c>
      <c r="AF3944" t="s">
        <v>19021</v>
      </c>
      <c r="AG3944" t="s">
        <v>6686</v>
      </c>
      <c r="AH3944">
        <v>-2.35</v>
      </c>
      <c r="AI3944">
        <v>-2.1</v>
      </c>
      <c r="AJ3944">
        <v>5.08</v>
      </c>
      <c r="AK3944">
        <v>8.83</v>
      </c>
      <c r="AL3944">
        <v>-1</v>
      </c>
      <c r="AM3944">
        <v>-2.52</v>
      </c>
      <c r="AN3944">
        <v>13.48</v>
      </c>
      <c r="AO3944">
        <v>2.94</v>
      </c>
      <c r="AP3944">
        <v>0.9</v>
      </c>
    </row>
    <row r="3945" spans="1:42">
      <c r="A3945">
        <v>3944</v>
      </c>
      <c r="B3945" t="str">
        <f>"002969"</f>
        <v>002969</v>
      </c>
      <c r="C3945" t="s">
        <v>19022</v>
      </c>
      <c r="D3945">
        <v>4.18</v>
      </c>
      <c r="E3945">
        <v>0.97</v>
      </c>
      <c r="F3945">
        <v>0.04</v>
      </c>
      <c r="G3945" t="s">
        <v>5564</v>
      </c>
      <c r="H3945">
        <v>978</v>
      </c>
      <c r="I3945">
        <v>4.17</v>
      </c>
      <c r="J3945">
        <v>4.18</v>
      </c>
      <c r="K3945" t="s">
        <v>19020</v>
      </c>
      <c r="L3945">
        <v>1.5</v>
      </c>
      <c r="M3945" t="s">
        <v>46</v>
      </c>
      <c r="N3945" t="s">
        <v>5175</v>
      </c>
      <c r="O3945">
        <v>4.19</v>
      </c>
      <c r="P3945">
        <v>4.13</v>
      </c>
      <c r="Q3945">
        <v>4.15</v>
      </c>
      <c r="R3945">
        <v>4.14</v>
      </c>
      <c r="S3945">
        <v>1.45</v>
      </c>
      <c r="T3945">
        <v>0.85</v>
      </c>
      <c r="U3945">
        <v>-52.98</v>
      </c>
      <c r="V3945">
        <v>-9557</v>
      </c>
      <c r="W3945">
        <v>4.17</v>
      </c>
      <c r="X3945" t="s">
        <v>8915</v>
      </c>
      <c r="Y3945" t="s">
        <v>4708</v>
      </c>
      <c r="Z3945">
        <v>0.61</v>
      </c>
      <c r="AA3945">
        <v>48</v>
      </c>
      <c r="AB3945">
        <v>851</v>
      </c>
      <c r="AC3945">
        <v>1.72</v>
      </c>
      <c r="AD3945" t="s">
        <v>19023</v>
      </c>
      <c r="AE3945" t="s">
        <v>19024</v>
      </c>
      <c r="AF3945" t="s">
        <v>8085</v>
      </c>
      <c r="AG3945" t="s">
        <v>18303</v>
      </c>
      <c r="AH3945">
        <v>-0.48</v>
      </c>
      <c r="AI3945">
        <v>-0.71</v>
      </c>
      <c r="AJ3945">
        <v>4.59</v>
      </c>
      <c r="AK3945">
        <v>10.35</v>
      </c>
      <c r="AL3945">
        <v>1</v>
      </c>
      <c r="AM3945">
        <v>0.97</v>
      </c>
      <c r="AN3945">
        <v>0</v>
      </c>
      <c r="AO3945">
        <v>2.45</v>
      </c>
      <c r="AP3945">
        <v>4.5</v>
      </c>
    </row>
    <row r="3946" spans="1:42">
      <c r="A3946">
        <v>3945</v>
      </c>
      <c r="B3946" t="str">
        <f>"300901"</f>
        <v>300901</v>
      </c>
      <c r="C3946" t="s">
        <v>19025</v>
      </c>
      <c r="D3946">
        <v>10.66</v>
      </c>
      <c r="E3946">
        <v>1.81</v>
      </c>
      <c r="F3946">
        <v>0.19</v>
      </c>
      <c r="G3946" t="s">
        <v>3260</v>
      </c>
      <c r="H3946">
        <v>369</v>
      </c>
      <c r="I3946">
        <v>10.66</v>
      </c>
      <c r="J3946">
        <v>10.67</v>
      </c>
      <c r="K3946" t="s">
        <v>19026</v>
      </c>
      <c r="L3946">
        <v>1.3</v>
      </c>
      <c r="M3946" t="s">
        <v>46</v>
      </c>
      <c r="N3946" t="s">
        <v>3617</v>
      </c>
      <c r="O3946">
        <v>10.71</v>
      </c>
      <c r="P3946">
        <v>10.42</v>
      </c>
      <c r="Q3946">
        <v>10.48</v>
      </c>
      <c r="R3946">
        <v>10.47</v>
      </c>
      <c r="S3946">
        <v>2.77</v>
      </c>
      <c r="T3946">
        <v>1.12</v>
      </c>
      <c r="U3946">
        <v>-31.67</v>
      </c>
      <c r="V3946">
        <v>-924</v>
      </c>
      <c r="W3946">
        <v>10.61</v>
      </c>
      <c r="X3946" t="s">
        <v>682</v>
      </c>
      <c r="Y3946" t="s">
        <v>1072</v>
      </c>
      <c r="Z3946">
        <v>0.67</v>
      </c>
      <c r="AA3946">
        <v>382</v>
      </c>
      <c r="AB3946">
        <v>111</v>
      </c>
      <c r="AC3946">
        <v>2.48</v>
      </c>
      <c r="AD3946" t="s">
        <v>4237</v>
      </c>
      <c r="AE3946" t="s">
        <v>8174</v>
      </c>
      <c r="AF3946" t="s">
        <v>4237</v>
      </c>
      <c r="AG3946" t="s">
        <v>8174</v>
      </c>
      <c r="AH3946">
        <v>0.19</v>
      </c>
      <c r="AI3946">
        <v>-0.47</v>
      </c>
      <c r="AJ3946">
        <v>3.08</v>
      </c>
      <c r="AK3946">
        <v>7.11</v>
      </c>
      <c r="AL3946">
        <v>1</v>
      </c>
      <c r="AM3946">
        <v>1.81</v>
      </c>
      <c r="AN3946">
        <v>17.53</v>
      </c>
      <c r="AO3946">
        <v>-0.37</v>
      </c>
      <c r="AP3946">
        <v>12.57</v>
      </c>
    </row>
    <row r="3947" spans="1:42">
      <c r="A3947">
        <v>3946</v>
      </c>
      <c r="B3947" t="str">
        <f>"603276"</f>
        <v>603276</v>
      </c>
      <c r="C3947" t="s">
        <v>19027</v>
      </c>
      <c r="D3947">
        <v>23.22</v>
      </c>
      <c r="E3947">
        <v>-0.51</v>
      </c>
      <c r="F3947">
        <v>-0.12</v>
      </c>
      <c r="G3947" t="s">
        <v>5900</v>
      </c>
      <c r="H3947">
        <v>315</v>
      </c>
      <c r="I3947">
        <v>23.22</v>
      </c>
      <c r="J3947">
        <v>23.23</v>
      </c>
      <c r="K3947" t="s">
        <v>19026</v>
      </c>
      <c r="L3947">
        <v>3.75</v>
      </c>
      <c r="M3947" t="s">
        <v>46</v>
      </c>
      <c r="N3947" t="s">
        <v>3088</v>
      </c>
      <c r="O3947">
        <v>23.46</v>
      </c>
      <c r="P3947">
        <v>23.06</v>
      </c>
      <c r="Q3947">
        <v>23.46</v>
      </c>
      <c r="R3947">
        <v>23.34</v>
      </c>
      <c r="S3947">
        <v>1.71</v>
      </c>
      <c r="T3947">
        <v>0.66</v>
      </c>
      <c r="U3947">
        <v>63.8</v>
      </c>
      <c r="V3947">
        <v>416</v>
      </c>
      <c r="W3947">
        <v>23.25</v>
      </c>
      <c r="X3947">
        <v>9085</v>
      </c>
      <c r="Y3947">
        <v>5173</v>
      </c>
      <c r="Z3947">
        <v>1.76</v>
      </c>
      <c r="AA3947">
        <v>61</v>
      </c>
      <c r="AB3947">
        <v>30</v>
      </c>
      <c r="AC3947">
        <v>2.13</v>
      </c>
      <c r="AD3947" t="s">
        <v>2521</v>
      </c>
      <c r="AE3947" t="s">
        <v>13181</v>
      </c>
      <c r="AF3947" t="s">
        <v>19028</v>
      </c>
      <c r="AG3947" t="s">
        <v>19029</v>
      </c>
      <c r="AH3947">
        <v>-3.09</v>
      </c>
      <c r="AI3947">
        <v>-3.49</v>
      </c>
      <c r="AJ3947">
        <v>13.89</v>
      </c>
      <c r="AK3947">
        <v>32.24</v>
      </c>
      <c r="AL3947">
        <v>-3</v>
      </c>
      <c r="AM3947">
        <v>-0.51</v>
      </c>
      <c r="AN3947">
        <v>-9.76</v>
      </c>
      <c r="AO3947">
        <v>0.26</v>
      </c>
      <c r="AP3947">
        <v>-9.76</v>
      </c>
    </row>
    <row r="3948" spans="1:42">
      <c r="A3948">
        <v>3947</v>
      </c>
      <c r="B3948" t="str">
        <f>"688432"</f>
        <v>688432</v>
      </c>
      <c r="C3948" t="s">
        <v>19030</v>
      </c>
      <c r="D3948">
        <v>12.91</v>
      </c>
      <c r="E3948">
        <v>0</v>
      </c>
      <c r="F3948">
        <v>0</v>
      </c>
      <c r="G3948" t="s">
        <v>1077</v>
      </c>
      <c r="H3948">
        <v>283</v>
      </c>
      <c r="I3948">
        <v>12.9</v>
      </c>
      <c r="J3948">
        <v>12.91</v>
      </c>
      <c r="K3948" t="s">
        <v>18970</v>
      </c>
      <c r="L3948">
        <v>1.43</v>
      </c>
      <c r="M3948" t="s">
        <v>46</v>
      </c>
      <c r="N3948" t="s">
        <v>9627</v>
      </c>
      <c r="O3948">
        <v>12.95</v>
      </c>
      <c r="P3948">
        <v>12.75</v>
      </c>
      <c r="Q3948">
        <v>12.85</v>
      </c>
      <c r="R3948">
        <v>12.91</v>
      </c>
      <c r="S3948">
        <v>1.55</v>
      </c>
      <c r="T3948">
        <v>0.79</v>
      </c>
      <c r="U3948">
        <v>6.38</v>
      </c>
      <c r="V3948">
        <v>91</v>
      </c>
      <c r="W3948">
        <v>12.84</v>
      </c>
      <c r="X3948" t="s">
        <v>1384</v>
      </c>
      <c r="Y3948" t="s">
        <v>4792</v>
      </c>
      <c r="Z3948">
        <v>1.09</v>
      </c>
      <c r="AA3948">
        <v>238</v>
      </c>
      <c r="AB3948">
        <v>58</v>
      </c>
      <c r="AC3948">
        <v>3.91</v>
      </c>
      <c r="AD3948" t="s">
        <v>15957</v>
      </c>
      <c r="AE3948" t="s">
        <v>4902</v>
      </c>
      <c r="AF3948" t="s">
        <v>13059</v>
      </c>
      <c r="AG3948" t="s">
        <v>19031</v>
      </c>
      <c r="AH3948">
        <v>-1.22</v>
      </c>
      <c r="AI3948">
        <v>-1.68</v>
      </c>
      <c r="AJ3948">
        <v>5.02</v>
      </c>
      <c r="AK3948">
        <v>10.49</v>
      </c>
      <c r="AL3948">
        <v>0</v>
      </c>
      <c r="AM3948">
        <v>0</v>
      </c>
      <c r="AN3948">
        <v>-2.05</v>
      </c>
      <c r="AO3948">
        <v>-4.51</v>
      </c>
      <c r="AP3948">
        <v>-24.55</v>
      </c>
    </row>
    <row r="3949" spans="1:42">
      <c r="A3949">
        <v>3948</v>
      </c>
      <c r="B3949" t="str">
        <f>"002399"</f>
        <v>002399</v>
      </c>
      <c r="C3949" t="s">
        <v>19032</v>
      </c>
      <c r="D3949">
        <v>12.6</v>
      </c>
      <c r="E3949">
        <v>-0.55</v>
      </c>
      <c r="F3949">
        <v>-0.07</v>
      </c>
      <c r="G3949" t="s">
        <v>1639</v>
      </c>
      <c r="H3949">
        <v>303</v>
      </c>
      <c r="I3949">
        <v>12.59</v>
      </c>
      <c r="J3949">
        <v>12.6</v>
      </c>
      <c r="K3949" t="s">
        <v>19033</v>
      </c>
      <c r="L3949">
        <v>0.21</v>
      </c>
      <c r="M3949" t="s">
        <v>46</v>
      </c>
      <c r="N3949" t="s">
        <v>642</v>
      </c>
      <c r="O3949">
        <v>12.72</v>
      </c>
      <c r="P3949">
        <v>12.57</v>
      </c>
      <c r="Q3949">
        <v>12.66</v>
      </c>
      <c r="R3949">
        <v>12.67</v>
      </c>
      <c r="S3949">
        <v>1.18</v>
      </c>
      <c r="T3949">
        <v>0.96</v>
      </c>
      <c r="U3949">
        <v>-28.5</v>
      </c>
      <c r="V3949">
        <v>-118</v>
      </c>
      <c r="W3949">
        <v>12.65</v>
      </c>
      <c r="X3949" t="s">
        <v>1427</v>
      </c>
      <c r="Y3949" t="s">
        <v>383</v>
      </c>
      <c r="Z3949">
        <v>0.97</v>
      </c>
      <c r="AA3949">
        <v>23</v>
      </c>
      <c r="AB3949">
        <v>86</v>
      </c>
      <c r="AC3949">
        <v>1.49</v>
      </c>
      <c r="AD3949" t="s">
        <v>7790</v>
      </c>
      <c r="AE3949" t="s">
        <v>547</v>
      </c>
      <c r="AF3949" t="s">
        <v>19034</v>
      </c>
      <c r="AG3949" t="s">
        <v>1715</v>
      </c>
      <c r="AH3949">
        <v>-0.55</v>
      </c>
      <c r="AI3949">
        <v>-1.49</v>
      </c>
      <c r="AJ3949">
        <v>0.5</v>
      </c>
      <c r="AK3949">
        <v>1.31</v>
      </c>
      <c r="AL3949">
        <v>-1</v>
      </c>
      <c r="AM3949">
        <v>-0.55</v>
      </c>
      <c r="AN3949">
        <v>-1.18</v>
      </c>
      <c r="AO3949">
        <v>1.53</v>
      </c>
      <c r="AP3949">
        <v>-9.35</v>
      </c>
    </row>
    <row r="3950" spans="1:42">
      <c r="A3950">
        <v>3949</v>
      </c>
      <c r="B3950" t="str">
        <f>"688699"</f>
        <v>688699</v>
      </c>
      <c r="C3950" t="s">
        <v>19035</v>
      </c>
      <c r="D3950">
        <v>42.39</v>
      </c>
      <c r="E3950">
        <v>-0.14</v>
      </c>
      <c r="F3950">
        <v>-0.06</v>
      </c>
      <c r="G3950">
        <v>7849</v>
      </c>
      <c r="H3950">
        <v>58</v>
      </c>
      <c r="I3950">
        <v>42.39</v>
      </c>
      <c r="J3950">
        <v>42.4</v>
      </c>
      <c r="K3950" t="s">
        <v>19036</v>
      </c>
      <c r="L3950">
        <v>1.5</v>
      </c>
      <c r="M3950" t="s">
        <v>46</v>
      </c>
      <c r="N3950" t="s">
        <v>2711</v>
      </c>
      <c r="O3950">
        <v>42.73</v>
      </c>
      <c r="P3950">
        <v>41.67</v>
      </c>
      <c r="Q3950">
        <v>42.54</v>
      </c>
      <c r="R3950">
        <v>42.45</v>
      </c>
      <c r="S3950">
        <v>2.5</v>
      </c>
      <c r="T3950">
        <v>0.52</v>
      </c>
      <c r="U3950">
        <v>65.67</v>
      </c>
      <c r="V3950">
        <v>78</v>
      </c>
      <c r="W3950">
        <v>42.18</v>
      </c>
      <c r="X3950">
        <v>4183</v>
      </c>
      <c r="Y3950">
        <v>3666</v>
      </c>
      <c r="Z3950">
        <v>1.14</v>
      </c>
      <c r="AA3950">
        <v>17</v>
      </c>
      <c r="AB3950">
        <v>6</v>
      </c>
      <c r="AC3950">
        <v>3.5</v>
      </c>
      <c r="AD3950" t="s">
        <v>19037</v>
      </c>
      <c r="AE3950" t="s">
        <v>8832</v>
      </c>
      <c r="AF3950" t="s">
        <v>19038</v>
      </c>
      <c r="AG3950" t="s">
        <v>19039</v>
      </c>
      <c r="AH3950">
        <v>-3.66</v>
      </c>
      <c r="AI3950">
        <v>-2.95</v>
      </c>
      <c r="AJ3950">
        <v>6.61</v>
      </c>
      <c r="AK3950">
        <v>15.88</v>
      </c>
      <c r="AL3950">
        <v>-3</v>
      </c>
      <c r="AM3950">
        <v>-0.14</v>
      </c>
      <c r="AN3950">
        <v>-5.57</v>
      </c>
      <c r="AO3950">
        <v>-1.33</v>
      </c>
      <c r="AP3950">
        <v>-28.3</v>
      </c>
    </row>
    <row r="3951" spans="1:42">
      <c r="A3951">
        <v>3950</v>
      </c>
      <c r="B3951" t="str">
        <f>"002378"</f>
        <v>002378</v>
      </c>
      <c r="C3951" t="s">
        <v>19040</v>
      </c>
      <c r="D3951">
        <v>5.65</v>
      </c>
      <c r="E3951">
        <v>0</v>
      </c>
      <c r="F3951">
        <v>0</v>
      </c>
      <c r="G3951" t="s">
        <v>4901</v>
      </c>
      <c r="H3951">
        <v>200</v>
      </c>
      <c r="I3951">
        <v>5.64</v>
      </c>
      <c r="J3951">
        <v>5.65</v>
      </c>
      <c r="K3951" t="s">
        <v>19041</v>
      </c>
      <c r="L3951">
        <v>0.49</v>
      </c>
      <c r="M3951" t="s">
        <v>46</v>
      </c>
      <c r="N3951" t="s">
        <v>2035</v>
      </c>
      <c r="O3951">
        <v>5.69</v>
      </c>
      <c r="P3951">
        <v>5.6</v>
      </c>
      <c r="Q3951">
        <v>5.69</v>
      </c>
      <c r="R3951">
        <v>5.65</v>
      </c>
      <c r="S3951">
        <v>1.59</v>
      </c>
      <c r="T3951">
        <v>0.89</v>
      </c>
      <c r="U3951">
        <v>7.74</v>
      </c>
      <c r="V3951">
        <v>1029</v>
      </c>
      <c r="W3951">
        <v>5.64</v>
      </c>
      <c r="X3951" t="s">
        <v>8329</v>
      </c>
      <c r="Y3951" t="s">
        <v>7160</v>
      </c>
      <c r="Z3951">
        <v>1.22</v>
      </c>
      <c r="AA3951">
        <v>771</v>
      </c>
      <c r="AB3951">
        <v>256</v>
      </c>
      <c r="AC3951">
        <v>3.38</v>
      </c>
      <c r="AD3951" t="s">
        <v>19042</v>
      </c>
      <c r="AE3951" t="s">
        <v>7175</v>
      </c>
      <c r="AF3951" t="s">
        <v>5037</v>
      </c>
      <c r="AG3951" t="s">
        <v>9423</v>
      </c>
      <c r="AH3951">
        <v>-1.91</v>
      </c>
      <c r="AI3951">
        <v>-2.25</v>
      </c>
      <c r="AJ3951">
        <v>1.61</v>
      </c>
      <c r="AK3951">
        <v>3.25</v>
      </c>
      <c r="AL3951">
        <v>0</v>
      </c>
      <c r="AM3951">
        <v>0</v>
      </c>
      <c r="AN3951">
        <v>6.2</v>
      </c>
      <c r="AO3951">
        <v>-0.7</v>
      </c>
      <c r="AP3951">
        <v>5.02</v>
      </c>
    </row>
    <row r="3952" spans="1:42">
      <c r="A3952">
        <v>3951</v>
      </c>
      <c r="B3952" t="str">
        <f>"300440"</f>
        <v>300440</v>
      </c>
      <c r="C3952" t="s">
        <v>19043</v>
      </c>
      <c r="D3952">
        <v>7.57</v>
      </c>
      <c r="E3952">
        <v>1.2</v>
      </c>
      <c r="F3952">
        <v>0.09</v>
      </c>
      <c r="G3952" t="s">
        <v>1578</v>
      </c>
      <c r="H3952">
        <v>906</v>
      </c>
      <c r="I3952">
        <v>7.56</v>
      </c>
      <c r="J3952">
        <v>7.57</v>
      </c>
      <c r="K3952" t="s">
        <v>19044</v>
      </c>
      <c r="L3952">
        <v>0.99</v>
      </c>
      <c r="M3952" t="s">
        <v>46</v>
      </c>
      <c r="N3952" t="s">
        <v>2603</v>
      </c>
      <c r="O3952">
        <v>7.6</v>
      </c>
      <c r="P3952">
        <v>7.42</v>
      </c>
      <c r="Q3952">
        <v>7.48</v>
      </c>
      <c r="R3952">
        <v>7.48</v>
      </c>
      <c r="S3952">
        <v>2.41</v>
      </c>
      <c r="T3952">
        <v>0.81</v>
      </c>
      <c r="U3952">
        <v>-23.24</v>
      </c>
      <c r="V3952">
        <v>-556</v>
      </c>
      <c r="W3952">
        <v>7.51</v>
      </c>
      <c r="X3952" t="s">
        <v>6580</v>
      </c>
      <c r="Y3952" t="s">
        <v>6266</v>
      </c>
      <c r="Z3952">
        <v>0.9</v>
      </c>
      <c r="AA3952">
        <v>174</v>
      </c>
      <c r="AB3952">
        <v>13</v>
      </c>
      <c r="AC3952">
        <v>2.38</v>
      </c>
      <c r="AD3952" t="s">
        <v>19045</v>
      </c>
      <c r="AE3952" t="s">
        <v>19046</v>
      </c>
      <c r="AF3952" t="s">
        <v>19047</v>
      </c>
      <c r="AG3952" t="s">
        <v>10045</v>
      </c>
      <c r="AH3952">
        <v>-0.26</v>
      </c>
      <c r="AI3952">
        <v>-0.53</v>
      </c>
      <c r="AJ3952">
        <v>3.72</v>
      </c>
      <c r="AK3952">
        <v>7.13</v>
      </c>
      <c r="AL3952">
        <v>1</v>
      </c>
      <c r="AM3952">
        <v>1.2</v>
      </c>
      <c r="AN3952">
        <v>9.71</v>
      </c>
      <c r="AO3952">
        <v>5.73</v>
      </c>
      <c r="AP3952">
        <v>-2.2</v>
      </c>
    </row>
    <row r="3953" spans="1:42">
      <c r="A3953">
        <v>3952</v>
      </c>
      <c r="B3953" t="str">
        <f>"603188"</f>
        <v>603188</v>
      </c>
      <c r="C3953" t="s">
        <v>19048</v>
      </c>
      <c r="D3953">
        <v>3.96</v>
      </c>
      <c r="E3953">
        <v>1.02</v>
      </c>
      <c r="F3953">
        <v>0.04</v>
      </c>
      <c r="G3953" t="s">
        <v>6586</v>
      </c>
      <c r="H3953">
        <v>481</v>
      </c>
      <c r="I3953">
        <v>3.96</v>
      </c>
      <c r="J3953">
        <v>3.97</v>
      </c>
      <c r="K3953" t="s">
        <v>19049</v>
      </c>
      <c r="L3953">
        <v>1.47</v>
      </c>
      <c r="M3953" t="s">
        <v>46</v>
      </c>
      <c r="N3953" t="s">
        <v>19050</v>
      </c>
      <c r="O3953">
        <v>3.99</v>
      </c>
      <c r="P3953">
        <v>3.89</v>
      </c>
      <c r="Q3953">
        <v>3.92</v>
      </c>
      <c r="R3953">
        <v>3.92</v>
      </c>
      <c r="S3953">
        <v>2.55</v>
      </c>
      <c r="T3953">
        <v>1.33</v>
      </c>
      <c r="U3953">
        <v>-30.33</v>
      </c>
      <c r="V3953">
        <v>-2317</v>
      </c>
      <c r="W3953">
        <v>3.95</v>
      </c>
      <c r="X3953" t="s">
        <v>7966</v>
      </c>
      <c r="Y3953" t="s">
        <v>3659</v>
      </c>
      <c r="Z3953">
        <v>0.61</v>
      </c>
      <c r="AA3953">
        <v>209</v>
      </c>
      <c r="AB3953">
        <v>1503</v>
      </c>
      <c r="AC3953">
        <v>1.81</v>
      </c>
      <c r="AD3953" t="s">
        <v>19051</v>
      </c>
      <c r="AE3953" t="s">
        <v>10186</v>
      </c>
      <c r="AF3953" t="s">
        <v>19051</v>
      </c>
      <c r="AG3953" t="s">
        <v>10186</v>
      </c>
      <c r="AH3953">
        <v>-1.49</v>
      </c>
      <c r="AI3953">
        <v>-2.22</v>
      </c>
      <c r="AJ3953">
        <v>3.43</v>
      </c>
      <c r="AK3953">
        <v>6.99</v>
      </c>
      <c r="AL3953">
        <v>1</v>
      </c>
      <c r="AM3953">
        <v>1.02</v>
      </c>
      <c r="AN3953">
        <v>7.32</v>
      </c>
      <c r="AO3953">
        <v>0.25</v>
      </c>
      <c r="AP3953">
        <v>-3.41</v>
      </c>
    </row>
    <row r="3954" spans="1:42">
      <c r="A3954">
        <v>3953</v>
      </c>
      <c r="B3954" t="str">
        <f>"600137"</f>
        <v>600137</v>
      </c>
      <c r="C3954" t="s">
        <v>19052</v>
      </c>
      <c r="D3954">
        <v>19.44</v>
      </c>
      <c r="E3954">
        <v>1.94</v>
      </c>
      <c r="F3954">
        <v>0.37</v>
      </c>
      <c r="G3954" t="s">
        <v>1110</v>
      </c>
      <c r="H3954">
        <v>107</v>
      </c>
      <c r="I3954">
        <v>19.44</v>
      </c>
      <c r="J3954">
        <v>19.45</v>
      </c>
      <c r="K3954" t="s">
        <v>19053</v>
      </c>
      <c r="L3954">
        <v>1.74</v>
      </c>
      <c r="M3954" t="s">
        <v>46</v>
      </c>
      <c r="N3954" t="s">
        <v>6137</v>
      </c>
      <c r="O3954">
        <v>19.7</v>
      </c>
      <c r="P3954">
        <v>19.06</v>
      </c>
      <c r="Q3954">
        <v>19.11</v>
      </c>
      <c r="R3954">
        <v>19.07</v>
      </c>
      <c r="S3954">
        <v>3.36</v>
      </c>
      <c r="T3954">
        <v>1.17</v>
      </c>
      <c r="U3954">
        <v>-3.41</v>
      </c>
      <c r="V3954">
        <v>-6</v>
      </c>
      <c r="W3954">
        <v>19.49</v>
      </c>
      <c r="X3954">
        <v>8947</v>
      </c>
      <c r="Y3954">
        <v>8000</v>
      </c>
      <c r="Z3954">
        <v>1.12</v>
      </c>
      <c r="AA3954">
        <v>3</v>
      </c>
      <c r="AB3954">
        <v>38</v>
      </c>
      <c r="AC3954">
        <v>3.61</v>
      </c>
      <c r="AD3954" t="s">
        <v>11107</v>
      </c>
      <c r="AE3954" t="s">
        <v>19054</v>
      </c>
      <c r="AF3954" t="s">
        <v>11107</v>
      </c>
      <c r="AG3954" t="s">
        <v>19054</v>
      </c>
      <c r="AH3954">
        <v>0.31</v>
      </c>
      <c r="AI3954">
        <v>-1.72</v>
      </c>
      <c r="AJ3954">
        <v>4.48</v>
      </c>
      <c r="AK3954">
        <v>9.22</v>
      </c>
      <c r="AL3954">
        <v>1</v>
      </c>
      <c r="AM3954">
        <v>1.94</v>
      </c>
      <c r="AN3954">
        <v>33.7</v>
      </c>
      <c r="AO3954">
        <v>7.05</v>
      </c>
      <c r="AP3954">
        <v>30.38</v>
      </c>
    </row>
    <row r="3955" spans="1:42">
      <c r="A3955">
        <v>3954</v>
      </c>
      <c r="B3955" t="str">
        <f>"300649"</f>
        <v>300649</v>
      </c>
      <c r="C3955" t="s">
        <v>19055</v>
      </c>
      <c r="D3955">
        <v>17.74</v>
      </c>
      <c r="E3955">
        <v>1.6</v>
      </c>
      <c r="F3955">
        <v>0.28</v>
      </c>
      <c r="G3955" t="s">
        <v>1072</v>
      </c>
      <c r="H3955">
        <v>266</v>
      </c>
      <c r="I3955">
        <v>17.73</v>
      </c>
      <c r="J3955">
        <v>17.74</v>
      </c>
      <c r="K3955" t="s">
        <v>19053</v>
      </c>
      <c r="L3955">
        <v>1.78</v>
      </c>
      <c r="M3955" t="s">
        <v>46</v>
      </c>
      <c r="N3955" t="s">
        <v>4150</v>
      </c>
      <c r="O3955">
        <v>17.82</v>
      </c>
      <c r="P3955">
        <v>17.27</v>
      </c>
      <c r="Q3955">
        <v>17.5</v>
      </c>
      <c r="R3955">
        <v>17.46</v>
      </c>
      <c r="S3955">
        <v>3.15</v>
      </c>
      <c r="T3955">
        <v>0.98</v>
      </c>
      <c r="U3955">
        <v>11</v>
      </c>
      <c r="V3955">
        <v>110</v>
      </c>
      <c r="W3955">
        <v>17.65</v>
      </c>
      <c r="X3955">
        <v>7298</v>
      </c>
      <c r="Y3955" t="s">
        <v>2667</v>
      </c>
      <c r="Z3955">
        <v>0.64</v>
      </c>
      <c r="AA3955">
        <v>177</v>
      </c>
      <c r="AB3955">
        <v>78</v>
      </c>
      <c r="AC3955">
        <v>4.31</v>
      </c>
      <c r="AD3955" t="s">
        <v>8245</v>
      </c>
      <c r="AE3955" t="s">
        <v>6322</v>
      </c>
      <c r="AF3955" t="s">
        <v>10702</v>
      </c>
      <c r="AG3955" t="s">
        <v>5964</v>
      </c>
      <c r="AH3955">
        <v>-1.77</v>
      </c>
      <c r="AI3955">
        <v>-3.06</v>
      </c>
      <c r="AJ3955">
        <v>5.4</v>
      </c>
      <c r="AK3955">
        <v>10.84</v>
      </c>
      <c r="AL3955">
        <v>1</v>
      </c>
      <c r="AM3955">
        <v>1.6</v>
      </c>
      <c r="AN3955">
        <v>-3.59</v>
      </c>
      <c r="AO3955">
        <v>0.11</v>
      </c>
      <c r="AP3955">
        <v>-10.76</v>
      </c>
    </row>
    <row r="3956" spans="1:42">
      <c r="A3956">
        <v>3955</v>
      </c>
      <c r="B3956" t="str">
        <f>"301329"</f>
        <v>301329</v>
      </c>
      <c r="C3956" t="s">
        <v>19056</v>
      </c>
      <c r="D3956">
        <v>22.03</v>
      </c>
      <c r="E3956">
        <v>0.27</v>
      </c>
      <c r="F3956">
        <v>0.06</v>
      </c>
      <c r="G3956" t="s">
        <v>3793</v>
      </c>
      <c r="H3956">
        <v>249</v>
      </c>
      <c r="I3956">
        <v>22.03</v>
      </c>
      <c r="J3956">
        <v>22.06</v>
      </c>
      <c r="K3956" t="s">
        <v>19057</v>
      </c>
      <c r="L3956">
        <v>3.68</v>
      </c>
      <c r="M3956" t="s">
        <v>46</v>
      </c>
      <c r="N3956" t="s">
        <v>2357</v>
      </c>
      <c r="O3956">
        <v>22.18</v>
      </c>
      <c r="P3956">
        <v>21.75</v>
      </c>
      <c r="Q3956">
        <v>22</v>
      </c>
      <c r="R3956">
        <v>21.97</v>
      </c>
      <c r="S3956">
        <v>1.96</v>
      </c>
      <c r="T3956">
        <v>0.68</v>
      </c>
      <c r="U3956">
        <v>42.3</v>
      </c>
      <c r="V3956">
        <v>151</v>
      </c>
      <c r="W3956">
        <v>21.99</v>
      </c>
      <c r="X3956">
        <v>7902</v>
      </c>
      <c r="Y3956">
        <v>7099</v>
      </c>
      <c r="Z3956">
        <v>1.11</v>
      </c>
      <c r="AA3956">
        <v>100</v>
      </c>
      <c r="AB3956">
        <v>51</v>
      </c>
      <c r="AC3956">
        <v>2.44</v>
      </c>
      <c r="AD3956" t="s">
        <v>15873</v>
      </c>
      <c r="AE3956" t="s">
        <v>11639</v>
      </c>
      <c r="AF3956" t="s">
        <v>19058</v>
      </c>
      <c r="AG3956" t="s">
        <v>19059</v>
      </c>
      <c r="AH3956">
        <v>-1.39</v>
      </c>
      <c r="AI3956">
        <v>-3.04</v>
      </c>
      <c r="AJ3956">
        <v>13.75</v>
      </c>
      <c r="AK3956">
        <v>30.71</v>
      </c>
      <c r="AL3956">
        <v>1</v>
      </c>
      <c r="AM3956">
        <v>0.27</v>
      </c>
      <c r="AN3956">
        <v>4.9</v>
      </c>
      <c r="AO3956">
        <v>0.78</v>
      </c>
      <c r="AP3956">
        <v>4.9</v>
      </c>
    </row>
    <row r="3957" spans="1:42">
      <c r="A3957">
        <v>3956</v>
      </c>
      <c r="B3957" t="str">
        <f>"688508"</f>
        <v>688508</v>
      </c>
      <c r="C3957" t="s">
        <v>19060</v>
      </c>
      <c r="D3957">
        <v>54.93</v>
      </c>
      <c r="E3957">
        <v>-0.44</v>
      </c>
      <c r="F3957">
        <v>-0.24</v>
      </c>
      <c r="G3957">
        <v>6029</v>
      </c>
      <c r="H3957">
        <v>30</v>
      </c>
      <c r="I3957">
        <v>54.93</v>
      </c>
      <c r="J3957">
        <v>55.11</v>
      </c>
      <c r="K3957" t="s">
        <v>19061</v>
      </c>
      <c r="L3957">
        <v>0.53</v>
      </c>
      <c r="M3957" t="s">
        <v>46</v>
      </c>
      <c r="N3957" t="s">
        <v>12996</v>
      </c>
      <c r="O3957">
        <v>55.38</v>
      </c>
      <c r="P3957">
        <v>54</v>
      </c>
      <c r="Q3957">
        <v>54.8</v>
      </c>
      <c r="R3957">
        <v>55.17</v>
      </c>
      <c r="S3957">
        <v>2.5</v>
      </c>
      <c r="T3957">
        <v>0.9</v>
      </c>
      <c r="U3957">
        <v>16.73</v>
      </c>
      <c r="V3957">
        <v>17</v>
      </c>
      <c r="W3957">
        <v>54.66</v>
      </c>
      <c r="X3957">
        <v>3002</v>
      </c>
      <c r="Y3957">
        <v>3027</v>
      </c>
      <c r="Z3957">
        <v>0.99</v>
      </c>
      <c r="AA3957">
        <v>3</v>
      </c>
      <c r="AB3957">
        <v>5</v>
      </c>
      <c r="AC3957">
        <v>2.9</v>
      </c>
      <c r="AD3957" t="s">
        <v>19062</v>
      </c>
      <c r="AE3957" t="s">
        <v>19063</v>
      </c>
      <c r="AF3957" t="s">
        <v>12967</v>
      </c>
      <c r="AG3957" t="s">
        <v>5509</v>
      </c>
      <c r="AH3957">
        <v>-1.89</v>
      </c>
      <c r="AI3957">
        <v>-2.22</v>
      </c>
      <c r="AJ3957">
        <v>1.55</v>
      </c>
      <c r="AK3957">
        <v>3.51</v>
      </c>
      <c r="AL3957">
        <v>-3</v>
      </c>
      <c r="AM3957">
        <v>-0.44</v>
      </c>
      <c r="AN3957">
        <v>-14.92</v>
      </c>
      <c r="AO3957">
        <v>-2.35</v>
      </c>
      <c r="AP3957">
        <v>-21.8</v>
      </c>
    </row>
    <row r="3958" spans="1:42">
      <c r="A3958">
        <v>3957</v>
      </c>
      <c r="B3958" t="str">
        <f>"300935"</f>
        <v>300935</v>
      </c>
      <c r="C3958" t="s">
        <v>19064</v>
      </c>
      <c r="D3958">
        <v>30.06</v>
      </c>
      <c r="E3958">
        <v>2.49</v>
      </c>
      <c r="F3958">
        <v>0.73</v>
      </c>
      <c r="G3958" t="s">
        <v>2807</v>
      </c>
      <c r="H3958">
        <v>113</v>
      </c>
      <c r="I3958">
        <v>30.06</v>
      </c>
      <c r="J3958">
        <v>30.07</v>
      </c>
      <c r="K3958" t="s">
        <v>19065</v>
      </c>
      <c r="L3958">
        <v>2.78</v>
      </c>
      <c r="M3958" t="s">
        <v>46</v>
      </c>
      <c r="N3958" t="s">
        <v>11071</v>
      </c>
      <c r="O3958">
        <v>30.35</v>
      </c>
      <c r="P3958">
        <v>29.03</v>
      </c>
      <c r="Q3958">
        <v>29.87</v>
      </c>
      <c r="R3958">
        <v>29.33</v>
      </c>
      <c r="S3958">
        <v>4.5</v>
      </c>
      <c r="T3958">
        <v>1.16</v>
      </c>
      <c r="U3958">
        <v>25.82</v>
      </c>
      <c r="V3958">
        <v>87</v>
      </c>
      <c r="W3958">
        <v>29.73</v>
      </c>
      <c r="X3958">
        <v>4664</v>
      </c>
      <c r="Y3958">
        <v>6415</v>
      </c>
      <c r="Z3958">
        <v>0.73</v>
      </c>
      <c r="AA3958">
        <v>68</v>
      </c>
      <c r="AB3958">
        <v>16</v>
      </c>
      <c r="AC3958">
        <v>2.63</v>
      </c>
      <c r="AD3958" t="s">
        <v>19066</v>
      </c>
      <c r="AE3958" t="s">
        <v>19067</v>
      </c>
      <c r="AF3958" t="s">
        <v>19068</v>
      </c>
      <c r="AG3958" t="s">
        <v>5045</v>
      </c>
      <c r="AH3958">
        <v>-0.3</v>
      </c>
      <c r="AI3958">
        <v>-1.31</v>
      </c>
      <c r="AJ3958">
        <v>6.97</v>
      </c>
      <c r="AK3958">
        <v>14.81</v>
      </c>
      <c r="AL3958">
        <v>1</v>
      </c>
      <c r="AM3958">
        <v>2.49</v>
      </c>
      <c r="AN3958">
        <v>17.06</v>
      </c>
      <c r="AO3958">
        <v>4.34</v>
      </c>
      <c r="AP3958">
        <v>2.95</v>
      </c>
    </row>
    <row r="3959" spans="1:42">
      <c r="A3959">
        <v>3958</v>
      </c>
      <c r="B3959" t="str">
        <f>"002462"</f>
        <v>002462</v>
      </c>
      <c r="C3959" t="s">
        <v>19069</v>
      </c>
      <c r="D3959">
        <v>14.91</v>
      </c>
      <c r="E3959">
        <v>0.07</v>
      </c>
      <c r="F3959">
        <v>0.01</v>
      </c>
      <c r="G3959" t="s">
        <v>731</v>
      </c>
      <c r="H3959">
        <v>73</v>
      </c>
      <c r="I3959">
        <v>14.91</v>
      </c>
      <c r="J3959">
        <v>14.92</v>
      </c>
      <c r="K3959" t="s">
        <v>19070</v>
      </c>
      <c r="L3959">
        <v>0.76</v>
      </c>
      <c r="M3959" t="s">
        <v>46</v>
      </c>
      <c r="N3959" t="s">
        <v>5814</v>
      </c>
      <c r="O3959">
        <v>15</v>
      </c>
      <c r="P3959">
        <v>14.77</v>
      </c>
      <c r="Q3959">
        <v>14.9</v>
      </c>
      <c r="R3959">
        <v>14.9</v>
      </c>
      <c r="S3959">
        <v>1.54</v>
      </c>
      <c r="T3959">
        <v>0.69</v>
      </c>
      <c r="U3959">
        <v>3.8</v>
      </c>
      <c r="V3959">
        <v>24</v>
      </c>
      <c r="W3959">
        <v>14.93</v>
      </c>
      <c r="X3959" t="s">
        <v>218</v>
      </c>
      <c r="Y3959" t="s">
        <v>2284</v>
      </c>
      <c r="Z3959">
        <v>0.92</v>
      </c>
      <c r="AA3959">
        <v>59</v>
      </c>
      <c r="AB3959">
        <v>8</v>
      </c>
      <c r="AC3959">
        <v>1.03</v>
      </c>
      <c r="AD3959" t="s">
        <v>19071</v>
      </c>
      <c r="AE3959" t="s">
        <v>19072</v>
      </c>
      <c r="AF3959" t="s">
        <v>19073</v>
      </c>
      <c r="AG3959" t="s">
        <v>19074</v>
      </c>
      <c r="AH3959">
        <v>-0.8</v>
      </c>
      <c r="AI3959">
        <v>-1.19</v>
      </c>
      <c r="AJ3959">
        <v>2.33</v>
      </c>
      <c r="AK3959">
        <v>6.23</v>
      </c>
      <c r="AL3959">
        <v>2</v>
      </c>
      <c r="AM3959">
        <v>0.07</v>
      </c>
      <c r="AN3959">
        <v>5.89</v>
      </c>
      <c r="AO3959">
        <v>3.04</v>
      </c>
      <c r="AP3959">
        <v>5.22</v>
      </c>
    </row>
    <row r="3960" spans="1:42">
      <c r="A3960">
        <v>3959</v>
      </c>
      <c r="B3960" t="str">
        <f>"002724"</f>
        <v>002724</v>
      </c>
      <c r="C3960" t="s">
        <v>19075</v>
      </c>
      <c r="D3960">
        <v>8.19</v>
      </c>
      <c r="E3960">
        <v>-0.12</v>
      </c>
      <c r="F3960">
        <v>-0.01</v>
      </c>
      <c r="G3960" t="s">
        <v>3227</v>
      </c>
      <c r="H3960">
        <v>86</v>
      </c>
      <c r="I3960">
        <v>8.18</v>
      </c>
      <c r="J3960">
        <v>8.19</v>
      </c>
      <c r="K3960" t="s">
        <v>19076</v>
      </c>
      <c r="L3960">
        <v>0.71</v>
      </c>
      <c r="M3960" t="s">
        <v>46</v>
      </c>
      <c r="N3960" t="s">
        <v>1729</v>
      </c>
      <c r="O3960">
        <v>8.27</v>
      </c>
      <c r="P3960">
        <v>8.07</v>
      </c>
      <c r="Q3960">
        <v>8.2</v>
      </c>
      <c r="R3960">
        <v>8.2</v>
      </c>
      <c r="S3960">
        <v>2.44</v>
      </c>
      <c r="T3960">
        <v>1.06</v>
      </c>
      <c r="U3960">
        <v>-3.78</v>
      </c>
      <c r="V3960">
        <v>-95</v>
      </c>
      <c r="W3960">
        <v>8.15</v>
      </c>
      <c r="X3960" t="s">
        <v>4963</v>
      </c>
      <c r="Y3960" t="s">
        <v>2723</v>
      </c>
      <c r="Z3960">
        <v>1.17</v>
      </c>
      <c r="AA3960">
        <v>14</v>
      </c>
      <c r="AB3960">
        <v>82</v>
      </c>
      <c r="AC3960">
        <v>2.17</v>
      </c>
      <c r="AD3960" t="s">
        <v>19077</v>
      </c>
      <c r="AE3960" t="s">
        <v>19078</v>
      </c>
      <c r="AF3960" t="s">
        <v>19079</v>
      </c>
      <c r="AG3960" t="s">
        <v>2006</v>
      </c>
      <c r="AH3960">
        <v>-2.27</v>
      </c>
      <c r="AI3960">
        <v>-1.56</v>
      </c>
      <c r="AJ3960">
        <v>1.99</v>
      </c>
      <c r="AK3960">
        <v>4.03</v>
      </c>
      <c r="AL3960">
        <v>-3</v>
      </c>
      <c r="AM3960">
        <v>-0.12</v>
      </c>
      <c r="AN3960">
        <v>2.25</v>
      </c>
      <c r="AO3960">
        <v>3.93</v>
      </c>
      <c r="AP3960">
        <v>-6.93</v>
      </c>
    </row>
    <row r="3961" spans="1:42">
      <c r="A3961">
        <v>3960</v>
      </c>
      <c r="B3961" t="str">
        <f>"600581"</f>
        <v>600581</v>
      </c>
      <c r="C3961" t="s">
        <v>19080</v>
      </c>
      <c r="D3961">
        <v>3.95</v>
      </c>
      <c r="E3961">
        <v>0.25</v>
      </c>
      <c r="F3961">
        <v>0.01</v>
      </c>
      <c r="G3961" t="s">
        <v>14777</v>
      </c>
      <c r="H3961">
        <v>388</v>
      </c>
      <c r="I3961">
        <v>3.95</v>
      </c>
      <c r="J3961">
        <v>3.96</v>
      </c>
      <c r="K3961" t="s">
        <v>19076</v>
      </c>
      <c r="L3961">
        <v>0.54</v>
      </c>
      <c r="M3961" t="s">
        <v>46</v>
      </c>
      <c r="N3961" t="s">
        <v>13187</v>
      </c>
      <c r="O3961">
        <v>3.97</v>
      </c>
      <c r="P3961">
        <v>3.92</v>
      </c>
      <c r="Q3961">
        <v>3.94</v>
      </c>
      <c r="R3961">
        <v>3.94</v>
      </c>
      <c r="S3961">
        <v>1.27</v>
      </c>
      <c r="T3961">
        <v>0.75</v>
      </c>
      <c r="U3961">
        <v>-23.51</v>
      </c>
      <c r="V3961">
        <v>-9031</v>
      </c>
      <c r="W3961">
        <v>3.95</v>
      </c>
      <c r="X3961" t="s">
        <v>5700</v>
      </c>
      <c r="Y3961" t="s">
        <v>3779</v>
      </c>
      <c r="Z3961">
        <v>0.86</v>
      </c>
      <c r="AA3961">
        <v>147</v>
      </c>
      <c r="AB3961">
        <v>4695</v>
      </c>
      <c r="AC3961">
        <v>2.74</v>
      </c>
      <c r="AD3961" t="s">
        <v>12993</v>
      </c>
      <c r="AE3961" t="s">
        <v>17081</v>
      </c>
      <c r="AF3961" t="s">
        <v>19081</v>
      </c>
      <c r="AG3961" t="s">
        <v>19082</v>
      </c>
      <c r="AH3961">
        <v>-1.25</v>
      </c>
      <c r="AI3961">
        <v>-1.74</v>
      </c>
      <c r="AJ3961">
        <v>1.99</v>
      </c>
      <c r="AK3961">
        <v>4.15</v>
      </c>
      <c r="AL3961">
        <v>1</v>
      </c>
      <c r="AM3961">
        <v>0.25</v>
      </c>
      <c r="AN3961">
        <v>-0.25</v>
      </c>
      <c r="AO3961">
        <v>-1.25</v>
      </c>
      <c r="AP3961">
        <v>-3.19</v>
      </c>
    </row>
    <row r="3962" spans="1:42">
      <c r="A3962">
        <v>3961</v>
      </c>
      <c r="B3962" t="str">
        <f>"002830"</f>
        <v>002830</v>
      </c>
      <c r="C3962" t="s">
        <v>19083</v>
      </c>
      <c r="D3962">
        <v>14.95</v>
      </c>
      <c r="E3962">
        <v>-0.07</v>
      </c>
      <c r="F3962">
        <v>-0.01</v>
      </c>
      <c r="G3962" t="s">
        <v>377</v>
      </c>
      <c r="H3962">
        <v>476</v>
      </c>
      <c r="I3962">
        <v>14.95</v>
      </c>
      <c r="J3962">
        <v>14.97</v>
      </c>
      <c r="K3962" t="s">
        <v>10373</v>
      </c>
      <c r="L3962">
        <v>3.3</v>
      </c>
      <c r="M3962" t="s">
        <v>46</v>
      </c>
      <c r="N3962" t="s">
        <v>4496</v>
      </c>
      <c r="O3962">
        <v>15.06</v>
      </c>
      <c r="P3962">
        <v>14.76</v>
      </c>
      <c r="Q3962">
        <v>14.81</v>
      </c>
      <c r="R3962">
        <v>14.96</v>
      </c>
      <c r="S3962">
        <v>2.01</v>
      </c>
      <c r="T3962">
        <v>0.68</v>
      </c>
      <c r="U3962">
        <v>40.54</v>
      </c>
      <c r="V3962">
        <v>315</v>
      </c>
      <c r="W3962">
        <v>14.93</v>
      </c>
      <c r="X3962" t="s">
        <v>51</v>
      </c>
      <c r="Y3962" t="s">
        <v>2807</v>
      </c>
      <c r="Z3962">
        <v>0.98</v>
      </c>
      <c r="AA3962">
        <v>139</v>
      </c>
      <c r="AB3962">
        <v>1</v>
      </c>
      <c r="AC3962">
        <v>3.03</v>
      </c>
      <c r="AD3962" t="s">
        <v>9334</v>
      </c>
      <c r="AE3962" t="s">
        <v>15677</v>
      </c>
      <c r="AF3962" t="s">
        <v>10597</v>
      </c>
      <c r="AG3962" t="s">
        <v>19084</v>
      </c>
      <c r="AH3962">
        <v>0.81</v>
      </c>
      <c r="AI3962">
        <v>0.81</v>
      </c>
      <c r="AJ3962">
        <v>15.38</v>
      </c>
      <c r="AK3962">
        <v>27.55</v>
      </c>
      <c r="AL3962">
        <v>-2</v>
      </c>
      <c r="AM3962">
        <v>-0.07</v>
      </c>
      <c r="AN3962">
        <v>30.68</v>
      </c>
      <c r="AO3962">
        <v>5.58</v>
      </c>
      <c r="AP3962">
        <v>24.69</v>
      </c>
    </row>
    <row r="3963" spans="1:42">
      <c r="A3963">
        <v>3962</v>
      </c>
      <c r="B3963" t="str">
        <f>"601089"</f>
        <v>601089</v>
      </c>
      <c r="C3963" t="s">
        <v>19085</v>
      </c>
      <c r="D3963">
        <v>18.15</v>
      </c>
      <c r="E3963">
        <v>0</v>
      </c>
      <c r="F3963">
        <v>0</v>
      </c>
      <c r="G3963" t="s">
        <v>3069</v>
      </c>
      <c r="H3963">
        <v>108</v>
      </c>
      <c r="I3963">
        <v>18.13</v>
      </c>
      <c r="J3963">
        <v>18.15</v>
      </c>
      <c r="K3963" t="s">
        <v>19086</v>
      </c>
      <c r="L3963">
        <v>0.88</v>
      </c>
      <c r="M3963" t="s">
        <v>46</v>
      </c>
      <c r="N3963" t="s">
        <v>1023</v>
      </c>
      <c r="O3963">
        <v>18.37</v>
      </c>
      <c r="P3963">
        <v>18.04</v>
      </c>
      <c r="Q3963">
        <v>18.11</v>
      </c>
      <c r="R3963">
        <v>18.15</v>
      </c>
      <c r="S3963">
        <v>1.82</v>
      </c>
      <c r="T3963">
        <v>0.75</v>
      </c>
      <c r="U3963">
        <v>56.23</v>
      </c>
      <c r="V3963">
        <v>406</v>
      </c>
      <c r="W3963">
        <v>18.2</v>
      </c>
      <c r="X3963">
        <v>9265</v>
      </c>
      <c r="Y3963">
        <v>8802</v>
      </c>
      <c r="Z3963">
        <v>1.05</v>
      </c>
      <c r="AA3963">
        <v>211</v>
      </c>
      <c r="AB3963">
        <v>52</v>
      </c>
      <c r="AC3963">
        <v>2.6</v>
      </c>
      <c r="AD3963" t="s">
        <v>8794</v>
      </c>
      <c r="AE3963" t="s">
        <v>19087</v>
      </c>
      <c r="AF3963" t="s">
        <v>19088</v>
      </c>
      <c r="AG3963" t="s">
        <v>19089</v>
      </c>
      <c r="AH3963">
        <v>-0.6</v>
      </c>
      <c r="AI3963">
        <v>-1.14</v>
      </c>
      <c r="AJ3963">
        <v>2.69</v>
      </c>
      <c r="AK3963">
        <v>6.73</v>
      </c>
      <c r="AL3963">
        <v>0</v>
      </c>
      <c r="AM3963">
        <v>0</v>
      </c>
      <c r="AN3963">
        <v>21.57</v>
      </c>
      <c r="AO3963">
        <v>-0.06</v>
      </c>
      <c r="AP3963">
        <v>12.24</v>
      </c>
    </row>
    <row r="3964" spans="1:42">
      <c r="A3964">
        <v>3963</v>
      </c>
      <c r="B3964" t="str">
        <f>"688651"</f>
        <v>688651</v>
      </c>
      <c r="C3964" t="s">
        <v>19090</v>
      </c>
      <c r="D3964">
        <v>51.76</v>
      </c>
      <c r="E3964">
        <v>1.71</v>
      </c>
      <c r="F3964">
        <v>0.87</v>
      </c>
      <c r="G3964">
        <v>6402</v>
      </c>
      <c r="H3964">
        <v>115</v>
      </c>
      <c r="I3964">
        <v>51.7</v>
      </c>
      <c r="J3964">
        <v>51.76</v>
      </c>
      <c r="K3964" t="s">
        <v>19091</v>
      </c>
      <c r="L3964">
        <v>4.06</v>
      </c>
      <c r="M3964" t="s">
        <v>46</v>
      </c>
      <c r="N3964" t="s">
        <v>9238</v>
      </c>
      <c r="O3964">
        <v>52.33</v>
      </c>
      <c r="P3964">
        <v>50.5</v>
      </c>
      <c r="Q3964">
        <v>50.6</v>
      </c>
      <c r="R3964">
        <v>50.89</v>
      </c>
      <c r="S3964">
        <v>3.6</v>
      </c>
      <c r="T3964">
        <v>0.68</v>
      </c>
      <c r="U3964">
        <v>-2.91</v>
      </c>
      <c r="V3964">
        <v>-3</v>
      </c>
      <c r="W3964">
        <v>51.33</v>
      </c>
      <c r="X3964">
        <v>2896</v>
      </c>
      <c r="Y3964">
        <v>3506</v>
      </c>
      <c r="Z3964">
        <v>0.83</v>
      </c>
      <c r="AA3964">
        <v>1</v>
      </c>
      <c r="AB3964">
        <v>8</v>
      </c>
      <c r="AC3964">
        <v>4.22</v>
      </c>
      <c r="AD3964" t="s">
        <v>19092</v>
      </c>
      <c r="AE3964" t="s">
        <v>9428</v>
      </c>
      <c r="AF3964" t="s">
        <v>19093</v>
      </c>
      <c r="AG3964" t="s">
        <v>3196</v>
      </c>
      <c r="AH3964">
        <v>-1.24</v>
      </c>
      <c r="AI3964">
        <v>-6.18</v>
      </c>
      <c r="AJ3964">
        <v>13.71</v>
      </c>
      <c r="AK3964">
        <v>34.04</v>
      </c>
      <c r="AL3964">
        <v>1</v>
      </c>
      <c r="AM3964">
        <v>1.71</v>
      </c>
      <c r="AN3964">
        <v>29.72</v>
      </c>
      <c r="AO3964">
        <v>4.73</v>
      </c>
      <c r="AP3964">
        <v>29.72</v>
      </c>
    </row>
    <row r="3965" spans="1:42">
      <c r="A3965">
        <v>3964</v>
      </c>
      <c r="B3965" t="str">
        <f>"688606"</f>
        <v>688606</v>
      </c>
      <c r="C3965" t="s">
        <v>19094</v>
      </c>
      <c r="D3965">
        <v>78.7</v>
      </c>
      <c r="E3965">
        <v>0.9</v>
      </c>
      <c r="F3965">
        <v>0.7</v>
      </c>
      <c r="G3965">
        <v>4188</v>
      </c>
      <c r="H3965">
        <v>30</v>
      </c>
      <c r="I3965">
        <v>78.59</v>
      </c>
      <c r="J3965">
        <v>78.7</v>
      </c>
      <c r="K3965" t="s">
        <v>19091</v>
      </c>
      <c r="L3965">
        <v>1.12</v>
      </c>
      <c r="M3965" t="s">
        <v>46</v>
      </c>
      <c r="N3965" t="s">
        <v>2518</v>
      </c>
      <c r="O3965">
        <v>78.84</v>
      </c>
      <c r="P3965">
        <v>77.08</v>
      </c>
      <c r="Q3965">
        <v>78.36</v>
      </c>
      <c r="R3965">
        <v>78</v>
      </c>
      <c r="S3965">
        <v>2.26</v>
      </c>
      <c r="T3965">
        <v>0.68</v>
      </c>
      <c r="U3965">
        <v>-23.24</v>
      </c>
      <c r="V3965">
        <v>-23</v>
      </c>
      <c r="W3965">
        <v>78.47</v>
      </c>
      <c r="X3965">
        <v>1617</v>
      </c>
      <c r="Y3965">
        <v>2571</v>
      </c>
      <c r="Z3965">
        <v>0.63</v>
      </c>
      <c r="AA3965">
        <v>1</v>
      </c>
      <c r="AB3965">
        <v>7</v>
      </c>
      <c r="AC3965">
        <v>1.67</v>
      </c>
      <c r="AD3965" t="s">
        <v>19095</v>
      </c>
      <c r="AE3965" t="s">
        <v>6809</v>
      </c>
      <c r="AF3965" t="s">
        <v>19096</v>
      </c>
      <c r="AG3965" t="s">
        <v>9397</v>
      </c>
      <c r="AH3965">
        <v>0.63</v>
      </c>
      <c r="AI3965">
        <v>6.52</v>
      </c>
      <c r="AJ3965">
        <v>3.15</v>
      </c>
      <c r="AK3965">
        <v>9.29</v>
      </c>
      <c r="AL3965">
        <v>1</v>
      </c>
      <c r="AM3965">
        <v>0.9</v>
      </c>
      <c r="AN3965">
        <v>23.39</v>
      </c>
      <c r="AO3965">
        <v>1.88</v>
      </c>
      <c r="AP3965">
        <v>5.62</v>
      </c>
    </row>
    <row r="3966" spans="1:42">
      <c r="A3966">
        <v>3965</v>
      </c>
      <c r="B3966" t="str">
        <f>"600370"</f>
        <v>600370</v>
      </c>
      <c r="C3966" t="s">
        <v>19097</v>
      </c>
      <c r="D3966">
        <v>2.55</v>
      </c>
      <c r="E3966">
        <v>2.41</v>
      </c>
      <c r="F3966">
        <v>0.06</v>
      </c>
      <c r="G3966" t="s">
        <v>1915</v>
      </c>
      <c r="H3966">
        <v>1250</v>
      </c>
      <c r="I3966">
        <v>2.54</v>
      </c>
      <c r="J3966">
        <v>2.55</v>
      </c>
      <c r="K3966" t="s">
        <v>19098</v>
      </c>
      <c r="L3966">
        <v>0.33</v>
      </c>
      <c r="M3966" t="s">
        <v>46</v>
      </c>
      <c r="N3966" t="s">
        <v>11690</v>
      </c>
      <c r="O3966">
        <v>2.57</v>
      </c>
      <c r="P3966">
        <v>2.49</v>
      </c>
      <c r="Q3966">
        <v>2.5</v>
      </c>
      <c r="R3966">
        <v>2.49</v>
      </c>
      <c r="S3966">
        <v>3.21</v>
      </c>
      <c r="T3966">
        <v>1.22</v>
      </c>
      <c r="U3966">
        <v>-56</v>
      </c>
      <c r="V3966" t="s">
        <v>10684</v>
      </c>
      <c r="W3966">
        <v>2.54</v>
      </c>
      <c r="X3966" t="s">
        <v>2405</v>
      </c>
      <c r="Y3966" t="s">
        <v>8707</v>
      </c>
      <c r="Z3966">
        <v>0.74</v>
      </c>
      <c r="AA3966">
        <v>8</v>
      </c>
      <c r="AB3966">
        <v>3025</v>
      </c>
      <c r="AC3966">
        <v>1.6</v>
      </c>
      <c r="AD3966" t="s">
        <v>13660</v>
      </c>
      <c r="AE3966" t="s">
        <v>19099</v>
      </c>
      <c r="AF3966" t="s">
        <v>13660</v>
      </c>
      <c r="AG3966" t="s">
        <v>19099</v>
      </c>
      <c r="AH3966">
        <v>0.79</v>
      </c>
      <c r="AI3966">
        <v>-0.78</v>
      </c>
      <c r="AJ3966">
        <v>0.76</v>
      </c>
      <c r="AK3966">
        <v>1.69</v>
      </c>
      <c r="AL3966">
        <v>1</v>
      </c>
      <c r="AM3966">
        <v>2.41</v>
      </c>
      <c r="AN3966">
        <v>-11.46</v>
      </c>
      <c r="AO3966">
        <v>0.79</v>
      </c>
      <c r="AP3966">
        <v>-13.56</v>
      </c>
    </row>
    <row r="3967" spans="1:42">
      <c r="A3967">
        <v>3966</v>
      </c>
      <c r="B3967" t="str">
        <f>"603886"</f>
        <v>603886</v>
      </c>
      <c r="C3967" t="s">
        <v>19100</v>
      </c>
      <c r="D3967">
        <v>18.63</v>
      </c>
      <c r="E3967">
        <v>0.32</v>
      </c>
      <c r="F3967">
        <v>0.06</v>
      </c>
      <c r="G3967" t="s">
        <v>1177</v>
      </c>
      <c r="H3967">
        <v>84</v>
      </c>
      <c r="I3967">
        <v>18.62</v>
      </c>
      <c r="J3967">
        <v>18.63</v>
      </c>
      <c r="K3967" t="s">
        <v>19101</v>
      </c>
      <c r="L3967">
        <v>0.73</v>
      </c>
      <c r="M3967" t="s">
        <v>46</v>
      </c>
      <c r="N3967" t="s">
        <v>220</v>
      </c>
      <c r="O3967">
        <v>18.85</v>
      </c>
      <c r="P3967">
        <v>18.51</v>
      </c>
      <c r="Q3967">
        <v>18.59</v>
      </c>
      <c r="R3967">
        <v>18.57</v>
      </c>
      <c r="S3967">
        <v>1.83</v>
      </c>
      <c r="T3967">
        <v>1.16</v>
      </c>
      <c r="U3967">
        <v>46.82</v>
      </c>
      <c r="V3967">
        <v>199</v>
      </c>
      <c r="W3967">
        <v>18.64</v>
      </c>
      <c r="X3967">
        <v>9584</v>
      </c>
      <c r="Y3967">
        <v>8035</v>
      </c>
      <c r="Z3967">
        <v>1.19</v>
      </c>
      <c r="AA3967">
        <v>9</v>
      </c>
      <c r="AB3967">
        <v>4</v>
      </c>
      <c r="AC3967">
        <v>2.66</v>
      </c>
      <c r="AD3967" t="s">
        <v>4237</v>
      </c>
      <c r="AE3967" t="s">
        <v>13564</v>
      </c>
      <c r="AF3967" t="s">
        <v>4237</v>
      </c>
      <c r="AG3967" t="s">
        <v>13564</v>
      </c>
      <c r="AH3967">
        <v>-0.59</v>
      </c>
      <c r="AI3967">
        <v>0.38</v>
      </c>
      <c r="AJ3967">
        <v>1.87</v>
      </c>
      <c r="AK3967">
        <v>3.89</v>
      </c>
      <c r="AL3967">
        <v>1</v>
      </c>
      <c r="AM3967">
        <v>0.32</v>
      </c>
      <c r="AN3967">
        <v>0.05</v>
      </c>
      <c r="AO3967">
        <v>-2.56</v>
      </c>
      <c r="AP3967">
        <v>9.27</v>
      </c>
    </row>
    <row r="3968" spans="1:42">
      <c r="A3968">
        <v>3967</v>
      </c>
      <c r="B3968" t="str">
        <f>"603238"</f>
        <v>603238</v>
      </c>
      <c r="C3968" t="s">
        <v>19102</v>
      </c>
      <c r="D3968">
        <v>14.01</v>
      </c>
      <c r="E3968">
        <v>1.01</v>
      </c>
      <c r="F3968">
        <v>0.14</v>
      </c>
      <c r="G3968" t="s">
        <v>314</v>
      </c>
      <c r="H3968">
        <v>74</v>
      </c>
      <c r="I3968">
        <v>14</v>
      </c>
      <c r="J3968">
        <v>14.01</v>
      </c>
      <c r="K3968" t="s">
        <v>18854</v>
      </c>
      <c r="L3968">
        <v>1.32</v>
      </c>
      <c r="M3968" t="s">
        <v>46</v>
      </c>
      <c r="N3968" t="s">
        <v>2900</v>
      </c>
      <c r="O3968">
        <v>14.09</v>
      </c>
      <c r="P3968">
        <v>13.82</v>
      </c>
      <c r="Q3968">
        <v>13.85</v>
      </c>
      <c r="R3968">
        <v>13.87</v>
      </c>
      <c r="S3968">
        <v>1.95</v>
      </c>
      <c r="T3968">
        <v>1.16</v>
      </c>
      <c r="U3968">
        <v>-0.12</v>
      </c>
      <c r="V3968">
        <v>-1</v>
      </c>
      <c r="W3968">
        <v>14.03</v>
      </c>
      <c r="X3968" t="s">
        <v>4443</v>
      </c>
      <c r="Y3968" t="s">
        <v>905</v>
      </c>
      <c r="Z3968">
        <v>0.88</v>
      </c>
      <c r="AA3968">
        <v>308</v>
      </c>
      <c r="AB3968">
        <v>6</v>
      </c>
      <c r="AC3968">
        <v>1.87</v>
      </c>
      <c r="AD3968" t="s">
        <v>3541</v>
      </c>
      <c r="AE3968" t="s">
        <v>3893</v>
      </c>
      <c r="AF3968" t="s">
        <v>3541</v>
      </c>
      <c r="AG3968" t="s">
        <v>3893</v>
      </c>
      <c r="AH3968">
        <v>-0.43</v>
      </c>
      <c r="AI3968">
        <v>-0.14</v>
      </c>
      <c r="AJ3968">
        <v>3.22</v>
      </c>
      <c r="AK3968">
        <v>6.98</v>
      </c>
      <c r="AL3968">
        <v>1</v>
      </c>
      <c r="AM3968">
        <v>1.01</v>
      </c>
      <c r="AN3968">
        <v>16.27</v>
      </c>
      <c r="AO3968">
        <v>-0.14</v>
      </c>
      <c r="AP3968">
        <v>27.95</v>
      </c>
    </row>
    <row r="3969" spans="1:42">
      <c r="A3969">
        <v>3968</v>
      </c>
      <c r="B3969" t="str">
        <f>"300141"</f>
        <v>300141</v>
      </c>
      <c r="C3969" t="s">
        <v>19103</v>
      </c>
      <c r="D3969">
        <v>10.43</v>
      </c>
      <c r="E3969">
        <v>0.77</v>
      </c>
      <c r="F3969">
        <v>0.08</v>
      </c>
      <c r="G3969" t="s">
        <v>3226</v>
      </c>
      <c r="H3969">
        <v>2086</v>
      </c>
      <c r="I3969">
        <v>10.43</v>
      </c>
      <c r="J3969">
        <v>10.44</v>
      </c>
      <c r="K3969" t="s">
        <v>18854</v>
      </c>
      <c r="L3969">
        <v>1.66</v>
      </c>
      <c r="M3969" t="s">
        <v>46</v>
      </c>
      <c r="N3969" t="s">
        <v>5981</v>
      </c>
      <c r="O3969">
        <v>10.53</v>
      </c>
      <c r="P3969">
        <v>10.25</v>
      </c>
      <c r="Q3969">
        <v>10.37</v>
      </c>
      <c r="R3969">
        <v>10.35</v>
      </c>
      <c r="S3969">
        <v>2.71</v>
      </c>
      <c r="T3969">
        <v>0.71</v>
      </c>
      <c r="U3969">
        <v>-1.83</v>
      </c>
      <c r="V3969">
        <v>-25</v>
      </c>
      <c r="W3969">
        <v>10.38</v>
      </c>
      <c r="X3969" t="s">
        <v>919</v>
      </c>
      <c r="Y3969" t="s">
        <v>8212</v>
      </c>
      <c r="Z3969">
        <v>1.03</v>
      </c>
      <c r="AA3969">
        <v>4</v>
      </c>
      <c r="AB3969">
        <v>121</v>
      </c>
      <c r="AC3969">
        <v>3.99</v>
      </c>
      <c r="AD3969" t="s">
        <v>19104</v>
      </c>
      <c r="AE3969" t="s">
        <v>12478</v>
      </c>
      <c r="AF3969" t="s">
        <v>19105</v>
      </c>
      <c r="AG3969" t="s">
        <v>12999</v>
      </c>
      <c r="AH3969">
        <v>-0.76</v>
      </c>
      <c r="AI3969">
        <v>2.15</v>
      </c>
      <c r="AJ3969">
        <v>8.42</v>
      </c>
      <c r="AK3969">
        <v>13.34</v>
      </c>
      <c r="AL3969">
        <v>1</v>
      </c>
      <c r="AM3969">
        <v>0.77</v>
      </c>
      <c r="AN3969">
        <v>28.92</v>
      </c>
      <c r="AO3969">
        <v>5.35</v>
      </c>
      <c r="AP3969">
        <v>20.86</v>
      </c>
    </row>
    <row r="3970" spans="1:42">
      <c r="A3970">
        <v>3969</v>
      </c>
      <c r="B3970" t="str">
        <f>"300756"</f>
        <v>300756</v>
      </c>
      <c r="C3970" t="s">
        <v>19106</v>
      </c>
      <c r="D3970">
        <v>16.79</v>
      </c>
      <c r="E3970">
        <v>-0.77</v>
      </c>
      <c r="F3970">
        <v>-0.13</v>
      </c>
      <c r="G3970" t="s">
        <v>5585</v>
      </c>
      <c r="H3970">
        <v>99</v>
      </c>
      <c r="I3970">
        <v>16.79</v>
      </c>
      <c r="J3970">
        <v>16.8</v>
      </c>
      <c r="K3970" t="s">
        <v>19107</v>
      </c>
      <c r="L3970">
        <v>1.97</v>
      </c>
      <c r="M3970" t="s">
        <v>46</v>
      </c>
      <c r="N3970" t="s">
        <v>9724</v>
      </c>
      <c r="O3970">
        <v>16.94</v>
      </c>
      <c r="P3970">
        <v>16.6</v>
      </c>
      <c r="Q3970">
        <v>16.94</v>
      </c>
      <c r="R3970">
        <v>16.92</v>
      </c>
      <c r="S3970">
        <v>2.01</v>
      </c>
      <c r="T3970">
        <v>1.39</v>
      </c>
      <c r="U3970">
        <v>10.43</v>
      </c>
      <c r="V3970">
        <v>61</v>
      </c>
      <c r="W3970">
        <v>16.76</v>
      </c>
      <c r="X3970" t="s">
        <v>4959</v>
      </c>
      <c r="Y3970">
        <v>8234</v>
      </c>
      <c r="Z3970">
        <v>1.37</v>
      </c>
      <c r="AA3970">
        <v>54</v>
      </c>
      <c r="AB3970">
        <v>13</v>
      </c>
      <c r="AC3970">
        <v>1.84</v>
      </c>
      <c r="AD3970" t="s">
        <v>3162</v>
      </c>
      <c r="AE3970" t="s">
        <v>14597</v>
      </c>
      <c r="AF3970" t="s">
        <v>19108</v>
      </c>
      <c r="AG3970" t="s">
        <v>11409</v>
      </c>
      <c r="AH3970">
        <v>-2.1</v>
      </c>
      <c r="AI3970">
        <v>-2.61</v>
      </c>
      <c r="AJ3970">
        <v>5.18</v>
      </c>
      <c r="AK3970">
        <v>9.03</v>
      </c>
      <c r="AL3970">
        <v>-3</v>
      </c>
      <c r="AM3970">
        <v>-0.77</v>
      </c>
      <c r="AN3970">
        <v>1.27</v>
      </c>
      <c r="AO3970">
        <v>0.84</v>
      </c>
      <c r="AP3970">
        <v>18.07</v>
      </c>
    </row>
    <row r="3971" spans="1:42">
      <c r="A3971">
        <v>3970</v>
      </c>
      <c r="B3971" t="str">
        <f>"002082"</f>
        <v>002082</v>
      </c>
      <c r="C3971" t="s">
        <v>19109</v>
      </c>
      <c r="D3971">
        <v>6.88</v>
      </c>
      <c r="E3971">
        <v>0.44</v>
      </c>
      <c r="F3971">
        <v>0.03</v>
      </c>
      <c r="G3971" t="s">
        <v>7817</v>
      </c>
      <c r="H3971">
        <v>422</v>
      </c>
      <c r="I3971">
        <v>6.88</v>
      </c>
      <c r="J3971">
        <v>6.89</v>
      </c>
      <c r="K3971" t="s">
        <v>19110</v>
      </c>
      <c r="L3971">
        <v>0.77</v>
      </c>
      <c r="M3971" t="s">
        <v>46</v>
      </c>
      <c r="N3971" t="s">
        <v>119</v>
      </c>
      <c r="O3971">
        <v>6.93</v>
      </c>
      <c r="P3971">
        <v>6.8</v>
      </c>
      <c r="Q3971">
        <v>6.84</v>
      </c>
      <c r="R3971">
        <v>6.85</v>
      </c>
      <c r="S3971">
        <v>1.9</v>
      </c>
      <c r="T3971">
        <v>0.52</v>
      </c>
      <c r="U3971">
        <v>8.41</v>
      </c>
      <c r="V3971">
        <v>319</v>
      </c>
      <c r="W3971">
        <v>6.88</v>
      </c>
      <c r="X3971" t="s">
        <v>2389</v>
      </c>
      <c r="Y3971" t="s">
        <v>3611</v>
      </c>
      <c r="Z3971">
        <v>1.09</v>
      </c>
      <c r="AA3971">
        <v>174</v>
      </c>
      <c r="AB3971">
        <v>29</v>
      </c>
      <c r="AC3971">
        <v>1.63</v>
      </c>
      <c r="AD3971" t="s">
        <v>19111</v>
      </c>
      <c r="AE3971" t="s">
        <v>19112</v>
      </c>
      <c r="AF3971" t="s">
        <v>19111</v>
      </c>
      <c r="AG3971" t="s">
        <v>19112</v>
      </c>
      <c r="AH3971">
        <v>-0.43</v>
      </c>
      <c r="AI3971">
        <v>-1.85</v>
      </c>
      <c r="AJ3971">
        <v>2.28</v>
      </c>
      <c r="AK3971">
        <v>8.21</v>
      </c>
      <c r="AL3971">
        <v>2</v>
      </c>
      <c r="AM3971">
        <v>0.44</v>
      </c>
      <c r="AN3971">
        <v>-20.92</v>
      </c>
      <c r="AO3971">
        <v>6.67</v>
      </c>
      <c r="AP3971">
        <v>-32.08</v>
      </c>
    </row>
    <row r="3972" spans="1:42">
      <c r="A3972">
        <v>3971</v>
      </c>
      <c r="B3972" t="str">
        <f>"603214"</f>
        <v>603214</v>
      </c>
      <c r="C3972" t="s">
        <v>19113</v>
      </c>
      <c r="D3972">
        <v>17.09</v>
      </c>
      <c r="E3972">
        <v>1</v>
      </c>
      <c r="F3972">
        <v>0.17</v>
      </c>
      <c r="G3972" t="s">
        <v>2329</v>
      </c>
      <c r="H3972">
        <v>236</v>
      </c>
      <c r="I3972">
        <v>17.07</v>
      </c>
      <c r="J3972">
        <v>17.09</v>
      </c>
      <c r="K3972" t="s">
        <v>19114</v>
      </c>
      <c r="L3972">
        <v>1.36</v>
      </c>
      <c r="M3972" t="s">
        <v>46</v>
      </c>
      <c r="N3972" t="s">
        <v>2966</v>
      </c>
      <c r="O3972">
        <v>17.18</v>
      </c>
      <c r="P3972">
        <v>16.88</v>
      </c>
      <c r="Q3972">
        <v>16.88</v>
      </c>
      <c r="R3972">
        <v>16.92</v>
      </c>
      <c r="S3972">
        <v>1.77</v>
      </c>
      <c r="T3972">
        <v>1.22</v>
      </c>
      <c r="U3972">
        <v>26.09</v>
      </c>
      <c r="V3972">
        <v>120</v>
      </c>
      <c r="W3972">
        <v>17.06</v>
      </c>
      <c r="X3972">
        <v>8196</v>
      </c>
      <c r="Y3972" t="s">
        <v>51</v>
      </c>
      <c r="Z3972">
        <v>0.75</v>
      </c>
      <c r="AA3972">
        <v>60</v>
      </c>
      <c r="AB3972">
        <v>3</v>
      </c>
      <c r="AC3972">
        <v>2.22</v>
      </c>
      <c r="AD3972" t="s">
        <v>19115</v>
      </c>
      <c r="AE3972" t="s">
        <v>19116</v>
      </c>
      <c r="AF3972" t="s">
        <v>19115</v>
      </c>
      <c r="AG3972" t="s">
        <v>19116</v>
      </c>
      <c r="AH3972">
        <v>1.54</v>
      </c>
      <c r="AI3972">
        <v>1.42</v>
      </c>
      <c r="AJ3972">
        <v>3.94</v>
      </c>
      <c r="AK3972">
        <v>6.95</v>
      </c>
      <c r="AL3972">
        <v>1</v>
      </c>
      <c r="AM3972">
        <v>1</v>
      </c>
      <c r="AN3972">
        <v>-3.88</v>
      </c>
      <c r="AO3972">
        <v>7.89</v>
      </c>
      <c r="AP3972">
        <v>-0.64</v>
      </c>
    </row>
    <row r="3973" spans="1:42">
      <c r="A3973">
        <v>3972</v>
      </c>
      <c r="B3973" t="str">
        <f>"300286"</f>
        <v>300286</v>
      </c>
      <c r="C3973" t="s">
        <v>19117</v>
      </c>
      <c r="D3973">
        <v>27.28</v>
      </c>
      <c r="E3973">
        <v>0.89</v>
      </c>
      <c r="F3973">
        <v>0.24</v>
      </c>
      <c r="G3973" t="s">
        <v>8636</v>
      </c>
      <c r="H3973">
        <v>108</v>
      </c>
      <c r="I3973">
        <v>27.27</v>
      </c>
      <c r="J3973">
        <v>27.33</v>
      </c>
      <c r="K3973" t="s">
        <v>19114</v>
      </c>
      <c r="L3973">
        <v>0.69</v>
      </c>
      <c r="M3973" t="s">
        <v>46</v>
      </c>
      <c r="N3973" t="s">
        <v>13032</v>
      </c>
      <c r="O3973">
        <v>27.46</v>
      </c>
      <c r="P3973">
        <v>26.85</v>
      </c>
      <c r="Q3973">
        <v>27.16</v>
      </c>
      <c r="R3973">
        <v>27.04</v>
      </c>
      <c r="S3973">
        <v>2.26</v>
      </c>
      <c r="T3973">
        <v>0.84</v>
      </c>
      <c r="U3973">
        <v>-15.79</v>
      </c>
      <c r="V3973">
        <v>-18</v>
      </c>
      <c r="W3973">
        <v>27.17</v>
      </c>
      <c r="X3973">
        <v>6610</v>
      </c>
      <c r="Y3973">
        <v>5408</v>
      </c>
      <c r="Z3973">
        <v>1.22</v>
      </c>
      <c r="AA3973">
        <v>33</v>
      </c>
      <c r="AB3973">
        <v>17</v>
      </c>
      <c r="AC3973">
        <v>4.52</v>
      </c>
      <c r="AD3973" t="s">
        <v>19118</v>
      </c>
      <c r="AE3973" t="s">
        <v>12438</v>
      </c>
      <c r="AF3973" t="s">
        <v>16859</v>
      </c>
      <c r="AG3973" t="s">
        <v>19119</v>
      </c>
      <c r="AH3973">
        <v>-0.11</v>
      </c>
      <c r="AI3973">
        <v>-1.98</v>
      </c>
      <c r="AJ3973">
        <v>2.16</v>
      </c>
      <c r="AK3973">
        <v>4.81</v>
      </c>
      <c r="AL3973">
        <v>1</v>
      </c>
      <c r="AM3973">
        <v>0.89</v>
      </c>
      <c r="AN3973">
        <v>-7.65</v>
      </c>
      <c r="AO3973">
        <v>-2.29</v>
      </c>
      <c r="AP3973">
        <v>-5.01</v>
      </c>
    </row>
    <row r="3974" spans="1:42">
      <c r="A3974">
        <v>3973</v>
      </c>
      <c r="B3974" t="str">
        <f>"600769"</f>
        <v>600769</v>
      </c>
      <c r="C3974" t="s">
        <v>19120</v>
      </c>
      <c r="D3974">
        <v>9.23</v>
      </c>
      <c r="E3974">
        <v>0.98</v>
      </c>
      <c r="F3974">
        <v>0.09</v>
      </c>
      <c r="G3974" t="s">
        <v>5693</v>
      </c>
      <c r="H3974">
        <v>863</v>
      </c>
      <c r="I3974">
        <v>9.21</v>
      </c>
      <c r="J3974">
        <v>9.23</v>
      </c>
      <c r="K3974" t="s">
        <v>19114</v>
      </c>
      <c r="L3974">
        <v>0.95</v>
      </c>
      <c r="M3974" t="s">
        <v>46</v>
      </c>
      <c r="N3974" t="s">
        <v>19121</v>
      </c>
      <c r="O3974">
        <v>9.25</v>
      </c>
      <c r="P3974">
        <v>9.05</v>
      </c>
      <c r="Q3974">
        <v>9.05</v>
      </c>
      <c r="R3974">
        <v>9.14</v>
      </c>
      <c r="S3974">
        <v>2.19</v>
      </c>
      <c r="T3974">
        <v>0.87</v>
      </c>
      <c r="U3974">
        <v>-62.57</v>
      </c>
      <c r="V3974">
        <v>-1979</v>
      </c>
      <c r="W3974">
        <v>9.18</v>
      </c>
      <c r="X3974" t="s">
        <v>4977</v>
      </c>
      <c r="Y3974" t="s">
        <v>1455</v>
      </c>
      <c r="Z3974">
        <v>0.81</v>
      </c>
      <c r="AA3974">
        <v>33</v>
      </c>
      <c r="AB3974">
        <v>17</v>
      </c>
      <c r="AC3974">
        <v>39.23</v>
      </c>
      <c r="AD3974" t="s">
        <v>15499</v>
      </c>
      <c r="AE3974" t="s">
        <v>10617</v>
      </c>
      <c r="AF3974" t="s">
        <v>15499</v>
      </c>
      <c r="AG3974" t="s">
        <v>10617</v>
      </c>
      <c r="AH3974">
        <v>0.98</v>
      </c>
      <c r="AI3974">
        <v>0.11</v>
      </c>
      <c r="AJ3974">
        <v>3.22</v>
      </c>
      <c r="AK3974">
        <v>6.42</v>
      </c>
      <c r="AL3974">
        <v>2</v>
      </c>
      <c r="AM3974">
        <v>0.98</v>
      </c>
      <c r="AN3974">
        <v>12.56</v>
      </c>
      <c r="AO3974">
        <v>0.44</v>
      </c>
      <c r="AP3974">
        <v>9.49</v>
      </c>
    </row>
    <row r="3975" spans="1:42">
      <c r="A3975">
        <v>3974</v>
      </c>
      <c r="B3975" t="str">
        <f>"300150"</f>
        <v>300150</v>
      </c>
      <c r="C3975" t="s">
        <v>19122</v>
      </c>
      <c r="D3975">
        <v>4.97</v>
      </c>
      <c r="E3975">
        <v>1.64</v>
      </c>
      <c r="F3975">
        <v>0.08</v>
      </c>
      <c r="G3975" t="s">
        <v>3828</v>
      </c>
      <c r="H3975">
        <v>275</v>
      </c>
      <c r="I3975">
        <v>4.97</v>
      </c>
      <c r="J3975">
        <v>4.98</v>
      </c>
      <c r="K3975" t="s">
        <v>19123</v>
      </c>
      <c r="L3975">
        <v>1.28</v>
      </c>
      <c r="M3975" t="s">
        <v>46</v>
      </c>
      <c r="N3975" t="s">
        <v>3225</v>
      </c>
      <c r="O3975">
        <v>4.99</v>
      </c>
      <c r="P3975">
        <v>4.87</v>
      </c>
      <c r="Q3975">
        <v>4.9</v>
      </c>
      <c r="R3975">
        <v>4.89</v>
      </c>
      <c r="S3975">
        <v>2.45</v>
      </c>
      <c r="T3975">
        <v>0.88</v>
      </c>
      <c r="U3975">
        <v>-47.15</v>
      </c>
      <c r="V3975">
        <v>-3811</v>
      </c>
      <c r="W3975">
        <v>4.93</v>
      </c>
      <c r="X3975" t="s">
        <v>6431</v>
      </c>
      <c r="Y3975" t="s">
        <v>4970</v>
      </c>
      <c r="Z3975">
        <v>0.94</v>
      </c>
      <c r="AA3975">
        <v>231</v>
      </c>
      <c r="AB3975">
        <v>1754</v>
      </c>
      <c r="AC3975">
        <v>1.89</v>
      </c>
      <c r="AD3975" t="s">
        <v>16582</v>
      </c>
      <c r="AE3975" t="s">
        <v>19124</v>
      </c>
      <c r="AF3975" t="s">
        <v>19125</v>
      </c>
      <c r="AG3975" t="s">
        <v>8174</v>
      </c>
      <c r="AH3975">
        <v>-1.19</v>
      </c>
      <c r="AI3975">
        <v>-1.78</v>
      </c>
      <c r="AJ3975">
        <v>4.16</v>
      </c>
      <c r="AK3975">
        <v>8.6</v>
      </c>
      <c r="AL3975">
        <v>1</v>
      </c>
      <c r="AM3975">
        <v>1.64</v>
      </c>
      <c r="AN3975">
        <v>37.67</v>
      </c>
      <c r="AO3975">
        <v>3.97</v>
      </c>
      <c r="AP3975">
        <v>23.02</v>
      </c>
    </row>
    <row r="3976" spans="1:42">
      <c r="A3976">
        <v>3975</v>
      </c>
      <c r="B3976" t="str">
        <f>"002358"</f>
        <v>002358</v>
      </c>
      <c r="C3976" t="s">
        <v>19126</v>
      </c>
      <c r="D3976">
        <v>4.44</v>
      </c>
      <c r="E3976">
        <v>-0.22</v>
      </c>
      <c r="F3976">
        <v>-0.01</v>
      </c>
      <c r="G3976" t="s">
        <v>3618</v>
      </c>
      <c r="H3976">
        <v>695</v>
      </c>
      <c r="I3976">
        <v>4.44</v>
      </c>
      <c r="J3976">
        <v>4.45</v>
      </c>
      <c r="K3976" t="s">
        <v>19127</v>
      </c>
      <c r="L3976">
        <v>0.79</v>
      </c>
      <c r="M3976" t="s">
        <v>46</v>
      </c>
      <c r="N3976" t="s">
        <v>6402</v>
      </c>
      <c r="O3976">
        <v>4.48</v>
      </c>
      <c r="P3976">
        <v>4.42</v>
      </c>
      <c r="Q3976">
        <v>4.47</v>
      </c>
      <c r="R3976">
        <v>4.45</v>
      </c>
      <c r="S3976">
        <v>1.35</v>
      </c>
      <c r="T3976">
        <v>0.72</v>
      </c>
      <c r="U3976">
        <v>-34.99</v>
      </c>
      <c r="V3976">
        <v>-4981</v>
      </c>
      <c r="W3976">
        <v>4.45</v>
      </c>
      <c r="X3976" t="s">
        <v>2754</v>
      </c>
      <c r="Y3976" t="s">
        <v>8255</v>
      </c>
      <c r="Z3976">
        <v>1.26</v>
      </c>
      <c r="AA3976">
        <v>13</v>
      </c>
      <c r="AB3976">
        <v>5290</v>
      </c>
      <c r="AC3976">
        <v>1.3</v>
      </c>
      <c r="AD3976" t="s">
        <v>19128</v>
      </c>
      <c r="AE3976" t="s">
        <v>10460</v>
      </c>
      <c r="AF3976" t="s">
        <v>10396</v>
      </c>
      <c r="AG3976" t="s">
        <v>19129</v>
      </c>
      <c r="AH3976">
        <v>-0.22</v>
      </c>
      <c r="AI3976">
        <v>0.68</v>
      </c>
      <c r="AJ3976">
        <v>3.62</v>
      </c>
      <c r="AK3976">
        <v>6.23</v>
      </c>
      <c r="AL3976">
        <v>-2</v>
      </c>
      <c r="AM3976">
        <v>-0.22</v>
      </c>
      <c r="AN3976">
        <v>3.98</v>
      </c>
      <c r="AO3976">
        <v>6.22</v>
      </c>
      <c r="AP3976">
        <v>-6.33</v>
      </c>
    </row>
    <row r="3977" spans="1:42">
      <c r="A3977">
        <v>3976</v>
      </c>
      <c r="B3977" t="str">
        <f>"603097"</f>
        <v>603097</v>
      </c>
      <c r="C3977" t="s">
        <v>19130</v>
      </c>
      <c r="D3977">
        <v>21.4</v>
      </c>
      <c r="E3977">
        <v>-1.83</v>
      </c>
      <c r="F3977">
        <v>-0.4</v>
      </c>
      <c r="G3977" t="s">
        <v>578</v>
      </c>
      <c r="H3977">
        <v>235</v>
      </c>
      <c r="I3977">
        <v>21.38</v>
      </c>
      <c r="J3977">
        <v>21.4</v>
      </c>
      <c r="K3977" t="s">
        <v>19131</v>
      </c>
      <c r="L3977">
        <v>3.82</v>
      </c>
      <c r="M3977" t="s">
        <v>46</v>
      </c>
      <c r="N3977" t="s">
        <v>18074</v>
      </c>
      <c r="O3977">
        <v>21.65</v>
      </c>
      <c r="P3977">
        <v>21.16</v>
      </c>
      <c r="Q3977">
        <v>21.65</v>
      </c>
      <c r="R3977">
        <v>21.8</v>
      </c>
      <c r="S3977">
        <v>2.25</v>
      </c>
      <c r="T3977">
        <v>0.51</v>
      </c>
      <c r="U3977">
        <v>-1.08</v>
      </c>
      <c r="V3977">
        <v>-3</v>
      </c>
      <c r="W3977">
        <v>21.32</v>
      </c>
      <c r="X3977">
        <v>8637</v>
      </c>
      <c r="Y3977">
        <v>6648</v>
      </c>
      <c r="Z3977">
        <v>1.3</v>
      </c>
      <c r="AA3977">
        <v>27</v>
      </c>
      <c r="AB3977">
        <v>44</v>
      </c>
      <c r="AC3977">
        <v>3.93</v>
      </c>
      <c r="AD3977" t="s">
        <v>2521</v>
      </c>
      <c r="AE3977" t="s">
        <v>10039</v>
      </c>
      <c r="AF3977" t="s">
        <v>6569</v>
      </c>
      <c r="AG3977" t="s">
        <v>19132</v>
      </c>
      <c r="AH3977">
        <v>-2.46</v>
      </c>
      <c r="AI3977">
        <v>0</v>
      </c>
      <c r="AJ3977">
        <v>13.23</v>
      </c>
      <c r="AK3977">
        <v>41.32</v>
      </c>
      <c r="AL3977">
        <v>-4</v>
      </c>
      <c r="AM3977">
        <v>-1.83</v>
      </c>
      <c r="AN3977">
        <v>26.33</v>
      </c>
      <c r="AO3977">
        <v>2.79</v>
      </c>
      <c r="AP3977">
        <v>9.8</v>
      </c>
    </row>
    <row r="3978" spans="1:42">
      <c r="A3978">
        <v>3977</v>
      </c>
      <c r="B3978" t="str">
        <f>"600697"</f>
        <v>600697</v>
      </c>
      <c r="C3978" t="s">
        <v>19133</v>
      </c>
      <c r="D3978">
        <v>13.12</v>
      </c>
      <c r="E3978">
        <v>0.69</v>
      </c>
      <c r="F3978">
        <v>0.09</v>
      </c>
      <c r="G3978" t="s">
        <v>2389</v>
      </c>
      <c r="H3978">
        <v>195</v>
      </c>
      <c r="I3978">
        <v>13.12</v>
      </c>
      <c r="J3978">
        <v>13.13</v>
      </c>
      <c r="K3978" t="s">
        <v>19134</v>
      </c>
      <c r="L3978">
        <v>1.59</v>
      </c>
      <c r="M3978" t="s">
        <v>46</v>
      </c>
      <c r="N3978" t="s">
        <v>19135</v>
      </c>
      <c r="O3978">
        <v>13.3</v>
      </c>
      <c r="P3978">
        <v>12.97</v>
      </c>
      <c r="Q3978">
        <v>12.97</v>
      </c>
      <c r="R3978">
        <v>13.03</v>
      </c>
      <c r="S3978">
        <v>2.53</v>
      </c>
      <c r="T3978">
        <v>1.28</v>
      </c>
      <c r="U3978">
        <v>43.6</v>
      </c>
      <c r="V3978">
        <v>654</v>
      </c>
      <c r="W3978">
        <v>13.16</v>
      </c>
      <c r="X3978" t="s">
        <v>1083</v>
      </c>
      <c r="Y3978" t="s">
        <v>1427</v>
      </c>
      <c r="Z3978">
        <v>0.92</v>
      </c>
      <c r="AA3978">
        <v>86</v>
      </c>
      <c r="AB3978">
        <v>153</v>
      </c>
      <c r="AC3978">
        <v>0.89</v>
      </c>
      <c r="AD3978" t="s">
        <v>19136</v>
      </c>
      <c r="AE3978" t="s">
        <v>12374</v>
      </c>
      <c r="AF3978" t="s">
        <v>18632</v>
      </c>
      <c r="AG3978" t="s">
        <v>19137</v>
      </c>
      <c r="AH3978">
        <v>0.23</v>
      </c>
      <c r="AI3978">
        <v>1.23</v>
      </c>
      <c r="AJ3978">
        <v>3.98</v>
      </c>
      <c r="AK3978">
        <v>7.83</v>
      </c>
      <c r="AL3978">
        <v>2</v>
      </c>
      <c r="AM3978">
        <v>0.69</v>
      </c>
      <c r="AN3978">
        <v>-3.39</v>
      </c>
      <c r="AO3978">
        <v>6.32</v>
      </c>
      <c r="AP3978">
        <v>5.38</v>
      </c>
    </row>
    <row r="3979" spans="1:42">
      <c r="A3979">
        <v>3978</v>
      </c>
      <c r="B3979" t="str">
        <f>"002551"</f>
        <v>002551</v>
      </c>
      <c r="C3979" t="s">
        <v>19138</v>
      </c>
      <c r="D3979">
        <v>4.36</v>
      </c>
      <c r="E3979">
        <v>-0.23</v>
      </c>
      <c r="F3979">
        <v>-0.01</v>
      </c>
      <c r="G3979" t="s">
        <v>3883</v>
      </c>
      <c r="H3979">
        <v>545</v>
      </c>
      <c r="I3979">
        <v>4.36</v>
      </c>
      <c r="J3979">
        <v>4.37</v>
      </c>
      <c r="K3979" t="s">
        <v>19139</v>
      </c>
      <c r="L3979">
        <v>1.22</v>
      </c>
      <c r="M3979" t="s">
        <v>46</v>
      </c>
      <c r="N3979" t="s">
        <v>19140</v>
      </c>
      <c r="O3979">
        <v>4.4</v>
      </c>
      <c r="P3979">
        <v>4.34</v>
      </c>
      <c r="Q3979">
        <v>4.37</v>
      </c>
      <c r="R3979">
        <v>4.37</v>
      </c>
      <c r="S3979">
        <v>1.37</v>
      </c>
      <c r="T3979">
        <v>0.59</v>
      </c>
      <c r="U3979">
        <v>-8.63</v>
      </c>
      <c r="V3979">
        <v>-806</v>
      </c>
      <c r="W3979">
        <v>4.37</v>
      </c>
      <c r="X3979" t="s">
        <v>8166</v>
      </c>
      <c r="Y3979" t="s">
        <v>6314</v>
      </c>
      <c r="Z3979">
        <v>1.06</v>
      </c>
      <c r="AA3979">
        <v>146</v>
      </c>
      <c r="AB3979">
        <v>598</v>
      </c>
      <c r="AC3979">
        <v>1.33</v>
      </c>
      <c r="AD3979" t="s">
        <v>19141</v>
      </c>
      <c r="AE3979" t="s">
        <v>13599</v>
      </c>
      <c r="AF3979" t="s">
        <v>19142</v>
      </c>
      <c r="AG3979" t="s">
        <v>13683</v>
      </c>
      <c r="AH3979">
        <v>-0.68</v>
      </c>
      <c r="AI3979">
        <v>-0.68</v>
      </c>
      <c r="AJ3979">
        <v>4.34</v>
      </c>
      <c r="AK3979">
        <v>11.55</v>
      </c>
      <c r="AL3979">
        <v>-1</v>
      </c>
      <c r="AM3979">
        <v>-0.23</v>
      </c>
      <c r="AN3979">
        <v>-6.24</v>
      </c>
      <c r="AO3979">
        <v>4.81</v>
      </c>
      <c r="AP3979">
        <v>-26.48</v>
      </c>
    </row>
    <row r="3980" spans="1:42">
      <c r="A3980">
        <v>3979</v>
      </c>
      <c r="B3980" t="str">
        <f>"688078"</f>
        <v>688078</v>
      </c>
      <c r="C3980" t="s">
        <v>19143</v>
      </c>
      <c r="D3980">
        <v>42.42</v>
      </c>
      <c r="E3980">
        <v>1.85</v>
      </c>
      <c r="F3980">
        <v>0.77</v>
      </c>
      <c r="G3980">
        <v>7774</v>
      </c>
      <c r="H3980">
        <v>19</v>
      </c>
      <c r="I3980">
        <v>42.42</v>
      </c>
      <c r="J3980">
        <v>42.46</v>
      </c>
      <c r="K3980" t="s">
        <v>19144</v>
      </c>
      <c r="L3980">
        <v>1.08</v>
      </c>
      <c r="M3980" t="s">
        <v>46</v>
      </c>
      <c r="N3980" t="s">
        <v>5735</v>
      </c>
      <c r="O3980">
        <v>42.67</v>
      </c>
      <c r="P3980">
        <v>41.02</v>
      </c>
      <c r="Q3980">
        <v>41.4</v>
      </c>
      <c r="R3980">
        <v>41.65</v>
      </c>
      <c r="S3980">
        <v>3.96</v>
      </c>
      <c r="T3980">
        <v>1.15</v>
      </c>
      <c r="U3980">
        <v>-8.09</v>
      </c>
      <c r="V3980">
        <v>-6</v>
      </c>
      <c r="W3980">
        <v>41.77</v>
      </c>
      <c r="X3980">
        <v>3473</v>
      </c>
      <c r="Y3980">
        <v>4301</v>
      </c>
      <c r="Z3980">
        <v>0.81</v>
      </c>
      <c r="AA3980">
        <v>2</v>
      </c>
      <c r="AB3980">
        <v>10</v>
      </c>
      <c r="AC3980">
        <v>4.38</v>
      </c>
      <c r="AD3980" t="s">
        <v>13326</v>
      </c>
      <c r="AE3980" t="s">
        <v>17360</v>
      </c>
      <c r="AF3980" t="s">
        <v>13326</v>
      </c>
      <c r="AG3980" t="s">
        <v>17360</v>
      </c>
      <c r="AH3980">
        <v>-0.33</v>
      </c>
      <c r="AI3980">
        <v>-0.63</v>
      </c>
      <c r="AJ3980">
        <v>2.75</v>
      </c>
      <c r="AK3980">
        <v>5.77</v>
      </c>
      <c r="AL3980">
        <v>1</v>
      </c>
      <c r="AM3980">
        <v>1.85</v>
      </c>
      <c r="AN3980">
        <v>34.11</v>
      </c>
      <c r="AO3980">
        <v>5.37</v>
      </c>
      <c r="AP3980">
        <v>4.28</v>
      </c>
    </row>
    <row r="3981" spans="1:42">
      <c r="A3981">
        <v>3980</v>
      </c>
      <c r="B3981" t="str">
        <f>"300155"</f>
        <v>300155</v>
      </c>
      <c r="C3981" t="s">
        <v>19145</v>
      </c>
      <c r="D3981">
        <v>5.87</v>
      </c>
      <c r="E3981">
        <v>1.21</v>
      </c>
      <c r="F3981">
        <v>0.07</v>
      </c>
      <c r="G3981" t="s">
        <v>9550</v>
      </c>
      <c r="H3981">
        <v>438</v>
      </c>
      <c r="I3981">
        <v>5.86</v>
      </c>
      <c r="J3981">
        <v>5.87</v>
      </c>
      <c r="K3981" t="s">
        <v>19144</v>
      </c>
      <c r="L3981">
        <v>1.69</v>
      </c>
      <c r="M3981" t="s">
        <v>46</v>
      </c>
      <c r="N3981" t="s">
        <v>5433</v>
      </c>
      <c r="O3981">
        <v>5.89</v>
      </c>
      <c r="P3981">
        <v>5.71</v>
      </c>
      <c r="Q3981">
        <v>5.79</v>
      </c>
      <c r="R3981">
        <v>5.8</v>
      </c>
      <c r="S3981">
        <v>3.1</v>
      </c>
      <c r="T3981">
        <v>0.89</v>
      </c>
      <c r="U3981">
        <v>-15.78</v>
      </c>
      <c r="V3981">
        <v>-1237</v>
      </c>
      <c r="W3981">
        <v>5.83</v>
      </c>
      <c r="X3981" t="s">
        <v>9251</v>
      </c>
      <c r="Y3981" t="s">
        <v>3033</v>
      </c>
      <c r="Z3981">
        <v>0.83</v>
      </c>
      <c r="AA3981">
        <v>196</v>
      </c>
      <c r="AB3981">
        <v>1</v>
      </c>
      <c r="AC3981">
        <v>2.42</v>
      </c>
      <c r="AD3981" t="s">
        <v>19146</v>
      </c>
      <c r="AE3981" t="s">
        <v>2313</v>
      </c>
      <c r="AF3981" t="s">
        <v>19147</v>
      </c>
      <c r="AG3981" t="s">
        <v>19148</v>
      </c>
      <c r="AH3981">
        <v>0.69</v>
      </c>
      <c r="AI3981">
        <v>0.34</v>
      </c>
      <c r="AJ3981">
        <v>5.55</v>
      </c>
      <c r="AK3981">
        <v>11.13</v>
      </c>
      <c r="AL3981">
        <v>1</v>
      </c>
      <c r="AM3981">
        <v>1.21</v>
      </c>
      <c r="AN3981">
        <v>27.61</v>
      </c>
      <c r="AO3981">
        <v>5.2</v>
      </c>
      <c r="AP3981">
        <v>16.47</v>
      </c>
    </row>
    <row r="3982" spans="1:42">
      <c r="A3982">
        <v>3981</v>
      </c>
      <c r="B3982" t="str">
        <f>"300890"</f>
        <v>300890</v>
      </c>
      <c r="C3982" t="s">
        <v>19149</v>
      </c>
      <c r="D3982">
        <v>33.59</v>
      </c>
      <c r="E3982">
        <v>0.54</v>
      </c>
      <c r="F3982">
        <v>0.18</v>
      </c>
      <c r="G3982">
        <v>9715</v>
      </c>
      <c r="H3982">
        <v>130</v>
      </c>
      <c r="I3982">
        <v>33.59</v>
      </c>
      <c r="J3982">
        <v>33.6</v>
      </c>
      <c r="K3982" t="s">
        <v>19150</v>
      </c>
      <c r="L3982">
        <v>1</v>
      </c>
      <c r="M3982" t="s">
        <v>46</v>
      </c>
      <c r="N3982" t="s">
        <v>3538</v>
      </c>
      <c r="O3982">
        <v>33.74</v>
      </c>
      <c r="P3982">
        <v>33.2</v>
      </c>
      <c r="Q3982">
        <v>33.61</v>
      </c>
      <c r="R3982">
        <v>33.41</v>
      </c>
      <c r="S3982">
        <v>1.62</v>
      </c>
      <c r="T3982">
        <v>0.82</v>
      </c>
      <c r="U3982">
        <v>1.54</v>
      </c>
      <c r="V3982">
        <v>2</v>
      </c>
      <c r="W3982">
        <v>33.41</v>
      </c>
      <c r="X3982">
        <v>5815</v>
      </c>
      <c r="Y3982">
        <v>3900</v>
      </c>
      <c r="Z3982">
        <v>1.49</v>
      </c>
      <c r="AA3982">
        <v>4</v>
      </c>
      <c r="AB3982">
        <v>16</v>
      </c>
      <c r="AC3982">
        <v>2.14</v>
      </c>
      <c r="AD3982" t="s">
        <v>7911</v>
      </c>
      <c r="AE3982" t="s">
        <v>19151</v>
      </c>
      <c r="AF3982" t="s">
        <v>11090</v>
      </c>
      <c r="AG3982" t="s">
        <v>5573</v>
      </c>
      <c r="AH3982">
        <v>-0.65</v>
      </c>
      <c r="AI3982">
        <v>-2.21</v>
      </c>
      <c r="AJ3982">
        <v>3.43</v>
      </c>
      <c r="AK3982">
        <v>7.11</v>
      </c>
      <c r="AL3982">
        <v>1</v>
      </c>
      <c r="AM3982">
        <v>0.54</v>
      </c>
      <c r="AN3982">
        <v>-17.06</v>
      </c>
      <c r="AO3982">
        <v>-4.08</v>
      </c>
      <c r="AP3982">
        <v>-13.92</v>
      </c>
    </row>
    <row r="3983" spans="1:42">
      <c r="A3983">
        <v>3982</v>
      </c>
      <c r="B3983" t="str">
        <f>"688252"</f>
        <v>688252</v>
      </c>
      <c r="C3983" t="s">
        <v>19152</v>
      </c>
      <c r="D3983">
        <v>20.56</v>
      </c>
      <c r="E3983">
        <v>0.19</v>
      </c>
      <c r="F3983">
        <v>0.04</v>
      </c>
      <c r="G3983" t="s">
        <v>4977</v>
      </c>
      <c r="H3983">
        <v>51</v>
      </c>
      <c r="I3983">
        <v>20.54</v>
      </c>
      <c r="J3983">
        <v>20.56</v>
      </c>
      <c r="K3983" t="s">
        <v>19153</v>
      </c>
      <c r="L3983">
        <v>0.88</v>
      </c>
      <c r="M3983" t="s">
        <v>46</v>
      </c>
      <c r="N3983" t="s">
        <v>19154</v>
      </c>
      <c r="O3983">
        <v>20.6</v>
      </c>
      <c r="P3983">
        <v>20.22</v>
      </c>
      <c r="Q3983">
        <v>20.5</v>
      </c>
      <c r="R3983">
        <v>20.52</v>
      </c>
      <c r="S3983">
        <v>1.85</v>
      </c>
      <c r="T3983">
        <v>0.64</v>
      </c>
      <c r="U3983">
        <v>-1.48</v>
      </c>
      <c r="V3983">
        <v>-4</v>
      </c>
      <c r="W3983">
        <v>20.4</v>
      </c>
      <c r="X3983">
        <v>8065</v>
      </c>
      <c r="Y3983">
        <v>7836</v>
      </c>
      <c r="Z3983">
        <v>1.03</v>
      </c>
      <c r="AA3983">
        <v>2</v>
      </c>
      <c r="AB3983">
        <v>6</v>
      </c>
      <c r="AC3983">
        <v>4.42</v>
      </c>
      <c r="AD3983" t="s">
        <v>19155</v>
      </c>
      <c r="AE3983" t="s">
        <v>19156</v>
      </c>
      <c r="AF3983" t="s">
        <v>14175</v>
      </c>
      <c r="AG3983" t="s">
        <v>19157</v>
      </c>
      <c r="AH3983">
        <v>-0.63</v>
      </c>
      <c r="AI3983">
        <v>-0.19</v>
      </c>
      <c r="AJ3983">
        <v>3.95</v>
      </c>
      <c r="AK3983">
        <v>7.77</v>
      </c>
      <c r="AL3983">
        <v>1</v>
      </c>
      <c r="AM3983">
        <v>0.19</v>
      </c>
      <c r="AN3983">
        <v>22.6</v>
      </c>
      <c r="AO3983">
        <v>1.33</v>
      </c>
      <c r="AP3983">
        <v>3.52</v>
      </c>
    </row>
    <row r="3984" spans="1:42">
      <c r="A3984">
        <v>3983</v>
      </c>
      <c r="B3984" t="str">
        <f>"002788"</f>
        <v>002788</v>
      </c>
      <c r="C3984" t="s">
        <v>19158</v>
      </c>
      <c r="D3984">
        <v>9.53</v>
      </c>
      <c r="E3984">
        <v>0</v>
      </c>
      <c r="F3984">
        <v>0</v>
      </c>
      <c r="G3984" t="s">
        <v>4970</v>
      </c>
      <c r="H3984">
        <v>286</v>
      </c>
      <c r="I3984">
        <v>9.53</v>
      </c>
      <c r="J3984">
        <v>9.54</v>
      </c>
      <c r="K3984" t="s">
        <v>19159</v>
      </c>
      <c r="L3984">
        <v>0.89</v>
      </c>
      <c r="M3984" t="s">
        <v>46</v>
      </c>
      <c r="N3984" t="s">
        <v>8281</v>
      </c>
      <c r="O3984">
        <v>9.6</v>
      </c>
      <c r="P3984">
        <v>9.44</v>
      </c>
      <c r="Q3984">
        <v>9.52</v>
      </c>
      <c r="R3984">
        <v>9.53</v>
      </c>
      <c r="S3984">
        <v>1.68</v>
      </c>
      <c r="T3984">
        <v>0.72</v>
      </c>
      <c r="U3984">
        <v>-39.14</v>
      </c>
      <c r="V3984">
        <v>-1419</v>
      </c>
      <c r="W3984">
        <v>9.53</v>
      </c>
      <c r="X3984" t="s">
        <v>4943</v>
      </c>
      <c r="Y3984" t="s">
        <v>3165</v>
      </c>
      <c r="Z3984">
        <v>0.92</v>
      </c>
      <c r="AA3984">
        <v>26</v>
      </c>
      <c r="AB3984">
        <v>1252</v>
      </c>
      <c r="AC3984">
        <v>1.3</v>
      </c>
      <c r="AD3984" t="s">
        <v>19160</v>
      </c>
      <c r="AE3984" t="s">
        <v>8990</v>
      </c>
      <c r="AF3984" t="s">
        <v>19161</v>
      </c>
      <c r="AG3984" t="s">
        <v>19162</v>
      </c>
      <c r="AH3984">
        <v>-1.14</v>
      </c>
      <c r="AI3984">
        <v>-1.65</v>
      </c>
      <c r="AJ3984">
        <v>2.97</v>
      </c>
      <c r="AK3984">
        <v>7.06</v>
      </c>
      <c r="AL3984">
        <v>0</v>
      </c>
      <c r="AM3984">
        <v>0</v>
      </c>
      <c r="AN3984">
        <v>18.68</v>
      </c>
      <c r="AO3984">
        <v>-2.06</v>
      </c>
      <c r="AP3984">
        <v>6.84</v>
      </c>
    </row>
    <row r="3985" spans="1:42">
      <c r="A3985">
        <v>3984</v>
      </c>
      <c r="B3985" t="str">
        <f>"301045"</f>
        <v>301045</v>
      </c>
      <c r="C3985" t="s">
        <v>19163</v>
      </c>
      <c r="D3985">
        <v>25.92</v>
      </c>
      <c r="E3985">
        <v>-0.04</v>
      </c>
      <c r="F3985">
        <v>-0.01</v>
      </c>
      <c r="G3985" t="s">
        <v>682</v>
      </c>
      <c r="H3985">
        <v>259</v>
      </c>
      <c r="I3985">
        <v>25.83</v>
      </c>
      <c r="J3985">
        <v>25.92</v>
      </c>
      <c r="K3985" t="s">
        <v>19164</v>
      </c>
      <c r="L3985">
        <v>2.27</v>
      </c>
      <c r="M3985" t="s">
        <v>46</v>
      </c>
      <c r="N3985" t="s">
        <v>17480</v>
      </c>
      <c r="O3985">
        <v>26.01</v>
      </c>
      <c r="P3985">
        <v>25.55</v>
      </c>
      <c r="Q3985">
        <v>25.75</v>
      </c>
      <c r="R3985">
        <v>25.93</v>
      </c>
      <c r="S3985">
        <v>1.77</v>
      </c>
      <c r="T3985">
        <v>0.5</v>
      </c>
      <c r="U3985">
        <v>75.94</v>
      </c>
      <c r="V3985">
        <v>524</v>
      </c>
      <c r="W3985">
        <v>25.8</v>
      </c>
      <c r="X3985">
        <v>6859</v>
      </c>
      <c r="Y3985">
        <v>5699</v>
      </c>
      <c r="Z3985">
        <v>1.2</v>
      </c>
      <c r="AA3985">
        <v>15</v>
      </c>
      <c r="AB3985">
        <v>2</v>
      </c>
      <c r="AC3985">
        <v>3.06</v>
      </c>
      <c r="AD3985" t="s">
        <v>6576</v>
      </c>
      <c r="AE3985" t="s">
        <v>14925</v>
      </c>
      <c r="AF3985" t="s">
        <v>19165</v>
      </c>
      <c r="AG3985" t="s">
        <v>11273</v>
      </c>
      <c r="AH3985">
        <v>-1.52</v>
      </c>
      <c r="AI3985">
        <v>0.47</v>
      </c>
      <c r="AJ3985">
        <v>13.12</v>
      </c>
      <c r="AK3985">
        <v>25.15</v>
      </c>
      <c r="AL3985">
        <v>-2</v>
      </c>
      <c r="AM3985">
        <v>-0.04</v>
      </c>
      <c r="AN3985">
        <v>59.61</v>
      </c>
      <c r="AO3985">
        <v>-0.58</v>
      </c>
      <c r="AP3985">
        <v>39.58</v>
      </c>
    </row>
    <row r="3986" spans="1:42">
      <c r="A3986">
        <v>3985</v>
      </c>
      <c r="B3986" t="str">
        <f>"000672"</f>
        <v>000672</v>
      </c>
      <c r="C3986" t="s">
        <v>19166</v>
      </c>
      <c r="D3986">
        <v>8.36</v>
      </c>
      <c r="E3986">
        <v>0.12</v>
      </c>
      <c r="F3986">
        <v>0.01</v>
      </c>
      <c r="G3986" t="s">
        <v>3291</v>
      </c>
      <c r="H3986">
        <v>268</v>
      </c>
      <c r="I3986">
        <v>8.36</v>
      </c>
      <c r="J3986">
        <v>8.37</v>
      </c>
      <c r="K3986" t="s">
        <v>19167</v>
      </c>
      <c r="L3986">
        <v>0.4</v>
      </c>
      <c r="M3986" t="s">
        <v>46</v>
      </c>
      <c r="N3986" t="s">
        <v>12629</v>
      </c>
      <c r="O3986">
        <v>8.39</v>
      </c>
      <c r="P3986">
        <v>8.3</v>
      </c>
      <c r="Q3986">
        <v>8.37</v>
      </c>
      <c r="R3986">
        <v>8.35</v>
      </c>
      <c r="S3986">
        <v>1.08</v>
      </c>
      <c r="T3986">
        <v>0.61</v>
      </c>
      <c r="U3986">
        <v>24.12</v>
      </c>
      <c r="V3986">
        <v>1093</v>
      </c>
      <c r="W3986">
        <v>8.35</v>
      </c>
      <c r="X3986" t="s">
        <v>153</v>
      </c>
      <c r="Y3986" t="s">
        <v>3165</v>
      </c>
      <c r="Z3986">
        <v>1.19</v>
      </c>
      <c r="AA3986">
        <v>70</v>
      </c>
      <c r="AB3986">
        <v>98</v>
      </c>
      <c r="AC3986">
        <v>0.92</v>
      </c>
      <c r="AD3986" t="s">
        <v>19168</v>
      </c>
      <c r="AE3986" t="s">
        <v>19169</v>
      </c>
      <c r="AF3986" t="s">
        <v>19168</v>
      </c>
      <c r="AG3986" t="s">
        <v>19169</v>
      </c>
      <c r="AH3986">
        <v>-3.13</v>
      </c>
      <c r="AI3986">
        <v>-4.46</v>
      </c>
      <c r="AJ3986">
        <v>2</v>
      </c>
      <c r="AK3986">
        <v>3.68</v>
      </c>
      <c r="AL3986">
        <v>1</v>
      </c>
      <c r="AM3986">
        <v>0.12</v>
      </c>
      <c r="AN3986">
        <v>-19.07</v>
      </c>
      <c r="AO3986">
        <v>-2.34</v>
      </c>
      <c r="AP3986">
        <v>-20.61</v>
      </c>
    </row>
    <row r="3987" spans="1:42">
      <c r="A3987">
        <v>3986</v>
      </c>
      <c r="B3987" t="str">
        <f>"002247"</f>
        <v>002247</v>
      </c>
      <c r="C3987" t="s">
        <v>19170</v>
      </c>
      <c r="D3987">
        <v>2.34</v>
      </c>
      <c r="E3987">
        <v>2.18</v>
      </c>
      <c r="F3987">
        <v>0.05</v>
      </c>
      <c r="G3987" t="s">
        <v>1207</v>
      </c>
      <c r="H3987">
        <v>2559</v>
      </c>
      <c r="I3987">
        <v>2.33</v>
      </c>
      <c r="J3987">
        <v>2.34</v>
      </c>
      <c r="K3987" t="s">
        <v>19171</v>
      </c>
      <c r="L3987">
        <v>2.17</v>
      </c>
      <c r="M3987" t="s">
        <v>46</v>
      </c>
      <c r="N3987" t="s">
        <v>1984</v>
      </c>
      <c r="O3987">
        <v>2.35</v>
      </c>
      <c r="P3987">
        <v>2.28</v>
      </c>
      <c r="Q3987">
        <v>2.29</v>
      </c>
      <c r="R3987">
        <v>2.29</v>
      </c>
      <c r="S3987">
        <v>3.06</v>
      </c>
      <c r="T3987">
        <v>1.38</v>
      </c>
      <c r="U3987">
        <v>-9.68</v>
      </c>
      <c r="V3987">
        <v>-1637</v>
      </c>
      <c r="W3987">
        <v>2.32</v>
      </c>
      <c r="X3987" t="s">
        <v>8539</v>
      </c>
      <c r="Y3987" t="s">
        <v>3201</v>
      </c>
      <c r="Z3987">
        <v>0.83</v>
      </c>
      <c r="AA3987">
        <v>841</v>
      </c>
      <c r="AB3987">
        <v>1</v>
      </c>
      <c r="AC3987">
        <v>5</v>
      </c>
      <c r="AD3987" t="s">
        <v>18773</v>
      </c>
      <c r="AE3987" t="s">
        <v>7731</v>
      </c>
      <c r="AF3987" t="s">
        <v>3488</v>
      </c>
      <c r="AG3987" t="s">
        <v>2925</v>
      </c>
      <c r="AH3987">
        <v>0.86</v>
      </c>
      <c r="AI3987">
        <v>-0.43</v>
      </c>
      <c r="AJ3987">
        <v>5.15</v>
      </c>
      <c r="AK3987">
        <v>10</v>
      </c>
      <c r="AL3987">
        <v>1</v>
      </c>
      <c r="AM3987">
        <v>2.18</v>
      </c>
      <c r="AN3987">
        <v>-6.4</v>
      </c>
      <c r="AO3987">
        <v>6.85</v>
      </c>
      <c r="AP3987">
        <v>-11.03</v>
      </c>
    </row>
    <row r="3988" spans="1:42">
      <c r="A3988">
        <v>3987</v>
      </c>
      <c r="B3988" t="str">
        <f>"002556"</f>
        <v>002556</v>
      </c>
      <c r="C3988" t="s">
        <v>19172</v>
      </c>
      <c r="D3988">
        <v>6.12</v>
      </c>
      <c r="E3988">
        <v>-0.97</v>
      </c>
      <c r="F3988">
        <v>-0.06</v>
      </c>
      <c r="G3988" t="s">
        <v>6573</v>
      </c>
      <c r="H3988">
        <v>1849</v>
      </c>
      <c r="I3988">
        <v>6.12</v>
      </c>
      <c r="J3988">
        <v>6.13</v>
      </c>
      <c r="K3988" t="s">
        <v>19173</v>
      </c>
      <c r="L3988">
        <v>0.56</v>
      </c>
      <c r="M3988" t="s">
        <v>46</v>
      </c>
      <c r="N3988" t="s">
        <v>15210</v>
      </c>
      <c r="O3988">
        <v>6.18</v>
      </c>
      <c r="P3988">
        <v>6.12</v>
      </c>
      <c r="Q3988">
        <v>6.15</v>
      </c>
      <c r="R3988">
        <v>6.18</v>
      </c>
      <c r="S3988">
        <v>0.97</v>
      </c>
      <c r="T3988">
        <v>0.76</v>
      </c>
      <c r="U3988">
        <v>3.92</v>
      </c>
      <c r="V3988">
        <v>285</v>
      </c>
      <c r="W3988">
        <v>6.15</v>
      </c>
      <c r="X3988" t="s">
        <v>3226</v>
      </c>
      <c r="Y3988" t="s">
        <v>5592</v>
      </c>
      <c r="Z3988">
        <v>1.5</v>
      </c>
      <c r="AA3988">
        <v>121</v>
      </c>
      <c r="AB3988">
        <v>605</v>
      </c>
      <c r="AC3988">
        <v>1.52</v>
      </c>
      <c r="AD3988" t="s">
        <v>19174</v>
      </c>
      <c r="AE3988" t="s">
        <v>19175</v>
      </c>
      <c r="AF3988" t="s">
        <v>19176</v>
      </c>
      <c r="AG3988" t="s">
        <v>7955</v>
      </c>
      <c r="AH3988">
        <v>-2.24</v>
      </c>
      <c r="AI3988">
        <v>-2.24</v>
      </c>
      <c r="AJ3988">
        <v>2.12</v>
      </c>
      <c r="AK3988">
        <v>4.22</v>
      </c>
      <c r="AL3988">
        <v>-1</v>
      </c>
      <c r="AM3988">
        <v>-0.97</v>
      </c>
      <c r="AN3988">
        <v>-27.57</v>
      </c>
      <c r="AO3988">
        <v>-1.77</v>
      </c>
      <c r="AP3988">
        <v>-31.47</v>
      </c>
    </row>
    <row r="3989" spans="1:42">
      <c r="A3989">
        <v>3988</v>
      </c>
      <c r="B3989" t="str">
        <f>"000605"</f>
        <v>000605</v>
      </c>
      <c r="C3989" t="s">
        <v>19177</v>
      </c>
      <c r="D3989">
        <v>6.31</v>
      </c>
      <c r="E3989">
        <v>0.8</v>
      </c>
      <c r="F3989">
        <v>0.05</v>
      </c>
      <c r="G3989" t="s">
        <v>7430</v>
      </c>
      <c r="H3989">
        <v>269</v>
      </c>
      <c r="I3989">
        <v>6.3</v>
      </c>
      <c r="J3989">
        <v>6.31</v>
      </c>
      <c r="K3989" t="s">
        <v>19173</v>
      </c>
      <c r="L3989">
        <v>1.52</v>
      </c>
      <c r="M3989" t="s">
        <v>46</v>
      </c>
      <c r="N3989" t="s">
        <v>517</v>
      </c>
      <c r="O3989">
        <v>6.37</v>
      </c>
      <c r="P3989">
        <v>6.22</v>
      </c>
      <c r="Q3989">
        <v>6.26</v>
      </c>
      <c r="R3989">
        <v>6.26</v>
      </c>
      <c r="S3989">
        <v>2.4</v>
      </c>
      <c r="T3989">
        <v>1.44</v>
      </c>
      <c r="U3989">
        <v>11.43</v>
      </c>
      <c r="V3989">
        <v>647</v>
      </c>
      <c r="W3989">
        <v>6.31</v>
      </c>
      <c r="X3989" t="s">
        <v>6266</v>
      </c>
      <c r="Y3989" t="s">
        <v>6418</v>
      </c>
      <c r="Z3989">
        <v>0.82</v>
      </c>
      <c r="AA3989">
        <v>1365</v>
      </c>
      <c r="AB3989">
        <v>387</v>
      </c>
      <c r="AC3989">
        <v>1.06</v>
      </c>
      <c r="AD3989" t="s">
        <v>12067</v>
      </c>
      <c r="AE3989" t="s">
        <v>10093</v>
      </c>
      <c r="AF3989" t="s">
        <v>18116</v>
      </c>
      <c r="AG3989" t="s">
        <v>12404</v>
      </c>
      <c r="AH3989">
        <v>0.96</v>
      </c>
      <c r="AI3989">
        <v>0.96</v>
      </c>
      <c r="AJ3989">
        <v>3.8</v>
      </c>
      <c r="AK3989">
        <v>6.8</v>
      </c>
      <c r="AL3989">
        <v>1</v>
      </c>
      <c r="AM3989">
        <v>0.8</v>
      </c>
      <c r="AN3989">
        <v>4.64</v>
      </c>
      <c r="AO3989">
        <v>3.27</v>
      </c>
      <c r="AP3989">
        <v>1.94</v>
      </c>
    </row>
    <row r="3990" spans="1:42">
      <c r="A3990">
        <v>3989</v>
      </c>
      <c r="B3990" t="str">
        <f>"000544"</f>
        <v>000544</v>
      </c>
      <c r="C3990" t="s">
        <v>19178</v>
      </c>
      <c r="D3990">
        <v>7.18</v>
      </c>
      <c r="E3990">
        <v>0.42</v>
      </c>
      <c r="F3990">
        <v>0.03</v>
      </c>
      <c r="G3990" t="s">
        <v>1502</v>
      </c>
      <c r="H3990">
        <v>667</v>
      </c>
      <c r="I3990">
        <v>7.18</v>
      </c>
      <c r="J3990">
        <v>7.19</v>
      </c>
      <c r="K3990" t="s">
        <v>19179</v>
      </c>
      <c r="L3990">
        <v>0.46</v>
      </c>
      <c r="M3990" t="s">
        <v>46</v>
      </c>
      <c r="N3990" t="s">
        <v>19180</v>
      </c>
      <c r="O3990">
        <v>7.21</v>
      </c>
      <c r="P3990">
        <v>7.13</v>
      </c>
      <c r="Q3990">
        <v>7.15</v>
      </c>
      <c r="R3990">
        <v>7.15</v>
      </c>
      <c r="S3990">
        <v>1.12</v>
      </c>
      <c r="T3990">
        <v>1.02</v>
      </c>
      <c r="U3990">
        <v>32.82</v>
      </c>
      <c r="V3990">
        <v>2759</v>
      </c>
      <c r="W3990">
        <v>7.17</v>
      </c>
      <c r="X3990" t="s">
        <v>8073</v>
      </c>
      <c r="Y3990" t="s">
        <v>9766</v>
      </c>
      <c r="Z3990">
        <v>0.84</v>
      </c>
      <c r="AA3990">
        <v>239</v>
      </c>
      <c r="AB3990">
        <v>632</v>
      </c>
      <c r="AC3990">
        <v>0.93</v>
      </c>
      <c r="AD3990" t="s">
        <v>19181</v>
      </c>
      <c r="AE3990" t="s">
        <v>19182</v>
      </c>
      <c r="AF3990" t="s">
        <v>19181</v>
      </c>
      <c r="AG3990" t="s">
        <v>19182</v>
      </c>
      <c r="AH3990">
        <v>-1.24</v>
      </c>
      <c r="AI3990">
        <v>-1.51</v>
      </c>
      <c r="AJ3990">
        <v>1.38</v>
      </c>
      <c r="AK3990">
        <v>2.74</v>
      </c>
      <c r="AL3990">
        <v>1</v>
      </c>
      <c r="AM3990">
        <v>0.42</v>
      </c>
      <c r="AN3990">
        <v>16.37</v>
      </c>
      <c r="AO3990">
        <v>0.98</v>
      </c>
      <c r="AP3990">
        <v>8.79</v>
      </c>
    </row>
    <row r="3991" spans="1:42">
      <c r="A3991">
        <v>3990</v>
      </c>
      <c r="B3991" t="str">
        <f>"002014"</f>
        <v>002014</v>
      </c>
      <c r="C3991" t="s">
        <v>19183</v>
      </c>
      <c r="D3991">
        <v>8.27</v>
      </c>
      <c r="E3991">
        <v>0.12</v>
      </c>
      <c r="F3991">
        <v>0.01</v>
      </c>
      <c r="G3991" t="s">
        <v>5774</v>
      </c>
      <c r="H3991">
        <v>87</v>
      </c>
      <c r="I3991">
        <v>8.27</v>
      </c>
      <c r="J3991">
        <v>8.28</v>
      </c>
      <c r="K3991" t="s">
        <v>19179</v>
      </c>
      <c r="L3991">
        <v>0.65</v>
      </c>
      <c r="M3991" t="s">
        <v>46</v>
      </c>
      <c r="N3991" t="s">
        <v>9759</v>
      </c>
      <c r="O3991">
        <v>8.35</v>
      </c>
      <c r="P3991">
        <v>8.18</v>
      </c>
      <c r="Q3991">
        <v>8.27</v>
      </c>
      <c r="R3991">
        <v>8.26</v>
      </c>
      <c r="S3991">
        <v>2.06</v>
      </c>
      <c r="T3991">
        <v>1.54</v>
      </c>
      <c r="U3991">
        <v>27.16</v>
      </c>
      <c r="V3991">
        <v>422</v>
      </c>
      <c r="W3991">
        <v>8.3</v>
      </c>
      <c r="X3991" t="s">
        <v>5997</v>
      </c>
      <c r="Y3991" t="s">
        <v>8267</v>
      </c>
      <c r="Z3991">
        <v>0.75</v>
      </c>
      <c r="AA3991">
        <v>55</v>
      </c>
      <c r="AB3991">
        <v>28</v>
      </c>
      <c r="AC3991">
        <v>2.16</v>
      </c>
      <c r="AD3991" t="s">
        <v>13990</v>
      </c>
      <c r="AE3991" t="s">
        <v>10282</v>
      </c>
      <c r="AF3991" t="s">
        <v>19184</v>
      </c>
      <c r="AG3991" t="s">
        <v>5468</v>
      </c>
      <c r="AH3991">
        <v>-1.78</v>
      </c>
      <c r="AI3991">
        <v>-1.78</v>
      </c>
      <c r="AJ3991">
        <v>1.66</v>
      </c>
      <c r="AK3991">
        <v>2.74</v>
      </c>
      <c r="AL3991">
        <v>1</v>
      </c>
      <c r="AM3991">
        <v>0.12</v>
      </c>
      <c r="AN3991">
        <v>8.25</v>
      </c>
      <c r="AO3991">
        <v>-3.27</v>
      </c>
      <c r="AP3991">
        <v>-0.24</v>
      </c>
    </row>
    <row r="3992" spans="1:42">
      <c r="A3992">
        <v>3991</v>
      </c>
      <c r="B3992" t="str">
        <f>"300384"</f>
        <v>300384</v>
      </c>
      <c r="C3992" t="s">
        <v>19185</v>
      </c>
      <c r="D3992">
        <v>16.61</v>
      </c>
      <c r="E3992">
        <v>0.42</v>
      </c>
      <c r="F3992">
        <v>0.07</v>
      </c>
      <c r="G3992" t="s">
        <v>5585</v>
      </c>
      <c r="H3992">
        <v>195</v>
      </c>
      <c r="I3992">
        <v>16.61</v>
      </c>
      <c r="J3992">
        <v>16.62</v>
      </c>
      <c r="K3992" t="s">
        <v>19186</v>
      </c>
      <c r="L3992">
        <v>0.89</v>
      </c>
      <c r="M3992" t="s">
        <v>46</v>
      </c>
      <c r="N3992" t="s">
        <v>19187</v>
      </c>
      <c r="O3992">
        <v>16.73</v>
      </c>
      <c r="P3992">
        <v>16.42</v>
      </c>
      <c r="Q3992">
        <v>16.54</v>
      </c>
      <c r="R3992">
        <v>16.54</v>
      </c>
      <c r="S3992">
        <v>1.87</v>
      </c>
      <c r="T3992">
        <v>0.54</v>
      </c>
      <c r="U3992">
        <v>-35.7</v>
      </c>
      <c r="V3992">
        <v>-171</v>
      </c>
      <c r="W3992">
        <v>16.55</v>
      </c>
      <c r="X3992">
        <v>9019</v>
      </c>
      <c r="Y3992" t="s">
        <v>1400</v>
      </c>
      <c r="Z3992">
        <v>0.86</v>
      </c>
      <c r="AA3992">
        <v>15</v>
      </c>
      <c r="AB3992">
        <v>31</v>
      </c>
      <c r="AC3992">
        <v>2.17</v>
      </c>
      <c r="AD3992" t="s">
        <v>11818</v>
      </c>
      <c r="AE3992" t="s">
        <v>3905</v>
      </c>
      <c r="AF3992" t="s">
        <v>6170</v>
      </c>
      <c r="AG3992" t="s">
        <v>19188</v>
      </c>
      <c r="AH3992">
        <v>-0.48</v>
      </c>
      <c r="AI3992">
        <v>-1.54</v>
      </c>
      <c r="AJ3992">
        <v>2.99</v>
      </c>
      <c r="AK3992">
        <v>9.04</v>
      </c>
      <c r="AL3992">
        <v>1</v>
      </c>
      <c r="AM3992">
        <v>0.42</v>
      </c>
      <c r="AN3992">
        <v>11.55</v>
      </c>
      <c r="AO3992">
        <v>5.53</v>
      </c>
      <c r="AP3992">
        <v>5.33</v>
      </c>
    </row>
    <row r="3993" spans="1:42">
      <c r="A3993">
        <v>3992</v>
      </c>
      <c r="B3993" t="str">
        <f>"300137"</f>
        <v>300137</v>
      </c>
      <c r="C3993" t="s">
        <v>19189</v>
      </c>
      <c r="D3993">
        <v>6.05</v>
      </c>
      <c r="E3993">
        <v>0.5</v>
      </c>
      <c r="F3993">
        <v>0.03</v>
      </c>
      <c r="G3993" t="s">
        <v>372</v>
      </c>
      <c r="H3993">
        <v>778</v>
      </c>
      <c r="I3993">
        <v>6.05</v>
      </c>
      <c r="J3993">
        <v>6.06</v>
      </c>
      <c r="K3993" t="s">
        <v>19190</v>
      </c>
      <c r="L3993">
        <v>1.12</v>
      </c>
      <c r="M3993" t="s">
        <v>46</v>
      </c>
      <c r="N3993" t="s">
        <v>7170</v>
      </c>
      <c r="O3993">
        <v>6.11</v>
      </c>
      <c r="P3993">
        <v>5.99</v>
      </c>
      <c r="Q3993">
        <v>6.01</v>
      </c>
      <c r="R3993">
        <v>6.02</v>
      </c>
      <c r="S3993">
        <v>1.99</v>
      </c>
      <c r="T3993">
        <v>0.58</v>
      </c>
      <c r="U3993">
        <v>-29.85</v>
      </c>
      <c r="V3993">
        <v>-1632</v>
      </c>
      <c r="W3993">
        <v>6.05</v>
      </c>
      <c r="X3993" t="s">
        <v>541</v>
      </c>
      <c r="Y3993" t="s">
        <v>9766</v>
      </c>
      <c r="Z3993">
        <v>1.18</v>
      </c>
      <c r="AA3993">
        <v>245</v>
      </c>
      <c r="AB3993">
        <v>212</v>
      </c>
      <c r="AC3993">
        <v>1.68</v>
      </c>
      <c r="AD3993" t="s">
        <v>19191</v>
      </c>
      <c r="AE3993" t="s">
        <v>19192</v>
      </c>
      <c r="AF3993" t="s">
        <v>17039</v>
      </c>
      <c r="AG3993" t="s">
        <v>19193</v>
      </c>
      <c r="AH3993">
        <v>-0.98</v>
      </c>
      <c r="AI3993">
        <v>-3.66</v>
      </c>
      <c r="AJ3993">
        <v>3.6</v>
      </c>
      <c r="AK3993">
        <v>10.79</v>
      </c>
      <c r="AL3993">
        <v>1</v>
      </c>
      <c r="AM3993">
        <v>0.5</v>
      </c>
      <c r="AN3993">
        <v>5.22</v>
      </c>
      <c r="AO3993">
        <v>2.72</v>
      </c>
      <c r="AP3993">
        <v>-5.32</v>
      </c>
    </row>
    <row r="3994" spans="1:42">
      <c r="A3994">
        <v>3993</v>
      </c>
      <c r="B3994" t="str">
        <f>"688513"</f>
        <v>688513</v>
      </c>
      <c r="C3994" t="s">
        <v>19194</v>
      </c>
      <c r="D3994">
        <v>55.52</v>
      </c>
      <c r="E3994">
        <v>-0.34</v>
      </c>
      <c r="F3994">
        <v>-0.19</v>
      </c>
      <c r="G3994">
        <v>5831</v>
      </c>
      <c r="H3994">
        <v>2</v>
      </c>
      <c r="I3994">
        <v>55.52</v>
      </c>
      <c r="J3994">
        <v>55.68</v>
      </c>
      <c r="K3994" t="s">
        <v>19190</v>
      </c>
      <c r="L3994">
        <v>0.49</v>
      </c>
      <c r="M3994" t="s">
        <v>46</v>
      </c>
      <c r="N3994" t="s">
        <v>1546</v>
      </c>
      <c r="O3994">
        <v>56.28</v>
      </c>
      <c r="P3994">
        <v>54.61</v>
      </c>
      <c r="Q3994">
        <v>55.77</v>
      </c>
      <c r="R3994">
        <v>55.71</v>
      </c>
      <c r="S3994">
        <v>3</v>
      </c>
      <c r="T3994">
        <v>1.13</v>
      </c>
      <c r="U3994">
        <v>-30.46</v>
      </c>
      <c r="V3994">
        <v>-19</v>
      </c>
      <c r="W3994">
        <v>55.37</v>
      </c>
      <c r="X3994">
        <v>3355</v>
      </c>
      <c r="Y3994">
        <v>2476</v>
      </c>
      <c r="Z3994">
        <v>1.36</v>
      </c>
      <c r="AA3994">
        <v>1</v>
      </c>
      <c r="AB3994">
        <v>5</v>
      </c>
      <c r="AC3994">
        <v>2.59</v>
      </c>
      <c r="AD3994" t="s">
        <v>3104</v>
      </c>
      <c r="AE3994" t="s">
        <v>17404</v>
      </c>
      <c r="AF3994" t="s">
        <v>3104</v>
      </c>
      <c r="AG3994" t="s">
        <v>17404</v>
      </c>
      <c r="AH3994">
        <v>-1.94</v>
      </c>
      <c r="AI3994">
        <v>2</v>
      </c>
      <c r="AJ3994">
        <v>1.21</v>
      </c>
      <c r="AK3994">
        <v>2.63</v>
      </c>
      <c r="AL3994">
        <v>-3</v>
      </c>
      <c r="AM3994">
        <v>-0.34</v>
      </c>
      <c r="AN3994">
        <v>-7.9</v>
      </c>
      <c r="AO3994">
        <v>2.47</v>
      </c>
      <c r="AP3994">
        <v>-6.85</v>
      </c>
    </row>
    <row r="3995" spans="1:42">
      <c r="A3995">
        <v>3994</v>
      </c>
      <c r="B3995" t="str">
        <f>"601113"</f>
        <v>601113</v>
      </c>
      <c r="C3995" t="s">
        <v>19195</v>
      </c>
      <c r="D3995">
        <v>3.58</v>
      </c>
      <c r="E3995">
        <v>1.13</v>
      </c>
      <c r="F3995">
        <v>0.04</v>
      </c>
      <c r="G3995" t="s">
        <v>9660</v>
      </c>
      <c r="H3995">
        <v>485</v>
      </c>
      <c r="I3995">
        <v>3.57</v>
      </c>
      <c r="J3995">
        <v>3.58</v>
      </c>
      <c r="K3995" t="s">
        <v>19196</v>
      </c>
      <c r="L3995">
        <v>0.82</v>
      </c>
      <c r="M3995" t="s">
        <v>46</v>
      </c>
      <c r="N3995" t="s">
        <v>8188</v>
      </c>
      <c r="O3995">
        <v>3.6</v>
      </c>
      <c r="P3995">
        <v>3.51</v>
      </c>
      <c r="Q3995">
        <v>3.53</v>
      </c>
      <c r="R3995">
        <v>3.54</v>
      </c>
      <c r="S3995">
        <v>2.54</v>
      </c>
      <c r="T3995">
        <v>1.5</v>
      </c>
      <c r="U3995">
        <v>-28.33</v>
      </c>
      <c r="V3995">
        <v>-6374</v>
      </c>
      <c r="W3995">
        <v>3.57</v>
      </c>
      <c r="X3995" t="s">
        <v>837</v>
      </c>
      <c r="Y3995" t="s">
        <v>787</v>
      </c>
      <c r="Z3995">
        <v>0.62</v>
      </c>
      <c r="AA3995">
        <v>1352</v>
      </c>
      <c r="AB3995">
        <v>1580</v>
      </c>
      <c r="AC3995">
        <v>1.2</v>
      </c>
      <c r="AD3995" t="s">
        <v>6404</v>
      </c>
      <c r="AE3995" t="s">
        <v>19197</v>
      </c>
      <c r="AF3995" t="s">
        <v>6404</v>
      </c>
      <c r="AG3995" t="s">
        <v>19197</v>
      </c>
      <c r="AH3995">
        <v>0.28</v>
      </c>
      <c r="AI3995">
        <v>0.56</v>
      </c>
      <c r="AJ3995">
        <v>1.75</v>
      </c>
      <c r="AK3995">
        <v>3.55</v>
      </c>
      <c r="AL3995">
        <v>1</v>
      </c>
      <c r="AM3995">
        <v>1.13</v>
      </c>
      <c r="AN3995">
        <v>-2.98</v>
      </c>
      <c r="AO3995">
        <v>4.37</v>
      </c>
      <c r="AP3995">
        <v>-9.6</v>
      </c>
    </row>
    <row r="3996" spans="1:42">
      <c r="A3996">
        <v>3995</v>
      </c>
      <c r="B3996" t="str">
        <f>"002097"</f>
        <v>002097</v>
      </c>
      <c r="C3996" t="s">
        <v>19198</v>
      </c>
      <c r="D3996">
        <v>6.21</v>
      </c>
      <c r="E3996">
        <v>0</v>
      </c>
      <c r="F3996">
        <v>0</v>
      </c>
      <c r="G3996" t="s">
        <v>6392</v>
      </c>
      <c r="H3996">
        <v>330</v>
      </c>
      <c r="I3996">
        <v>6.2</v>
      </c>
      <c r="J3996">
        <v>6.21</v>
      </c>
      <c r="K3996" t="s">
        <v>19199</v>
      </c>
      <c r="L3996">
        <v>0.48</v>
      </c>
      <c r="M3996" t="s">
        <v>46</v>
      </c>
      <c r="N3996" t="s">
        <v>19180</v>
      </c>
      <c r="O3996">
        <v>6.26</v>
      </c>
      <c r="P3996">
        <v>6.17</v>
      </c>
      <c r="Q3996">
        <v>6.22</v>
      </c>
      <c r="R3996">
        <v>6.21</v>
      </c>
      <c r="S3996">
        <v>1.45</v>
      </c>
      <c r="T3996">
        <v>0.85</v>
      </c>
      <c r="U3996">
        <v>-12.2</v>
      </c>
      <c r="V3996">
        <v>-882</v>
      </c>
      <c r="W3996">
        <v>6.2</v>
      </c>
      <c r="X3996" t="s">
        <v>2727</v>
      </c>
      <c r="Y3996" t="s">
        <v>5620</v>
      </c>
      <c r="Z3996">
        <v>1.24</v>
      </c>
      <c r="AA3996">
        <v>592</v>
      </c>
      <c r="AB3996">
        <v>640</v>
      </c>
      <c r="AC3996">
        <v>1.45</v>
      </c>
      <c r="AD3996" t="s">
        <v>16147</v>
      </c>
      <c r="AE3996" t="s">
        <v>19200</v>
      </c>
      <c r="AF3996" t="s">
        <v>19201</v>
      </c>
      <c r="AG3996" t="s">
        <v>19202</v>
      </c>
      <c r="AH3996">
        <v>-0.96</v>
      </c>
      <c r="AI3996">
        <v>-0.8</v>
      </c>
      <c r="AJ3996">
        <v>1.6</v>
      </c>
      <c r="AK3996">
        <v>3.31</v>
      </c>
      <c r="AL3996">
        <v>0</v>
      </c>
      <c r="AM3996">
        <v>0</v>
      </c>
      <c r="AN3996">
        <v>5.43</v>
      </c>
      <c r="AO3996">
        <v>3.67</v>
      </c>
      <c r="AP3996">
        <v>-3.87</v>
      </c>
    </row>
    <row r="3997" spans="1:42">
      <c r="A3997">
        <v>3996</v>
      </c>
      <c r="B3997" t="str">
        <f>"002204"</f>
        <v>002204</v>
      </c>
      <c r="C3997" t="s">
        <v>19203</v>
      </c>
      <c r="D3997">
        <v>4.62</v>
      </c>
      <c r="E3997">
        <v>0</v>
      </c>
      <c r="F3997">
        <v>0</v>
      </c>
      <c r="G3997" t="s">
        <v>6896</v>
      </c>
      <c r="H3997">
        <v>371</v>
      </c>
      <c r="I3997">
        <v>4.61</v>
      </c>
      <c r="J3997">
        <v>4.62</v>
      </c>
      <c r="K3997" t="s">
        <v>19204</v>
      </c>
      <c r="L3997">
        <v>0.36</v>
      </c>
      <c r="M3997" t="s">
        <v>46</v>
      </c>
      <c r="N3997" t="s">
        <v>19205</v>
      </c>
      <c r="O3997">
        <v>4.63</v>
      </c>
      <c r="P3997">
        <v>4.58</v>
      </c>
      <c r="Q3997">
        <v>4.62</v>
      </c>
      <c r="R3997">
        <v>4.62</v>
      </c>
      <c r="S3997">
        <v>1.08</v>
      </c>
      <c r="T3997">
        <v>0.76</v>
      </c>
      <c r="U3997">
        <v>-9.83</v>
      </c>
      <c r="V3997">
        <v>-2191</v>
      </c>
      <c r="W3997">
        <v>4.61</v>
      </c>
      <c r="X3997" t="s">
        <v>3558</v>
      </c>
      <c r="Y3997" t="s">
        <v>6302</v>
      </c>
      <c r="Z3997">
        <v>0.83</v>
      </c>
      <c r="AA3997">
        <v>1658</v>
      </c>
      <c r="AB3997">
        <v>482</v>
      </c>
      <c r="AC3997">
        <v>1.29</v>
      </c>
      <c r="AD3997" t="s">
        <v>19206</v>
      </c>
      <c r="AE3997" t="s">
        <v>19207</v>
      </c>
      <c r="AF3997" t="s">
        <v>19206</v>
      </c>
      <c r="AG3997" t="s">
        <v>19207</v>
      </c>
      <c r="AH3997">
        <v>-0.86</v>
      </c>
      <c r="AI3997">
        <v>-0.65</v>
      </c>
      <c r="AJ3997">
        <v>1.16</v>
      </c>
      <c r="AK3997">
        <v>2.76</v>
      </c>
      <c r="AL3997">
        <v>0</v>
      </c>
      <c r="AM3997">
        <v>0</v>
      </c>
      <c r="AN3997">
        <v>-10.47</v>
      </c>
      <c r="AO3997">
        <v>0.65</v>
      </c>
      <c r="AP3997">
        <v>-18.37</v>
      </c>
    </row>
    <row r="3998" spans="1:42">
      <c r="A3998">
        <v>3997</v>
      </c>
      <c r="B3998" t="str">
        <f>"300665"</f>
        <v>300665</v>
      </c>
      <c r="C3998" t="s">
        <v>19208</v>
      </c>
      <c r="D3998">
        <v>8.85</v>
      </c>
      <c r="E3998">
        <v>0.23</v>
      </c>
      <c r="F3998">
        <v>0.02</v>
      </c>
      <c r="G3998" t="s">
        <v>1899</v>
      </c>
      <c r="H3998">
        <v>110</v>
      </c>
      <c r="I3998">
        <v>8.84</v>
      </c>
      <c r="J3998">
        <v>8.85</v>
      </c>
      <c r="K3998" t="s">
        <v>19209</v>
      </c>
      <c r="L3998">
        <v>2.44</v>
      </c>
      <c r="M3998" t="s">
        <v>46</v>
      </c>
      <c r="N3998" t="s">
        <v>7945</v>
      </c>
      <c r="O3998">
        <v>8.92</v>
      </c>
      <c r="P3998">
        <v>8.77</v>
      </c>
      <c r="Q3998">
        <v>8.86</v>
      </c>
      <c r="R3998">
        <v>8.83</v>
      </c>
      <c r="S3998">
        <v>1.7</v>
      </c>
      <c r="T3998">
        <v>1.16</v>
      </c>
      <c r="U3998">
        <v>28.75</v>
      </c>
      <c r="V3998">
        <v>401</v>
      </c>
      <c r="W3998">
        <v>8.85</v>
      </c>
      <c r="X3998" t="s">
        <v>1072</v>
      </c>
      <c r="Y3998" t="s">
        <v>3165</v>
      </c>
      <c r="Z3998">
        <v>1.06</v>
      </c>
      <c r="AA3998">
        <v>1</v>
      </c>
      <c r="AB3998">
        <v>31</v>
      </c>
      <c r="AC3998">
        <v>3.45</v>
      </c>
      <c r="AD3998" t="s">
        <v>19210</v>
      </c>
      <c r="AE3998" t="s">
        <v>11268</v>
      </c>
      <c r="AF3998" t="s">
        <v>19211</v>
      </c>
      <c r="AG3998" t="s">
        <v>12497</v>
      </c>
      <c r="AH3998">
        <v>-1.34</v>
      </c>
      <c r="AI3998">
        <v>-1.12</v>
      </c>
      <c r="AJ3998">
        <v>6.25</v>
      </c>
      <c r="AK3998">
        <v>12.93</v>
      </c>
      <c r="AL3998">
        <v>1</v>
      </c>
      <c r="AM3998">
        <v>0.23</v>
      </c>
      <c r="AN3998">
        <v>20.9</v>
      </c>
      <c r="AO3998">
        <v>1.96</v>
      </c>
      <c r="AP3998">
        <v>8.19</v>
      </c>
    </row>
    <row r="3999" spans="1:42">
      <c r="A3999">
        <v>3998</v>
      </c>
      <c r="B3999" t="str">
        <f>"300126"</f>
        <v>300126</v>
      </c>
      <c r="C3999" t="s">
        <v>19212</v>
      </c>
      <c r="D3999">
        <v>7.19</v>
      </c>
      <c r="E3999">
        <v>-0.42</v>
      </c>
      <c r="F3999">
        <v>-0.03</v>
      </c>
      <c r="G3999" t="s">
        <v>3779</v>
      </c>
      <c r="H3999">
        <v>255</v>
      </c>
      <c r="I3999">
        <v>7.19</v>
      </c>
      <c r="J3999">
        <v>7.2</v>
      </c>
      <c r="K3999" t="s">
        <v>19213</v>
      </c>
      <c r="L3999">
        <v>2.14</v>
      </c>
      <c r="M3999" t="s">
        <v>46</v>
      </c>
      <c r="N3999" t="s">
        <v>1677</v>
      </c>
      <c r="O3999">
        <v>7.28</v>
      </c>
      <c r="P3999">
        <v>7.1</v>
      </c>
      <c r="Q3999">
        <v>7.23</v>
      </c>
      <c r="R3999">
        <v>7.22</v>
      </c>
      <c r="S3999">
        <v>2.49</v>
      </c>
      <c r="T3999">
        <v>1.16</v>
      </c>
      <c r="U3999">
        <v>-5.93</v>
      </c>
      <c r="V3999">
        <v>-148</v>
      </c>
      <c r="W3999">
        <v>7.17</v>
      </c>
      <c r="X3999" t="s">
        <v>1710</v>
      </c>
      <c r="Y3999" t="s">
        <v>2102</v>
      </c>
      <c r="Z3999">
        <v>1.05</v>
      </c>
      <c r="AA3999">
        <v>184</v>
      </c>
      <c r="AB3999">
        <v>8</v>
      </c>
      <c r="AC3999">
        <v>2</v>
      </c>
      <c r="AD3999" t="s">
        <v>19214</v>
      </c>
      <c r="AE3999" t="s">
        <v>19215</v>
      </c>
      <c r="AF3999" t="s">
        <v>18090</v>
      </c>
      <c r="AG3999" t="s">
        <v>19216</v>
      </c>
      <c r="AH3999">
        <v>-1.37</v>
      </c>
      <c r="AI3999">
        <v>-1.51</v>
      </c>
      <c r="AJ3999">
        <v>6.15</v>
      </c>
      <c r="AK3999">
        <v>11.38</v>
      </c>
      <c r="AL3999">
        <v>-2</v>
      </c>
      <c r="AM3999">
        <v>-0.42</v>
      </c>
      <c r="AN3999">
        <v>29.08</v>
      </c>
      <c r="AO3999">
        <v>1.55</v>
      </c>
      <c r="AP3999">
        <v>20.03</v>
      </c>
    </row>
    <row r="4000" spans="1:42">
      <c r="A4000">
        <v>3999</v>
      </c>
      <c r="B4000" t="str">
        <f>"301234"</f>
        <v>301234</v>
      </c>
      <c r="C4000" t="s">
        <v>19217</v>
      </c>
      <c r="D4000">
        <v>35.81</v>
      </c>
      <c r="E4000">
        <v>1.04</v>
      </c>
      <c r="F4000">
        <v>0.37</v>
      </c>
      <c r="G4000">
        <v>9025</v>
      </c>
      <c r="H4000">
        <v>137</v>
      </c>
      <c r="I4000">
        <v>35.79</v>
      </c>
      <c r="J4000">
        <v>35.81</v>
      </c>
      <c r="K4000" t="s">
        <v>19213</v>
      </c>
      <c r="L4000">
        <v>4.9</v>
      </c>
      <c r="M4000" t="s">
        <v>46</v>
      </c>
      <c r="N4000" t="s">
        <v>3454</v>
      </c>
      <c r="O4000">
        <v>35.95</v>
      </c>
      <c r="P4000">
        <v>35.32</v>
      </c>
      <c r="Q4000">
        <v>35.4</v>
      </c>
      <c r="R4000">
        <v>35.44</v>
      </c>
      <c r="S4000">
        <v>1.78</v>
      </c>
      <c r="T4000">
        <v>0.45</v>
      </c>
      <c r="U4000">
        <v>-80.19</v>
      </c>
      <c r="V4000">
        <v>-105</v>
      </c>
      <c r="W4000">
        <v>35.67</v>
      </c>
      <c r="X4000">
        <v>4441</v>
      </c>
      <c r="Y4000">
        <v>4584</v>
      </c>
      <c r="Z4000">
        <v>0.97</v>
      </c>
      <c r="AA4000">
        <v>1</v>
      </c>
      <c r="AB4000">
        <v>63</v>
      </c>
      <c r="AC4000">
        <v>3.28</v>
      </c>
      <c r="AD4000" t="s">
        <v>8052</v>
      </c>
      <c r="AE4000" t="s">
        <v>19218</v>
      </c>
      <c r="AF4000" t="s">
        <v>19219</v>
      </c>
      <c r="AG4000" t="s">
        <v>19220</v>
      </c>
      <c r="AH4000">
        <v>-2.48</v>
      </c>
      <c r="AI4000">
        <v>-6.96</v>
      </c>
      <c r="AJ4000">
        <v>17.32</v>
      </c>
      <c r="AK4000">
        <v>59.56</v>
      </c>
      <c r="AL4000">
        <v>1</v>
      </c>
      <c r="AM4000">
        <v>1.04</v>
      </c>
      <c r="AN4000">
        <v>24.38</v>
      </c>
      <c r="AO4000">
        <v>1.96</v>
      </c>
      <c r="AP4000">
        <v>8.68</v>
      </c>
    </row>
    <row r="4001" spans="1:42">
      <c r="A4001">
        <v>4000</v>
      </c>
      <c r="B4001" t="str">
        <f>"000159"</f>
        <v>000159</v>
      </c>
      <c r="C4001" t="s">
        <v>19221</v>
      </c>
      <c r="D4001">
        <v>6.66</v>
      </c>
      <c r="E4001">
        <v>1.22</v>
      </c>
      <c r="F4001">
        <v>0.08</v>
      </c>
      <c r="G4001" t="s">
        <v>7441</v>
      </c>
      <c r="H4001">
        <v>314</v>
      </c>
      <c r="I4001">
        <v>6.65</v>
      </c>
      <c r="J4001">
        <v>6.66</v>
      </c>
      <c r="K4001" t="s">
        <v>19222</v>
      </c>
      <c r="L4001">
        <v>1.01</v>
      </c>
      <c r="M4001" t="s">
        <v>46</v>
      </c>
      <c r="N4001" t="s">
        <v>10768</v>
      </c>
      <c r="O4001">
        <v>6.75</v>
      </c>
      <c r="P4001">
        <v>6.59</v>
      </c>
      <c r="Q4001">
        <v>6.59</v>
      </c>
      <c r="R4001">
        <v>6.58</v>
      </c>
      <c r="S4001">
        <v>2.43</v>
      </c>
      <c r="T4001">
        <v>1.02</v>
      </c>
      <c r="U4001">
        <v>1.15</v>
      </c>
      <c r="V4001">
        <v>63</v>
      </c>
      <c r="W4001">
        <v>6.66</v>
      </c>
      <c r="X4001" t="s">
        <v>7195</v>
      </c>
      <c r="Y4001" t="s">
        <v>4036</v>
      </c>
      <c r="Z4001">
        <v>0.86</v>
      </c>
      <c r="AA4001">
        <v>533</v>
      </c>
      <c r="AB4001">
        <v>188</v>
      </c>
      <c r="AC4001">
        <v>1.32</v>
      </c>
      <c r="AD4001" t="s">
        <v>19223</v>
      </c>
      <c r="AE4001" t="s">
        <v>9917</v>
      </c>
      <c r="AF4001" t="s">
        <v>19223</v>
      </c>
      <c r="AG4001" t="s">
        <v>9917</v>
      </c>
      <c r="AH4001">
        <v>0</v>
      </c>
      <c r="AI4001">
        <v>-0.6</v>
      </c>
      <c r="AJ4001">
        <v>2.66</v>
      </c>
      <c r="AK4001">
        <v>5.95</v>
      </c>
      <c r="AL4001">
        <v>1</v>
      </c>
      <c r="AM4001">
        <v>1.22</v>
      </c>
      <c r="AN4001">
        <v>-4.31</v>
      </c>
      <c r="AO4001">
        <v>-0.89</v>
      </c>
      <c r="AP4001">
        <v>-23.97</v>
      </c>
    </row>
    <row r="4002" spans="1:42">
      <c r="A4002">
        <v>4001</v>
      </c>
      <c r="B4002" t="str">
        <f>"001360"</f>
        <v>001360</v>
      </c>
      <c r="C4002" t="s">
        <v>19224</v>
      </c>
      <c r="D4002">
        <v>17.28</v>
      </c>
      <c r="E4002">
        <v>0.12</v>
      </c>
      <c r="F4002">
        <v>0.02</v>
      </c>
      <c r="G4002" t="s">
        <v>1072</v>
      </c>
      <c r="H4002">
        <v>229</v>
      </c>
      <c r="I4002">
        <v>17.27</v>
      </c>
      <c r="J4002">
        <v>17.28</v>
      </c>
      <c r="K4002" t="s">
        <v>19222</v>
      </c>
      <c r="L4002">
        <v>3.67</v>
      </c>
      <c r="M4002" t="s">
        <v>46</v>
      </c>
      <c r="N4002" t="s">
        <v>2018</v>
      </c>
      <c r="O4002">
        <v>17.43</v>
      </c>
      <c r="P4002">
        <v>17.03</v>
      </c>
      <c r="Q4002">
        <v>17.4</v>
      </c>
      <c r="R4002">
        <v>17.26</v>
      </c>
      <c r="S4002">
        <v>2.32</v>
      </c>
      <c r="T4002">
        <v>0.95</v>
      </c>
      <c r="U4002">
        <v>-27.14</v>
      </c>
      <c r="V4002">
        <v>-200</v>
      </c>
      <c r="W4002">
        <v>17.17</v>
      </c>
      <c r="X4002">
        <v>9804</v>
      </c>
      <c r="Y4002">
        <v>8933</v>
      </c>
      <c r="Z4002">
        <v>1.1</v>
      </c>
      <c r="AA4002">
        <v>175</v>
      </c>
      <c r="AB4002">
        <v>30</v>
      </c>
      <c r="AC4002">
        <v>2.58</v>
      </c>
      <c r="AD4002" t="s">
        <v>12345</v>
      </c>
      <c r="AE4002" t="s">
        <v>19225</v>
      </c>
      <c r="AF4002" t="s">
        <v>19226</v>
      </c>
      <c r="AG4002" t="s">
        <v>19227</v>
      </c>
      <c r="AH4002">
        <v>-1.93</v>
      </c>
      <c r="AI4002">
        <v>-3.03</v>
      </c>
      <c r="AJ4002">
        <v>10.41</v>
      </c>
      <c r="AK4002">
        <v>23.07</v>
      </c>
      <c r="AL4002">
        <v>1</v>
      </c>
      <c r="AM4002">
        <v>0.12</v>
      </c>
      <c r="AN4002">
        <v>12.35</v>
      </c>
      <c r="AO4002">
        <v>-2.04</v>
      </c>
      <c r="AP4002">
        <v>12.35</v>
      </c>
    </row>
    <row r="4003" spans="1:42">
      <c r="A4003">
        <v>4002</v>
      </c>
      <c r="B4003" t="str">
        <f>"301033"</f>
        <v>301033</v>
      </c>
      <c r="C4003" t="s">
        <v>19228</v>
      </c>
      <c r="D4003">
        <v>44.49</v>
      </c>
      <c r="E4003">
        <v>-1.13</v>
      </c>
      <c r="F4003">
        <v>-0.51</v>
      </c>
      <c r="G4003">
        <v>7207</v>
      </c>
      <c r="H4003">
        <v>94</v>
      </c>
      <c r="I4003">
        <v>44.43</v>
      </c>
      <c r="J4003">
        <v>44.49</v>
      </c>
      <c r="K4003" t="s">
        <v>19229</v>
      </c>
      <c r="L4003">
        <v>1.92</v>
      </c>
      <c r="M4003" t="s">
        <v>46</v>
      </c>
      <c r="N4003" t="s">
        <v>424</v>
      </c>
      <c r="O4003">
        <v>45.49</v>
      </c>
      <c r="P4003">
        <v>44.26</v>
      </c>
      <c r="Q4003">
        <v>45</v>
      </c>
      <c r="R4003">
        <v>45</v>
      </c>
      <c r="S4003">
        <v>2.73</v>
      </c>
      <c r="T4003">
        <v>0.97</v>
      </c>
      <c r="U4003">
        <v>34.48</v>
      </c>
      <c r="V4003">
        <v>20</v>
      </c>
      <c r="W4003">
        <v>44.61</v>
      </c>
      <c r="X4003">
        <v>4461</v>
      </c>
      <c r="Y4003">
        <v>2745</v>
      </c>
      <c r="Z4003">
        <v>1.63</v>
      </c>
      <c r="AA4003">
        <v>1</v>
      </c>
      <c r="AB4003">
        <v>6</v>
      </c>
      <c r="AC4003">
        <v>4.78</v>
      </c>
      <c r="AD4003" t="s">
        <v>13971</v>
      </c>
      <c r="AE4003" t="s">
        <v>11371</v>
      </c>
      <c r="AF4003" t="s">
        <v>19230</v>
      </c>
      <c r="AG4003" t="s">
        <v>1670</v>
      </c>
      <c r="AH4003">
        <v>-0.6</v>
      </c>
      <c r="AI4003">
        <v>0.75</v>
      </c>
      <c r="AJ4003">
        <v>7.37</v>
      </c>
      <c r="AK4003">
        <v>11.8</v>
      </c>
      <c r="AL4003">
        <v>-2</v>
      </c>
      <c r="AM4003">
        <v>-1.13</v>
      </c>
      <c r="AN4003">
        <v>21.29</v>
      </c>
      <c r="AO4003">
        <v>6.18</v>
      </c>
      <c r="AP4003">
        <v>6.74</v>
      </c>
    </row>
    <row r="4004" spans="1:42">
      <c r="A4004">
        <v>4003</v>
      </c>
      <c r="B4004" t="str">
        <f>"600548"</f>
        <v>600548</v>
      </c>
      <c r="C4004" t="s">
        <v>19231</v>
      </c>
      <c r="D4004">
        <v>9.52</v>
      </c>
      <c r="E4004">
        <v>-0.52</v>
      </c>
      <c r="F4004">
        <v>-0.05</v>
      </c>
      <c r="G4004" t="s">
        <v>5454</v>
      </c>
      <c r="H4004">
        <v>332</v>
      </c>
      <c r="I4004">
        <v>9.52</v>
      </c>
      <c r="J4004">
        <v>9.53</v>
      </c>
      <c r="K4004" t="s">
        <v>19232</v>
      </c>
      <c r="L4004">
        <v>0.23</v>
      </c>
      <c r="M4004" t="s">
        <v>46</v>
      </c>
      <c r="N4004" t="s">
        <v>5413</v>
      </c>
      <c r="O4004">
        <v>9.65</v>
      </c>
      <c r="P4004">
        <v>9.5</v>
      </c>
      <c r="Q4004">
        <v>9.57</v>
      </c>
      <c r="R4004">
        <v>9.57</v>
      </c>
      <c r="S4004">
        <v>1.57</v>
      </c>
      <c r="T4004">
        <v>1.39</v>
      </c>
      <c r="U4004">
        <v>63.99</v>
      </c>
      <c r="V4004">
        <v>1489</v>
      </c>
      <c r="W4004">
        <v>9.57</v>
      </c>
      <c r="X4004" t="s">
        <v>2877</v>
      </c>
      <c r="Y4004" t="s">
        <v>3284</v>
      </c>
      <c r="Z4004">
        <v>1.44</v>
      </c>
      <c r="AA4004">
        <v>116</v>
      </c>
      <c r="AB4004">
        <v>75</v>
      </c>
      <c r="AC4004">
        <v>1.19</v>
      </c>
      <c r="AD4004" t="s">
        <v>14340</v>
      </c>
      <c r="AE4004" t="s">
        <v>7360</v>
      </c>
      <c r="AF4004" t="s">
        <v>8078</v>
      </c>
      <c r="AG4004" t="s">
        <v>933</v>
      </c>
      <c r="AH4004">
        <v>-1.04</v>
      </c>
      <c r="AI4004">
        <v>-1.75</v>
      </c>
      <c r="AJ4004">
        <v>0.56</v>
      </c>
      <c r="AK4004">
        <v>1.08</v>
      </c>
      <c r="AL4004">
        <v>-1</v>
      </c>
      <c r="AM4004">
        <v>-0.52</v>
      </c>
      <c r="AN4004">
        <v>11.74</v>
      </c>
      <c r="AO4004">
        <v>-1.65</v>
      </c>
      <c r="AP4004">
        <v>21.74</v>
      </c>
    </row>
    <row r="4005" spans="1:42">
      <c r="A4005">
        <v>4004</v>
      </c>
      <c r="B4005" t="str">
        <f>"688373"</f>
        <v>688373</v>
      </c>
      <c r="C4005" t="s">
        <v>19233</v>
      </c>
      <c r="D4005">
        <v>7.55</v>
      </c>
      <c r="E4005">
        <v>1.07</v>
      </c>
      <c r="F4005">
        <v>0.08</v>
      </c>
      <c r="G4005" t="s">
        <v>777</v>
      </c>
      <c r="H4005">
        <v>1088</v>
      </c>
      <c r="I4005">
        <v>7.54</v>
      </c>
      <c r="J4005">
        <v>7.55</v>
      </c>
      <c r="K4005" t="s">
        <v>19234</v>
      </c>
      <c r="L4005">
        <v>1.24</v>
      </c>
      <c r="M4005" t="s">
        <v>46</v>
      </c>
      <c r="N4005" t="s">
        <v>19235</v>
      </c>
      <c r="O4005">
        <v>7.55</v>
      </c>
      <c r="P4005">
        <v>7.41</v>
      </c>
      <c r="Q4005">
        <v>7.45</v>
      </c>
      <c r="R4005">
        <v>7.47</v>
      </c>
      <c r="S4005">
        <v>1.87</v>
      </c>
      <c r="T4005">
        <v>0.6</v>
      </c>
      <c r="U4005">
        <v>-27.88</v>
      </c>
      <c r="V4005">
        <v>-563</v>
      </c>
      <c r="W4005">
        <v>7.48</v>
      </c>
      <c r="X4005" t="s">
        <v>2716</v>
      </c>
      <c r="Y4005" t="s">
        <v>1520</v>
      </c>
      <c r="Z4005">
        <v>0.99</v>
      </c>
      <c r="AA4005">
        <v>477</v>
      </c>
      <c r="AB4005">
        <v>61</v>
      </c>
      <c r="AC4005">
        <v>4.91</v>
      </c>
      <c r="AD4005" t="s">
        <v>19236</v>
      </c>
      <c r="AE4005" t="s">
        <v>18902</v>
      </c>
      <c r="AF4005" t="s">
        <v>19237</v>
      </c>
      <c r="AG4005" t="s">
        <v>932</v>
      </c>
      <c r="AH4005">
        <v>-1.44</v>
      </c>
      <c r="AI4005">
        <v>-2.45</v>
      </c>
      <c r="AJ4005">
        <v>4.35</v>
      </c>
      <c r="AK4005">
        <v>11.58</v>
      </c>
      <c r="AL4005">
        <v>1</v>
      </c>
      <c r="AM4005">
        <v>1.07</v>
      </c>
      <c r="AN4005">
        <v>-14.79</v>
      </c>
      <c r="AO4005">
        <v>8.01</v>
      </c>
      <c r="AP4005">
        <v>-16.57</v>
      </c>
    </row>
    <row r="4006" spans="1:42">
      <c r="A4006">
        <v>4005</v>
      </c>
      <c r="B4006" t="str">
        <f>"002302"</f>
        <v>002302</v>
      </c>
      <c r="C4006" t="s">
        <v>19238</v>
      </c>
      <c r="D4006">
        <v>6.6</v>
      </c>
      <c r="E4006">
        <v>0.61</v>
      </c>
      <c r="F4006">
        <v>0.04</v>
      </c>
      <c r="G4006" t="s">
        <v>5612</v>
      </c>
      <c r="H4006">
        <v>401</v>
      </c>
      <c r="I4006">
        <v>6.59</v>
      </c>
      <c r="J4006">
        <v>6.6</v>
      </c>
      <c r="K4006" t="s">
        <v>19239</v>
      </c>
      <c r="L4006">
        <v>0.39</v>
      </c>
      <c r="M4006" t="s">
        <v>46</v>
      </c>
      <c r="N4006" t="s">
        <v>5072</v>
      </c>
      <c r="O4006">
        <v>6.62</v>
      </c>
      <c r="P4006">
        <v>6.54</v>
      </c>
      <c r="Q4006">
        <v>6.56</v>
      </c>
      <c r="R4006">
        <v>6.56</v>
      </c>
      <c r="S4006">
        <v>1.22</v>
      </c>
      <c r="T4006">
        <v>0.92</v>
      </c>
      <c r="U4006">
        <v>-6.84</v>
      </c>
      <c r="V4006">
        <v>-548</v>
      </c>
      <c r="W4006">
        <v>6.59</v>
      </c>
      <c r="X4006" t="s">
        <v>2976</v>
      </c>
      <c r="Y4006" t="s">
        <v>4610</v>
      </c>
      <c r="Z4006">
        <v>0.71</v>
      </c>
      <c r="AA4006">
        <v>1242</v>
      </c>
      <c r="AB4006">
        <v>543</v>
      </c>
      <c r="AC4006">
        <v>0.92</v>
      </c>
      <c r="AD4006" t="s">
        <v>19240</v>
      </c>
      <c r="AE4006" t="s">
        <v>8477</v>
      </c>
      <c r="AF4006" t="s">
        <v>19240</v>
      </c>
      <c r="AG4006" t="s">
        <v>8477</v>
      </c>
      <c r="AH4006">
        <v>-1.05</v>
      </c>
      <c r="AI4006">
        <v>-2.22</v>
      </c>
      <c r="AJ4006">
        <v>1.22</v>
      </c>
      <c r="AK4006">
        <v>2.48</v>
      </c>
      <c r="AL4006">
        <v>1</v>
      </c>
      <c r="AM4006">
        <v>0.61</v>
      </c>
      <c r="AN4006">
        <v>-7.82</v>
      </c>
      <c r="AO4006">
        <v>0.15</v>
      </c>
      <c r="AP4006">
        <v>-9.22</v>
      </c>
    </row>
    <row r="4007" spans="1:42">
      <c r="A4007">
        <v>4006</v>
      </c>
      <c r="B4007" t="str">
        <f>"300596"</f>
        <v>300596</v>
      </c>
      <c r="C4007" t="s">
        <v>19241</v>
      </c>
      <c r="D4007">
        <v>30.04</v>
      </c>
      <c r="E4007">
        <v>-0.4</v>
      </c>
      <c r="F4007">
        <v>-0.12</v>
      </c>
      <c r="G4007" t="s">
        <v>2147</v>
      </c>
      <c r="H4007">
        <v>51</v>
      </c>
      <c r="I4007">
        <v>30.03</v>
      </c>
      <c r="J4007">
        <v>30.04</v>
      </c>
      <c r="K4007" t="s">
        <v>19242</v>
      </c>
      <c r="L4007">
        <v>0.5</v>
      </c>
      <c r="M4007" t="s">
        <v>46</v>
      </c>
      <c r="N4007" t="s">
        <v>8790</v>
      </c>
      <c r="O4007">
        <v>30.32</v>
      </c>
      <c r="P4007">
        <v>29.71</v>
      </c>
      <c r="Q4007">
        <v>30.16</v>
      </c>
      <c r="R4007">
        <v>30.16</v>
      </c>
      <c r="S4007">
        <v>2.02</v>
      </c>
      <c r="T4007">
        <v>1.48</v>
      </c>
      <c r="U4007">
        <v>-58.2</v>
      </c>
      <c r="V4007">
        <v>-142</v>
      </c>
      <c r="W4007">
        <v>29.93</v>
      </c>
      <c r="X4007">
        <v>6270</v>
      </c>
      <c r="Y4007">
        <v>4412</v>
      </c>
      <c r="Z4007">
        <v>1.42</v>
      </c>
      <c r="AA4007">
        <v>12</v>
      </c>
      <c r="AB4007">
        <v>2</v>
      </c>
      <c r="AC4007">
        <v>1.71</v>
      </c>
      <c r="AD4007" t="s">
        <v>7657</v>
      </c>
      <c r="AE4007" t="s">
        <v>529</v>
      </c>
      <c r="AF4007" t="s">
        <v>19243</v>
      </c>
      <c r="AG4007" t="s">
        <v>19244</v>
      </c>
      <c r="AH4007">
        <v>-3.72</v>
      </c>
      <c r="AI4007">
        <v>-3.9</v>
      </c>
      <c r="AJ4007">
        <v>1.3</v>
      </c>
      <c r="AK4007">
        <v>2.18</v>
      </c>
      <c r="AL4007">
        <v>-2</v>
      </c>
      <c r="AM4007">
        <v>-0.4</v>
      </c>
      <c r="AN4007">
        <v>-44.61</v>
      </c>
      <c r="AO4007">
        <v>-6.24</v>
      </c>
      <c r="AP4007">
        <v>-48.15</v>
      </c>
    </row>
    <row r="4008" spans="1:42">
      <c r="A4008">
        <v>4007</v>
      </c>
      <c r="B4008" t="str">
        <f>"000020"</f>
        <v>000020</v>
      </c>
      <c r="C4008" t="s">
        <v>19245</v>
      </c>
      <c r="D4008">
        <v>12.67</v>
      </c>
      <c r="E4008">
        <v>-1.17</v>
      </c>
      <c r="F4008">
        <v>-0.15</v>
      </c>
      <c r="G4008" t="s">
        <v>9211</v>
      </c>
      <c r="H4008">
        <v>185</v>
      </c>
      <c r="I4008">
        <v>12.67</v>
      </c>
      <c r="J4008">
        <v>12.68</v>
      </c>
      <c r="K4008" t="s">
        <v>19246</v>
      </c>
      <c r="L4008">
        <v>1.39</v>
      </c>
      <c r="M4008" t="s">
        <v>46</v>
      </c>
      <c r="N4008" t="s">
        <v>2311</v>
      </c>
      <c r="O4008">
        <v>12.82</v>
      </c>
      <c r="P4008">
        <v>12.54</v>
      </c>
      <c r="Q4008">
        <v>12.82</v>
      </c>
      <c r="R4008">
        <v>12.82</v>
      </c>
      <c r="S4008">
        <v>2.18</v>
      </c>
      <c r="T4008">
        <v>0.78</v>
      </c>
      <c r="U4008">
        <v>-41</v>
      </c>
      <c r="V4008">
        <v>-303</v>
      </c>
      <c r="W4008">
        <v>12.67</v>
      </c>
      <c r="X4008" t="s">
        <v>3284</v>
      </c>
      <c r="Y4008" t="s">
        <v>2284</v>
      </c>
      <c r="Z4008">
        <v>1.19</v>
      </c>
      <c r="AA4008">
        <v>3</v>
      </c>
      <c r="AB4008">
        <v>28</v>
      </c>
      <c r="AC4008">
        <v>9.8</v>
      </c>
      <c r="AD4008" t="s">
        <v>14693</v>
      </c>
      <c r="AE4008" t="s">
        <v>9618</v>
      </c>
      <c r="AF4008" t="s">
        <v>19247</v>
      </c>
      <c r="AG4008" t="s">
        <v>19248</v>
      </c>
      <c r="AH4008">
        <v>-2.54</v>
      </c>
      <c r="AI4008">
        <v>-0.47</v>
      </c>
      <c r="AJ4008">
        <v>5.16</v>
      </c>
      <c r="AK4008">
        <v>10.37</v>
      </c>
      <c r="AL4008">
        <v>-2</v>
      </c>
      <c r="AM4008">
        <v>-1.17</v>
      </c>
      <c r="AN4008">
        <v>41.88</v>
      </c>
      <c r="AO4008">
        <v>0.16</v>
      </c>
      <c r="AP4008">
        <v>30.08</v>
      </c>
    </row>
    <row r="4009" spans="1:42">
      <c r="A4009">
        <v>4008</v>
      </c>
      <c r="B4009" t="str">
        <f>"603020"</f>
        <v>603020</v>
      </c>
      <c r="C4009" t="s">
        <v>19249</v>
      </c>
      <c r="D4009">
        <v>8.76</v>
      </c>
      <c r="E4009">
        <v>-0.45</v>
      </c>
      <c r="F4009">
        <v>-0.04</v>
      </c>
      <c r="G4009" t="s">
        <v>1899</v>
      </c>
      <c r="H4009">
        <v>140</v>
      </c>
      <c r="I4009">
        <v>8.76</v>
      </c>
      <c r="J4009">
        <v>8.77</v>
      </c>
      <c r="K4009" t="s">
        <v>19246</v>
      </c>
      <c r="L4009">
        <v>0.95</v>
      </c>
      <c r="M4009" t="s">
        <v>46</v>
      </c>
      <c r="N4009" t="s">
        <v>690</v>
      </c>
      <c r="O4009">
        <v>8.8</v>
      </c>
      <c r="P4009">
        <v>8.72</v>
      </c>
      <c r="Q4009">
        <v>8.79</v>
      </c>
      <c r="R4009">
        <v>8.8</v>
      </c>
      <c r="S4009">
        <v>0.91</v>
      </c>
      <c r="T4009">
        <v>1.01</v>
      </c>
      <c r="U4009">
        <v>-4.41</v>
      </c>
      <c r="V4009">
        <v>-108</v>
      </c>
      <c r="W4009">
        <v>8.77</v>
      </c>
      <c r="X4009" t="s">
        <v>3116</v>
      </c>
      <c r="Y4009" t="s">
        <v>2371</v>
      </c>
      <c r="Z4009">
        <v>1.41</v>
      </c>
      <c r="AA4009">
        <v>155</v>
      </c>
      <c r="AB4009">
        <v>169</v>
      </c>
      <c r="AC4009">
        <v>1.07</v>
      </c>
      <c r="AD4009" t="s">
        <v>11821</v>
      </c>
      <c r="AE4009" t="s">
        <v>19250</v>
      </c>
      <c r="AF4009" t="s">
        <v>11821</v>
      </c>
      <c r="AG4009" t="s">
        <v>19250</v>
      </c>
      <c r="AH4009">
        <v>-4.37</v>
      </c>
      <c r="AI4009">
        <v>-3.84</v>
      </c>
      <c r="AJ4009">
        <v>3.79</v>
      </c>
      <c r="AK4009">
        <v>5.68</v>
      </c>
      <c r="AL4009">
        <v>-3</v>
      </c>
      <c r="AM4009">
        <v>-0.45</v>
      </c>
      <c r="AN4009">
        <v>-10.98</v>
      </c>
      <c r="AO4009">
        <v>-4.05</v>
      </c>
      <c r="AP4009">
        <v>-13.52</v>
      </c>
    </row>
    <row r="4010" spans="1:42">
      <c r="A4010">
        <v>4009</v>
      </c>
      <c r="B4010" t="str">
        <f>"002722"</f>
        <v>002722</v>
      </c>
      <c r="C4010" t="s">
        <v>19251</v>
      </c>
      <c r="D4010">
        <v>15.19</v>
      </c>
      <c r="E4010">
        <v>-0.26</v>
      </c>
      <c r="F4010">
        <v>-0.04</v>
      </c>
      <c r="G4010" t="s">
        <v>153</v>
      </c>
      <c r="H4010">
        <v>200</v>
      </c>
      <c r="I4010">
        <v>15.19</v>
      </c>
      <c r="J4010">
        <v>15.2</v>
      </c>
      <c r="K4010" t="s">
        <v>19252</v>
      </c>
      <c r="L4010">
        <v>1.2</v>
      </c>
      <c r="M4010" t="s">
        <v>46</v>
      </c>
      <c r="N4010" t="s">
        <v>7262</v>
      </c>
      <c r="O4010">
        <v>15.26</v>
      </c>
      <c r="P4010">
        <v>15.06</v>
      </c>
      <c r="Q4010">
        <v>15.12</v>
      </c>
      <c r="R4010">
        <v>15.23</v>
      </c>
      <c r="S4010">
        <v>1.31</v>
      </c>
      <c r="T4010">
        <v>0.79</v>
      </c>
      <c r="U4010">
        <v>9.13</v>
      </c>
      <c r="V4010">
        <v>90</v>
      </c>
      <c r="W4010">
        <v>15.15</v>
      </c>
      <c r="X4010" t="s">
        <v>209</v>
      </c>
      <c r="Y4010">
        <v>8240</v>
      </c>
      <c r="Z4010">
        <v>1.56</v>
      </c>
      <c r="AA4010">
        <v>121</v>
      </c>
      <c r="AB4010">
        <v>151</v>
      </c>
      <c r="AC4010">
        <v>1.3</v>
      </c>
      <c r="AD4010" t="s">
        <v>19253</v>
      </c>
      <c r="AE4010" t="s">
        <v>4870</v>
      </c>
      <c r="AF4010" t="s">
        <v>12049</v>
      </c>
      <c r="AG4010" t="s">
        <v>6098</v>
      </c>
      <c r="AH4010">
        <v>-0.59</v>
      </c>
      <c r="AI4010">
        <v>-0.78</v>
      </c>
      <c r="AJ4010">
        <v>4.47</v>
      </c>
      <c r="AK4010">
        <v>8.8</v>
      </c>
      <c r="AL4010">
        <v>-2</v>
      </c>
      <c r="AM4010">
        <v>-0.26</v>
      </c>
      <c r="AN4010">
        <v>16.94</v>
      </c>
      <c r="AO4010">
        <v>4.4</v>
      </c>
      <c r="AP4010">
        <v>22.4</v>
      </c>
    </row>
    <row r="4011" spans="1:42">
      <c r="A4011">
        <v>4010</v>
      </c>
      <c r="B4011" t="str">
        <f>"301276"</f>
        <v>301276</v>
      </c>
      <c r="C4011" t="s">
        <v>19254</v>
      </c>
      <c r="D4011">
        <v>25.96</v>
      </c>
      <c r="E4011">
        <v>0.97</v>
      </c>
      <c r="F4011">
        <v>0.25</v>
      </c>
      <c r="G4011" t="s">
        <v>4792</v>
      </c>
      <c r="H4011">
        <v>83</v>
      </c>
      <c r="I4011">
        <v>25.96</v>
      </c>
      <c r="J4011">
        <v>25.97</v>
      </c>
      <c r="K4011" t="s">
        <v>19255</v>
      </c>
      <c r="L4011">
        <v>3.17</v>
      </c>
      <c r="M4011" t="s">
        <v>46</v>
      </c>
      <c r="N4011" t="s">
        <v>1897</v>
      </c>
      <c r="O4011">
        <v>26.28</v>
      </c>
      <c r="P4011">
        <v>25.69</v>
      </c>
      <c r="Q4011">
        <v>25.76</v>
      </c>
      <c r="R4011">
        <v>25.71</v>
      </c>
      <c r="S4011">
        <v>2.29</v>
      </c>
      <c r="T4011">
        <v>1.49</v>
      </c>
      <c r="U4011">
        <v>20.56</v>
      </c>
      <c r="V4011">
        <v>59</v>
      </c>
      <c r="W4011">
        <v>26.02</v>
      </c>
      <c r="X4011">
        <v>5193</v>
      </c>
      <c r="Y4011">
        <v>7080</v>
      </c>
      <c r="Z4011">
        <v>0.73</v>
      </c>
      <c r="AA4011">
        <v>25</v>
      </c>
      <c r="AB4011">
        <v>59</v>
      </c>
      <c r="AC4011">
        <v>1.43</v>
      </c>
      <c r="AD4011" t="s">
        <v>8391</v>
      </c>
      <c r="AE4011" t="s">
        <v>15784</v>
      </c>
      <c r="AF4011" t="s">
        <v>17910</v>
      </c>
      <c r="AG4011" t="s">
        <v>555</v>
      </c>
      <c r="AH4011">
        <v>-0.38</v>
      </c>
      <c r="AI4011">
        <v>-0.69</v>
      </c>
      <c r="AJ4011">
        <v>6.69</v>
      </c>
      <c r="AK4011">
        <v>13.79</v>
      </c>
      <c r="AL4011">
        <v>1</v>
      </c>
      <c r="AM4011">
        <v>0.97</v>
      </c>
      <c r="AN4011">
        <v>13.21</v>
      </c>
      <c r="AO4011">
        <v>0.43</v>
      </c>
      <c r="AP4011">
        <v>5.53</v>
      </c>
    </row>
    <row r="4012" spans="1:42">
      <c r="A4012">
        <v>4011</v>
      </c>
      <c r="B4012" t="str">
        <f>"605183"</f>
        <v>605183</v>
      </c>
      <c r="C4012" t="s">
        <v>19256</v>
      </c>
      <c r="D4012">
        <v>14.56</v>
      </c>
      <c r="E4012">
        <v>-1.42</v>
      </c>
      <c r="F4012">
        <v>-0.21</v>
      </c>
      <c r="G4012" t="s">
        <v>6827</v>
      </c>
      <c r="H4012">
        <v>249</v>
      </c>
      <c r="I4012">
        <v>14.56</v>
      </c>
      <c r="J4012">
        <v>14.57</v>
      </c>
      <c r="K4012" t="s">
        <v>19257</v>
      </c>
      <c r="L4012">
        <v>1.6</v>
      </c>
      <c r="M4012" t="s">
        <v>46</v>
      </c>
      <c r="N4012" t="s">
        <v>3538</v>
      </c>
      <c r="O4012">
        <v>14.78</v>
      </c>
      <c r="P4012">
        <v>14.52</v>
      </c>
      <c r="Q4012">
        <v>14.71</v>
      </c>
      <c r="R4012">
        <v>14.77</v>
      </c>
      <c r="S4012">
        <v>1.76</v>
      </c>
      <c r="T4012">
        <v>1.38</v>
      </c>
      <c r="U4012">
        <v>55.84</v>
      </c>
      <c r="V4012">
        <v>693</v>
      </c>
      <c r="W4012">
        <v>14.61</v>
      </c>
      <c r="X4012" t="s">
        <v>5900</v>
      </c>
      <c r="Y4012">
        <v>7562</v>
      </c>
      <c r="Z4012">
        <v>1.89</v>
      </c>
      <c r="AA4012">
        <v>66</v>
      </c>
      <c r="AB4012">
        <v>102</v>
      </c>
      <c r="AC4012">
        <v>2.12</v>
      </c>
      <c r="AD4012" t="s">
        <v>8842</v>
      </c>
      <c r="AE4012" t="s">
        <v>19258</v>
      </c>
      <c r="AF4012" t="s">
        <v>19259</v>
      </c>
      <c r="AG4012" t="s">
        <v>6529</v>
      </c>
      <c r="AH4012">
        <v>-3.58</v>
      </c>
      <c r="AI4012">
        <v>-4.71</v>
      </c>
      <c r="AJ4012">
        <v>3.69</v>
      </c>
      <c r="AK4012">
        <v>7.39</v>
      </c>
      <c r="AL4012">
        <v>-3</v>
      </c>
      <c r="AM4012">
        <v>-1.42</v>
      </c>
      <c r="AN4012">
        <v>-21.89</v>
      </c>
      <c r="AO4012">
        <v>-4.02</v>
      </c>
      <c r="AP4012">
        <v>-18.7</v>
      </c>
    </row>
    <row r="4013" spans="1:42">
      <c r="A4013">
        <v>4012</v>
      </c>
      <c r="B4013" t="str">
        <f>"300119"</f>
        <v>300119</v>
      </c>
      <c r="C4013" t="s">
        <v>19260</v>
      </c>
      <c r="D4013">
        <v>17.29</v>
      </c>
      <c r="E4013">
        <v>-0.35</v>
      </c>
      <c r="F4013">
        <v>-0.06</v>
      </c>
      <c r="G4013" t="s">
        <v>6012</v>
      </c>
      <c r="H4013">
        <v>56</v>
      </c>
      <c r="I4013">
        <v>17.29</v>
      </c>
      <c r="J4013">
        <v>17.3</v>
      </c>
      <c r="K4013" t="s">
        <v>19261</v>
      </c>
      <c r="L4013">
        <v>0.55</v>
      </c>
      <c r="M4013" t="s">
        <v>46</v>
      </c>
      <c r="N4013" t="s">
        <v>5929</v>
      </c>
      <c r="O4013">
        <v>17.41</v>
      </c>
      <c r="P4013">
        <v>17.15</v>
      </c>
      <c r="Q4013">
        <v>17.29</v>
      </c>
      <c r="R4013">
        <v>17.35</v>
      </c>
      <c r="S4013">
        <v>1.5</v>
      </c>
      <c r="T4013">
        <v>1.01</v>
      </c>
      <c r="U4013">
        <v>-10.87</v>
      </c>
      <c r="V4013">
        <v>-30</v>
      </c>
      <c r="W4013">
        <v>17.25</v>
      </c>
      <c r="X4013">
        <v>9627</v>
      </c>
      <c r="Y4013">
        <v>8821</v>
      </c>
      <c r="Z4013">
        <v>1.09</v>
      </c>
      <c r="AA4013">
        <v>24</v>
      </c>
      <c r="AB4013">
        <v>98</v>
      </c>
      <c r="AC4013">
        <v>1.85</v>
      </c>
      <c r="AD4013" t="s">
        <v>19262</v>
      </c>
      <c r="AE4013" t="s">
        <v>19263</v>
      </c>
      <c r="AF4013" t="s">
        <v>19264</v>
      </c>
      <c r="AG4013" t="s">
        <v>19265</v>
      </c>
      <c r="AH4013">
        <v>-1.48</v>
      </c>
      <c r="AI4013">
        <v>-1.09</v>
      </c>
      <c r="AJ4013">
        <v>1.51</v>
      </c>
      <c r="AK4013">
        <v>3.28</v>
      </c>
      <c r="AL4013">
        <v>-1</v>
      </c>
      <c r="AM4013">
        <v>-0.35</v>
      </c>
      <c r="AN4013">
        <v>-5.57</v>
      </c>
      <c r="AO4013">
        <v>1.59</v>
      </c>
      <c r="AP4013">
        <v>-10.32</v>
      </c>
    </row>
    <row r="4014" spans="1:42">
      <c r="A4014">
        <v>4013</v>
      </c>
      <c r="B4014" t="str">
        <f>"300478"</f>
        <v>300478</v>
      </c>
      <c r="C4014" t="s">
        <v>19266</v>
      </c>
      <c r="D4014">
        <v>12.22</v>
      </c>
      <c r="E4014">
        <v>-1.29</v>
      </c>
      <c r="F4014">
        <v>-0.16</v>
      </c>
      <c r="G4014" t="s">
        <v>4036</v>
      </c>
      <c r="H4014">
        <v>383</v>
      </c>
      <c r="I4014">
        <v>12.22</v>
      </c>
      <c r="J4014">
        <v>12.23</v>
      </c>
      <c r="K4014" t="s">
        <v>19261</v>
      </c>
      <c r="L4014">
        <v>2.09</v>
      </c>
      <c r="M4014" t="s">
        <v>46</v>
      </c>
      <c r="N4014" t="s">
        <v>4198</v>
      </c>
      <c r="O4014">
        <v>12.45</v>
      </c>
      <c r="P4014">
        <v>12.2</v>
      </c>
      <c r="Q4014">
        <v>12.43</v>
      </c>
      <c r="R4014">
        <v>12.38</v>
      </c>
      <c r="S4014">
        <v>2.02</v>
      </c>
      <c r="T4014">
        <v>0.66</v>
      </c>
      <c r="U4014">
        <v>42.81</v>
      </c>
      <c r="V4014">
        <v>506</v>
      </c>
      <c r="W4014">
        <v>12.27</v>
      </c>
      <c r="X4014" t="s">
        <v>2371</v>
      </c>
      <c r="Y4014" t="s">
        <v>51</v>
      </c>
      <c r="Z4014">
        <v>1.39</v>
      </c>
      <c r="AA4014">
        <v>218</v>
      </c>
      <c r="AB4014">
        <v>202</v>
      </c>
      <c r="AC4014">
        <v>14</v>
      </c>
      <c r="AD4014" t="s">
        <v>5292</v>
      </c>
      <c r="AE4014" t="s">
        <v>19267</v>
      </c>
      <c r="AF4014" t="s">
        <v>4954</v>
      </c>
      <c r="AG4014" t="s">
        <v>2218</v>
      </c>
      <c r="AH4014">
        <v>-4.61</v>
      </c>
      <c r="AI4014">
        <v>0.49</v>
      </c>
      <c r="AJ4014">
        <v>8.81</v>
      </c>
      <c r="AK4014">
        <v>18</v>
      </c>
      <c r="AL4014">
        <v>-3</v>
      </c>
      <c r="AM4014">
        <v>-1.29</v>
      </c>
      <c r="AN4014">
        <v>32.54</v>
      </c>
      <c r="AO4014">
        <v>3.47</v>
      </c>
      <c r="AP4014">
        <v>17.5</v>
      </c>
    </row>
    <row r="4015" spans="1:42">
      <c r="A4015">
        <v>4014</v>
      </c>
      <c r="B4015" t="str">
        <f>"300401"</f>
        <v>300401</v>
      </c>
      <c r="C4015" t="s">
        <v>19268</v>
      </c>
      <c r="D4015">
        <v>10.7</v>
      </c>
      <c r="E4015">
        <v>0.28</v>
      </c>
      <c r="F4015">
        <v>0.03</v>
      </c>
      <c r="G4015" t="s">
        <v>8050</v>
      </c>
      <c r="H4015">
        <v>164</v>
      </c>
      <c r="I4015">
        <v>10.69</v>
      </c>
      <c r="J4015">
        <v>10.7</v>
      </c>
      <c r="K4015" t="s">
        <v>16949</v>
      </c>
      <c r="L4015">
        <v>0.55</v>
      </c>
      <c r="M4015" t="s">
        <v>46</v>
      </c>
      <c r="N4015" t="s">
        <v>7812</v>
      </c>
      <c r="O4015">
        <v>10.74</v>
      </c>
      <c r="P4015">
        <v>10.62</v>
      </c>
      <c r="Q4015">
        <v>10.74</v>
      </c>
      <c r="R4015">
        <v>10.67</v>
      </c>
      <c r="S4015">
        <v>1.12</v>
      </c>
      <c r="T4015">
        <v>0.88</v>
      </c>
      <c r="U4015">
        <v>-10.34</v>
      </c>
      <c r="V4015">
        <v>-314</v>
      </c>
      <c r="W4015">
        <v>10.67</v>
      </c>
      <c r="X4015" t="s">
        <v>7656</v>
      </c>
      <c r="Y4015" t="s">
        <v>3793</v>
      </c>
      <c r="Z4015">
        <v>0.99</v>
      </c>
      <c r="AA4015">
        <v>102</v>
      </c>
      <c r="AB4015">
        <v>341</v>
      </c>
      <c r="AC4015">
        <v>2.23</v>
      </c>
      <c r="AD4015" t="s">
        <v>19269</v>
      </c>
      <c r="AE4015" t="s">
        <v>7314</v>
      </c>
      <c r="AF4015" t="s">
        <v>5476</v>
      </c>
      <c r="AG4015" t="s">
        <v>14192</v>
      </c>
      <c r="AH4015">
        <v>-0.74</v>
      </c>
      <c r="AI4015">
        <v>-0.74</v>
      </c>
      <c r="AJ4015">
        <v>1.57</v>
      </c>
      <c r="AK4015">
        <v>3.69</v>
      </c>
      <c r="AL4015">
        <v>1</v>
      </c>
      <c r="AM4015">
        <v>0.28</v>
      </c>
      <c r="AN4015">
        <v>-24.91</v>
      </c>
      <c r="AO4015">
        <v>0.66</v>
      </c>
      <c r="AP4015">
        <v>-33.79</v>
      </c>
    </row>
    <row r="4016" spans="1:42">
      <c r="A4016">
        <v>4015</v>
      </c>
      <c r="B4016" t="str">
        <f>"002086"</f>
        <v>002086</v>
      </c>
      <c r="C4016" t="s">
        <v>19270</v>
      </c>
      <c r="D4016">
        <v>2.76</v>
      </c>
      <c r="E4016">
        <v>-2.13</v>
      </c>
      <c r="F4016">
        <v>-0.06</v>
      </c>
      <c r="G4016" t="s">
        <v>4369</v>
      </c>
      <c r="H4016">
        <v>1103</v>
      </c>
      <c r="I4016">
        <v>2.75</v>
      </c>
      <c r="J4016">
        <v>2.76</v>
      </c>
      <c r="K4016" t="s">
        <v>19271</v>
      </c>
      <c r="L4016">
        <v>1.81</v>
      </c>
      <c r="M4016" t="s">
        <v>46</v>
      </c>
      <c r="N4016" t="s">
        <v>4400</v>
      </c>
      <c r="O4016">
        <v>2.88</v>
      </c>
      <c r="P4016">
        <v>2.72</v>
      </c>
      <c r="Q4016">
        <v>2.87</v>
      </c>
      <c r="R4016">
        <v>2.82</v>
      </c>
      <c r="S4016">
        <v>5.67</v>
      </c>
      <c r="T4016">
        <v>0.8</v>
      </c>
      <c r="U4016">
        <v>18.05</v>
      </c>
      <c r="V4016">
        <v>4089</v>
      </c>
      <c r="W4016">
        <v>2.78</v>
      </c>
      <c r="X4016" t="s">
        <v>2534</v>
      </c>
      <c r="Y4016" t="s">
        <v>2691</v>
      </c>
      <c r="Z4016">
        <v>2.07</v>
      </c>
      <c r="AA4016">
        <v>4437</v>
      </c>
      <c r="AB4016">
        <v>275</v>
      </c>
      <c r="AC4016">
        <v>-1.71</v>
      </c>
      <c r="AD4016" t="s">
        <v>19272</v>
      </c>
      <c r="AE4016" t="s">
        <v>6700</v>
      </c>
      <c r="AF4016" t="s">
        <v>19273</v>
      </c>
      <c r="AG4016" t="s">
        <v>8640</v>
      </c>
      <c r="AH4016">
        <v>-2.82</v>
      </c>
      <c r="AI4016">
        <v>-5.15</v>
      </c>
      <c r="AJ4016">
        <v>4.14</v>
      </c>
      <c r="AK4016">
        <v>13.11</v>
      </c>
      <c r="AL4016">
        <v>-1</v>
      </c>
      <c r="AM4016">
        <v>-2.13</v>
      </c>
      <c r="AN4016">
        <v>-0.72</v>
      </c>
      <c r="AO4016">
        <v>13.11</v>
      </c>
      <c r="AP4016">
        <v>-6.12</v>
      </c>
    </row>
    <row r="4017" spans="1:42">
      <c r="A4017">
        <v>4016</v>
      </c>
      <c r="B4017" t="str">
        <f>"002199"</f>
        <v>002199</v>
      </c>
      <c r="C4017" t="s">
        <v>19274</v>
      </c>
      <c r="D4017">
        <v>8.93</v>
      </c>
      <c r="E4017">
        <v>-0.11</v>
      </c>
      <c r="F4017">
        <v>-0.01</v>
      </c>
      <c r="G4017" t="s">
        <v>5693</v>
      </c>
      <c r="H4017">
        <v>175</v>
      </c>
      <c r="I4017">
        <v>8.92</v>
      </c>
      <c r="J4017">
        <v>8.93</v>
      </c>
      <c r="K4017" t="s">
        <v>19275</v>
      </c>
      <c r="L4017">
        <v>1.46</v>
      </c>
      <c r="M4017" t="s">
        <v>46</v>
      </c>
      <c r="N4017" t="s">
        <v>9496</v>
      </c>
      <c r="O4017">
        <v>8.96</v>
      </c>
      <c r="P4017">
        <v>8.82</v>
      </c>
      <c r="Q4017">
        <v>8.89</v>
      </c>
      <c r="R4017">
        <v>8.94</v>
      </c>
      <c r="S4017">
        <v>1.57</v>
      </c>
      <c r="T4017">
        <v>0.81</v>
      </c>
      <c r="U4017">
        <v>50.41</v>
      </c>
      <c r="V4017">
        <v>1346</v>
      </c>
      <c r="W4017">
        <v>8.91</v>
      </c>
      <c r="X4017" t="s">
        <v>2111</v>
      </c>
      <c r="Y4017" t="s">
        <v>1072</v>
      </c>
      <c r="Z4017">
        <v>0.91</v>
      </c>
      <c r="AA4017">
        <v>65</v>
      </c>
      <c r="AB4017">
        <v>78</v>
      </c>
      <c r="AC4017">
        <v>6.74</v>
      </c>
      <c r="AD4017" t="s">
        <v>19276</v>
      </c>
      <c r="AE4017" t="s">
        <v>4538</v>
      </c>
      <c r="AF4017" t="s">
        <v>19276</v>
      </c>
      <c r="AG4017" t="s">
        <v>4538</v>
      </c>
      <c r="AH4017">
        <v>-0.78</v>
      </c>
      <c r="AI4017">
        <v>-0.78</v>
      </c>
      <c r="AJ4017">
        <v>5.46</v>
      </c>
      <c r="AK4017">
        <v>10.54</v>
      </c>
      <c r="AL4017">
        <v>-2</v>
      </c>
      <c r="AM4017">
        <v>-0.11</v>
      </c>
      <c r="AN4017">
        <v>39.75</v>
      </c>
      <c r="AO4017">
        <v>3.6</v>
      </c>
      <c r="AP4017">
        <v>25.25</v>
      </c>
    </row>
    <row r="4018" spans="1:42">
      <c r="A4018">
        <v>4017</v>
      </c>
      <c r="B4018" t="str">
        <f>"688143"</f>
        <v>688143</v>
      </c>
      <c r="C4018" t="s">
        <v>19277</v>
      </c>
      <c r="D4018">
        <v>36.97</v>
      </c>
      <c r="E4018">
        <v>-2.56</v>
      </c>
      <c r="F4018">
        <v>-0.97</v>
      </c>
      <c r="G4018">
        <v>8449</v>
      </c>
      <c r="H4018">
        <v>134</v>
      </c>
      <c r="I4018">
        <v>36.97</v>
      </c>
      <c r="J4018">
        <v>37.15</v>
      </c>
      <c r="K4018" t="s">
        <v>19278</v>
      </c>
      <c r="L4018">
        <v>3.2</v>
      </c>
      <c r="M4018" t="s">
        <v>46</v>
      </c>
      <c r="N4018" t="s">
        <v>9167</v>
      </c>
      <c r="O4018">
        <v>38.18</v>
      </c>
      <c r="P4018">
        <v>36.89</v>
      </c>
      <c r="Q4018">
        <v>37.55</v>
      </c>
      <c r="R4018">
        <v>37.94</v>
      </c>
      <c r="S4018">
        <v>3.4</v>
      </c>
      <c r="T4018">
        <v>0.55</v>
      </c>
      <c r="U4018">
        <v>24.88</v>
      </c>
      <c r="V4018">
        <v>21</v>
      </c>
      <c r="W4018">
        <v>37.47</v>
      </c>
      <c r="X4018">
        <v>4680</v>
      </c>
      <c r="Y4018">
        <v>3770</v>
      </c>
      <c r="Z4018">
        <v>1.24</v>
      </c>
      <c r="AA4018">
        <v>20</v>
      </c>
      <c r="AB4018">
        <v>5</v>
      </c>
      <c r="AC4018">
        <v>3.74</v>
      </c>
      <c r="AD4018" t="s">
        <v>12655</v>
      </c>
      <c r="AE4018" t="s">
        <v>10892</v>
      </c>
      <c r="AF4018" t="s">
        <v>19279</v>
      </c>
      <c r="AG4018" t="s">
        <v>19280</v>
      </c>
      <c r="AH4018">
        <v>-1.6</v>
      </c>
      <c r="AI4018">
        <v>0.93</v>
      </c>
      <c r="AJ4018">
        <v>13.63</v>
      </c>
      <c r="AK4018">
        <v>32.55</v>
      </c>
      <c r="AL4018">
        <v>-2</v>
      </c>
      <c r="AM4018">
        <v>-2.56</v>
      </c>
      <c r="AN4018">
        <v>4.2</v>
      </c>
      <c r="AO4018">
        <v>2.61</v>
      </c>
      <c r="AP4018">
        <v>36.67</v>
      </c>
    </row>
    <row r="4019" spans="1:42">
      <c r="A4019">
        <v>4018</v>
      </c>
      <c r="B4019" t="str">
        <f>"837821"</f>
        <v>837821</v>
      </c>
      <c r="C4019" t="s">
        <v>19281</v>
      </c>
      <c r="D4019">
        <v>11.47</v>
      </c>
      <c r="E4019">
        <v>-6.9</v>
      </c>
      <c r="F4019">
        <v>-0.85</v>
      </c>
      <c r="G4019" t="s">
        <v>10910</v>
      </c>
      <c r="H4019">
        <v>579</v>
      </c>
      <c r="I4019">
        <v>11.47</v>
      </c>
      <c r="J4019">
        <v>11.48</v>
      </c>
      <c r="K4019" t="s">
        <v>19282</v>
      </c>
      <c r="L4019">
        <v>14.7</v>
      </c>
      <c r="M4019" t="s">
        <v>46</v>
      </c>
      <c r="N4019" t="s">
        <v>6165</v>
      </c>
      <c r="O4019">
        <v>12.67</v>
      </c>
      <c r="P4019">
        <v>11.29</v>
      </c>
      <c r="Q4019">
        <v>12.5</v>
      </c>
      <c r="R4019">
        <v>12.32</v>
      </c>
      <c r="S4019">
        <v>11.2</v>
      </c>
      <c r="T4019">
        <v>0.57</v>
      </c>
      <c r="U4019">
        <v>9.65</v>
      </c>
      <c r="V4019">
        <v>36</v>
      </c>
      <c r="W4019">
        <v>11.77</v>
      </c>
      <c r="X4019" t="s">
        <v>8212</v>
      </c>
      <c r="Y4019" t="s">
        <v>734</v>
      </c>
      <c r="Z4019">
        <v>1.4</v>
      </c>
      <c r="AA4019">
        <v>29</v>
      </c>
      <c r="AB4019">
        <v>19</v>
      </c>
      <c r="AC4019">
        <v>1.63</v>
      </c>
      <c r="AD4019" t="s">
        <v>19283</v>
      </c>
      <c r="AE4019" t="s">
        <v>19284</v>
      </c>
      <c r="AF4019" t="s">
        <v>19285</v>
      </c>
      <c r="AG4019" t="s">
        <v>4460</v>
      </c>
      <c r="AH4019">
        <v>-20.68</v>
      </c>
      <c r="AI4019">
        <v>5.33</v>
      </c>
      <c r="AJ4019">
        <v>50.2</v>
      </c>
      <c r="AK4019">
        <v>143.27</v>
      </c>
      <c r="AL4019">
        <v>-1</v>
      </c>
      <c r="AM4019">
        <v>-6.9</v>
      </c>
      <c r="AN4019">
        <v>37.7</v>
      </c>
      <c r="AO4019">
        <v>42.13</v>
      </c>
      <c r="AP4019">
        <v>17.04</v>
      </c>
    </row>
    <row r="4020" spans="1:42">
      <c r="A4020">
        <v>4019</v>
      </c>
      <c r="B4020" t="str">
        <f>"300787"</f>
        <v>300787</v>
      </c>
      <c r="C4020" t="s">
        <v>19286</v>
      </c>
      <c r="D4020">
        <v>17.48</v>
      </c>
      <c r="E4020">
        <v>-0.68</v>
      </c>
      <c r="F4020">
        <v>-0.12</v>
      </c>
      <c r="G4020" t="s">
        <v>3069</v>
      </c>
      <c r="H4020">
        <v>238</v>
      </c>
      <c r="I4020">
        <v>17.48</v>
      </c>
      <c r="J4020">
        <v>17.52</v>
      </c>
      <c r="K4020" t="s">
        <v>19287</v>
      </c>
      <c r="L4020">
        <v>1.25</v>
      </c>
      <c r="M4020" t="s">
        <v>46</v>
      </c>
      <c r="N4020" t="s">
        <v>5236</v>
      </c>
      <c r="O4020">
        <v>17.72</v>
      </c>
      <c r="P4020">
        <v>17.32</v>
      </c>
      <c r="Q4020">
        <v>17.6</v>
      </c>
      <c r="R4020">
        <v>17.6</v>
      </c>
      <c r="S4020">
        <v>2.27</v>
      </c>
      <c r="T4020">
        <v>1.03</v>
      </c>
      <c r="U4020">
        <v>-12.35</v>
      </c>
      <c r="V4020">
        <v>-31</v>
      </c>
      <c r="W4020">
        <v>17.44</v>
      </c>
      <c r="X4020">
        <v>8976</v>
      </c>
      <c r="Y4020">
        <v>9119</v>
      </c>
      <c r="Z4020">
        <v>0.98</v>
      </c>
      <c r="AA4020">
        <v>2</v>
      </c>
      <c r="AB4020">
        <v>74</v>
      </c>
      <c r="AC4020">
        <v>2.58</v>
      </c>
      <c r="AD4020" t="s">
        <v>8317</v>
      </c>
      <c r="AE4020" t="s">
        <v>13316</v>
      </c>
      <c r="AF4020" t="s">
        <v>19288</v>
      </c>
      <c r="AG4020" t="s">
        <v>19289</v>
      </c>
      <c r="AH4020">
        <v>-3.53</v>
      </c>
      <c r="AI4020">
        <v>-2.62</v>
      </c>
      <c r="AJ4020">
        <v>3.67</v>
      </c>
      <c r="AK4020">
        <v>7.32</v>
      </c>
      <c r="AL4020">
        <v>-3</v>
      </c>
      <c r="AM4020">
        <v>-0.68</v>
      </c>
      <c r="AN4020">
        <v>0.17</v>
      </c>
      <c r="AO4020">
        <v>-1.91</v>
      </c>
      <c r="AP4020">
        <v>-11.31</v>
      </c>
    </row>
    <row r="4021" spans="1:42">
      <c r="A4021">
        <v>4020</v>
      </c>
      <c r="B4021" t="str">
        <f>"600448"</f>
        <v>600448</v>
      </c>
      <c r="C4021" t="s">
        <v>19290</v>
      </c>
      <c r="D4021">
        <v>3.29</v>
      </c>
      <c r="E4021">
        <v>0.3</v>
      </c>
      <c r="F4021">
        <v>0.01</v>
      </c>
      <c r="G4021" t="s">
        <v>3819</v>
      </c>
      <c r="H4021">
        <v>558</v>
      </c>
      <c r="I4021">
        <v>3.29</v>
      </c>
      <c r="J4021">
        <v>3.3</v>
      </c>
      <c r="K4021" t="s">
        <v>19291</v>
      </c>
      <c r="L4021">
        <v>1.52</v>
      </c>
      <c r="M4021" t="s">
        <v>46</v>
      </c>
      <c r="N4021" t="s">
        <v>9676</v>
      </c>
      <c r="O4021">
        <v>3.33</v>
      </c>
      <c r="P4021">
        <v>3.26</v>
      </c>
      <c r="Q4021">
        <v>3.28</v>
      </c>
      <c r="R4021">
        <v>3.28</v>
      </c>
      <c r="S4021">
        <v>2.13</v>
      </c>
      <c r="T4021">
        <v>1.07</v>
      </c>
      <c r="U4021">
        <v>8.88</v>
      </c>
      <c r="V4021">
        <v>2037</v>
      </c>
      <c r="W4021">
        <v>3.3</v>
      </c>
      <c r="X4021" t="s">
        <v>4399</v>
      </c>
      <c r="Y4021" t="s">
        <v>4928</v>
      </c>
      <c r="Z4021">
        <v>0.99</v>
      </c>
      <c r="AA4021">
        <v>1398</v>
      </c>
      <c r="AB4021">
        <v>1949</v>
      </c>
      <c r="AC4021">
        <v>1.64</v>
      </c>
      <c r="AD4021" t="s">
        <v>19292</v>
      </c>
      <c r="AE4021" t="s">
        <v>19293</v>
      </c>
      <c r="AF4021" t="s">
        <v>19292</v>
      </c>
      <c r="AG4021" t="s">
        <v>19293</v>
      </c>
      <c r="AH4021">
        <v>-0.6</v>
      </c>
      <c r="AI4021">
        <v>-0.9</v>
      </c>
      <c r="AJ4021">
        <v>4.27</v>
      </c>
      <c r="AK4021">
        <v>8.62</v>
      </c>
      <c r="AL4021">
        <v>1</v>
      </c>
      <c r="AM4021">
        <v>0.3</v>
      </c>
      <c r="AN4021">
        <v>3.79</v>
      </c>
      <c r="AO4021">
        <v>3.13</v>
      </c>
      <c r="AP4021">
        <v>-0.6</v>
      </c>
    </row>
    <row r="4022" spans="1:42">
      <c r="A4022">
        <v>4021</v>
      </c>
      <c r="B4022" t="str">
        <f>"002542"</f>
        <v>002542</v>
      </c>
      <c r="C4022" t="s">
        <v>19294</v>
      </c>
      <c r="D4022">
        <v>2.62</v>
      </c>
      <c r="E4022">
        <v>0.77</v>
      </c>
      <c r="F4022">
        <v>0.02</v>
      </c>
      <c r="G4022" t="s">
        <v>1937</v>
      </c>
      <c r="H4022">
        <v>1354</v>
      </c>
      <c r="I4022">
        <v>2.62</v>
      </c>
      <c r="J4022">
        <v>2.63</v>
      </c>
      <c r="K4022" t="s">
        <v>19295</v>
      </c>
      <c r="L4022">
        <v>0.76</v>
      </c>
      <c r="M4022" t="s">
        <v>46</v>
      </c>
      <c r="N4022" t="s">
        <v>720</v>
      </c>
      <c r="O4022">
        <v>2.63</v>
      </c>
      <c r="P4022">
        <v>2.59</v>
      </c>
      <c r="Q4022">
        <v>2.6</v>
      </c>
      <c r="R4022">
        <v>2.6</v>
      </c>
      <c r="S4022">
        <v>1.54</v>
      </c>
      <c r="T4022">
        <v>1</v>
      </c>
      <c r="U4022">
        <v>-10.91</v>
      </c>
      <c r="V4022">
        <v>-6028</v>
      </c>
      <c r="W4022">
        <v>2.62</v>
      </c>
      <c r="X4022" t="s">
        <v>1988</v>
      </c>
      <c r="Y4022" t="s">
        <v>9098</v>
      </c>
      <c r="Z4022">
        <v>0.77</v>
      </c>
      <c r="AA4022">
        <v>7345</v>
      </c>
      <c r="AB4022">
        <v>3865</v>
      </c>
      <c r="AC4022">
        <v>1.88</v>
      </c>
      <c r="AD4022" t="s">
        <v>14956</v>
      </c>
      <c r="AE4022" t="s">
        <v>8334</v>
      </c>
      <c r="AF4022" t="s">
        <v>19296</v>
      </c>
      <c r="AG4022" t="s">
        <v>19297</v>
      </c>
      <c r="AH4022">
        <v>-0.76</v>
      </c>
      <c r="AI4022">
        <v>-1.87</v>
      </c>
      <c r="AJ4022">
        <v>2.17</v>
      </c>
      <c r="AK4022">
        <v>4.55</v>
      </c>
      <c r="AL4022">
        <v>1</v>
      </c>
      <c r="AM4022">
        <v>0.77</v>
      </c>
      <c r="AN4022">
        <v>-15.76</v>
      </c>
      <c r="AO4022">
        <v>1.55</v>
      </c>
      <c r="AP4022">
        <v>-12.67</v>
      </c>
    </row>
    <row r="4023" spans="1:42">
      <c r="A4023">
        <v>4022</v>
      </c>
      <c r="B4023" t="str">
        <f>"688619"</f>
        <v>688619</v>
      </c>
      <c r="C4023" t="s">
        <v>19298</v>
      </c>
      <c r="D4023">
        <v>14.52</v>
      </c>
      <c r="E4023">
        <v>1.89</v>
      </c>
      <c r="F4023">
        <v>0.27</v>
      </c>
      <c r="G4023" t="s">
        <v>377</v>
      </c>
      <c r="H4023">
        <v>102</v>
      </c>
      <c r="I4023">
        <v>14.51</v>
      </c>
      <c r="J4023">
        <v>14.52</v>
      </c>
      <c r="K4023" t="s">
        <v>19295</v>
      </c>
      <c r="L4023">
        <v>2.46</v>
      </c>
      <c r="M4023" t="s">
        <v>46</v>
      </c>
      <c r="N4023" t="s">
        <v>4416</v>
      </c>
      <c r="O4023">
        <v>14.59</v>
      </c>
      <c r="P4023">
        <v>14.05</v>
      </c>
      <c r="Q4023">
        <v>14.23</v>
      </c>
      <c r="R4023">
        <v>14.25</v>
      </c>
      <c r="S4023">
        <v>3.79</v>
      </c>
      <c r="T4023">
        <v>1.01</v>
      </c>
      <c r="U4023">
        <v>35.74</v>
      </c>
      <c r="V4023">
        <v>252</v>
      </c>
      <c r="W4023">
        <v>14.34</v>
      </c>
      <c r="X4023">
        <v>9473</v>
      </c>
      <c r="Y4023" t="s">
        <v>2547</v>
      </c>
      <c r="Z4023">
        <v>0.76</v>
      </c>
      <c r="AA4023">
        <v>30</v>
      </c>
      <c r="AB4023">
        <v>0</v>
      </c>
      <c r="AC4023">
        <v>2.34</v>
      </c>
      <c r="AD4023" t="s">
        <v>9536</v>
      </c>
      <c r="AE4023" t="s">
        <v>17961</v>
      </c>
      <c r="AF4023" t="s">
        <v>11720</v>
      </c>
      <c r="AG4023" t="s">
        <v>719</v>
      </c>
      <c r="AH4023">
        <v>1.26</v>
      </c>
      <c r="AI4023">
        <v>0.9</v>
      </c>
      <c r="AJ4023">
        <v>6.76</v>
      </c>
      <c r="AK4023">
        <v>14.56</v>
      </c>
      <c r="AL4023">
        <v>1</v>
      </c>
      <c r="AM4023">
        <v>1.89</v>
      </c>
      <c r="AN4023">
        <v>40.43</v>
      </c>
      <c r="AO4023">
        <v>5.6</v>
      </c>
      <c r="AP4023">
        <v>18.05</v>
      </c>
    </row>
    <row r="4024" spans="1:42">
      <c r="A4024">
        <v>4023</v>
      </c>
      <c r="B4024" t="str">
        <f>"300789"</f>
        <v>300789</v>
      </c>
      <c r="C4024" t="s">
        <v>19299</v>
      </c>
      <c r="D4024">
        <v>22.3</v>
      </c>
      <c r="E4024">
        <v>-0.31</v>
      </c>
      <c r="F4024">
        <v>-0.07</v>
      </c>
      <c r="G4024" t="s">
        <v>4717</v>
      </c>
      <c r="H4024">
        <v>46</v>
      </c>
      <c r="I4024">
        <v>22.29</v>
      </c>
      <c r="J4024">
        <v>22.3</v>
      </c>
      <c r="K4024" t="s">
        <v>11870</v>
      </c>
      <c r="L4024">
        <v>1.88</v>
      </c>
      <c r="M4024" t="s">
        <v>46</v>
      </c>
      <c r="N4024" t="s">
        <v>4134</v>
      </c>
      <c r="O4024">
        <v>22.57</v>
      </c>
      <c r="P4024">
        <v>22.06</v>
      </c>
      <c r="Q4024">
        <v>22.46</v>
      </c>
      <c r="R4024">
        <v>22.37</v>
      </c>
      <c r="S4024">
        <v>2.28</v>
      </c>
      <c r="T4024">
        <v>1</v>
      </c>
      <c r="U4024">
        <v>-13.88</v>
      </c>
      <c r="V4024">
        <v>-39</v>
      </c>
      <c r="W4024">
        <v>22.28</v>
      </c>
      <c r="X4024">
        <v>7531</v>
      </c>
      <c r="Y4024">
        <v>6593</v>
      </c>
      <c r="Z4024">
        <v>1.14</v>
      </c>
      <c r="AA4024">
        <v>9</v>
      </c>
      <c r="AB4024">
        <v>37</v>
      </c>
      <c r="AC4024">
        <v>2.63</v>
      </c>
      <c r="AD4024" t="s">
        <v>19300</v>
      </c>
      <c r="AE4024" t="s">
        <v>19301</v>
      </c>
      <c r="AF4024" t="s">
        <v>19302</v>
      </c>
      <c r="AG4024" t="s">
        <v>18933</v>
      </c>
      <c r="AH4024">
        <v>-2.53</v>
      </c>
      <c r="AI4024">
        <v>-1.41</v>
      </c>
      <c r="AJ4024">
        <v>4.81</v>
      </c>
      <c r="AK4024">
        <v>11.28</v>
      </c>
      <c r="AL4024">
        <v>-3</v>
      </c>
      <c r="AM4024">
        <v>-0.31</v>
      </c>
      <c r="AN4024">
        <v>69.07</v>
      </c>
      <c r="AO4024">
        <v>4.01</v>
      </c>
      <c r="AP4024">
        <v>50.27</v>
      </c>
    </row>
    <row r="4025" spans="1:42">
      <c r="A4025">
        <v>4024</v>
      </c>
      <c r="B4025" t="str">
        <f>"002831"</f>
        <v>002831</v>
      </c>
      <c r="C4025" t="s">
        <v>19303</v>
      </c>
      <c r="D4025">
        <v>25.99</v>
      </c>
      <c r="E4025">
        <v>-0.38</v>
      </c>
      <c r="F4025">
        <v>-0.1</v>
      </c>
      <c r="G4025" t="s">
        <v>1052</v>
      </c>
      <c r="H4025">
        <v>564</v>
      </c>
      <c r="I4025">
        <v>25.9</v>
      </c>
      <c r="J4025">
        <v>25.99</v>
      </c>
      <c r="K4025" t="s">
        <v>11870</v>
      </c>
      <c r="L4025">
        <v>0.23</v>
      </c>
      <c r="M4025" t="s">
        <v>46</v>
      </c>
      <c r="N4025" t="s">
        <v>379</v>
      </c>
      <c r="O4025">
        <v>26.18</v>
      </c>
      <c r="P4025">
        <v>25.81</v>
      </c>
      <c r="Q4025">
        <v>26.08</v>
      </c>
      <c r="R4025">
        <v>26.09</v>
      </c>
      <c r="S4025">
        <v>1.42</v>
      </c>
      <c r="T4025">
        <v>0.47</v>
      </c>
      <c r="U4025">
        <v>-13.33</v>
      </c>
      <c r="V4025">
        <v>-36</v>
      </c>
      <c r="W4025">
        <v>25.94</v>
      </c>
      <c r="X4025">
        <v>5944</v>
      </c>
      <c r="Y4025">
        <v>6184</v>
      </c>
      <c r="Z4025">
        <v>0.96</v>
      </c>
      <c r="AA4025">
        <v>4</v>
      </c>
      <c r="AB4025">
        <v>9</v>
      </c>
      <c r="AC4025">
        <v>2.29</v>
      </c>
      <c r="AD4025" t="s">
        <v>19304</v>
      </c>
      <c r="AE4025" t="s">
        <v>19305</v>
      </c>
      <c r="AF4025" t="s">
        <v>19306</v>
      </c>
      <c r="AG4025" t="s">
        <v>7808</v>
      </c>
      <c r="AH4025">
        <v>0.5</v>
      </c>
      <c r="AI4025">
        <v>2.77</v>
      </c>
      <c r="AJ4025">
        <v>1.56</v>
      </c>
      <c r="AK4025">
        <v>2.72</v>
      </c>
      <c r="AL4025">
        <v>-1</v>
      </c>
      <c r="AM4025">
        <v>-0.38</v>
      </c>
      <c r="AN4025">
        <v>-19.83</v>
      </c>
      <c r="AO4025">
        <v>-0.54</v>
      </c>
      <c r="AP4025">
        <v>-16.99</v>
      </c>
    </row>
    <row r="4026" spans="1:42">
      <c r="A4026">
        <v>4025</v>
      </c>
      <c r="B4026" t="str">
        <f>"000993"</f>
        <v>000993</v>
      </c>
      <c r="C4026" t="s">
        <v>19307</v>
      </c>
      <c r="D4026">
        <v>9.41</v>
      </c>
      <c r="E4026">
        <v>0.64</v>
      </c>
      <c r="F4026">
        <v>0.06</v>
      </c>
      <c r="G4026" t="s">
        <v>1687</v>
      </c>
      <c r="H4026">
        <v>667</v>
      </c>
      <c r="I4026">
        <v>9.41</v>
      </c>
      <c r="J4026">
        <v>9.42</v>
      </c>
      <c r="K4026" t="s">
        <v>19308</v>
      </c>
      <c r="L4026">
        <v>0.76</v>
      </c>
      <c r="M4026" t="s">
        <v>46</v>
      </c>
      <c r="N4026" t="s">
        <v>5236</v>
      </c>
      <c r="O4026">
        <v>9.45</v>
      </c>
      <c r="P4026">
        <v>9.28</v>
      </c>
      <c r="Q4026">
        <v>9.35</v>
      </c>
      <c r="R4026">
        <v>9.35</v>
      </c>
      <c r="S4026">
        <v>1.82</v>
      </c>
      <c r="T4026">
        <v>1.11</v>
      </c>
      <c r="U4026">
        <v>-27.28</v>
      </c>
      <c r="V4026">
        <v>-896</v>
      </c>
      <c r="W4026">
        <v>9.4</v>
      </c>
      <c r="X4026" t="s">
        <v>1254</v>
      </c>
      <c r="Y4026" t="s">
        <v>7210</v>
      </c>
      <c r="Z4026">
        <v>0.57</v>
      </c>
      <c r="AA4026">
        <v>553</v>
      </c>
      <c r="AB4026">
        <v>141</v>
      </c>
      <c r="AC4026">
        <v>1.69</v>
      </c>
      <c r="AD4026" t="s">
        <v>4014</v>
      </c>
      <c r="AE4026" t="s">
        <v>19309</v>
      </c>
      <c r="AF4026" t="s">
        <v>7045</v>
      </c>
      <c r="AG4026" t="s">
        <v>14832</v>
      </c>
      <c r="AH4026">
        <v>-0.74</v>
      </c>
      <c r="AI4026">
        <v>-1.57</v>
      </c>
      <c r="AJ4026">
        <v>2.11</v>
      </c>
      <c r="AK4026">
        <v>4.2</v>
      </c>
      <c r="AL4026">
        <v>1</v>
      </c>
      <c r="AM4026">
        <v>0.64</v>
      </c>
      <c r="AN4026">
        <v>-7.75</v>
      </c>
      <c r="AO4026">
        <v>-0.32</v>
      </c>
      <c r="AP4026">
        <v>-11.73</v>
      </c>
    </row>
    <row r="4027" spans="1:42">
      <c r="A4027">
        <v>4026</v>
      </c>
      <c r="B4027" t="str">
        <f>"605507"</f>
        <v>605507</v>
      </c>
      <c r="C4027" t="s">
        <v>19310</v>
      </c>
      <c r="D4027">
        <v>19.47</v>
      </c>
      <c r="E4027">
        <v>-0.15</v>
      </c>
      <c r="F4027">
        <v>-0.03</v>
      </c>
      <c r="G4027" t="s">
        <v>7487</v>
      </c>
      <c r="H4027">
        <v>71</v>
      </c>
      <c r="I4027">
        <v>19.45</v>
      </c>
      <c r="J4027">
        <v>19.47</v>
      </c>
      <c r="K4027" t="s">
        <v>9611</v>
      </c>
      <c r="L4027">
        <v>0.53</v>
      </c>
      <c r="M4027" t="s">
        <v>46</v>
      </c>
      <c r="N4027" t="s">
        <v>543</v>
      </c>
      <c r="O4027">
        <v>19.6</v>
      </c>
      <c r="P4027">
        <v>19.37</v>
      </c>
      <c r="Q4027">
        <v>19.52</v>
      </c>
      <c r="R4027">
        <v>19.5</v>
      </c>
      <c r="S4027">
        <v>1.18</v>
      </c>
      <c r="T4027">
        <v>0.4</v>
      </c>
      <c r="U4027">
        <v>-49.45</v>
      </c>
      <c r="V4027">
        <v>-180</v>
      </c>
      <c r="W4027">
        <v>19.48</v>
      </c>
      <c r="X4027">
        <v>8473</v>
      </c>
      <c r="Y4027">
        <v>7654</v>
      </c>
      <c r="Z4027">
        <v>1.11</v>
      </c>
      <c r="AA4027">
        <v>7</v>
      </c>
      <c r="AB4027">
        <v>16</v>
      </c>
      <c r="AC4027">
        <v>1.49</v>
      </c>
      <c r="AD4027" t="s">
        <v>19311</v>
      </c>
      <c r="AE4027" t="s">
        <v>9323</v>
      </c>
      <c r="AF4027" t="s">
        <v>7297</v>
      </c>
      <c r="AG4027" t="s">
        <v>5159</v>
      </c>
      <c r="AH4027">
        <v>-1.77</v>
      </c>
      <c r="AI4027">
        <v>-1.52</v>
      </c>
      <c r="AJ4027">
        <v>1.84</v>
      </c>
      <c r="AK4027">
        <v>7.24</v>
      </c>
      <c r="AL4027">
        <v>-1</v>
      </c>
      <c r="AM4027">
        <v>-0.15</v>
      </c>
      <c r="AN4027">
        <v>-24.74</v>
      </c>
      <c r="AO4027">
        <v>-0.87</v>
      </c>
      <c r="AP4027">
        <v>-32.21</v>
      </c>
    </row>
    <row r="4028" spans="1:42">
      <c r="A4028">
        <v>4027</v>
      </c>
      <c r="B4028" t="str">
        <f>"301158"</f>
        <v>301158</v>
      </c>
      <c r="C4028" t="s">
        <v>19312</v>
      </c>
      <c r="D4028">
        <v>16.98</v>
      </c>
      <c r="E4028">
        <v>-0.35</v>
      </c>
      <c r="F4028">
        <v>-0.06</v>
      </c>
      <c r="G4028" t="s">
        <v>2723</v>
      </c>
      <c r="H4028">
        <v>259</v>
      </c>
      <c r="I4028">
        <v>16.97</v>
      </c>
      <c r="J4028">
        <v>16.98</v>
      </c>
      <c r="K4028" t="s">
        <v>19313</v>
      </c>
      <c r="L4028">
        <v>2.39</v>
      </c>
      <c r="M4028" t="s">
        <v>46</v>
      </c>
      <c r="N4028" t="s">
        <v>4489</v>
      </c>
      <c r="O4028">
        <v>17.1</v>
      </c>
      <c r="P4028">
        <v>16.83</v>
      </c>
      <c r="Q4028">
        <v>17.1</v>
      </c>
      <c r="R4028">
        <v>17.04</v>
      </c>
      <c r="S4028">
        <v>1.58</v>
      </c>
      <c r="T4028">
        <v>0.89</v>
      </c>
      <c r="U4028">
        <v>-2.66</v>
      </c>
      <c r="V4028">
        <v>-22</v>
      </c>
      <c r="W4028">
        <v>16.91</v>
      </c>
      <c r="X4028" t="s">
        <v>734</v>
      </c>
      <c r="Y4028">
        <v>7351</v>
      </c>
      <c r="Z4028">
        <v>1.52</v>
      </c>
      <c r="AA4028">
        <v>33</v>
      </c>
      <c r="AB4028">
        <v>121</v>
      </c>
      <c r="AC4028">
        <v>1.99</v>
      </c>
      <c r="AD4028" t="s">
        <v>7764</v>
      </c>
      <c r="AE4028" t="s">
        <v>19314</v>
      </c>
      <c r="AF4028" t="s">
        <v>12761</v>
      </c>
      <c r="AG4028" t="s">
        <v>4141</v>
      </c>
      <c r="AH4028">
        <v>-1.16</v>
      </c>
      <c r="AI4028">
        <v>-2.13</v>
      </c>
      <c r="AJ4028">
        <v>7.28</v>
      </c>
      <c r="AK4028">
        <v>15.87</v>
      </c>
      <c r="AL4028">
        <v>-3</v>
      </c>
      <c r="AM4028">
        <v>-0.35</v>
      </c>
      <c r="AN4028">
        <v>8.22</v>
      </c>
      <c r="AO4028">
        <v>-1.45</v>
      </c>
      <c r="AP4028">
        <v>-5.4</v>
      </c>
    </row>
    <row r="4029" spans="1:42">
      <c r="A4029">
        <v>4028</v>
      </c>
      <c r="B4029" t="str">
        <f>"002108"</f>
        <v>002108</v>
      </c>
      <c r="C4029" t="s">
        <v>19315</v>
      </c>
      <c r="D4029">
        <v>4.08</v>
      </c>
      <c r="E4029">
        <v>0.49</v>
      </c>
      <c r="F4029">
        <v>0.02</v>
      </c>
      <c r="G4029" t="s">
        <v>6478</v>
      </c>
      <c r="H4029">
        <v>2283</v>
      </c>
      <c r="I4029">
        <v>4.07</v>
      </c>
      <c r="J4029">
        <v>4.08</v>
      </c>
      <c r="K4029" t="s">
        <v>19313</v>
      </c>
      <c r="L4029">
        <v>0.47</v>
      </c>
      <c r="M4029" t="s">
        <v>46</v>
      </c>
      <c r="N4029" t="s">
        <v>507</v>
      </c>
      <c r="O4029">
        <v>4.09</v>
      </c>
      <c r="P4029">
        <v>4.05</v>
      </c>
      <c r="Q4029">
        <v>4.07</v>
      </c>
      <c r="R4029">
        <v>4.06</v>
      </c>
      <c r="S4029">
        <v>0.99</v>
      </c>
      <c r="T4029">
        <v>0.87</v>
      </c>
      <c r="U4029">
        <v>21.48</v>
      </c>
      <c r="V4029">
        <v>5185</v>
      </c>
      <c r="W4029">
        <v>4.06</v>
      </c>
      <c r="X4029" t="s">
        <v>762</v>
      </c>
      <c r="Y4029" t="s">
        <v>4087</v>
      </c>
      <c r="Z4029">
        <v>0.82</v>
      </c>
      <c r="AA4029">
        <v>2638</v>
      </c>
      <c r="AB4029">
        <v>1697</v>
      </c>
      <c r="AC4029">
        <v>1.34</v>
      </c>
      <c r="AD4029" t="s">
        <v>3428</v>
      </c>
      <c r="AE4029" t="s">
        <v>19316</v>
      </c>
      <c r="AF4029" t="s">
        <v>2515</v>
      </c>
      <c r="AG4029" t="s">
        <v>15985</v>
      </c>
      <c r="AH4029">
        <v>-1.45</v>
      </c>
      <c r="AI4029">
        <v>-1.92</v>
      </c>
      <c r="AJ4029">
        <v>1.54</v>
      </c>
      <c r="AK4029">
        <v>3.17</v>
      </c>
      <c r="AL4029">
        <v>1</v>
      </c>
      <c r="AM4029">
        <v>0.49</v>
      </c>
      <c r="AN4029">
        <v>-9.53</v>
      </c>
      <c r="AO4029">
        <v>-1.69</v>
      </c>
      <c r="AP4029">
        <v>-20.47</v>
      </c>
    </row>
    <row r="4030" spans="1:42">
      <c r="A4030">
        <v>4029</v>
      </c>
      <c r="B4030" t="str">
        <f>"831010"</f>
        <v>831010</v>
      </c>
      <c r="C4030" t="s">
        <v>19317</v>
      </c>
      <c r="D4030">
        <v>4.6</v>
      </c>
      <c r="E4030">
        <v>-5.74</v>
      </c>
      <c r="F4030">
        <v>-0.28</v>
      </c>
      <c r="G4030" t="s">
        <v>1721</v>
      </c>
      <c r="H4030">
        <v>1550</v>
      </c>
      <c r="I4030">
        <v>4.6</v>
      </c>
      <c r="J4030">
        <v>4.61</v>
      </c>
      <c r="K4030" t="s">
        <v>19318</v>
      </c>
      <c r="L4030">
        <v>4.15</v>
      </c>
      <c r="M4030" t="s">
        <v>46</v>
      </c>
      <c r="N4030" t="s">
        <v>2123</v>
      </c>
      <c r="O4030">
        <v>4.95</v>
      </c>
      <c r="P4030">
        <v>4.53</v>
      </c>
      <c r="Q4030">
        <v>4.8</v>
      </c>
      <c r="R4030">
        <v>4.88</v>
      </c>
      <c r="S4030">
        <v>8.61</v>
      </c>
      <c r="T4030">
        <v>0.48</v>
      </c>
      <c r="U4030">
        <v>-36.42</v>
      </c>
      <c r="V4030">
        <v>-828</v>
      </c>
      <c r="W4030">
        <v>4.69</v>
      </c>
      <c r="X4030" t="s">
        <v>2299</v>
      </c>
      <c r="Y4030" t="s">
        <v>8073</v>
      </c>
      <c r="Z4030">
        <v>2.25</v>
      </c>
      <c r="AA4030">
        <v>262</v>
      </c>
      <c r="AB4030">
        <v>530</v>
      </c>
      <c r="AC4030">
        <v>1.7</v>
      </c>
      <c r="AD4030" t="s">
        <v>9119</v>
      </c>
      <c r="AE4030" t="s">
        <v>7009</v>
      </c>
      <c r="AF4030" t="s">
        <v>19319</v>
      </c>
      <c r="AG4030" t="s">
        <v>6636</v>
      </c>
      <c r="AH4030">
        <v>-14.5</v>
      </c>
      <c r="AI4030">
        <v>10.58</v>
      </c>
      <c r="AJ4030">
        <v>17.57</v>
      </c>
      <c r="AK4030">
        <v>47.63</v>
      </c>
      <c r="AL4030">
        <v>-1</v>
      </c>
      <c r="AM4030">
        <v>-5.74</v>
      </c>
      <c r="AN4030">
        <v>26.72</v>
      </c>
      <c r="AO4030">
        <v>38.14</v>
      </c>
      <c r="AP4030">
        <v>18.56</v>
      </c>
    </row>
    <row r="4031" spans="1:42">
      <c r="A4031">
        <v>4030</v>
      </c>
      <c r="B4031" t="str">
        <f>"601368"</f>
        <v>601368</v>
      </c>
      <c r="C4031" t="s">
        <v>19320</v>
      </c>
      <c r="D4031">
        <v>5.43</v>
      </c>
      <c r="E4031">
        <v>0.37</v>
      </c>
      <c r="F4031">
        <v>0.02</v>
      </c>
      <c r="G4031" t="s">
        <v>8120</v>
      </c>
      <c r="H4031">
        <v>333</v>
      </c>
      <c r="I4031">
        <v>5.43</v>
      </c>
      <c r="J4031">
        <v>5.44</v>
      </c>
      <c r="K4031" t="s">
        <v>19321</v>
      </c>
      <c r="L4031">
        <v>0.65</v>
      </c>
      <c r="M4031" t="s">
        <v>46</v>
      </c>
      <c r="N4031" t="s">
        <v>4024</v>
      </c>
      <c r="O4031">
        <v>5.47</v>
      </c>
      <c r="P4031">
        <v>5.41</v>
      </c>
      <c r="Q4031">
        <v>5.42</v>
      </c>
      <c r="R4031">
        <v>5.41</v>
      </c>
      <c r="S4031">
        <v>1.11</v>
      </c>
      <c r="T4031">
        <v>1.34</v>
      </c>
      <c r="U4031">
        <v>-43.95</v>
      </c>
      <c r="V4031">
        <v>-6671</v>
      </c>
      <c r="W4031">
        <v>5.44</v>
      </c>
      <c r="X4031" t="s">
        <v>9766</v>
      </c>
      <c r="Y4031" t="s">
        <v>7338</v>
      </c>
      <c r="Z4031">
        <v>0.74</v>
      </c>
      <c r="AA4031">
        <v>90</v>
      </c>
      <c r="AB4031">
        <v>642</v>
      </c>
      <c r="AC4031">
        <v>1.01</v>
      </c>
      <c r="AD4031" t="s">
        <v>19322</v>
      </c>
      <c r="AE4031" t="s">
        <v>19323</v>
      </c>
      <c r="AF4031" t="s">
        <v>19322</v>
      </c>
      <c r="AG4031" t="s">
        <v>19323</v>
      </c>
      <c r="AH4031">
        <v>0.18</v>
      </c>
      <c r="AI4031">
        <v>0.37</v>
      </c>
      <c r="AJ4031">
        <v>1.64</v>
      </c>
      <c r="AK4031">
        <v>3.09</v>
      </c>
      <c r="AL4031">
        <v>2</v>
      </c>
      <c r="AM4031">
        <v>0.37</v>
      </c>
      <c r="AN4031">
        <v>4.42</v>
      </c>
      <c r="AO4031">
        <v>2.07</v>
      </c>
      <c r="AP4031">
        <v>3.04</v>
      </c>
    </row>
    <row r="4032" spans="1:42">
      <c r="A4032">
        <v>4031</v>
      </c>
      <c r="B4032" t="str">
        <f>"603958"</f>
        <v>603958</v>
      </c>
      <c r="C4032" t="s">
        <v>19324</v>
      </c>
      <c r="D4032">
        <v>9.33</v>
      </c>
      <c r="E4032">
        <v>0.21</v>
      </c>
      <c r="F4032">
        <v>0.02</v>
      </c>
      <c r="G4032" t="s">
        <v>1687</v>
      </c>
      <c r="H4032">
        <v>333</v>
      </c>
      <c r="I4032">
        <v>9.33</v>
      </c>
      <c r="J4032">
        <v>9.35</v>
      </c>
      <c r="K4032" t="s">
        <v>19325</v>
      </c>
      <c r="L4032">
        <v>1.52</v>
      </c>
      <c r="M4032" t="s">
        <v>46</v>
      </c>
      <c r="N4032" t="s">
        <v>2487</v>
      </c>
      <c r="O4032">
        <v>9.51</v>
      </c>
      <c r="P4032">
        <v>9.31</v>
      </c>
      <c r="Q4032">
        <v>9.35</v>
      </c>
      <c r="R4032">
        <v>9.31</v>
      </c>
      <c r="S4032">
        <v>2.15</v>
      </c>
      <c r="T4032">
        <v>0.92</v>
      </c>
      <c r="U4032">
        <v>-17.96</v>
      </c>
      <c r="V4032">
        <v>-229</v>
      </c>
      <c r="W4032">
        <v>9.4</v>
      </c>
      <c r="X4032" t="s">
        <v>1110</v>
      </c>
      <c r="Y4032" t="s">
        <v>8137</v>
      </c>
      <c r="Z4032">
        <v>1.02</v>
      </c>
      <c r="AA4032">
        <v>68</v>
      </c>
      <c r="AB4032">
        <v>8</v>
      </c>
      <c r="AC4032">
        <v>2.54</v>
      </c>
      <c r="AD4032" t="s">
        <v>19326</v>
      </c>
      <c r="AE4032" t="s">
        <v>10836</v>
      </c>
      <c r="AF4032" t="s">
        <v>19327</v>
      </c>
      <c r="AG4032" t="s">
        <v>19328</v>
      </c>
      <c r="AH4032">
        <v>-1.79</v>
      </c>
      <c r="AI4032">
        <v>-2.91</v>
      </c>
      <c r="AJ4032">
        <v>4.71</v>
      </c>
      <c r="AK4032">
        <v>9.81</v>
      </c>
      <c r="AL4032">
        <v>1</v>
      </c>
      <c r="AM4032">
        <v>0.21</v>
      </c>
      <c r="AN4032">
        <v>44.65</v>
      </c>
      <c r="AO4032">
        <v>1.52</v>
      </c>
      <c r="AP4032">
        <v>39.05</v>
      </c>
    </row>
    <row r="4033" spans="1:42">
      <c r="A4033">
        <v>4032</v>
      </c>
      <c r="B4033" t="str">
        <f>"002479"</f>
        <v>002479</v>
      </c>
      <c r="C4033" t="s">
        <v>19329</v>
      </c>
      <c r="D4033">
        <v>4.84</v>
      </c>
      <c r="E4033">
        <v>0.83</v>
      </c>
      <c r="F4033">
        <v>0.04</v>
      </c>
      <c r="G4033" t="s">
        <v>4913</v>
      </c>
      <c r="H4033">
        <v>1791</v>
      </c>
      <c r="I4033">
        <v>4.83</v>
      </c>
      <c r="J4033">
        <v>4.84</v>
      </c>
      <c r="K4033" t="s">
        <v>12099</v>
      </c>
      <c r="L4033">
        <v>0.75</v>
      </c>
      <c r="M4033" t="s">
        <v>46</v>
      </c>
      <c r="N4033" t="s">
        <v>4457</v>
      </c>
      <c r="O4033">
        <v>4.86</v>
      </c>
      <c r="P4033">
        <v>4.76</v>
      </c>
      <c r="Q4033">
        <v>4.8</v>
      </c>
      <c r="R4033">
        <v>4.8</v>
      </c>
      <c r="S4033">
        <v>2.08</v>
      </c>
      <c r="T4033">
        <v>0.98</v>
      </c>
      <c r="U4033">
        <v>-65.41</v>
      </c>
      <c r="V4033" t="s">
        <v>19330</v>
      </c>
      <c r="W4033">
        <v>4.83</v>
      </c>
      <c r="X4033" t="s">
        <v>3033</v>
      </c>
      <c r="Y4033" t="s">
        <v>1604</v>
      </c>
      <c r="Z4033">
        <v>0.88</v>
      </c>
      <c r="AA4033">
        <v>130</v>
      </c>
      <c r="AB4033">
        <v>702</v>
      </c>
      <c r="AC4033">
        <v>1.06</v>
      </c>
      <c r="AD4033" t="s">
        <v>19331</v>
      </c>
      <c r="AE4033" t="s">
        <v>19332</v>
      </c>
      <c r="AF4033" t="s">
        <v>19333</v>
      </c>
      <c r="AG4033" t="s">
        <v>19334</v>
      </c>
      <c r="AH4033">
        <v>0.41</v>
      </c>
      <c r="AI4033">
        <v>-0.41</v>
      </c>
      <c r="AJ4033">
        <v>2.06</v>
      </c>
      <c r="AK4033">
        <v>4.62</v>
      </c>
      <c r="AL4033">
        <v>2</v>
      </c>
      <c r="AM4033">
        <v>0.83</v>
      </c>
      <c r="AN4033">
        <v>16.91</v>
      </c>
      <c r="AO4033">
        <v>3.64</v>
      </c>
      <c r="AP4033">
        <v>10.25</v>
      </c>
    </row>
    <row r="4034" spans="1:42">
      <c r="A4034">
        <v>4033</v>
      </c>
      <c r="B4034" t="str">
        <f>"688285"</f>
        <v>688285</v>
      </c>
      <c r="C4034" t="s">
        <v>19335</v>
      </c>
      <c r="D4034">
        <v>9.08</v>
      </c>
      <c r="E4034">
        <v>-0.33</v>
      </c>
      <c r="F4034">
        <v>-0.03</v>
      </c>
      <c r="G4034" t="s">
        <v>837</v>
      </c>
      <c r="H4034">
        <v>209</v>
      </c>
      <c r="I4034">
        <v>9.08</v>
      </c>
      <c r="J4034">
        <v>9.09</v>
      </c>
      <c r="K4034" t="s">
        <v>19336</v>
      </c>
      <c r="L4034">
        <v>3.68</v>
      </c>
      <c r="M4034" t="s">
        <v>46</v>
      </c>
      <c r="N4034" t="s">
        <v>4622</v>
      </c>
      <c r="O4034">
        <v>9.15</v>
      </c>
      <c r="P4034">
        <v>8.94</v>
      </c>
      <c r="Q4034">
        <v>9.12</v>
      </c>
      <c r="R4034">
        <v>9.11</v>
      </c>
      <c r="S4034">
        <v>2.31</v>
      </c>
      <c r="T4034">
        <v>1.23</v>
      </c>
      <c r="U4034">
        <v>-17.06</v>
      </c>
      <c r="V4034">
        <v>-190</v>
      </c>
      <c r="W4034">
        <v>9.03</v>
      </c>
      <c r="X4034" t="s">
        <v>3069</v>
      </c>
      <c r="Y4034" t="s">
        <v>8137</v>
      </c>
      <c r="Z4034">
        <v>1.09</v>
      </c>
      <c r="AA4034">
        <v>56</v>
      </c>
      <c r="AB4034">
        <v>151</v>
      </c>
      <c r="AC4034">
        <v>2.12</v>
      </c>
      <c r="AD4034" t="s">
        <v>13470</v>
      </c>
      <c r="AE4034" t="s">
        <v>5005</v>
      </c>
      <c r="AF4034" t="s">
        <v>19337</v>
      </c>
      <c r="AG4034" t="s">
        <v>19338</v>
      </c>
      <c r="AH4034">
        <v>-2.26</v>
      </c>
      <c r="AI4034">
        <v>-1.63</v>
      </c>
      <c r="AJ4034">
        <v>9.4</v>
      </c>
      <c r="AK4034">
        <v>18.62</v>
      </c>
      <c r="AL4034">
        <v>-3</v>
      </c>
      <c r="AM4034">
        <v>-0.33</v>
      </c>
      <c r="AN4034">
        <v>19.32</v>
      </c>
      <c r="AO4034">
        <v>1.79</v>
      </c>
      <c r="AP4034">
        <v>11.14</v>
      </c>
    </row>
    <row r="4035" spans="1:42">
      <c r="A4035">
        <v>4034</v>
      </c>
      <c r="B4035" t="str">
        <f>"603639"</f>
        <v>603639</v>
      </c>
      <c r="C4035" t="s">
        <v>19339</v>
      </c>
      <c r="D4035">
        <v>16.33</v>
      </c>
      <c r="E4035">
        <v>-0.67</v>
      </c>
      <c r="F4035">
        <v>-0.11</v>
      </c>
      <c r="G4035" t="s">
        <v>2329</v>
      </c>
      <c r="H4035">
        <v>44</v>
      </c>
      <c r="I4035">
        <v>16.3</v>
      </c>
      <c r="J4035">
        <v>16.33</v>
      </c>
      <c r="K4035" t="s">
        <v>19340</v>
      </c>
      <c r="L4035">
        <v>0.57</v>
      </c>
      <c r="M4035" t="s">
        <v>46</v>
      </c>
      <c r="N4035" t="s">
        <v>5686</v>
      </c>
      <c r="O4035">
        <v>16.52</v>
      </c>
      <c r="P4035">
        <v>16.23</v>
      </c>
      <c r="Q4035">
        <v>16.49</v>
      </c>
      <c r="R4035">
        <v>16.44</v>
      </c>
      <c r="S4035">
        <v>1.76</v>
      </c>
      <c r="T4035">
        <v>1.42</v>
      </c>
      <c r="U4035">
        <v>66.41</v>
      </c>
      <c r="V4035">
        <v>650</v>
      </c>
      <c r="W4035">
        <v>16.33</v>
      </c>
      <c r="X4035" t="s">
        <v>682</v>
      </c>
      <c r="Y4035">
        <v>6539</v>
      </c>
      <c r="Z4035">
        <v>1.93</v>
      </c>
      <c r="AA4035">
        <v>121</v>
      </c>
      <c r="AB4035">
        <v>98</v>
      </c>
      <c r="AC4035">
        <v>1.66</v>
      </c>
      <c r="AD4035" t="s">
        <v>19341</v>
      </c>
      <c r="AE4035" t="s">
        <v>12947</v>
      </c>
      <c r="AF4035" t="s">
        <v>19342</v>
      </c>
      <c r="AG4035" t="s">
        <v>19343</v>
      </c>
      <c r="AH4035">
        <v>-2.39</v>
      </c>
      <c r="AI4035">
        <v>-3.26</v>
      </c>
      <c r="AJ4035">
        <v>1.35</v>
      </c>
      <c r="AK4035">
        <v>2.56</v>
      </c>
      <c r="AL4035">
        <v>-3</v>
      </c>
      <c r="AM4035">
        <v>-0.67</v>
      </c>
      <c r="AN4035">
        <v>-33.46</v>
      </c>
      <c r="AO4035">
        <v>-3.66</v>
      </c>
      <c r="AP4035">
        <v>-37.17</v>
      </c>
    </row>
    <row r="4036" spans="1:42">
      <c r="A4036">
        <v>4035</v>
      </c>
      <c r="B4036" t="str">
        <f>"300980"</f>
        <v>300980</v>
      </c>
      <c r="C4036" t="s">
        <v>19344</v>
      </c>
      <c r="D4036">
        <v>22.6</v>
      </c>
      <c r="E4036">
        <v>1.35</v>
      </c>
      <c r="F4036">
        <v>0.3</v>
      </c>
      <c r="G4036" t="s">
        <v>10542</v>
      </c>
      <c r="H4036">
        <v>213</v>
      </c>
      <c r="I4036">
        <v>22.59</v>
      </c>
      <c r="J4036">
        <v>22.6</v>
      </c>
      <c r="K4036" t="s">
        <v>19345</v>
      </c>
      <c r="L4036">
        <v>2.72</v>
      </c>
      <c r="M4036" t="s">
        <v>46</v>
      </c>
      <c r="N4036" t="s">
        <v>5418</v>
      </c>
      <c r="O4036">
        <v>22.86</v>
      </c>
      <c r="P4036">
        <v>21.85</v>
      </c>
      <c r="Q4036">
        <v>21.85</v>
      </c>
      <c r="R4036">
        <v>22.3</v>
      </c>
      <c r="S4036">
        <v>4.53</v>
      </c>
      <c r="T4036">
        <v>0.59</v>
      </c>
      <c r="U4036">
        <v>57.24</v>
      </c>
      <c r="V4036">
        <v>265</v>
      </c>
      <c r="W4036">
        <v>22.53</v>
      </c>
      <c r="X4036">
        <v>6737</v>
      </c>
      <c r="Y4036">
        <v>7128</v>
      </c>
      <c r="Z4036">
        <v>0.95</v>
      </c>
      <c r="AA4036">
        <v>9</v>
      </c>
      <c r="AB4036">
        <v>36</v>
      </c>
      <c r="AC4036">
        <v>2.52</v>
      </c>
      <c r="AD4036" t="s">
        <v>13729</v>
      </c>
      <c r="AE4036" t="s">
        <v>7765</v>
      </c>
      <c r="AF4036" t="s">
        <v>19346</v>
      </c>
      <c r="AG4036" t="s">
        <v>5330</v>
      </c>
      <c r="AH4036">
        <v>-0.44</v>
      </c>
      <c r="AI4036">
        <v>1.16</v>
      </c>
      <c r="AJ4036">
        <v>7.38</v>
      </c>
      <c r="AK4036">
        <v>25.83</v>
      </c>
      <c r="AL4036">
        <v>1</v>
      </c>
      <c r="AM4036">
        <v>1.35</v>
      </c>
      <c r="AN4036">
        <v>30.03</v>
      </c>
      <c r="AO4036">
        <v>5.81</v>
      </c>
      <c r="AP4036">
        <v>11.66</v>
      </c>
    </row>
    <row r="4037" spans="1:42">
      <c r="A4037">
        <v>4036</v>
      </c>
      <c r="B4037" t="str">
        <f>"000931"</f>
        <v>000931</v>
      </c>
      <c r="C4037" t="s">
        <v>19347</v>
      </c>
      <c r="D4037">
        <v>6.31</v>
      </c>
      <c r="E4037">
        <v>0</v>
      </c>
      <c r="F4037">
        <v>0</v>
      </c>
      <c r="G4037" t="s">
        <v>3319</v>
      </c>
      <c r="H4037">
        <v>286</v>
      </c>
      <c r="I4037">
        <v>6.3</v>
      </c>
      <c r="J4037">
        <v>6.31</v>
      </c>
      <c r="K4037" t="s">
        <v>19348</v>
      </c>
      <c r="L4037">
        <v>0.66</v>
      </c>
      <c r="M4037" t="s">
        <v>46</v>
      </c>
      <c r="N4037" t="s">
        <v>9029</v>
      </c>
      <c r="O4037">
        <v>6.37</v>
      </c>
      <c r="P4037">
        <v>6.25</v>
      </c>
      <c r="Q4037">
        <v>6.25</v>
      </c>
      <c r="R4037">
        <v>6.31</v>
      </c>
      <c r="S4037">
        <v>1.9</v>
      </c>
      <c r="T4037">
        <v>0.49</v>
      </c>
      <c r="U4037">
        <v>-14.17</v>
      </c>
      <c r="V4037">
        <v>-726</v>
      </c>
      <c r="W4037">
        <v>6.31</v>
      </c>
      <c r="X4037" t="s">
        <v>48</v>
      </c>
      <c r="Y4037" t="s">
        <v>3662</v>
      </c>
      <c r="Z4037">
        <v>1.01</v>
      </c>
      <c r="AA4037">
        <v>534</v>
      </c>
      <c r="AB4037">
        <v>341</v>
      </c>
      <c r="AC4037">
        <v>3.12</v>
      </c>
      <c r="AD4037" t="s">
        <v>1406</v>
      </c>
      <c r="AE4037" t="s">
        <v>10366</v>
      </c>
      <c r="AF4037" t="s">
        <v>14017</v>
      </c>
      <c r="AG4037" t="s">
        <v>19349</v>
      </c>
      <c r="AH4037">
        <v>0.16</v>
      </c>
      <c r="AI4037">
        <v>-1.41</v>
      </c>
      <c r="AJ4037">
        <v>2.41</v>
      </c>
      <c r="AK4037">
        <v>7.38</v>
      </c>
      <c r="AL4037">
        <v>0</v>
      </c>
      <c r="AM4037">
        <v>0</v>
      </c>
      <c r="AN4037">
        <v>2.6</v>
      </c>
      <c r="AO4037">
        <v>3.44</v>
      </c>
      <c r="AP4037">
        <v>-7.75</v>
      </c>
    </row>
    <row r="4038" spans="1:42">
      <c r="A4038">
        <v>4037</v>
      </c>
      <c r="B4038" t="str">
        <f>"605580"</f>
        <v>605580</v>
      </c>
      <c r="C4038" t="s">
        <v>19350</v>
      </c>
      <c r="D4038">
        <v>12.03</v>
      </c>
      <c r="E4038">
        <v>0.33</v>
      </c>
      <c r="F4038">
        <v>0.04</v>
      </c>
      <c r="G4038" t="s">
        <v>1077</v>
      </c>
      <c r="H4038">
        <v>279</v>
      </c>
      <c r="I4038">
        <v>12.02</v>
      </c>
      <c r="J4038">
        <v>12.03</v>
      </c>
      <c r="K4038" t="s">
        <v>19351</v>
      </c>
      <c r="L4038">
        <v>3.6</v>
      </c>
      <c r="M4038" t="s">
        <v>46</v>
      </c>
      <c r="N4038" t="s">
        <v>2526</v>
      </c>
      <c r="O4038">
        <v>12.21</v>
      </c>
      <c r="P4038">
        <v>11.96</v>
      </c>
      <c r="Q4038">
        <v>12.02</v>
      </c>
      <c r="R4038">
        <v>11.99</v>
      </c>
      <c r="S4038">
        <v>2.09</v>
      </c>
      <c r="T4038">
        <v>2.02</v>
      </c>
      <c r="U4038">
        <v>3.96</v>
      </c>
      <c r="V4038">
        <v>24</v>
      </c>
      <c r="W4038">
        <v>12.1</v>
      </c>
      <c r="X4038" t="s">
        <v>1170</v>
      </c>
      <c r="Y4038" t="s">
        <v>6212</v>
      </c>
      <c r="Z4038">
        <v>1.03</v>
      </c>
      <c r="AA4038">
        <v>62</v>
      </c>
      <c r="AB4038">
        <v>58</v>
      </c>
      <c r="AC4038">
        <v>3.89</v>
      </c>
      <c r="AD4038" t="s">
        <v>12538</v>
      </c>
      <c r="AE4038" t="s">
        <v>15969</v>
      </c>
      <c r="AF4038" t="s">
        <v>19352</v>
      </c>
      <c r="AG4038" t="s">
        <v>17806</v>
      </c>
      <c r="AH4038">
        <v>-0.5</v>
      </c>
      <c r="AI4038">
        <v>0.08</v>
      </c>
      <c r="AJ4038">
        <v>7.28</v>
      </c>
      <c r="AK4038">
        <v>12.53</v>
      </c>
      <c r="AL4038">
        <v>1</v>
      </c>
      <c r="AM4038">
        <v>0.33</v>
      </c>
      <c r="AN4038">
        <v>46.89</v>
      </c>
      <c r="AO4038">
        <v>2.56</v>
      </c>
      <c r="AP4038">
        <v>41.86</v>
      </c>
    </row>
    <row r="4039" spans="1:42">
      <c r="A4039">
        <v>4038</v>
      </c>
      <c r="B4039" t="str">
        <f>"002909"</f>
        <v>002909</v>
      </c>
      <c r="C4039" t="s">
        <v>19353</v>
      </c>
      <c r="D4039">
        <v>7.74</v>
      </c>
      <c r="E4039">
        <v>-0.26</v>
      </c>
      <c r="F4039">
        <v>-0.02</v>
      </c>
      <c r="G4039" t="s">
        <v>5383</v>
      </c>
      <c r="H4039">
        <v>265</v>
      </c>
      <c r="I4039">
        <v>7.74</v>
      </c>
      <c r="J4039">
        <v>7.75</v>
      </c>
      <c r="K4039" t="s">
        <v>19351</v>
      </c>
      <c r="L4039">
        <v>1.11</v>
      </c>
      <c r="M4039" t="s">
        <v>46</v>
      </c>
      <c r="N4039" t="s">
        <v>6876</v>
      </c>
      <c r="O4039">
        <v>7.83</v>
      </c>
      <c r="P4039">
        <v>7.7</v>
      </c>
      <c r="Q4039">
        <v>7.79</v>
      </c>
      <c r="R4039">
        <v>7.76</v>
      </c>
      <c r="S4039">
        <v>1.68</v>
      </c>
      <c r="T4039">
        <v>1.02</v>
      </c>
      <c r="U4039">
        <v>43.76</v>
      </c>
      <c r="V4039">
        <v>2057</v>
      </c>
      <c r="W4039">
        <v>7.76</v>
      </c>
      <c r="X4039" t="s">
        <v>3662</v>
      </c>
      <c r="Y4039" t="s">
        <v>8212</v>
      </c>
      <c r="Z4039">
        <v>1.58</v>
      </c>
      <c r="AA4039">
        <v>2288</v>
      </c>
      <c r="AB4039">
        <v>87</v>
      </c>
      <c r="AC4039">
        <v>3.36</v>
      </c>
      <c r="AD4039" t="s">
        <v>19354</v>
      </c>
      <c r="AE4039" t="s">
        <v>19355</v>
      </c>
      <c r="AF4039" t="s">
        <v>19356</v>
      </c>
      <c r="AG4039" t="s">
        <v>19357</v>
      </c>
      <c r="AH4039">
        <v>-3.13</v>
      </c>
      <c r="AI4039">
        <v>-3.37</v>
      </c>
      <c r="AJ4039">
        <v>3.11</v>
      </c>
      <c r="AK4039">
        <v>6.57</v>
      </c>
      <c r="AL4039">
        <v>-3</v>
      </c>
      <c r="AM4039">
        <v>-0.26</v>
      </c>
      <c r="AN4039">
        <v>-11.95</v>
      </c>
      <c r="AO4039">
        <v>-1.02</v>
      </c>
      <c r="AP4039">
        <v>-14.95</v>
      </c>
    </row>
    <row r="4040" spans="1:42">
      <c r="A4040">
        <v>4039</v>
      </c>
      <c r="B4040" t="str">
        <f>"301195"</f>
        <v>301195</v>
      </c>
      <c r="C4040" t="s">
        <v>19358</v>
      </c>
      <c r="D4040">
        <v>41.78</v>
      </c>
      <c r="E4040">
        <v>1.28</v>
      </c>
      <c r="F4040">
        <v>0.53</v>
      </c>
      <c r="G4040">
        <v>7513</v>
      </c>
      <c r="H4040">
        <v>12</v>
      </c>
      <c r="I4040">
        <v>41.78</v>
      </c>
      <c r="J4040">
        <v>41.84</v>
      </c>
      <c r="K4040" t="s">
        <v>19359</v>
      </c>
      <c r="L4040">
        <v>1.63</v>
      </c>
      <c r="M4040" t="s">
        <v>46</v>
      </c>
      <c r="N4040" t="s">
        <v>1926</v>
      </c>
      <c r="O4040">
        <v>42.09</v>
      </c>
      <c r="P4040">
        <v>40.95</v>
      </c>
      <c r="Q4040">
        <v>41.36</v>
      </c>
      <c r="R4040">
        <v>41.25</v>
      </c>
      <c r="S4040">
        <v>2.76</v>
      </c>
      <c r="T4040">
        <v>0.93</v>
      </c>
      <c r="U4040">
        <v>-21.88</v>
      </c>
      <c r="V4040">
        <v>-28</v>
      </c>
      <c r="W4040">
        <v>41.46</v>
      </c>
      <c r="X4040">
        <v>3993</v>
      </c>
      <c r="Y4040">
        <v>3520</v>
      </c>
      <c r="Z4040">
        <v>1.13</v>
      </c>
      <c r="AA4040">
        <v>19</v>
      </c>
      <c r="AB4040">
        <v>1</v>
      </c>
      <c r="AC4040">
        <v>2.47</v>
      </c>
      <c r="AD4040" t="s">
        <v>2616</v>
      </c>
      <c r="AE4040" t="s">
        <v>19360</v>
      </c>
      <c r="AF4040" t="s">
        <v>19361</v>
      </c>
      <c r="AG4040" t="s">
        <v>19362</v>
      </c>
      <c r="AH4040">
        <v>-1.6</v>
      </c>
      <c r="AI4040">
        <v>-2.59</v>
      </c>
      <c r="AJ4040">
        <v>4.87</v>
      </c>
      <c r="AK4040">
        <v>10.36</v>
      </c>
      <c r="AL4040">
        <v>1</v>
      </c>
      <c r="AM4040">
        <v>1.28</v>
      </c>
      <c r="AN4040">
        <v>-15.08</v>
      </c>
      <c r="AO4040">
        <v>0.67</v>
      </c>
      <c r="AP4040">
        <v>-21.8</v>
      </c>
    </row>
    <row r="4041" spans="1:42">
      <c r="A4041">
        <v>4040</v>
      </c>
      <c r="B4041" t="str">
        <f>"002749"</f>
        <v>002749</v>
      </c>
      <c r="C4041" t="s">
        <v>19363</v>
      </c>
      <c r="D4041">
        <v>10.81</v>
      </c>
      <c r="E4041">
        <v>-2.52</v>
      </c>
      <c r="F4041">
        <v>-0.28</v>
      </c>
      <c r="G4041" t="s">
        <v>6768</v>
      </c>
      <c r="H4041">
        <v>244</v>
      </c>
      <c r="I4041">
        <v>10.81</v>
      </c>
      <c r="J4041">
        <v>10.82</v>
      </c>
      <c r="K4041" t="s">
        <v>19364</v>
      </c>
      <c r="L4041">
        <v>0.71</v>
      </c>
      <c r="M4041" t="s">
        <v>46</v>
      </c>
      <c r="N4041" t="s">
        <v>2900</v>
      </c>
      <c r="O4041">
        <v>11.14</v>
      </c>
      <c r="P4041">
        <v>10.79</v>
      </c>
      <c r="Q4041">
        <v>11.09</v>
      </c>
      <c r="R4041">
        <v>11.09</v>
      </c>
      <c r="S4041">
        <v>3.16</v>
      </c>
      <c r="T4041">
        <v>1.88</v>
      </c>
      <c r="U4041">
        <v>3.76</v>
      </c>
      <c r="V4041">
        <v>28</v>
      </c>
      <c r="W4041">
        <v>10.88</v>
      </c>
      <c r="X4041" t="s">
        <v>734</v>
      </c>
      <c r="Y4041" t="s">
        <v>876</v>
      </c>
      <c r="Z4041">
        <v>0.64</v>
      </c>
      <c r="AA4041">
        <v>119</v>
      </c>
      <c r="AB4041">
        <v>10</v>
      </c>
      <c r="AC4041">
        <v>2.89</v>
      </c>
      <c r="AD4041" t="s">
        <v>19365</v>
      </c>
      <c r="AE4041" t="s">
        <v>15350</v>
      </c>
      <c r="AF4041" t="s">
        <v>17829</v>
      </c>
      <c r="AG4041" t="s">
        <v>7287</v>
      </c>
      <c r="AH4041">
        <v>-4.08</v>
      </c>
      <c r="AI4041">
        <v>-4.08</v>
      </c>
      <c r="AJ4041">
        <v>1.6</v>
      </c>
      <c r="AK4041">
        <v>2.61</v>
      </c>
      <c r="AL4041">
        <v>-3</v>
      </c>
      <c r="AM4041">
        <v>-2.52</v>
      </c>
      <c r="AN4041">
        <v>24.68</v>
      </c>
      <c r="AO4041">
        <v>0.28</v>
      </c>
      <c r="AP4041">
        <v>19.18</v>
      </c>
    </row>
    <row r="4042" spans="1:42">
      <c r="A4042">
        <v>4041</v>
      </c>
      <c r="B4042" t="str">
        <f>"000573"</f>
        <v>000573</v>
      </c>
      <c r="C4042" t="s">
        <v>19366</v>
      </c>
      <c r="D4042">
        <v>3.54</v>
      </c>
      <c r="E4042">
        <v>1.43</v>
      </c>
      <c r="F4042">
        <v>0.05</v>
      </c>
      <c r="G4042" t="s">
        <v>5144</v>
      </c>
      <c r="H4042">
        <v>1218</v>
      </c>
      <c r="I4042">
        <v>3.54</v>
      </c>
      <c r="J4042">
        <v>3.55</v>
      </c>
      <c r="K4042" t="s">
        <v>19367</v>
      </c>
      <c r="L4042">
        <v>1.39</v>
      </c>
      <c r="M4042" t="s">
        <v>46</v>
      </c>
      <c r="N4042" t="s">
        <v>1917</v>
      </c>
      <c r="O4042">
        <v>3.56</v>
      </c>
      <c r="P4042">
        <v>3.48</v>
      </c>
      <c r="Q4042">
        <v>3.51</v>
      </c>
      <c r="R4042">
        <v>3.49</v>
      </c>
      <c r="S4042">
        <v>2.29</v>
      </c>
      <c r="T4042">
        <v>0.81</v>
      </c>
      <c r="U4042">
        <v>-22.09</v>
      </c>
      <c r="V4042">
        <v>-3510</v>
      </c>
      <c r="W4042">
        <v>3.54</v>
      </c>
      <c r="X4042" t="s">
        <v>2550</v>
      </c>
      <c r="Y4042" t="s">
        <v>5957</v>
      </c>
      <c r="Z4042">
        <v>0.65</v>
      </c>
      <c r="AA4042">
        <v>1349</v>
      </c>
      <c r="AB4042">
        <v>659</v>
      </c>
      <c r="AC4042">
        <v>1.47</v>
      </c>
      <c r="AD4042" t="s">
        <v>19368</v>
      </c>
      <c r="AE4042" t="s">
        <v>2163</v>
      </c>
      <c r="AF4042" t="s">
        <v>19369</v>
      </c>
      <c r="AG4042" t="s">
        <v>14382</v>
      </c>
      <c r="AH4042">
        <v>-0.56</v>
      </c>
      <c r="AI4042">
        <v>-3.8</v>
      </c>
      <c r="AJ4042">
        <v>4.31</v>
      </c>
      <c r="AK4042">
        <v>10.01</v>
      </c>
      <c r="AL4042">
        <v>1</v>
      </c>
      <c r="AM4042">
        <v>1.43</v>
      </c>
      <c r="AN4042">
        <v>-15.31</v>
      </c>
      <c r="AO4042">
        <v>4.42</v>
      </c>
      <c r="AP4042">
        <v>3.81</v>
      </c>
    </row>
    <row r="4043" spans="1:42">
      <c r="A4043">
        <v>4042</v>
      </c>
      <c r="B4043" t="str">
        <f>"301519"</f>
        <v>301519</v>
      </c>
      <c r="C4043" t="s">
        <v>19370</v>
      </c>
      <c r="D4043">
        <v>21.44</v>
      </c>
      <c r="E4043">
        <v>-0.19</v>
      </c>
      <c r="F4043">
        <v>-0.04</v>
      </c>
      <c r="G4043" t="s">
        <v>1769</v>
      </c>
      <c r="H4043">
        <v>148</v>
      </c>
      <c r="I4043">
        <v>21.44</v>
      </c>
      <c r="J4043">
        <v>21.45</v>
      </c>
      <c r="K4043" t="s">
        <v>19367</v>
      </c>
      <c r="L4043">
        <v>3.72</v>
      </c>
      <c r="M4043" t="s">
        <v>46</v>
      </c>
      <c r="N4043" t="s">
        <v>2692</v>
      </c>
      <c r="O4043">
        <v>21.53</v>
      </c>
      <c r="P4043">
        <v>21.26</v>
      </c>
      <c r="Q4043">
        <v>21.48</v>
      </c>
      <c r="R4043">
        <v>21.48</v>
      </c>
      <c r="S4043">
        <v>1.26</v>
      </c>
      <c r="T4043">
        <v>0.82</v>
      </c>
      <c r="U4043">
        <v>-22.75</v>
      </c>
      <c r="V4043">
        <v>-88</v>
      </c>
      <c r="W4043">
        <v>21.38</v>
      </c>
      <c r="X4043">
        <v>7668</v>
      </c>
      <c r="Y4043">
        <v>6869</v>
      </c>
      <c r="Z4043">
        <v>1.12</v>
      </c>
      <c r="AA4043">
        <v>0</v>
      </c>
      <c r="AB4043">
        <v>48</v>
      </c>
      <c r="AC4043">
        <v>2.35</v>
      </c>
      <c r="AD4043" t="s">
        <v>19371</v>
      </c>
      <c r="AE4043" t="s">
        <v>19372</v>
      </c>
      <c r="AF4043" t="s">
        <v>17842</v>
      </c>
      <c r="AG4043" t="s">
        <v>19373</v>
      </c>
      <c r="AH4043">
        <v>-2.5</v>
      </c>
      <c r="AI4043">
        <v>-4.41</v>
      </c>
      <c r="AJ4043">
        <v>11.55</v>
      </c>
      <c r="AK4043">
        <v>26.42</v>
      </c>
      <c r="AL4043">
        <v>-3</v>
      </c>
      <c r="AM4043">
        <v>-0.19</v>
      </c>
      <c r="AN4043">
        <v>2.44</v>
      </c>
      <c r="AO4043">
        <v>-5.3</v>
      </c>
      <c r="AP4043">
        <v>2.44</v>
      </c>
    </row>
    <row r="4044" spans="1:42">
      <c r="A4044">
        <v>4043</v>
      </c>
      <c r="B4044" t="str">
        <f>"688247"</f>
        <v>688247</v>
      </c>
      <c r="C4044" t="s">
        <v>19374</v>
      </c>
      <c r="D4044">
        <v>11.92</v>
      </c>
      <c r="E4044">
        <v>0.93</v>
      </c>
      <c r="F4044">
        <v>0.11</v>
      </c>
      <c r="G4044" t="s">
        <v>4012</v>
      </c>
      <c r="H4044">
        <v>546</v>
      </c>
      <c r="I4044">
        <v>11.92</v>
      </c>
      <c r="J4044">
        <v>11.93</v>
      </c>
      <c r="K4044" t="s">
        <v>19375</v>
      </c>
      <c r="L4044">
        <v>1.84</v>
      </c>
      <c r="M4044" t="s">
        <v>46</v>
      </c>
      <c r="N4044" t="s">
        <v>6531</v>
      </c>
      <c r="O4044">
        <v>12</v>
      </c>
      <c r="P4044">
        <v>11.7</v>
      </c>
      <c r="Q4044">
        <v>11.87</v>
      </c>
      <c r="R4044">
        <v>11.81</v>
      </c>
      <c r="S4044">
        <v>2.54</v>
      </c>
      <c r="T4044">
        <v>0.8</v>
      </c>
      <c r="U4044">
        <v>-27.44</v>
      </c>
      <c r="V4044">
        <v>-165</v>
      </c>
      <c r="W4044">
        <v>11.87</v>
      </c>
      <c r="X4044" t="s">
        <v>9445</v>
      </c>
      <c r="Y4044" t="s">
        <v>1967</v>
      </c>
      <c r="Z4044">
        <v>0.98</v>
      </c>
      <c r="AA4044">
        <v>59</v>
      </c>
      <c r="AB4044">
        <v>28</v>
      </c>
      <c r="AC4044">
        <v>4.53</v>
      </c>
      <c r="AD4044" t="s">
        <v>9207</v>
      </c>
      <c r="AE4044" t="s">
        <v>19376</v>
      </c>
      <c r="AF4044" t="s">
        <v>12477</v>
      </c>
      <c r="AG4044" t="s">
        <v>3479</v>
      </c>
      <c r="AH4044">
        <v>-1.57</v>
      </c>
      <c r="AI4044">
        <v>-2.53</v>
      </c>
      <c r="AJ4044">
        <v>6</v>
      </c>
      <c r="AK4044">
        <v>13.44</v>
      </c>
      <c r="AL4044">
        <v>2</v>
      </c>
      <c r="AM4044">
        <v>0.93</v>
      </c>
      <c r="AN4044">
        <v>-28.58</v>
      </c>
      <c r="AO4044">
        <v>2.32</v>
      </c>
      <c r="AP4044">
        <v>0.42</v>
      </c>
    </row>
    <row r="4045" spans="1:42">
      <c r="A4045">
        <v>4044</v>
      </c>
      <c r="B4045" t="str">
        <f>"688586"</f>
        <v>688586</v>
      </c>
      <c r="C4045" t="s">
        <v>19377</v>
      </c>
      <c r="D4045">
        <v>11.69</v>
      </c>
      <c r="E4045">
        <v>0.69</v>
      </c>
      <c r="F4045">
        <v>0.08</v>
      </c>
      <c r="G4045" t="s">
        <v>7472</v>
      </c>
      <c r="H4045">
        <v>119</v>
      </c>
      <c r="I4045">
        <v>11.68</v>
      </c>
      <c r="J4045">
        <v>11.69</v>
      </c>
      <c r="K4045" t="s">
        <v>19378</v>
      </c>
      <c r="L4045">
        <v>0.34</v>
      </c>
      <c r="M4045" t="s">
        <v>46</v>
      </c>
      <c r="N4045" t="s">
        <v>19379</v>
      </c>
      <c r="O4045">
        <v>11.74</v>
      </c>
      <c r="P4045">
        <v>11.44</v>
      </c>
      <c r="Q4045">
        <v>11.57</v>
      </c>
      <c r="R4045">
        <v>11.61</v>
      </c>
      <c r="S4045">
        <v>2.58</v>
      </c>
      <c r="T4045">
        <v>0.9</v>
      </c>
      <c r="U4045">
        <v>-67.9</v>
      </c>
      <c r="V4045">
        <v>-1110</v>
      </c>
      <c r="W4045">
        <v>11.62</v>
      </c>
      <c r="X4045" t="s">
        <v>1400</v>
      </c>
      <c r="Y4045" t="s">
        <v>1118</v>
      </c>
      <c r="Z4045">
        <v>0.64</v>
      </c>
      <c r="AA4045">
        <v>120</v>
      </c>
      <c r="AB4045">
        <v>20</v>
      </c>
      <c r="AC4045">
        <v>3.74</v>
      </c>
      <c r="AD4045" t="s">
        <v>19380</v>
      </c>
      <c r="AE4045" t="s">
        <v>19381</v>
      </c>
      <c r="AF4045" t="s">
        <v>19380</v>
      </c>
      <c r="AG4045" t="s">
        <v>19381</v>
      </c>
      <c r="AH4045">
        <v>-0.68</v>
      </c>
      <c r="AI4045">
        <v>-1.76</v>
      </c>
      <c r="AJ4045">
        <v>1</v>
      </c>
      <c r="AK4045">
        <v>2.22</v>
      </c>
      <c r="AL4045">
        <v>1</v>
      </c>
      <c r="AM4045">
        <v>0.69</v>
      </c>
      <c r="AN4045">
        <v>1.56</v>
      </c>
      <c r="AO4045">
        <v>1.3</v>
      </c>
      <c r="AP4045">
        <v>-3.31</v>
      </c>
    </row>
    <row r="4046" spans="1:42">
      <c r="A4046">
        <v>4045</v>
      </c>
      <c r="B4046" t="str">
        <f>"002623"</f>
        <v>002623</v>
      </c>
      <c r="C4046" t="s">
        <v>19382</v>
      </c>
      <c r="D4046">
        <v>26.76</v>
      </c>
      <c r="E4046">
        <v>0.19</v>
      </c>
      <c r="F4046">
        <v>0.05</v>
      </c>
      <c r="G4046" t="s">
        <v>1743</v>
      </c>
      <c r="H4046">
        <v>289</v>
      </c>
      <c r="I4046">
        <v>26.76</v>
      </c>
      <c r="J4046">
        <v>26.78</v>
      </c>
      <c r="K4046" t="s">
        <v>19383</v>
      </c>
      <c r="L4046">
        <v>0.59</v>
      </c>
      <c r="M4046" t="s">
        <v>46</v>
      </c>
      <c r="N4046" t="s">
        <v>15765</v>
      </c>
      <c r="O4046">
        <v>26.89</v>
      </c>
      <c r="P4046">
        <v>26.5</v>
      </c>
      <c r="Q4046">
        <v>26.71</v>
      </c>
      <c r="R4046">
        <v>26.71</v>
      </c>
      <c r="S4046">
        <v>1.46</v>
      </c>
      <c r="T4046">
        <v>0.81</v>
      </c>
      <c r="U4046">
        <v>54.64</v>
      </c>
      <c r="V4046">
        <v>465</v>
      </c>
      <c r="W4046">
        <v>26.68</v>
      </c>
      <c r="X4046">
        <v>5439</v>
      </c>
      <c r="Y4046">
        <v>6185</v>
      </c>
      <c r="Z4046">
        <v>0.88</v>
      </c>
      <c r="AA4046">
        <v>185</v>
      </c>
      <c r="AB4046">
        <v>50</v>
      </c>
      <c r="AC4046">
        <v>1.65</v>
      </c>
      <c r="AD4046" t="s">
        <v>19384</v>
      </c>
      <c r="AE4046" t="s">
        <v>19385</v>
      </c>
      <c r="AF4046" t="s">
        <v>19386</v>
      </c>
      <c r="AG4046" t="s">
        <v>257</v>
      </c>
      <c r="AH4046">
        <v>-0.63</v>
      </c>
      <c r="AI4046">
        <v>-0.3</v>
      </c>
      <c r="AJ4046">
        <v>1.91</v>
      </c>
      <c r="AK4046">
        <v>4.19</v>
      </c>
      <c r="AL4046">
        <v>1</v>
      </c>
      <c r="AM4046">
        <v>0.19</v>
      </c>
      <c r="AN4046">
        <v>-10.62</v>
      </c>
      <c r="AO4046">
        <v>-1.98</v>
      </c>
      <c r="AP4046">
        <v>-8.39</v>
      </c>
    </row>
    <row r="4047" spans="1:42">
      <c r="A4047">
        <v>4046</v>
      </c>
      <c r="B4047" t="str">
        <f>"000040"</f>
        <v>000040</v>
      </c>
      <c r="C4047" t="s">
        <v>19387</v>
      </c>
      <c r="D4047">
        <v>3.82</v>
      </c>
      <c r="E4047">
        <v>0.79</v>
      </c>
      <c r="F4047">
        <v>0.03</v>
      </c>
      <c r="G4047" t="s">
        <v>3820</v>
      </c>
      <c r="H4047">
        <v>1050</v>
      </c>
      <c r="I4047">
        <v>3.81</v>
      </c>
      <c r="J4047">
        <v>3.82</v>
      </c>
      <c r="K4047" t="s">
        <v>19388</v>
      </c>
      <c r="L4047">
        <v>0.77</v>
      </c>
      <c r="M4047" t="s">
        <v>46</v>
      </c>
      <c r="N4047" t="s">
        <v>3203</v>
      </c>
      <c r="O4047">
        <v>3.82</v>
      </c>
      <c r="P4047">
        <v>3.77</v>
      </c>
      <c r="Q4047">
        <v>3.78</v>
      </c>
      <c r="R4047">
        <v>3.79</v>
      </c>
      <c r="S4047">
        <v>1.32</v>
      </c>
      <c r="T4047">
        <v>0.8</v>
      </c>
      <c r="U4047">
        <v>-18.39</v>
      </c>
      <c r="V4047">
        <v>-7872</v>
      </c>
      <c r="W4047">
        <v>3.8</v>
      </c>
      <c r="X4047" t="s">
        <v>8404</v>
      </c>
      <c r="Y4047" t="s">
        <v>7062</v>
      </c>
      <c r="Z4047">
        <v>0.96</v>
      </c>
      <c r="AA4047">
        <v>840</v>
      </c>
      <c r="AB4047">
        <v>6813</v>
      </c>
      <c r="AC4047">
        <v>0.5</v>
      </c>
      <c r="AD4047" t="s">
        <v>3797</v>
      </c>
      <c r="AE4047" t="s">
        <v>19389</v>
      </c>
      <c r="AF4047" t="s">
        <v>17767</v>
      </c>
      <c r="AG4047" t="s">
        <v>4801</v>
      </c>
      <c r="AH4047">
        <v>-1.04</v>
      </c>
      <c r="AI4047">
        <v>-1.55</v>
      </c>
      <c r="AJ4047">
        <v>2.64</v>
      </c>
      <c r="AK4047">
        <v>5.61</v>
      </c>
      <c r="AL4047">
        <v>1</v>
      </c>
      <c r="AM4047">
        <v>0.79</v>
      </c>
      <c r="AN4047">
        <v>4.09</v>
      </c>
      <c r="AO4047">
        <v>-1.8</v>
      </c>
      <c r="AP4047">
        <v>0.79</v>
      </c>
    </row>
    <row r="4048" spans="1:42">
      <c r="A4048">
        <v>4047</v>
      </c>
      <c r="B4048" t="str">
        <f>"873152"</f>
        <v>873152</v>
      </c>
      <c r="C4048" t="s">
        <v>19390</v>
      </c>
      <c r="D4048">
        <v>7.86</v>
      </c>
      <c r="E4048">
        <v>-3.56</v>
      </c>
      <c r="F4048">
        <v>-0.29</v>
      </c>
      <c r="G4048" t="s">
        <v>5706</v>
      </c>
      <c r="H4048">
        <v>591</v>
      </c>
      <c r="I4048">
        <v>7.85</v>
      </c>
      <c r="J4048">
        <v>7.86</v>
      </c>
      <c r="K4048" t="s">
        <v>19388</v>
      </c>
      <c r="L4048">
        <v>10.17</v>
      </c>
      <c r="M4048" t="s">
        <v>46</v>
      </c>
      <c r="N4048" t="s">
        <v>6633</v>
      </c>
      <c r="O4048">
        <v>8.25</v>
      </c>
      <c r="P4048">
        <v>7.43</v>
      </c>
      <c r="Q4048">
        <v>8.25</v>
      </c>
      <c r="R4048">
        <v>8.15</v>
      </c>
      <c r="S4048">
        <v>10.06</v>
      </c>
      <c r="T4048">
        <v>0.57</v>
      </c>
      <c r="U4048">
        <v>10.24</v>
      </c>
      <c r="V4048">
        <v>129</v>
      </c>
      <c r="W4048">
        <v>7.84</v>
      </c>
      <c r="X4048" t="s">
        <v>8073</v>
      </c>
      <c r="Y4048" t="s">
        <v>2694</v>
      </c>
      <c r="Z4048">
        <v>1.08</v>
      </c>
      <c r="AA4048">
        <v>143</v>
      </c>
      <c r="AB4048">
        <v>387</v>
      </c>
      <c r="AC4048">
        <v>3.17</v>
      </c>
      <c r="AD4048" t="s">
        <v>18339</v>
      </c>
      <c r="AE4048" t="s">
        <v>19391</v>
      </c>
      <c r="AF4048" t="s">
        <v>17883</v>
      </c>
      <c r="AG4048" t="s">
        <v>19392</v>
      </c>
      <c r="AH4048">
        <v>-9.97</v>
      </c>
      <c r="AI4048">
        <v>2.08</v>
      </c>
      <c r="AJ4048">
        <v>32.23</v>
      </c>
      <c r="AK4048">
        <v>99.18</v>
      </c>
      <c r="AL4048">
        <v>-4</v>
      </c>
      <c r="AM4048">
        <v>-3.56</v>
      </c>
      <c r="AN4048">
        <v>13.42</v>
      </c>
      <c r="AO4048">
        <v>26.77</v>
      </c>
      <c r="AP4048">
        <v>13.42</v>
      </c>
    </row>
    <row r="4049" spans="1:42">
      <c r="A4049">
        <v>4048</v>
      </c>
      <c r="B4049" t="str">
        <f>"603896"</f>
        <v>603896</v>
      </c>
      <c r="C4049" t="s">
        <v>19393</v>
      </c>
      <c r="D4049">
        <v>36.75</v>
      </c>
      <c r="E4049">
        <v>-0.22</v>
      </c>
      <c r="F4049">
        <v>-0.08</v>
      </c>
      <c r="G4049">
        <v>8459</v>
      </c>
      <c r="H4049">
        <v>71</v>
      </c>
      <c r="I4049">
        <v>36.75</v>
      </c>
      <c r="J4049">
        <v>36.76</v>
      </c>
      <c r="K4049" t="s">
        <v>19388</v>
      </c>
      <c r="L4049">
        <v>0.42</v>
      </c>
      <c r="M4049" t="s">
        <v>46</v>
      </c>
      <c r="N4049" t="s">
        <v>19394</v>
      </c>
      <c r="O4049">
        <v>36.98</v>
      </c>
      <c r="P4049">
        <v>36.41</v>
      </c>
      <c r="Q4049">
        <v>36.6</v>
      </c>
      <c r="R4049">
        <v>36.83</v>
      </c>
      <c r="S4049">
        <v>1.55</v>
      </c>
      <c r="T4049">
        <v>0.54</v>
      </c>
      <c r="U4049">
        <v>28.34</v>
      </c>
      <c r="V4049">
        <v>101</v>
      </c>
      <c r="W4049">
        <v>36.66</v>
      </c>
      <c r="X4049">
        <v>5125</v>
      </c>
      <c r="Y4049">
        <v>3333</v>
      </c>
      <c r="Z4049">
        <v>1.54</v>
      </c>
      <c r="AA4049">
        <v>1</v>
      </c>
      <c r="AB4049">
        <v>19</v>
      </c>
      <c r="AC4049">
        <v>3.73</v>
      </c>
      <c r="AD4049" t="s">
        <v>19395</v>
      </c>
      <c r="AE4049" t="s">
        <v>19396</v>
      </c>
      <c r="AF4049" t="s">
        <v>19395</v>
      </c>
      <c r="AG4049" t="s">
        <v>19396</v>
      </c>
      <c r="AH4049">
        <v>-0.08</v>
      </c>
      <c r="AI4049">
        <v>-2.85</v>
      </c>
      <c r="AJ4049">
        <v>1.45</v>
      </c>
      <c r="AK4049">
        <v>4.29</v>
      </c>
      <c r="AL4049">
        <v>-2</v>
      </c>
      <c r="AM4049">
        <v>-0.22</v>
      </c>
      <c r="AN4049">
        <v>-6.3</v>
      </c>
      <c r="AO4049">
        <v>-1.76</v>
      </c>
      <c r="AP4049">
        <v>-1.13</v>
      </c>
    </row>
    <row r="4050" spans="1:42">
      <c r="A4050">
        <v>4049</v>
      </c>
      <c r="B4050" t="str">
        <f>"000068"</f>
        <v>000068</v>
      </c>
      <c r="C4050" t="s">
        <v>19397</v>
      </c>
      <c r="D4050">
        <v>3.71</v>
      </c>
      <c r="E4050">
        <v>0.82</v>
      </c>
      <c r="F4050">
        <v>0.03</v>
      </c>
      <c r="G4050" t="s">
        <v>5879</v>
      </c>
      <c r="H4050">
        <v>1047</v>
      </c>
      <c r="I4050">
        <v>3.7</v>
      </c>
      <c r="J4050">
        <v>3.71</v>
      </c>
      <c r="K4050" t="s">
        <v>19398</v>
      </c>
      <c r="L4050">
        <v>0.83</v>
      </c>
      <c r="M4050" t="s">
        <v>46</v>
      </c>
      <c r="N4050" t="s">
        <v>2275</v>
      </c>
      <c r="O4050">
        <v>3.75</v>
      </c>
      <c r="P4050">
        <v>3.67</v>
      </c>
      <c r="Q4050">
        <v>3.67</v>
      </c>
      <c r="R4050">
        <v>3.68</v>
      </c>
      <c r="S4050">
        <v>2.17</v>
      </c>
      <c r="T4050">
        <v>0.53</v>
      </c>
      <c r="U4050">
        <v>6.61</v>
      </c>
      <c r="V4050">
        <v>905</v>
      </c>
      <c r="W4050">
        <v>3.71</v>
      </c>
      <c r="X4050" t="s">
        <v>4811</v>
      </c>
      <c r="Y4050" t="s">
        <v>3779</v>
      </c>
      <c r="Z4050">
        <v>0.86</v>
      </c>
      <c r="AA4050">
        <v>468</v>
      </c>
      <c r="AB4050">
        <v>470</v>
      </c>
      <c r="AC4050">
        <v>8.72</v>
      </c>
      <c r="AD4050" t="s">
        <v>1119</v>
      </c>
      <c r="AE4050" t="s">
        <v>19399</v>
      </c>
      <c r="AF4050" t="s">
        <v>1119</v>
      </c>
      <c r="AG4050" t="s">
        <v>19399</v>
      </c>
      <c r="AH4050">
        <v>-0.54</v>
      </c>
      <c r="AI4050">
        <v>-3.13</v>
      </c>
      <c r="AJ4050">
        <v>2.85</v>
      </c>
      <c r="AK4050">
        <v>8.63</v>
      </c>
      <c r="AL4050">
        <v>1</v>
      </c>
      <c r="AM4050">
        <v>0.82</v>
      </c>
      <c r="AN4050">
        <v>-3.13</v>
      </c>
      <c r="AO4050">
        <v>6.61</v>
      </c>
      <c r="AP4050">
        <v>-6.78</v>
      </c>
    </row>
    <row r="4051" spans="1:42">
      <c r="A4051">
        <v>4050</v>
      </c>
      <c r="B4051" t="str">
        <f>"688128"</f>
        <v>688128</v>
      </c>
      <c r="C4051" t="s">
        <v>19400</v>
      </c>
      <c r="D4051">
        <v>20.72</v>
      </c>
      <c r="E4051">
        <v>-0.77</v>
      </c>
      <c r="F4051">
        <v>-0.16</v>
      </c>
      <c r="G4051" t="s">
        <v>3793</v>
      </c>
      <c r="H4051">
        <v>137</v>
      </c>
      <c r="I4051">
        <v>20.72</v>
      </c>
      <c r="J4051">
        <v>20.73</v>
      </c>
      <c r="K4051" t="s">
        <v>19401</v>
      </c>
      <c r="L4051">
        <v>0.37</v>
      </c>
      <c r="M4051" t="s">
        <v>46</v>
      </c>
      <c r="N4051" t="s">
        <v>6721</v>
      </c>
      <c r="O4051">
        <v>21.03</v>
      </c>
      <c r="P4051">
        <v>20.45</v>
      </c>
      <c r="Q4051">
        <v>21.03</v>
      </c>
      <c r="R4051">
        <v>20.88</v>
      </c>
      <c r="S4051">
        <v>2.78</v>
      </c>
      <c r="T4051">
        <v>1.11</v>
      </c>
      <c r="U4051">
        <v>-19.69</v>
      </c>
      <c r="V4051">
        <v>-122</v>
      </c>
      <c r="W4051">
        <v>20.65</v>
      </c>
      <c r="X4051">
        <v>8838</v>
      </c>
      <c r="Y4051">
        <v>6168</v>
      </c>
      <c r="Z4051">
        <v>1.43</v>
      </c>
      <c r="AA4051">
        <v>27</v>
      </c>
      <c r="AB4051">
        <v>249</v>
      </c>
      <c r="AC4051">
        <v>3</v>
      </c>
      <c r="AD4051" t="s">
        <v>19402</v>
      </c>
      <c r="AE4051" t="s">
        <v>19403</v>
      </c>
      <c r="AF4051" t="s">
        <v>19402</v>
      </c>
      <c r="AG4051" t="s">
        <v>19403</v>
      </c>
      <c r="AH4051">
        <v>-1.71</v>
      </c>
      <c r="AI4051">
        <v>-1.75</v>
      </c>
      <c r="AJ4051">
        <v>0.98</v>
      </c>
      <c r="AK4051">
        <v>2.04</v>
      </c>
      <c r="AL4051">
        <v>-2</v>
      </c>
      <c r="AM4051">
        <v>-0.77</v>
      </c>
      <c r="AN4051">
        <v>24.22</v>
      </c>
      <c r="AO4051">
        <v>1.42</v>
      </c>
      <c r="AP4051">
        <v>11.4</v>
      </c>
    </row>
    <row r="4052" spans="1:42">
      <c r="A4052">
        <v>4051</v>
      </c>
      <c r="B4052" t="str">
        <f>"301278"</f>
        <v>301278</v>
      </c>
      <c r="C4052" t="s">
        <v>19404</v>
      </c>
      <c r="D4052">
        <v>49.25</v>
      </c>
      <c r="E4052">
        <v>-0.38</v>
      </c>
      <c r="F4052">
        <v>-0.19</v>
      </c>
      <c r="G4052">
        <v>6318</v>
      </c>
      <c r="H4052">
        <v>103</v>
      </c>
      <c r="I4052">
        <v>49.25</v>
      </c>
      <c r="J4052">
        <v>49.26</v>
      </c>
      <c r="K4052" t="s">
        <v>19401</v>
      </c>
      <c r="L4052">
        <v>1.87</v>
      </c>
      <c r="M4052" t="s">
        <v>46</v>
      </c>
      <c r="N4052" t="s">
        <v>8562</v>
      </c>
      <c r="O4052">
        <v>49.8</v>
      </c>
      <c r="P4052">
        <v>48.56</v>
      </c>
      <c r="Q4052">
        <v>49.67</v>
      </c>
      <c r="R4052">
        <v>49.44</v>
      </c>
      <c r="S4052">
        <v>2.51</v>
      </c>
      <c r="T4052">
        <v>1.1</v>
      </c>
      <c r="U4052">
        <v>-63.79</v>
      </c>
      <c r="V4052">
        <v>-30</v>
      </c>
      <c r="W4052">
        <v>49.05</v>
      </c>
      <c r="X4052">
        <v>3424</v>
      </c>
      <c r="Y4052">
        <v>2894</v>
      </c>
      <c r="Z4052">
        <v>1.18</v>
      </c>
      <c r="AA4052">
        <v>2</v>
      </c>
      <c r="AB4052">
        <v>4</v>
      </c>
      <c r="AC4052">
        <v>3.58</v>
      </c>
      <c r="AD4052" t="s">
        <v>14021</v>
      </c>
      <c r="AE4052" t="s">
        <v>8764</v>
      </c>
      <c r="AF4052" t="s">
        <v>19405</v>
      </c>
      <c r="AG4052" t="s">
        <v>13332</v>
      </c>
      <c r="AH4052">
        <v>-2.2</v>
      </c>
      <c r="AI4052">
        <v>-3.83</v>
      </c>
      <c r="AJ4052">
        <v>5.6</v>
      </c>
      <c r="AK4052">
        <v>10.42</v>
      </c>
      <c r="AL4052">
        <v>-3</v>
      </c>
      <c r="AM4052">
        <v>-0.38</v>
      </c>
      <c r="AN4052">
        <v>-41.77</v>
      </c>
      <c r="AO4052">
        <v>-0.04</v>
      </c>
      <c r="AP4052">
        <v>-39.7</v>
      </c>
    </row>
    <row r="4053" spans="1:42">
      <c r="A4053">
        <v>4052</v>
      </c>
      <c r="B4053" t="str">
        <f>"002392"</f>
        <v>002392</v>
      </c>
      <c r="C4053" t="s">
        <v>19406</v>
      </c>
      <c r="D4053">
        <v>3.79</v>
      </c>
      <c r="E4053">
        <v>0.53</v>
      </c>
      <c r="F4053">
        <v>0.02</v>
      </c>
      <c r="G4053" t="s">
        <v>7434</v>
      </c>
      <c r="H4053">
        <v>767</v>
      </c>
      <c r="I4053">
        <v>3.79</v>
      </c>
      <c r="J4053">
        <v>3.8</v>
      </c>
      <c r="K4053" t="s">
        <v>19407</v>
      </c>
      <c r="L4053">
        <v>0.91</v>
      </c>
      <c r="M4053" t="s">
        <v>46</v>
      </c>
      <c r="N4053" t="s">
        <v>1720</v>
      </c>
      <c r="O4053">
        <v>3.82</v>
      </c>
      <c r="P4053">
        <v>3.73</v>
      </c>
      <c r="Q4053">
        <v>3.79</v>
      </c>
      <c r="R4053">
        <v>3.77</v>
      </c>
      <c r="S4053">
        <v>2.39</v>
      </c>
      <c r="T4053">
        <v>0.96</v>
      </c>
      <c r="U4053">
        <v>-41.34</v>
      </c>
      <c r="V4053">
        <v>-3830</v>
      </c>
      <c r="W4053">
        <v>3.78</v>
      </c>
      <c r="X4053" t="s">
        <v>3716</v>
      </c>
      <c r="Y4053" t="s">
        <v>3235</v>
      </c>
      <c r="Z4053">
        <v>0.89</v>
      </c>
      <c r="AA4053">
        <v>220</v>
      </c>
      <c r="AB4053">
        <v>1049</v>
      </c>
      <c r="AC4053">
        <v>0.88</v>
      </c>
      <c r="AD4053" t="s">
        <v>8354</v>
      </c>
      <c r="AE4053" t="s">
        <v>1360</v>
      </c>
      <c r="AF4053" t="s">
        <v>19408</v>
      </c>
      <c r="AG4053" t="s">
        <v>19409</v>
      </c>
      <c r="AH4053">
        <v>-0.79</v>
      </c>
      <c r="AI4053">
        <v>-1.04</v>
      </c>
      <c r="AJ4053">
        <v>2.67</v>
      </c>
      <c r="AK4053">
        <v>5.68</v>
      </c>
      <c r="AL4053">
        <v>1</v>
      </c>
      <c r="AM4053">
        <v>0.53</v>
      </c>
      <c r="AN4053">
        <v>9.54</v>
      </c>
      <c r="AO4053">
        <v>2.16</v>
      </c>
      <c r="AP4053">
        <v>3.55</v>
      </c>
    </row>
    <row r="4054" spans="1:42">
      <c r="A4054">
        <v>4053</v>
      </c>
      <c r="B4054" t="str">
        <f>"002163"</f>
        <v>002163</v>
      </c>
      <c r="C4054" t="s">
        <v>19410</v>
      </c>
      <c r="D4054">
        <v>9.13</v>
      </c>
      <c r="E4054">
        <v>0.44</v>
      </c>
      <c r="F4054">
        <v>0.04</v>
      </c>
      <c r="G4054" t="s">
        <v>4970</v>
      </c>
      <c r="H4054">
        <v>99</v>
      </c>
      <c r="I4054">
        <v>9.12</v>
      </c>
      <c r="J4054">
        <v>9.13</v>
      </c>
      <c r="K4054" t="s">
        <v>19411</v>
      </c>
      <c r="L4054">
        <v>0.42</v>
      </c>
      <c r="M4054" t="s">
        <v>46</v>
      </c>
      <c r="N4054" t="s">
        <v>10293</v>
      </c>
      <c r="O4054">
        <v>9.15</v>
      </c>
      <c r="P4054">
        <v>9.04</v>
      </c>
      <c r="Q4054">
        <v>9.14</v>
      </c>
      <c r="R4054">
        <v>9.09</v>
      </c>
      <c r="S4054">
        <v>1.21</v>
      </c>
      <c r="T4054">
        <v>0.99</v>
      </c>
      <c r="U4054">
        <v>-42.51</v>
      </c>
      <c r="V4054">
        <v>-1461</v>
      </c>
      <c r="W4054">
        <v>9.09</v>
      </c>
      <c r="X4054" t="s">
        <v>3793</v>
      </c>
      <c r="Y4054" t="s">
        <v>2329</v>
      </c>
      <c r="Z4054">
        <v>0.79</v>
      </c>
      <c r="AA4054">
        <v>48</v>
      </c>
      <c r="AB4054">
        <v>150</v>
      </c>
      <c r="AC4054">
        <v>5.18</v>
      </c>
      <c r="AD4054" t="s">
        <v>19412</v>
      </c>
      <c r="AE4054" t="s">
        <v>19413</v>
      </c>
      <c r="AF4054" t="s">
        <v>19414</v>
      </c>
      <c r="AG4054" t="s">
        <v>19415</v>
      </c>
      <c r="AH4054">
        <v>-0.98</v>
      </c>
      <c r="AI4054">
        <v>-1.4</v>
      </c>
      <c r="AJ4054">
        <v>1.23</v>
      </c>
      <c r="AK4054">
        <v>2.56</v>
      </c>
      <c r="AL4054">
        <v>1</v>
      </c>
      <c r="AM4054">
        <v>0.44</v>
      </c>
      <c r="AN4054">
        <v>-19.98</v>
      </c>
      <c r="AO4054">
        <v>-0.76</v>
      </c>
      <c r="AP4054">
        <v>-15.31</v>
      </c>
    </row>
    <row r="4055" spans="1:42">
      <c r="A4055">
        <v>4054</v>
      </c>
      <c r="B4055" t="str">
        <f>"600746"</f>
        <v>600746</v>
      </c>
      <c r="C4055" t="s">
        <v>19416</v>
      </c>
      <c r="D4055">
        <v>7.31</v>
      </c>
      <c r="E4055">
        <v>0.97</v>
      </c>
      <c r="F4055">
        <v>0.07</v>
      </c>
      <c r="G4055" t="s">
        <v>4569</v>
      </c>
      <c r="H4055">
        <v>608</v>
      </c>
      <c r="I4055">
        <v>7.3</v>
      </c>
      <c r="J4055">
        <v>7.31</v>
      </c>
      <c r="K4055" t="s">
        <v>19411</v>
      </c>
      <c r="L4055">
        <v>0.36</v>
      </c>
      <c r="M4055" t="s">
        <v>46</v>
      </c>
      <c r="N4055" t="s">
        <v>3349</v>
      </c>
      <c r="O4055">
        <v>7.33</v>
      </c>
      <c r="P4055">
        <v>7.24</v>
      </c>
      <c r="Q4055">
        <v>7.26</v>
      </c>
      <c r="R4055">
        <v>7.24</v>
      </c>
      <c r="S4055">
        <v>1.24</v>
      </c>
      <c r="T4055">
        <v>1.25</v>
      </c>
      <c r="U4055">
        <v>-54.01</v>
      </c>
      <c r="V4055">
        <v>-1184</v>
      </c>
      <c r="W4055">
        <v>7.29</v>
      </c>
      <c r="X4055" t="s">
        <v>8073</v>
      </c>
      <c r="Y4055" t="s">
        <v>6827</v>
      </c>
      <c r="Z4055">
        <v>0.94</v>
      </c>
      <c r="AA4055">
        <v>127</v>
      </c>
      <c r="AB4055">
        <v>496</v>
      </c>
      <c r="AC4055">
        <v>1.67</v>
      </c>
      <c r="AD4055" t="s">
        <v>9297</v>
      </c>
      <c r="AE4055" t="s">
        <v>19417</v>
      </c>
      <c r="AF4055" t="s">
        <v>14074</v>
      </c>
      <c r="AG4055" t="s">
        <v>19418</v>
      </c>
      <c r="AH4055">
        <v>-1.08</v>
      </c>
      <c r="AI4055">
        <v>-1.62</v>
      </c>
      <c r="AJ4055">
        <v>0.91</v>
      </c>
      <c r="AK4055">
        <v>1.83</v>
      </c>
      <c r="AL4055">
        <v>1</v>
      </c>
      <c r="AM4055">
        <v>0.97</v>
      </c>
      <c r="AN4055">
        <v>-7.7</v>
      </c>
      <c r="AO4055">
        <v>-0.14</v>
      </c>
      <c r="AP4055">
        <v>-15.69</v>
      </c>
    </row>
    <row r="4056" spans="1:42">
      <c r="A4056">
        <v>4055</v>
      </c>
      <c r="B4056" t="str">
        <f>"688799"</f>
        <v>688799</v>
      </c>
      <c r="C4056" t="s">
        <v>19419</v>
      </c>
      <c r="D4056">
        <v>44.74</v>
      </c>
      <c r="E4056">
        <v>-0.69</v>
      </c>
      <c r="F4056">
        <v>-0.31</v>
      </c>
      <c r="G4056">
        <v>6896</v>
      </c>
      <c r="H4056">
        <v>42</v>
      </c>
      <c r="I4056">
        <v>44.74</v>
      </c>
      <c r="J4056">
        <v>44.83</v>
      </c>
      <c r="K4056" t="s">
        <v>19420</v>
      </c>
      <c r="L4056">
        <v>1.22</v>
      </c>
      <c r="M4056" t="s">
        <v>46</v>
      </c>
      <c r="N4056" t="s">
        <v>5944</v>
      </c>
      <c r="O4056">
        <v>45.19</v>
      </c>
      <c r="P4056">
        <v>44.5</v>
      </c>
      <c r="Q4056">
        <v>44.8</v>
      </c>
      <c r="R4056">
        <v>45.05</v>
      </c>
      <c r="S4056">
        <v>1.53</v>
      </c>
      <c r="T4056">
        <v>0.85</v>
      </c>
      <c r="U4056">
        <v>-53.09</v>
      </c>
      <c r="V4056">
        <v>-147</v>
      </c>
      <c r="W4056">
        <v>44.83</v>
      </c>
      <c r="X4056">
        <v>2771</v>
      </c>
      <c r="Y4056">
        <v>4124</v>
      </c>
      <c r="Z4056">
        <v>0.67</v>
      </c>
      <c r="AA4056">
        <v>7</v>
      </c>
      <c r="AB4056">
        <v>18</v>
      </c>
      <c r="AC4056">
        <v>2.39</v>
      </c>
      <c r="AD4056" t="s">
        <v>19421</v>
      </c>
      <c r="AE4056" t="s">
        <v>6171</v>
      </c>
      <c r="AF4056" t="s">
        <v>15184</v>
      </c>
      <c r="AG4056" t="s">
        <v>19422</v>
      </c>
      <c r="AH4056">
        <v>-0.6</v>
      </c>
      <c r="AI4056">
        <v>-1.3</v>
      </c>
      <c r="AJ4056">
        <v>3.71</v>
      </c>
      <c r="AK4056">
        <v>8.39</v>
      </c>
      <c r="AL4056">
        <v>-1</v>
      </c>
      <c r="AM4056">
        <v>-0.69</v>
      </c>
      <c r="AN4056">
        <v>44.65</v>
      </c>
      <c r="AO4056">
        <v>-1.45</v>
      </c>
      <c r="AP4056">
        <v>29.68</v>
      </c>
    </row>
    <row r="4057" spans="1:42">
      <c r="A4057">
        <v>4056</v>
      </c>
      <c r="B4057" t="str">
        <f>"601700"</f>
        <v>601700</v>
      </c>
      <c r="C4057" t="s">
        <v>19423</v>
      </c>
      <c r="D4057">
        <v>5.06</v>
      </c>
      <c r="E4057">
        <v>0.8</v>
      </c>
      <c r="F4057">
        <v>0.04</v>
      </c>
      <c r="G4057" t="s">
        <v>6873</v>
      </c>
      <c r="H4057">
        <v>170</v>
      </c>
      <c r="I4057">
        <v>5.05</v>
      </c>
      <c r="J4057">
        <v>5.06</v>
      </c>
      <c r="K4057" t="s">
        <v>19420</v>
      </c>
      <c r="L4057">
        <v>0.54</v>
      </c>
      <c r="M4057" t="s">
        <v>46</v>
      </c>
      <c r="N4057" t="s">
        <v>9676</v>
      </c>
      <c r="O4057">
        <v>5.08</v>
      </c>
      <c r="P4057">
        <v>5.01</v>
      </c>
      <c r="Q4057">
        <v>5.04</v>
      </c>
      <c r="R4057">
        <v>5.02</v>
      </c>
      <c r="S4057">
        <v>1.39</v>
      </c>
      <c r="T4057">
        <v>1.05</v>
      </c>
      <c r="U4057">
        <v>-52.5</v>
      </c>
      <c r="V4057" t="s">
        <v>12518</v>
      </c>
      <c r="W4057">
        <v>5.05</v>
      </c>
      <c r="X4057" t="s">
        <v>10910</v>
      </c>
      <c r="Y4057" t="s">
        <v>1604</v>
      </c>
      <c r="Z4057">
        <v>0.78</v>
      </c>
      <c r="AA4057">
        <v>1049</v>
      </c>
      <c r="AB4057">
        <v>425</v>
      </c>
      <c r="AC4057">
        <v>2.19</v>
      </c>
      <c r="AD4057" t="s">
        <v>16644</v>
      </c>
      <c r="AE4057" t="s">
        <v>19265</v>
      </c>
      <c r="AF4057" t="s">
        <v>16644</v>
      </c>
      <c r="AG4057" t="s">
        <v>19265</v>
      </c>
      <c r="AH4057">
        <v>0.2</v>
      </c>
      <c r="AI4057">
        <v>0</v>
      </c>
      <c r="AJ4057">
        <v>1.54</v>
      </c>
      <c r="AK4057">
        <v>3.08</v>
      </c>
      <c r="AL4057">
        <v>1</v>
      </c>
      <c r="AM4057">
        <v>0.8</v>
      </c>
      <c r="AN4057">
        <v>-0.78</v>
      </c>
      <c r="AO4057">
        <v>4.55</v>
      </c>
      <c r="AP4057">
        <v>-6.81</v>
      </c>
    </row>
    <row r="4058" spans="1:42">
      <c r="A4058">
        <v>4057</v>
      </c>
      <c r="B4058" t="str">
        <f>"300281"</f>
        <v>300281</v>
      </c>
      <c r="C4058" t="s">
        <v>19424</v>
      </c>
      <c r="D4058">
        <v>5.89</v>
      </c>
      <c r="E4058">
        <v>-0.51</v>
      </c>
      <c r="F4058">
        <v>-0.03</v>
      </c>
      <c r="G4058" t="s">
        <v>6673</v>
      </c>
      <c r="H4058">
        <v>1053</v>
      </c>
      <c r="I4058">
        <v>5.88</v>
      </c>
      <c r="J4058">
        <v>5.89</v>
      </c>
      <c r="K4058" t="s">
        <v>19425</v>
      </c>
      <c r="L4058">
        <v>1.32</v>
      </c>
      <c r="M4058" t="s">
        <v>46</v>
      </c>
      <c r="N4058" t="s">
        <v>4207</v>
      </c>
      <c r="O4058">
        <v>5.94</v>
      </c>
      <c r="P4058">
        <v>5.84</v>
      </c>
      <c r="Q4058">
        <v>5.91</v>
      </c>
      <c r="R4058">
        <v>5.92</v>
      </c>
      <c r="S4058">
        <v>1.69</v>
      </c>
      <c r="T4058">
        <v>1.13</v>
      </c>
      <c r="U4058">
        <v>-11.04</v>
      </c>
      <c r="V4058">
        <v>-366</v>
      </c>
      <c r="W4058">
        <v>5.88</v>
      </c>
      <c r="X4058" t="s">
        <v>4269</v>
      </c>
      <c r="Y4058" t="s">
        <v>8966</v>
      </c>
      <c r="Z4058">
        <v>0.86</v>
      </c>
      <c r="AA4058">
        <v>337</v>
      </c>
      <c r="AB4058">
        <v>107</v>
      </c>
      <c r="AC4058">
        <v>1.93</v>
      </c>
      <c r="AD4058" t="s">
        <v>8556</v>
      </c>
      <c r="AE4058" t="s">
        <v>5886</v>
      </c>
      <c r="AF4058" t="s">
        <v>19426</v>
      </c>
      <c r="AG4058" t="s">
        <v>11799</v>
      </c>
      <c r="AH4058">
        <v>-2.48</v>
      </c>
      <c r="AI4058">
        <v>-1.01</v>
      </c>
      <c r="AJ4058">
        <v>3.75</v>
      </c>
      <c r="AK4058">
        <v>7.2</v>
      </c>
      <c r="AL4058">
        <v>-3</v>
      </c>
      <c r="AM4058">
        <v>-0.51</v>
      </c>
      <c r="AN4058">
        <v>20.2</v>
      </c>
      <c r="AO4058">
        <v>3.15</v>
      </c>
      <c r="AP4058">
        <v>11.76</v>
      </c>
    </row>
    <row r="4059" spans="1:42">
      <c r="A4059">
        <v>4058</v>
      </c>
      <c r="B4059" t="str">
        <f>"000789"</f>
        <v>000789</v>
      </c>
      <c r="C4059" t="s">
        <v>19427</v>
      </c>
      <c r="D4059">
        <v>7.27</v>
      </c>
      <c r="E4059">
        <v>0.41</v>
      </c>
      <c r="F4059">
        <v>0.03</v>
      </c>
      <c r="G4059" t="s">
        <v>3959</v>
      </c>
      <c r="H4059">
        <v>450</v>
      </c>
      <c r="I4059">
        <v>7.27</v>
      </c>
      <c r="J4059">
        <v>7.28</v>
      </c>
      <c r="K4059" t="s">
        <v>19425</v>
      </c>
      <c r="L4059">
        <v>0.54</v>
      </c>
      <c r="M4059" t="s">
        <v>46</v>
      </c>
      <c r="N4059" t="s">
        <v>19428</v>
      </c>
      <c r="O4059">
        <v>7.28</v>
      </c>
      <c r="P4059">
        <v>7.19</v>
      </c>
      <c r="Q4059">
        <v>7.22</v>
      </c>
      <c r="R4059">
        <v>7.24</v>
      </c>
      <c r="S4059">
        <v>1.24</v>
      </c>
      <c r="T4059">
        <v>0.73</v>
      </c>
      <c r="U4059">
        <v>9.18</v>
      </c>
      <c r="V4059">
        <v>510</v>
      </c>
      <c r="W4059">
        <v>7.24</v>
      </c>
      <c r="X4059" t="s">
        <v>3372</v>
      </c>
      <c r="Y4059" t="s">
        <v>731</v>
      </c>
      <c r="Z4059">
        <v>0.93</v>
      </c>
      <c r="AA4059">
        <v>822</v>
      </c>
      <c r="AB4059">
        <v>1407</v>
      </c>
      <c r="AC4059">
        <v>0.84</v>
      </c>
      <c r="AD4059" t="s">
        <v>19429</v>
      </c>
      <c r="AE4059" t="s">
        <v>19430</v>
      </c>
      <c r="AF4059" t="s">
        <v>19429</v>
      </c>
      <c r="AG4059" t="s">
        <v>19430</v>
      </c>
      <c r="AH4059">
        <v>-1.22</v>
      </c>
      <c r="AI4059">
        <v>-3.2</v>
      </c>
      <c r="AJ4059">
        <v>1.47</v>
      </c>
      <c r="AK4059">
        <v>4.18</v>
      </c>
      <c r="AL4059">
        <v>1</v>
      </c>
      <c r="AM4059">
        <v>0.41</v>
      </c>
      <c r="AN4059">
        <v>-12.2</v>
      </c>
      <c r="AO4059">
        <v>-1.62</v>
      </c>
      <c r="AP4059">
        <v>-13.14</v>
      </c>
    </row>
    <row r="4060" spans="1:42">
      <c r="A4060">
        <v>4059</v>
      </c>
      <c r="B4060" t="str">
        <f>"002545"</f>
        <v>002545</v>
      </c>
      <c r="C4060" t="s">
        <v>19431</v>
      </c>
      <c r="D4060">
        <v>7.01</v>
      </c>
      <c r="E4060">
        <v>0.43</v>
      </c>
      <c r="F4060">
        <v>0.03</v>
      </c>
      <c r="G4060" t="s">
        <v>7440</v>
      </c>
      <c r="H4060">
        <v>339</v>
      </c>
      <c r="I4060">
        <v>7.01</v>
      </c>
      <c r="J4060">
        <v>7.02</v>
      </c>
      <c r="K4060" t="s">
        <v>19425</v>
      </c>
      <c r="L4060">
        <v>0.39</v>
      </c>
      <c r="M4060" t="s">
        <v>46</v>
      </c>
      <c r="N4060" t="s">
        <v>14076</v>
      </c>
      <c r="O4060">
        <v>7.09</v>
      </c>
      <c r="P4060">
        <v>6.93</v>
      </c>
      <c r="Q4060">
        <v>6.98</v>
      </c>
      <c r="R4060">
        <v>6.98</v>
      </c>
      <c r="S4060">
        <v>2.29</v>
      </c>
      <c r="T4060">
        <v>0.88</v>
      </c>
      <c r="U4060">
        <v>17.11</v>
      </c>
      <c r="V4060">
        <v>415</v>
      </c>
      <c r="W4060">
        <v>7</v>
      </c>
      <c r="X4060" t="s">
        <v>2924</v>
      </c>
      <c r="Y4060" t="s">
        <v>9766</v>
      </c>
      <c r="Z4060">
        <v>0.8</v>
      </c>
      <c r="AA4060">
        <v>202</v>
      </c>
      <c r="AB4060">
        <v>89</v>
      </c>
      <c r="AC4060">
        <v>1.02</v>
      </c>
      <c r="AD4060" t="s">
        <v>5080</v>
      </c>
      <c r="AE4060" t="s">
        <v>3953</v>
      </c>
      <c r="AF4060" t="s">
        <v>8893</v>
      </c>
      <c r="AG4060" t="s">
        <v>10652</v>
      </c>
      <c r="AH4060">
        <v>-1.27</v>
      </c>
      <c r="AI4060">
        <v>-2.23</v>
      </c>
      <c r="AJ4060">
        <v>1.04</v>
      </c>
      <c r="AK4060">
        <v>2.61</v>
      </c>
      <c r="AL4060">
        <v>1</v>
      </c>
      <c r="AM4060">
        <v>0.43</v>
      </c>
      <c r="AN4060">
        <v>-11.04</v>
      </c>
      <c r="AO4060">
        <v>-1.96</v>
      </c>
      <c r="AP4060">
        <v>-18.01</v>
      </c>
    </row>
    <row r="4061" spans="1:42">
      <c r="A4061">
        <v>4060</v>
      </c>
      <c r="B4061" t="str">
        <f>"001367"</f>
        <v>001367</v>
      </c>
      <c r="C4061" t="s">
        <v>19432</v>
      </c>
      <c r="D4061">
        <v>45.04</v>
      </c>
      <c r="E4061">
        <v>0.09</v>
      </c>
      <c r="F4061">
        <v>0.04</v>
      </c>
      <c r="G4061">
        <v>6863</v>
      </c>
      <c r="H4061">
        <v>136</v>
      </c>
      <c r="I4061">
        <v>45.03</v>
      </c>
      <c r="J4061">
        <v>45.04</v>
      </c>
      <c r="K4061" t="s">
        <v>19433</v>
      </c>
      <c r="L4061">
        <v>4.04</v>
      </c>
      <c r="M4061" t="s">
        <v>46</v>
      </c>
      <c r="N4061" t="s">
        <v>1288</v>
      </c>
      <c r="O4061">
        <v>45.6</v>
      </c>
      <c r="P4061">
        <v>44.64</v>
      </c>
      <c r="Q4061">
        <v>44.91</v>
      </c>
      <c r="R4061">
        <v>45</v>
      </c>
      <c r="S4061">
        <v>2.13</v>
      </c>
      <c r="T4061">
        <v>0.54</v>
      </c>
      <c r="U4061">
        <v>51.21</v>
      </c>
      <c r="V4061">
        <v>191</v>
      </c>
      <c r="W4061">
        <v>45</v>
      </c>
      <c r="X4061">
        <v>3587</v>
      </c>
      <c r="Y4061">
        <v>3276</v>
      </c>
      <c r="Z4061">
        <v>1.1</v>
      </c>
      <c r="AA4061">
        <v>218</v>
      </c>
      <c r="AB4061">
        <v>68</v>
      </c>
      <c r="AC4061">
        <v>2.52</v>
      </c>
      <c r="AD4061" t="s">
        <v>8052</v>
      </c>
      <c r="AE4061" t="s">
        <v>19434</v>
      </c>
      <c r="AF4061" t="s">
        <v>8054</v>
      </c>
      <c r="AG4061" t="s">
        <v>15156</v>
      </c>
      <c r="AH4061">
        <v>-3.1</v>
      </c>
      <c r="AI4061">
        <v>-5</v>
      </c>
      <c r="AJ4061">
        <v>15.16</v>
      </c>
      <c r="AK4061">
        <v>41.18</v>
      </c>
      <c r="AL4061">
        <v>1</v>
      </c>
      <c r="AM4061">
        <v>0.09</v>
      </c>
      <c r="AN4061">
        <v>1.26</v>
      </c>
      <c r="AO4061">
        <v>-11.6</v>
      </c>
      <c r="AP4061">
        <v>1.26</v>
      </c>
    </row>
    <row r="4062" spans="1:42">
      <c r="A4062">
        <v>4061</v>
      </c>
      <c r="B4062" t="str">
        <f>"603601"</f>
        <v>603601</v>
      </c>
      <c r="C4062" t="s">
        <v>19435</v>
      </c>
      <c r="D4062">
        <v>4.54</v>
      </c>
      <c r="E4062">
        <v>-0.22</v>
      </c>
      <c r="F4062">
        <v>-0.01</v>
      </c>
      <c r="G4062" t="s">
        <v>2568</v>
      </c>
      <c r="H4062">
        <v>464</v>
      </c>
      <c r="I4062">
        <v>4.52</v>
      </c>
      <c r="J4062">
        <v>4.54</v>
      </c>
      <c r="K4062" t="s">
        <v>19433</v>
      </c>
      <c r="L4062">
        <v>0.67</v>
      </c>
      <c r="M4062" t="s">
        <v>46</v>
      </c>
      <c r="N4062" t="s">
        <v>4796</v>
      </c>
      <c r="O4062">
        <v>4.56</v>
      </c>
      <c r="P4062">
        <v>4.5</v>
      </c>
      <c r="Q4062">
        <v>4.56</v>
      </c>
      <c r="R4062">
        <v>4.55</v>
      </c>
      <c r="S4062">
        <v>1.32</v>
      </c>
      <c r="T4062">
        <v>1.09</v>
      </c>
      <c r="U4062">
        <v>5.45</v>
      </c>
      <c r="V4062">
        <v>420</v>
      </c>
      <c r="W4062">
        <v>4.53</v>
      </c>
      <c r="X4062" t="s">
        <v>5235</v>
      </c>
      <c r="Y4062" t="s">
        <v>8396</v>
      </c>
      <c r="Z4062">
        <v>1.72</v>
      </c>
      <c r="AA4062">
        <v>644</v>
      </c>
      <c r="AB4062">
        <v>684</v>
      </c>
      <c r="AC4062">
        <v>2.13</v>
      </c>
      <c r="AD4062" t="s">
        <v>2175</v>
      </c>
      <c r="AE4062" t="s">
        <v>19436</v>
      </c>
      <c r="AF4062" t="s">
        <v>2175</v>
      </c>
      <c r="AG4062" t="s">
        <v>19436</v>
      </c>
      <c r="AH4062">
        <v>-1.94</v>
      </c>
      <c r="AI4062">
        <v>-1.73</v>
      </c>
      <c r="AJ4062">
        <v>1.93</v>
      </c>
      <c r="AK4062">
        <v>3.72</v>
      </c>
      <c r="AL4062">
        <v>-3</v>
      </c>
      <c r="AM4062">
        <v>-0.22</v>
      </c>
      <c r="AN4062">
        <v>-13.36</v>
      </c>
      <c r="AO4062">
        <v>1.79</v>
      </c>
      <c r="AP4062">
        <v>-16.54</v>
      </c>
    </row>
    <row r="4063" spans="1:42">
      <c r="A4063">
        <v>4062</v>
      </c>
      <c r="B4063" t="str">
        <f>"300702"</f>
        <v>300702</v>
      </c>
      <c r="C4063" t="s">
        <v>19437</v>
      </c>
      <c r="D4063">
        <v>23.37</v>
      </c>
      <c r="E4063">
        <v>0.09</v>
      </c>
      <c r="F4063">
        <v>0.02</v>
      </c>
      <c r="G4063" t="s">
        <v>1967</v>
      </c>
      <c r="H4063">
        <v>44</v>
      </c>
      <c r="I4063">
        <v>23.36</v>
      </c>
      <c r="J4063">
        <v>23.37</v>
      </c>
      <c r="K4063" t="s">
        <v>19433</v>
      </c>
      <c r="L4063">
        <v>0.63</v>
      </c>
      <c r="M4063" t="s">
        <v>46</v>
      </c>
      <c r="N4063" t="s">
        <v>2452</v>
      </c>
      <c r="O4063">
        <v>23.51</v>
      </c>
      <c r="P4063">
        <v>23.28</v>
      </c>
      <c r="Q4063">
        <v>23.35</v>
      </c>
      <c r="R4063">
        <v>23.35</v>
      </c>
      <c r="S4063">
        <v>0.99</v>
      </c>
      <c r="T4063">
        <v>0.73</v>
      </c>
      <c r="U4063">
        <v>36.64</v>
      </c>
      <c r="V4063">
        <v>90</v>
      </c>
      <c r="W4063">
        <v>23.4</v>
      </c>
      <c r="X4063">
        <v>6848</v>
      </c>
      <c r="Y4063">
        <v>6349</v>
      </c>
      <c r="Z4063">
        <v>1.08</v>
      </c>
      <c r="AA4063">
        <v>30</v>
      </c>
      <c r="AB4063">
        <v>5</v>
      </c>
      <c r="AC4063">
        <v>2.3</v>
      </c>
      <c r="AD4063" t="s">
        <v>8748</v>
      </c>
      <c r="AE4063" t="s">
        <v>19438</v>
      </c>
      <c r="AF4063" t="s">
        <v>3278</v>
      </c>
      <c r="AG4063" t="s">
        <v>6384</v>
      </c>
      <c r="AH4063">
        <v>-0.81</v>
      </c>
      <c r="AI4063">
        <v>-1.39</v>
      </c>
      <c r="AJ4063">
        <v>2.03</v>
      </c>
      <c r="AK4063">
        <v>4.94</v>
      </c>
      <c r="AL4063">
        <v>2</v>
      </c>
      <c r="AM4063">
        <v>0.09</v>
      </c>
      <c r="AN4063">
        <v>-8.42</v>
      </c>
      <c r="AO4063">
        <v>4.05</v>
      </c>
      <c r="AP4063">
        <v>-6.14</v>
      </c>
    </row>
    <row r="4064" spans="1:42">
      <c r="A4064">
        <v>4063</v>
      </c>
      <c r="B4064" t="str">
        <f>"600785"</f>
        <v>600785</v>
      </c>
      <c r="C4064" t="s">
        <v>19439</v>
      </c>
      <c r="D4064">
        <v>14.43</v>
      </c>
      <c r="E4064">
        <v>0.07</v>
      </c>
      <c r="F4064">
        <v>0.01</v>
      </c>
      <c r="G4064" t="s">
        <v>3116</v>
      </c>
      <c r="H4064">
        <v>96</v>
      </c>
      <c r="I4064">
        <v>14.42</v>
      </c>
      <c r="J4064">
        <v>14.43</v>
      </c>
      <c r="K4064" t="s">
        <v>19440</v>
      </c>
      <c r="L4064">
        <v>0.95</v>
      </c>
      <c r="M4064" t="s">
        <v>46</v>
      </c>
      <c r="N4064" t="s">
        <v>2539</v>
      </c>
      <c r="O4064">
        <v>14.61</v>
      </c>
      <c r="P4064">
        <v>14.26</v>
      </c>
      <c r="Q4064">
        <v>14.34</v>
      </c>
      <c r="R4064">
        <v>14.42</v>
      </c>
      <c r="S4064">
        <v>2.43</v>
      </c>
      <c r="T4064">
        <v>1</v>
      </c>
      <c r="U4064">
        <v>-12.39</v>
      </c>
      <c r="V4064">
        <v>-71</v>
      </c>
      <c r="W4064">
        <v>14.46</v>
      </c>
      <c r="X4064" t="s">
        <v>7974</v>
      </c>
      <c r="Y4064" t="s">
        <v>218</v>
      </c>
      <c r="Z4064">
        <v>1.02</v>
      </c>
      <c r="AA4064">
        <v>5</v>
      </c>
      <c r="AB4064">
        <v>21</v>
      </c>
      <c r="AC4064">
        <v>1.51</v>
      </c>
      <c r="AD4064" t="s">
        <v>11366</v>
      </c>
      <c r="AE4064" t="s">
        <v>19441</v>
      </c>
      <c r="AF4064" t="s">
        <v>11366</v>
      </c>
      <c r="AG4064" t="s">
        <v>19441</v>
      </c>
      <c r="AH4064">
        <v>0.35</v>
      </c>
      <c r="AI4064">
        <v>-0.07</v>
      </c>
      <c r="AJ4064">
        <v>2.37</v>
      </c>
      <c r="AK4064">
        <v>5.66</v>
      </c>
      <c r="AL4064">
        <v>2</v>
      </c>
      <c r="AM4064">
        <v>0.07</v>
      </c>
      <c r="AN4064">
        <v>-21.75</v>
      </c>
      <c r="AO4064">
        <v>6.1</v>
      </c>
      <c r="AP4064">
        <v>-0.76</v>
      </c>
    </row>
    <row r="4065" spans="1:42">
      <c r="A4065">
        <v>4064</v>
      </c>
      <c r="B4065" t="str">
        <f>"000622"</f>
        <v>000622</v>
      </c>
      <c r="C4065" t="s">
        <v>19442</v>
      </c>
      <c r="D4065">
        <v>4.6</v>
      </c>
      <c r="E4065">
        <v>0</v>
      </c>
      <c r="F4065">
        <v>0</v>
      </c>
      <c r="G4065" t="s">
        <v>1721</v>
      </c>
      <c r="H4065">
        <v>889</v>
      </c>
      <c r="I4065">
        <v>4.6</v>
      </c>
      <c r="J4065">
        <v>4.61</v>
      </c>
      <c r="K4065" t="s">
        <v>19443</v>
      </c>
      <c r="L4065">
        <v>1.57</v>
      </c>
      <c r="M4065" t="s">
        <v>46</v>
      </c>
      <c r="N4065" t="s">
        <v>10362</v>
      </c>
      <c r="O4065">
        <v>4.65</v>
      </c>
      <c r="P4065">
        <v>4.58</v>
      </c>
      <c r="Q4065">
        <v>4.62</v>
      </c>
      <c r="R4065">
        <v>4.6</v>
      </c>
      <c r="S4065">
        <v>1.52</v>
      </c>
      <c r="T4065">
        <v>0.93</v>
      </c>
      <c r="U4065">
        <v>-24.96</v>
      </c>
      <c r="V4065">
        <v>-2281</v>
      </c>
      <c r="W4065">
        <v>4.61</v>
      </c>
      <c r="X4065" t="s">
        <v>1566</v>
      </c>
      <c r="Y4065" t="s">
        <v>541</v>
      </c>
      <c r="Z4065">
        <v>1.31</v>
      </c>
      <c r="AA4065">
        <v>883</v>
      </c>
      <c r="AB4065">
        <v>354</v>
      </c>
      <c r="AC4065">
        <v>10.36</v>
      </c>
      <c r="AD4065" t="s">
        <v>19444</v>
      </c>
      <c r="AE4065" t="s">
        <v>19445</v>
      </c>
      <c r="AF4065" t="s">
        <v>19444</v>
      </c>
      <c r="AG4065" t="s">
        <v>19445</v>
      </c>
      <c r="AH4065">
        <v>-1.92</v>
      </c>
      <c r="AI4065">
        <v>-1.29</v>
      </c>
      <c r="AJ4065">
        <v>4.65</v>
      </c>
      <c r="AK4065">
        <v>10</v>
      </c>
      <c r="AL4065">
        <v>0</v>
      </c>
      <c r="AM4065">
        <v>0</v>
      </c>
      <c r="AN4065">
        <v>7.73</v>
      </c>
      <c r="AO4065">
        <v>2</v>
      </c>
      <c r="AP4065">
        <v>-3.16</v>
      </c>
    </row>
    <row r="4066" spans="1:42">
      <c r="A4066">
        <v>4065</v>
      </c>
      <c r="B4066" t="str">
        <f>"605068"</f>
        <v>605068</v>
      </c>
      <c r="C4066" t="s">
        <v>19446</v>
      </c>
      <c r="D4066">
        <v>24.3</v>
      </c>
      <c r="E4066">
        <v>-0.16</v>
      </c>
      <c r="F4066">
        <v>-0.04</v>
      </c>
      <c r="G4066" t="s">
        <v>6212</v>
      </c>
      <c r="H4066">
        <v>47</v>
      </c>
      <c r="I4066">
        <v>24.3</v>
      </c>
      <c r="J4066">
        <v>24.31</v>
      </c>
      <c r="K4066" t="s">
        <v>19447</v>
      </c>
      <c r="L4066">
        <v>0.78</v>
      </c>
      <c r="M4066" t="s">
        <v>46</v>
      </c>
      <c r="N4066" t="s">
        <v>2203</v>
      </c>
      <c r="O4066">
        <v>24.55</v>
      </c>
      <c r="P4066">
        <v>24.01</v>
      </c>
      <c r="Q4066">
        <v>24.38</v>
      </c>
      <c r="R4066">
        <v>24.34</v>
      </c>
      <c r="S4066">
        <v>2.22</v>
      </c>
      <c r="T4066">
        <v>0.62</v>
      </c>
      <c r="U4066">
        <v>39.16</v>
      </c>
      <c r="V4066">
        <v>130</v>
      </c>
      <c r="W4066">
        <v>24.24</v>
      </c>
      <c r="X4066">
        <v>6367</v>
      </c>
      <c r="Y4066">
        <v>6348</v>
      </c>
      <c r="Z4066">
        <v>1</v>
      </c>
      <c r="AA4066">
        <v>149</v>
      </c>
      <c r="AB4066">
        <v>2</v>
      </c>
      <c r="AC4066">
        <v>2.3</v>
      </c>
      <c r="AD4066" t="s">
        <v>16853</v>
      </c>
      <c r="AE4066" t="s">
        <v>5848</v>
      </c>
      <c r="AF4066" t="s">
        <v>626</v>
      </c>
      <c r="AG4066" t="s">
        <v>9220</v>
      </c>
      <c r="AH4066">
        <v>-3.69</v>
      </c>
      <c r="AI4066">
        <v>-7.46</v>
      </c>
      <c r="AJ4066">
        <v>3.23</v>
      </c>
      <c r="AK4066">
        <v>7.12</v>
      </c>
      <c r="AL4066">
        <v>-3</v>
      </c>
      <c r="AM4066">
        <v>-0.16</v>
      </c>
      <c r="AN4066">
        <v>-17.82</v>
      </c>
      <c r="AO4066">
        <v>-2.8</v>
      </c>
      <c r="AP4066">
        <v>-15.12</v>
      </c>
    </row>
    <row r="4067" spans="1:42">
      <c r="A4067">
        <v>4066</v>
      </c>
      <c r="B4067" t="str">
        <f>"300508"</f>
        <v>300508</v>
      </c>
      <c r="C4067" t="s">
        <v>19448</v>
      </c>
      <c r="D4067">
        <v>29.98</v>
      </c>
      <c r="E4067">
        <v>0.6</v>
      </c>
      <c r="F4067">
        <v>0.18</v>
      </c>
      <c r="G4067" t="s">
        <v>239</v>
      </c>
      <c r="H4067">
        <v>159</v>
      </c>
      <c r="I4067">
        <v>29.95</v>
      </c>
      <c r="J4067">
        <v>29.98</v>
      </c>
      <c r="K4067" t="s">
        <v>16909</v>
      </c>
      <c r="L4067">
        <v>1.77</v>
      </c>
      <c r="M4067" t="s">
        <v>46</v>
      </c>
      <c r="N4067" t="s">
        <v>4400</v>
      </c>
      <c r="O4067">
        <v>30.13</v>
      </c>
      <c r="P4067">
        <v>29.31</v>
      </c>
      <c r="Q4067">
        <v>29.8</v>
      </c>
      <c r="R4067">
        <v>29.8</v>
      </c>
      <c r="S4067">
        <v>2.75</v>
      </c>
      <c r="T4067">
        <v>0.91</v>
      </c>
      <c r="U4067">
        <v>-9.91</v>
      </c>
      <c r="V4067">
        <v>-15</v>
      </c>
      <c r="W4067">
        <v>29.72</v>
      </c>
      <c r="X4067">
        <v>4971</v>
      </c>
      <c r="Y4067">
        <v>5395</v>
      </c>
      <c r="Z4067">
        <v>0.92</v>
      </c>
      <c r="AA4067">
        <v>4</v>
      </c>
      <c r="AB4067">
        <v>1</v>
      </c>
      <c r="AC4067">
        <v>4.65</v>
      </c>
      <c r="AD4067" t="s">
        <v>19449</v>
      </c>
      <c r="AE4067" t="s">
        <v>18201</v>
      </c>
      <c r="AF4067" t="s">
        <v>14928</v>
      </c>
      <c r="AG4067" t="s">
        <v>11331</v>
      </c>
      <c r="AH4067">
        <v>-1.9</v>
      </c>
      <c r="AI4067">
        <v>-2.54</v>
      </c>
      <c r="AJ4067">
        <v>5.87</v>
      </c>
      <c r="AK4067">
        <v>11.56</v>
      </c>
      <c r="AL4067">
        <v>1</v>
      </c>
      <c r="AM4067">
        <v>0.6</v>
      </c>
      <c r="AN4067">
        <v>41.62</v>
      </c>
      <c r="AO4067">
        <v>3.13</v>
      </c>
      <c r="AP4067">
        <v>24.97</v>
      </c>
    </row>
    <row r="4068" spans="1:42">
      <c r="A4068">
        <v>4067</v>
      </c>
      <c r="B4068" t="str">
        <f>"835985"</f>
        <v>835985</v>
      </c>
      <c r="C4068" t="s">
        <v>19450</v>
      </c>
      <c r="D4068">
        <v>5.93</v>
      </c>
      <c r="E4068">
        <v>-4.97</v>
      </c>
      <c r="F4068">
        <v>-0.31</v>
      </c>
      <c r="G4068" t="s">
        <v>7022</v>
      </c>
      <c r="H4068">
        <v>302</v>
      </c>
      <c r="I4068">
        <v>5.93</v>
      </c>
      <c r="J4068">
        <v>5.94</v>
      </c>
      <c r="K4068" t="s">
        <v>19451</v>
      </c>
      <c r="L4068">
        <v>3.78</v>
      </c>
      <c r="M4068" t="s">
        <v>46</v>
      </c>
      <c r="N4068" t="s">
        <v>4508</v>
      </c>
      <c r="O4068">
        <v>6.36</v>
      </c>
      <c r="P4068">
        <v>5.87</v>
      </c>
      <c r="Q4068">
        <v>6.24</v>
      </c>
      <c r="R4068">
        <v>6.24</v>
      </c>
      <c r="S4068">
        <v>7.85</v>
      </c>
      <c r="T4068">
        <v>0.44</v>
      </c>
      <c r="U4068">
        <v>41.81</v>
      </c>
      <c r="V4068">
        <v>1851</v>
      </c>
      <c r="W4068">
        <v>6.06</v>
      </c>
      <c r="X4068" t="s">
        <v>4733</v>
      </c>
      <c r="Y4068" t="s">
        <v>10934</v>
      </c>
      <c r="Z4068">
        <v>1.63</v>
      </c>
      <c r="AA4068">
        <v>94</v>
      </c>
      <c r="AB4068">
        <v>300</v>
      </c>
      <c r="AC4068">
        <v>1.46</v>
      </c>
      <c r="AD4068" t="s">
        <v>3954</v>
      </c>
      <c r="AE4068" t="s">
        <v>18641</v>
      </c>
      <c r="AF4068" t="s">
        <v>11452</v>
      </c>
      <c r="AG4068" t="s">
        <v>19429</v>
      </c>
      <c r="AH4068">
        <v>-14.92</v>
      </c>
      <c r="AI4068">
        <v>-2.15</v>
      </c>
      <c r="AJ4068">
        <v>13.94</v>
      </c>
      <c r="AK4068">
        <v>46.89</v>
      </c>
      <c r="AL4068">
        <v>-4</v>
      </c>
      <c r="AM4068">
        <v>-4.97</v>
      </c>
      <c r="AN4068">
        <v>-26.61</v>
      </c>
      <c r="AO4068">
        <v>25.37</v>
      </c>
      <c r="AP4068">
        <v>-42.32</v>
      </c>
    </row>
    <row r="4069" spans="1:42">
      <c r="A4069">
        <v>4068</v>
      </c>
      <c r="B4069" t="str">
        <f>"833751"</f>
        <v>833751</v>
      </c>
      <c r="C4069" t="s">
        <v>19452</v>
      </c>
      <c r="D4069">
        <v>6.89</v>
      </c>
      <c r="E4069">
        <v>-5.87</v>
      </c>
      <c r="F4069">
        <v>-0.43</v>
      </c>
      <c r="G4069" t="s">
        <v>459</v>
      </c>
      <c r="H4069">
        <v>667</v>
      </c>
      <c r="I4069">
        <v>6.89</v>
      </c>
      <c r="J4069">
        <v>6.9</v>
      </c>
      <c r="K4069" t="s">
        <v>19451</v>
      </c>
      <c r="L4069">
        <v>10.28</v>
      </c>
      <c r="M4069" t="s">
        <v>46</v>
      </c>
      <c r="N4069" t="s">
        <v>8753</v>
      </c>
      <c r="O4069">
        <v>7.53</v>
      </c>
      <c r="P4069">
        <v>6.73</v>
      </c>
      <c r="Q4069">
        <v>7.4</v>
      </c>
      <c r="R4069">
        <v>7.32</v>
      </c>
      <c r="S4069">
        <v>10.93</v>
      </c>
      <c r="T4069">
        <v>0.54</v>
      </c>
      <c r="U4069">
        <v>55.73</v>
      </c>
      <c r="V4069">
        <v>577</v>
      </c>
      <c r="W4069">
        <v>7.07</v>
      </c>
      <c r="X4069" t="s">
        <v>6954</v>
      </c>
      <c r="Y4069" t="s">
        <v>1255</v>
      </c>
      <c r="Z4069">
        <v>1.43</v>
      </c>
      <c r="AA4069">
        <v>257</v>
      </c>
      <c r="AB4069">
        <v>49</v>
      </c>
      <c r="AC4069">
        <v>1.67</v>
      </c>
      <c r="AD4069" t="s">
        <v>5238</v>
      </c>
      <c r="AE4069" t="s">
        <v>19453</v>
      </c>
      <c r="AF4069" t="s">
        <v>19454</v>
      </c>
      <c r="AG4069" t="s">
        <v>3978</v>
      </c>
      <c r="AH4069">
        <v>-20.16</v>
      </c>
      <c r="AI4069">
        <v>-0.29</v>
      </c>
      <c r="AJ4069">
        <v>40.24</v>
      </c>
      <c r="AK4069">
        <v>105.54</v>
      </c>
      <c r="AL4069">
        <v>-4</v>
      </c>
      <c r="AM4069">
        <v>-5.87</v>
      </c>
      <c r="AN4069">
        <v>-7.89</v>
      </c>
      <c r="AO4069">
        <v>28.07</v>
      </c>
      <c r="AP4069">
        <v>-10.05</v>
      </c>
    </row>
    <row r="4070" spans="1:42">
      <c r="A4070">
        <v>4069</v>
      </c>
      <c r="B4070" t="str">
        <f>"688226"</f>
        <v>688226</v>
      </c>
      <c r="C4070" t="s">
        <v>19455</v>
      </c>
      <c r="D4070">
        <v>17.52</v>
      </c>
      <c r="E4070">
        <v>0.06</v>
      </c>
      <c r="F4070">
        <v>0.01</v>
      </c>
      <c r="G4070" t="s">
        <v>1177</v>
      </c>
      <c r="H4070">
        <v>98</v>
      </c>
      <c r="I4070">
        <v>17.52</v>
      </c>
      <c r="J4070">
        <v>17.53</v>
      </c>
      <c r="K4070" t="s">
        <v>19456</v>
      </c>
      <c r="L4070">
        <v>2.09</v>
      </c>
      <c r="M4070" t="s">
        <v>46</v>
      </c>
      <c r="N4070" t="s">
        <v>322</v>
      </c>
      <c r="O4070">
        <v>17.68</v>
      </c>
      <c r="P4070">
        <v>17.17</v>
      </c>
      <c r="Q4070">
        <v>17.51</v>
      </c>
      <c r="R4070">
        <v>17.51</v>
      </c>
      <c r="S4070">
        <v>2.91</v>
      </c>
      <c r="T4070">
        <v>1.05</v>
      </c>
      <c r="U4070">
        <v>37.07</v>
      </c>
      <c r="V4070">
        <v>132</v>
      </c>
      <c r="W4070">
        <v>17.49</v>
      </c>
      <c r="X4070">
        <v>8078</v>
      </c>
      <c r="Y4070">
        <v>9521</v>
      </c>
      <c r="Z4070">
        <v>0.85</v>
      </c>
      <c r="AA4070">
        <v>111</v>
      </c>
      <c r="AB4070">
        <v>26</v>
      </c>
      <c r="AC4070">
        <v>2.77</v>
      </c>
      <c r="AD4070" t="s">
        <v>14866</v>
      </c>
      <c r="AE4070" t="s">
        <v>3312</v>
      </c>
      <c r="AF4070" t="s">
        <v>19457</v>
      </c>
      <c r="AG4070" t="s">
        <v>8434</v>
      </c>
      <c r="AH4070">
        <v>-1.63</v>
      </c>
      <c r="AI4070">
        <v>-1.63</v>
      </c>
      <c r="AJ4070">
        <v>5.76</v>
      </c>
      <c r="AK4070">
        <v>12.02</v>
      </c>
      <c r="AL4070">
        <v>1</v>
      </c>
      <c r="AM4070">
        <v>0.06</v>
      </c>
      <c r="AN4070">
        <v>-32.92</v>
      </c>
      <c r="AO4070">
        <v>0.92</v>
      </c>
      <c r="AP4070">
        <v>-34.97</v>
      </c>
    </row>
    <row r="4071" spans="1:42">
      <c r="A4071">
        <v>4070</v>
      </c>
      <c r="B4071" t="str">
        <f>"002066"</f>
        <v>002066</v>
      </c>
      <c r="C4071" t="s">
        <v>19458</v>
      </c>
      <c r="D4071">
        <v>11.3</v>
      </c>
      <c r="E4071">
        <v>1.16</v>
      </c>
      <c r="F4071">
        <v>0.13</v>
      </c>
      <c r="G4071" t="s">
        <v>5420</v>
      </c>
      <c r="H4071">
        <v>272</v>
      </c>
      <c r="I4071">
        <v>11.28</v>
      </c>
      <c r="J4071">
        <v>11.3</v>
      </c>
      <c r="K4071" t="s">
        <v>19459</v>
      </c>
      <c r="L4071">
        <v>1.18</v>
      </c>
      <c r="M4071" t="s">
        <v>46</v>
      </c>
      <c r="N4071" t="s">
        <v>11440</v>
      </c>
      <c r="O4071">
        <v>11.4</v>
      </c>
      <c r="P4071">
        <v>11.11</v>
      </c>
      <c r="Q4071">
        <v>11.18</v>
      </c>
      <c r="R4071">
        <v>11.17</v>
      </c>
      <c r="S4071">
        <v>2.6</v>
      </c>
      <c r="T4071">
        <v>1.06</v>
      </c>
      <c r="U4071">
        <v>18.54</v>
      </c>
      <c r="V4071">
        <v>122</v>
      </c>
      <c r="W4071">
        <v>11.26</v>
      </c>
      <c r="X4071" t="s">
        <v>1254</v>
      </c>
      <c r="Y4071" t="s">
        <v>2371</v>
      </c>
      <c r="Z4071">
        <v>0.8</v>
      </c>
      <c r="AA4071">
        <v>5</v>
      </c>
      <c r="AB4071">
        <v>175</v>
      </c>
      <c r="AC4071">
        <v>3.99</v>
      </c>
      <c r="AD4071" t="s">
        <v>9078</v>
      </c>
      <c r="AE4071" t="s">
        <v>184</v>
      </c>
      <c r="AF4071" t="s">
        <v>9078</v>
      </c>
      <c r="AG4071" t="s">
        <v>184</v>
      </c>
      <c r="AH4071">
        <v>-0.53</v>
      </c>
      <c r="AI4071">
        <v>-1.05</v>
      </c>
      <c r="AJ4071">
        <v>3</v>
      </c>
      <c r="AK4071">
        <v>6.76</v>
      </c>
      <c r="AL4071">
        <v>1</v>
      </c>
      <c r="AM4071">
        <v>1.16</v>
      </c>
      <c r="AN4071">
        <v>1.99</v>
      </c>
      <c r="AO4071">
        <v>6.2</v>
      </c>
      <c r="AP4071">
        <v>-8.2</v>
      </c>
    </row>
    <row r="4072" spans="1:42">
      <c r="A4072">
        <v>4071</v>
      </c>
      <c r="B4072" t="str">
        <f>"002975"</f>
        <v>002975</v>
      </c>
      <c r="C4072" t="s">
        <v>19460</v>
      </c>
      <c r="D4072">
        <v>34.76</v>
      </c>
      <c r="E4072">
        <v>-0.4</v>
      </c>
      <c r="F4072">
        <v>-0.14</v>
      </c>
      <c r="G4072">
        <v>8845</v>
      </c>
      <c r="H4072">
        <v>169</v>
      </c>
      <c r="I4072">
        <v>34.76</v>
      </c>
      <c r="J4072">
        <v>34.77</v>
      </c>
      <c r="K4072" t="s">
        <v>19461</v>
      </c>
      <c r="L4072">
        <v>1.24</v>
      </c>
      <c r="M4072" t="s">
        <v>46</v>
      </c>
      <c r="N4072" t="s">
        <v>2054</v>
      </c>
      <c r="O4072">
        <v>35.07</v>
      </c>
      <c r="P4072">
        <v>34.5</v>
      </c>
      <c r="Q4072">
        <v>34.9</v>
      </c>
      <c r="R4072">
        <v>34.9</v>
      </c>
      <c r="S4072">
        <v>1.63</v>
      </c>
      <c r="T4072">
        <v>0.85</v>
      </c>
      <c r="U4072">
        <v>-40</v>
      </c>
      <c r="V4072">
        <v>-64</v>
      </c>
      <c r="W4072">
        <v>34.74</v>
      </c>
      <c r="X4072">
        <v>3969</v>
      </c>
      <c r="Y4072">
        <v>4876</v>
      </c>
      <c r="Z4072">
        <v>0.81</v>
      </c>
      <c r="AA4072">
        <v>3</v>
      </c>
      <c r="AB4072">
        <v>68</v>
      </c>
      <c r="AC4072">
        <v>3.03</v>
      </c>
      <c r="AD4072" t="s">
        <v>16332</v>
      </c>
      <c r="AE4072" t="s">
        <v>6176</v>
      </c>
      <c r="AF4072" t="s">
        <v>19462</v>
      </c>
      <c r="AG4072" t="s">
        <v>6076</v>
      </c>
      <c r="AH4072">
        <v>-1.78</v>
      </c>
      <c r="AI4072">
        <v>-0.71</v>
      </c>
      <c r="AJ4072">
        <v>4.09</v>
      </c>
      <c r="AK4072">
        <v>8.49</v>
      </c>
      <c r="AL4072">
        <v>-2</v>
      </c>
      <c r="AM4072">
        <v>-0.4</v>
      </c>
      <c r="AN4072">
        <v>9.76</v>
      </c>
      <c r="AO4072">
        <v>10.7</v>
      </c>
      <c r="AP4072">
        <v>-5.49</v>
      </c>
    </row>
    <row r="4073" spans="1:42">
      <c r="A4073">
        <v>4072</v>
      </c>
      <c r="B4073" t="str">
        <f>"301503"</f>
        <v>301503</v>
      </c>
      <c r="C4073" t="s">
        <v>19463</v>
      </c>
      <c r="D4073">
        <v>35.36</v>
      </c>
      <c r="E4073">
        <v>-0.45</v>
      </c>
      <c r="F4073">
        <v>-0.16</v>
      </c>
      <c r="G4073">
        <v>8709</v>
      </c>
      <c r="H4073">
        <v>66</v>
      </c>
      <c r="I4073">
        <v>35.35</v>
      </c>
      <c r="J4073">
        <v>35.36</v>
      </c>
      <c r="K4073" t="s">
        <v>19464</v>
      </c>
      <c r="L4073">
        <v>4.35</v>
      </c>
      <c r="M4073" t="s">
        <v>46</v>
      </c>
      <c r="N4073" t="s">
        <v>2165</v>
      </c>
      <c r="O4073">
        <v>35.81</v>
      </c>
      <c r="P4073">
        <v>34.81</v>
      </c>
      <c r="Q4073">
        <v>35.81</v>
      </c>
      <c r="R4073">
        <v>35.52</v>
      </c>
      <c r="S4073">
        <v>2.82</v>
      </c>
      <c r="T4073">
        <v>1.21</v>
      </c>
      <c r="U4073">
        <v>69.55</v>
      </c>
      <c r="V4073">
        <v>169</v>
      </c>
      <c r="W4073">
        <v>35.28</v>
      </c>
      <c r="X4073">
        <v>3707</v>
      </c>
      <c r="Y4073">
        <v>5002</v>
      </c>
      <c r="Z4073">
        <v>0.74</v>
      </c>
      <c r="AA4073">
        <v>39</v>
      </c>
      <c r="AB4073">
        <v>6</v>
      </c>
      <c r="AC4073">
        <v>2.9</v>
      </c>
      <c r="AD4073" t="s">
        <v>3612</v>
      </c>
      <c r="AE4073" t="s">
        <v>19465</v>
      </c>
      <c r="AF4073" t="s">
        <v>3614</v>
      </c>
      <c r="AG4073" t="s">
        <v>19466</v>
      </c>
      <c r="AH4073">
        <v>-2.59</v>
      </c>
      <c r="AI4073">
        <v>-5.2</v>
      </c>
      <c r="AJ4073">
        <v>12.9</v>
      </c>
      <c r="AK4073">
        <v>22.31</v>
      </c>
      <c r="AL4073">
        <v>-3</v>
      </c>
      <c r="AM4073">
        <v>-0.45</v>
      </c>
      <c r="AN4073">
        <v>11.93</v>
      </c>
      <c r="AO4073">
        <v>-0.31</v>
      </c>
      <c r="AP4073">
        <v>11.93</v>
      </c>
    </row>
    <row r="4074" spans="1:42">
      <c r="A4074">
        <v>4073</v>
      </c>
      <c r="B4074" t="str">
        <f>"603355"</f>
        <v>603355</v>
      </c>
      <c r="C4074" t="s">
        <v>19467</v>
      </c>
      <c r="D4074">
        <v>22.9</v>
      </c>
      <c r="E4074">
        <v>-0.17</v>
      </c>
      <c r="F4074">
        <v>-0.04</v>
      </c>
      <c r="G4074" t="s">
        <v>1777</v>
      </c>
      <c r="H4074">
        <v>101</v>
      </c>
      <c r="I4074">
        <v>22.9</v>
      </c>
      <c r="J4074">
        <v>22.91</v>
      </c>
      <c r="K4074" t="s">
        <v>19464</v>
      </c>
      <c r="L4074">
        <v>0.24</v>
      </c>
      <c r="M4074" t="s">
        <v>46</v>
      </c>
      <c r="N4074" t="s">
        <v>1145</v>
      </c>
      <c r="O4074">
        <v>23.13</v>
      </c>
      <c r="P4074">
        <v>22.66</v>
      </c>
      <c r="Q4074">
        <v>22.88</v>
      </c>
      <c r="R4074">
        <v>22.94</v>
      </c>
      <c r="S4074">
        <v>2.05</v>
      </c>
      <c r="T4074">
        <v>0.73</v>
      </c>
      <c r="U4074">
        <v>3.93</v>
      </c>
      <c r="V4074">
        <v>18</v>
      </c>
      <c r="W4074">
        <v>22.86</v>
      </c>
      <c r="X4074">
        <v>7884</v>
      </c>
      <c r="Y4074">
        <v>5552</v>
      </c>
      <c r="Z4074">
        <v>1.42</v>
      </c>
      <c r="AA4074">
        <v>52</v>
      </c>
      <c r="AB4074">
        <v>35</v>
      </c>
      <c r="AC4074">
        <v>3.32</v>
      </c>
      <c r="AD4074" t="s">
        <v>19468</v>
      </c>
      <c r="AE4074" t="s">
        <v>5333</v>
      </c>
      <c r="AF4074" t="s">
        <v>19469</v>
      </c>
      <c r="AG4074" t="s">
        <v>11189</v>
      </c>
      <c r="AH4074">
        <v>-3.58</v>
      </c>
      <c r="AI4074">
        <v>-5.33</v>
      </c>
      <c r="AJ4074">
        <v>0.69</v>
      </c>
      <c r="AK4074">
        <v>1.86</v>
      </c>
      <c r="AL4074">
        <v>-3</v>
      </c>
      <c r="AM4074">
        <v>-0.17</v>
      </c>
      <c r="AN4074">
        <v>-15.31</v>
      </c>
      <c r="AO4074">
        <v>0.7</v>
      </c>
      <c r="AP4074">
        <v>-26.27</v>
      </c>
    </row>
    <row r="4075" spans="1:42">
      <c r="A4075">
        <v>4074</v>
      </c>
      <c r="B4075" t="str">
        <f>"688577"</f>
        <v>688577</v>
      </c>
      <c r="C4075" t="s">
        <v>19470</v>
      </c>
      <c r="D4075">
        <v>70.91</v>
      </c>
      <c r="E4075">
        <v>1.08</v>
      </c>
      <c r="F4075">
        <v>0.76</v>
      </c>
      <c r="G4075">
        <v>4402</v>
      </c>
      <c r="H4075">
        <v>98</v>
      </c>
      <c r="I4075">
        <v>70.41</v>
      </c>
      <c r="J4075">
        <v>70.91</v>
      </c>
      <c r="K4075" t="s">
        <v>19471</v>
      </c>
      <c r="L4075">
        <v>0.81</v>
      </c>
      <c r="M4075" t="s">
        <v>46</v>
      </c>
      <c r="N4075" t="s">
        <v>3076</v>
      </c>
      <c r="O4075">
        <v>71.01</v>
      </c>
      <c r="P4075">
        <v>68.31</v>
      </c>
      <c r="Q4075">
        <v>70</v>
      </c>
      <c r="R4075">
        <v>70.15</v>
      </c>
      <c r="S4075">
        <v>3.85</v>
      </c>
      <c r="T4075">
        <v>0.49</v>
      </c>
      <c r="U4075">
        <v>6.82</v>
      </c>
      <c r="V4075">
        <v>4</v>
      </c>
      <c r="W4075">
        <v>69.71</v>
      </c>
      <c r="X4075">
        <v>2272</v>
      </c>
      <c r="Y4075">
        <v>2129</v>
      </c>
      <c r="Z4075">
        <v>1.07</v>
      </c>
      <c r="AA4075">
        <v>14</v>
      </c>
      <c r="AB4075">
        <v>5</v>
      </c>
      <c r="AC4075">
        <v>4.4</v>
      </c>
      <c r="AD4075" t="s">
        <v>15474</v>
      </c>
      <c r="AE4075" t="s">
        <v>17009</v>
      </c>
      <c r="AF4075" t="s">
        <v>15474</v>
      </c>
      <c r="AG4075" t="s">
        <v>17009</v>
      </c>
      <c r="AH4075">
        <v>-2.6</v>
      </c>
      <c r="AI4075">
        <v>17.56</v>
      </c>
      <c r="AJ4075">
        <v>3.05</v>
      </c>
      <c r="AK4075">
        <v>9.19</v>
      </c>
      <c r="AL4075">
        <v>1</v>
      </c>
      <c r="AM4075">
        <v>1.08</v>
      </c>
      <c r="AN4075">
        <v>65.33</v>
      </c>
      <c r="AO4075">
        <v>58.42</v>
      </c>
      <c r="AP4075">
        <v>41.65</v>
      </c>
    </row>
    <row r="4076" spans="1:42">
      <c r="A4076">
        <v>4075</v>
      </c>
      <c r="B4076" t="str">
        <f>"002295"</f>
        <v>002295</v>
      </c>
      <c r="C4076" t="s">
        <v>19472</v>
      </c>
      <c r="D4076">
        <v>7.86</v>
      </c>
      <c r="E4076">
        <v>-0.51</v>
      </c>
      <c r="F4076">
        <v>-0.04</v>
      </c>
      <c r="G4076" t="s">
        <v>6794</v>
      </c>
      <c r="H4076">
        <v>248</v>
      </c>
      <c r="I4076">
        <v>7.86</v>
      </c>
      <c r="J4076">
        <v>7.87</v>
      </c>
      <c r="K4076" t="s">
        <v>19473</v>
      </c>
      <c r="L4076">
        <v>1.56</v>
      </c>
      <c r="M4076" t="s">
        <v>46</v>
      </c>
      <c r="N4076" t="s">
        <v>8108</v>
      </c>
      <c r="O4076">
        <v>7.94</v>
      </c>
      <c r="P4076">
        <v>7.8</v>
      </c>
      <c r="Q4076">
        <v>7.85</v>
      </c>
      <c r="R4076">
        <v>7.9</v>
      </c>
      <c r="S4076">
        <v>1.77</v>
      </c>
      <c r="T4076">
        <v>1.13</v>
      </c>
      <c r="U4076">
        <v>12.82</v>
      </c>
      <c r="V4076">
        <v>190</v>
      </c>
      <c r="W4076">
        <v>7.88</v>
      </c>
      <c r="X4076" t="s">
        <v>3372</v>
      </c>
      <c r="Y4076" t="s">
        <v>128</v>
      </c>
      <c r="Z4076">
        <v>1.11</v>
      </c>
      <c r="AA4076">
        <v>25</v>
      </c>
      <c r="AB4076">
        <v>1</v>
      </c>
      <c r="AC4076">
        <v>1.47</v>
      </c>
      <c r="AD4076" t="s">
        <v>19474</v>
      </c>
      <c r="AE4076" t="s">
        <v>1723</v>
      </c>
      <c r="AF4076" t="s">
        <v>19475</v>
      </c>
      <c r="AG4076" t="s">
        <v>19476</v>
      </c>
      <c r="AH4076">
        <v>-0.38</v>
      </c>
      <c r="AI4076">
        <v>0</v>
      </c>
      <c r="AJ4076">
        <v>4.67</v>
      </c>
      <c r="AK4076">
        <v>8.46</v>
      </c>
      <c r="AL4076">
        <v>-1</v>
      </c>
      <c r="AM4076">
        <v>-0.51</v>
      </c>
      <c r="AN4076">
        <v>19.09</v>
      </c>
      <c r="AO4076">
        <v>3.69</v>
      </c>
      <c r="AP4076">
        <v>14.08</v>
      </c>
    </row>
    <row r="4077" spans="1:42">
      <c r="A4077">
        <v>4076</v>
      </c>
      <c r="B4077" t="str">
        <f>"002613"</f>
        <v>002613</v>
      </c>
      <c r="C4077" t="s">
        <v>19477</v>
      </c>
      <c r="D4077">
        <v>4.47</v>
      </c>
      <c r="E4077">
        <v>0</v>
      </c>
      <c r="F4077">
        <v>0</v>
      </c>
      <c r="G4077" t="s">
        <v>8859</v>
      </c>
      <c r="H4077">
        <v>1200</v>
      </c>
      <c r="I4077">
        <v>4.47</v>
      </c>
      <c r="J4077">
        <v>4.48</v>
      </c>
      <c r="K4077" t="s">
        <v>19478</v>
      </c>
      <c r="L4077">
        <v>1.14</v>
      </c>
      <c r="M4077" t="s">
        <v>46</v>
      </c>
      <c r="N4077" t="s">
        <v>4796</v>
      </c>
      <c r="O4077">
        <v>4.48</v>
      </c>
      <c r="P4077">
        <v>4.42</v>
      </c>
      <c r="Q4077">
        <v>4.48</v>
      </c>
      <c r="R4077">
        <v>4.47</v>
      </c>
      <c r="S4077">
        <v>1.34</v>
      </c>
      <c r="T4077">
        <v>1.13</v>
      </c>
      <c r="U4077">
        <v>-3.45</v>
      </c>
      <c r="V4077">
        <v>-264</v>
      </c>
      <c r="W4077">
        <v>4.45</v>
      </c>
      <c r="X4077" t="s">
        <v>1313</v>
      </c>
      <c r="Y4077" t="s">
        <v>8329</v>
      </c>
      <c r="Z4077">
        <v>1.13</v>
      </c>
      <c r="AA4077">
        <v>651</v>
      </c>
      <c r="AB4077">
        <v>1028</v>
      </c>
      <c r="AC4077">
        <v>2.44</v>
      </c>
      <c r="AD4077" t="s">
        <v>19479</v>
      </c>
      <c r="AE4077" t="s">
        <v>19480</v>
      </c>
      <c r="AF4077" t="s">
        <v>9943</v>
      </c>
      <c r="AG4077" t="s">
        <v>7595</v>
      </c>
      <c r="AH4077">
        <v>-1.76</v>
      </c>
      <c r="AI4077">
        <v>-2.4</v>
      </c>
      <c r="AJ4077">
        <v>3.38</v>
      </c>
      <c r="AK4077">
        <v>6.17</v>
      </c>
      <c r="AL4077">
        <v>0</v>
      </c>
      <c r="AM4077">
        <v>0</v>
      </c>
      <c r="AN4077">
        <v>-2.61</v>
      </c>
      <c r="AO4077">
        <v>1.36</v>
      </c>
      <c r="AP4077">
        <v>-12.01</v>
      </c>
    </row>
    <row r="4078" spans="1:42">
      <c r="A4078">
        <v>4077</v>
      </c>
      <c r="B4078" t="str">
        <f>"300989"</f>
        <v>300989</v>
      </c>
      <c r="C4078" t="s">
        <v>19481</v>
      </c>
      <c r="D4078">
        <v>19.27</v>
      </c>
      <c r="E4078">
        <v>1.15</v>
      </c>
      <c r="F4078">
        <v>0.22</v>
      </c>
      <c r="G4078" t="s">
        <v>919</v>
      </c>
      <c r="H4078">
        <v>382</v>
      </c>
      <c r="I4078">
        <v>19.26</v>
      </c>
      <c r="J4078">
        <v>19.27</v>
      </c>
      <c r="K4078" t="s">
        <v>19482</v>
      </c>
      <c r="L4078">
        <v>3.95</v>
      </c>
      <c r="M4078" t="s">
        <v>46</v>
      </c>
      <c r="N4078" t="s">
        <v>4894</v>
      </c>
      <c r="O4078">
        <v>19.31</v>
      </c>
      <c r="P4078">
        <v>18.81</v>
      </c>
      <c r="Q4078">
        <v>19.04</v>
      </c>
      <c r="R4078">
        <v>19.05</v>
      </c>
      <c r="S4078">
        <v>2.62</v>
      </c>
      <c r="T4078">
        <v>0.63</v>
      </c>
      <c r="U4078">
        <v>-73.65</v>
      </c>
      <c r="V4078">
        <v>-313</v>
      </c>
      <c r="W4078">
        <v>19.16</v>
      </c>
      <c r="X4078">
        <v>6883</v>
      </c>
      <c r="Y4078">
        <v>9116</v>
      </c>
      <c r="Z4078">
        <v>0.76</v>
      </c>
      <c r="AA4078">
        <v>12</v>
      </c>
      <c r="AB4078">
        <v>10</v>
      </c>
      <c r="AC4078">
        <v>3.05</v>
      </c>
      <c r="AD4078" t="s">
        <v>10948</v>
      </c>
      <c r="AE4078" t="s">
        <v>3979</v>
      </c>
      <c r="AF4078" t="s">
        <v>19483</v>
      </c>
      <c r="AG4078" t="s">
        <v>19484</v>
      </c>
      <c r="AH4078">
        <v>-3.07</v>
      </c>
      <c r="AI4078">
        <v>-5.72</v>
      </c>
      <c r="AJ4078">
        <v>15.18</v>
      </c>
      <c r="AK4078">
        <v>35.46</v>
      </c>
      <c r="AL4078">
        <v>1</v>
      </c>
      <c r="AM4078">
        <v>1.15</v>
      </c>
      <c r="AN4078">
        <v>54.53</v>
      </c>
      <c r="AO4078">
        <v>-0.57</v>
      </c>
      <c r="AP4078">
        <v>42.42</v>
      </c>
    </row>
    <row r="4079" spans="1:42">
      <c r="A4079">
        <v>4078</v>
      </c>
      <c r="B4079" t="str">
        <f>"300417"</f>
        <v>300417</v>
      </c>
      <c r="C4079" t="s">
        <v>19485</v>
      </c>
      <c r="D4079">
        <v>12.41</v>
      </c>
      <c r="E4079">
        <v>-1.12</v>
      </c>
      <c r="F4079">
        <v>-0.14</v>
      </c>
      <c r="G4079" t="s">
        <v>3662</v>
      </c>
      <c r="H4079">
        <v>244</v>
      </c>
      <c r="I4079">
        <v>12.41</v>
      </c>
      <c r="J4079">
        <v>12.42</v>
      </c>
      <c r="K4079" t="s">
        <v>19486</v>
      </c>
      <c r="L4079">
        <v>2.89</v>
      </c>
      <c r="M4079" t="s">
        <v>46</v>
      </c>
      <c r="N4079" t="s">
        <v>19487</v>
      </c>
      <c r="O4079">
        <v>12.58</v>
      </c>
      <c r="P4079">
        <v>12.36</v>
      </c>
      <c r="Q4079">
        <v>12.55</v>
      </c>
      <c r="R4079">
        <v>12.55</v>
      </c>
      <c r="S4079">
        <v>1.75</v>
      </c>
      <c r="T4079">
        <v>0.82</v>
      </c>
      <c r="U4079">
        <v>29.53</v>
      </c>
      <c r="V4079">
        <v>448</v>
      </c>
      <c r="W4079">
        <v>12.42</v>
      </c>
      <c r="X4079" t="s">
        <v>383</v>
      </c>
      <c r="Y4079" t="s">
        <v>4959</v>
      </c>
      <c r="Z4079">
        <v>1.17</v>
      </c>
      <c r="AA4079">
        <v>9</v>
      </c>
      <c r="AB4079">
        <v>1</v>
      </c>
      <c r="AC4079">
        <v>3.67</v>
      </c>
      <c r="AD4079" t="s">
        <v>8609</v>
      </c>
      <c r="AE4079" t="s">
        <v>12958</v>
      </c>
      <c r="AF4079" t="s">
        <v>19488</v>
      </c>
      <c r="AG4079" t="s">
        <v>7450</v>
      </c>
      <c r="AH4079">
        <v>-1.35</v>
      </c>
      <c r="AI4079">
        <v>-0.72</v>
      </c>
      <c r="AJ4079">
        <v>11.11</v>
      </c>
      <c r="AK4079">
        <v>20.63</v>
      </c>
      <c r="AL4079">
        <v>-2</v>
      </c>
      <c r="AM4079">
        <v>-1.12</v>
      </c>
      <c r="AN4079">
        <v>27.94</v>
      </c>
      <c r="AO4079">
        <v>3.5</v>
      </c>
      <c r="AP4079">
        <v>8.76</v>
      </c>
    </row>
    <row r="4080" spans="1:42">
      <c r="A4080">
        <v>4079</v>
      </c>
      <c r="B4080" t="str">
        <f>"300741"</f>
        <v>300741</v>
      </c>
      <c r="C4080" t="s">
        <v>19489</v>
      </c>
      <c r="D4080">
        <v>23.09</v>
      </c>
      <c r="E4080">
        <v>0.17</v>
      </c>
      <c r="F4080">
        <v>0.04</v>
      </c>
      <c r="G4080" t="s">
        <v>383</v>
      </c>
      <c r="H4080">
        <v>44</v>
      </c>
      <c r="I4080">
        <v>23.09</v>
      </c>
      <c r="J4080">
        <v>23.1</v>
      </c>
      <c r="K4080" t="s">
        <v>19486</v>
      </c>
      <c r="L4080">
        <v>0.22</v>
      </c>
      <c r="M4080" t="s">
        <v>46</v>
      </c>
      <c r="N4080" t="s">
        <v>522</v>
      </c>
      <c r="O4080">
        <v>23.14</v>
      </c>
      <c r="P4080">
        <v>22.84</v>
      </c>
      <c r="Q4080">
        <v>22.95</v>
      </c>
      <c r="R4080">
        <v>23.05</v>
      </c>
      <c r="S4080">
        <v>1.3</v>
      </c>
      <c r="T4080">
        <v>0.84</v>
      </c>
      <c r="U4080">
        <v>-2.02</v>
      </c>
      <c r="V4080">
        <v>-16</v>
      </c>
      <c r="W4080">
        <v>22.98</v>
      </c>
      <c r="X4080">
        <v>6607</v>
      </c>
      <c r="Y4080">
        <v>6709</v>
      </c>
      <c r="Z4080">
        <v>0.98</v>
      </c>
      <c r="AA4080">
        <v>2</v>
      </c>
      <c r="AB4080">
        <v>212</v>
      </c>
      <c r="AC4080">
        <v>1.99</v>
      </c>
      <c r="AD4080" t="s">
        <v>19490</v>
      </c>
      <c r="AE4080" t="s">
        <v>4565</v>
      </c>
      <c r="AF4080" t="s">
        <v>19490</v>
      </c>
      <c r="AG4080" t="s">
        <v>4565</v>
      </c>
      <c r="AH4080">
        <v>-1.2</v>
      </c>
      <c r="AI4080">
        <v>0.83</v>
      </c>
      <c r="AJ4080">
        <v>0.73</v>
      </c>
      <c r="AK4080">
        <v>1.51</v>
      </c>
      <c r="AL4080">
        <v>1</v>
      </c>
      <c r="AM4080">
        <v>0.17</v>
      </c>
      <c r="AN4080">
        <v>3.4</v>
      </c>
      <c r="AO4080">
        <v>4.95</v>
      </c>
      <c r="AP4080">
        <v>-2.61</v>
      </c>
    </row>
    <row r="4081" spans="1:42">
      <c r="A4081">
        <v>4080</v>
      </c>
      <c r="B4081" t="str">
        <f>"600731"</f>
        <v>600731</v>
      </c>
      <c r="C4081" t="s">
        <v>19491</v>
      </c>
      <c r="D4081">
        <v>6.54</v>
      </c>
      <c r="E4081">
        <v>0.62</v>
      </c>
      <c r="F4081">
        <v>0.04</v>
      </c>
      <c r="G4081" t="s">
        <v>7735</v>
      </c>
      <c r="H4081">
        <v>107</v>
      </c>
      <c r="I4081">
        <v>6.54</v>
      </c>
      <c r="J4081">
        <v>6.55</v>
      </c>
      <c r="K4081" t="s">
        <v>19492</v>
      </c>
      <c r="L4081">
        <v>0.88</v>
      </c>
      <c r="M4081" t="s">
        <v>46</v>
      </c>
      <c r="N4081" t="s">
        <v>5282</v>
      </c>
      <c r="O4081">
        <v>6.58</v>
      </c>
      <c r="P4081">
        <v>6.46</v>
      </c>
      <c r="Q4081">
        <v>6.49</v>
      </c>
      <c r="R4081">
        <v>6.5</v>
      </c>
      <c r="S4081">
        <v>1.85</v>
      </c>
      <c r="T4081">
        <v>1.06</v>
      </c>
      <c r="U4081">
        <v>24.71</v>
      </c>
      <c r="V4081">
        <v>1410</v>
      </c>
      <c r="W4081">
        <v>6.52</v>
      </c>
      <c r="X4081" t="s">
        <v>2102</v>
      </c>
      <c r="Y4081" t="s">
        <v>3110</v>
      </c>
      <c r="Z4081">
        <v>0.87</v>
      </c>
      <c r="AA4081">
        <v>359</v>
      </c>
      <c r="AB4081">
        <v>32</v>
      </c>
      <c r="AC4081">
        <v>1.23</v>
      </c>
      <c r="AD4081" t="s">
        <v>14392</v>
      </c>
      <c r="AE4081" t="s">
        <v>19493</v>
      </c>
      <c r="AF4081" t="s">
        <v>19494</v>
      </c>
      <c r="AG4081" t="s">
        <v>12393</v>
      </c>
      <c r="AH4081">
        <v>-1.8</v>
      </c>
      <c r="AI4081">
        <v>-2.39</v>
      </c>
      <c r="AJ4081">
        <v>2.51</v>
      </c>
      <c r="AK4081">
        <v>5.01</v>
      </c>
      <c r="AL4081">
        <v>1</v>
      </c>
      <c r="AM4081">
        <v>0.62</v>
      </c>
      <c r="AN4081">
        <v>-12.33</v>
      </c>
      <c r="AO4081">
        <v>0.93</v>
      </c>
      <c r="AP4081">
        <v>-15.5</v>
      </c>
    </row>
    <row r="4082" spans="1:42">
      <c r="A4082">
        <v>4081</v>
      </c>
      <c r="B4082" t="str">
        <f>"000529"</f>
        <v>000529</v>
      </c>
      <c r="C4082" t="s">
        <v>19495</v>
      </c>
      <c r="D4082">
        <v>6.76</v>
      </c>
      <c r="E4082">
        <v>0.3</v>
      </c>
      <c r="F4082">
        <v>0.02</v>
      </c>
      <c r="G4082" t="s">
        <v>1502</v>
      </c>
      <c r="H4082">
        <v>315</v>
      </c>
      <c r="I4082">
        <v>6.75</v>
      </c>
      <c r="J4082">
        <v>6.76</v>
      </c>
      <c r="K4082" t="s">
        <v>19496</v>
      </c>
      <c r="L4082">
        <v>0.79</v>
      </c>
      <c r="M4082" t="s">
        <v>46</v>
      </c>
      <c r="N4082" t="s">
        <v>7530</v>
      </c>
      <c r="O4082">
        <v>6.85</v>
      </c>
      <c r="P4082">
        <v>6.7</v>
      </c>
      <c r="Q4082">
        <v>6.72</v>
      </c>
      <c r="R4082">
        <v>6.74</v>
      </c>
      <c r="S4082">
        <v>2.23</v>
      </c>
      <c r="T4082">
        <v>1.04</v>
      </c>
      <c r="U4082">
        <v>-32.85</v>
      </c>
      <c r="V4082">
        <v>-986</v>
      </c>
      <c r="W4082">
        <v>6.78</v>
      </c>
      <c r="X4082" t="s">
        <v>7210</v>
      </c>
      <c r="Y4082" t="s">
        <v>3328</v>
      </c>
      <c r="Z4082">
        <v>0.89</v>
      </c>
      <c r="AA4082">
        <v>184</v>
      </c>
      <c r="AB4082">
        <v>461</v>
      </c>
      <c r="AC4082">
        <v>1.28</v>
      </c>
      <c r="AD4082" t="s">
        <v>19497</v>
      </c>
      <c r="AE4082" t="s">
        <v>19498</v>
      </c>
      <c r="AF4082" t="s">
        <v>19499</v>
      </c>
      <c r="AG4082" t="s">
        <v>15609</v>
      </c>
      <c r="AH4082">
        <v>-0.15</v>
      </c>
      <c r="AI4082">
        <v>-0.15</v>
      </c>
      <c r="AJ4082">
        <v>2.1</v>
      </c>
      <c r="AK4082">
        <v>4.58</v>
      </c>
      <c r="AL4082">
        <v>2</v>
      </c>
      <c r="AM4082">
        <v>0.3</v>
      </c>
      <c r="AN4082">
        <v>-21.58</v>
      </c>
      <c r="AO4082">
        <v>5.79</v>
      </c>
      <c r="AP4082">
        <v>-1.31</v>
      </c>
    </row>
    <row r="4083" spans="1:42">
      <c r="A4083">
        <v>4082</v>
      </c>
      <c r="B4083" t="str">
        <f>"300062"</f>
        <v>300062</v>
      </c>
      <c r="C4083" t="s">
        <v>19500</v>
      </c>
      <c r="D4083">
        <v>6.36</v>
      </c>
      <c r="E4083">
        <v>-0.63</v>
      </c>
      <c r="F4083">
        <v>-0.04</v>
      </c>
      <c r="G4083" t="s">
        <v>4928</v>
      </c>
      <c r="H4083">
        <v>2631</v>
      </c>
      <c r="I4083">
        <v>6.36</v>
      </c>
      <c r="J4083">
        <v>6.38</v>
      </c>
      <c r="K4083" t="s">
        <v>19501</v>
      </c>
      <c r="L4083">
        <v>1.27</v>
      </c>
      <c r="M4083" t="s">
        <v>46</v>
      </c>
      <c r="N4083" t="s">
        <v>1778</v>
      </c>
      <c r="O4083">
        <v>6.42</v>
      </c>
      <c r="P4083">
        <v>6.34</v>
      </c>
      <c r="Q4083">
        <v>6.39</v>
      </c>
      <c r="R4083">
        <v>6.4</v>
      </c>
      <c r="S4083">
        <v>1.25</v>
      </c>
      <c r="T4083">
        <v>0.8</v>
      </c>
      <c r="U4083">
        <v>24.33</v>
      </c>
      <c r="V4083">
        <v>1790</v>
      </c>
      <c r="W4083">
        <v>6.37</v>
      </c>
      <c r="X4083" t="s">
        <v>117</v>
      </c>
      <c r="Y4083" t="s">
        <v>377</v>
      </c>
      <c r="Z4083">
        <v>1.18</v>
      </c>
      <c r="AA4083">
        <v>1627</v>
      </c>
      <c r="AB4083">
        <v>6</v>
      </c>
      <c r="AC4083">
        <v>2.8</v>
      </c>
      <c r="AD4083" t="s">
        <v>19502</v>
      </c>
      <c r="AE4083" t="s">
        <v>15190</v>
      </c>
      <c r="AF4083" t="s">
        <v>4366</v>
      </c>
      <c r="AG4083" t="s">
        <v>19503</v>
      </c>
      <c r="AH4083">
        <v>-2</v>
      </c>
      <c r="AI4083">
        <v>-1.09</v>
      </c>
      <c r="AJ4083">
        <v>4.7</v>
      </c>
      <c r="AK4083">
        <v>9.23</v>
      </c>
      <c r="AL4083">
        <v>-2</v>
      </c>
      <c r="AM4083">
        <v>-0.63</v>
      </c>
      <c r="AN4083">
        <v>12.77</v>
      </c>
      <c r="AO4083">
        <v>1.6</v>
      </c>
      <c r="AP4083">
        <v>0.16</v>
      </c>
    </row>
    <row r="4084" spans="1:42">
      <c r="A4084">
        <v>4083</v>
      </c>
      <c r="B4084" t="str">
        <f>"300157"</f>
        <v>300157</v>
      </c>
      <c r="C4084" t="s">
        <v>19504</v>
      </c>
      <c r="D4084">
        <v>3.61</v>
      </c>
      <c r="E4084">
        <v>0.84</v>
      </c>
      <c r="F4084">
        <v>0.03</v>
      </c>
      <c r="G4084" t="s">
        <v>5974</v>
      </c>
      <c r="H4084">
        <v>1707</v>
      </c>
      <c r="I4084">
        <v>3.6</v>
      </c>
      <c r="J4084">
        <v>3.61</v>
      </c>
      <c r="K4084" t="s">
        <v>19501</v>
      </c>
      <c r="L4084">
        <v>1.22</v>
      </c>
      <c r="M4084" t="s">
        <v>46</v>
      </c>
      <c r="N4084" t="s">
        <v>485</v>
      </c>
      <c r="O4084">
        <v>3.62</v>
      </c>
      <c r="P4084">
        <v>3.57</v>
      </c>
      <c r="Q4084">
        <v>3.57</v>
      </c>
      <c r="R4084">
        <v>3.58</v>
      </c>
      <c r="S4084">
        <v>1.4</v>
      </c>
      <c r="T4084">
        <v>0.54</v>
      </c>
      <c r="U4084">
        <v>-43.78</v>
      </c>
      <c r="V4084">
        <v>-8029</v>
      </c>
      <c r="W4084">
        <v>3.6</v>
      </c>
      <c r="X4084" t="s">
        <v>456</v>
      </c>
      <c r="Y4084" t="s">
        <v>6256</v>
      </c>
      <c r="Z4084">
        <v>1.06</v>
      </c>
      <c r="AA4084">
        <v>687</v>
      </c>
      <c r="AB4084">
        <v>337</v>
      </c>
      <c r="AC4084">
        <v>-82.1</v>
      </c>
      <c r="AD4084" t="s">
        <v>19505</v>
      </c>
      <c r="AE4084" t="s">
        <v>17719</v>
      </c>
      <c r="AF4084" t="s">
        <v>19506</v>
      </c>
      <c r="AG4084" t="s">
        <v>1631</v>
      </c>
      <c r="AH4084">
        <v>-1.63</v>
      </c>
      <c r="AI4084">
        <v>-1.9</v>
      </c>
      <c r="AJ4084">
        <v>5</v>
      </c>
      <c r="AK4084">
        <v>12.6</v>
      </c>
      <c r="AL4084">
        <v>1</v>
      </c>
      <c r="AM4084">
        <v>0.84</v>
      </c>
      <c r="AN4084">
        <v>12.81</v>
      </c>
      <c r="AO4084">
        <v>0.84</v>
      </c>
      <c r="AP4084">
        <v>5.25</v>
      </c>
    </row>
    <row r="4085" spans="1:42">
      <c r="A4085">
        <v>4084</v>
      </c>
      <c r="B4085" t="str">
        <f>"000949"</f>
        <v>000949</v>
      </c>
      <c r="C4085" t="s">
        <v>19507</v>
      </c>
      <c r="D4085">
        <v>3.31</v>
      </c>
      <c r="E4085">
        <v>0</v>
      </c>
      <c r="F4085">
        <v>0</v>
      </c>
      <c r="G4085" t="s">
        <v>6175</v>
      </c>
      <c r="H4085">
        <v>566</v>
      </c>
      <c r="I4085">
        <v>3.31</v>
      </c>
      <c r="J4085">
        <v>3.32</v>
      </c>
      <c r="K4085" t="s">
        <v>19508</v>
      </c>
      <c r="L4085">
        <v>0.66</v>
      </c>
      <c r="M4085" t="s">
        <v>46</v>
      </c>
      <c r="N4085" t="s">
        <v>4156</v>
      </c>
      <c r="O4085">
        <v>3.34</v>
      </c>
      <c r="P4085">
        <v>3.27</v>
      </c>
      <c r="Q4085">
        <v>3.31</v>
      </c>
      <c r="R4085">
        <v>3.31</v>
      </c>
      <c r="S4085">
        <v>2.11</v>
      </c>
      <c r="T4085">
        <v>1.01</v>
      </c>
      <c r="U4085">
        <v>-19.89</v>
      </c>
      <c r="V4085">
        <v>-3373</v>
      </c>
      <c r="W4085">
        <v>3.31</v>
      </c>
      <c r="X4085" t="s">
        <v>4827</v>
      </c>
      <c r="Y4085" t="s">
        <v>2299</v>
      </c>
      <c r="Z4085">
        <v>0.99</v>
      </c>
      <c r="AA4085">
        <v>1306</v>
      </c>
      <c r="AB4085">
        <v>33</v>
      </c>
      <c r="AC4085">
        <v>0.88</v>
      </c>
      <c r="AD4085" t="s">
        <v>7790</v>
      </c>
      <c r="AE4085" t="s">
        <v>10825</v>
      </c>
      <c r="AF4085" t="s">
        <v>8930</v>
      </c>
      <c r="AG4085" t="s">
        <v>18407</v>
      </c>
      <c r="AH4085">
        <v>-1.78</v>
      </c>
      <c r="AI4085">
        <v>-1.78</v>
      </c>
      <c r="AJ4085">
        <v>1.91</v>
      </c>
      <c r="AK4085">
        <v>3.92</v>
      </c>
      <c r="AL4085">
        <v>0</v>
      </c>
      <c r="AM4085">
        <v>0</v>
      </c>
      <c r="AN4085">
        <v>-0.3</v>
      </c>
      <c r="AO4085">
        <v>-0.3</v>
      </c>
      <c r="AP4085">
        <v>-2.65</v>
      </c>
    </row>
    <row r="4086" spans="1:42">
      <c r="A4086">
        <v>4085</v>
      </c>
      <c r="B4086" t="str">
        <f>"300907"</f>
        <v>300907</v>
      </c>
      <c r="C4086" t="s">
        <v>19509</v>
      </c>
      <c r="D4086">
        <v>22.26</v>
      </c>
      <c r="E4086">
        <v>-1.33</v>
      </c>
      <c r="F4086">
        <v>-0.3</v>
      </c>
      <c r="G4086" t="s">
        <v>3284</v>
      </c>
      <c r="H4086">
        <v>35</v>
      </c>
      <c r="I4086">
        <v>22.26</v>
      </c>
      <c r="J4086">
        <v>22.27</v>
      </c>
      <c r="K4086" t="s">
        <v>19508</v>
      </c>
      <c r="L4086">
        <v>1.43</v>
      </c>
      <c r="M4086" t="s">
        <v>46</v>
      </c>
      <c r="N4086" t="s">
        <v>16802</v>
      </c>
      <c r="O4086">
        <v>22.76</v>
      </c>
      <c r="P4086">
        <v>22.18</v>
      </c>
      <c r="Q4086">
        <v>22.45</v>
      </c>
      <c r="R4086">
        <v>22.56</v>
      </c>
      <c r="S4086">
        <v>2.57</v>
      </c>
      <c r="T4086">
        <v>1.05</v>
      </c>
      <c r="U4086">
        <v>-44.3</v>
      </c>
      <c r="V4086">
        <v>-167</v>
      </c>
      <c r="W4086">
        <v>22.31</v>
      </c>
      <c r="X4086">
        <v>7872</v>
      </c>
      <c r="Y4086">
        <v>5813</v>
      </c>
      <c r="Z4086">
        <v>1.35</v>
      </c>
      <c r="AA4086">
        <v>14</v>
      </c>
      <c r="AB4086">
        <v>40</v>
      </c>
      <c r="AC4086">
        <v>2.8</v>
      </c>
      <c r="AD4086" t="s">
        <v>4315</v>
      </c>
      <c r="AE4086" t="s">
        <v>19510</v>
      </c>
      <c r="AF4086" t="s">
        <v>4315</v>
      </c>
      <c r="AG4086" t="s">
        <v>19510</v>
      </c>
      <c r="AH4086">
        <v>-2.28</v>
      </c>
      <c r="AI4086">
        <v>-0.85</v>
      </c>
      <c r="AJ4086">
        <v>4.52</v>
      </c>
      <c r="AK4086">
        <v>8.24</v>
      </c>
      <c r="AL4086">
        <v>-2</v>
      </c>
      <c r="AM4086">
        <v>-1.33</v>
      </c>
      <c r="AN4086">
        <v>26.26</v>
      </c>
      <c r="AO4086">
        <v>1.14</v>
      </c>
      <c r="AP4086">
        <v>12.99</v>
      </c>
    </row>
    <row r="4087" spans="1:42">
      <c r="A4087">
        <v>4086</v>
      </c>
      <c r="B4087" t="str">
        <f>"603897"</f>
        <v>603897</v>
      </c>
      <c r="C4087" t="s">
        <v>19511</v>
      </c>
      <c r="D4087">
        <v>19</v>
      </c>
      <c r="E4087">
        <v>0.05</v>
      </c>
      <c r="F4087">
        <v>0.01</v>
      </c>
      <c r="G4087" t="s">
        <v>7487</v>
      </c>
      <c r="H4087">
        <v>71</v>
      </c>
      <c r="I4087">
        <v>18.94</v>
      </c>
      <c r="J4087">
        <v>19</v>
      </c>
      <c r="K4087" t="s">
        <v>19512</v>
      </c>
      <c r="L4087">
        <v>0.78</v>
      </c>
      <c r="M4087" t="s">
        <v>46</v>
      </c>
      <c r="N4087" t="s">
        <v>10029</v>
      </c>
      <c r="O4087">
        <v>19.08</v>
      </c>
      <c r="P4087">
        <v>18.8</v>
      </c>
      <c r="Q4087">
        <v>19.05</v>
      </c>
      <c r="R4087">
        <v>18.99</v>
      </c>
      <c r="S4087">
        <v>1.47</v>
      </c>
      <c r="T4087">
        <v>1.09</v>
      </c>
      <c r="U4087">
        <v>-29.88</v>
      </c>
      <c r="V4087">
        <v>-121</v>
      </c>
      <c r="W4087">
        <v>18.98</v>
      </c>
      <c r="X4087">
        <v>6854</v>
      </c>
      <c r="Y4087">
        <v>9227</v>
      </c>
      <c r="Z4087">
        <v>0.74</v>
      </c>
      <c r="AA4087">
        <v>10</v>
      </c>
      <c r="AB4087">
        <v>38</v>
      </c>
      <c r="AC4087">
        <v>1.47</v>
      </c>
      <c r="AD4087" t="s">
        <v>19513</v>
      </c>
      <c r="AE4087" t="s">
        <v>18481</v>
      </c>
      <c r="AF4087" t="s">
        <v>19513</v>
      </c>
      <c r="AG4087" t="s">
        <v>18481</v>
      </c>
      <c r="AH4087">
        <v>-1.2</v>
      </c>
      <c r="AI4087">
        <v>-1.04</v>
      </c>
      <c r="AJ4087">
        <v>2.36</v>
      </c>
      <c r="AK4087">
        <v>4.36</v>
      </c>
      <c r="AL4087">
        <v>1</v>
      </c>
      <c r="AM4087">
        <v>0.05</v>
      </c>
      <c r="AN4087">
        <v>-7.09</v>
      </c>
      <c r="AO4087">
        <v>1.44</v>
      </c>
      <c r="AP4087">
        <v>-10</v>
      </c>
    </row>
    <row r="4088" spans="1:42">
      <c r="A4088">
        <v>4087</v>
      </c>
      <c r="B4088" t="str">
        <f>"688325"</f>
        <v>688325</v>
      </c>
      <c r="C4088" t="s">
        <v>19514</v>
      </c>
      <c r="D4088">
        <v>40.84</v>
      </c>
      <c r="E4088">
        <v>1.59</v>
      </c>
      <c r="F4088">
        <v>0.64</v>
      </c>
      <c r="G4088">
        <v>7542</v>
      </c>
      <c r="H4088">
        <v>22</v>
      </c>
      <c r="I4088">
        <v>40.83</v>
      </c>
      <c r="J4088">
        <v>40.84</v>
      </c>
      <c r="K4088" t="s">
        <v>14642</v>
      </c>
      <c r="L4088">
        <v>2.01</v>
      </c>
      <c r="M4088" t="s">
        <v>46</v>
      </c>
      <c r="N4088" t="s">
        <v>8494</v>
      </c>
      <c r="O4088">
        <v>40.95</v>
      </c>
      <c r="P4088">
        <v>39.8</v>
      </c>
      <c r="Q4088">
        <v>40.2</v>
      </c>
      <c r="R4088">
        <v>40.2</v>
      </c>
      <c r="S4088">
        <v>2.86</v>
      </c>
      <c r="T4088">
        <v>0.82</v>
      </c>
      <c r="U4088">
        <v>-3.91</v>
      </c>
      <c r="V4088">
        <v>-5</v>
      </c>
      <c r="W4088">
        <v>40.46</v>
      </c>
      <c r="X4088">
        <v>3728</v>
      </c>
      <c r="Y4088">
        <v>3814</v>
      </c>
      <c r="Z4088">
        <v>0.98</v>
      </c>
      <c r="AA4088">
        <v>2</v>
      </c>
      <c r="AB4088">
        <v>0</v>
      </c>
      <c r="AC4088">
        <v>2.05</v>
      </c>
      <c r="AD4088" t="s">
        <v>19515</v>
      </c>
      <c r="AE4088" t="s">
        <v>15520</v>
      </c>
      <c r="AF4088" t="s">
        <v>11430</v>
      </c>
      <c r="AG4088" t="s">
        <v>13379</v>
      </c>
      <c r="AH4088">
        <v>-0.44</v>
      </c>
      <c r="AI4088">
        <v>-1.85</v>
      </c>
      <c r="AJ4088">
        <v>5.86</v>
      </c>
      <c r="AK4088">
        <v>14.3</v>
      </c>
      <c r="AL4088">
        <v>1</v>
      </c>
      <c r="AM4088">
        <v>1.59</v>
      </c>
      <c r="AN4088">
        <v>0.25</v>
      </c>
      <c r="AO4088">
        <v>0.94</v>
      </c>
      <c r="AP4088">
        <v>-21.6</v>
      </c>
    </row>
    <row r="4089" spans="1:42">
      <c r="A4089">
        <v>4088</v>
      </c>
      <c r="B4089" t="str">
        <f>"300631"</f>
        <v>300631</v>
      </c>
      <c r="C4089" t="s">
        <v>19516</v>
      </c>
      <c r="D4089">
        <v>30.03</v>
      </c>
      <c r="E4089">
        <v>-1.54</v>
      </c>
      <c r="F4089">
        <v>-0.47</v>
      </c>
      <c r="G4089" t="s">
        <v>1646</v>
      </c>
      <c r="H4089">
        <v>112</v>
      </c>
      <c r="I4089">
        <v>30.02</v>
      </c>
      <c r="J4089">
        <v>30.03</v>
      </c>
      <c r="K4089" t="s">
        <v>19517</v>
      </c>
      <c r="L4089">
        <v>0.84</v>
      </c>
      <c r="M4089" t="s">
        <v>46</v>
      </c>
      <c r="N4089" t="s">
        <v>2908</v>
      </c>
      <c r="O4089">
        <v>30.57</v>
      </c>
      <c r="P4089">
        <v>29.82</v>
      </c>
      <c r="Q4089">
        <v>30.27</v>
      </c>
      <c r="R4089">
        <v>30.5</v>
      </c>
      <c r="S4089">
        <v>2.46</v>
      </c>
      <c r="T4089">
        <v>0.96</v>
      </c>
      <c r="U4089">
        <v>20.63</v>
      </c>
      <c r="V4089">
        <v>52</v>
      </c>
      <c r="W4089">
        <v>30.04</v>
      </c>
      <c r="X4089">
        <v>5282</v>
      </c>
      <c r="Y4089">
        <v>4871</v>
      </c>
      <c r="Z4089">
        <v>1.08</v>
      </c>
      <c r="AA4089">
        <v>25</v>
      </c>
      <c r="AB4089">
        <v>2</v>
      </c>
      <c r="AC4089">
        <v>3.05</v>
      </c>
      <c r="AD4089" t="s">
        <v>11294</v>
      </c>
      <c r="AE4089" t="s">
        <v>13599</v>
      </c>
      <c r="AF4089" t="s">
        <v>15925</v>
      </c>
      <c r="AG4089" t="s">
        <v>14858</v>
      </c>
      <c r="AH4089">
        <v>-1.93</v>
      </c>
      <c r="AI4089">
        <v>-1.48</v>
      </c>
      <c r="AJ4089">
        <v>2.76</v>
      </c>
      <c r="AK4089">
        <v>5.21</v>
      </c>
      <c r="AL4089">
        <v>-2</v>
      </c>
      <c r="AM4089">
        <v>-1.54</v>
      </c>
      <c r="AN4089">
        <v>8.1</v>
      </c>
      <c r="AO4089">
        <v>4.71</v>
      </c>
      <c r="AP4089">
        <v>-6.24</v>
      </c>
    </row>
    <row r="4090" spans="1:42">
      <c r="A4090">
        <v>4089</v>
      </c>
      <c r="B4090" t="str">
        <f>"688448"</f>
        <v>688448</v>
      </c>
      <c r="C4090" t="s">
        <v>19518</v>
      </c>
      <c r="D4090">
        <v>37.27</v>
      </c>
      <c r="E4090">
        <v>-2.43</v>
      </c>
      <c r="F4090">
        <v>-0.93</v>
      </c>
      <c r="G4090">
        <v>8128</v>
      </c>
      <c r="H4090">
        <v>107</v>
      </c>
      <c r="I4090">
        <v>37.19</v>
      </c>
      <c r="J4090">
        <v>37.27</v>
      </c>
      <c r="K4090" t="s">
        <v>19517</v>
      </c>
      <c r="L4090">
        <v>2.5</v>
      </c>
      <c r="M4090" t="s">
        <v>46</v>
      </c>
      <c r="N4090" t="s">
        <v>6393</v>
      </c>
      <c r="O4090">
        <v>38.02</v>
      </c>
      <c r="P4090">
        <v>37.15</v>
      </c>
      <c r="Q4090">
        <v>38.02</v>
      </c>
      <c r="R4090">
        <v>38.2</v>
      </c>
      <c r="S4090">
        <v>2.28</v>
      </c>
      <c r="T4090">
        <v>0.35</v>
      </c>
      <c r="U4090">
        <v>-12.43</v>
      </c>
      <c r="V4090">
        <v>-25</v>
      </c>
      <c r="W4090">
        <v>37.52</v>
      </c>
      <c r="X4090">
        <v>5149</v>
      </c>
      <c r="Y4090">
        <v>2979</v>
      </c>
      <c r="Z4090">
        <v>1.73</v>
      </c>
      <c r="AA4090">
        <v>1</v>
      </c>
      <c r="AB4090">
        <v>5</v>
      </c>
      <c r="AC4090">
        <v>2.86</v>
      </c>
      <c r="AD4090" t="s">
        <v>9369</v>
      </c>
      <c r="AE4090" t="s">
        <v>19519</v>
      </c>
      <c r="AF4090" t="s">
        <v>19520</v>
      </c>
      <c r="AG4090" t="s">
        <v>9711</v>
      </c>
      <c r="AH4090">
        <v>1.36</v>
      </c>
      <c r="AI4090">
        <v>2.11</v>
      </c>
      <c r="AJ4090">
        <v>17.18</v>
      </c>
      <c r="AK4090">
        <v>38.67</v>
      </c>
      <c r="AL4090">
        <v>-2</v>
      </c>
      <c r="AM4090">
        <v>-2.43</v>
      </c>
      <c r="AN4090">
        <v>61.62</v>
      </c>
      <c r="AO4090">
        <v>21.8</v>
      </c>
      <c r="AP4090">
        <v>44.74</v>
      </c>
    </row>
    <row r="4091" spans="1:42">
      <c r="A4091">
        <v>4090</v>
      </c>
      <c r="B4091" t="str">
        <f>"832735"</f>
        <v>832735</v>
      </c>
      <c r="C4091" t="s">
        <v>19521</v>
      </c>
      <c r="D4091">
        <v>30.4</v>
      </c>
      <c r="E4091">
        <v>-4.61</v>
      </c>
      <c r="F4091">
        <v>-1.47</v>
      </c>
      <c r="G4091">
        <v>9860</v>
      </c>
      <c r="H4091">
        <v>45</v>
      </c>
      <c r="I4091">
        <v>30.4</v>
      </c>
      <c r="J4091">
        <v>30.48</v>
      </c>
      <c r="K4091" t="s">
        <v>19522</v>
      </c>
      <c r="L4091">
        <v>1.8</v>
      </c>
      <c r="M4091" t="s">
        <v>46</v>
      </c>
      <c r="N4091" t="s">
        <v>7011</v>
      </c>
      <c r="O4091">
        <v>32.32</v>
      </c>
      <c r="P4091">
        <v>30.21</v>
      </c>
      <c r="Q4091">
        <v>31.61</v>
      </c>
      <c r="R4091">
        <v>31.87</v>
      </c>
      <c r="S4091">
        <v>6.62</v>
      </c>
      <c r="T4091">
        <v>0.52</v>
      </c>
      <c r="U4091">
        <v>-5.87</v>
      </c>
      <c r="V4091">
        <v>-17</v>
      </c>
      <c r="W4091">
        <v>30.92</v>
      </c>
      <c r="X4091">
        <v>6508</v>
      </c>
      <c r="Y4091">
        <v>3353</v>
      </c>
      <c r="Z4091">
        <v>1.94</v>
      </c>
      <c r="AA4091">
        <v>26</v>
      </c>
      <c r="AB4091">
        <v>10</v>
      </c>
      <c r="AC4091">
        <v>2.67</v>
      </c>
      <c r="AD4091" t="s">
        <v>19523</v>
      </c>
      <c r="AE4091" t="s">
        <v>19524</v>
      </c>
      <c r="AF4091" t="s">
        <v>19525</v>
      </c>
      <c r="AG4091" t="s">
        <v>4548</v>
      </c>
      <c r="AH4091">
        <v>-4.46</v>
      </c>
      <c r="AI4091">
        <v>9.04</v>
      </c>
      <c r="AJ4091">
        <v>8.41</v>
      </c>
      <c r="AK4091">
        <v>19.25</v>
      </c>
      <c r="AL4091">
        <v>-2</v>
      </c>
      <c r="AM4091">
        <v>-4.61</v>
      </c>
      <c r="AN4091">
        <v>106.8</v>
      </c>
      <c r="AO4091">
        <v>26.04</v>
      </c>
      <c r="AP4091">
        <v>108.65</v>
      </c>
    </row>
    <row r="4092" spans="1:42">
      <c r="A4092">
        <v>4091</v>
      </c>
      <c r="B4092" t="str">
        <f>"605007"</f>
        <v>605007</v>
      </c>
      <c r="C4092" t="s">
        <v>19526</v>
      </c>
      <c r="D4092">
        <v>15.74</v>
      </c>
      <c r="E4092">
        <v>1.29</v>
      </c>
      <c r="F4092">
        <v>0.2</v>
      </c>
      <c r="G4092" t="s">
        <v>6425</v>
      </c>
      <c r="H4092">
        <v>208</v>
      </c>
      <c r="I4092">
        <v>15.73</v>
      </c>
      <c r="J4092">
        <v>15.74</v>
      </c>
      <c r="K4092" t="s">
        <v>19527</v>
      </c>
      <c r="L4092">
        <v>0.49</v>
      </c>
      <c r="M4092" t="s">
        <v>46</v>
      </c>
      <c r="N4092" t="s">
        <v>15095</v>
      </c>
      <c r="O4092">
        <v>15.8</v>
      </c>
      <c r="P4092">
        <v>15.51</v>
      </c>
      <c r="Q4092">
        <v>15.6</v>
      </c>
      <c r="R4092">
        <v>15.54</v>
      </c>
      <c r="S4092">
        <v>1.87</v>
      </c>
      <c r="T4092">
        <v>0.81</v>
      </c>
      <c r="U4092">
        <v>-10.51</v>
      </c>
      <c r="V4092">
        <v>-47</v>
      </c>
      <c r="W4092">
        <v>15.67</v>
      </c>
      <c r="X4092" t="s">
        <v>2615</v>
      </c>
      <c r="Y4092">
        <v>9392</v>
      </c>
      <c r="Z4092">
        <v>1.07</v>
      </c>
      <c r="AA4092">
        <v>12</v>
      </c>
      <c r="AB4092">
        <v>42</v>
      </c>
      <c r="AC4092">
        <v>3</v>
      </c>
      <c r="AD4092" t="s">
        <v>19528</v>
      </c>
      <c r="AE4092" t="s">
        <v>7138</v>
      </c>
      <c r="AF4092" t="s">
        <v>19529</v>
      </c>
      <c r="AG4092" t="s">
        <v>1271</v>
      </c>
      <c r="AH4092">
        <v>1.55</v>
      </c>
      <c r="AI4092">
        <v>-1.13</v>
      </c>
      <c r="AJ4092">
        <v>1.71</v>
      </c>
      <c r="AK4092">
        <v>3.5</v>
      </c>
      <c r="AL4092">
        <v>1</v>
      </c>
      <c r="AM4092">
        <v>1.29</v>
      </c>
      <c r="AN4092">
        <v>-15.78</v>
      </c>
      <c r="AO4092">
        <v>3.15</v>
      </c>
      <c r="AP4092">
        <v>-10.77</v>
      </c>
    </row>
    <row r="4093" spans="1:42">
      <c r="A4093">
        <v>4092</v>
      </c>
      <c r="B4093" t="str">
        <f>"688227"</f>
        <v>688227</v>
      </c>
      <c r="C4093" t="s">
        <v>19530</v>
      </c>
      <c r="D4093">
        <v>20.88</v>
      </c>
      <c r="E4093">
        <v>1.9</v>
      </c>
      <c r="F4093">
        <v>0.39</v>
      </c>
      <c r="G4093" t="s">
        <v>3130</v>
      </c>
      <c r="H4093">
        <v>45</v>
      </c>
      <c r="I4093">
        <v>20.86</v>
      </c>
      <c r="J4093">
        <v>20.88</v>
      </c>
      <c r="K4093" t="s">
        <v>19531</v>
      </c>
      <c r="L4093">
        <v>2.36</v>
      </c>
      <c r="M4093" t="s">
        <v>46</v>
      </c>
      <c r="N4093" t="s">
        <v>1752</v>
      </c>
      <c r="O4093">
        <v>21.05</v>
      </c>
      <c r="P4093">
        <v>20.3</v>
      </c>
      <c r="Q4093">
        <v>20.3</v>
      </c>
      <c r="R4093">
        <v>20.49</v>
      </c>
      <c r="S4093">
        <v>3.66</v>
      </c>
      <c r="T4093">
        <v>1.11</v>
      </c>
      <c r="U4093">
        <v>-12.17</v>
      </c>
      <c r="V4093">
        <v>-37</v>
      </c>
      <c r="W4093">
        <v>20.65</v>
      </c>
      <c r="X4093">
        <v>6822</v>
      </c>
      <c r="Y4093">
        <v>7923</v>
      </c>
      <c r="Z4093">
        <v>0.86</v>
      </c>
      <c r="AA4093">
        <v>16</v>
      </c>
      <c r="AB4093">
        <v>29</v>
      </c>
      <c r="AC4093">
        <v>1.71</v>
      </c>
      <c r="AD4093" t="s">
        <v>8536</v>
      </c>
      <c r="AE4093" t="s">
        <v>19532</v>
      </c>
      <c r="AF4093" t="s">
        <v>14416</v>
      </c>
      <c r="AG4093" t="s">
        <v>16759</v>
      </c>
      <c r="AH4093">
        <v>0.05</v>
      </c>
      <c r="AI4093">
        <v>-2.25</v>
      </c>
      <c r="AJ4093">
        <v>6.15</v>
      </c>
      <c r="AK4093">
        <v>12.95</v>
      </c>
      <c r="AL4093">
        <v>1</v>
      </c>
      <c r="AM4093">
        <v>1.9</v>
      </c>
      <c r="AN4093">
        <v>7.08</v>
      </c>
      <c r="AO4093">
        <v>3.42</v>
      </c>
      <c r="AP4093">
        <v>-16.31</v>
      </c>
    </row>
    <row r="4094" spans="1:42">
      <c r="A4094">
        <v>4093</v>
      </c>
      <c r="B4094" t="str">
        <f>"600169"</f>
        <v>600169</v>
      </c>
      <c r="C4094" t="s">
        <v>19533</v>
      </c>
      <c r="D4094">
        <v>2.4</v>
      </c>
      <c r="E4094">
        <v>0.84</v>
      </c>
      <c r="F4094">
        <v>0.02</v>
      </c>
      <c r="G4094" t="s">
        <v>3971</v>
      </c>
      <c r="H4094">
        <v>654</v>
      </c>
      <c r="I4094">
        <v>2.39</v>
      </c>
      <c r="J4094">
        <v>2.4</v>
      </c>
      <c r="K4094" t="s">
        <v>19534</v>
      </c>
      <c r="L4094">
        <v>0.5</v>
      </c>
      <c r="M4094" t="s">
        <v>46</v>
      </c>
      <c r="N4094" t="s">
        <v>19535</v>
      </c>
      <c r="O4094">
        <v>2.4</v>
      </c>
      <c r="P4094">
        <v>2.36</v>
      </c>
      <c r="Q4094">
        <v>2.37</v>
      </c>
      <c r="R4094">
        <v>2.38</v>
      </c>
      <c r="S4094">
        <v>1.68</v>
      </c>
      <c r="T4094">
        <v>1.15</v>
      </c>
      <c r="U4094">
        <v>-34.45</v>
      </c>
      <c r="V4094" t="s">
        <v>19536</v>
      </c>
      <c r="W4094">
        <v>2.39</v>
      </c>
      <c r="X4094" t="s">
        <v>5674</v>
      </c>
      <c r="Y4094" t="s">
        <v>4243</v>
      </c>
      <c r="Z4094">
        <v>0.59</v>
      </c>
      <c r="AA4094">
        <v>8738</v>
      </c>
      <c r="AB4094">
        <v>6025</v>
      </c>
      <c r="AC4094">
        <v>1.56</v>
      </c>
      <c r="AD4094" t="s">
        <v>13585</v>
      </c>
      <c r="AE4094" t="s">
        <v>19537</v>
      </c>
      <c r="AF4094" t="s">
        <v>10583</v>
      </c>
      <c r="AG4094" t="s">
        <v>19538</v>
      </c>
      <c r="AH4094">
        <v>0</v>
      </c>
      <c r="AI4094">
        <v>0</v>
      </c>
      <c r="AJ4094">
        <v>1.49</v>
      </c>
      <c r="AK4094">
        <v>2.65</v>
      </c>
      <c r="AL4094">
        <v>1</v>
      </c>
      <c r="AM4094">
        <v>0.84</v>
      </c>
      <c r="AN4094">
        <v>0.84</v>
      </c>
      <c r="AO4094">
        <v>2.13</v>
      </c>
      <c r="AP4094">
        <v>-1.64</v>
      </c>
    </row>
    <row r="4095" spans="1:42">
      <c r="A4095">
        <v>4094</v>
      </c>
      <c r="B4095" t="str">
        <f>"688287"</f>
        <v>688287</v>
      </c>
      <c r="C4095" t="s">
        <v>19539</v>
      </c>
      <c r="D4095">
        <v>10.33</v>
      </c>
      <c r="E4095">
        <v>-0.58</v>
      </c>
      <c r="F4095">
        <v>-0.06</v>
      </c>
      <c r="G4095" t="s">
        <v>7649</v>
      </c>
      <c r="H4095">
        <v>275</v>
      </c>
      <c r="I4095">
        <v>10.32</v>
      </c>
      <c r="J4095">
        <v>10.33</v>
      </c>
      <c r="K4095" t="s">
        <v>19540</v>
      </c>
      <c r="L4095">
        <v>0.8</v>
      </c>
      <c r="M4095" t="s">
        <v>46</v>
      </c>
      <c r="N4095" t="s">
        <v>6572</v>
      </c>
      <c r="O4095">
        <v>10.45</v>
      </c>
      <c r="P4095">
        <v>10.26</v>
      </c>
      <c r="Q4095">
        <v>10.45</v>
      </c>
      <c r="R4095">
        <v>10.39</v>
      </c>
      <c r="S4095">
        <v>1.83</v>
      </c>
      <c r="T4095">
        <v>0.82</v>
      </c>
      <c r="U4095">
        <v>50.09</v>
      </c>
      <c r="V4095">
        <v>1258</v>
      </c>
      <c r="W4095">
        <v>10.32</v>
      </c>
      <c r="X4095" t="s">
        <v>1525</v>
      </c>
      <c r="Y4095" t="s">
        <v>218</v>
      </c>
      <c r="Z4095">
        <v>1.78</v>
      </c>
      <c r="AA4095">
        <v>110</v>
      </c>
      <c r="AB4095">
        <v>56</v>
      </c>
      <c r="AC4095">
        <v>3.63</v>
      </c>
      <c r="AD4095" t="s">
        <v>19541</v>
      </c>
      <c r="AE4095" t="s">
        <v>9155</v>
      </c>
      <c r="AF4095" t="s">
        <v>19541</v>
      </c>
      <c r="AG4095" t="s">
        <v>9155</v>
      </c>
      <c r="AH4095">
        <v>-3.1</v>
      </c>
      <c r="AI4095">
        <v>-3.82</v>
      </c>
      <c r="AJ4095">
        <v>2.81</v>
      </c>
      <c r="AK4095">
        <v>5.65</v>
      </c>
      <c r="AL4095">
        <v>-3</v>
      </c>
      <c r="AM4095">
        <v>-0.58</v>
      </c>
      <c r="AN4095">
        <v>4.98</v>
      </c>
      <c r="AO4095">
        <v>-1.62</v>
      </c>
      <c r="AP4095">
        <v>-4.26</v>
      </c>
    </row>
    <row r="4096" spans="1:42">
      <c r="A4096">
        <v>4095</v>
      </c>
      <c r="B4096" t="str">
        <f>"600965"</f>
        <v>600965</v>
      </c>
      <c r="C4096" t="s">
        <v>19542</v>
      </c>
      <c r="D4096">
        <v>6.77</v>
      </c>
      <c r="E4096">
        <v>0.45</v>
      </c>
      <c r="F4096">
        <v>0.03</v>
      </c>
      <c r="G4096" t="s">
        <v>843</v>
      </c>
      <c r="H4096">
        <v>143</v>
      </c>
      <c r="I4096">
        <v>6.76</v>
      </c>
      <c r="J4096">
        <v>6.77</v>
      </c>
      <c r="K4096" t="s">
        <v>19543</v>
      </c>
      <c r="L4096">
        <v>0.55</v>
      </c>
      <c r="M4096" t="s">
        <v>46</v>
      </c>
      <c r="N4096" t="s">
        <v>2683</v>
      </c>
      <c r="O4096">
        <v>6.83</v>
      </c>
      <c r="P4096">
        <v>6.72</v>
      </c>
      <c r="Q4096">
        <v>6.74</v>
      </c>
      <c r="R4096">
        <v>6.74</v>
      </c>
      <c r="S4096">
        <v>1.63</v>
      </c>
      <c r="T4096">
        <v>0.94</v>
      </c>
      <c r="U4096">
        <v>-2.35</v>
      </c>
      <c r="V4096">
        <v>-95</v>
      </c>
      <c r="W4096">
        <v>6.79</v>
      </c>
      <c r="X4096" t="s">
        <v>4976</v>
      </c>
      <c r="Y4096" t="s">
        <v>2389</v>
      </c>
      <c r="Z4096">
        <v>0.81</v>
      </c>
      <c r="AA4096">
        <v>397</v>
      </c>
      <c r="AB4096">
        <v>18</v>
      </c>
      <c r="AC4096">
        <v>2.51</v>
      </c>
      <c r="AD4096" t="s">
        <v>19544</v>
      </c>
      <c r="AE4096" t="s">
        <v>16976</v>
      </c>
      <c r="AF4096" t="s">
        <v>19544</v>
      </c>
      <c r="AG4096" t="s">
        <v>16976</v>
      </c>
      <c r="AH4096">
        <v>0.89</v>
      </c>
      <c r="AI4096">
        <v>3.68</v>
      </c>
      <c r="AJ4096">
        <v>1.68</v>
      </c>
      <c r="AK4096">
        <v>3.46</v>
      </c>
      <c r="AL4096">
        <v>2</v>
      </c>
      <c r="AM4096">
        <v>0.45</v>
      </c>
      <c r="AN4096">
        <v>-17.84</v>
      </c>
      <c r="AO4096">
        <v>6.61</v>
      </c>
      <c r="AP4096">
        <v>0.74</v>
      </c>
    </row>
    <row r="4097" spans="1:42">
      <c r="A4097">
        <v>4096</v>
      </c>
      <c r="B4097" t="str">
        <f>"600116"</f>
        <v>600116</v>
      </c>
      <c r="C4097" t="s">
        <v>19545</v>
      </c>
      <c r="D4097">
        <v>7.59</v>
      </c>
      <c r="E4097">
        <v>0</v>
      </c>
      <c r="F4097">
        <v>0</v>
      </c>
      <c r="G4097" t="s">
        <v>8404</v>
      </c>
      <c r="H4097">
        <v>261</v>
      </c>
      <c r="I4097">
        <v>7.59</v>
      </c>
      <c r="J4097">
        <v>7.6</v>
      </c>
      <c r="K4097" t="s">
        <v>19546</v>
      </c>
      <c r="L4097">
        <v>0.21</v>
      </c>
      <c r="M4097" t="s">
        <v>46</v>
      </c>
      <c r="N4097" t="s">
        <v>19547</v>
      </c>
      <c r="O4097">
        <v>7.62</v>
      </c>
      <c r="P4097">
        <v>7.56</v>
      </c>
      <c r="Q4097">
        <v>7.6</v>
      </c>
      <c r="R4097">
        <v>7.59</v>
      </c>
      <c r="S4097">
        <v>0.79</v>
      </c>
      <c r="T4097">
        <v>0.88</v>
      </c>
      <c r="U4097">
        <v>-2.1</v>
      </c>
      <c r="V4097">
        <v>-233</v>
      </c>
      <c r="W4097">
        <v>7.6</v>
      </c>
      <c r="X4097" t="s">
        <v>4943</v>
      </c>
      <c r="Y4097" t="s">
        <v>6419</v>
      </c>
      <c r="Z4097">
        <v>0.69</v>
      </c>
      <c r="AA4097">
        <v>438</v>
      </c>
      <c r="AB4097">
        <v>244</v>
      </c>
      <c r="AC4097">
        <v>1.31</v>
      </c>
      <c r="AD4097" t="s">
        <v>19548</v>
      </c>
      <c r="AE4097" t="s">
        <v>19549</v>
      </c>
      <c r="AF4097" t="s">
        <v>19548</v>
      </c>
      <c r="AG4097" t="s">
        <v>19549</v>
      </c>
      <c r="AH4097">
        <v>-0.52</v>
      </c>
      <c r="AI4097">
        <v>-0.65</v>
      </c>
      <c r="AJ4097">
        <v>0.59</v>
      </c>
      <c r="AK4097">
        <v>1.4</v>
      </c>
      <c r="AL4097">
        <v>0</v>
      </c>
      <c r="AM4097">
        <v>0</v>
      </c>
      <c r="AN4097">
        <v>-9.86</v>
      </c>
      <c r="AO4097">
        <v>-4.41</v>
      </c>
      <c r="AP4097">
        <v>-8.44</v>
      </c>
    </row>
    <row r="4098" spans="1:42">
      <c r="A4098">
        <v>4097</v>
      </c>
      <c r="B4098" t="str">
        <f>"600691"</f>
        <v>600691</v>
      </c>
      <c r="C4098" t="s">
        <v>19550</v>
      </c>
      <c r="D4098">
        <v>3.26</v>
      </c>
      <c r="E4098">
        <v>0</v>
      </c>
      <c r="F4098">
        <v>0</v>
      </c>
      <c r="G4098" t="s">
        <v>19551</v>
      </c>
      <c r="H4098">
        <v>700</v>
      </c>
      <c r="I4098">
        <v>3.25</v>
      </c>
      <c r="J4098">
        <v>3.26</v>
      </c>
      <c r="K4098" t="s">
        <v>19546</v>
      </c>
      <c r="L4098">
        <v>0.39</v>
      </c>
      <c r="M4098" t="s">
        <v>46</v>
      </c>
      <c r="N4098" t="s">
        <v>1958</v>
      </c>
      <c r="O4098">
        <v>3.29</v>
      </c>
      <c r="P4098">
        <v>3.23</v>
      </c>
      <c r="Q4098">
        <v>3.25</v>
      </c>
      <c r="R4098">
        <v>3.26</v>
      </c>
      <c r="S4098">
        <v>1.84</v>
      </c>
      <c r="T4098">
        <v>1</v>
      </c>
      <c r="U4098">
        <v>-41.14</v>
      </c>
      <c r="V4098" t="s">
        <v>16192</v>
      </c>
      <c r="W4098">
        <v>3.26</v>
      </c>
      <c r="X4098" t="s">
        <v>7022</v>
      </c>
      <c r="Y4098" t="s">
        <v>6408</v>
      </c>
      <c r="Z4098">
        <v>1.2</v>
      </c>
      <c r="AA4098">
        <v>1825</v>
      </c>
      <c r="AB4098">
        <v>102</v>
      </c>
      <c r="AC4098">
        <v>1.34</v>
      </c>
      <c r="AD4098" t="s">
        <v>7259</v>
      </c>
      <c r="AE4098" t="s">
        <v>19552</v>
      </c>
      <c r="AF4098" t="s">
        <v>7259</v>
      </c>
      <c r="AG4098" t="s">
        <v>14436</v>
      </c>
      <c r="AH4098">
        <v>-0.31</v>
      </c>
      <c r="AI4098">
        <v>-0.91</v>
      </c>
      <c r="AJ4098">
        <v>1.14</v>
      </c>
      <c r="AK4098">
        <v>2.36</v>
      </c>
      <c r="AL4098">
        <v>0</v>
      </c>
      <c r="AM4098">
        <v>0</v>
      </c>
      <c r="AN4098">
        <v>3.82</v>
      </c>
      <c r="AO4098">
        <v>0.31</v>
      </c>
      <c r="AP4098">
        <v>0.31</v>
      </c>
    </row>
    <row r="4099" spans="1:42">
      <c r="A4099">
        <v>4098</v>
      </c>
      <c r="B4099" t="str">
        <f>"300853"</f>
        <v>300853</v>
      </c>
      <c r="C4099" t="s">
        <v>19553</v>
      </c>
      <c r="D4099">
        <v>24.06</v>
      </c>
      <c r="E4099">
        <v>-0.5</v>
      </c>
      <c r="F4099">
        <v>-0.12</v>
      </c>
      <c r="G4099" t="s">
        <v>682</v>
      </c>
      <c r="H4099">
        <v>210</v>
      </c>
      <c r="I4099">
        <v>24.06</v>
      </c>
      <c r="J4099">
        <v>24.07</v>
      </c>
      <c r="K4099" t="s">
        <v>19554</v>
      </c>
      <c r="L4099">
        <v>1.2</v>
      </c>
      <c r="M4099" t="s">
        <v>46</v>
      </c>
      <c r="N4099" t="s">
        <v>4723</v>
      </c>
      <c r="O4099">
        <v>24.4</v>
      </c>
      <c r="P4099">
        <v>23.82</v>
      </c>
      <c r="Q4099">
        <v>24.18</v>
      </c>
      <c r="R4099">
        <v>24.18</v>
      </c>
      <c r="S4099">
        <v>2.4</v>
      </c>
      <c r="T4099">
        <v>0.75</v>
      </c>
      <c r="U4099">
        <v>22.03</v>
      </c>
      <c r="V4099">
        <v>78</v>
      </c>
      <c r="W4099">
        <v>24</v>
      </c>
      <c r="X4099">
        <v>7020</v>
      </c>
      <c r="Y4099">
        <v>5629</v>
      </c>
      <c r="Z4099">
        <v>1.25</v>
      </c>
      <c r="AA4099">
        <v>23</v>
      </c>
      <c r="AB4099">
        <v>5</v>
      </c>
      <c r="AC4099">
        <v>3.01</v>
      </c>
      <c r="AD4099" t="s">
        <v>9396</v>
      </c>
      <c r="AE4099" t="s">
        <v>11761</v>
      </c>
      <c r="AF4099" t="s">
        <v>14275</v>
      </c>
      <c r="AG4099" t="s">
        <v>19555</v>
      </c>
      <c r="AH4099">
        <v>-3.37</v>
      </c>
      <c r="AI4099">
        <v>-1.92</v>
      </c>
      <c r="AJ4099">
        <v>4.28</v>
      </c>
      <c r="AK4099">
        <v>9.18</v>
      </c>
      <c r="AL4099">
        <v>-3</v>
      </c>
      <c r="AM4099">
        <v>-0.5</v>
      </c>
      <c r="AN4099">
        <v>10.16</v>
      </c>
      <c r="AO4099">
        <v>-1.15</v>
      </c>
      <c r="AP4099">
        <v>6.79</v>
      </c>
    </row>
    <row r="4100" spans="1:42">
      <c r="A4100">
        <v>4099</v>
      </c>
      <c r="B4100" t="str">
        <f>"605081"</f>
        <v>605081</v>
      </c>
      <c r="C4100" t="s">
        <v>19556</v>
      </c>
      <c r="D4100">
        <v>14.33</v>
      </c>
      <c r="E4100">
        <v>0.56</v>
      </c>
      <c r="F4100">
        <v>0.08</v>
      </c>
      <c r="G4100" t="s">
        <v>7210</v>
      </c>
      <c r="H4100">
        <v>30</v>
      </c>
      <c r="I4100">
        <v>14.32</v>
      </c>
      <c r="J4100">
        <v>14.33</v>
      </c>
      <c r="K4100" t="s">
        <v>19557</v>
      </c>
      <c r="L4100">
        <v>2.48</v>
      </c>
      <c r="M4100" t="s">
        <v>46</v>
      </c>
      <c r="N4100" t="s">
        <v>9567</v>
      </c>
      <c r="O4100">
        <v>14.4</v>
      </c>
      <c r="P4100">
        <v>14.17</v>
      </c>
      <c r="Q4100">
        <v>14.3</v>
      </c>
      <c r="R4100">
        <v>14.25</v>
      </c>
      <c r="S4100">
        <v>1.61</v>
      </c>
      <c r="T4100">
        <v>1</v>
      </c>
      <c r="U4100">
        <v>-38.8</v>
      </c>
      <c r="V4100">
        <v>-227</v>
      </c>
      <c r="W4100">
        <v>14.31</v>
      </c>
      <c r="X4100">
        <v>9160</v>
      </c>
      <c r="Y4100" t="s">
        <v>1052</v>
      </c>
      <c r="Z4100">
        <v>0.76</v>
      </c>
      <c r="AA4100">
        <v>47</v>
      </c>
      <c r="AB4100">
        <v>133</v>
      </c>
      <c r="AC4100">
        <v>1.05</v>
      </c>
      <c r="AD4100" t="s">
        <v>10268</v>
      </c>
      <c r="AE4100" t="s">
        <v>1396</v>
      </c>
      <c r="AF4100" t="s">
        <v>19558</v>
      </c>
      <c r="AG4100" t="s">
        <v>5896</v>
      </c>
      <c r="AH4100">
        <v>0</v>
      </c>
      <c r="AI4100">
        <v>0</v>
      </c>
      <c r="AJ4100">
        <v>7.25</v>
      </c>
      <c r="AK4100">
        <v>14.95</v>
      </c>
      <c r="AL4100">
        <v>1</v>
      </c>
      <c r="AM4100">
        <v>0.56</v>
      </c>
      <c r="AN4100">
        <v>-10.04</v>
      </c>
      <c r="AO4100">
        <v>2.72</v>
      </c>
      <c r="AP4100">
        <v>-14.8</v>
      </c>
    </row>
    <row r="4101" spans="1:42">
      <c r="A4101">
        <v>4100</v>
      </c>
      <c r="B4101" t="str">
        <f>"300962"</f>
        <v>300962</v>
      </c>
      <c r="C4101" t="s">
        <v>19559</v>
      </c>
      <c r="D4101">
        <v>16.54</v>
      </c>
      <c r="E4101">
        <v>0.43</v>
      </c>
      <c r="F4101">
        <v>0.07</v>
      </c>
      <c r="G4101" t="s">
        <v>325</v>
      </c>
      <c r="H4101">
        <v>162</v>
      </c>
      <c r="I4101">
        <v>16.54</v>
      </c>
      <c r="J4101">
        <v>16.56</v>
      </c>
      <c r="K4101" t="s">
        <v>19560</v>
      </c>
      <c r="L4101">
        <v>1.51</v>
      </c>
      <c r="M4101" t="s">
        <v>46</v>
      </c>
      <c r="N4101" t="s">
        <v>4375</v>
      </c>
      <c r="O4101">
        <v>16.71</v>
      </c>
      <c r="P4101">
        <v>16.37</v>
      </c>
      <c r="Q4101">
        <v>16.45</v>
      </c>
      <c r="R4101">
        <v>16.47</v>
      </c>
      <c r="S4101">
        <v>2.06</v>
      </c>
      <c r="T4101">
        <v>1.49</v>
      </c>
      <c r="U4101">
        <v>70.5</v>
      </c>
      <c r="V4101">
        <v>325</v>
      </c>
      <c r="W4101">
        <v>16.58</v>
      </c>
      <c r="X4101">
        <v>8809</v>
      </c>
      <c r="Y4101">
        <v>9476</v>
      </c>
      <c r="Z4101">
        <v>0.93</v>
      </c>
      <c r="AA4101">
        <v>13</v>
      </c>
      <c r="AB4101">
        <v>1</v>
      </c>
      <c r="AC4101">
        <v>4.83</v>
      </c>
      <c r="AD4101" t="s">
        <v>10401</v>
      </c>
      <c r="AE4101" t="s">
        <v>19561</v>
      </c>
      <c r="AF4101" t="s">
        <v>13941</v>
      </c>
      <c r="AG4101" t="s">
        <v>3563</v>
      </c>
      <c r="AH4101">
        <v>-0.66</v>
      </c>
      <c r="AI4101">
        <v>-0.9</v>
      </c>
      <c r="AJ4101">
        <v>3.43</v>
      </c>
      <c r="AK4101">
        <v>6.58</v>
      </c>
      <c r="AL4101">
        <v>1</v>
      </c>
      <c r="AM4101">
        <v>0.43</v>
      </c>
      <c r="AN4101">
        <v>10.64</v>
      </c>
      <c r="AO4101">
        <v>0.36</v>
      </c>
      <c r="AP4101">
        <v>3.57</v>
      </c>
    </row>
    <row r="4102" spans="1:42">
      <c r="A4102">
        <v>4101</v>
      </c>
      <c r="B4102" t="str">
        <f>"600648"</f>
        <v>600648</v>
      </c>
      <c r="C4102" t="s">
        <v>19562</v>
      </c>
      <c r="D4102">
        <v>10.6</v>
      </c>
      <c r="E4102">
        <v>0.28</v>
      </c>
      <c r="F4102">
        <v>0.03</v>
      </c>
      <c r="G4102" t="s">
        <v>6581</v>
      </c>
      <c r="H4102">
        <v>1676</v>
      </c>
      <c r="I4102">
        <v>10.59</v>
      </c>
      <c r="J4102">
        <v>10.6</v>
      </c>
      <c r="K4102" t="s">
        <v>19563</v>
      </c>
      <c r="L4102">
        <v>0.31</v>
      </c>
      <c r="M4102" t="s">
        <v>46</v>
      </c>
      <c r="N4102" t="s">
        <v>15270</v>
      </c>
      <c r="O4102">
        <v>10.64</v>
      </c>
      <c r="P4102">
        <v>10.52</v>
      </c>
      <c r="Q4102">
        <v>10.54</v>
      </c>
      <c r="R4102">
        <v>10.57</v>
      </c>
      <c r="S4102">
        <v>1.14</v>
      </c>
      <c r="T4102">
        <v>1</v>
      </c>
      <c r="U4102">
        <v>6.65</v>
      </c>
      <c r="V4102">
        <v>132</v>
      </c>
      <c r="W4102">
        <v>10.56</v>
      </c>
      <c r="X4102" t="s">
        <v>5951</v>
      </c>
      <c r="Y4102" t="s">
        <v>1967</v>
      </c>
      <c r="Z4102">
        <v>1.17</v>
      </c>
      <c r="AA4102">
        <v>76</v>
      </c>
      <c r="AB4102">
        <v>147</v>
      </c>
      <c r="AC4102">
        <v>0.98</v>
      </c>
      <c r="AD4102" t="s">
        <v>7280</v>
      </c>
      <c r="AE4102" t="s">
        <v>14252</v>
      </c>
      <c r="AF4102" t="s">
        <v>19564</v>
      </c>
      <c r="AG4102" t="s">
        <v>19565</v>
      </c>
      <c r="AH4102">
        <v>-1.4</v>
      </c>
      <c r="AI4102">
        <v>-2.66</v>
      </c>
      <c r="AJ4102">
        <v>0.81</v>
      </c>
      <c r="AK4102">
        <v>1.84</v>
      </c>
      <c r="AL4102">
        <v>1</v>
      </c>
      <c r="AM4102">
        <v>0.28</v>
      </c>
      <c r="AN4102">
        <v>-8.78</v>
      </c>
      <c r="AO4102">
        <v>0.09</v>
      </c>
      <c r="AP4102">
        <v>-9.48</v>
      </c>
    </row>
    <row r="4103" spans="1:42">
      <c r="A4103">
        <v>4102</v>
      </c>
      <c r="B4103" t="str">
        <f>"301198"</f>
        <v>301198</v>
      </c>
      <c r="C4103" t="s">
        <v>19566</v>
      </c>
      <c r="D4103">
        <v>13.18</v>
      </c>
      <c r="E4103">
        <v>-0.98</v>
      </c>
      <c r="F4103">
        <v>-0.13</v>
      </c>
      <c r="G4103" t="s">
        <v>587</v>
      </c>
      <c r="H4103">
        <v>131</v>
      </c>
      <c r="I4103">
        <v>13.17</v>
      </c>
      <c r="J4103">
        <v>13.18</v>
      </c>
      <c r="K4103" t="s">
        <v>19567</v>
      </c>
      <c r="L4103">
        <v>2.94</v>
      </c>
      <c r="M4103" t="s">
        <v>46</v>
      </c>
      <c r="N4103" t="s">
        <v>4554</v>
      </c>
      <c r="O4103">
        <v>13.41</v>
      </c>
      <c r="P4103">
        <v>13.13</v>
      </c>
      <c r="Q4103">
        <v>13.35</v>
      </c>
      <c r="R4103">
        <v>13.31</v>
      </c>
      <c r="S4103">
        <v>2.1</v>
      </c>
      <c r="T4103">
        <v>1.33</v>
      </c>
      <c r="U4103">
        <v>-16.77</v>
      </c>
      <c r="V4103">
        <v>-168</v>
      </c>
      <c r="W4103">
        <v>13.22</v>
      </c>
      <c r="X4103" t="s">
        <v>4959</v>
      </c>
      <c r="Y4103" t="s">
        <v>189</v>
      </c>
      <c r="Z4103">
        <v>0.97</v>
      </c>
      <c r="AA4103">
        <v>15</v>
      </c>
      <c r="AB4103">
        <v>440</v>
      </c>
      <c r="AC4103">
        <v>2.33</v>
      </c>
      <c r="AD4103" t="s">
        <v>6378</v>
      </c>
      <c r="AE4103" t="s">
        <v>229</v>
      </c>
      <c r="AF4103" t="s">
        <v>12739</v>
      </c>
      <c r="AG4103" t="s">
        <v>6086</v>
      </c>
      <c r="AH4103">
        <v>-3.02</v>
      </c>
      <c r="AI4103">
        <v>-3.94</v>
      </c>
      <c r="AJ4103">
        <v>7.58</v>
      </c>
      <c r="AK4103">
        <v>14.03</v>
      </c>
      <c r="AL4103">
        <v>-3</v>
      </c>
      <c r="AM4103">
        <v>-0.98</v>
      </c>
      <c r="AN4103">
        <v>-28.72</v>
      </c>
      <c r="AO4103">
        <v>-0.6</v>
      </c>
      <c r="AP4103">
        <v>-13.4</v>
      </c>
    </row>
    <row r="4104" spans="1:42">
      <c r="A4104">
        <v>4103</v>
      </c>
      <c r="B4104" t="str">
        <f>"603299"</f>
        <v>603299</v>
      </c>
      <c r="C4104" t="s">
        <v>19568</v>
      </c>
      <c r="D4104">
        <v>8.77</v>
      </c>
      <c r="E4104">
        <v>0.46</v>
      </c>
      <c r="F4104">
        <v>0.04</v>
      </c>
      <c r="G4104" t="s">
        <v>837</v>
      </c>
      <c r="H4104">
        <v>319</v>
      </c>
      <c r="I4104">
        <v>8.77</v>
      </c>
      <c r="J4104">
        <v>8.78</v>
      </c>
      <c r="K4104" t="s">
        <v>19569</v>
      </c>
      <c r="L4104">
        <v>0.45</v>
      </c>
      <c r="M4104" t="s">
        <v>46</v>
      </c>
      <c r="N4104" t="s">
        <v>7337</v>
      </c>
      <c r="O4104">
        <v>8.79</v>
      </c>
      <c r="P4104">
        <v>8.7</v>
      </c>
      <c r="Q4104">
        <v>8.73</v>
      </c>
      <c r="R4104">
        <v>8.73</v>
      </c>
      <c r="S4104">
        <v>1.03</v>
      </c>
      <c r="T4104">
        <v>0.75</v>
      </c>
      <c r="U4104">
        <v>-26.56</v>
      </c>
      <c r="V4104">
        <v>-1207</v>
      </c>
      <c r="W4104">
        <v>8.75</v>
      </c>
      <c r="X4104" t="s">
        <v>8212</v>
      </c>
      <c r="Y4104" t="s">
        <v>2694</v>
      </c>
      <c r="Z4104">
        <v>0.82</v>
      </c>
      <c r="AA4104">
        <v>530</v>
      </c>
      <c r="AB4104">
        <v>477</v>
      </c>
      <c r="AC4104">
        <v>1.28</v>
      </c>
      <c r="AD4104" t="s">
        <v>19570</v>
      </c>
      <c r="AE4104" t="s">
        <v>19571</v>
      </c>
      <c r="AF4104" t="s">
        <v>19572</v>
      </c>
      <c r="AG4104" t="s">
        <v>19573</v>
      </c>
      <c r="AH4104">
        <v>-1.9</v>
      </c>
      <c r="AI4104">
        <v>-1.02</v>
      </c>
      <c r="AJ4104">
        <v>1.52</v>
      </c>
      <c r="AK4104">
        <v>3.45</v>
      </c>
      <c r="AL4104">
        <v>1</v>
      </c>
      <c r="AM4104">
        <v>0.46</v>
      </c>
      <c r="AN4104">
        <v>-8.74</v>
      </c>
      <c r="AO4104">
        <v>0.92</v>
      </c>
      <c r="AP4104">
        <v>-14.44</v>
      </c>
    </row>
    <row r="4105" spans="1:42">
      <c r="A4105">
        <v>4104</v>
      </c>
      <c r="B4105" t="str">
        <f>"605008"</f>
        <v>605008</v>
      </c>
      <c r="C4105" t="s">
        <v>19574</v>
      </c>
      <c r="D4105">
        <v>16.84</v>
      </c>
      <c r="E4105">
        <v>-0.36</v>
      </c>
      <c r="F4105">
        <v>-0.06</v>
      </c>
      <c r="G4105" t="s">
        <v>432</v>
      </c>
      <c r="H4105">
        <v>46</v>
      </c>
      <c r="I4105">
        <v>16.84</v>
      </c>
      <c r="J4105">
        <v>16.85</v>
      </c>
      <c r="K4105" t="s">
        <v>19569</v>
      </c>
      <c r="L4105">
        <v>0.28</v>
      </c>
      <c r="M4105" t="s">
        <v>46</v>
      </c>
      <c r="N4105" t="s">
        <v>261</v>
      </c>
      <c r="O4105">
        <v>16.99</v>
      </c>
      <c r="P4105">
        <v>16.74</v>
      </c>
      <c r="Q4105">
        <v>16.88</v>
      </c>
      <c r="R4105">
        <v>16.9</v>
      </c>
      <c r="S4105">
        <v>1.48</v>
      </c>
      <c r="T4105">
        <v>0.88</v>
      </c>
      <c r="U4105">
        <v>-24.02</v>
      </c>
      <c r="V4105">
        <v>-196</v>
      </c>
      <c r="W4105">
        <v>16.84</v>
      </c>
      <c r="X4105">
        <v>9840</v>
      </c>
      <c r="Y4105">
        <v>8137</v>
      </c>
      <c r="Z4105">
        <v>1.21</v>
      </c>
      <c r="AA4105">
        <v>249</v>
      </c>
      <c r="AB4105">
        <v>337</v>
      </c>
      <c r="AC4105">
        <v>5.15</v>
      </c>
      <c r="AD4105" t="s">
        <v>19575</v>
      </c>
      <c r="AE4105" t="s">
        <v>1739</v>
      </c>
      <c r="AF4105" t="s">
        <v>19575</v>
      </c>
      <c r="AG4105" t="s">
        <v>1739</v>
      </c>
      <c r="AH4105">
        <v>-2.6</v>
      </c>
      <c r="AI4105">
        <v>-0.71</v>
      </c>
      <c r="AJ4105">
        <v>0.77</v>
      </c>
      <c r="AK4105">
        <v>1.87</v>
      </c>
      <c r="AL4105">
        <v>-4</v>
      </c>
      <c r="AM4105">
        <v>-0.36</v>
      </c>
      <c r="AN4105">
        <v>3.25</v>
      </c>
      <c r="AO4105">
        <v>16.3</v>
      </c>
      <c r="AP4105">
        <v>-5.82</v>
      </c>
    </row>
    <row r="4106" spans="1:42">
      <c r="A4106">
        <v>4105</v>
      </c>
      <c r="B4106" t="str">
        <f>"688121"</f>
        <v>688121</v>
      </c>
      <c r="C4106" t="s">
        <v>19576</v>
      </c>
      <c r="D4106">
        <v>24.33</v>
      </c>
      <c r="E4106">
        <v>-0.12</v>
      </c>
      <c r="F4106">
        <v>-0.03</v>
      </c>
      <c r="G4106" t="s">
        <v>905</v>
      </c>
      <c r="H4106">
        <v>67</v>
      </c>
      <c r="I4106">
        <v>24.33</v>
      </c>
      <c r="J4106">
        <v>24.34</v>
      </c>
      <c r="K4106" t="s">
        <v>19577</v>
      </c>
      <c r="L4106">
        <v>0.88</v>
      </c>
      <c r="M4106" t="s">
        <v>46</v>
      </c>
      <c r="N4106" t="s">
        <v>823</v>
      </c>
      <c r="O4106">
        <v>24.51</v>
      </c>
      <c r="P4106">
        <v>24.07</v>
      </c>
      <c r="Q4106">
        <v>24.24</v>
      </c>
      <c r="R4106">
        <v>24.36</v>
      </c>
      <c r="S4106">
        <v>1.81</v>
      </c>
      <c r="T4106">
        <v>0.55</v>
      </c>
      <c r="U4106">
        <v>18.91</v>
      </c>
      <c r="V4106">
        <v>40</v>
      </c>
      <c r="W4106">
        <v>24.3</v>
      </c>
      <c r="X4106">
        <v>6414</v>
      </c>
      <c r="Y4106">
        <v>6029</v>
      </c>
      <c r="Z4106">
        <v>1.06</v>
      </c>
      <c r="AA4106">
        <v>39</v>
      </c>
      <c r="AB4106">
        <v>45</v>
      </c>
      <c r="AC4106">
        <v>2.41</v>
      </c>
      <c r="AD4106" t="s">
        <v>16469</v>
      </c>
      <c r="AE4106" t="s">
        <v>19578</v>
      </c>
      <c r="AF4106" t="s">
        <v>19579</v>
      </c>
      <c r="AG4106" t="s">
        <v>7534</v>
      </c>
      <c r="AH4106">
        <v>-2.84</v>
      </c>
      <c r="AI4106">
        <v>-4.63</v>
      </c>
      <c r="AJ4106">
        <v>3.1</v>
      </c>
      <c r="AK4106">
        <v>8.89</v>
      </c>
      <c r="AL4106">
        <v>-4</v>
      </c>
      <c r="AM4106">
        <v>-0.12</v>
      </c>
      <c r="AN4106">
        <v>0.58</v>
      </c>
      <c r="AO4106">
        <v>-0.82</v>
      </c>
      <c r="AP4106">
        <v>27.45</v>
      </c>
    </row>
    <row r="4107" spans="1:42">
      <c r="A4107">
        <v>4106</v>
      </c>
      <c r="B4107" t="str">
        <f>"688217"</f>
        <v>688217</v>
      </c>
      <c r="C4107" t="s">
        <v>19580</v>
      </c>
      <c r="D4107">
        <v>39.55</v>
      </c>
      <c r="E4107">
        <v>0.82</v>
      </c>
      <c r="F4107">
        <v>0.32</v>
      </c>
      <c r="G4107">
        <v>7642</v>
      </c>
      <c r="H4107">
        <v>157</v>
      </c>
      <c r="I4107">
        <v>39.52</v>
      </c>
      <c r="J4107">
        <v>39.55</v>
      </c>
      <c r="K4107" t="s">
        <v>19581</v>
      </c>
      <c r="L4107">
        <v>2.04</v>
      </c>
      <c r="M4107" t="s">
        <v>46</v>
      </c>
      <c r="N4107" t="s">
        <v>6946</v>
      </c>
      <c r="O4107">
        <v>40.12</v>
      </c>
      <c r="P4107">
        <v>39.03</v>
      </c>
      <c r="Q4107">
        <v>39.8</v>
      </c>
      <c r="R4107">
        <v>39.23</v>
      </c>
      <c r="S4107">
        <v>2.78</v>
      </c>
      <c r="T4107">
        <v>0.85</v>
      </c>
      <c r="U4107">
        <v>-26.29</v>
      </c>
      <c r="V4107">
        <v>-20</v>
      </c>
      <c r="W4107">
        <v>39.54</v>
      </c>
      <c r="X4107">
        <v>4344</v>
      </c>
      <c r="Y4107">
        <v>3298</v>
      </c>
      <c r="Z4107">
        <v>1.32</v>
      </c>
      <c r="AA4107">
        <v>5</v>
      </c>
      <c r="AB4107">
        <v>1</v>
      </c>
      <c r="AC4107">
        <v>2.31</v>
      </c>
      <c r="AD4107" t="s">
        <v>19582</v>
      </c>
      <c r="AE4107" t="s">
        <v>19583</v>
      </c>
      <c r="AF4107" t="s">
        <v>11430</v>
      </c>
      <c r="AG4107" t="s">
        <v>4982</v>
      </c>
      <c r="AH4107">
        <v>-0.05</v>
      </c>
      <c r="AI4107">
        <v>0.58</v>
      </c>
      <c r="AJ4107">
        <v>5.91</v>
      </c>
      <c r="AK4107">
        <v>14.05</v>
      </c>
      <c r="AL4107">
        <v>1</v>
      </c>
      <c r="AM4107">
        <v>0.82</v>
      </c>
      <c r="AN4107">
        <v>12.45</v>
      </c>
      <c r="AO4107">
        <v>4.02</v>
      </c>
      <c r="AP4107">
        <v>-5.99</v>
      </c>
    </row>
    <row r="4108" spans="1:42">
      <c r="A4108">
        <v>4107</v>
      </c>
      <c r="B4108" t="str">
        <f>"600261"</f>
        <v>600261</v>
      </c>
      <c r="C4108" t="s">
        <v>19584</v>
      </c>
      <c r="D4108">
        <v>3.6</v>
      </c>
      <c r="E4108">
        <v>-0.28</v>
      </c>
      <c r="F4108">
        <v>-0.01</v>
      </c>
      <c r="G4108" t="s">
        <v>7465</v>
      </c>
      <c r="H4108">
        <v>314</v>
      </c>
      <c r="I4108">
        <v>3.6</v>
      </c>
      <c r="J4108">
        <v>3.61</v>
      </c>
      <c r="K4108" t="s">
        <v>19585</v>
      </c>
      <c r="L4108">
        <v>0.61</v>
      </c>
      <c r="M4108" t="s">
        <v>46</v>
      </c>
      <c r="N4108" t="s">
        <v>19586</v>
      </c>
      <c r="O4108">
        <v>3.63</v>
      </c>
      <c r="P4108">
        <v>3.58</v>
      </c>
      <c r="Q4108">
        <v>3.6</v>
      </c>
      <c r="R4108">
        <v>3.61</v>
      </c>
      <c r="S4108">
        <v>1.39</v>
      </c>
      <c r="T4108">
        <v>1.04</v>
      </c>
      <c r="U4108">
        <v>-2.41</v>
      </c>
      <c r="V4108">
        <v>-348</v>
      </c>
      <c r="W4108">
        <v>3.6</v>
      </c>
      <c r="X4108" t="s">
        <v>6203</v>
      </c>
      <c r="Y4108" t="s">
        <v>4148</v>
      </c>
      <c r="Z4108">
        <v>1.35</v>
      </c>
      <c r="AA4108">
        <v>106</v>
      </c>
      <c r="AB4108">
        <v>147</v>
      </c>
      <c r="AC4108">
        <v>1.4</v>
      </c>
      <c r="AD4108" t="s">
        <v>13694</v>
      </c>
      <c r="AE4108" t="s">
        <v>4999</v>
      </c>
      <c r="AF4108" t="s">
        <v>13694</v>
      </c>
      <c r="AG4108" t="s">
        <v>4999</v>
      </c>
      <c r="AH4108">
        <v>-1.91</v>
      </c>
      <c r="AI4108">
        <v>-1.1</v>
      </c>
      <c r="AJ4108">
        <v>1.97</v>
      </c>
      <c r="AK4108">
        <v>3.54</v>
      </c>
      <c r="AL4108">
        <v>-3</v>
      </c>
      <c r="AM4108">
        <v>-0.28</v>
      </c>
      <c r="AN4108">
        <v>17.65</v>
      </c>
      <c r="AO4108">
        <v>1.41</v>
      </c>
      <c r="AP4108">
        <v>18.03</v>
      </c>
    </row>
    <row r="4109" spans="1:42">
      <c r="A4109">
        <v>4108</v>
      </c>
      <c r="B4109" t="str">
        <f>"301059"</f>
        <v>301059</v>
      </c>
      <c r="C4109" t="s">
        <v>19587</v>
      </c>
      <c r="D4109">
        <v>12.7</v>
      </c>
      <c r="E4109">
        <v>0.87</v>
      </c>
      <c r="F4109">
        <v>0.11</v>
      </c>
      <c r="G4109" t="s">
        <v>4017</v>
      </c>
      <c r="H4109">
        <v>225</v>
      </c>
      <c r="I4109">
        <v>12.7</v>
      </c>
      <c r="J4109">
        <v>12.71</v>
      </c>
      <c r="K4109" t="s">
        <v>19585</v>
      </c>
      <c r="L4109">
        <v>3.62</v>
      </c>
      <c r="M4109" t="s">
        <v>46</v>
      </c>
      <c r="N4109" t="s">
        <v>7033</v>
      </c>
      <c r="O4109">
        <v>12.73</v>
      </c>
      <c r="P4109">
        <v>12.45</v>
      </c>
      <c r="Q4109">
        <v>12.64</v>
      </c>
      <c r="R4109">
        <v>12.59</v>
      </c>
      <c r="S4109">
        <v>2.22</v>
      </c>
      <c r="T4109">
        <v>0.54</v>
      </c>
      <c r="U4109">
        <v>-12.48</v>
      </c>
      <c r="V4109">
        <v>-179</v>
      </c>
      <c r="W4109">
        <v>12.62</v>
      </c>
      <c r="X4109" t="s">
        <v>2284</v>
      </c>
      <c r="Y4109" t="s">
        <v>905</v>
      </c>
      <c r="Z4109">
        <v>0.93</v>
      </c>
      <c r="AA4109">
        <v>82</v>
      </c>
      <c r="AB4109">
        <v>11</v>
      </c>
      <c r="AC4109">
        <v>5.26</v>
      </c>
      <c r="AD4109" t="s">
        <v>19588</v>
      </c>
      <c r="AE4109" t="s">
        <v>19589</v>
      </c>
      <c r="AF4109" t="s">
        <v>13971</v>
      </c>
      <c r="AG4109" t="s">
        <v>19590</v>
      </c>
      <c r="AH4109">
        <v>-1.93</v>
      </c>
      <c r="AI4109">
        <v>-5.65</v>
      </c>
      <c r="AJ4109">
        <v>14.44</v>
      </c>
      <c r="AK4109">
        <v>37.12</v>
      </c>
      <c r="AL4109">
        <v>1</v>
      </c>
      <c r="AM4109">
        <v>0.87</v>
      </c>
      <c r="AN4109">
        <v>32.57</v>
      </c>
      <c r="AO4109">
        <v>6.28</v>
      </c>
      <c r="AP4109">
        <v>11.11</v>
      </c>
    </row>
    <row r="4110" spans="1:42">
      <c r="A4110">
        <v>4109</v>
      </c>
      <c r="B4110" t="str">
        <f>"002661"</f>
        <v>002661</v>
      </c>
      <c r="C4110" t="s">
        <v>19591</v>
      </c>
      <c r="D4110">
        <v>9.76</v>
      </c>
      <c r="E4110">
        <v>0.31</v>
      </c>
      <c r="F4110">
        <v>0.03</v>
      </c>
      <c r="G4110" t="s">
        <v>925</v>
      </c>
      <c r="H4110">
        <v>298</v>
      </c>
      <c r="I4110">
        <v>9.76</v>
      </c>
      <c r="J4110">
        <v>9.77</v>
      </c>
      <c r="K4110" t="s">
        <v>19585</v>
      </c>
      <c r="L4110">
        <v>0.94</v>
      </c>
      <c r="M4110" t="s">
        <v>46</v>
      </c>
      <c r="N4110" t="s">
        <v>12295</v>
      </c>
      <c r="O4110">
        <v>9.89</v>
      </c>
      <c r="P4110">
        <v>9.71</v>
      </c>
      <c r="Q4110">
        <v>9.73</v>
      </c>
      <c r="R4110">
        <v>9.73</v>
      </c>
      <c r="S4110">
        <v>1.85</v>
      </c>
      <c r="T4110">
        <v>1.3</v>
      </c>
      <c r="U4110">
        <v>5.16</v>
      </c>
      <c r="V4110">
        <v>85</v>
      </c>
      <c r="W4110">
        <v>9.81</v>
      </c>
      <c r="X4110" t="s">
        <v>1769</v>
      </c>
      <c r="Y4110" t="s">
        <v>4943</v>
      </c>
      <c r="Z4110">
        <v>0.89</v>
      </c>
      <c r="AA4110">
        <v>6</v>
      </c>
      <c r="AB4110">
        <v>100</v>
      </c>
      <c r="AC4110">
        <v>1.32</v>
      </c>
      <c r="AD4110" t="s">
        <v>19592</v>
      </c>
      <c r="AE4110" t="s">
        <v>11094</v>
      </c>
      <c r="AF4110" t="s">
        <v>17403</v>
      </c>
      <c r="AG4110" t="s">
        <v>9129</v>
      </c>
      <c r="AH4110">
        <v>-0.51</v>
      </c>
      <c r="AI4110">
        <v>0.93</v>
      </c>
      <c r="AJ4110">
        <v>2.37</v>
      </c>
      <c r="AK4110">
        <v>4.56</v>
      </c>
      <c r="AL4110">
        <v>2</v>
      </c>
      <c r="AM4110">
        <v>0.31</v>
      </c>
      <c r="AN4110">
        <v>-15.72</v>
      </c>
      <c r="AO4110">
        <v>2.52</v>
      </c>
      <c r="AP4110">
        <v>-17.91</v>
      </c>
    </row>
    <row r="4111" spans="1:42">
      <c r="A4111">
        <v>4110</v>
      </c>
      <c r="B4111" t="str">
        <f>"000655"</f>
        <v>000655</v>
      </c>
      <c r="C4111" t="s">
        <v>19593</v>
      </c>
      <c r="D4111">
        <v>7.26</v>
      </c>
      <c r="E4111">
        <v>0.41</v>
      </c>
      <c r="F4111">
        <v>0.03</v>
      </c>
      <c r="G4111" t="s">
        <v>5767</v>
      </c>
      <c r="H4111">
        <v>172</v>
      </c>
      <c r="I4111">
        <v>7.26</v>
      </c>
      <c r="J4111">
        <v>7.27</v>
      </c>
      <c r="K4111" t="s">
        <v>19594</v>
      </c>
      <c r="L4111">
        <v>0.7</v>
      </c>
      <c r="M4111" t="s">
        <v>46</v>
      </c>
      <c r="N4111" t="s">
        <v>522</v>
      </c>
      <c r="O4111">
        <v>7.33</v>
      </c>
      <c r="P4111">
        <v>7.21</v>
      </c>
      <c r="Q4111">
        <v>7.24</v>
      </c>
      <c r="R4111">
        <v>7.23</v>
      </c>
      <c r="S4111">
        <v>1.66</v>
      </c>
      <c r="T4111">
        <v>0.83</v>
      </c>
      <c r="U4111">
        <v>22.66</v>
      </c>
      <c r="V4111">
        <v>371</v>
      </c>
      <c r="W4111">
        <v>7.27</v>
      </c>
      <c r="X4111" t="s">
        <v>1072</v>
      </c>
      <c r="Y4111" t="s">
        <v>3611</v>
      </c>
      <c r="Z4111">
        <v>0.82</v>
      </c>
      <c r="AA4111">
        <v>193</v>
      </c>
      <c r="AB4111">
        <v>195</v>
      </c>
      <c r="AC4111">
        <v>1.35</v>
      </c>
      <c r="AD4111" t="s">
        <v>19595</v>
      </c>
      <c r="AE4111" t="s">
        <v>19596</v>
      </c>
      <c r="AF4111" t="s">
        <v>19595</v>
      </c>
      <c r="AG4111" t="s">
        <v>19596</v>
      </c>
      <c r="AH4111">
        <v>-1.09</v>
      </c>
      <c r="AI4111">
        <v>-1.89</v>
      </c>
      <c r="AJ4111">
        <v>2.18</v>
      </c>
      <c r="AK4111">
        <v>4.89</v>
      </c>
      <c r="AL4111">
        <v>1</v>
      </c>
      <c r="AM4111">
        <v>0.41</v>
      </c>
      <c r="AN4111">
        <v>10.5</v>
      </c>
      <c r="AO4111">
        <v>2.54</v>
      </c>
      <c r="AP4111">
        <v>7.08</v>
      </c>
    </row>
    <row r="4112" spans="1:42">
      <c r="A4112">
        <v>4111</v>
      </c>
      <c r="B4112" t="str">
        <f>"002107"</f>
        <v>002107</v>
      </c>
      <c r="C4112" t="s">
        <v>19597</v>
      </c>
      <c r="D4112">
        <v>6.69</v>
      </c>
      <c r="E4112">
        <v>-1.04</v>
      </c>
      <c r="F4112">
        <v>-0.07</v>
      </c>
      <c r="G4112" t="s">
        <v>3779</v>
      </c>
      <c r="H4112">
        <v>397</v>
      </c>
      <c r="I4112">
        <v>6.68</v>
      </c>
      <c r="J4112">
        <v>6.69</v>
      </c>
      <c r="K4112" t="s">
        <v>19598</v>
      </c>
      <c r="L4112">
        <v>0.79</v>
      </c>
      <c r="M4112" t="s">
        <v>46</v>
      </c>
      <c r="N4112" t="s">
        <v>8495</v>
      </c>
      <c r="O4112">
        <v>6.79</v>
      </c>
      <c r="P4112">
        <v>6.67</v>
      </c>
      <c r="Q4112">
        <v>6.75</v>
      </c>
      <c r="R4112">
        <v>6.76</v>
      </c>
      <c r="S4112">
        <v>1.78</v>
      </c>
      <c r="T4112">
        <v>0.63</v>
      </c>
      <c r="U4112">
        <v>-4.47</v>
      </c>
      <c r="V4112">
        <v>-182</v>
      </c>
      <c r="W4112">
        <v>6.71</v>
      </c>
      <c r="X4112" t="s">
        <v>4013</v>
      </c>
      <c r="Y4112" t="s">
        <v>4976</v>
      </c>
      <c r="Z4112">
        <v>1.23</v>
      </c>
      <c r="AA4112">
        <v>707</v>
      </c>
      <c r="AB4112">
        <v>273</v>
      </c>
      <c r="AC4112">
        <v>4.8</v>
      </c>
      <c r="AD4112" t="s">
        <v>18062</v>
      </c>
      <c r="AE4112" t="s">
        <v>13612</v>
      </c>
      <c r="AF4112" t="s">
        <v>19599</v>
      </c>
      <c r="AG4112" t="s">
        <v>5195</v>
      </c>
      <c r="AH4112">
        <v>-1.04</v>
      </c>
      <c r="AI4112">
        <v>-0.89</v>
      </c>
      <c r="AJ4112">
        <v>2.75</v>
      </c>
      <c r="AK4112">
        <v>7.06</v>
      </c>
      <c r="AL4112">
        <v>-1</v>
      </c>
      <c r="AM4112">
        <v>-1.04</v>
      </c>
      <c r="AN4112">
        <v>7.9</v>
      </c>
      <c r="AO4112">
        <v>4.21</v>
      </c>
      <c r="AP4112">
        <v>-6.56</v>
      </c>
    </row>
    <row r="4113" spans="1:42">
      <c r="A4113">
        <v>4112</v>
      </c>
      <c r="B4113" t="str">
        <f>"300816"</f>
        <v>300816</v>
      </c>
      <c r="C4113" t="s">
        <v>19600</v>
      </c>
      <c r="D4113">
        <v>25.83</v>
      </c>
      <c r="E4113">
        <v>-0.92</v>
      </c>
      <c r="F4113">
        <v>-0.24</v>
      </c>
      <c r="G4113" t="s">
        <v>189</v>
      </c>
      <c r="H4113">
        <v>102</v>
      </c>
      <c r="I4113">
        <v>25.83</v>
      </c>
      <c r="J4113">
        <v>25.84</v>
      </c>
      <c r="K4113" t="s">
        <v>19598</v>
      </c>
      <c r="L4113">
        <v>2.46</v>
      </c>
      <c r="M4113" t="s">
        <v>46</v>
      </c>
      <c r="N4113" t="s">
        <v>18653</v>
      </c>
      <c r="O4113">
        <v>26.16</v>
      </c>
      <c r="P4113">
        <v>25.51</v>
      </c>
      <c r="Q4113">
        <v>26.07</v>
      </c>
      <c r="R4113">
        <v>26.07</v>
      </c>
      <c r="S4113">
        <v>2.49</v>
      </c>
      <c r="T4113">
        <v>1.02</v>
      </c>
      <c r="U4113">
        <v>-6.25</v>
      </c>
      <c r="V4113">
        <v>-14</v>
      </c>
      <c r="W4113">
        <v>25.8</v>
      </c>
      <c r="X4113">
        <v>5583</v>
      </c>
      <c r="Y4113">
        <v>6097</v>
      </c>
      <c r="Z4113">
        <v>0.92</v>
      </c>
      <c r="AA4113">
        <v>28</v>
      </c>
      <c r="AB4113">
        <v>56</v>
      </c>
      <c r="AC4113">
        <v>2.54</v>
      </c>
      <c r="AD4113" t="s">
        <v>3612</v>
      </c>
      <c r="AE4113" t="s">
        <v>19601</v>
      </c>
      <c r="AF4113" t="s">
        <v>19602</v>
      </c>
      <c r="AG4113" t="s">
        <v>19603</v>
      </c>
      <c r="AH4113">
        <v>-3.48</v>
      </c>
      <c r="AI4113">
        <v>-3.76</v>
      </c>
      <c r="AJ4113">
        <v>7.6</v>
      </c>
      <c r="AK4113">
        <v>14.58</v>
      </c>
      <c r="AL4113">
        <v>-3</v>
      </c>
      <c r="AM4113">
        <v>-0.92</v>
      </c>
      <c r="AN4113">
        <v>5.86</v>
      </c>
      <c r="AO4113">
        <v>0.66</v>
      </c>
      <c r="AP4113">
        <v>-15.31</v>
      </c>
    </row>
    <row r="4114" spans="1:42">
      <c r="A4114">
        <v>4113</v>
      </c>
      <c r="B4114" t="str">
        <f>"834770"</f>
        <v>834770</v>
      </c>
      <c r="C4114" t="s">
        <v>19604</v>
      </c>
      <c r="D4114">
        <v>6.2</v>
      </c>
      <c r="E4114">
        <v>-4.62</v>
      </c>
      <c r="F4114">
        <v>-0.3</v>
      </c>
      <c r="G4114" t="s">
        <v>6257</v>
      </c>
      <c r="H4114">
        <v>273</v>
      </c>
      <c r="I4114">
        <v>6.2</v>
      </c>
      <c r="J4114">
        <v>6.21</v>
      </c>
      <c r="K4114" t="s">
        <v>19605</v>
      </c>
      <c r="L4114">
        <v>7.16</v>
      </c>
      <c r="M4114" t="s">
        <v>46</v>
      </c>
      <c r="N4114" t="s">
        <v>897</v>
      </c>
      <c r="O4114">
        <v>6.66</v>
      </c>
      <c r="P4114">
        <v>6.16</v>
      </c>
      <c r="Q4114">
        <v>6.55</v>
      </c>
      <c r="R4114">
        <v>6.5</v>
      </c>
      <c r="S4114">
        <v>7.69</v>
      </c>
      <c r="T4114">
        <v>0.42</v>
      </c>
      <c r="U4114">
        <v>56.33</v>
      </c>
      <c r="V4114">
        <v>1204</v>
      </c>
      <c r="W4114">
        <v>6.4</v>
      </c>
      <c r="X4114" t="s">
        <v>3032</v>
      </c>
      <c r="Y4114" t="s">
        <v>882</v>
      </c>
      <c r="Z4114">
        <v>1.46</v>
      </c>
      <c r="AA4114">
        <v>364</v>
      </c>
      <c r="AB4114">
        <v>3</v>
      </c>
      <c r="AC4114">
        <v>1.46</v>
      </c>
      <c r="AD4114" t="s">
        <v>17111</v>
      </c>
      <c r="AE4114" t="s">
        <v>19391</v>
      </c>
      <c r="AF4114" t="s">
        <v>19606</v>
      </c>
      <c r="AG4114" t="s">
        <v>19607</v>
      </c>
      <c r="AH4114">
        <v>-16.1</v>
      </c>
      <c r="AI4114">
        <v>3.85</v>
      </c>
      <c r="AJ4114">
        <v>27.87</v>
      </c>
      <c r="AK4114">
        <v>92.78</v>
      </c>
      <c r="AL4114">
        <v>-4</v>
      </c>
      <c r="AM4114">
        <v>-4.62</v>
      </c>
      <c r="AN4114">
        <v>19</v>
      </c>
      <c r="AO4114">
        <v>26.02</v>
      </c>
      <c r="AP4114">
        <v>19</v>
      </c>
    </row>
    <row r="4115" spans="1:42">
      <c r="A4115">
        <v>4114</v>
      </c>
      <c r="B4115" t="str">
        <f>"002752"</f>
        <v>002752</v>
      </c>
      <c r="C4115" t="s">
        <v>19608</v>
      </c>
      <c r="D4115">
        <v>5.44</v>
      </c>
      <c r="E4115">
        <v>0</v>
      </c>
      <c r="F4115">
        <v>0</v>
      </c>
      <c r="G4115" t="s">
        <v>1038</v>
      </c>
      <c r="H4115">
        <v>255</v>
      </c>
      <c r="I4115">
        <v>5.43</v>
      </c>
      <c r="J4115">
        <v>5.44</v>
      </c>
      <c r="K4115" t="s">
        <v>19609</v>
      </c>
      <c r="L4115">
        <v>0.57</v>
      </c>
      <c r="M4115" t="s">
        <v>46</v>
      </c>
      <c r="N4115" t="s">
        <v>16623</v>
      </c>
      <c r="O4115">
        <v>5.47</v>
      </c>
      <c r="P4115">
        <v>5.42</v>
      </c>
      <c r="Q4115">
        <v>5.47</v>
      </c>
      <c r="R4115">
        <v>5.44</v>
      </c>
      <c r="S4115">
        <v>0.92</v>
      </c>
      <c r="T4115">
        <v>0.85</v>
      </c>
      <c r="U4115">
        <v>26.51</v>
      </c>
      <c r="V4115">
        <v>2864</v>
      </c>
      <c r="W4115">
        <v>5.44</v>
      </c>
      <c r="X4115" t="s">
        <v>10810</v>
      </c>
      <c r="Y4115" t="s">
        <v>314</v>
      </c>
      <c r="Z4115">
        <v>1.36</v>
      </c>
      <c r="AA4115">
        <v>1119</v>
      </c>
      <c r="AB4115">
        <v>384</v>
      </c>
      <c r="AC4115">
        <v>1.76</v>
      </c>
      <c r="AD4115" t="s">
        <v>19610</v>
      </c>
      <c r="AE4115" t="s">
        <v>16016</v>
      </c>
      <c r="AF4115" t="s">
        <v>19611</v>
      </c>
      <c r="AG4115" t="s">
        <v>19612</v>
      </c>
      <c r="AH4115">
        <v>-0.73</v>
      </c>
      <c r="AI4115">
        <v>0</v>
      </c>
      <c r="AJ4115">
        <v>1.96</v>
      </c>
      <c r="AK4115">
        <v>3.9</v>
      </c>
      <c r="AL4115">
        <v>0</v>
      </c>
      <c r="AM4115">
        <v>0</v>
      </c>
      <c r="AN4115">
        <v>5.63</v>
      </c>
      <c r="AO4115">
        <v>3.62</v>
      </c>
      <c r="AP4115">
        <v>3.23</v>
      </c>
    </row>
    <row r="4116" spans="1:42">
      <c r="A4116">
        <v>4115</v>
      </c>
      <c r="B4116" t="str">
        <f>"688563"</f>
        <v>688563</v>
      </c>
      <c r="C4116" t="s">
        <v>19613</v>
      </c>
      <c r="D4116">
        <v>61.09</v>
      </c>
      <c r="E4116">
        <v>-0.84</v>
      </c>
      <c r="F4116">
        <v>-0.52</v>
      </c>
      <c r="G4116">
        <v>4938</v>
      </c>
      <c r="H4116">
        <v>55</v>
      </c>
      <c r="I4116">
        <v>61.08</v>
      </c>
      <c r="J4116">
        <v>61.09</v>
      </c>
      <c r="K4116" t="s">
        <v>3106</v>
      </c>
      <c r="L4116">
        <v>0.73</v>
      </c>
      <c r="M4116" t="s">
        <v>46</v>
      </c>
      <c r="N4116" t="s">
        <v>3039</v>
      </c>
      <c r="O4116">
        <v>61.6</v>
      </c>
      <c r="P4116">
        <v>60.62</v>
      </c>
      <c r="Q4116">
        <v>61.25</v>
      </c>
      <c r="R4116">
        <v>61.61</v>
      </c>
      <c r="S4116">
        <v>1.59</v>
      </c>
      <c r="T4116">
        <v>0.51</v>
      </c>
      <c r="U4116">
        <v>-11.63</v>
      </c>
      <c r="V4116">
        <v>-8</v>
      </c>
      <c r="W4116">
        <v>60.96</v>
      </c>
      <c r="X4116">
        <v>2886</v>
      </c>
      <c r="Y4116">
        <v>2051</v>
      </c>
      <c r="Z4116">
        <v>1.41</v>
      </c>
      <c r="AA4116">
        <v>10</v>
      </c>
      <c r="AB4116">
        <v>4</v>
      </c>
      <c r="AC4116">
        <v>2.76</v>
      </c>
      <c r="AD4116" t="s">
        <v>6350</v>
      </c>
      <c r="AE4116" t="s">
        <v>19614</v>
      </c>
      <c r="AF4116" t="s">
        <v>9716</v>
      </c>
      <c r="AG4116" t="s">
        <v>1151</v>
      </c>
      <c r="AH4116">
        <v>-1.36</v>
      </c>
      <c r="AI4116">
        <v>-4.92</v>
      </c>
      <c r="AJ4116">
        <v>3.63</v>
      </c>
      <c r="AK4116">
        <v>7.79</v>
      </c>
      <c r="AL4116">
        <v>-1</v>
      </c>
      <c r="AM4116">
        <v>-0.84</v>
      </c>
      <c r="AN4116">
        <v>-22.53</v>
      </c>
      <c r="AO4116">
        <v>-0.62</v>
      </c>
      <c r="AP4116">
        <v>-22.53</v>
      </c>
    </row>
    <row r="4117" spans="1:42">
      <c r="A4117">
        <v>4116</v>
      </c>
      <c r="B4117" t="str">
        <f>"301177"</f>
        <v>301177</v>
      </c>
      <c r="C4117" t="s">
        <v>19615</v>
      </c>
      <c r="D4117">
        <v>30.94</v>
      </c>
      <c r="E4117">
        <v>-0.77</v>
      </c>
      <c r="F4117">
        <v>-0.24</v>
      </c>
      <c r="G4117">
        <v>9750</v>
      </c>
      <c r="H4117">
        <v>286</v>
      </c>
      <c r="I4117">
        <v>30.94</v>
      </c>
      <c r="J4117">
        <v>30.96</v>
      </c>
      <c r="K4117" t="s">
        <v>19616</v>
      </c>
      <c r="L4117">
        <v>2.44</v>
      </c>
      <c r="M4117" t="s">
        <v>46</v>
      </c>
      <c r="N4117" t="s">
        <v>17402</v>
      </c>
      <c r="O4117">
        <v>31.28</v>
      </c>
      <c r="P4117">
        <v>30.59</v>
      </c>
      <c r="Q4117">
        <v>31.1</v>
      </c>
      <c r="R4117">
        <v>31.18</v>
      </c>
      <c r="S4117">
        <v>2.21</v>
      </c>
      <c r="T4117">
        <v>1.35</v>
      </c>
      <c r="U4117">
        <v>87.74</v>
      </c>
      <c r="V4117">
        <v>272</v>
      </c>
      <c r="W4117">
        <v>30.86</v>
      </c>
      <c r="X4117">
        <v>5355</v>
      </c>
      <c r="Y4117">
        <v>4396</v>
      </c>
      <c r="Z4117">
        <v>1.22</v>
      </c>
      <c r="AA4117">
        <v>82</v>
      </c>
      <c r="AB4117">
        <v>13</v>
      </c>
      <c r="AC4117">
        <v>1.91</v>
      </c>
      <c r="AD4117" t="s">
        <v>7381</v>
      </c>
      <c r="AE4117" t="s">
        <v>6168</v>
      </c>
      <c r="AF4117" t="s">
        <v>17686</v>
      </c>
      <c r="AG4117" t="s">
        <v>13354</v>
      </c>
      <c r="AH4117">
        <v>-2.67</v>
      </c>
      <c r="AI4117">
        <v>-3.73</v>
      </c>
      <c r="AJ4117">
        <v>5.84</v>
      </c>
      <c r="AK4117">
        <v>11.44</v>
      </c>
      <c r="AL4117">
        <v>-3</v>
      </c>
      <c r="AM4117">
        <v>-0.77</v>
      </c>
      <c r="AN4117">
        <v>-50.08</v>
      </c>
      <c r="AO4117">
        <v>-1.53</v>
      </c>
      <c r="AP4117">
        <v>-31.17</v>
      </c>
    </row>
    <row r="4118" spans="1:42">
      <c r="A4118">
        <v>4117</v>
      </c>
      <c r="B4118" t="str">
        <f>"002047"</f>
        <v>002047</v>
      </c>
      <c r="C4118" t="s">
        <v>19617</v>
      </c>
      <c r="D4118">
        <v>2.73</v>
      </c>
      <c r="E4118">
        <v>0.37</v>
      </c>
      <c r="F4118">
        <v>0.01</v>
      </c>
      <c r="G4118" t="s">
        <v>829</v>
      </c>
      <c r="H4118">
        <v>2334</v>
      </c>
      <c r="I4118">
        <v>2.72</v>
      </c>
      <c r="J4118">
        <v>2.73</v>
      </c>
      <c r="K4118" t="s">
        <v>19618</v>
      </c>
      <c r="L4118">
        <v>0.82</v>
      </c>
      <c r="M4118" t="s">
        <v>46</v>
      </c>
      <c r="N4118" t="s">
        <v>2966</v>
      </c>
      <c r="O4118">
        <v>2.75</v>
      </c>
      <c r="P4118">
        <v>2.69</v>
      </c>
      <c r="Q4118">
        <v>2.72</v>
      </c>
      <c r="R4118">
        <v>2.72</v>
      </c>
      <c r="S4118">
        <v>2.21</v>
      </c>
      <c r="T4118">
        <v>1.19</v>
      </c>
      <c r="U4118">
        <v>3.35</v>
      </c>
      <c r="V4118">
        <v>639</v>
      </c>
      <c r="W4118">
        <v>2.72</v>
      </c>
      <c r="X4118" t="s">
        <v>7340</v>
      </c>
      <c r="Y4118" t="s">
        <v>1577</v>
      </c>
      <c r="Z4118">
        <v>0.9</v>
      </c>
      <c r="AA4118">
        <v>2469</v>
      </c>
      <c r="AB4118">
        <v>863</v>
      </c>
      <c r="AC4118">
        <v>5.22</v>
      </c>
      <c r="AD4118" t="s">
        <v>2218</v>
      </c>
      <c r="AE4118" t="s">
        <v>7881</v>
      </c>
      <c r="AF4118" t="s">
        <v>8189</v>
      </c>
      <c r="AG4118" t="s">
        <v>19619</v>
      </c>
      <c r="AH4118">
        <v>-1.44</v>
      </c>
      <c r="AI4118">
        <v>-3.53</v>
      </c>
      <c r="AJ4118">
        <v>2.17</v>
      </c>
      <c r="AK4118">
        <v>4.28</v>
      </c>
      <c r="AL4118">
        <v>1</v>
      </c>
      <c r="AM4118">
        <v>0.37</v>
      </c>
      <c r="AN4118">
        <v>-30.36</v>
      </c>
      <c r="AO4118">
        <v>2.25</v>
      </c>
      <c r="AP4118">
        <v>-36.51</v>
      </c>
    </row>
    <row r="4119" spans="1:42">
      <c r="A4119">
        <v>4118</v>
      </c>
      <c r="B4119" t="str">
        <f>"688148"</f>
        <v>688148</v>
      </c>
      <c r="C4119" t="s">
        <v>19620</v>
      </c>
      <c r="D4119">
        <v>8.01</v>
      </c>
      <c r="E4119">
        <v>-0.62</v>
      </c>
      <c r="F4119">
        <v>-0.05</v>
      </c>
      <c r="G4119" t="s">
        <v>8156</v>
      </c>
      <c r="H4119">
        <v>735</v>
      </c>
      <c r="I4119">
        <v>8</v>
      </c>
      <c r="J4119">
        <v>8.01</v>
      </c>
      <c r="K4119" t="s">
        <v>19621</v>
      </c>
      <c r="L4119">
        <v>0.98</v>
      </c>
      <c r="M4119" t="s">
        <v>46</v>
      </c>
      <c r="N4119" t="s">
        <v>1511</v>
      </c>
      <c r="O4119">
        <v>8.08</v>
      </c>
      <c r="P4119">
        <v>7.89</v>
      </c>
      <c r="Q4119">
        <v>8.05</v>
      </c>
      <c r="R4119">
        <v>8.06</v>
      </c>
      <c r="S4119">
        <v>2.36</v>
      </c>
      <c r="T4119">
        <v>1.14</v>
      </c>
      <c r="U4119">
        <v>-27.07</v>
      </c>
      <c r="V4119">
        <v>-580</v>
      </c>
      <c r="W4119">
        <v>7.96</v>
      </c>
      <c r="X4119" t="s">
        <v>9024</v>
      </c>
      <c r="Y4119" t="s">
        <v>2397</v>
      </c>
      <c r="Z4119">
        <v>1.21</v>
      </c>
      <c r="AA4119">
        <v>71</v>
      </c>
      <c r="AB4119">
        <v>165</v>
      </c>
      <c r="AC4119">
        <v>3.21</v>
      </c>
      <c r="AD4119" t="s">
        <v>19622</v>
      </c>
      <c r="AE4119" t="s">
        <v>19623</v>
      </c>
      <c r="AF4119" t="s">
        <v>9351</v>
      </c>
      <c r="AG4119" t="s">
        <v>5165</v>
      </c>
      <c r="AH4119">
        <v>-6.1</v>
      </c>
      <c r="AI4119">
        <v>-7.29</v>
      </c>
      <c r="AJ4119">
        <v>2.88</v>
      </c>
      <c r="AK4119">
        <v>5.25</v>
      </c>
      <c r="AL4119">
        <v>-3</v>
      </c>
      <c r="AM4119">
        <v>-0.62</v>
      </c>
      <c r="AN4119">
        <v>-45.1</v>
      </c>
      <c r="AO4119">
        <v>-5.43</v>
      </c>
      <c r="AP4119">
        <v>-52.21</v>
      </c>
    </row>
    <row r="4120" spans="1:42">
      <c r="A4120">
        <v>4119</v>
      </c>
      <c r="B4120" t="str">
        <f>"002084"</f>
        <v>002084</v>
      </c>
      <c r="C4120" t="s">
        <v>19624</v>
      </c>
      <c r="D4120">
        <v>4.12</v>
      </c>
      <c r="E4120">
        <v>0.98</v>
      </c>
      <c r="F4120">
        <v>0.04</v>
      </c>
      <c r="G4120" t="s">
        <v>3618</v>
      </c>
      <c r="H4120">
        <v>1005</v>
      </c>
      <c r="I4120">
        <v>4.11</v>
      </c>
      <c r="J4120">
        <v>4.12</v>
      </c>
      <c r="K4120" t="s">
        <v>19625</v>
      </c>
      <c r="L4120">
        <v>1.13</v>
      </c>
      <c r="M4120" t="s">
        <v>46</v>
      </c>
      <c r="N4120" t="s">
        <v>220</v>
      </c>
      <c r="O4120">
        <v>4.13</v>
      </c>
      <c r="P4120">
        <v>4.06</v>
      </c>
      <c r="Q4120">
        <v>4.07</v>
      </c>
      <c r="R4120">
        <v>4.08</v>
      </c>
      <c r="S4120">
        <v>1.72</v>
      </c>
      <c r="T4120">
        <v>1.11</v>
      </c>
      <c r="U4120">
        <v>40.82</v>
      </c>
      <c r="V4120">
        <v>3865</v>
      </c>
      <c r="W4120">
        <v>4.1</v>
      </c>
      <c r="X4120" t="s">
        <v>688</v>
      </c>
      <c r="Y4120" t="s">
        <v>7735</v>
      </c>
      <c r="Z4120">
        <v>0.56</v>
      </c>
      <c r="AA4120">
        <v>73</v>
      </c>
      <c r="AB4120">
        <v>545</v>
      </c>
      <c r="AC4120">
        <v>1.43</v>
      </c>
      <c r="AD4120" t="s">
        <v>19626</v>
      </c>
      <c r="AE4120" t="s">
        <v>7359</v>
      </c>
      <c r="AF4120" t="s">
        <v>7146</v>
      </c>
      <c r="AG4120" t="s">
        <v>19627</v>
      </c>
      <c r="AH4120">
        <v>0.24</v>
      </c>
      <c r="AI4120">
        <v>-0.96</v>
      </c>
      <c r="AJ4120">
        <v>2.96</v>
      </c>
      <c r="AK4120">
        <v>6.21</v>
      </c>
      <c r="AL4120">
        <v>1</v>
      </c>
      <c r="AM4120">
        <v>0.98</v>
      </c>
      <c r="AN4120">
        <v>-7.21</v>
      </c>
      <c r="AO4120">
        <v>3.26</v>
      </c>
      <c r="AP4120">
        <v>-8.04</v>
      </c>
    </row>
    <row r="4121" spans="1:42">
      <c r="A4121">
        <v>4120</v>
      </c>
      <c r="B4121" t="str">
        <f>"838030"</f>
        <v>838030</v>
      </c>
      <c r="C4121" t="s">
        <v>19628</v>
      </c>
      <c r="D4121">
        <v>3.57</v>
      </c>
      <c r="E4121">
        <v>-5.56</v>
      </c>
      <c r="F4121">
        <v>-0.21</v>
      </c>
      <c r="G4121" t="s">
        <v>6891</v>
      </c>
      <c r="H4121">
        <v>1084</v>
      </c>
      <c r="I4121">
        <v>3.57</v>
      </c>
      <c r="J4121">
        <v>3.58</v>
      </c>
      <c r="K4121" t="s">
        <v>19629</v>
      </c>
      <c r="L4121">
        <v>8.47</v>
      </c>
      <c r="M4121" t="s">
        <v>46</v>
      </c>
      <c r="N4121" t="s">
        <v>2027</v>
      </c>
      <c r="O4121">
        <v>3.91</v>
      </c>
      <c r="P4121">
        <v>3.53</v>
      </c>
      <c r="Q4121">
        <v>3.78</v>
      </c>
      <c r="R4121">
        <v>3.78</v>
      </c>
      <c r="S4121">
        <v>10.05</v>
      </c>
      <c r="T4121">
        <v>0.4</v>
      </c>
      <c r="U4121">
        <v>45.99</v>
      </c>
      <c r="V4121">
        <v>1291</v>
      </c>
      <c r="W4121">
        <v>3.71</v>
      </c>
      <c r="X4121" t="s">
        <v>4988</v>
      </c>
      <c r="Y4121" t="s">
        <v>8255</v>
      </c>
      <c r="Z4121">
        <v>1.49</v>
      </c>
      <c r="AA4121">
        <v>277</v>
      </c>
      <c r="AB4121">
        <v>20</v>
      </c>
      <c r="AC4121">
        <v>1.31</v>
      </c>
      <c r="AD4121" t="s">
        <v>19630</v>
      </c>
      <c r="AE4121" t="s">
        <v>19631</v>
      </c>
      <c r="AF4121" t="s">
        <v>19632</v>
      </c>
      <c r="AG4121" t="s">
        <v>19633</v>
      </c>
      <c r="AH4121">
        <v>-22.89</v>
      </c>
      <c r="AI4121">
        <v>-15.4</v>
      </c>
      <c r="AJ4121">
        <v>35.76</v>
      </c>
      <c r="AK4121">
        <v>113.49</v>
      </c>
      <c r="AL4121">
        <v>-4</v>
      </c>
      <c r="AM4121">
        <v>-5.56</v>
      </c>
      <c r="AN4121">
        <v>15.53</v>
      </c>
      <c r="AO4121">
        <v>45.12</v>
      </c>
      <c r="AP4121">
        <v>8.51</v>
      </c>
    </row>
    <row r="4122" spans="1:42">
      <c r="A4122">
        <v>4121</v>
      </c>
      <c r="B4122" t="str">
        <f>"835640"</f>
        <v>835640</v>
      </c>
      <c r="C4122" t="s">
        <v>19634</v>
      </c>
      <c r="D4122">
        <v>16.72</v>
      </c>
      <c r="E4122">
        <v>-2.39</v>
      </c>
      <c r="F4122">
        <v>-0.41</v>
      </c>
      <c r="G4122" t="s">
        <v>60</v>
      </c>
      <c r="H4122">
        <v>208</v>
      </c>
      <c r="I4122">
        <v>16.71</v>
      </c>
      <c r="J4122">
        <v>16.72</v>
      </c>
      <c r="K4122" t="s">
        <v>19635</v>
      </c>
      <c r="L4122">
        <v>1.02</v>
      </c>
      <c r="M4122" t="s">
        <v>46</v>
      </c>
      <c r="N4122" t="s">
        <v>19636</v>
      </c>
      <c r="O4122">
        <v>17.49</v>
      </c>
      <c r="P4122">
        <v>16.5</v>
      </c>
      <c r="Q4122">
        <v>17.14</v>
      </c>
      <c r="R4122">
        <v>17.13</v>
      </c>
      <c r="S4122">
        <v>5.78</v>
      </c>
      <c r="T4122">
        <v>0.31</v>
      </c>
      <c r="U4122">
        <v>-4.7</v>
      </c>
      <c r="V4122">
        <v>-15</v>
      </c>
      <c r="W4122">
        <v>16.8</v>
      </c>
      <c r="X4122" t="s">
        <v>4443</v>
      </c>
      <c r="Y4122">
        <v>6825</v>
      </c>
      <c r="Z4122">
        <v>1.61</v>
      </c>
      <c r="AA4122">
        <v>46</v>
      </c>
      <c r="AB4122">
        <v>14</v>
      </c>
      <c r="AC4122">
        <v>3.79</v>
      </c>
      <c r="AD4122" t="s">
        <v>15557</v>
      </c>
      <c r="AE4122" t="s">
        <v>3979</v>
      </c>
      <c r="AF4122" t="s">
        <v>12049</v>
      </c>
      <c r="AG4122" t="s">
        <v>15021</v>
      </c>
      <c r="AH4122">
        <v>-12.6</v>
      </c>
      <c r="AI4122">
        <v>-2.79</v>
      </c>
      <c r="AJ4122">
        <v>5.05</v>
      </c>
      <c r="AK4122">
        <v>17.44</v>
      </c>
      <c r="AL4122">
        <v>-4</v>
      </c>
      <c r="AM4122">
        <v>-2.39</v>
      </c>
      <c r="AN4122">
        <v>5.69</v>
      </c>
      <c r="AO4122">
        <v>22.22</v>
      </c>
      <c r="AP4122">
        <v>3.4</v>
      </c>
    </row>
    <row r="4123" spans="1:42">
      <c r="A4123">
        <v>4122</v>
      </c>
      <c r="B4123" t="str">
        <f>"300831"</f>
        <v>300831</v>
      </c>
      <c r="C4123" t="s">
        <v>19637</v>
      </c>
      <c r="D4123">
        <v>12.91</v>
      </c>
      <c r="E4123">
        <v>1.18</v>
      </c>
      <c r="F4123">
        <v>0.15</v>
      </c>
      <c r="G4123" t="s">
        <v>314</v>
      </c>
      <c r="H4123">
        <v>672</v>
      </c>
      <c r="I4123">
        <v>12.89</v>
      </c>
      <c r="J4123">
        <v>12.91</v>
      </c>
      <c r="K4123" t="s">
        <v>19638</v>
      </c>
      <c r="L4123">
        <v>1.27</v>
      </c>
      <c r="M4123" t="s">
        <v>46</v>
      </c>
      <c r="N4123" t="s">
        <v>13485</v>
      </c>
      <c r="O4123">
        <v>12.94</v>
      </c>
      <c r="P4123">
        <v>12.69</v>
      </c>
      <c r="Q4123">
        <v>12.87</v>
      </c>
      <c r="R4123">
        <v>12.76</v>
      </c>
      <c r="S4123">
        <v>1.96</v>
      </c>
      <c r="T4123">
        <v>0.68</v>
      </c>
      <c r="U4123">
        <v>-7.2</v>
      </c>
      <c r="V4123">
        <v>-97</v>
      </c>
      <c r="W4123">
        <v>12.82</v>
      </c>
      <c r="X4123" t="s">
        <v>8636</v>
      </c>
      <c r="Y4123" t="s">
        <v>2667</v>
      </c>
      <c r="Z4123">
        <v>1.05</v>
      </c>
      <c r="AA4123">
        <v>115</v>
      </c>
      <c r="AB4123">
        <v>19</v>
      </c>
      <c r="AC4123">
        <v>4.89</v>
      </c>
      <c r="AD4123" t="s">
        <v>10577</v>
      </c>
      <c r="AE4123" t="s">
        <v>19639</v>
      </c>
      <c r="AF4123" t="s">
        <v>5605</v>
      </c>
      <c r="AG4123" t="s">
        <v>19640</v>
      </c>
      <c r="AH4123">
        <v>0.08</v>
      </c>
      <c r="AI4123">
        <v>1.1</v>
      </c>
      <c r="AJ4123">
        <v>5.39</v>
      </c>
      <c r="AK4123">
        <v>10.61</v>
      </c>
      <c r="AL4123">
        <v>1</v>
      </c>
      <c r="AM4123">
        <v>1.18</v>
      </c>
      <c r="AN4123">
        <v>-1</v>
      </c>
      <c r="AO4123">
        <v>5.47</v>
      </c>
      <c r="AP4123">
        <v>-18.6</v>
      </c>
    </row>
    <row r="4124" spans="1:42">
      <c r="A4124">
        <v>4123</v>
      </c>
      <c r="B4124" t="str">
        <f>"300632"</f>
        <v>300632</v>
      </c>
      <c r="C4124" t="s">
        <v>19641</v>
      </c>
      <c r="D4124">
        <v>12.55</v>
      </c>
      <c r="E4124">
        <v>0.48</v>
      </c>
      <c r="F4124">
        <v>0.06</v>
      </c>
      <c r="G4124" t="s">
        <v>299</v>
      </c>
      <c r="H4124">
        <v>263</v>
      </c>
      <c r="I4124">
        <v>12.53</v>
      </c>
      <c r="J4124">
        <v>12.55</v>
      </c>
      <c r="K4124" t="s">
        <v>19638</v>
      </c>
      <c r="L4124">
        <v>1.12</v>
      </c>
      <c r="M4124" t="s">
        <v>46</v>
      </c>
      <c r="N4124" t="s">
        <v>1821</v>
      </c>
      <c r="O4124">
        <v>12.58</v>
      </c>
      <c r="P4124">
        <v>12.4</v>
      </c>
      <c r="Q4124">
        <v>12.52</v>
      </c>
      <c r="R4124">
        <v>12.49</v>
      </c>
      <c r="S4124">
        <v>1.44</v>
      </c>
      <c r="T4124">
        <v>0.68</v>
      </c>
      <c r="U4124">
        <v>-48.19</v>
      </c>
      <c r="V4124">
        <v>-320</v>
      </c>
      <c r="W4124">
        <v>12.49</v>
      </c>
      <c r="X4124" t="s">
        <v>1254</v>
      </c>
      <c r="Y4124" t="s">
        <v>189</v>
      </c>
      <c r="Z4124">
        <v>1.04</v>
      </c>
      <c r="AA4124">
        <v>2</v>
      </c>
      <c r="AB4124">
        <v>211</v>
      </c>
      <c r="AC4124">
        <v>1.97</v>
      </c>
      <c r="AD4124" t="s">
        <v>7313</v>
      </c>
      <c r="AE4124" t="s">
        <v>15746</v>
      </c>
      <c r="AF4124" t="s">
        <v>19642</v>
      </c>
      <c r="AG4124" t="s">
        <v>6790</v>
      </c>
      <c r="AH4124">
        <v>-1.57</v>
      </c>
      <c r="AI4124">
        <v>0</v>
      </c>
      <c r="AJ4124">
        <v>4.15</v>
      </c>
      <c r="AK4124">
        <v>9.38</v>
      </c>
      <c r="AL4124">
        <v>1</v>
      </c>
      <c r="AM4124">
        <v>0.48</v>
      </c>
      <c r="AN4124">
        <v>3.8</v>
      </c>
      <c r="AO4124">
        <v>1.62</v>
      </c>
      <c r="AP4124">
        <v>0.64</v>
      </c>
    </row>
    <row r="4125" spans="1:42">
      <c r="A4125">
        <v>4124</v>
      </c>
      <c r="B4125" t="str">
        <f>"002492"</f>
        <v>002492</v>
      </c>
      <c r="C4125" t="s">
        <v>19643</v>
      </c>
      <c r="D4125">
        <v>6.21</v>
      </c>
      <c r="E4125">
        <v>0.32</v>
      </c>
      <c r="F4125">
        <v>0.02</v>
      </c>
      <c r="G4125" t="s">
        <v>6203</v>
      </c>
      <c r="H4125">
        <v>686</v>
      </c>
      <c r="I4125">
        <v>6.2</v>
      </c>
      <c r="J4125">
        <v>6.21</v>
      </c>
      <c r="K4125" t="s">
        <v>19644</v>
      </c>
      <c r="L4125">
        <v>1.21</v>
      </c>
      <c r="M4125" t="s">
        <v>46</v>
      </c>
      <c r="N4125" t="s">
        <v>4887</v>
      </c>
      <c r="O4125">
        <v>6.25</v>
      </c>
      <c r="P4125">
        <v>6.18</v>
      </c>
      <c r="Q4125">
        <v>6.22</v>
      </c>
      <c r="R4125">
        <v>6.19</v>
      </c>
      <c r="S4125">
        <v>1.13</v>
      </c>
      <c r="T4125">
        <v>1</v>
      </c>
      <c r="U4125">
        <v>-62.12</v>
      </c>
      <c r="V4125">
        <v>-2972</v>
      </c>
      <c r="W4125">
        <v>6.22</v>
      </c>
      <c r="X4125" t="s">
        <v>3611</v>
      </c>
      <c r="Y4125" t="s">
        <v>9251</v>
      </c>
      <c r="Z4125">
        <v>0.9</v>
      </c>
      <c r="AA4125">
        <v>150</v>
      </c>
      <c r="AB4125">
        <v>98</v>
      </c>
      <c r="AC4125">
        <v>1.52</v>
      </c>
      <c r="AD4125" t="s">
        <v>19645</v>
      </c>
      <c r="AE4125" t="s">
        <v>6472</v>
      </c>
      <c r="AF4125" t="s">
        <v>19646</v>
      </c>
      <c r="AG4125" t="s">
        <v>19647</v>
      </c>
      <c r="AH4125">
        <v>-0.16</v>
      </c>
      <c r="AI4125">
        <v>0.16</v>
      </c>
      <c r="AJ4125">
        <v>3.82</v>
      </c>
      <c r="AK4125">
        <v>7.28</v>
      </c>
      <c r="AL4125">
        <v>1</v>
      </c>
      <c r="AM4125">
        <v>0.32</v>
      </c>
      <c r="AN4125">
        <v>1.14</v>
      </c>
      <c r="AO4125">
        <v>4.72</v>
      </c>
      <c r="AP4125">
        <v>3.16</v>
      </c>
    </row>
    <row r="4126" spans="1:42">
      <c r="A4126">
        <v>4125</v>
      </c>
      <c r="B4126" t="str">
        <f>"300021"</f>
        <v>300021</v>
      </c>
      <c r="C4126" t="s">
        <v>19648</v>
      </c>
      <c r="D4126">
        <v>4.94</v>
      </c>
      <c r="E4126">
        <v>0.2</v>
      </c>
      <c r="F4126">
        <v>0.01</v>
      </c>
      <c r="G4126" t="s">
        <v>11085</v>
      </c>
      <c r="H4126">
        <v>595</v>
      </c>
      <c r="I4126">
        <v>4.94</v>
      </c>
      <c r="J4126">
        <v>4.95</v>
      </c>
      <c r="K4126" t="s">
        <v>19644</v>
      </c>
      <c r="L4126">
        <v>0.86</v>
      </c>
      <c r="M4126" t="s">
        <v>46</v>
      </c>
      <c r="N4126" t="s">
        <v>4278</v>
      </c>
      <c r="O4126">
        <v>4.97</v>
      </c>
      <c r="P4126">
        <v>4.92</v>
      </c>
      <c r="Q4126">
        <v>4.93</v>
      </c>
      <c r="R4126">
        <v>4.93</v>
      </c>
      <c r="S4126">
        <v>1.01</v>
      </c>
      <c r="T4126">
        <v>0.7</v>
      </c>
      <c r="U4126">
        <v>-17.82</v>
      </c>
      <c r="V4126">
        <v>-2220</v>
      </c>
      <c r="W4126">
        <v>4.94</v>
      </c>
      <c r="X4126" t="s">
        <v>8622</v>
      </c>
      <c r="Y4126" t="s">
        <v>5266</v>
      </c>
      <c r="Z4126">
        <v>0.95</v>
      </c>
      <c r="AA4126">
        <v>1099</v>
      </c>
      <c r="AB4126">
        <v>588</v>
      </c>
      <c r="AC4126">
        <v>2.33</v>
      </c>
      <c r="AD4126" t="s">
        <v>19649</v>
      </c>
      <c r="AE4126" t="s">
        <v>19650</v>
      </c>
      <c r="AF4126" t="s">
        <v>19651</v>
      </c>
      <c r="AG4126" t="s">
        <v>4731</v>
      </c>
      <c r="AH4126">
        <v>-1.2</v>
      </c>
      <c r="AI4126">
        <v>-0.2</v>
      </c>
      <c r="AJ4126">
        <v>3.03</v>
      </c>
      <c r="AK4126">
        <v>7</v>
      </c>
      <c r="AL4126">
        <v>1</v>
      </c>
      <c r="AM4126">
        <v>0.2</v>
      </c>
      <c r="AN4126">
        <v>13.04</v>
      </c>
      <c r="AO4126">
        <v>2.07</v>
      </c>
      <c r="AP4126">
        <v>6.24</v>
      </c>
    </row>
    <row r="4127" spans="1:42">
      <c r="A4127">
        <v>4126</v>
      </c>
      <c r="B4127" t="str">
        <f>"603718"</f>
        <v>603718</v>
      </c>
      <c r="C4127" t="s">
        <v>19652</v>
      </c>
      <c r="D4127">
        <v>11.25</v>
      </c>
      <c r="E4127">
        <v>-0.53</v>
      </c>
      <c r="F4127">
        <v>-0.06</v>
      </c>
      <c r="G4127" t="s">
        <v>5746</v>
      </c>
      <c r="H4127">
        <v>444</v>
      </c>
      <c r="I4127">
        <v>11.24</v>
      </c>
      <c r="J4127">
        <v>11.25</v>
      </c>
      <c r="K4127" t="s">
        <v>19644</v>
      </c>
      <c r="L4127">
        <v>0.41</v>
      </c>
      <c r="M4127" t="s">
        <v>46</v>
      </c>
      <c r="N4127" t="s">
        <v>7033</v>
      </c>
      <c r="O4127">
        <v>11.38</v>
      </c>
      <c r="P4127">
        <v>11.23</v>
      </c>
      <c r="Q4127">
        <v>11.3</v>
      </c>
      <c r="R4127">
        <v>11.31</v>
      </c>
      <c r="S4127">
        <v>1.33</v>
      </c>
      <c r="T4127">
        <v>0.75</v>
      </c>
      <c r="U4127">
        <v>27</v>
      </c>
      <c r="V4127">
        <v>563</v>
      </c>
      <c r="W4127">
        <v>11.28</v>
      </c>
      <c r="X4127" t="s">
        <v>4105</v>
      </c>
      <c r="Y4127" t="s">
        <v>4792</v>
      </c>
      <c r="Z4127">
        <v>1.16</v>
      </c>
      <c r="AA4127">
        <v>236</v>
      </c>
      <c r="AB4127">
        <v>154</v>
      </c>
      <c r="AC4127">
        <v>5.92</v>
      </c>
      <c r="AD4127" t="s">
        <v>19653</v>
      </c>
      <c r="AE4127" t="s">
        <v>19654</v>
      </c>
      <c r="AF4127" t="s">
        <v>7581</v>
      </c>
      <c r="AG4127" t="s">
        <v>16264</v>
      </c>
      <c r="AH4127">
        <v>-1.75</v>
      </c>
      <c r="AI4127">
        <v>-2.26</v>
      </c>
      <c r="AJ4127">
        <v>1.48</v>
      </c>
      <c r="AK4127">
        <v>3.18</v>
      </c>
      <c r="AL4127">
        <v>-3</v>
      </c>
      <c r="AM4127">
        <v>-0.53</v>
      </c>
      <c r="AN4127">
        <v>15.27</v>
      </c>
      <c r="AO4127">
        <v>-0.97</v>
      </c>
      <c r="AP4127">
        <v>7.76</v>
      </c>
    </row>
    <row r="4128" spans="1:42">
      <c r="A4128">
        <v>4127</v>
      </c>
      <c r="B4128" t="str">
        <f>"002037"</f>
        <v>002037</v>
      </c>
      <c r="C4128" t="s">
        <v>19655</v>
      </c>
      <c r="D4128">
        <v>8.48</v>
      </c>
      <c r="E4128">
        <v>0.24</v>
      </c>
      <c r="F4128">
        <v>0.02</v>
      </c>
      <c r="G4128" t="s">
        <v>7531</v>
      </c>
      <c r="H4128">
        <v>457</v>
      </c>
      <c r="I4128">
        <v>8.48</v>
      </c>
      <c r="J4128">
        <v>8.49</v>
      </c>
      <c r="K4128" t="s">
        <v>19656</v>
      </c>
      <c r="L4128">
        <v>0.73</v>
      </c>
      <c r="M4128" t="s">
        <v>46</v>
      </c>
      <c r="N4128" t="s">
        <v>19657</v>
      </c>
      <c r="O4128">
        <v>8.53</v>
      </c>
      <c r="P4128">
        <v>8.4</v>
      </c>
      <c r="Q4128">
        <v>8.48</v>
      </c>
      <c r="R4128">
        <v>8.46</v>
      </c>
      <c r="S4128">
        <v>1.54</v>
      </c>
      <c r="T4128">
        <v>0.68</v>
      </c>
      <c r="U4128">
        <v>30.24</v>
      </c>
      <c r="V4128">
        <v>1562</v>
      </c>
      <c r="W4128">
        <v>8.46</v>
      </c>
      <c r="X4128" t="s">
        <v>4943</v>
      </c>
      <c r="Y4128" t="s">
        <v>2694</v>
      </c>
      <c r="Z4128">
        <v>0.86</v>
      </c>
      <c r="AA4128">
        <v>148</v>
      </c>
      <c r="AB4128">
        <v>158</v>
      </c>
      <c r="AC4128">
        <v>1.52</v>
      </c>
      <c r="AD4128" t="s">
        <v>19658</v>
      </c>
      <c r="AE4128" t="s">
        <v>13522</v>
      </c>
      <c r="AF4128" t="s">
        <v>19658</v>
      </c>
      <c r="AG4128" t="s">
        <v>13522</v>
      </c>
      <c r="AH4128">
        <v>-1.74</v>
      </c>
      <c r="AI4128">
        <v>-4.18</v>
      </c>
      <c r="AJ4128">
        <v>2.77</v>
      </c>
      <c r="AK4128">
        <v>6.09</v>
      </c>
      <c r="AL4128">
        <v>1</v>
      </c>
      <c r="AM4128">
        <v>0.24</v>
      </c>
      <c r="AN4128">
        <v>-26.45</v>
      </c>
      <c r="AO4128">
        <v>-0.12</v>
      </c>
      <c r="AP4128">
        <v>-20.82</v>
      </c>
    </row>
    <row r="4129" spans="1:42">
      <c r="A4129">
        <v>4128</v>
      </c>
      <c r="B4129" t="str">
        <f>"002798"</f>
        <v>002798</v>
      </c>
      <c r="C4129" t="s">
        <v>19659</v>
      </c>
      <c r="D4129">
        <v>6.71</v>
      </c>
      <c r="E4129">
        <v>-0.3</v>
      </c>
      <c r="F4129">
        <v>-0.02</v>
      </c>
      <c r="G4129" t="s">
        <v>3290</v>
      </c>
      <c r="H4129">
        <v>146</v>
      </c>
      <c r="I4129">
        <v>6.71</v>
      </c>
      <c r="J4129">
        <v>6.72</v>
      </c>
      <c r="K4129" t="s">
        <v>19660</v>
      </c>
      <c r="L4129">
        <v>1.52</v>
      </c>
      <c r="M4129" t="s">
        <v>46</v>
      </c>
      <c r="N4129" t="s">
        <v>1446</v>
      </c>
      <c r="O4129">
        <v>6.77</v>
      </c>
      <c r="P4129">
        <v>6.65</v>
      </c>
      <c r="Q4129">
        <v>6.73</v>
      </c>
      <c r="R4129">
        <v>6.73</v>
      </c>
      <c r="S4129">
        <v>1.78</v>
      </c>
      <c r="T4129">
        <v>1.1</v>
      </c>
      <c r="U4129">
        <v>-67.13</v>
      </c>
      <c r="V4129">
        <v>-2741</v>
      </c>
      <c r="W4129">
        <v>6.71</v>
      </c>
      <c r="X4129" t="s">
        <v>3116</v>
      </c>
      <c r="Y4129" t="s">
        <v>5620</v>
      </c>
      <c r="Z4129">
        <v>0.92</v>
      </c>
      <c r="AA4129">
        <v>101</v>
      </c>
      <c r="AB4129">
        <v>361</v>
      </c>
      <c r="AC4129">
        <v>1.03</v>
      </c>
      <c r="AD4129" t="s">
        <v>4754</v>
      </c>
      <c r="AE4129" t="s">
        <v>19661</v>
      </c>
      <c r="AF4129" t="s">
        <v>19662</v>
      </c>
      <c r="AG4129" t="s">
        <v>19663</v>
      </c>
      <c r="AH4129">
        <v>-1.76</v>
      </c>
      <c r="AI4129">
        <v>-3.31</v>
      </c>
      <c r="AJ4129">
        <v>4.07</v>
      </c>
      <c r="AK4129">
        <v>8.42</v>
      </c>
      <c r="AL4129">
        <v>-3</v>
      </c>
      <c r="AM4129">
        <v>-0.3</v>
      </c>
      <c r="AN4129">
        <v>-11.13</v>
      </c>
      <c r="AO4129">
        <v>2.76</v>
      </c>
      <c r="AP4129">
        <v>-9.81</v>
      </c>
    </row>
    <row r="4130" spans="1:42">
      <c r="A4130">
        <v>4129</v>
      </c>
      <c r="B4130" t="str">
        <f>"600226"</f>
        <v>600226</v>
      </c>
      <c r="C4130" t="s">
        <v>19664</v>
      </c>
      <c r="D4130">
        <v>2.49</v>
      </c>
      <c r="E4130">
        <v>0.81</v>
      </c>
      <c r="F4130">
        <v>0.02</v>
      </c>
      <c r="G4130" t="s">
        <v>1937</v>
      </c>
      <c r="H4130">
        <v>758</v>
      </c>
      <c r="I4130">
        <v>2.49</v>
      </c>
      <c r="J4130">
        <v>2.5</v>
      </c>
      <c r="K4130" t="s">
        <v>19665</v>
      </c>
      <c r="L4130">
        <v>0.39</v>
      </c>
      <c r="M4130" t="s">
        <v>46</v>
      </c>
      <c r="N4130" t="s">
        <v>6508</v>
      </c>
      <c r="O4130">
        <v>2.51</v>
      </c>
      <c r="P4130">
        <v>2.45</v>
      </c>
      <c r="Q4130">
        <v>2.47</v>
      </c>
      <c r="R4130">
        <v>2.47</v>
      </c>
      <c r="S4130">
        <v>2.43</v>
      </c>
      <c r="T4130">
        <v>0.84</v>
      </c>
      <c r="U4130">
        <v>-24.83</v>
      </c>
      <c r="V4130" t="s">
        <v>19666</v>
      </c>
      <c r="W4130">
        <v>2.49</v>
      </c>
      <c r="X4130" t="s">
        <v>4929</v>
      </c>
      <c r="Y4130" t="s">
        <v>9204</v>
      </c>
      <c r="Z4130">
        <v>0.88</v>
      </c>
      <c r="AA4130">
        <v>3</v>
      </c>
      <c r="AB4130" t="s">
        <v>209</v>
      </c>
      <c r="AC4130">
        <v>2.38</v>
      </c>
      <c r="AD4130" t="s">
        <v>19667</v>
      </c>
      <c r="AE4130" t="s">
        <v>5193</v>
      </c>
      <c r="AF4130" t="s">
        <v>19667</v>
      </c>
      <c r="AG4130" t="s">
        <v>5193</v>
      </c>
      <c r="AH4130">
        <v>-0.8</v>
      </c>
      <c r="AI4130">
        <v>-2.73</v>
      </c>
      <c r="AJ4130">
        <v>1.14</v>
      </c>
      <c r="AK4130">
        <v>2.67</v>
      </c>
      <c r="AL4130">
        <v>1</v>
      </c>
      <c r="AM4130">
        <v>0.81</v>
      </c>
      <c r="AN4130">
        <v>5.96</v>
      </c>
      <c r="AO4130">
        <v>-6.04</v>
      </c>
      <c r="AP4130">
        <v>2.89</v>
      </c>
    </row>
    <row r="4131" spans="1:42">
      <c r="A4131">
        <v>4130</v>
      </c>
      <c r="B4131" t="str">
        <f>"603122"</f>
        <v>603122</v>
      </c>
      <c r="C4131" t="s">
        <v>19668</v>
      </c>
      <c r="D4131">
        <v>8.59</v>
      </c>
      <c r="E4131">
        <v>0.23</v>
      </c>
      <c r="F4131">
        <v>0.02</v>
      </c>
      <c r="G4131" t="s">
        <v>2550</v>
      </c>
      <c r="H4131">
        <v>317</v>
      </c>
      <c r="I4131">
        <v>8.58</v>
      </c>
      <c r="J4131">
        <v>8.59</v>
      </c>
      <c r="K4131" t="s">
        <v>19669</v>
      </c>
      <c r="L4131">
        <v>1.94</v>
      </c>
      <c r="M4131" t="s">
        <v>46</v>
      </c>
      <c r="N4131" t="s">
        <v>19670</v>
      </c>
      <c r="O4131">
        <v>8.67</v>
      </c>
      <c r="P4131">
        <v>8.54</v>
      </c>
      <c r="Q4131">
        <v>8.61</v>
      </c>
      <c r="R4131">
        <v>8.57</v>
      </c>
      <c r="S4131">
        <v>1.52</v>
      </c>
      <c r="T4131">
        <v>0.7</v>
      </c>
      <c r="U4131">
        <v>-34.02</v>
      </c>
      <c r="V4131">
        <v>-629</v>
      </c>
      <c r="W4131">
        <v>8.6</v>
      </c>
      <c r="X4131" t="s">
        <v>2111</v>
      </c>
      <c r="Y4131" t="s">
        <v>60</v>
      </c>
      <c r="Z4131">
        <v>0.96</v>
      </c>
      <c r="AA4131">
        <v>28</v>
      </c>
      <c r="AB4131">
        <v>98</v>
      </c>
      <c r="AC4131">
        <v>2.93</v>
      </c>
      <c r="AD4131" t="s">
        <v>19646</v>
      </c>
      <c r="AE4131" t="s">
        <v>5003</v>
      </c>
      <c r="AF4131" t="s">
        <v>19671</v>
      </c>
      <c r="AG4131" t="s">
        <v>17588</v>
      </c>
      <c r="AH4131">
        <v>-1.38</v>
      </c>
      <c r="AI4131">
        <v>-1.94</v>
      </c>
      <c r="AJ4131">
        <v>6.32</v>
      </c>
      <c r="AK4131">
        <v>15.73</v>
      </c>
      <c r="AL4131">
        <v>2</v>
      </c>
      <c r="AM4131">
        <v>0.23</v>
      </c>
      <c r="AN4131">
        <v>-22.26</v>
      </c>
      <c r="AO4131">
        <v>4.63</v>
      </c>
      <c r="AP4131">
        <v>-38.99</v>
      </c>
    </row>
    <row r="4132" spans="1:42">
      <c r="A4132">
        <v>4131</v>
      </c>
      <c r="B4132" t="str">
        <f>"002209"</f>
        <v>002209</v>
      </c>
      <c r="C4132" t="s">
        <v>19672</v>
      </c>
      <c r="D4132">
        <v>10.49</v>
      </c>
      <c r="E4132">
        <v>-0.47</v>
      </c>
      <c r="F4132">
        <v>-0.05</v>
      </c>
      <c r="G4132" t="s">
        <v>8681</v>
      </c>
      <c r="H4132">
        <v>253</v>
      </c>
      <c r="I4132">
        <v>10.48</v>
      </c>
      <c r="J4132">
        <v>10.49</v>
      </c>
      <c r="K4132" t="s">
        <v>19673</v>
      </c>
      <c r="L4132">
        <v>1.84</v>
      </c>
      <c r="M4132" t="s">
        <v>46</v>
      </c>
      <c r="N4132" t="s">
        <v>14106</v>
      </c>
      <c r="O4132">
        <v>10.63</v>
      </c>
      <c r="P4132">
        <v>10.34</v>
      </c>
      <c r="Q4132">
        <v>10.49</v>
      </c>
      <c r="R4132">
        <v>10.54</v>
      </c>
      <c r="S4132">
        <v>2.75</v>
      </c>
      <c r="T4132">
        <v>0.91</v>
      </c>
      <c r="U4132">
        <v>-15.38</v>
      </c>
      <c r="V4132">
        <v>-133</v>
      </c>
      <c r="W4132">
        <v>10.49</v>
      </c>
      <c r="X4132" t="s">
        <v>6867</v>
      </c>
      <c r="Y4132" t="s">
        <v>5446</v>
      </c>
      <c r="Z4132">
        <v>1.03</v>
      </c>
      <c r="AA4132">
        <v>21</v>
      </c>
      <c r="AB4132">
        <v>50</v>
      </c>
      <c r="AC4132">
        <v>3.27</v>
      </c>
      <c r="AD4132" t="s">
        <v>19674</v>
      </c>
      <c r="AE4132" t="s">
        <v>6700</v>
      </c>
      <c r="AF4132" t="s">
        <v>19675</v>
      </c>
      <c r="AG4132" t="s">
        <v>2118</v>
      </c>
      <c r="AH4132">
        <v>-1.69</v>
      </c>
      <c r="AI4132">
        <v>0</v>
      </c>
      <c r="AJ4132">
        <v>5.25</v>
      </c>
      <c r="AK4132">
        <v>11.99</v>
      </c>
      <c r="AL4132">
        <v>-3</v>
      </c>
      <c r="AM4132">
        <v>-0.47</v>
      </c>
      <c r="AN4132">
        <v>31.13</v>
      </c>
      <c r="AO4132">
        <v>2.34</v>
      </c>
      <c r="AP4132">
        <v>23.41</v>
      </c>
    </row>
    <row r="4133" spans="1:42">
      <c r="A4133">
        <v>4132</v>
      </c>
      <c r="B4133" t="str">
        <f>"300616"</f>
        <v>300616</v>
      </c>
      <c r="C4133" t="s">
        <v>19676</v>
      </c>
      <c r="D4133">
        <v>18.15</v>
      </c>
      <c r="E4133">
        <v>0.5</v>
      </c>
      <c r="F4133">
        <v>0.09</v>
      </c>
      <c r="G4133" t="s">
        <v>1692</v>
      </c>
      <c r="H4133">
        <v>79</v>
      </c>
      <c r="I4133">
        <v>18.15</v>
      </c>
      <c r="J4133">
        <v>18.16</v>
      </c>
      <c r="K4133" t="s">
        <v>19673</v>
      </c>
      <c r="L4133">
        <v>1.27</v>
      </c>
      <c r="M4133" t="s">
        <v>46</v>
      </c>
      <c r="N4133" t="s">
        <v>3772</v>
      </c>
      <c r="O4133">
        <v>18.25</v>
      </c>
      <c r="P4133">
        <v>18</v>
      </c>
      <c r="Q4133">
        <v>18.06</v>
      </c>
      <c r="R4133">
        <v>18.06</v>
      </c>
      <c r="S4133">
        <v>1.38</v>
      </c>
      <c r="T4133">
        <v>0.98</v>
      </c>
      <c r="U4133">
        <v>-25.83</v>
      </c>
      <c r="V4133">
        <v>-225</v>
      </c>
      <c r="W4133">
        <v>18.15</v>
      </c>
      <c r="X4133">
        <v>7019</v>
      </c>
      <c r="Y4133">
        <v>9406</v>
      </c>
      <c r="Z4133">
        <v>0.75</v>
      </c>
      <c r="AA4133">
        <v>158</v>
      </c>
      <c r="AB4133">
        <v>33</v>
      </c>
      <c r="AC4133">
        <v>1.01</v>
      </c>
      <c r="AD4133" t="s">
        <v>17018</v>
      </c>
      <c r="AE4133" t="s">
        <v>9159</v>
      </c>
      <c r="AF4133" t="s">
        <v>17326</v>
      </c>
      <c r="AG4133" t="s">
        <v>19677</v>
      </c>
      <c r="AH4133">
        <v>-2.68</v>
      </c>
      <c r="AI4133">
        <v>-3.87</v>
      </c>
      <c r="AJ4133">
        <v>3.66</v>
      </c>
      <c r="AK4133">
        <v>7.72</v>
      </c>
      <c r="AL4133">
        <v>1</v>
      </c>
      <c r="AM4133">
        <v>0.5</v>
      </c>
      <c r="AN4133">
        <v>-6.88</v>
      </c>
      <c r="AO4133">
        <v>-0.71</v>
      </c>
      <c r="AP4133">
        <v>-9.48</v>
      </c>
    </row>
    <row r="4134" spans="1:42">
      <c r="A4134">
        <v>4133</v>
      </c>
      <c r="B4134" t="str">
        <f>"600082"</f>
        <v>600082</v>
      </c>
      <c r="C4134" t="s">
        <v>19678</v>
      </c>
      <c r="D4134">
        <v>3.53</v>
      </c>
      <c r="E4134">
        <v>1.44</v>
      </c>
      <c r="F4134">
        <v>0.05</v>
      </c>
      <c r="G4134" t="s">
        <v>2224</v>
      </c>
      <c r="H4134">
        <v>647</v>
      </c>
      <c r="I4134">
        <v>3.52</v>
      </c>
      <c r="J4134">
        <v>3.53</v>
      </c>
      <c r="K4134" t="s">
        <v>19679</v>
      </c>
      <c r="L4134">
        <v>1.33</v>
      </c>
      <c r="M4134" t="s">
        <v>46</v>
      </c>
      <c r="N4134" t="s">
        <v>3910</v>
      </c>
      <c r="O4134">
        <v>3.56</v>
      </c>
      <c r="P4134">
        <v>3.48</v>
      </c>
      <c r="Q4134">
        <v>3.49</v>
      </c>
      <c r="R4134">
        <v>3.48</v>
      </c>
      <c r="S4134">
        <v>2.3</v>
      </c>
      <c r="T4134">
        <v>1.07</v>
      </c>
      <c r="U4134">
        <v>-7.01</v>
      </c>
      <c r="V4134">
        <v>-539</v>
      </c>
      <c r="W4134">
        <v>3.53</v>
      </c>
      <c r="X4134" t="s">
        <v>2691</v>
      </c>
      <c r="Y4134" t="s">
        <v>6257</v>
      </c>
      <c r="Z4134">
        <v>0.79</v>
      </c>
      <c r="AA4134">
        <v>51</v>
      </c>
      <c r="AB4134">
        <v>430</v>
      </c>
      <c r="AC4134">
        <v>1.32</v>
      </c>
      <c r="AD4134" t="s">
        <v>19680</v>
      </c>
      <c r="AE4134" t="s">
        <v>19681</v>
      </c>
      <c r="AF4134" t="s">
        <v>19682</v>
      </c>
      <c r="AG4134" t="s">
        <v>328</v>
      </c>
      <c r="AH4134">
        <v>0.28</v>
      </c>
      <c r="AI4134">
        <v>-1.12</v>
      </c>
      <c r="AJ4134">
        <v>3.54</v>
      </c>
      <c r="AK4134">
        <v>7.55</v>
      </c>
      <c r="AL4134">
        <v>1</v>
      </c>
      <c r="AM4134">
        <v>1.44</v>
      </c>
      <c r="AN4134">
        <v>6.33</v>
      </c>
      <c r="AO4134">
        <v>7.29</v>
      </c>
      <c r="AP4134">
        <v>1.15</v>
      </c>
    </row>
    <row r="4135" spans="1:42">
      <c r="A4135">
        <v>4134</v>
      </c>
      <c r="B4135" t="str">
        <f>"002534"</f>
        <v>002534</v>
      </c>
      <c r="C4135" t="s">
        <v>19683</v>
      </c>
      <c r="D4135">
        <v>12.82</v>
      </c>
      <c r="E4135">
        <v>-0.08</v>
      </c>
      <c r="F4135">
        <v>-0.01</v>
      </c>
      <c r="G4135" t="s">
        <v>314</v>
      </c>
      <c r="H4135">
        <v>109</v>
      </c>
      <c r="I4135">
        <v>12.82</v>
      </c>
      <c r="J4135">
        <v>12.83</v>
      </c>
      <c r="K4135" t="s">
        <v>19684</v>
      </c>
      <c r="L4135">
        <v>0.32</v>
      </c>
      <c r="M4135" t="s">
        <v>46</v>
      </c>
      <c r="N4135" t="s">
        <v>2795</v>
      </c>
      <c r="O4135">
        <v>12.92</v>
      </c>
      <c r="P4135">
        <v>12.62</v>
      </c>
      <c r="Q4135">
        <v>12.8</v>
      </c>
      <c r="R4135">
        <v>12.83</v>
      </c>
      <c r="S4135">
        <v>2.34</v>
      </c>
      <c r="T4135">
        <v>1</v>
      </c>
      <c r="U4135">
        <v>-70.36</v>
      </c>
      <c r="V4135">
        <v>-750</v>
      </c>
      <c r="W4135">
        <v>12.74</v>
      </c>
      <c r="X4135" t="s">
        <v>1254</v>
      </c>
      <c r="Y4135" t="s">
        <v>734</v>
      </c>
      <c r="Z4135">
        <v>1.09</v>
      </c>
      <c r="AA4135">
        <v>3</v>
      </c>
      <c r="AB4135">
        <v>94</v>
      </c>
      <c r="AC4135">
        <v>2.52</v>
      </c>
      <c r="AD4135" t="s">
        <v>16451</v>
      </c>
      <c r="AE4135" t="s">
        <v>9455</v>
      </c>
      <c r="AF4135" t="s">
        <v>19685</v>
      </c>
      <c r="AG4135" t="s">
        <v>17179</v>
      </c>
      <c r="AH4135">
        <v>-1.84</v>
      </c>
      <c r="AI4135">
        <v>-2.14</v>
      </c>
      <c r="AJ4135">
        <v>0.88</v>
      </c>
      <c r="AK4135">
        <v>1.91</v>
      </c>
      <c r="AL4135">
        <v>-3</v>
      </c>
      <c r="AM4135">
        <v>-0.08</v>
      </c>
      <c r="AN4135">
        <v>-10.85</v>
      </c>
      <c r="AO4135">
        <v>0.55</v>
      </c>
      <c r="AP4135">
        <v>-22.49</v>
      </c>
    </row>
    <row r="4136" spans="1:42">
      <c r="A4136">
        <v>4135</v>
      </c>
      <c r="B4136" t="str">
        <f>"001230"</f>
        <v>001230</v>
      </c>
      <c r="C4136" t="s">
        <v>19686</v>
      </c>
      <c r="D4136">
        <v>24.6</v>
      </c>
      <c r="E4136">
        <v>1.19</v>
      </c>
      <c r="F4136">
        <v>0.29</v>
      </c>
      <c r="G4136" t="s">
        <v>1254</v>
      </c>
      <c r="H4136">
        <v>655</v>
      </c>
      <c r="I4136">
        <v>24.6</v>
      </c>
      <c r="J4136">
        <v>24.61</v>
      </c>
      <c r="K4136" t="s">
        <v>19684</v>
      </c>
      <c r="L4136">
        <v>3.1</v>
      </c>
      <c r="M4136" t="s">
        <v>46</v>
      </c>
      <c r="N4136" t="s">
        <v>1419</v>
      </c>
      <c r="O4136">
        <v>24.64</v>
      </c>
      <c r="P4136">
        <v>24.04</v>
      </c>
      <c r="Q4136">
        <v>24.27</v>
      </c>
      <c r="R4136">
        <v>24.31</v>
      </c>
      <c r="S4136">
        <v>2.47</v>
      </c>
      <c r="T4136">
        <v>2.2</v>
      </c>
      <c r="U4136">
        <v>-40.15</v>
      </c>
      <c r="V4136">
        <v>-106</v>
      </c>
      <c r="W4136">
        <v>24.3</v>
      </c>
      <c r="X4136">
        <v>5012</v>
      </c>
      <c r="Y4136">
        <v>7236</v>
      </c>
      <c r="Z4136">
        <v>0.69</v>
      </c>
      <c r="AA4136">
        <v>33</v>
      </c>
      <c r="AB4136">
        <v>1</v>
      </c>
      <c r="AC4136">
        <v>1.59</v>
      </c>
      <c r="AD4136" t="s">
        <v>19687</v>
      </c>
      <c r="AE4136" t="s">
        <v>18455</v>
      </c>
      <c r="AF4136" t="s">
        <v>17769</v>
      </c>
      <c r="AG4136" t="s">
        <v>19688</v>
      </c>
      <c r="AH4136">
        <v>1.49</v>
      </c>
      <c r="AI4136">
        <v>1.53</v>
      </c>
      <c r="AJ4136">
        <v>6.76</v>
      </c>
      <c r="AK4136">
        <v>10.16</v>
      </c>
      <c r="AL4136">
        <v>2</v>
      </c>
      <c r="AM4136">
        <v>1.19</v>
      </c>
      <c r="AN4136">
        <v>-3.87</v>
      </c>
      <c r="AO4136">
        <v>3.67</v>
      </c>
      <c r="AP4136">
        <v>-8.45</v>
      </c>
    </row>
    <row r="4137" spans="1:42">
      <c r="A4137">
        <v>4136</v>
      </c>
      <c r="B4137" t="str">
        <f>"688486"</f>
        <v>688486</v>
      </c>
      <c r="C4137" t="s">
        <v>19689</v>
      </c>
      <c r="D4137">
        <v>101.39</v>
      </c>
      <c r="E4137">
        <v>-1.9</v>
      </c>
      <c r="F4137">
        <v>-1.96</v>
      </c>
      <c r="G4137">
        <v>2928</v>
      </c>
      <c r="H4137">
        <v>36</v>
      </c>
      <c r="I4137">
        <v>101.39</v>
      </c>
      <c r="J4137">
        <v>101.6</v>
      </c>
      <c r="K4137" t="s">
        <v>19690</v>
      </c>
      <c r="L4137">
        <v>1.88</v>
      </c>
      <c r="M4137" t="s">
        <v>46</v>
      </c>
      <c r="N4137" t="s">
        <v>6364</v>
      </c>
      <c r="O4137">
        <v>102.96</v>
      </c>
      <c r="P4137">
        <v>100.62</v>
      </c>
      <c r="Q4137">
        <v>102.5</v>
      </c>
      <c r="R4137">
        <v>103.35</v>
      </c>
      <c r="S4137">
        <v>2.26</v>
      </c>
      <c r="T4137">
        <v>0.88</v>
      </c>
      <c r="U4137">
        <v>1.6</v>
      </c>
      <c r="V4137">
        <v>1</v>
      </c>
      <c r="W4137">
        <v>101.56</v>
      </c>
      <c r="X4137">
        <v>1605</v>
      </c>
      <c r="Y4137">
        <v>1324</v>
      </c>
      <c r="Z4137">
        <v>1.21</v>
      </c>
      <c r="AA4137">
        <v>5</v>
      </c>
      <c r="AB4137">
        <v>15</v>
      </c>
      <c r="AC4137">
        <v>5.03</v>
      </c>
      <c r="AD4137" t="s">
        <v>19691</v>
      </c>
      <c r="AE4137" t="s">
        <v>19692</v>
      </c>
      <c r="AF4137" t="s">
        <v>19693</v>
      </c>
      <c r="AG4137" t="s">
        <v>19694</v>
      </c>
      <c r="AH4137">
        <v>-6.42</v>
      </c>
      <c r="AI4137">
        <v>-6.94</v>
      </c>
      <c r="AJ4137">
        <v>6.69</v>
      </c>
      <c r="AK4137">
        <v>12.61</v>
      </c>
      <c r="AL4137">
        <v>-3</v>
      </c>
      <c r="AM4137">
        <v>-1.9</v>
      </c>
      <c r="AN4137">
        <v>57.29</v>
      </c>
      <c r="AO4137">
        <v>-10.66</v>
      </c>
      <c r="AP4137">
        <v>57.29</v>
      </c>
    </row>
    <row r="4138" spans="1:42">
      <c r="A4138">
        <v>4137</v>
      </c>
      <c r="B4138" t="str">
        <f>"603098"</f>
        <v>603098</v>
      </c>
      <c r="C4138" t="s">
        <v>19695</v>
      </c>
      <c r="D4138">
        <v>14.71</v>
      </c>
      <c r="E4138">
        <v>-0.27</v>
      </c>
      <c r="F4138">
        <v>-0.04</v>
      </c>
      <c r="G4138" t="s">
        <v>2976</v>
      </c>
      <c r="H4138">
        <v>52</v>
      </c>
      <c r="I4138">
        <v>14.69</v>
      </c>
      <c r="J4138">
        <v>14.71</v>
      </c>
      <c r="K4138" t="s">
        <v>19696</v>
      </c>
      <c r="L4138">
        <v>0.38</v>
      </c>
      <c r="M4138" t="s">
        <v>46</v>
      </c>
      <c r="N4138" t="s">
        <v>1446</v>
      </c>
      <c r="O4138">
        <v>14.87</v>
      </c>
      <c r="P4138">
        <v>14.6</v>
      </c>
      <c r="Q4138">
        <v>14.76</v>
      </c>
      <c r="R4138">
        <v>14.75</v>
      </c>
      <c r="S4138">
        <v>1.83</v>
      </c>
      <c r="T4138">
        <v>1.08</v>
      </c>
      <c r="U4138">
        <v>15.84</v>
      </c>
      <c r="V4138">
        <v>32</v>
      </c>
      <c r="W4138">
        <v>14.71</v>
      </c>
      <c r="X4138">
        <v>9480</v>
      </c>
      <c r="Y4138" t="s">
        <v>2147</v>
      </c>
      <c r="Z4138">
        <v>0.88</v>
      </c>
      <c r="AA4138">
        <v>19</v>
      </c>
      <c r="AB4138">
        <v>1</v>
      </c>
      <c r="AC4138">
        <v>2.9</v>
      </c>
      <c r="AD4138" t="s">
        <v>19697</v>
      </c>
      <c r="AE4138" t="s">
        <v>19698</v>
      </c>
      <c r="AF4138" t="s">
        <v>19699</v>
      </c>
      <c r="AG4138" t="s">
        <v>5622</v>
      </c>
      <c r="AH4138">
        <v>-2.78</v>
      </c>
      <c r="AI4138">
        <v>-5.04</v>
      </c>
      <c r="AJ4138">
        <v>1.08</v>
      </c>
      <c r="AK4138">
        <v>2.12</v>
      </c>
      <c r="AL4138">
        <v>-3</v>
      </c>
      <c r="AM4138">
        <v>-0.27</v>
      </c>
      <c r="AN4138">
        <v>-47.78</v>
      </c>
      <c r="AO4138">
        <v>-10.52</v>
      </c>
      <c r="AP4138">
        <v>-51.26</v>
      </c>
    </row>
    <row r="4139" spans="1:42">
      <c r="A4139">
        <v>4138</v>
      </c>
      <c r="B4139" t="str">
        <f>"300488"</f>
        <v>300488</v>
      </c>
      <c r="C4139" t="s">
        <v>19700</v>
      </c>
      <c r="D4139">
        <v>24.52</v>
      </c>
      <c r="E4139">
        <v>-1.13</v>
      </c>
      <c r="F4139">
        <v>-0.28</v>
      </c>
      <c r="G4139" t="s">
        <v>1254</v>
      </c>
      <c r="H4139">
        <v>167</v>
      </c>
      <c r="I4139">
        <v>24.51</v>
      </c>
      <c r="J4139">
        <v>24.52</v>
      </c>
      <c r="K4139" t="s">
        <v>19696</v>
      </c>
      <c r="L4139">
        <v>0.89</v>
      </c>
      <c r="M4139" t="s">
        <v>46</v>
      </c>
      <c r="N4139" t="s">
        <v>3649</v>
      </c>
      <c r="O4139">
        <v>24.77</v>
      </c>
      <c r="P4139">
        <v>24.18</v>
      </c>
      <c r="Q4139">
        <v>24.77</v>
      </c>
      <c r="R4139">
        <v>24.8</v>
      </c>
      <c r="S4139">
        <v>2.38</v>
      </c>
      <c r="T4139">
        <v>0.59</v>
      </c>
      <c r="U4139">
        <v>13.66</v>
      </c>
      <c r="V4139">
        <v>69</v>
      </c>
      <c r="W4139">
        <v>24.46</v>
      </c>
      <c r="X4139">
        <v>6103</v>
      </c>
      <c r="Y4139">
        <v>6050</v>
      </c>
      <c r="Z4139">
        <v>1.01</v>
      </c>
      <c r="AA4139">
        <v>75</v>
      </c>
      <c r="AB4139">
        <v>186</v>
      </c>
      <c r="AC4139">
        <v>3.02</v>
      </c>
      <c r="AD4139" t="s">
        <v>13548</v>
      </c>
      <c r="AE4139" t="s">
        <v>15430</v>
      </c>
      <c r="AF4139" t="s">
        <v>15497</v>
      </c>
      <c r="AG4139" t="s">
        <v>5081</v>
      </c>
      <c r="AH4139">
        <v>-1.13</v>
      </c>
      <c r="AI4139">
        <v>-2.27</v>
      </c>
      <c r="AJ4139">
        <v>3.87</v>
      </c>
      <c r="AK4139">
        <v>8.47</v>
      </c>
      <c r="AL4139">
        <v>-2</v>
      </c>
      <c r="AM4139">
        <v>-1.13</v>
      </c>
      <c r="AN4139">
        <v>11.96</v>
      </c>
      <c r="AO4139">
        <v>5.01</v>
      </c>
      <c r="AP4139">
        <v>-2.35</v>
      </c>
    </row>
    <row r="4140" spans="1:42">
      <c r="A4140">
        <v>4139</v>
      </c>
      <c r="B4140" t="str">
        <f>"600433"</f>
        <v>600433</v>
      </c>
      <c r="C4140" t="s">
        <v>19701</v>
      </c>
      <c r="D4140">
        <v>3.53</v>
      </c>
      <c r="E4140">
        <v>0.28</v>
      </c>
      <c r="F4140">
        <v>0.01</v>
      </c>
      <c r="G4140" t="s">
        <v>752</v>
      </c>
      <c r="H4140">
        <v>260</v>
      </c>
      <c r="I4140">
        <v>3.53</v>
      </c>
      <c r="J4140">
        <v>3.54</v>
      </c>
      <c r="K4140" t="s">
        <v>15266</v>
      </c>
      <c r="L4140">
        <v>0.58</v>
      </c>
      <c r="M4140" t="s">
        <v>46</v>
      </c>
      <c r="N4140" t="s">
        <v>11768</v>
      </c>
      <c r="O4140">
        <v>3.56</v>
      </c>
      <c r="P4140">
        <v>3.51</v>
      </c>
      <c r="Q4140">
        <v>3.52</v>
      </c>
      <c r="R4140">
        <v>3.52</v>
      </c>
      <c r="S4140">
        <v>1.42</v>
      </c>
      <c r="T4140">
        <v>0.94</v>
      </c>
      <c r="U4140">
        <v>-29.47</v>
      </c>
      <c r="V4140">
        <v>-4466</v>
      </c>
      <c r="W4140">
        <v>3.54</v>
      </c>
      <c r="X4140" t="s">
        <v>5435</v>
      </c>
      <c r="Y4140" t="s">
        <v>6646</v>
      </c>
      <c r="Z4140">
        <v>1.26</v>
      </c>
      <c r="AA4140">
        <v>99</v>
      </c>
      <c r="AB4140">
        <v>889</v>
      </c>
      <c r="AC4140">
        <v>1.42</v>
      </c>
      <c r="AD4140" t="s">
        <v>18113</v>
      </c>
      <c r="AE4140" t="s">
        <v>19702</v>
      </c>
      <c r="AF4140" t="s">
        <v>19703</v>
      </c>
      <c r="AG4140" t="s">
        <v>19704</v>
      </c>
      <c r="AH4140">
        <v>-1.4</v>
      </c>
      <c r="AI4140">
        <v>-2.22</v>
      </c>
      <c r="AJ4140">
        <v>1.89</v>
      </c>
      <c r="AK4140">
        <v>3.69</v>
      </c>
      <c r="AL4140">
        <v>1</v>
      </c>
      <c r="AM4140">
        <v>0.28</v>
      </c>
      <c r="AN4140">
        <v>-7.59</v>
      </c>
      <c r="AO4140">
        <v>-0.56</v>
      </c>
      <c r="AP4140">
        <v>1.44</v>
      </c>
    </row>
    <row r="4141" spans="1:42">
      <c r="A4141">
        <v>4140</v>
      </c>
      <c r="B4141" t="str">
        <f>"600371"</f>
        <v>600371</v>
      </c>
      <c r="C4141" t="s">
        <v>19705</v>
      </c>
      <c r="D4141">
        <v>11.33</v>
      </c>
      <c r="E4141">
        <v>-0.09</v>
      </c>
      <c r="F4141">
        <v>-0.01</v>
      </c>
      <c r="G4141" t="s">
        <v>4012</v>
      </c>
      <c r="H4141">
        <v>105</v>
      </c>
      <c r="I4141">
        <v>11.33</v>
      </c>
      <c r="J4141">
        <v>11.34</v>
      </c>
      <c r="K4141" t="s">
        <v>19706</v>
      </c>
      <c r="L4141">
        <v>0.89</v>
      </c>
      <c r="M4141" t="s">
        <v>46</v>
      </c>
      <c r="N4141" t="s">
        <v>6308</v>
      </c>
      <c r="O4141">
        <v>11.46</v>
      </c>
      <c r="P4141">
        <v>11.3</v>
      </c>
      <c r="Q4141">
        <v>11.3</v>
      </c>
      <c r="R4141">
        <v>11.34</v>
      </c>
      <c r="S4141">
        <v>1.41</v>
      </c>
      <c r="T4141">
        <v>0.67</v>
      </c>
      <c r="U4141">
        <v>-2.75</v>
      </c>
      <c r="V4141">
        <v>-24</v>
      </c>
      <c r="W4141">
        <v>11.37</v>
      </c>
      <c r="X4141" t="s">
        <v>6212</v>
      </c>
      <c r="Y4141" t="s">
        <v>1777</v>
      </c>
      <c r="Z4141">
        <v>0.95</v>
      </c>
      <c r="AA4141">
        <v>5</v>
      </c>
      <c r="AB4141">
        <v>23</v>
      </c>
      <c r="AC4141">
        <v>5.86</v>
      </c>
      <c r="AD4141" t="s">
        <v>19707</v>
      </c>
      <c r="AE4141" t="s">
        <v>15625</v>
      </c>
      <c r="AF4141" t="s">
        <v>19707</v>
      </c>
      <c r="AG4141" t="s">
        <v>15625</v>
      </c>
      <c r="AH4141">
        <v>-1.31</v>
      </c>
      <c r="AI4141">
        <v>1.61</v>
      </c>
      <c r="AJ4141">
        <v>3.29</v>
      </c>
      <c r="AK4141">
        <v>7.56</v>
      </c>
      <c r="AL4141">
        <v>-2</v>
      </c>
      <c r="AM4141">
        <v>-0.09</v>
      </c>
      <c r="AN4141">
        <v>-18.84</v>
      </c>
      <c r="AO4141">
        <v>4.42</v>
      </c>
      <c r="AP4141">
        <v>-2.41</v>
      </c>
    </row>
    <row r="4142" spans="1:42">
      <c r="A4142">
        <v>4141</v>
      </c>
      <c r="B4142" t="str">
        <f>"830974"</f>
        <v>830974</v>
      </c>
      <c r="C4142" t="s">
        <v>19708</v>
      </c>
      <c r="D4142">
        <v>6.61</v>
      </c>
      <c r="E4142">
        <v>-13.03</v>
      </c>
      <c r="F4142">
        <v>-0.99</v>
      </c>
      <c r="G4142" t="s">
        <v>5877</v>
      </c>
      <c r="H4142">
        <v>792</v>
      </c>
      <c r="I4142">
        <v>6.6</v>
      </c>
      <c r="J4142">
        <v>6.61</v>
      </c>
      <c r="K4142" t="s">
        <v>19709</v>
      </c>
      <c r="L4142">
        <v>3.94</v>
      </c>
      <c r="M4142" t="s">
        <v>46</v>
      </c>
      <c r="N4142" t="s">
        <v>1568</v>
      </c>
      <c r="O4142">
        <v>7.76</v>
      </c>
      <c r="P4142">
        <v>6.5</v>
      </c>
      <c r="Q4142">
        <v>7.47</v>
      </c>
      <c r="R4142">
        <v>7.6</v>
      </c>
      <c r="S4142">
        <v>16.58</v>
      </c>
      <c r="T4142">
        <v>0.53</v>
      </c>
      <c r="U4142">
        <v>8.95</v>
      </c>
      <c r="V4142">
        <v>165</v>
      </c>
      <c r="W4142">
        <v>7.05</v>
      </c>
      <c r="X4142" t="s">
        <v>7485</v>
      </c>
      <c r="Y4142" t="s">
        <v>6867</v>
      </c>
      <c r="Z4142">
        <v>1.93</v>
      </c>
      <c r="AA4142">
        <v>193</v>
      </c>
      <c r="AB4142">
        <v>773</v>
      </c>
      <c r="AC4142">
        <v>1.67</v>
      </c>
      <c r="AD4142" t="s">
        <v>19710</v>
      </c>
      <c r="AE4142" t="s">
        <v>19711</v>
      </c>
      <c r="AF4142" t="s">
        <v>8042</v>
      </c>
      <c r="AG4142" t="s">
        <v>19712</v>
      </c>
      <c r="AH4142">
        <v>-22.14</v>
      </c>
      <c r="AI4142">
        <v>-4.48</v>
      </c>
      <c r="AJ4142">
        <v>14.31</v>
      </c>
      <c r="AK4142">
        <v>41.09</v>
      </c>
      <c r="AL4142">
        <v>-1</v>
      </c>
      <c r="AM4142">
        <v>-13.03</v>
      </c>
      <c r="AN4142">
        <v>-65.54</v>
      </c>
      <c r="AO4142">
        <v>33.54</v>
      </c>
      <c r="AP4142">
        <v>-65.54</v>
      </c>
    </row>
    <row r="4143" spans="1:42">
      <c r="A4143">
        <v>4142</v>
      </c>
      <c r="B4143" t="str">
        <f>"603332"</f>
        <v>603332</v>
      </c>
      <c r="C4143" t="s">
        <v>19713</v>
      </c>
      <c r="D4143">
        <v>10.2</v>
      </c>
      <c r="E4143">
        <v>-0.49</v>
      </c>
      <c r="F4143">
        <v>-0.05</v>
      </c>
      <c r="G4143" t="s">
        <v>6097</v>
      </c>
      <c r="H4143">
        <v>265</v>
      </c>
      <c r="I4143">
        <v>10.2</v>
      </c>
      <c r="J4143">
        <v>10.22</v>
      </c>
      <c r="K4143" t="s">
        <v>19709</v>
      </c>
      <c r="L4143">
        <v>1.34</v>
      </c>
      <c r="M4143" t="s">
        <v>46</v>
      </c>
      <c r="N4143" t="s">
        <v>3436</v>
      </c>
      <c r="O4143">
        <v>10.34</v>
      </c>
      <c r="P4143">
        <v>10.15</v>
      </c>
      <c r="Q4143">
        <v>10.27</v>
      </c>
      <c r="R4143">
        <v>10.25</v>
      </c>
      <c r="S4143">
        <v>1.85</v>
      </c>
      <c r="T4143">
        <v>0.66</v>
      </c>
      <c r="U4143">
        <v>24.4</v>
      </c>
      <c r="V4143">
        <v>156</v>
      </c>
      <c r="W4143">
        <v>10.24</v>
      </c>
      <c r="X4143" t="s">
        <v>5900</v>
      </c>
      <c r="Y4143" t="s">
        <v>7836</v>
      </c>
      <c r="Z4143">
        <v>0.98</v>
      </c>
      <c r="AA4143">
        <v>68</v>
      </c>
      <c r="AB4143">
        <v>130</v>
      </c>
      <c r="AC4143">
        <v>1.79</v>
      </c>
      <c r="AD4143" t="s">
        <v>19714</v>
      </c>
      <c r="AE4143" t="s">
        <v>19715</v>
      </c>
      <c r="AF4143" t="s">
        <v>19714</v>
      </c>
      <c r="AG4143" t="s">
        <v>19715</v>
      </c>
      <c r="AH4143">
        <v>-2.67</v>
      </c>
      <c r="AI4143">
        <v>-0.1</v>
      </c>
      <c r="AJ4143">
        <v>4.39</v>
      </c>
      <c r="AK4143">
        <v>11.45</v>
      </c>
      <c r="AL4143">
        <v>-3</v>
      </c>
      <c r="AM4143">
        <v>-0.49</v>
      </c>
      <c r="AN4143">
        <v>25.31</v>
      </c>
      <c r="AO4143">
        <v>4.51</v>
      </c>
      <c r="AP4143">
        <v>12.83</v>
      </c>
    </row>
    <row r="4144" spans="1:42">
      <c r="A4144">
        <v>4143</v>
      </c>
      <c r="B4144" t="str">
        <f>"300893"</f>
        <v>300893</v>
      </c>
      <c r="C4144" t="s">
        <v>19716</v>
      </c>
      <c r="D4144">
        <v>29.1</v>
      </c>
      <c r="E4144">
        <v>-0.65</v>
      </c>
      <c r="F4144">
        <v>-0.19</v>
      </c>
      <c r="G4144" t="s">
        <v>1646</v>
      </c>
      <c r="H4144">
        <v>120</v>
      </c>
      <c r="I4144">
        <v>29.07</v>
      </c>
      <c r="J4144">
        <v>29.1</v>
      </c>
      <c r="K4144" t="s">
        <v>19717</v>
      </c>
      <c r="L4144">
        <v>0.9</v>
      </c>
      <c r="M4144" t="s">
        <v>46</v>
      </c>
      <c r="N4144" t="s">
        <v>18370</v>
      </c>
      <c r="O4144">
        <v>29.6</v>
      </c>
      <c r="P4144">
        <v>28.72</v>
      </c>
      <c r="Q4144">
        <v>29.6</v>
      </c>
      <c r="R4144">
        <v>29.29</v>
      </c>
      <c r="S4144">
        <v>3</v>
      </c>
      <c r="T4144">
        <v>1.12</v>
      </c>
      <c r="U4144">
        <v>48.12</v>
      </c>
      <c r="V4144">
        <v>58</v>
      </c>
      <c r="W4144">
        <v>29.14</v>
      </c>
      <c r="X4144">
        <v>5298</v>
      </c>
      <c r="Y4144">
        <v>4878</v>
      </c>
      <c r="Z4144">
        <v>1.09</v>
      </c>
      <c r="AA4144">
        <v>5</v>
      </c>
      <c r="AB4144">
        <v>3</v>
      </c>
      <c r="AC4144">
        <v>6.7</v>
      </c>
      <c r="AD4144" t="s">
        <v>11366</v>
      </c>
      <c r="AE4144" t="s">
        <v>19718</v>
      </c>
      <c r="AF4144" t="s">
        <v>19719</v>
      </c>
      <c r="AG4144" t="s">
        <v>19720</v>
      </c>
      <c r="AH4144">
        <v>-2.32</v>
      </c>
      <c r="AI4144">
        <v>-2.09</v>
      </c>
      <c r="AJ4144">
        <v>2.52</v>
      </c>
      <c r="AK4144">
        <v>4.96</v>
      </c>
      <c r="AL4144">
        <v>-4</v>
      </c>
      <c r="AM4144">
        <v>-0.65</v>
      </c>
      <c r="AN4144">
        <v>8.58</v>
      </c>
      <c r="AO4144">
        <v>-0.07</v>
      </c>
      <c r="AP4144">
        <v>4.41</v>
      </c>
    </row>
    <row r="4145" spans="1:42">
      <c r="A4145">
        <v>4144</v>
      </c>
      <c r="B4145" t="str">
        <f>"688646"</f>
        <v>688646</v>
      </c>
      <c r="C4145" t="s">
        <v>19721</v>
      </c>
      <c r="D4145">
        <v>38.99</v>
      </c>
      <c r="E4145">
        <v>-0.51</v>
      </c>
      <c r="F4145">
        <v>-0.2</v>
      </c>
      <c r="G4145">
        <v>7620</v>
      </c>
      <c r="H4145">
        <v>56</v>
      </c>
      <c r="I4145">
        <v>38.99</v>
      </c>
      <c r="J4145">
        <v>39</v>
      </c>
      <c r="K4145" t="s">
        <v>19717</v>
      </c>
      <c r="L4145">
        <v>4.26</v>
      </c>
      <c r="M4145" t="s">
        <v>46</v>
      </c>
      <c r="N4145" t="s">
        <v>16324</v>
      </c>
      <c r="O4145">
        <v>39.23</v>
      </c>
      <c r="P4145">
        <v>38.6</v>
      </c>
      <c r="Q4145">
        <v>38.9</v>
      </c>
      <c r="R4145">
        <v>39.19</v>
      </c>
      <c r="S4145">
        <v>1.61</v>
      </c>
      <c r="T4145">
        <v>0.98</v>
      </c>
      <c r="U4145">
        <v>50.09</v>
      </c>
      <c r="V4145">
        <v>44</v>
      </c>
      <c r="W4145">
        <v>38.91</v>
      </c>
      <c r="X4145">
        <v>4690</v>
      </c>
      <c r="Y4145">
        <v>2930</v>
      </c>
      <c r="Z4145">
        <v>1.6</v>
      </c>
      <c r="AA4145">
        <v>10</v>
      </c>
      <c r="AB4145">
        <v>2</v>
      </c>
      <c r="AC4145">
        <v>2.3</v>
      </c>
      <c r="AD4145" t="s">
        <v>19722</v>
      </c>
      <c r="AE4145" t="s">
        <v>19723</v>
      </c>
      <c r="AF4145" t="s">
        <v>19724</v>
      </c>
      <c r="AG4145" t="s">
        <v>19725</v>
      </c>
      <c r="AH4145">
        <v>-2.7</v>
      </c>
      <c r="AI4145">
        <v>-2.23</v>
      </c>
      <c r="AJ4145">
        <v>12.55</v>
      </c>
      <c r="AK4145">
        <v>26.11</v>
      </c>
      <c r="AL4145">
        <v>-3</v>
      </c>
      <c r="AM4145">
        <v>-0.51</v>
      </c>
      <c r="AN4145">
        <v>-16.69</v>
      </c>
      <c r="AO4145">
        <v>0.78</v>
      </c>
      <c r="AP4145">
        <v>-16.69</v>
      </c>
    </row>
    <row r="4146" spans="1:42">
      <c r="A4146">
        <v>4145</v>
      </c>
      <c r="B4146" t="str">
        <f>"300230"</f>
        <v>300230</v>
      </c>
      <c r="C4146" t="s">
        <v>19726</v>
      </c>
      <c r="D4146">
        <v>4.14</v>
      </c>
      <c r="E4146">
        <v>-0.24</v>
      </c>
      <c r="F4146">
        <v>-0.01</v>
      </c>
      <c r="G4146" t="s">
        <v>11758</v>
      </c>
      <c r="H4146">
        <v>489</v>
      </c>
      <c r="I4146">
        <v>4.13</v>
      </c>
      <c r="J4146">
        <v>4.14</v>
      </c>
      <c r="K4146" t="s">
        <v>19727</v>
      </c>
      <c r="L4146">
        <v>1.13</v>
      </c>
      <c r="M4146" t="s">
        <v>46</v>
      </c>
      <c r="N4146" t="s">
        <v>4326</v>
      </c>
      <c r="O4146">
        <v>4.16</v>
      </c>
      <c r="P4146">
        <v>4.1</v>
      </c>
      <c r="Q4146">
        <v>4.12</v>
      </c>
      <c r="R4146">
        <v>4.15</v>
      </c>
      <c r="S4146">
        <v>1.45</v>
      </c>
      <c r="T4146">
        <v>0.69</v>
      </c>
      <c r="U4146">
        <v>-31</v>
      </c>
      <c r="V4146">
        <v>-3505</v>
      </c>
      <c r="W4146">
        <v>4.13</v>
      </c>
      <c r="X4146" t="s">
        <v>3925</v>
      </c>
      <c r="Y4146" t="s">
        <v>7205</v>
      </c>
      <c r="Z4146">
        <v>1.34</v>
      </c>
      <c r="AA4146">
        <v>1380</v>
      </c>
      <c r="AB4146">
        <v>915</v>
      </c>
      <c r="AC4146">
        <v>1.19</v>
      </c>
      <c r="AD4146" t="s">
        <v>19728</v>
      </c>
      <c r="AE4146" t="s">
        <v>18427</v>
      </c>
      <c r="AF4146" t="s">
        <v>19729</v>
      </c>
      <c r="AG4146" t="s">
        <v>6452</v>
      </c>
      <c r="AH4146">
        <v>-2.13</v>
      </c>
      <c r="AI4146">
        <v>-1.66</v>
      </c>
      <c r="AJ4146">
        <v>3.81</v>
      </c>
      <c r="AK4146">
        <v>9.41</v>
      </c>
      <c r="AL4146">
        <v>-4</v>
      </c>
      <c r="AM4146">
        <v>-0.24</v>
      </c>
      <c r="AN4146">
        <v>9.52</v>
      </c>
      <c r="AO4146">
        <v>1.47</v>
      </c>
      <c r="AP4146">
        <v>5.34</v>
      </c>
    </row>
    <row r="4147" spans="1:42">
      <c r="A4147">
        <v>4146</v>
      </c>
      <c r="B4147" t="str">
        <f>"002469"</f>
        <v>002469</v>
      </c>
      <c r="C4147" t="s">
        <v>19730</v>
      </c>
      <c r="D4147">
        <v>6.13</v>
      </c>
      <c r="E4147">
        <v>-0.33</v>
      </c>
      <c r="F4147">
        <v>-0.02</v>
      </c>
      <c r="G4147" t="s">
        <v>4988</v>
      </c>
      <c r="H4147">
        <v>75</v>
      </c>
      <c r="I4147">
        <v>6.12</v>
      </c>
      <c r="J4147">
        <v>6.13</v>
      </c>
      <c r="K4147" t="s">
        <v>19731</v>
      </c>
      <c r="L4147">
        <v>0.78</v>
      </c>
      <c r="M4147" t="s">
        <v>46</v>
      </c>
      <c r="N4147" t="s">
        <v>507</v>
      </c>
      <c r="O4147">
        <v>6.17</v>
      </c>
      <c r="P4147">
        <v>6.06</v>
      </c>
      <c r="Q4147">
        <v>6.13</v>
      </c>
      <c r="R4147">
        <v>6.15</v>
      </c>
      <c r="S4147">
        <v>1.79</v>
      </c>
      <c r="T4147">
        <v>0.97</v>
      </c>
      <c r="U4147">
        <v>13.77</v>
      </c>
      <c r="V4147">
        <v>701</v>
      </c>
      <c r="W4147">
        <v>6.12</v>
      </c>
      <c r="X4147" t="s">
        <v>9766</v>
      </c>
      <c r="Y4147" t="s">
        <v>4017</v>
      </c>
      <c r="Z4147">
        <v>1.02</v>
      </c>
      <c r="AA4147">
        <v>394</v>
      </c>
      <c r="AB4147">
        <v>303</v>
      </c>
      <c r="AC4147">
        <v>1.51</v>
      </c>
      <c r="AD4147" t="s">
        <v>19732</v>
      </c>
      <c r="AE4147" t="s">
        <v>15488</v>
      </c>
      <c r="AF4147" t="s">
        <v>19733</v>
      </c>
      <c r="AG4147" t="s">
        <v>12753</v>
      </c>
      <c r="AH4147">
        <v>-1.45</v>
      </c>
      <c r="AI4147">
        <v>-1.13</v>
      </c>
      <c r="AJ4147">
        <v>2.42</v>
      </c>
      <c r="AK4147">
        <v>4.83</v>
      </c>
      <c r="AL4147">
        <v>-1</v>
      </c>
      <c r="AM4147">
        <v>-0.33</v>
      </c>
      <c r="AN4147">
        <v>9.07</v>
      </c>
      <c r="AO4147">
        <v>1.83</v>
      </c>
      <c r="AP4147">
        <v>-1.61</v>
      </c>
    </row>
    <row r="4148" spans="1:42">
      <c r="A4148">
        <v>4147</v>
      </c>
      <c r="B4148" t="str">
        <f>"600227"</f>
        <v>600227</v>
      </c>
      <c r="C4148" t="s">
        <v>19734</v>
      </c>
      <c r="D4148">
        <v>2.83</v>
      </c>
      <c r="E4148">
        <v>-0.35</v>
      </c>
      <c r="F4148">
        <v>-0.01</v>
      </c>
      <c r="G4148" t="s">
        <v>740</v>
      </c>
      <c r="H4148">
        <v>676</v>
      </c>
      <c r="I4148">
        <v>2.83</v>
      </c>
      <c r="J4148">
        <v>2.84</v>
      </c>
      <c r="K4148" t="s">
        <v>19735</v>
      </c>
      <c r="L4148">
        <v>0.81</v>
      </c>
      <c r="M4148" t="s">
        <v>46</v>
      </c>
      <c r="N4148" t="s">
        <v>13180</v>
      </c>
      <c r="O4148">
        <v>2.88</v>
      </c>
      <c r="P4148">
        <v>2.83</v>
      </c>
      <c r="Q4148">
        <v>2.83</v>
      </c>
      <c r="R4148">
        <v>2.84</v>
      </c>
      <c r="S4148">
        <v>1.76</v>
      </c>
      <c r="T4148">
        <v>1.11</v>
      </c>
      <c r="U4148">
        <v>-29.89</v>
      </c>
      <c r="V4148">
        <v>-5994</v>
      </c>
      <c r="W4148">
        <v>2.85</v>
      </c>
      <c r="X4148" t="s">
        <v>8120</v>
      </c>
      <c r="Y4148" t="s">
        <v>2299</v>
      </c>
      <c r="Z4148">
        <v>1.24</v>
      </c>
      <c r="AA4148">
        <v>1963</v>
      </c>
      <c r="AB4148">
        <v>660</v>
      </c>
      <c r="AC4148">
        <v>1.88</v>
      </c>
      <c r="AD4148" t="s">
        <v>19736</v>
      </c>
      <c r="AE4148" t="s">
        <v>4347</v>
      </c>
      <c r="AF4148" t="s">
        <v>11838</v>
      </c>
      <c r="AG4148" t="s">
        <v>19737</v>
      </c>
      <c r="AH4148">
        <v>-1.05</v>
      </c>
      <c r="AI4148">
        <v>-1.39</v>
      </c>
      <c r="AJ4148">
        <v>2.16</v>
      </c>
      <c r="AK4148">
        <v>4.49</v>
      </c>
      <c r="AL4148">
        <v>-2</v>
      </c>
      <c r="AM4148">
        <v>-0.35</v>
      </c>
      <c r="AN4148">
        <v>-6.6</v>
      </c>
      <c r="AO4148">
        <v>-1.74</v>
      </c>
      <c r="AP4148">
        <v>-13.19</v>
      </c>
    </row>
    <row r="4149" spans="1:42">
      <c r="A4149">
        <v>4148</v>
      </c>
      <c r="B4149" t="str">
        <f>"605298"</f>
        <v>605298</v>
      </c>
      <c r="C4149" t="s">
        <v>19738</v>
      </c>
      <c r="D4149">
        <v>16.15</v>
      </c>
      <c r="E4149">
        <v>0.62</v>
      </c>
      <c r="F4149">
        <v>0.1</v>
      </c>
      <c r="G4149" t="s">
        <v>6012</v>
      </c>
      <c r="H4149">
        <v>172</v>
      </c>
      <c r="I4149">
        <v>16.15</v>
      </c>
      <c r="J4149">
        <v>16.17</v>
      </c>
      <c r="K4149" t="s">
        <v>19739</v>
      </c>
      <c r="L4149">
        <v>4.28</v>
      </c>
      <c r="M4149" t="s">
        <v>46</v>
      </c>
      <c r="N4149" t="s">
        <v>4095</v>
      </c>
      <c r="O4149">
        <v>16.29</v>
      </c>
      <c r="P4149">
        <v>15.95</v>
      </c>
      <c r="Q4149">
        <v>16.13</v>
      </c>
      <c r="R4149">
        <v>16.05</v>
      </c>
      <c r="S4149">
        <v>2.12</v>
      </c>
      <c r="T4149">
        <v>1.11</v>
      </c>
      <c r="U4149">
        <v>4.69</v>
      </c>
      <c r="V4149">
        <v>35</v>
      </c>
      <c r="W4149">
        <v>16.12</v>
      </c>
      <c r="X4149">
        <v>9429</v>
      </c>
      <c r="Y4149">
        <v>8934</v>
      </c>
      <c r="Z4149">
        <v>1.06</v>
      </c>
      <c r="AA4149">
        <v>287</v>
      </c>
      <c r="AB4149">
        <v>128</v>
      </c>
      <c r="AC4149">
        <v>2.42</v>
      </c>
      <c r="AD4149" t="s">
        <v>6907</v>
      </c>
      <c r="AE4149" t="s">
        <v>18709</v>
      </c>
      <c r="AF4149" t="s">
        <v>17248</v>
      </c>
      <c r="AG4149" t="s">
        <v>6071</v>
      </c>
      <c r="AH4149">
        <v>-0.62</v>
      </c>
      <c r="AI4149">
        <v>-0.92</v>
      </c>
      <c r="AJ4149">
        <v>10.68</v>
      </c>
      <c r="AK4149">
        <v>23.51</v>
      </c>
      <c r="AL4149">
        <v>1</v>
      </c>
      <c r="AM4149">
        <v>0.62</v>
      </c>
      <c r="AN4149">
        <v>26.77</v>
      </c>
      <c r="AO4149">
        <v>5.35</v>
      </c>
      <c r="AP4149">
        <v>16.52</v>
      </c>
    </row>
    <row r="4150" spans="1:42">
      <c r="A4150">
        <v>4149</v>
      </c>
      <c r="B4150" t="str">
        <f>"301149"</f>
        <v>301149</v>
      </c>
      <c r="C4150" t="s">
        <v>19740</v>
      </c>
      <c r="D4150">
        <v>12.09</v>
      </c>
      <c r="E4150">
        <v>-0.17</v>
      </c>
      <c r="F4150">
        <v>-0.02</v>
      </c>
      <c r="G4150" t="s">
        <v>9272</v>
      </c>
      <c r="H4150">
        <v>332</v>
      </c>
      <c r="I4150">
        <v>12.08</v>
      </c>
      <c r="J4150">
        <v>12.09</v>
      </c>
      <c r="K4150" t="s">
        <v>19741</v>
      </c>
      <c r="L4150">
        <v>1.32</v>
      </c>
      <c r="M4150" t="s">
        <v>46</v>
      </c>
      <c r="N4150" t="s">
        <v>7627</v>
      </c>
      <c r="O4150">
        <v>12.2</v>
      </c>
      <c r="P4150">
        <v>12.04</v>
      </c>
      <c r="Q4150">
        <v>12.17</v>
      </c>
      <c r="R4150">
        <v>12.11</v>
      </c>
      <c r="S4150">
        <v>1.32</v>
      </c>
      <c r="T4150">
        <v>0.73</v>
      </c>
      <c r="U4150">
        <v>49.27</v>
      </c>
      <c r="V4150">
        <v>472</v>
      </c>
      <c r="W4150">
        <v>12.11</v>
      </c>
      <c r="X4150" t="s">
        <v>1170</v>
      </c>
      <c r="Y4150" t="s">
        <v>4959</v>
      </c>
      <c r="Z4150">
        <v>1.17</v>
      </c>
      <c r="AA4150">
        <v>27</v>
      </c>
      <c r="AB4150">
        <v>2</v>
      </c>
      <c r="AC4150">
        <v>2.93</v>
      </c>
      <c r="AD4150" t="s">
        <v>8850</v>
      </c>
      <c r="AE4150" t="s">
        <v>19742</v>
      </c>
      <c r="AF4150" t="s">
        <v>4910</v>
      </c>
      <c r="AG4150" t="s">
        <v>328</v>
      </c>
      <c r="AH4150">
        <v>-1.95</v>
      </c>
      <c r="AI4150">
        <v>-2.81</v>
      </c>
      <c r="AJ4150">
        <v>4.39</v>
      </c>
      <c r="AK4150">
        <v>10.37</v>
      </c>
      <c r="AL4150">
        <v>-3</v>
      </c>
      <c r="AM4150">
        <v>-0.17</v>
      </c>
      <c r="AN4150">
        <v>11.94</v>
      </c>
      <c r="AO4150">
        <v>1.68</v>
      </c>
      <c r="AP4150">
        <v>1.26</v>
      </c>
    </row>
    <row r="4151" spans="1:42">
      <c r="A4151">
        <v>4150</v>
      </c>
      <c r="B4151" t="str">
        <f>"600628"</f>
        <v>600628</v>
      </c>
      <c r="C4151" t="s">
        <v>19743</v>
      </c>
      <c r="D4151">
        <v>7.42</v>
      </c>
      <c r="E4151">
        <v>0.41</v>
      </c>
      <c r="F4151">
        <v>0.03</v>
      </c>
      <c r="G4151" t="s">
        <v>4941</v>
      </c>
      <c r="H4151">
        <v>228</v>
      </c>
      <c r="I4151">
        <v>7.41</v>
      </c>
      <c r="J4151">
        <v>7.42</v>
      </c>
      <c r="K4151" t="s">
        <v>19741</v>
      </c>
      <c r="L4151">
        <v>0.61</v>
      </c>
      <c r="M4151" t="s">
        <v>46</v>
      </c>
      <c r="N4151" t="s">
        <v>5691</v>
      </c>
      <c r="O4151">
        <v>7.5</v>
      </c>
      <c r="P4151">
        <v>7.35</v>
      </c>
      <c r="Q4151">
        <v>7.37</v>
      </c>
      <c r="R4151">
        <v>7.39</v>
      </c>
      <c r="S4151">
        <v>2.03</v>
      </c>
      <c r="T4151">
        <v>0.99</v>
      </c>
      <c r="U4151">
        <v>-37.88</v>
      </c>
      <c r="V4151">
        <v>-916</v>
      </c>
      <c r="W4151">
        <v>7.44</v>
      </c>
      <c r="X4151" t="s">
        <v>1072</v>
      </c>
      <c r="Y4151" t="s">
        <v>5592</v>
      </c>
      <c r="Z4151">
        <v>0.89</v>
      </c>
      <c r="AA4151">
        <v>54</v>
      </c>
      <c r="AB4151">
        <v>572</v>
      </c>
      <c r="AC4151">
        <v>1.13</v>
      </c>
      <c r="AD4151" t="s">
        <v>19744</v>
      </c>
      <c r="AE4151" t="s">
        <v>9637</v>
      </c>
      <c r="AF4151" t="s">
        <v>19744</v>
      </c>
      <c r="AG4151" t="s">
        <v>9637</v>
      </c>
      <c r="AH4151">
        <v>0.54</v>
      </c>
      <c r="AI4151">
        <v>0.41</v>
      </c>
      <c r="AJ4151">
        <v>1.79</v>
      </c>
      <c r="AK4151">
        <v>3.7</v>
      </c>
      <c r="AL4151">
        <v>2</v>
      </c>
      <c r="AM4151">
        <v>0.41</v>
      </c>
      <c r="AN4151">
        <v>-2.5</v>
      </c>
      <c r="AO4151">
        <v>3.63</v>
      </c>
      <c r="AP4151">
        <v>8.8</v>
      </c>
    </row>
    <row r="4152" spans="1:42">
      <c r="A4152">
        <v>4151</v>
      </c>
      <c r="B4152" t="str">
        <f>"301056"</f>
        <v>301056</v>
      </c>
      <c r="C4152" t="s">
        <v>19745</v>
      </c>
      <c r="D4152">
        <v>10.35</v>
      </c>
      <c r="E4152">
        <v>-0.58</v>
      </c>
      <c r="F4152">
        <v>-0.06</v>
      </c>
      <c r="G4152" t="s">
        <v>4610</v>
      </c>
      <c r="H4152">
        <v>97</v>
      </c>
      <c r="I4152">
        <v>10.34</v>
      </c>
      <c r="J4152">
        <v>10.35</v>
      </c>
      <c r="K4152" t="s">
        <v>19746</v>
      </c>
      <c r="L4152">
        <v>4.28</v>
      </c>
      <c r="M4152" t="s">
        <v>46</v>
      </c>
      <c r="N4152" t="s">
        <v>2635</v>
      </c>
      <c r="O4152">
        <v>10.45</v>
      </c>
      <c r="P4152">
        <v>10.28</v>
      </c>
      <c r="Q4152">
        <v>10.45</v>
      </c>
      <c r="R4152">
        <v>10.41</v>
      </c>
      <c r="S4152">
        <v>1.63</v>
      </c>
      <c r="T4152">
        <v>1.2</v>
      </c>
      <c r="U4152">
        <v>7.19</v>
      </c>
      <c r="V4152">
        <v>57</v>
      </c>
      <c r="W4152">
        <v>10.36</v>
      </c>
      <c r="X4152" t="s">
        <v>3284</v>
      </c>
      <c r="Y4152" t="s">
        <v>7656</v>
      </c>
      <c r="Z4152">
        <v>0.93</v>
      </c>
      <c r="AA4152">
        <v>38</v>
      </c>
      <c r="AB4152">
        <v>7</v>
      </c>
      <c r="AC4152">
        <v>3.46</v>
      </c>
      <c r="AD4152" t="s">
        <v>10988</v>
      </c>
      <c r="AE4152" t="s">
        <v>7112</v>
      </c>
      <c r="AF4152" t="s">
        <v>13922</v>
      </c>
      <c r="AG4152" t="s">
        <v>19747</v>
      </c>
      <c r="AH4152">
        <v>-2.27</v>
      </c>
      <c r="AI4152">
        <v>-1.99</v>
      </c>
      <c r="AJ4152">
        <v>11.47</v>
      </c>
      <c r="AK4152">
        <v>22.05</v>
      </c>
      <c r="AL4152">
        <v>-3</v>
      </c>
      <c r="AM4152">
        <v>-0.58</v>
      </c>
      <c r="AN4152">
        <v>36.9</v>
      </c>
      <c r="AO4152">
        <v>0.39</v>
      </c>
      <c r="AP4152">
        <v>26.68</v>
      </c>
    </row>
    <row r="4153" spans="1:42">
      <c r="A4153">
        <v>4152</v>
      </c>
      <c r="B4153" t="str">
        <f>"002616"</f>
        <v>002616</v>
      </c>
      <c r="C4153" t="s">
        <v>19748</v>
      </c>
      <c r="D4153">
        <v>5.38</v>
      </c>
      <c r="E4153">
        <v>0.19</v>
      </c>
      <c r="F4153">
        <v>0.01</v>
      </c>
      <c r="G4153" t="s">
        <v>9519</v>
      </c>
      <c r="H4153">
        <v>894</v>
      </c>
      <c r="I4153">
        <v>5.38</v>
      </c>
      <c r="J4153">
        <v>5.39</v>
      </c>
      <c r="K4153" t="s">
        <v>19746</v>
      </c>
      <c r="L4153">
        <v>1.17</v>
      </c>
      <c r="M4153" t="s">
        <v>46</v>
      </c>
      <c r="N4153" t="s">
        <v>10383</v>
      </c>
      <c r="O4153">
        <v>5.42</v>
      </c>
      <c r="P4153">
        <v>5.35</v>
      </c>
      <c r="Q4153">
        <v>5.35</v>
      </c>
      <c r="R4153">
        <v>5.37</v>
      </c>
      <c r="S4153">
        <v>1.3</v>
      </c>
      <c r="T4153">
        <v>1.01</v>
      </c>
      <c r="U4153">
        <v>8.76</v>
      </c>
      <c r="V4153">
        <v>631</v>
      </c>
      <c r="W4153">
        <v>5.38</v>
      </c>
      <c r="X4153" t="s">
        <v>3116</v>
      </c>
      <c r="Y4153" t="s">
        <v>5454</v>
      </c>
      <c r="Z4153">
        <v>0.63</v>
      </c>
      <c r="AA4153">
        <v>361</v>
      </c>
      <c r="AB4153">
        <v>371</v>
      </c>
      <c r="AC4153">
        <v>1.62</v>
      </c>
      <c r="AD4153" t="s">
        <v>19749</v>
      </c>
      <c r="AE4153" t="s">
        <v>18624</v>
      </c>
      <c r="AF4153" t="s">
        <v>19750</v>
      </c>
      <c r="AG4153" t="s">
        <v>16890</v>
      </c>
      <c r="AH4153">
        <v>-1.47</v>
      </c>
      <c r="AI4153">
        <v>-2</v>
      </c>
      <c r="AJ4153">
        <v>3.69</v>
      </c>
      <c r="AK4153">
        <v>6.95</v>
      </c>
      <c r="AL4153">
        <v>1</v>
      </c>
      <c r="AM4153">
        <v>0.19</v>
      </c>
      <c r="AN4153">
        <v>12.32</v>
      </c>
      <c r="AO4153">
        <v>1.51</v>
      </c>
      <c r="AP4153">
        <v>9.57</v>
      </c>
    </row>
    <row r="4154" spans="1:42">
      <c r="A4154">
        <v>4153</v>
      </c>
      <c r="B4154" t="str">
        <f>"605598"</f>
        <v>605598</v>
      </c>
      <c r="C4154" t="s">
        <v>19751</v>
      </c>
      <c r="D4154">
        <v>28.48</v>
      </c>
      <c r="E4154">
        <v>-1.01</v>
      </c>
      <c r="F4154">
        <v>-0.29</v>
      </c>
      <c r="G4154" t="s">
        <v>239</v>
      </c>
      <c r="H4154">
        <v>153</v>
      </c>
      <c r="I4154">
        <v>28.48</v>
      </c>
      <c r="J4154">
        <v>28.49</v>
      </c>
      <c r="K4154" t="s">
        <v>19752</v>
      </c>
      <c r="L4154">
        <v>1.41</v>
      </c>
      <c r="M4154" t="s">
        <v>46</v>
      </c>
      <c r="N4154" t="s">
        <v>1318</v>
      </c>
      <c r="O4154">
        <v>29</v>
      </c>
      <c r="P4154">
        <v>28.19</v>
      </c>
      <c r="Q4154">
        <v>28.83</v>
      </c>
      <c r="R4154">
        <v>28.77</v>
      </c>
      <c r="S4154">
        <v>2.82</v>
      </c>
      <c r="T4154">
        <v>0.53</v>
      </c>
      <c r="U4154">
        <v>-3.14</v>
      </c>
      <c r="V4154">
        <v>-9</v>
      </c>
      <c r="W4154">
        <v>28.48</v>
      </c>
      <c r="X4154">
        <v>6187</v>
      </c>
      <c r="Y4154">
        <v>4189</v>
      </c>
      <c r="Z4154">
        <v>1.48</v>
      </c>
      <c r="AA4154">
        <v>7</v>
      </c>
      <c r="AB4154">
        <v>10</v>
      </c>
      <c r="AC4154">
        <v>4.08</v>
      </c>
      <c r="AD4154" t="s">
        <v>6274</v>
      </c>
      <c r="AE4154" t="s">
        <v>19753</v>
      </c>
      <c r="AF4154" t="s">
        <v>13123</v>
      </c>
      <c r="AG4154" t="s">
        <v>19754</v>
      </c>
      <c r="AH4154">
        <v>0.6</v>
      </c>
      <c r="AI4154">
        <v>1.79</v>
      </c>
      <c r="AJ4154">
        <v>9.12</v>
      </c>
      <c r="AK4154">
        <v>14.61</v>
      </c>
      <c r="AL4154">
        <v>-2</v>
      </c>
      <c r="AM4154">
        <v>-1.01</v>
      </c>
      <c r="AN4154">
        <v>60.72</v>
      </c>
      <c r="AO4154">
        <v>8.37</v>
      </c>
      <c r="AP4154">
        <v>41.76</v>
      </c>
    </row>
    <row r="4155" spans="1:42">
      <c r="A4155">
        <v>4154</v>
      </c>
      <c r="B4155" t="str">
        <f>"600165"</f>
        <v>600165</v>
      </c>
      <c r="C4155" t="s">
        <v>19755</v>
      </c>
      <c r="D4155">
        <v>3.57</v>
      </c>
      <c r="E4155">
        <v>0.28</v>
      </c>
      <c r="F4155">
        <v>0.01</v>
      </c>
      <c r="G4155" t="s">
        <v>7154</v>
      </c>
      <c r="H4155">
        <v>991</v>
      </c>
      <c r="I4155">
        <v>3.57</v>
      </c>
      <c r="J4155">
        <v>3.58</v>
      </c>
      <c r="K4155" t="s">
        <v>19752</v>
      </c>
      <c r="L4155">
        <v>1.21</v>
      </c>
      <c r="M4155" t="s">
        <v>46</v>
      </c>
      <c r="N4155" t="s">
        <v>7888</v>
      </c>
      <c r="O4155">
        <v>3.61</v>
      </c>
      <c r="P4155">
        <v>3.53</v>
      </c>
      <c r="Q4155">
        <v>3.57</v>
      </c>
      <c r="R4155">
        <v>3.56</v>
      </c>
      <c r="S4155">
        <v>2.25</v>
      </c>
      <c r="T4155">
        <v>1.01</v>
      </c>
      <c r="U4155">
        <v>-4.73</v>
      </c>
      <c r="V4155">
        <v>-495</v>
      </c>
      <c r="W4155">
        <v>3.57</v>
      </c>
      <c r="X4155" t="s">
        <v>3318</v>
      </c>
      <c r="Y4155" t="s">
        <v>5235</v>
      </c>
      <c r="Z4155">
        <v>0.92</v>
      </c>
      <c r="AA4155">
        <v>187</v>
      </c>
      <c r="AB4155">
        <v>289</v>
      </c>
      <c r="AC4155">
        <v>5.98</v>
      </c>
      <c r="AD4155" t="s">
        <v>17477</v>
      </c>
      <c r="AE4155" t="s">
        <v>19756</v>
      </c>
      <c r="AF4155" t="s">
        <v>17477</v>
      </c>
      <c r="AG4155" t="s">
        <v>19756</v>
      </c>
      <c r="AH4155">
        <v>-1.38</v>
      </c>
      <c r="AI4155">
        <v>-2.99</v>
      </c>
      <c r="AJ4155">
        <v>3.55</v>
      </c>
      <c r="AK4155">
        <v>7.16</v>
      </c>
      <c r="AL4155">
        <v>1</v>
      </c>
      <c r="AM4155">
        <v>0.28</v>
      </c>
      <c r="AN4155">
        <v>-47.19</v>
      </c>
      <c r="AO4155">
        <v>0.85</v>
      </c>
      <c r="AP4155">
        <v>-58.63</v>
      </c>
    </row>
    <row r="4156" spans="1:42">
      <c r="A4156">
        <v>4155</v>
      </c>
      <c r="B4156" t="str">
        <f>"832023"</f>
        <v>832023</v>
      </c>
      <c r="C4156" t="s">
        <v>19757</v>
      </c>
      <c r="D4156">
        <v>3.23</v>
      </c>
      <c r="E4156">
        <v>-3</v>
      </c>
      <c r="F4156">
        <v>-0.1</v>
      </c>
      <c r="G4156" t="s">
        <v>8379</v>
      </c>
      <c r="H4156">
        <v>619</v>
      </c>
      <c r="I4156">
        <v>3.23</v>
      </c>
      <c r="J4156">
        <v>3.26</v>
      </c>
      <c r="K4156" t="s">
        <v>19758</v>
      </c>
      <c r="L4156">
        <v>3.63</v>
      </c>
      <c r="M4156" t="s">
        <v>46</v>
      </c>
      <c r="N4156" t="s">
        <v>4357</v>
      </c>
      <c r="O4156">
        <v>3.43</v>
      </c>
      <c r="P4156">
        <v>3.22</v>
      </c>
      <c r="Q4156">
        <v>3.35</v>
      </c>
      <c r="R4156">
        <v>3.33</v>
      </c>
      <c r="S4156">
        <v>6.31</v>
      </c>
      <c r="T4156">
        <v>0.3</v>
      </c>
      <c r="U4156">
        <v>62.63</v>
      </c>
      <c r="V4156">
        <v>4339</v>
      </c>
      <c r="W4156">
        <v>3.31</v>
      </c>
      <c r="X4156" t="s">
        <v>3030</v>
      </c>
      <c r="Y4156" t="s">
        <v>5266</v>
      </c>
      <c r="Z4156">
        <v>1.88</v>
      </c>
      <c r="AA4156">
        <v>1183</v>
      </c>
      <c r="AB4156">
        <v>136</v>
      </c>
      <c r="AC4156">
        <v>0.89</v>
      </c>
      <c r="AD4156" t="s">
        <v>19759</v>
      </c>
      <c r="AE4156" t="s">
        <v>8346</v>
      </c>
      <c r="AF4156" t="s">
        <v>19760</v>
      </c>
      <c r="AG4156" t="s">
        <v>19761</v>
      </c>
      <c r="AH4156">
        <v>-15.89</v>
      </c>
      <c r="AI4156">
        <v>5.9</v>
      </c>
      <c r="AJ4156">
        <v>19.35</v>
      </c>
      <c r="AK4156">
        <v>64.34</v>
      </c>
      <c r="AL4156">
        <v>-1</v>
      </c>
      <c r="AM4156">
        <v>-3</v>
      </c>
      <c r="AN4156">
        <v>-13.87</v>
      </c>
      <c r="AO4156">
        <v>32.92</v>
      </c>
      <c r="AP4156">
        <v>-13.87</v>
      </c>
    </row>
    <row r="4157" spans="1:42">
      <c r="A4157">
        <v>4156</v>
      </c>
      <c r="B4157" t="str">
        <f>"000958"</f>
        <v>000958</v>
      </c>
      <c r="C4157" t="s">
        <v>19762</v>
      </c>
      <c r="D4157">
        <v>4.07</v>
      </c>
      <c r="E4157">
        <v>0.25</v>
      </c>
      <c r="F4157">
        <v>0.01</v>
      </c>
      <c r="G4157" t="s">
        <v>11149</v>
      </c>
      <c r="H4157">
        <v>785</v>
      </c>
      <c r="I4157">
        <v>4.07</v>
      </c>
      <c r="J4157">
        <v>4.08</v>
      </c>
      <c r="K4157" t="s">
        <v>19763</v>
      </c>
      <c r="L4157">
        <v>0.13</v>
      </c>
      <c r="M4157" t="s">
        <v>46</v>
      </c>
      <c r="N4157" t="s">
        <v>5419</v>
      </c>
      <c r="O4157">
        <v>4.09</v>
      </c>
      <c r="P4157">
        <v>4.05</v>
      </c>
      <c r="Q4157">
        <v>4.07</v>
      </c>
      <c r="R4157">
        <v>4.06</v>
      </c>
      <c r="S4157">
        <v>0.99</v>
      </c>
      <c r="T4157">
        <v>0.93</v>
      </c>
      <c r="U4157">
        <v>-27.97</v>
      </c>
      <c r="V4157">
        <v>-7867</v>
      </c>
      <c r="W4157">
        <v>4.07</v>
      </c>
      <c r="X4157" t="s">
        <v>1687</v>
      </c>
      <c r="Y4157" t="s">
        <v>2973</v>
      </c>
      <c r="Z4157">
        <v>0.85</v>
      </c>
      <c r="AA4157">
        <v>2717</v>
      </c>
      <c r="AB4157">
        <v>1854</v>
      </c>
      <c r="AC4157">
        <v>1.16</v>
      </c>
      <c r="AD4157" t="s">
        <v>19764</v>
      </c>
      <c r="AE4157" t="s">
        <v>10985</v>
      </c>
      <c r="AF4157" t="s">
        <v>19764</v>
      </c>
      <c r="AG4157" t="s">
        <v>10985</v>
      </c>
      <c r="AH4157">
        <v>-0.25</v>
      </c>
      <c r="AI4157">
        <v>-1.21</v>
      </c>
      <c r="AJ4157">
        <v>0.39</v>
      </c>
      <c r="AK4157">
        <v>0.86</v>
      </c>
      <c r="AL4157">
        <v>2</v>
      </c>
      <c r="AM4157">
        <v>0.25</v>
      </c>
      <c r="AN4157">
        <v>-7.5</v>
      </c>
      <c r="AO4157">
        <v>-1.93</v>
      </c>
      <c r="AP4157">
        <v>-2.86</v>
      </c>
    </row>
    <row r="4158" spans="1:42">
      <c r="A4158">
        <v>4157</v>
      </c>
      <c r="B4158" t="str">
        <f>"688620"</f>
        <v>688620</v>
      </c>
      <c r="C4158" t="s">
        <v>19765</v>
      </c>
      <c r="D4158">
        <v>12.49</v>
      </c>
      <c r="E4158">
        <v>0.64</v>
      </c>
      <c r="F4158">
        <v>0.08</v>
      </c>
      <c r="G4158" t="s">
        <v>6419</v>
      </c>
      <c r="H4158">
        <v>494</v>
      </c>
      <c r="I4158">
        <v>12.49</v>
      </c>
      <c r="J4158">
        <v>12.5</v>
      </c>
      <c r="K4158" t="s">
        <v>19766</v>
      </c>
      <c r="L4158">
        <v>2.82</v>
      </c>
      <c r="M4158" t="s">
        <v>46</v>
      </c>
      <c r="N4158" t="s">
        <v>3946</v>
      </c>
      <c r="O4158">
        <v>12.58</v>
      </c>
      <c r="P4158">
        <v>12.27</v>
      </c>
      <c r="Q4158">
        <v>12.41</v>
      </c>
      <c r="R4158">
        <v>12.41</v>
      </c>
      <c r="S4158">
        <v>2.5</v>
      </c>
      <c r="T4158">
        <v>0.73</v>
      </c>
      <c r="U4158">
        <v>25.91</v>
      </c>
      <c r="V4158">
        <v>209</v>
      </c>
      <c r="W4158">
        <v>12.43</v>
      </c>
      <c r="X4158" t="s">
        <v>1254</v>
      </c>
      <c r="Y4158" t="s">
        <v>2284</v>
      </c>
      <c r="Z4158">
        <v>1.06</v>
      </c>
      <c r="AA4158">
        <v>76</v>
      </c>
      <c r="AB4158">
        <v>28</v>
      </c>
      <c r="AC4158">
        <v>3.22</v>
      </c>
      <c r="AD4158" t="s">
        <v>18389</v>
      </c>
      <c r="AE4158" t="s">
        <v>11658</v>
      </c>
      <c r="AF4158" t="s">
        <v>19767</v>
      </c>
      <c r="AG4158" t="s">
        <v>16780</v>
      </c>
      <c r="AH4158">
        <v>-2.27</v>
      </c>
      <c r="AI4158">
        <v>-3.18</v>
      </c>
      <c r="AJ4158">
        <v>10.01</v>
      </c>
      <c r="AK4158">
        <v>21.98</v>
      </c>
      <c r="AL4158">
        <v>1</v>
      </c>
      <c r="AM4158">
        <v>0.64</v>
      </c>
      <c r="AN4158">
        <v>16.95</v>
      </c>
      <c r="AO4158">
        <v>-0.24</v>
      </c>
      <c r="AP4158">
        <v>16.95</v>
      </c>
    </row>
    <row r="4159" spans="1:42">
      <c r="A4159">
        <v>4158</v>
      </c>
      <c r="B4159" t="str">
        <f>"300658"</f>
        <v>300658</v>
      </c>
      <c r="C4159" t="s">
        <v>19768</v>
      </c>
      <c r="D4159">
        <v>7.06</v>
      </c>
      <c r="E4159">
        <v>1.88</v>
      </c>
      <c r="F4159">
        <v>0.13</v>
      </c>
      <c r="G4159" t="s">
        <v>7877</v>
      </c>
      <c r="H4159">
        <v>711</v>
      </c>
      <c r="I4159">
        <v>7.05</v>
      </c>
      <c r="J4159">
        <v>7.06</v>
      </c>
      <c r="K4159" t="s">
        <v>19769</v>
      </c>
      <c r="L4159">
        <v>1.84</v>
      </c>
      <c r="M4159" t="s">
        <v>46</v>
      </c>
      <c r="N4159" t="s">
        <v>1197</v>
      </c>
      <c r="O4159">
        <v>7.06</v>
      </c>
      <c r="P4159">
        <v>6.91</v>
      </c>
      <c r="Q4159">
        <v>6.98</v>
      </c>
      <c r="R4159">
        <v>6.93</v>
      </c>
      <c r="S4159">
        <v>2.16</v>
      </c>
      <c r="T4159">
        <v>1.25</v>
      </c>
      <c r="U4159">
        <v>-33.42</v>
      </c>
      <c r="V4159">
        <v>-1352</v>
      </c>
      <c r="W4159">
        <v>7.02</v>
      </c>
      <c r="X4159" t="s">
        <v>3069</v>
      </c>
      <c r="Y4159" t="s">
        <v>4017</v>
      </c>
      <c r="Z4159">
        <v>0.76</v>
      </c>
      <c r="AA4159">
        <v>35</v>
      </c>
      <c r="AB4159">
        <v>431</v>
      </c>
      <c r="AC4159">
        <v>1.68</v>
      </c>
      <c r="AD4159" t="s">
        <v>7969</v>
      </c>
      <c r="AE4159" t="s">
        <v>6322</v>
      </c>
      <c r="AF4159" t="s">
        <v>11722</v>
      </c>
      <c r="AG4159" t="s">
        <v>15803</v>
      </c>
      <c r="AH4159">
        <v>0.14</v>
      </c>
      <c r="AI4159">
        <v>-0.14</v>
      </c>
      <c r="AJ4159">
        <v>4.34</v>
      </c>
      <c r="AK4159">
        <v>9.23</v>
      </c>
      <c r="AL4159">
        <v>1</v>
      </c>
      <c r="AM4159">
        <v>1.88</v>
      </c>
      <c r="AN4159">
        <v>-7.35</v>
      </c>
      <c r="AO4159">
        <v>3.22</v>
      </c>
      <c r="AP4159">
        <v>-11.19</v>
      </c>
    </row>
    <row r="4160" spans="1:42">
      <c r="A4160">
        <v>4159</v>
      </c>
      <c r="B4160" t="str">
        <f>"002663"</f>
        <v>002663</v>
      </c>
      <c r="C4160" t="s">
        <v>19770</v>
      </c>
      <c r="D4160">
        <v>1.94</v>
      </c>
      <c r="E4160">
        <v>1.57</v>
      </c>
      <c r="F4160">
        <v>0.03</v>
      </c>
      <c r="G4160" t="s">
        <v>1412</v>
      </c>
      <c r="H4160">
        <v>2704</v>
      </c>
      <c r="I4160">
        <v>1.94</v>
      </c>
      <c r="J4160">
        <v>1.95</v>
      </c>
      <c r="K4160" t="s">
        <v>19771</v>
      </c>
      <c r="L4160">
        <v>1.04</v>
      </c>
      <c r="M4160" t="s">
        <v>46</v>
      </c>
      <c r="N4160" t="s">
        <v>1638</v>
      </c>
      <c r="O4160">
        <v>1.95</v>
      </c>
      <c r="P4160">
        <v>1.9</v>
      </c>
      <c r="Q4160">
        <v>1.92</v>
      </c>
      <c r="R4160">
        <v>1.91</v>
      </c>
      <c r="S4160">
        <v>2.62</v>
      </c>
      <c r="T4160">
        <v>1.11</v>
      </c>
      <c r="U4160">
        <v>-23.37</v>
      </c>
      <c r="V4160" t="s">
        <v>19772</v>
      </c>
      <c r="W4160">
        <v>1.93</v>
      </c>
      <c r="X4160" t="s">
        <v>10064</v>
      </c>
      <c r="Y4160" t="s">
        <v>6324</v>
      </c>
      <c r="Z4160">
        <v>0.71</v>
      </c>
      <c r="AA4160">
        <v>2495</v>
      </c>
      <c r="AB4160" t="s">
        <v>1384</v>
      </c>
      <c r="AC4160">
        <v>1.16</v>
      </c>
      <c r="AD4160" t="s">
        <v>7942</v>
      </c>
      <c r="AE4160" t="s">
        <v>16425</v>
      </c>
      <c r="AF4160" t="s">
        <v>7990</v>
      </c>
      <c r="AG4160" t="s">
        <v>16564</v>
      </c>
      <c r="AH4160">
        <v>0</v>
      </c>
      <c r="AI4160">
        <v>-1.02</v>
      </c>
      <c r="AJ4160">
        <v>2.76</v>
      </c>
      <c r="AK4160">
        <v>5.73</v>
      </c>
      <c r="AL4160">
        <v>1</v>
      </c>
      <c r="AM4160">
        <v>1.57</v>
      </c>
      <c r="AN4160">
        <v>1.04</v>
      </c>
      <c r="AO4160">
        <v>3.19</v>
      </c>
      <c r="AP4160">
        <v>0</v>
      </c>
    </row>
    <row r="4161" spans="1:42">
      <c r="A4161">
        <v>4160</v>
      </c>
      <c r="B4161" t="str">
        <f>"601218"</f>
        <v>601218</v>
      </c>
      <c r="C4161" t="s">
        <v>19773</v>
      </c>
      <c r="D4161">
        <v>3.95</v>
      </c>
      <c r="E4161">
        <v>0.25</v>
      </c>
      <c r="F4161">
        <v>0.01</v>
      </c>
      <c r="G4161" t="s">
        <v>5969</v>
      </c>
      <c r="H4161">
        <v>152</v>
      </c>
      <c r="I4161">
        <v>3.95</v>
      </c>
      <c r="J4161">
        <v>3.96</v>
      </c>
      <c r="K4161" t="s">
        <v>19774</v>
      </c>
      <c r="L4161">
        <v>0.76</v>
      </c>
      <c r="M4161" t="s">
        <v>46</v>
      </c>
      <c r="N4161" t="s">
        <v>1155</v>
      </c>
      <c r="O4161">
        <v>3.97</v>
      </c>
      <c r="P4161">
        <v>3.92</v>
      </c>
      <c r="Q4161">
        <v>3.94</v>
      </c>
      <c r="R4161">
        <v>3.94</v>
      </c>
      <c r="S4161">
        <v>1.27</v>
      </c>
      <c r="T4161">
        <v>0.96</v>
      </c>
      <c r="U4161">
        <v>-31.27</v>
      </c>
      <c r="V4161">
        <v>-6912</v>
      </c>
      <c r="W4161">
        <v>3.95</v>
      </c>
      <c r="X4161" t="s">
        <v>2752</v>
      </c>
      <c r="Y4161" t="s">
        <v>4915</v>
      </c>
      <c r="Z4161">
        <v>1.22</v>
      </c>
      <c r="AA4161">
        <v>266</v>
      </c>
      <c r="AB4161">
        <v>419</v>
      </c>
      <c r="AC4161">
        <v>1.35</v>
      </c>
      <c r="AD4161" t="s">
        <v>19775</v>
      </c>
      <c r="AE4161" t="s">
        <v>19776</v>
      </c>
      <c r="AF4161" t="s">
        <v>19777</v>
      </c>
      <c r="AG4161" t="s">
        <v>8935</v>
      </c>
      <c r="AH4161">
        <v>-0.75</v>
      </c>
      <c r="AI4161">
        <v>-1</v>
      </c>
      <c r="AJ4161">
        <v>2.22</v>
      </c>
      <c r="AK4161">
        <v>4.75</v>
      </c>
      <c r="AL4161">
        <v>1</v>
      </c>
      <c r="AM4161">
        <v>0.25</v>
      </c>
      <c r="AN4161">
        <v>0.51</v>
      </c>
      <c r="AO4161">
        <v>3.4</v>
      </c>
      <c r="AP4161">
        <v>-6.18</v>
      </c>
    </row>
    <row r="4162" spans="1:42">
      <c r="A4162">
        <v>4161</v>
      </c>
      <c r="B4162" t="str">
        <f>"001322"</f>
        <v>001322</v>
      </c>
      <c r="C4162" t="s">
        <v>19778</v>
      </c>
      <c r="D4162">
        <v>12.48</v>
      </c>
      <c r="E4162">
        <v>0.56</v>
      </c>
      <c r="F4162">
        <v>0.07</v>
      </c>
      <c r="G4162" t="s">
        <v>6419</v>
      </c>
      <c r="H4162">
        <v>212</v>
      </c>
      <c r="I4162">
        <v>12.47</v>
      </c>
      <c r="J4162">
        <v>12.48</v>
      </c>
      <c r="K4162" t="s">
        <v>19779</v>
      </c>
      <c r="L4162">
        <v>1.55</v>
      </c>
      <c r="M4162" t="s">
        <v>46</v>
      </c>
      <c r="N4162" t="s">
        <v>12015</v>
      </c>
      <c r="O4162">
        <v>12.56</v>
      </c>
      <c r="P4162">
        <v>12.32</v>
      </c>
      <c r="Q4162">
        <v>12.5</v>
      </c>
      <c r="R4162">
        <v>12.41</v>
      </c>
      <c r="S4162">
        <v>1.93</v>
      </c>
      <c r="T4162">
        <v>0.64</v>
      </c>
      <c r="U4162">
        <v>8.49</v>
      </c>
      <c r="V4162">
        <v>103</v>
      </c>
      <c r="W4162">
        <v>12.42</v>
      </c>
      <c r="X4162" t="s">
        <v>1083</v>
      </c>
      <c r="Y4162" t="s">
        <v>1083</v>
      </c>
      <c r="Z4162">
        <v>1</v>
      </c>
      <c r="AA4162">
        <v>328</v>
      </c>
      <c r="AB4162">
        <v>33</v>
      </c>
      <c r="AC4162">
        <v>2.49</v>
      </c>
      <c r="AD4162" t="s">
        <v>19780</v>
      </c>
      <c r="AE4162" t="s">
        <v>19781</v>
      </c>
      <c r="AF4162" t="s">
        <v>19782</v>
      </c>
      <c r="AG4162" t="s">
        <v>4596</v>
      </c>
      <c r="AH4162">
        <v>-1.81</v>
      </c>
      <c r="AI4162">
        <v>-4.88</v>
      </c>
      <c r="AJ4162">
        <v>5.1</v>
      </c>
      <c r="AK4162">
        <v>13.72</v>
      </c>
      <c r="AL4162">
        <v>1</v>
      </c>
      <c r="AM4162">
        <v>0.56</v>
      </c>
      <c r="AN4162">
        <v>-16.91</v>
      </c>
      <c r="AO4162">
        <v>-2.19</v>
      </c>
      <c r="AP4162">
        <v>-11.3</v>
      </c>
    </row>
    <row r="4163" spans="1:42">
      <c r="A4163">
        <v>4162</v>
      </c>
      <c r="B4163" t="str">
        <f>"000985"</f>
        <v>000985</v>
      </c>
      <c r="C4163" t="s">
        <v>19783</v>
      </c>
      <c r="D4163">
        <v>16.62</v>
      </c>
      <c r="E4163">
        <v>0.48</v>
      </c>
      <c r="F4163">
        <v>0.08</v>
      </c>
      <c r="G4163" t="s">
        <v>60</v>
      </c>
      <c r="H4163">
        <v>86</v>
      </c>
      <c r="I4163">
        <v>16.59</v>
      </c>
      <c r="J4163">
        <v>16.62</v>
      </c>
      <c r="K4163" t="s">
        <v>19779</v>
      </c>
      <c r="L4163">
        <v>1.37</v>
      </c>
      <c r="M4163" t="s">
        <v>46</v>
      </c>
      <c r="N4163" t="s">
        <v>2533</v>
      </c>
      <c r="O4163">
        <v>16.72</v>
      </c>
      <c r="P4163">
        <v>16.42</v>
      </c>
      <c r="Q4163">
        <v>16.54</v>
      </c>
      <c r="R4163">
        <v>16.54</v>
      </c>
      <c r="S4163">
        <v>1.81</v>
      </c>
      <c r="T4163">
        <v>1.14</v>
      </c>
      <c r="U4163">
        <v>8.57</v>
      </c>
      <c r="V4163">
        <v>15</v>
      </c>
      <c r="W4163">
        <v>16.55</v>
      </c>
      <c r="X4163">
        <v>7263</v>
      </c>
      <c r="Y4163" t="s">
        <v>1400</v>
      </c>
      <c r="Z4163">
        <v>0.69</v>
      </c>
      <c r="AA4163">
        <v>27</v>
      </c>
      <c r="AB4163">
        <v>11</v>
      </c>
      <c r="AC4163">
        <v>3.7</v>
      </c>
      <c r="AD4163" t="s">
        <v>19784</v>
      </c>
      <c r="AE4163" t="s">
        <v>10276</v>
      </c>
      <c r="AF4163" t="s">
        <v>19784</v>
      </c>
      <c r="AG4163" t="s">
        <v>10276</v>
      </c>
      <c r="AH4163">
        <v>-2.58</v>
      </c>
      <c r="AI4163">
        <v>-2.52</v>
      </c>
      <c r="AJ4163">
        <v>3.99</v>
      </c>
      <c r="AK4163">
        <v>7.37</v>
      </c>
      <c r="AL4163">
        <v>1</v>
      </c>
      <c r="AM4163">
        <v>0.48</v>
      </c>
      <c r="AN4163">
        <v>-4.32</v>
      </c>
      <c r="AO4163">
        <v>2.85</v>
      </c>
      <c r="AP4163">
        <v>-14.99</v>
      </c>
    </row>
    <row r="4164" spans="1:42">
      <c r="A4164">
        <v>4163</v>
      </c>
      <c r="B4164" t="str">
        <f>"688153"</f>
        <v>688153</v>
      </c>
      <c r="C4164" t="s">
        <v>19785</v>
      </c>
      <c r="D4164">
        <v>65.4</v>
      </c>
      <c r="E4164">
        <v>-0.61</v>
      </c>
      <c r="F4164">
        <v>-0.4</v>
      </c>
      <c r="G4164">
        <v>4520</v>
      </c>
      <c r="H4164">
        <v>65</v>
      </c>
      <c r="I4164">
        <v>65.4</v>
      </c>
      <c r="J4164">
        <v>65.56</v>
      </c>
      <c r="K4164" t="s">
        <v>19786</v>
      </c>
      <c r="L4164">
        <v>0.44</v>
      </c>
      <c r="M4164" t="s">
        <v>46</v>
      </c>
      <c r="N4164" t="s">
        <v>3673</v>
      </c>
      <c r="O4164">
        <v>66.06</v>
      </c>
      <c r="P4164">
        <v>64.41</v>
      </c>
      <c r="Q4164">
        <v>65.82</v>
      </c>
      <c r="R4164">
        <v>65.8</v>
      </c>
      <c r="S4164">
        <v>2.51</v>
      </c>
      <c r="T4164">
        <v>0.46</v>
      </c>
      <c r="U4164">
        <v>26.76</v>
      </c>
      <c r="V4164">
        <v>21</v>
      </c>
      <c r="W4164">
        <v>65.09</v>
      </c>
      <c r="X4164">
        <v>2067</v>
      </c>
      <c r="Y4164">
        <v>2453</v>
      </c>
      <c r="Z4164">
        <v>0.84</v>
      </c>
      <c r="AA4164">
        <v>9</v>
      </c>
      <c r="AB4164">
        <v>3</v>
      </c>
      <c r="AC4164">
        <v>7.04</v>
      </c>
      <c r="AD4164" t="s">
        <v>19787</v>
      </c>
      <c r="AE4164" t="s">
        <v>19788</v>
      </c>
      <c r="AF4164" t="s">
        <v>4098</v>
      </c>
      <c r="AG4164" t="s">
        <v>15985</v>
      </c>
      <c r="AH4164">
        <v>1.58</v>
      </c>
      <c r="AI4164">
        <v>2.54</v>
      </c>
      <c r="AJ4164">
        <v>2.49</v>
      </c>
      <c r="AK4164">
        <v>5.22</v>
      </c>
      <c r="AL4164">
        <v>-2</v>
      </c>
      <c r="AM4164">
        <v>-0.61</v>
      </c>
      <c r="AN4164">
        <v>78.06</v>
      </c>
      <c r="AO4164">
        <v>-4.72</v>
      </c>
      <c r="AP4164">
        <v>41.56</v>
      </c>
    </row>
    <row r="4165" spans="1:42">
      <c r="A4165">
        <v>4164</v>
      </c>
      <c r="B4165" t="str">
        <f>"000751"</f>
        <v>000751</v>
      </c>
      <c r="C4165" t="s">
        <v>19789</v>
      </c>
      <c r="D4165">
        <v>3.29</v>
      </c>
      <c r="E4165">
        <v>0.92</v>
      </c>
      <c r="F4165">
        <v>0.03</v>
      </c>
      <c r="G4165" t="s">
        <v>13020</v>
      </c>
      <c r="H4165">
        <v>374</v>
      </c>
      <c r="I4165">
        <v>3.29</v>
      </c>
      <c r="J4165">
        <v>3.3</v>
      </c>
      <c r="K4165" t="s">
        <v>19786</v>
      </c>
      <c r="L4165">
        <v>0.64</v>
      </c>
      <c r="M4165" t="s">
        <v>46</v>
      </c>
      <c r="N4165" t="s">
        <v>5934</v>
      </c>
      <c r="O4165">
        <v>3.31</v>
      </c>
      <c r="P4165">
        <v>3.24</v>
      </c>
      <c r="Q4165">
        <v>3.27</v>
      </c>
      <c r="R4165">
        <v>3.26</v>
      </c>
      <c r="S4165">
        <v>2.15</v>
      </c>
      <c r="T4165">
        <v>1.01</v>
      </c>
      <c r="U4165">
        <v>-61.22</v>
      </c>
      <c r="V4165" t="s">
        <v>435</v>
      </c>
      <c r="W4165">
        <v>3.28</v>
      </c>
      <c r="X4165" t="s">
        <v>3457</v>
      </c>
      <c r="Y4165" t="s">
        <v>296</v>
      </c>
      <c r="Z4165">
        <v>0.59</v>
      </c>
      <c r="AA4165">
        <v>15</v>
      </c>
      <c r="AB4165">
        <v>2545</v>
      </c>
      <c r="AC4165">
        <v>1.5</v>
      </c>
      <c r="AD4165" t="s">
        <v>6115</v>
      </c>
      <c r="AE4165" t="s">
        <v>19790</v>
      </c>
      <c r="AF4165" t="s">
        <v>12938</v>
      </c>
      <c r="AG4165" t="s">
        <v>19436</v>
      </c>
      <c r="AH4165">
        <v>-0.3</v>
      </c>
      <c r="AI4165">
        <v>-0.6</v>
      </c>
      <c r="AJ4165">
        <v>1.93</v>
      </c>
      <c r="AK4165">
        <v>3.79</v>
      </c>
      <c r="AL4165">
        <v>1</v>
      </c>
      <c r="AM4165">
        <v>0.92</v>
      </c>
      <c r="AN4165">
        <v>8.58</v>
      </c>
      <c r="AO4165">
        <v>1.86</v>
      </c>
      <c r="AP4165">
        <v>5.79</v>
      </c>
    </row>
    <row r="4166" spans="1:42">
      <c r="A4166">
        <v>4165</v>
      </c>
      <c r="B4166" t="str">
        <f>"688581"</f>
        <v>688581</v>
      </c>
      <c r="C4166" t="s">
        <v>19791</v>
      </c>
      <c r="D4166">
        <v>117.61</v>
      </c>
      <c r="E4166">
        <v>0.92</v>
      </c>
      <c r="F4166">
        <v>1.07</v>
      </c>
      <c r="G4166">
        <v>2523</v>
      </c>
      <c r="H4166">
        <v>34</v>
      </c>
      <c r="I4166">
        <v>117.61</v>
      </c>
      <c r="J4166">
        <v>117.65</v>
      </c>
      <c r="K4166" t="s">
        <v>19786</v>
      </c>
      <c r="L4166">
        <v>1.81</v>
      </c>
      <c r="M4166" t="s">
        <v>46</v>
      </c>
      <c r="N4166" t="s">
        <v>997</v>
      </c>
      <c r="O4166">
        <v>118.32</v>
      </c>
      <c r="P4166">
        <v>114.85</v>
      </c>
      <c r="Q4166">
        <v>116.99</v>
      </c>
      <c r="R4166">
        <v>116.54</v>
      </c>
      <c r="S4166">
        <v>2.98</v>
      </c>
      <c r="T4166">
        <v>0.8</v>
      </c>
      <c r="U4166">
        <v>-27.84</v>
      </c>
      <c r="V4166">
        <v>-9</v>
      </c>
      <c r="W4166">
        <v>116.61</v>
      </c>
      <c r="X4166">
        <v>1432</v>
      </c>
      <c r="Y4166">
        <v>1091</v>
      </c>
      <c r="Z4166">
        <v>1.31</v>
      </c>
      <c r="AA4166">
        <v>4</v>
      </c>
      <c r="AB4166">
        <v>2</v>
      </c>
      <c r="AC4166">
        <v>3.19</v>
      </c>
      <c r="AD4166" t="s">
        <v>14305</v>
      </c>
      <c r="AE4166" t="s">
        <v>19792</v>
      </c>
      <c r="AF4166" t="s">
        <v>19793</v>
      </c>
      <c r="AG4166" t="s">
        <v>2092</v>
      </c>
      <c r="AH4166">
        <v>0.39</v>
      </c>
      <c r="AI4166">
        <v>1.81</v>
      </c>
      <c r="AJ4166">
        <v>4.71</v>
      </c>
      <c r="AK4166">
        <v>13.17</v>
      </c>
      <c r="AL4166">
        <v>1</v>
      </c>
      <c r="AM4166">
        <v>0.92</v>
      </c>
      <c r="AN4166">
        <v>-5.94</v>
      </c>
      <c r="AO4166">
        <v>0.71</v>
      </c>
      <c r="AP4166">
        <v>-5.94</v>
      </c>
    </row>
    <row r="4167" spans="1:42">
      <c r="A4167">
        <v>4166</v>
      </c>
      <c r="B4167" t="str">
        <f>"603052"</f>
        <v>603052</v>
      </c>
      <c r="C4167" t="s">
        <v>19794</v>
      </c>
      <c r="D4167">
        <v>33.76</v>
      </c>
      <c r="E4167">
        <v>0.24</v>
      </c>
      <c r="F4167">
        <v>0.08</v>
      </c>
      <c r="G4167">
        <v>8765</v>
      </c>
      <c r="H4167">
        <v>69</v>
      </c>
      <c r="I4167">
        <v>33.76</v>
      </c>
      <c r="J4167">
        <v>33.78</v>
      </c>
      <c r="K4167" t="s">
        <v>17387</v>
      </c>
      <c r="L4167">
        <v>3</v>
      </c>
      <c r="M4167" t="s">
        <v>46</v>
      </c>
      <c r="N4167" t="s">
        <v>2635</v>
      </c>
      <c r="O4167">
        <v>33.95</v>
      </c>
      <c r="P4167">
        <v>32.62</v>
      </c>
      <c r="Q4167">
        <v>33.95</v>
      </c>
      <c r="R4167">
        <v>33.68</v>
      </c>
      <c r="S4167">
        <v>3.95</v>
      </c>
      <c r="T4167">
        <v>0.69</v>
      </c>
      <c r="U4167">
        <v>-7.75</v>
      </c>
      <c r="V4167">
        <v>-21</v>
      </c>
      <c r="W4167">
        <v>33.55</v>
      </c>
      <c r="X4167">
        <v>4065</v>
      </c>
      <c r="Y4167">
        <v>4700</v>
      </c>
      <c r="Z4167">
        <v>0.86</v>
      </c>
      <c r="AA4167">
        <v>70</v>
      </c>
      <c r="AB4167">
        <v>1</v>
      </c>
      <c r="AC4167">
        <v>2.88</v>
      </c>
      <c r="AD4167" t="s">
        <v>19795</v>
      </c>
      <c r="AE4167" t="s">
        <v>19796</v>
      </c>
      <c r="AF4167" t="s">
        <v>19797</v>
      </c>
      <c r="AG4167" t="s">
        <v>19798</v>
      </c>
      <c r="AH4167">
        <v>-1.6</v>
      </c>
      <c r="AI4167">
        <v>-3.74</v>
      </c>
      <c r="AJ4167">
        <v>10.59</v>
      </c>
      <c r="AK4167">
        <v>24.7</v>
      </c>
      <c r="AL4167">
        <v>1</v>
      </c>
      <c r="AM4167">
        <v>0.24</v>
      </c>
      <c r="AN4167">
        <v>1.93</v>
      </c>
      <c r="AO4167">
        <v>7.24</v>
      </c>
      <c r="AP4167">
        <v>-9.97</v>
      </c>
    </row>
    <row r="4168" spans="1:42">
      <c r="A4168">
        <v>4167</v>
      </c>
      <c r="B4168" t="str">
        <f>"300771"</f>
        <v>300771</v>
      </c>
      <c r="C4168" t="s">
        <v>19799</v>
      </c>
      <c r="D4168">
        <v>11.03</v>
      </c>
      <c r="E4168">
        <v>0.64</v>
      </c>
      <c r="F4168">
        <v>0.07</v>
      </c>
      <c r="G4168" t="s">
        <v>7472</v>
      </c>
      <c r="H4168">
        <v>456</v>
      </c>
      <c r="I4168">
        <v>11.03</v>
      </c>
      <c r="J4168">
        <v>11.04</v>
      </c>
      <c r="K4168" t="s">
        <v>19800</v>
      </c>
      <c r="L4168">
        <v>1.48</v>
      </c>
      <c r="M4168" t="s">
        <v>46</v>
      </c>
      <c r="N4168" t="s">
        <v>5256</v>
      </c>
      <c r="O4168">
        <v>11.07</v>
      </c>
      <c r="P4168">
        <v>10.89</v>
      </c>
      <c r="Q4168">
        <v>10.98</v>
      </c>
      <c r="R4168">
        <v>10.96</v>
      </c>
      <c r="S4168">
        <v>1.64</v>
      </c>
      <c r="T4168">
        <v>0.8</v>
      </c>
      <c r="U4168">
        <v>-18.57</v>
      </c>
      <c r="V4168">
        <v>-378</v>
      </c>
      <c r="W4168">
        <v>10.99</v>
      </c>
      <c r="X4168" t="s">
        <v>4443</v>
      </c>
      <c r="Y4168" t="s">
        <v>144</v>
      </c>
      <c r="Z4168">
        <v>0.7</v>
      </c>
      <c r="AA4168">
        <v>163</v>
      </c>
      <c r="AB4168">
        <v>53</v>
      </c>
      <c r="AC4168">
        <v>1.37</v>
      </c>
      <c r="AD4168" t="s">
        <v>4237</v>
      </c>
      <c r="AE4168" t="s">
        <v>19801</v>
      </c>
      <c r="AF4168" t="s">
        <v>19247</v>
      </c>
      <c r="AG4168" t="s">
        <v>19802</v>
      </c>
      <c r="AH4168">
        <v>-0.99</v>
      </c>
      <c r="AI4168">
        <v>-0.9</v>
      </c>
      <c r="AJ4168">
        <v>4.94</v>
      </c>
      <c r="AK4168">
        <v>10.67</v>
      </c>
      <c r="AL4168">
        <v>1</v>
      </c>
      <c r="AM4168">
        <v>0.64</v>
      </c>
      <c r="AN4168">
        <v>-15.41</v>
      </c>
      <c r="AO4168">
        <v>3.86</v>
      </c>
      <c r="AP4168">
        <v>-11.41</v>
      </c>
    </row>
    <row r="4169" spans="1:42">
      <c r="A4169">
        <v>4168</v>
      </c>
      <c r="B4169" t="str">
        <f>"300289"</f>
        <v>300289</v>
      </c>
      <c r="C4169" t="s">
        <v>19803</v>
      </c>
      <c r="D4169">
        <v>6.49</v>
      </c>
      <c r="E4169">
        <v>1.09</v>
      </c>
      <c r="F4169">
        <v>0.07</v>
      </c>
      <c r="G4169" t="s">
        <v>3304</v>
      </c>
      <c r="H4169">
        <v>223</v>
      </c>
      <c r="I4169">
        <v>6.48</v>
      </c>
      <c r="J4169">
        <v>6.49</v>
      </c>
      <c r="K4169" t="s">
        <v>19804</v>
      </c>
      <c r="L4169">
        <v>1.09</v>
      </c>
      <c r="M4169" t="s">
        <v>46</v>
      </c>
      <c r="N4169" t="s">
        <v>4248</v>
      </c>
      <c r="O4169">
        <v>6.51</v>
      </c>
      <c r="P4169">
        <v>6.4</v>
      </c>
      <c r="Q4169">
        <v>6.45</v>
      </c>
      <c r="R4169">
        <v>6.42</v>
      </c>
      <c r="S4169">
        <v>1.71</v>
      </c>
      <c r="T4169">
        <v>0.68</v>
      </c>
      <c r="U4169">
        <v>-25.8</v>
      </c>
      <c r="V4169">
        <v>-978</v>
      </c>
      <c r="W4169">
        <v>6.46</v>
      </c>
      <c r="X4169" t="s">
        <v>2716</v>
      </c>
      <c r="Y4169" t="s">
        <v>299</v>
      </c>
      <c r="Z4169">
        <v>0.89</v>
      </c>
      <c r="AA4169">
        <v>110</v>
      </c>
      <c r="AB4169">
        <v>337</v>
      </c>
      <c r="AC4169">
        <v>2.02</v>
      </c>
      <c r="AD4169" t="s">
        <v>19805</v>
      </c>
      <c r="AE4169" t="s">
        <v>3387</v>
      </c>
      <c r="AF4169" t="s">
        <v>9113</v>
      </c>
      <c r="AG4169" t="s">
        <v>19806</v>
      </c>
      <c r="AH4169">
        <v>-0.31</v>
      </c>
      <c r="AI4169">
        <v>-0.61</v>
      </c>
      <c r="AJ4169">
        <v>3.34</v>
      </c>
      <c r="AK4169">
        <v>9.13</v>
      </c>
      <c r="AL4169">
        <v>1</v>
      </c>
      <c r="AM4169">
        <v>1.09</v>
      </c>
      <c r="AN4169">
        <v>12.67</v>
      </c>
      <c r="AO4169">
        <v>4.01</v>
      </c>
      <c r="AP4169">
        <v>1.41</v>
      </c>
    </row>
    <row r="4170" spans="1:42">
      <c r="A4170">
        <v>4169</v>
      </c>
      <c r="B4170" t="str">
        <f>"603109"</f>
        <v>603109</v>
      </c>
      <c r="C4170" t="s">
        <v>19807</v>
      </c>
      <c r="D4170">
        <v>16.59</v>
      </c>
      <c r="E4170">
        <v>0.12</v>
      </c>
      <c r="F4170">
        <v>0.02</v>
      </c>
      <c r="G4170" t="s">
        <v>60</v>
      </c>
      <c r="H4170">
        <v>532</v>
      </c>
      <c r="I4170">
        <v>16.56</v>
      </c>
      <c r="J4170">
        <v>16.59</v>
      </c>
      <c r="K4170" t="s">
        <v>19808</v>
      </c>
      <c r="L4170">
        <v>0.85</v>
      </c>
      <c r="M4170" t="s">
        <v>46</v>
      </c>
      <c r="N4170" t="s">
        <v>2474</v>
      </c>
      <c r="O4170">
        <v>16.65</v>
      </c>
      <c r="P4170">
        <v>16.39</v>
      </c>
      <c r="Q4170">
        <v>16.43</v>
      </c>
      <c r="R4170">
        <v>16.57</v>
      </c>
      <c r="S4170">
        <v>1.57</v>
      </c>
      <c r="T4170">
        <v>0.79</v>
      </c>
      <c r="U4170">
        <v>-5.33</v>
      </c>
      <c r="V4170">
        <v>-9</v>
      </c>
      <c r="W4170">
        <v>16.5</v>
      </c>
      <c r="X4170">
        <v>8619</v>
      </c>
      <c r="Y4170">
        <v>9157</v>
      </c>
      <c r="Z4170">
        <v>0.94</v>
      </c>
      <c r="AA4170">
        <v>3</v>
      </c>
      <c r="AB4170">
        <v>24</v>
      </c>
      <c r="AC4170">
        <v>1.97</v>
      </c>
      <c r="AD4170" t="s">
        <v>19809</v>
      </c>
      <c r="AE4170" t="s">
        <v>6315</v>
      </c>
      <c r="AF4170" t="s">
        <v>10953</v>
      </c>
      <c r="AG4170" t="s">
        <v>4099</v>
      </c>
      <c r="AH4170">
        <v>-1.37</v>
      </c>
      <c r="AI4170">
        <v>-1.95</v>
      </c>
      <c r="AJ4170">
        <v>2.86</v>
      </c>
      <c r="AK4170">
        <v>6.28</v>
      </c>
      <c r="AL4170">
        <v>1</v>
      </c>
      <c r="AM4170">
        <v>0.12</v>
      </c>
      <c r="AN4170">
        <v>19.35</v>
      </c>
      <c r="AO4170">
        <v>6.76</v>
      </c>
      <c r="AP4170">
        <v>8.01</v>
      </c>
    </row>
    <row r="4171" spans="1:42">
      <c r="A4171">
        <v>4170</v>
      </c>
      <c r="B4171" t="str">
        <f>"002111"</f>
        <v>002111</v>
      </c>
      <c r="C4171" t="s">
        <v>19810</v>
      </c>
      <c r="D4171">
        <v>9.5</v>
      </c>
      <c r="E4171">
        <v>0</v>
      </c>
      <c r="F4171">
        <v>0</v>
      </c>
      <c r="G4171" t="s">
        <v>6657</v>
      </c>
      <c r="H4171">
        <v>338</v>
      </c>
      <c r="I4171">
        <v>9.5</v>
      </c>
      <c r="J4171">
        <v>9.52</v>
      </c>
      <c r="K4171" t="s">
        <v>8521</v>
      </c>
      <c r="L4171">
        <v>0.65</v>
      </c>
      <c r="M4171" t="s">
        <v>46</v>
      </c>
      <c r="N4171" t="s">
        <v>3673</v>
      </c>
      <c r="O4171">
        <v>9.57</v>
      </c>
      <c r="P4171">
        <v>9.4</v>
      </c>
      <c r="Q4171">
        <v>9.4</v>
      </c>
      <c r="R4171">
        <v>9.5</v>
      </c>
      <c r="S4171">
        <v>1.79</v>
      </c>
      <c r="T4171">
        <v>1.09</v>
      </c>
      <c r="U4171">
        <v>-52.46</v>
      </c>
      <c r="V4171">
        <v>-1163</v>
      </c>
      <c r="W4171">
        <v>9.49</v>
      </c>
      <c r="X4171" t="s">
        <v>5446</v>
      </c>
      <c r="Y4171" t="s">
        <v>1110</v>
      </c>
      <c r="Z4171">
        <v>0.83</v>
      </c>
      <c r="AA4171">
        <v>28</v>
      </c>
      <c r="AB4171">
        <v>28</v>
      </c>
      <c r="AC4171">
        <v>1.69</v>
      </c>
      <c r="AD4171" t="s">
        <v>2746</v>
      </c>
      <c r="AE4171" t="s">
        <v>19811</v>
      </c>
      <c r="AF4171" t="s">
        <v>19812</v>
      </c>
      <c r="AG4171" t="s">
        <v>19813</v>
      </c>
      <c r="AH4171">
        <v>-0.84</v>
      </c>
      <c r="AI4171">
        <v>-1.14</v>
      </c>
      <c r="AJ4171">
        <v>1.72</v>
      </c>
      <c r="AK4171">
        <v>3.64</v>
      </c>
      <c r="AL4171">
        <v>0</v>
      </c>
      <c r="AM4171">
        <v>0</v>
      </c>
      <c r="AN4171">
        <v>-2.96</v>
      </c>
      <c r="AO4171">
        <v>1.71</v>
      </c>
      <c r="AP4171">
        <v>-2.36</v>
      </c>
    </row>
    <row r="4172" spans="1:42">
      <c r="A4172">
        <v>4171</v>
      </c>
      <c r="B4172" t="str">
        <f>"603038"</f>
        <v>603038</v>
      </c>
      <c r="C4172" t="s">
        <v>19814</v>
      </c>
      <c r="D4172">
        <v>10.37</v>
      </c>
      <c r="E4172">
        <v>-0.58</v>
      </c>
      <c r="F4172">
        <v>-0.06</v>
      </c>
      <c r="G4172" t="s">
        <v>7993</v>
      </c>
      <c r="H4172">
        <v>205</v>
      </c>
      <c r="I4172">
        <v>10.37</v>
      </c>
      <c r="J4172">
        <v>10.38</v>
      </c>
      <c r="K4172" t="s">
        <v>19815</v>
      </c>
      <c r="L4172">
        <v>1.36</v>
      </c>
      <c r="M4172" t="s">
        <v>46</v>
      </c>
      <c r="N4172" t="s">
        <v>1857</v>
      </c>
      <c r="O4172">
        <v>10.48</v>
      </c>
      <c r="P4172">
        <v>10.31</v>
      </c>
      <c r="Q4172">
        <v>10.37</v>
      </c>
      <c r="R4172">
        <v>10.43</v>
      </c>
      <c r="S4172">
        <v>1.63</v>
      </c>
      <c r="T4172">
        <v>0.73</v>
      </c>
      <c r="U4172">
        <v>63.1</v>
      </c>
      <c r="V4172">
        <v>1228</v>
      </c>
      <c r="W4172">
        <v>10.41</v>
      </c>
      <c r="X4172" t="s">
        <v>3130</v>
      </c>
      <c r="Y4172" t="s">
        <v>1384</v>
      </c>
      <c r="Z4172">
        <v>1.09</v>
      </c>
      <c r="AA4172">
        <v>112</v>
      </c>
      <c r="AB4172">
        <v>7</v>
      </c>
      <c r="AC4172">
        <v>1.57</v>
      </c>
      <c r="AD4172" t="s">
        <v>15990</v>
      </c>
      <c r="AE4172" t="s">
        <v>19816</v>
      </c>
      <c r="AF4172" t="s">
        <v>15990</v>
      </c>
      <c r="AG4172" t="s">
        <v>19816</v>
      </c>
      <c r="AH4172">
        <v>-2.17</v>
      </c>
      <c r="AI4172">
        <v>-0.19</v>
      </c>
      <c r="AJ4172">
        <v>4.29</v>
      </c>
      <c r="AK4172">
        <v>10.73</v>
      </c>
      <c r="AL4172">
        <v>-1</v>
      </c>
      <c r="AM4172">
        <v>-0.58</v>
      </c>
      <c r="AN4172">
        <v>45.65</v>
      </c>
      <c r="AO4172">
        <v>3.91</v>
      </c>
      <c r="AP4172">
        <v>32.44</v>
      </c>
    </row>
    <row r="4173" spans="1:42">
      <c r="A4173">
        <v>4172</v>
      </c>
      <c r="B4173" t="str">
        <f>"000976"</f>
        <v>000976</v>
      </c>
      <c r="C4173" t="s">
        <v>19817</v>
      </c>
      <c r="D4173">
        <v>1.96</v>
      </c>
      <c r="E4173">
        <v>-2</v>
      </c>
      <c r="F4173">
        <v>-0.04</v>
      </c>
      <c r="G4173" t="s">
        <v>2222</v>
      </c>
      <c r="H4173">
        <v>1889</v>
      </c>
      <c r="I4173">
        <v>1.96</v>
      </c>
      <c r="J4173">
        <v>1.97</v>
      </c>
      <c r="K4173" t="s">
        <v>19818</v>
      </c>
      <c r="L4173">
        <v>0.94</v>
      </c>
      <c r="M4173" t="s">
        <v>46</v>
      </c>
      <c r="N4173" t="s">
        <v>2350</v>
      </c>
      <c r="O4173">
        <v>1.98</v>
      </c>
      <c r="P4173">
        <v>1.9</v>
      </c>
      <c r="Q4173">
        <v>1.98</v>
      </c>
      <c r="R4173">
        <v>2</v>
      </c>
      <c r="S4173">
        <v>4</v>
      </c>
      <c r="T4173">
        <v>1.46</v>
      </c>
      <c r="U4173">
        <v>-29.97</v>
      </c>
      <c r="V4173" t="s">
        <v>19819</v>
      </c>
      <c r="W4173">
        <v>1.95</v>
      </c>
      <c r="X4173" t="s">
        <v>6891</v>
      </c>
      <c r="Y4173" t="s">
        <v>4249</v>
      </c>
      <c r="Z4173">
        <v>1.16</v>
      </c>
      <c r="AA4173">
        <v>4582</v>
      </c>
      <c r="AB4173" t="s">
        <v>239</v>
      </c>
      <c r="AC4173">
        <v>0.99</v>
      </c>
      <c r="AD4173" t="s">
        <v>19820</v>
      </c>
      <c r="AE4173" t="s">
        <v>9501</v>
      </c>
      <c r="AF4173" t="s">
        <v>2888</v>
      </c>
      <c r="AG4173" t="s">
        <v>19821</v>
      </c>
      <c r="AH4173">
        <v>-2.49</v>
      </c>
      <c r="AI4173">
        <v>-3.45</v>
      </c>
      <c r="AJ4173">
        <v>1.99</v>
      </c>
      <c r="AK4173">
        <v>4.18</v>
      </c>
      <c r="AL4173">
        <v>-1</v>
      </c>
      <c r="AM4173">
        <v>-2</v>
      </c>
      <c r="AN4173">
        <v>-46.59</v>
      </c>
      <c r="AO4173">
        <v>-3.45</v>
      </c>
      <c r="AP4173">
        <v>-50.75</v>
      </c>
    </row>
    <row r="4174" spans="1:42">
      <c r="A4174">
        <v>4173</v>
      </c>
      <c r="B4174" t="str">
        <f>"002622"</f>
        <v>002622</v>
      </c>
      <c r="C4174" t="s">
        <v>19822</v>
      </c>
      <c r="D4174">
        <v>3.37</v>
      </c>
      <c r="E4174">
        <v>0</v>
      </c>
      <c r="F4174">
        <v>0</v>
      </c>
      <c r="G4174" t="s">
        <v>7256</v>
      </c>
      <c r="H4174">
        <v>757</v>
      </c>
      <c r="I4174">
        <v>3.36</v>
      </c>
      <c r="J4174">
        <v>3.37</v>
      </c>
      <c r="K4174" t="s">
        <v>19797</v>
      </c>
      <c r="L4174">
        <v>1.03</v>
      </c>
      <c r="M4174" t="s">
        <v>46</v>
      </c>
      <c r="N4174" t="s">
        <v>597</v>
      </c>
      <c r="O4174">
        <v>3.4</v>
      </c>
      <c r="P4174">
        <v>3.34</v>
      </c>
      <c r="Q4174">
        <v>3.35</v>
      </c>
      <c r="R4174">
        <v>3.37</v>
      </c>
      <c r="S4174">
        <v>1.78</v>
      </c>
      <c r="T4174">
        <v>0.89</v>
      </c>
      <c r="U4174">
        <v>-20.88</v>
      </c>
      <c r="V4174">
        <v>-2383</v>
      </c>
      <c r="W4174">
        <v>3.37</v>
      </c>
      <c r="X4174" t="s">
        <v>5644</v>
      </c>
      <c r="Y4174" t="s">
        <v>5383</v>
      </c>
      <c r="Z4174">
        <v>1.16</v>
      </c>
      <c r="AA4174">
        <v>1089</v>
      </c>
      <c r="AB4174">
        <v>396</v>
      </c>
      <c r="AC4174">
        <v>4.79</v>
      </c>
      <c r="AD4174" t="s">
        <v>4205</v>
      </c>
      <c r="AE4174" t="s">
        <v>7301</v>
      </c>
      <c r="AF4174" t="s">
        <v>4205</v>
      </c>
      <c r="AG4174" t="s">
        <v>7301</v>
      </c>
      <c r="AH4174">
        <v>-2.03</v>
      </c>
      <c r="AI4174">
        <v>-1.17</v>
      </c>
      <c r="AJ4174">
        <v>2.92</v>
      </c>
      <c r="AK4174">
        <v>6.86</v>
      </c>
      <c r="AL4174">
        <v>0</v>
      </c>
      <c r="AM4174">
        <v>0</v>
      </c>
      <c r="AN4174">
        <v>-8.92</v>
      </c>
      <c r="AO4174">
        <v>1.51</v>
      </c>
      <c r="AP4174">
        <v>-19.57</v>
      </c>
    </row>
    <row r="4175" spans="1:42">
      <c r="A4175">
        <v>4174</v>
      </c>
      <c r="B4175" t="str">
        <f>"300958"</f>
        <v>300958</v>
      </c>
      <c r="C4175" t="s">
        <v>19823</v>
      </c>
      <c r="D4175">
        <v>18.5</v>
      </c>
      <c r="E4175">
        <v>1.54</v>
      </c>
      <c r="F4175">
        <v>0.28</v>
      </c>
      <c r="G4175" t="s">
        <v>4977</v>
      </c>
      <c r="H4175">
        <v>44</v>
      </c>
      <c r="I4175">
        <v>18.49</v>
      </c>
      <c r="J4175">
        <v>18.5</v>
      </c>
      <c r="K4175" t="s">
        <v>19797</v>
      </c>
      <c r="L4175">
        <v>2.06</v>
      </c>
      <c r="M4175" t="s">
        <v>46</v>
      </c>
      <c r="N4175" t="s">
        <v>13362</v>
      </c>
      <c r="O4175">
        <v>18.58</v>
      </c>
      <c r="P4175">
        <v>18.27</v>
      </c>
      <c r="Q4175">
        <v>18.33</v>
      </c>
      <c r="R4175">
        <v>18.22</v>
      </c>
      <c r="S4175">
        <v>1.7</v>
      </c>
      <c r="T4175">
        <v>0.87</v>
      </c>
      <c r="U4175">
        <v>-17.95</v>
      </c>
      <c r="V4175">
        <v>-62</v>
      </c>
      <c r="W4175">
        <v>18.45</v>
      </c>
      <c r="X4175">
        <v>7790</v>
      </c>
      <c r="Y4175">
        <v>8069</v>
      </c>
      <c r="Z4175">
        <v>0.97</v>
      </c>
      <c r="AA4175">
        <v>39</v>
      </c>
      <c r="AB4175">
        <v>91</v>
      </c>
      <c r="AC4175">
        <v>2.11</v>
      </c>
      <c r="AD4175" t="s">
        <v>19824</v>
      </c>
      <c r="AE4175" t="s">
        <v>18974</v>
      </c>
      <c r="AF4175" t="s">
        <v>19825</v>
      </c>
      <c r="AG4175" t="s">
        <v>19826</v>
      </c>
      <c r="AH4175">
        <v>-0.38</v>
      </c>
      <c r="AI4175">
        <v>-2.68</v>
      </c>
      <c r="AJ4175">
        <v>5.78</v>
      </c>
      <c r="AK4175">
        <v>13.88</v>
      </c>
      <c r="AL4175">
        <v>1</v>
      </c>
      <c r="AM4175">
        <v>1.54</v>
      </c>
      <c r="AN4175">
        <v>9.86</v>
      </c>
      <c r="AO4175">
        <v>0.93</v>
      </c>
      <c r="AP4175">
        <v>-0.7</v>
      </c>
    </row>
    <row r="4176" spans="1:42">
      <c r="A4176">
        <v>4175</v>
      </c>
      <c r="B4176" t="str">
        <f>"600851"</f>
        <v>600851</v>
      </c>
      <c r="C4176" t="s">
        <v>19827</v>
      </c>
      <c r="D4176">
        <v>7.15</v>
      </c>
      <c r="E4176">
        <v>-0.42</v>
      </c>
      <c r="F4176">
        <v>-0.03</v>
      </c>
      <c r="G4176" t="s">
        <v>2752</v>
      </c>
      <c r="H4176">
        <v>473</v>
      </c>
      <c r="I4176">
        <v>7.15</v>
      </c>
      <c r="J4176">
        <v>7.16</v>
      </c>
      <c r="K4176" t="s">
        <v>19828</v>
      </c>
      <c r="L4176">
        <v>0.55</v>
      </c>
      <c r="M4176" t="s">
        <v>46</v>
      </c>
      <c r="N4176" t="s">
        <v>12064</v>
      </c>
      <c r="O4176">
        <v>7.23</v>
      </c>
      <c r="P4176">
        <v>7.09</v>
      </c>
      <c r="Q4176">
        <v>7.18</v>
      </c>
      <c r="R4176">
        <v>7.18</v>
      </c>
      <c r="S4176">
        <v>1.95</v>
      </c>
      <c r="T4176">
        <v>0.6</v>
      </c>
      <c r="U4176">
        <v>23.53</v>
      </c>
      <c r="V4176">
        <v>589</v>
      </c>
      <c r="W4176">
        <v>7.15</v>
      </c>
      <c r="X4176" t="s">
        <v>5710</v>
      </c>
      <c r="Y4176" t="s">
        <v>1177</v>
      </c>
      <c r="Z4176">
        <v>1.32</v>
      </c>
      <c r="AA4176">
        <v>96</v>
      </c>
      <c r="AB4176">
        <v>162</v>
      </c>
      <c r="AC4176">
        <v>2.15</v>
      </c>
      <c r="AD4176" t="s">
        <v>981</v>
      </c>
      <c r="AE4176" t="s">
        <v>19829</v>
      </c>
      <c r="AF4176" t="s">
        <v>17313</v>
      </c>
      <c r="AG4176" t="s">
        <v>19830</v>
      </c>
      <c r="AH4176">
        <v>0.14</v>
      </c>
      <c r="AI4176">
        <v>0.85</v>
      </c>
      <c r="AJ4176">
        <v>2.09</v>
      </c>
      <c r="AK4176">
        <v>5.16</v>
      </c>
      <c r="AL4176">
        <v>-1</v>
      </c>
      <c r="AM4176">
        <v>-0.42</v>
      </c>
      <c r="AN4176">
        <v>23.28</v>
      </c>
      <c r="AO4176">
        <v>4.23</v>
      </c>
      <c r="AP4176">
        <v>-2.59</v>
      </c>
    </row>
    <row r="4177" spans="1:42">
      <c r="A4177">
        <v>4176</v>
      </c>
      <c r="B4177" t="str">
        <f>"300950"</f>
        <v>300950</v>
      </c>
      <c r="C4177" t="s">
        <v>19831</v>
      </c>
      <c r="D4177">
        <v>17.01</v>
      </c>
      <c r="E4177">
        <v>-0.99</v>
      </c>
      <c r="F4177">
        <v>-0.17</v>
      </c>
      <c r="G4177" t="s">
        <v>1456</v>
      </c>
      <c r="H4177">
        <v>112</v>
      </c>
      <c r="I4177">
        <v>16.99</v>
      </c>
      <c r="J4177">
        <v>17.01</v>
      </c>
      <c r="K4177" t="s">
        <v>19832</v>
      </c>
      <c r="L4177">
        <v>2.86</v>
      </c>
      <c r="M4177" t="s">
        <v>46</v>
      </c>
      <c r="N4177" t="s">
        <v>6165</v>
      </c>
      <c r="O4177">
        <v>17.48</v>
      </c>
      <c r="P4177">
        <v>16.84</v>
      </c>
      <c r="Q4177">
        <v>17.48</v>
      </c>
      <c r="R4177">
        <v>17.18</v>
      </c>
      <c r="S4177">
        <v>3.73</v>
      </c>
      <c r="T4177">
        <v>1.15</v>
      </c>
      <c r="U4177">
        <v>51.76</v>
      </c>
      <c r="V4177">
        <v>221</v>
      </c>
      <c r="W4177">
        <v>17.01</v>
      </c>
      <c r="X4177">
        <v>9453</v>
      </c>
      <c r="Y4177">
        <v>7734</v>
      </c>
      <c r="Z4177">
        <v>1.22</v>
      </c>
      <c r="AA4177">
        <v>22</v>
      </c>
      <c r="AB4177">
        <v>20</v>
      </c>
      <c r="AC4177">
        <v>3.86</v>
      </c>
      <c r="AD4177" t="s">
        <v>3403</v>
      </c>
      <c r="AE4177" t="s">
        <v>5739</v>
      </c>
      <c r="AF4177" t="s">
        <v>7827</v>
      </c>
      <c r="AG4177" t="s">
        <v>1078</v>
      </c>
      <c r="AH4177">
        <v>-3.02</v>
      </c>
      <c r="AI4177">
        <v>-4.44</v>
      </c>
      <c r="AJ4177">
        <v>7.24</v>
      </c>
      <c r="AK4177">
        <v>15.28</v>
      </c>
      <c r="AL4177">
        <v>-3</v>
      </c>
      <c r="AM4177">
        <v>-0.99</v>
      </c>
      <c r="AN4177">
        <v>-1.73</v>
      </c>
      <c r="AO4177">
        <v>-1.16</v>
      </c>
      <c r="AP4177">
        <v>-14.22</v>
      </c>
    </row>
    <row r="4178" spans="1:42">
      <c r="A4178">
        <v>4177</v>
      </c>
      <c r="B4178" t="str">
        <f>"601880"</f>
        <v>601880</v>
      </c>
      <c r="C4178" t="s">
        <v>19833</v>
      </c>
      <c r="D4178">
        <v>1.5</v>
      </c>
      <c r="E4178">
        <v>0</v>
      </c>
      <c r="F4178">
        <v>0</v>
      </c>
      <c r="G4178" t="s">
        <v>106</v>
      </c>
      <c r="H4178" t="s">
        <v>2074</v>
      </c>
      <c r="I4178">
        <v>1.5</v>
      </c>
      <c r="J4178">
        <v>1.51</v>
      </c>
      <c r="K4178" t="s">
        <v>19834</v>
      </c>
      <c r="L4178">
        <v>0.1</v>
      </c>
      <c r="M4178" t="s">
        <v>46</v>
      </c>
      <c r="N4178" t="s">
        <v>8424</v>
      </c>
      <c r="O4178">
        <v>1.51</v>
      </c>
      <c r="P4178">
        <v>1.5</v>
      </c>
      <c r="Q4178">
        <v>1.51</v>
      </c>
      <c r="R4178">
        <v>1.5</v>
      </c>
      <c r="S4178">
        <v>0.67</v>
      </c>
      <c r="T4178">
        <v>0.6</v>
      </c>
      <c r="U4178">
        <v>-45.84</v>
      </c>
      <c r="V4178" t="s">
        <v>19835</v>
      </c>
      <c r="W4178">
        <v>1.5</v>
      </c>
      <c r="X4178" t="s">
        <v>4645</v>
      </c>
      <c r="Y4178" t="s">
        <v>12282</v>
      </c>
      <c r="Z4178">
        <v>1.01</v>
      </c>
      <c r="AA4178" t="s">
        <v>5795</v>
      </c>
      <c r="AB4178" t="s">
        <v>2382</v>
      </c>
      <c r="AC4178">
        <v>0.91</v>
      </c>
      <c r="AD4178" t="s">
        <v>19836</v>
      </c>
      <c r="AE4178" t="s">
        <v>19837</v>
      </c>
      <c r="AF4178" t="s">
        <v>4172</v>
      </c>
      <c r="AG4178" t="s">
        <v>11994</v>
      </c>
      <c r="AH4178">
        <v>-0.66</v>
      </c>
      <c r="AI4178">
        <v>0</v>
      </c>
      <c r="AJ4178">
        <v>0.37</v>
      </c>
      <c r="AK4178">
        <v>0.97</v>
      </c>
      <c r="AL4178">
        <v>0</v>
      </c>
      <c r="AM4178">
        <v>0</v>
      </c>
      <c r="AN4178">
        <v>-6.25</v>
      </c>
      <c r="AO4178">
        <v>-0.66</v>
      </c>
      <c r="AP4178">
        <v>-7.41</v>
      </c>
    </row>
    <row r="4179" spans="1:42">
      <c r="A4179">
        <v>4178</v>
      </c>
      <c r="B4179" t="str">
        <f>"000534"</f>
        <v>000534</v>
      </c>
      <c r="C4179" t="s">
        <v>19838</v>
      </c>
      <c r="D4179">
        <v>13.66</v>
      </c>
      <c r="E4179">
        <v>-0.51</v>
      </c>
      <c r="F4179">
        <v>-0.07</v>
      </c>
      <c r="G4179" t="s">
        <v>2716</v>
      </c>
      <c r="H4179">
        <v>639</v>
      </c>
      <c r="I4179">
        <v>13.66</v>
      </c>
      <c r="J4179">
        <v>13.67</v>
      </c>
      <c r="K4179" t="s">
        <v>17029</v>
      </c>
      <c r="L4179">
        <v>0.43</v>
      </c>
      <c r="M4179" t="s">
        <v>46</v>
      </c>
      <c r="N4179" t="s">
        <v>1870</v>
      </c>
      <c r="O4179">
        <v>13.78</v>
      </c>
      <c r="P4179">
        <v>13.55</v>
      </c>
      <c r="Q4179">
        <v>13.68</v>
      </c>
      <c r="R4179">
        <v>13.73</v>
      </c>
      <c r="S4179">
        <v>1.68</v>
      </c>
      <c r="T4179">
        <v>0.74</v>
      </c>
      <c r="U4179">
        <v>-15.58</v>
      </c>
      <c r="V4179">
        <v>-48</v>
      </c>
      <c r="W4179">
        <v>13.63</v>
      </c>
      <c r="X4179" t="s">
        <v>734</v>
      </c>
      <c r="Y4179" t="s">
        <v>1646</v>
      </c>
      <c r="Z4179">
        <v>1.1</v>
      </c>
      <c r="AA4179">
        <v>1</v>
      </c>
      <c r="AB4179">
        <v>33</v>
      </c>
      <c r="AC4179">
        <v>5.72</v>
      </c>
      <c r="AD4179" t="s">
        <v>18279</v>
      </c>
      <c r="AE4179" t="s">
        <v>19839</v>
      </c>
      <c r="AF4179" t="s">
        <v>19840</v>
      </c>
      <c r="AG4179" t="s">
        <v>19841</v>
      </c>
      <c r="AH4179">
        <v>-1.37</v>
      </c>
      <c r="AI4179">
        <v>-1.8</v>
      </c>
      <c r="AJ4179">
        <v>1.5</v>
      </c>
      <c r="AK4179">
        <v>3.35</v>
      </c>
      <c r="AL4179">
        <v>-1</v>
      </c>
      <c r="AM4179">
        <v>-0.51</v>
      </c>
      <c r="AN4179">
        <v>-2.78</v>
      </c>
      <c r="AO4179">
        <v>6.06</v>
      </c>
      <c r="AP4179">
        <v>-10.66</v>
      </c>
    </row>
    <row r="4180" spans="1:42">
      <c r="A4180">
        <v>4179</v>
      </c>
      <c r="B4180" t="str">
        <f>"300922"</f>
        <v>300922</v>
      </c>
      <c r="C4180" t="s">
        <v>19842</v>
      </c>
      <c r="D4180">
        <v>17.58</v>
      </c>
      <c r="E4180">
        <v>0.51</v>
      </c>
      <c r="F4180">
        <v>0.09</v>
      </c>
      <c r="G4180" t="s">
        <v>1112</v>
      </c>
      <c r="H4180">
        <v>84</v>
      </c>
      <c r="I4180">
        <v>17.58</v>
      </c>
      <c r="J4180">
        <v>17.59</v>
      </c>
      <c r="K4180" t="s">
        <v>17029</v>
      </c>
      <c r="L4180">
        <v>1.87</v>
      </c>
      <c r="M4180" t="s">
        <v>46</v>
      </c>
      <c r="N4180" t="s">
        <v>19843</v>
      </c>
      <c r="O4180">
        <v>17.65</v>
      </c>
      <c r="P4180">
        <v>17.25</v>
      </c>
      <c r="Q4180">
        <v>17.54</v>
      </c>
      <c r="R4180">
        <v>17.49</v>
      </c>
      <c r="S4180">
        <v>2.29</v>
      </c>
      <c r="T4180">
        <v>0.76</v>
      </c>
      <c r="U4180">
        <v>9.65</v>
      </c>
      <c r="V4180">
        <v>22</v>
      </c>
      <c r="W4180">
        <v>17.43</v>
      </c>
      <c r="X4180">
        <v>7999</v>
      </c>
      <c r="Y4180">
        <v>8738</v>
      </c>
      <c r="Z4180">
        <v>0.92</v>
      </c>
      <c r="AA4180">
        <v>4</v>
      </c>
      <c r="AB4180">
        <v>10</v>
      </c>
      <c r="AC4180">
        <v>3.17</v>
      </c>
      <c r="AD4180" t="s">
        <v>14846</v>
      </c>
      <c r="AE4180" t="s">
        <v>930</v>
      </c>
      <c r="AF4180" t="s">
        <v>11700</v>
      </c>
      <c r="AG4180" t="s">
        <v>10805</v>
      </c>
      <c r="AH4180">
        <v>-0.73</v>
      </c>
      <c r="AI4180">
        <v>-1.29</v>
      </c>
      <c r="AJ4180">
        <v>7.03</v>
      </c>
      <c r="AK4180">
        <v>14.09</v>
      </c>
      <c r="AL4180">
        <v>1</v>
      </c>
      <c r="AM4180">
        <v>0.51</v>
      </c>
      <c r="AN4180">
        <v>29.07</v>
      </c>
      <c r="AO4180">
        <v>2.03</v>
      </c>
      <c r="AP4180">
        <v>16.12</v>
      </c>
    </row>
    <row r="4181" spans="1:42">
      <c r="A4181">
        <v>4180</v>
      </c>
      <c r="B4181" t="str">
        <f>"688569"</f>
        <v>688569</v>
      </c>
      <c r="C4181" t="s">
        <v>19844</v>
      </c>
      <c r="D4181">
        <v>28.08</v>
      </c>
      <c r="E4181">
        <v>0.32</v>
      </c>
      <c r="F4181">
        <v>0.09</v>
      </c>
      <c r="G4181" t="s">
        <v>239</v>
      </c>
      <c r="H4181">
        <v>150</v>
      </c>
      <c r="I4181">
        <v>28.08</v>
      </c>
      <c r="J4181">
        <v>28.12</v>
      </c>
      <c r="K4181" t="s">
        <v>19845</v>
      </c>
      <c r="L4181">
        <v>0.79</v>
      </c>
      <c r="M4181" t="s">
        <v>46</v>
      </c>
      <c r="N4181" t="s">
        <v>5236</v>
      </c>
      <c r="O4181">
        <v>28.35</v>
      </c>
      <c r="P4181">
        <v>27.57</v>
      </c>
      <c r="Q4181">
        <v>27.98</v>
      </c>
      <c r="R4181">
        <v>27.99</v>
      </c>
      <c r="S4181">
        <v>2.79</v>
      </c>
      <c r="T4181">
        <v>1.14</v>
      </c>
      <c r="U4181">
        <v>30.37</v>
      </c>
      <c r="V4181">
        <v>86</v>
      </c>
      <c r="W4181">
        <v>27.89</v>
      </c>
      <c r="X4181">
        <v>5073</v>
      </c>
      <c r="Y4181">
        <v>5372</v>
      </c>
      <c r="Z4181">
        <v>0.94</v>
      </c>
      <c r="AA4181">
        <v>49</v>
      </c>
      <c r="AB4181">
        <v>5</v>
      </c>
      <c r="AC4181">
        <v>2.17</v>
      </c>
      <c r="AD4181" t="s">
        <v>2430</v>
      </c>
      <c r="AE4181" t="s">
        <v>12911</v>
      </c>
      <c r="AF4181" t="s">
        <v>19846</v>
      </c>
      <c r="AG4181" t="s">
        <v>14009</v>
      </c>
      <c r="AH4181">
        <v>-0.64</v>
      </c>
      <c r="AI4181">
        <v>-1.65</v>
      </c>
      <c r="AJ4181">
        <v>2.15</v>
      </c>
      <c r="AK4181">
        <v>4.26</v>
      </c>
      <c r="AL4181">
        <v>2</v>
      </c>
      <c r="AM4181">
        <v>0.32</v>
      </c>
      <c r="AN4181">
        <v>62.88</v>
      </c>
      <c r="AO4181">
        <v>-1.3</v>
      </c>
      <c r="AP4181">
        <v>49.28</v>
      </c>
    </row>
    <row r="4182" spans="1:42">
      <c r="A4182">
        <v>4181</v>
      </c>
      <c r="B4182" t="str">
        <f>"002817"</f>
        <v>002817</v>
      </c>
      <c r="C4182" t="s">
        <v>19847</v>
      </c>
      <c r="D4182">
        <v>8.97</v>
      </c>
      <c r="E4182">
        <v>0</v>
      </c>
      <c r="F4182">
        <v>0</v>
      </c>
      <c r="G4182" t="s">
        <v>8329</v>
      </c>
      <c r="H4182">
        <v>147</v>
      </c>
      <c r="I4182">
        <v>8.97</v>
      </c>
      <c r="J4182">
        <v>8.98</v>
      </c>
      <c r="K4182" t="s">
        <v>19848</v>
      </c>
      <c r="L4182">
        <v>1.12</v>
      </c>
      <c r="M4182" t="s">
        <v>46</v>
      </c>
      <c r="N4182" t="s">
        <v>4094</v>
      </c>
      <c r="O4182">
        <v>9.08</v>
      </c>
      <c r="P4182">
        <v>8.94</v>
      </c>
      <c r="Q4182">
        <v>9.02</v>
      </c>
      <c r="R4182">
        <v>8.97</v>
      </c>
      <c r="S4182">
        <v>1.56</v>
      </c>
      <c r="T4182">
        <v>0.74</v>
      </c>
      <c r="U4182">
        <v>-41.65</v>
      </c>
      <c r="V4182">
        <v>-692</v>
      </c>
      <c r="W4182">
        <v>9.01</v>
      </c>
      <c r="X4182" t="s">
        <v>144</v>
      </c>
      <c r="Y4182" t="s">
        <v>390</v>
      </c>
      <c r="Z4182">
        <v>0.94</v>
      </c>
      <c r="AA4182">
        <v>1</v>
      </c>
      <c r="AB4182">
        <v>84</v>
      </c>
      <c r="AC4182">
        <v>3.01</v>
      </c>
      <c r="AD4182" t="s">
        <v>19849</v>
      </c>
      <c r="AE4182" t="s">
        <v>19850</v>
      </c>
      <c r="AF4182" t="s">
        <v>16950</v>
      </c>
      <c r="AG4182" t="s">
        <v>13149</v>
      </c>
      <c r="AH4182">
        <v>-0.77</v>
      </c>
      <c r="AI4182">
        <v>0</v>
      </c>
      <c r="AJ4182">
        <v>3.24</v>
      </c>
      <c r="AK4182">
        <v>8.65</v>
      </c>
      <c r="AL4182">
        <v>0</v>
      </c>
      <c r="AM4182">
        <v>0</v>
      </c>
      <c r="AN4182">
        <v>0.79</v>
      </c>
      <c r="AO4182">
        <v>2.75</v>
      </c>
      <c r="AP4182">
        <v>-14.81</v>
      </c>
    </row>
    <row r="4183" spans="1:42">
      <c r="A4183">
        <v>4182</v>
      </c>
      <c r="B4183" t="str">
        <f>"002382"</f>
        <v>002382</v>
      </c>
      <c r="C4183" t="s">
        <v>19851</v>
      </c>
      <c r="D4183">
        <v>7.12</v>
      </c>
      <c r="E4183">
        <v>-0.14</v>
      </c>
      <c r="F4183">
        <v>-0.01</v>
      </c>
      <c r="G4183" t="s">
        <v>2752</v>
      </c>
      <c r="H4183">
        <v>395</v>
      </c>
      <c r="I4183">
        <v>7.11</v>
      </c>
      <c r="J4183">
        <v>7.12</v>
      </c>
      <c r="K4183" t="s">
        <v>19852</v>
      </c>
      <c r="L4183">
        <v>0.41</v>
      </c>
      <c r="M4183" t="s">
        <v>46</v>
      </c>
      <c r="N4183" t="s">
        <v>7306</v>
      </c>
      <c r="O4183">
        <v>7.14</v>
      </c>
      <c r="P4183">
        <v>7.08</v>
      </c>
      <c r="Q4183">
        <v>7.1</v>
      </c>
      <c r="R4183">
        <v>7.13</v>
      </c>
      <c r="S4183">
        <v>0.84</v>
      </c>
      <c r="T4183">
        <v>0.56</v>
      </c>
      <c r="U4183">
        <v>23.45</v>
      </c>
      <c r="V4183">
        <v>1338</v>
      </c>
      <c r="W4183">
        <v>7.11</v>
      </c>
      <c r="X4183" t="s">
        <v>60</v>
      </c>
      <c r="Y4183" t="s">
        <v>6266</v>
      </c>
      <c r="Z4183">
        <v>0.77</v>
      </c>
      <c r="AA4183">
        <v>116</v>
      </c>
      <c r="AB4183">
        <v>13</v>
      </c>
      <c r="AC4183">
        <v>0.74</v>
      </c>
      <c r="AD4183" t="s">
        <v>1119</v>
      </c>
      <c r="AE4183" t="s">
        <v>19853</v>
      </c>
      <c r="AF4183" t="s">
        <v>4895</v>
      </c>
      <c r="AG4183" t="s">
        <v>19854</v>
      </c>
      <c r="AH4183">
        <v>-0.56</v>
      </c>
      <c r="AI4183">
        <v>-0.14</v>
      </c>
      <c r="AJ4183">
        <v>1.74</v>
      </c>
      <c r="AK4183">
        <v>4.05</v>
      </c>
      <c r="AL4183">
        <v>-1</v>
      </c>
      <c r="AM4183">
        <v>-0.14</v>
      </c>
      <c r="AN4183">
        <v>-3.65</v>
      </c>
      <c r="AO4183">
        <v>2.89</v>
      </c>
      <c r="AP4183">
        <v>-16.43</v>
      </c>
    </row>
    <row r="4184" spans="1:42">
      <c r="A4184">
        <v>4183</v>
      </c>
      <c r="B4184" t="str">
        <f>"688669"</f>
        <v>688669</v>
      </c>
      <c r="C4184" t="s">
        <v>19855</v>
      </c>
      <c r="D4184">
        <v>18.87</v>
      </c>
      <c r="E4184">
        <v>-1</v>
      </c>
      <c r="F4184">
        <v>-0.19</v>
      </c>
      <c r="G4184" t="s">
        <v>7178</v>
      </c>
      <c r="H4184">
        <v>196</v>
      </c>
      <c r="I4184">
        <v>18.85</v>
      </c>
      <c r="J4184">
        <v>18.87</v>
      </c>
      <c r="K4184" t="s">
        <v>4858</v>
      </c>
      <c r="L4184">
        <v>2.52</v>
      </c>
      <c r="M4184" t="s">
        <v>46</v>
      </c>
      <c r="N4184" t="s">
        <v>6102</v>
      </c>
      <c r="O4184">
        <v>19.17</v>
      </c>
      <c r="P4184">
        <v>18.73</v>
      </c>
      <c r="Q4184">
        <v>19.03</v>
      </c>
      <c r="R4184">
        <v>19.06</v>
      </c>
      <c r="S4184">
        <v>2.31</v>
      </c>
      <c r="T4184">
        <v>0.84</v>
      </c>
      <c r="U4184">
        <v>53.56</v>
      </c>
      <c r="V4184">
        <v>156</v>
      </c>
      <c r="W4184">
        <v>18.92</v>
      </c>
      <c r="X4184">
        <v>9153</v>
      </c>
      <c r="Y4184">
        <v>6212</v>
      </c>
      <c r="Z4184">
        <v>1.47</v>
      </c>
      <c r="AA4184">
        <v>110</v>
      </c>
      <c r="AB4184">
        <v>20</v>
      </c>
      <c r="AC4184">
        <v>1.45</v>
      </c>
      <c r="AD4184" t="s">
        <v>6278</v>
      </c>
      <c r="AE4184" t="s">
        <v>19856</v>
      </c>
      <c r="AF4184" t="s">
        <v>19857</v>
      </c>
      <c r="AG4184" t="s">
        <v>5246</v>
      </c>
      <c r="AH4184">
        <v>-5.65</v>
      </c>
      <c r="AI4184">
        <v>-0.47</v>
      </c>
      <c r="AJ4184">
        <v>9.54</v>
      </c>
      <c r="AK4184">
        <v>17.55</v>
      </c>
      <c r="AL4184">
        <v>-3</v>
      </c>
      <c r="AM4184">
        <v>-1</v>
      </c>
      <c r="AN4184">
        <v>14.92</v>
      </c>
      <c r="AO4184">
        <v>1.62</v>
      </c>
      <c r="AP4184">
        <v>8.39</v>
      </c>
    </row>
    <row r="4185" spans="1:42">
      <c r="A4185">
        <v>4184</v>
      </c>
      <c r="B4185" t="str">
        <f>"605158"</f>
        <v>605158</v>
      </c>
      <c r="C4185" t="s">
        <v>19858</v>
      </c>
      <c r="D4185">
        <v>7.77</v>
      </c>
      <c r="E4185">
        <v>0.26</v>
      </c>
      <c r="F4185">
        <v>0.02</v>
      </c>
      <c r="G4185" t="s">
        <v>2691</v>
      </c>
      <c r="H4185">
        <v>167</v>
      </c>
      <c r="I4185">
        <v>7.77</v>
      </c>
      <c r="J4185">
        <v>7.78</v>
      </c>
      <c r="K4185" t="s">
        <v>19859</v>
      </c>
      <c r="L4185">
        <v>0.73</v>
      </c>
      <c r="M4185" t="s">
        <v>46</v>
      </c>
      <c r="N4185" t="s">
        <v>17197</v>
      </c>
      <c r="O4185">
        <v>7.89</v>
      </c>
      <c r="P4185">
        <v>7.71</v>
      </c>
      <c r="Q4185">
        <v>7.75</v>
      </c>
      <c r="R4185">
        <v>7.75</v>
      </c>
      <c r="S4185">
        <v>2.32</v>
      </c>
      <c r="T4185">
        <v>1.58</v>
      </c>
      <c r="U4185">
        <v>9.59</v>
      </c>
      <c r="V4185">
        <v>119</v>
      </c>
      <c r="W4185">
        <v>7.79</v>
      </c>
      <c r="X4185" t="s">
        <v>144</v>
      </c>
      <c r="Y4185" t="s">
        <v>7053</v>
      </c>
      <c r="Z4185">
        <v>0.73</v>
      </c>
      <c r="AA4185">
        <v>12</v>
      </c>
      <c r="AB4185">
        <v>111</v>
      </c>
      <c r="AC4185">
        <v>1.7</v>
      </c>
      <c r="AD4185" t="s">
        <v>19860</v>
      </c>
      <c r="AE4185" t="s">
        <v>19861</v>
      </c>
      <c r="AF4185" t="s">
        <v>19860</v>
      </c>
      <c r="AG4185" t="s">
        <v>19861</v>
      </c>
      <c r="AH4185">
        <v>-0.89</v>
      </c>
      <c r="AI4185">
        <v>-0.89</v>
      </c>
      <c r="AJ4185">
        <v>1.76</v>
      </c>
      <c r="AK4185">
        <v>3.03</v>
      </c>
      <c r="AL4185">
        <v>1</v>
      </c>
      <c r="AM4185">
        <v>0.26</v>
      </c>
      <c r="AN4185">
        <v>23.73</v>
      </c>
      <c r="AO4185">
        <v>2.78</v>
      </c>
      <c r="AP4185">
        <v>12.45</v>
      </c>
    </row>
    <row r="4186" spans="1:42">
      <c r="A4186">
        <v>4185</v>
      </c>
      <c r="B4186" t="str">
        <f>"002628"</f>
        <v>002628</v>
      </c>
      <c r="C4186" t="s">
        <v>19862</v>
      </c>
      <c r="D4186">
        <v>3.36</v>
      </c>
      <c r="E4186">
        <v>1.2</v>
      </c>
      <c r="F4186">
        <v>0.04</v>
      </c>
      <c r="G4186" t="s">
        <v>5203</v>
      </c>
      <c r="H4186">
        <v>893</v>
      </c>
      <c r="I4186">
        <v>3.36</v>
      </c>
      <c r="J4186">
        <v>3.37</v>
      </c>
      <c r="K4186" t="s">
        <v>19863</v>
      </c>
      <c r="L4186">
        <v>1.15</v>
      </c>
      <c r="M4186" t="s">
        <v>46</v>
      </c>
      <c r="N4186" t="s">
        <v>1510</v>
      </c>
      <c r="O4186">
        <v>3.37</v>
      </c>
      <c r="P4186">
        <v>3.32</v>
      </c>
      <c r="Q4186">
        <v>3.33</v>
      </c>
      <c r="R4186">
        <v>3.32</v>
      </c>
      <c r="S4186">
        <v>1.51</v>
      </c>
      <c r="T4186">
        <v>0.95</v>
      </c>
      <c r="U4186">
        <v>-37.47</v>
      </c>
      <c r="V4186">
        <v>-8058</v>
      </c>
      <c r="W4186">
        <v>3.36</v>
      </c>
      <c r="X4186" t="s">
        <v>8329</v>
      </c>
      <c r="Y4186" t="s">
        <v>7519</v>
      </c>
      <c r="Z4186">
        <v>0.6</v>
      </c>
      <c r="AA4186">
        <v>317</v>
      </c>
      <c r="AB4186">
        <v>5251</v>
      </c>
      <c r="AC4186">
        <v>0.85</v>
      </c>
      <c r="AD4186" t="s">
        <v>19864</v>
      </c>
      <c r="AE4186" t="s">
        <v>6470</v>
      </c>
      <c r="AF4186" t="s">
        <v>19865</v>
      </c>
      <c r="AG4186" t="s">
        <v>19866</v>
      </c>
      <c r="AH4186">
        <v>-0.3</v>
      </c>
      <c r="AI4186">
        <v>-0.59</v>
      </c>
      <c r="AJ4186">
        <v>3.27</v>
      </c>
      <c r="AK4186">
        <v>7.16</v>
      </c>
      <c r="AL4186">
        <v>1</v>
      </c>
      <c r="AM4186">
        <v>1.2</v>
      </c>
      <c r="AN4186">
        <v>-4.55</v>
      </c>
      <c r="AO4186">
        <v>2.75</v>
      </c>
      <c r="AP4186">
        <v>-7.69</v>
      </c>
    </row>
    <row r="4187" spans="1:42">
      <c r="A4187">
        <v>4186</v>
      </c>
      <c r="B4187" t="str">
        <f>"002286"</f>
        <v>002286</v>
      </c>
      <c r="C4187" t="s">
        <v>19867</v>
      </c>
      <c r="D4187">
        <v>8.29</v>
      </c>
      <c r="E4187">
        <v>-0.72</v>
      </c>
      <c r="F4187">
        <v>-0.06</v>
      </c>
      <c r="G4187" t="s">
        <v>762</v>
      </c>
      <c r="H4187">
        <v>362</v>
      </c>
      <c r="I4187">
        <v>8.28</v>
      </c>
      <c r="J4187">
        <v>8.29</v>
      </c>
      <c r="K4187" t="s">
        <v>19868</v>
      </c>
      <c r="L4187">
        <v>0.94</v>
      </c>
      <c r="M4187" t="s">
        <v>46</v>
      </c>
      <c r="N4187" t="s">
        <v>4469</v>
      </c>
      <c r="O4187">
        <v>8.4</v>
      </c>
      <c r="P4187">
        <v>8.27</v>
      </c>
      <c r="Q4187">
        <v>8.36</v>
      </c>
      <c r="R4187">
        <v>8.35</v>
      </c>
      <c r="S4187">
        <v>1.56</v>
      </c>
      <c r="T4187">
        <v>0.95</v>
      </c>
      <c r="U4187">
        <v>26.13</v>
      </c>
      <c r="V4187">
        <v>617</v>
      </c>
      <c r="W4187">
        <v>8.32</v>
      </c>
      <c r="X4187" t="s">
        <v>10934</v>
      </c>
      <c r="Y4187" t="s">
        <v>8212</v>
      </c>
      <c r="Z4187">
        <v>1.24</v>
      </c>
      <c r="AA4187">
        <v>196</v>
      </c>
      <c r="AB4187">
        <v>373</v>
      </c>
      <c r="AC4187">
        <v>1.53</v>
      </c>
      <c r="AD4187" t="s">
        <v>19869</v>
      </c>
      <c r="AE4187" t="s">
        <v>19870</v>
      </c>
      <c r="AF4187" t="s">
        <v>19871</v>
      </c>
      <c r="AG4187" t="s">
        <v>5219</v>
      </c>
      <c r="AH4187">
        <v>-0.72</v>
      </c>
      <c r="AI4187">
        <v>-0.6</v>
      </c>
      <c r="AJ4187">
        <v>3.01</v>
      </c>
      <c r="AK4187">
        <v>5.89</v>
      </c>
      <c r="AL4187">
        <v>-1</v>
      </c>
      <c r="AM4187">
        <v>-0.72</v>
      </c>
      <c r="AN4187">
        <v>-7.99</v>
      </c>
      <c r="AO4187">
        <v>3.37</v>
      </c>
      <c r="AP4187">
        <v>-8.3</v>
      </c>
    </row>
    <row r="4188" spans="1:42">
      <c r="A4188">
        <v>4187</v>
      </c>
      <c r="B4188" t="str">
        <f>"688161"</f>
        <v>688161</v>
      </c>
      <c r="C4188" t="s">
        <v>19872</v>
      </c>
      <c r="D4188">
        <v>41.83</v>
      </c>
      <c r="E4188">
        <v>-2.47</v>
      </c>
      <c r="F4188">
        <v>-1.06</v>
      </c>
      <c r="G4188">
        <v>6877</v>
      </c>
      <c r="H4188">
        <v>83</v>
      </c>
      <c r="I4188">
        <v>41.83</v>
      </c>
      <c r="J4188">
        <v>41.93</v>
      </c>
      <c r="K4188" t="s">
        <v>19873</v>
      </c>
      <c r="L4188">
        <v>0.9</v>
      </c>
      <c r="M4188" t="s">
        <v>46</v>
      </c>
      <c r="N4188" t="s">
        <v>522</v>
      </c>
      <c r="O4188">
        <v>42.85</v>
      </c>
      <c r="P4188">
        <v>41.76</v>
      </c>
      <c r="Q4188">
        <v>42.67</v>
      </c>
      <c r="R4188">
        <v>42.89</v>
      </c>
      <c r="S4188">
        <v>2.54</v>
      </c>
      <c r="T4188">
        <v>1.06</v>
      </c>
      <c r="U4188">
        <v>-67.24</v>
      </c>
      <c r="V4188">
        <v>-271</v>
      </c>
      <c r="W4188">
        <v>42.14</v>
      </c>
      <c r="X4188">
        <v>3899</v>
      </c>
      <c r="Y4188">
        <v>2978</v>
      </c>
      <c r="Z4188">
        <v>1.31</v>
      </c>
      <c r="AA4188">
        <v>15</v>
      </c>
      <c r="AB4188">
        <v>1</v>
      </c>
      <c r="AC4188">
        <v>4.26</v>
      </c>
      <c r="AD4188" t="s">
        <v>7381</v>
      </c>
      <c r="AE4188" t="s">
        <v>7598</v>
      </c>
      <c r="AF4188" t="s">
        <v>19874</v>
      </c>
      <c r="AG4188" t="s">
        <v>19875</v>
      </c>
      <c r="AH4188">
        <v>-2.74</v>
      </c>
      <c r="AI4188">
        <v>-1.25</v>
      </c>
      <c r="AJ4188">
        <v>2.47</v>
      </c>
      <c r="AK4188">
        <v>5.12</v>
      </c>
      <c r="AL4188">
        <v>-1</v>
      </c>
      <c r="AM4188">
        <v>-2.47</v>
      </c>
      <c r="AN4188">
        <v>-19.22</v>
      </c>
      <c r="AO4188">
        <v>2.73</v>
      </c>
      <c r="AP4188">
        <v>-22.67</v>
      </c>
    </row>
    <row r="4189" spans="1:42">
      <c r="A4189">
        <v>4188</v>
      </c>
      <c r="B4189" t="str">
        <f>"688209"</f>
        <v>688209</v>
      </c>
      <c r="C4189" t="s">
        <v>19876</v>
      </c>
      <c r="D4189">
        <v>16.84</v>
      </c>
      <c r="E4189">
        <v>0.48</v>
      </c>
      <c r="F4189">
        <v>0.08</v>
      </c>
      <c r="G4189" t="s">
        <v>6656</v>
      </c>
      <c r="H4189">
        <v>50</v>
      </c>
      <c r="I4189">
        <v>16.84</v>
      </c>
      <c r="J4189">
        <v>16.86</v>
      </c>
      <c r="K4189" t="s">
        <v>19877</v>
      </c>
      <c r="L4189">
        <v>0.59</v>
      </c>
      <c r="M4189" t="s">
        <v>46</v>
      </c>
      <c r="N4189" t="s">
        <v>1585</v>
      </c>
      <c r="O4189">
        <v>16.91</v>
      </c>
      <c r="P4189">
        <v>16.5</v>
      </c>
      <c r="Q4189">
        <v>16.82</v>
      </c>
      <c r="R4189">
        <v>16.76</v>
      </c>
      <c r="S4189">
        <v>2.45</v>
      </c>
      <c r="T4189">
        <v>0.92</v>
      </c>
      <c r="U4189">
        <v>-9.6</v>
      </c>
      <c r="V4189">
        <v>-41</v>
      </c>
      <c r="W4189">
        <v>16.71</v>
      </c>
      <c r="X4189">
        <v>8965</v>
      </c>
      <c r="Y4189">
        <v>8363</v>
      </c>
      <c r="Z4189">
        <v>1.07</v>
      </c>
      <c r="AA4189">
        <v>13</v>
      </c>
      <c r="AB4189">
        <v>20</v>
      </c>
      <c r="AC4189">
        <v>4.1</v>
      </c>
      <c r="AD4189" t="s">
        <v>3391</v>
      </c>
      <c r="AE4189" t="s">
        <v>19878</v>
      </c>
      <c r="AF4189" t="s">
        <v>5216</v>
      </c>
      <c r="AG4189" t="s">
        <v>19879</v>
      </c>
      <c r="AH4189">
        <v>-1.58</v>
      </c>
      <c r="AI4189">
        <v>0.24</v>
      </c>
      <c r="AJ4189">
        <v>1.78</v>
      </c>
      <c r="AK4189">
        <v>3.8</v>
      </c>
      <c r="AL4189">
        <v>1</v>
      </c>
      <c r="AM4189">
        <v>0.48</v>
      </c>
      <c r="AN4189">
        <v>-8.28</v>
      </c>
      <c r="AO4189">
        <v>0.18</v>
      </c>
      <c r="AP4189">
        <v>-28.19</v>
      </c>
    </row>
    <row r="4190" spans="1:42">
      <c r="A4190">
        <v>4189</v>
      </c>
      <c r="B4190" t="str">
        <f>"301200"</f>
        <v>301200</v>
      </c>
      <c r="C4190" t="s">
        <v>19880</v>
      </c>
      <c r="D4190">
        <v>38.04</v>
      </c>
      <c r="E4190">
        <v>-0.11</v>
      </c>
      <c r="F4190">
        <v>-0.04</v>
      </c>
      <c r="G4190">
        <v>7656</v>
      </c>
      <c r="H4190">
        <v>33</v>
      </c>
      <c r="I4190">
        <v>38.04</v>
      </c>
      <c r="J4190">
        <v>38.05</v>
      </c>
      <c r="K4190" t="s">
        <v>19881</v>
      </c>
      <c r="L4190">
        <v>1.82</v>
      </c>
      <c r="M4190" t="s">
        <v>46</v>
      </c>
      <c r="N4190" t="s">
        <v>1729</v>
      </c>
      <c r="O4190">
        <v>38.42</v>
      </c>
      <c r="P4190">
        <v>37.48</v>
      </c>
      <c r="Q4190">
        <v>38.11</v>
      </c>
      <c r="R4190">
        <v>38.08</v>
      </c>
      <c r="S4190">
        <v>2.47</v>
      </c>
      <c r="T4190">
        <v>1.48</v>
      </c>
      <c r="U4190">
        <v>45</v>
      </c>
      <c r="V4190">
        <v>36</v>
      </c>
      <c r="W4190">
        <v>37.8</v>
      </c>
      <c r="X4190">
        <v>3225</v>
      </c>
      <c r="Y4190">
        <v>4431</v>
      </c>
      <c r="Z4190">
        <v>0.73</v>
      </c>
      <c r="AA4190">
        <v>12</v>
      </c>
      <c r="AB4190">
        <v>5</v>
      </c>
      <c r="AC4190">
        <v>3.41</v>
      </c>
      <c r="AD4190" t="s">
        <v>7825</v>
      </c>
      <c r="AE4190" t="s">
        <v>19882</v>
      </c>
      <c r="AF4190" t="s">
        <v>4204</v>
      </c>
      <c r="AG4190" t="s">
        <v>9037</v>
      </c>
      <c r="AH4190">
        <v>-2.14</v>
      </c>
      <c r="AI4190">
        <v>-1.27</v>
      </c>
      <c r="AJ4190">
        <v>4.22</v>
      </c>
      <c r="AK4190">
        <v>7.98</v>
      </c>
      <c r="AL4190">
        <v>-3</v>
      </c>
      <c r="AM4190">
        <v>-0.11</v>
      </c>
      <c r="AN4190">
        <v>4.65</v>
      </c>
      <c r="AO4190">
        <v>0.18</v>
      </c>
      <c r="AP4190">
        <v>-5.11</v>
      </c>
    </row>
    <row r="4191" spans="1:42">
      <c r="A4191">
        <v>4190</v>
      </c>
      <c r="B4191" t="str">
        <f>"603256"</f>
        <v>603256</v>
      </c>
      <c r="C4191" t="s">
        <v>19883</v>
      </c>
      <c r="D4191">
        <v>8.41</v>
      </c>
      <c r="E4191">
        <v>0.12</v>
      </c>
      <c r="F4191">
        <v>0.01</v>
      </c>
      <c r="G4191" t="s">
        <v>4839</v>
      </c>
      <c r="H4191">
        <v>809</v>
      </c>
      <c r="I4191">
        <v>8.41</v>
      </c>
      <c r="J4191">
        <v>8.42</v>
      </c>
      <c r="K4191" t="s">
        <v>19884</v>
      </c>
      <c r="L4191">
        <v>0.39</v>
      </c>
      <c r="M4191" t="s">
        <v>46</v>
      </c>
      <c r="N4191" t="s">
        <v>7493</v>
      </c>
      <c r="O4191">
        <v>8.46</v>
      </c>
      <c r="P4191">
        <v>8.32</v>
      </c>
      <c r="Q4191">
        <v>8.43</v>
      </c>
      <c r="R4191">
        <v>8.4</v>
      </c>
      <c r="S4191">
        <v>1.67</v>
      </c>
      <c r="T4191">
        <v>0.64</v>
      </c>
      <c r="U4191">
        <v>-43.64</v>
      </c>
      <c r="V4191">
        <v>-813</v>
      </c>
      <c r="W4191">
        <v>8.38</v>
      </c>
      <c r="X4191" t="s">
        <v>5237</v>
      </c>
      <c r="Y4191" t="s">
        <v>4717</v>
      </c>
      <c r="Z4191">
        <v>1.45</v>
      </c>
      <c r="AA4191">
        <v>92</v>
      </c>
      <c r="AB4191">
        <v>329</v>
      </c>
      <c r="AC4191">
        <v>5.15</v>
      </c>
      <c r="AD4191" t="s">
        <v>19885</v>
      </c>
      <c r="AE4191" t="s">
        <v>9378</v>
      </c>
      <c r="AF4191" t="s">
        <v>19886</v>
      </c>
      <c r="AG4191" t="s">
        <v>19887</v>
      </c>
      <c r="AH4191">
        <v>-3.22</v>
      </c>
      <c r="AI4191">
        <v>-5.4</v>
      </c>
      <c r="AJ4191">
        <v>1.28</v>
      </c>
      <c r="AK4191">
        <v>3.44</v>
      </c>
      <c r="AL4191">
        <v>1</v>
      </c>
      <c r="AM4191">
        <v>0.12</v>
      </c>
      <c r="AN4191">
        <v>29.58</v>
      </c>
      <c r="AO4191">
        <v>0.24</v>
      </c>
      <c r="AP4191">
        <v>21.71</v>
      </c>
    </row>
    <row r="4192" spans="1:42">
      <c r="A4192">
        <v>4191</v>
      </c>
      <c r="B4192" t="str">
        <f>"600356"</f>
        <v>600356</v>
      </c>
      <c r="C4192" t="s">
        <v>19888</v>
      </c>
      <c r="D4192">
        <v>8.01</v>
      </c>
      <c r="E4192">
        <v>1.14</v>
      </c>
      <c r="F4192">
        <v>0.09</v>
      </c>
      <c r="G4192" t="s">
        <v>5323</v>
      </c>
      <c r="H4192">
        <v>322</v>
      </c>
      <c r="I4192">
        <v>8</v>
      </c>
      <c r="J4192">
        <v>8.01</v>
      </c>
      <c r="K4192" t="s">
        <v>19889</v>
      </c>
      <c r="L4192">
        <v>1.21</v>
      </c>
      <c r="M4192" t="s">
        <v>46</v>
      </c>
      <c r="N4192" t="s">
        <v>6402</v>
      </c>
      <c r="O4192">
        <v>8.06</v>
      </c>
      <c r="P4192">
        <v>7.88</v>
      </c>
      <c r="Q4192">
        <v>7.9</v>
      </c>
      <c r="R4192">
        <v>7.92</v>
      </c>
      <c r="S4192">
        <v>2.27</v>
      </c>
      <c r="T4192">
        <v>1.41</v>
      </c>
      <c r="U4192">
        <v>-53.07</v>
      </c>
      <c r="V4192">
        <v>-812</v>
      </c>
      <c r="W4192">
        <v>8</v>
      </c>
      <c r="X4192" t="s">
        <v>6012</v>
      </c>
      <c r="Y4192" t="s">
        <v>60</v>
      </c>
      <c r="Z4192">
        <v>1.03</v>
      </c>
      <c r="AA4192">
        <v>5</v>
      </c>
      <c r="AB4192">
        <v>110</v>
      </c>
      <c r="AC4192">
        <v>0.98</v>
      </c>
      <c r="AD4192" t="s">
        <v>17959</v>
      </c>
      <c r="AE4192" t="s">
        <v>8758</v>
      </c>
      <c r="AF4192" t="s">
        <v>17959</v>
      </c>
      <c r="AG4192" t="s">
        <v>8758</v>
      </c>
      <c r="AH4192">
        <v>0.63</v>
      </c>
      <c r="AI4192">
        <v>-0.12</v>
      </c>
      <c r="AJ4192">
        <v>2.75</v>
      </c>
      <c r="AK4192">
        <v>5.51</v>
      </c>
      <c r="AL4192">
        <v>1</v>
      </c>
      <c r="AM4192">
        <v>1.14</v>
      </c>
      <c r="AN4192">
        <v>11.4</v>
      </c>
      <c r="AO4192">
        <v>2.82</v>
      </c>
      <c r="AP4192">
        <v>8.98</v>
      </c>
    </row>
    <row r="4193" spans="1:42">
      <c r="A4193">
        <v>4192</v>
      </c>
      <c r="B4193" t="str">
        <f>"603365"</f>
        <v>603365</v>
      </c>
      <c r="C4193" t="s">
        <v>19890</v>
      </c>
      <c r="D4193">
        <v>15.05</v>
      </c>
      <c r="E4193">
        <v>0.33</v>
      </c>
      <c r="F4193">
        <v>0.05</v>
      </c>
      <c r="G4193" t="s">
        <v>882</v>
      </c>
      <c r="H4193">
        <v>119</v>
      </c>
      <c r="I4193">
        <v>15.04</v>
      </c>
      <c r="J4193">
        <v>15.05</v>
      </c>
      <c r="K4193" t="s">
        <v>19891</v>
      </c>
      <c r="L4193">
        <v>0.73</v>
      </c>
      <c r="M4193" t="s">
        <v>46</v>
      </c>
      <c r="N4193" t="s">
        <v>2246</v>
      </c>
      <c r="O4193">
        <v>15.25</v>
      </c>
      <c r="P4193">
        <v>14.89</v>
      </c>
      <c r="Q4193">
        <v>14.9</v>
      </c>
      <c r="R4193">
        <v>15</v>
      </c>
      <c r="S4193">
        <v>2.4</v>
      </c>
      <c r="T4193">
        <v>1.5</v>
      </c>
      <c r="U4193">
        <v>6.82</v>
      </c>
      <c r="V4193">
        <v>48</v>
      </c>
      <c r="W4193">
        <v>15.07</v>
      </c>
      <c r="X4193">
        <v>7267</v>
      </c>
      <c r="Y4193" t="s">
        <v>718</v>
      </c>
      <c r="Z4193">
        <v>0.61</v>
      </c>
      <c r="AA4193">
        <v>145</v>
      </c>
      <c r="AB4193">
        <v>20</v>
      </c>
      <c r="AC4193">
        <v>1.4</v>
      </c>
      <c r="AD4193" t="s">
        <v>13131</v>
      </c>
      <c r="AE4193" t="s">
        <v>19892</v>
      </c>
      <c r="AF4193" t="s">
        <v>13131</v>
      </c>
      <c r="AG4193" t="s">
        <v>19892</v>
      </c>
      <c r="AH4193">
        <v>0.4</v>
      </c>
      <c r="AI4193">
        <v>1.01</v>
      </c>
      <c r="AJ4193">
        <v>1.63</v>
      </c>
      <c r="AK4193">
        <v>3.15</v>
      </c>
      <c r="AL4193">
        <v>2</v>
      </c>
      <c r="AM4193">
        <v>0.33</v>
      </c>
      <c r="AN4193">
        <v>21.18</v>
      </c>
      <c r="AO4193">
        <v>4.88</v>
      </c>
      <c r="AP4193">
        <v>23.77</v>
      </c>
    </row>
    <row r="4194" spans="1:42">
      <c r="A4194">
        <v>4193</v>
      </c>
      <c r="B4194" t="str">
        <f>"002677"</f>
        <v>002677</v>
      </c>
      <c r="C4194" t="s">
        <v>19893</v>
      </c>
      <c r="D4194">
        <v>10.28</v>
      </c>
      <c r="E4194">
        <v>-1.15</v>
      </c>
      <c r="F4194">
        <v>-0.12</v>
      </c>
      <c r="G4194" t="s">
        <v>7028</v>
      </c>
      <c r="H4194">
        <v>414</v>
      </c>
      <c r="I4194">
        <v>10.27</v>
      </c>
      <c r="J4194">
        <v>10.28</v>
      </c>
      <c r="K4194" t="s">
        <v>19894</v>
      </c>
      <c r="L4194">
        <v>0.74</v>
      </c>
      <c r="M4194" t="s">
        <v>46</v>
      </c>
      <c r="N4194" t="s">
        <v>7742</v>
      </c>
      <c r="O4194">
        <v>10.45</v>
      </c>
      <c r="P4194">
        <v>10.23</v>
      </c>
      <c r="Q4194">
        <v>10.4</v>
      </c>
      <c r="R4194">
        <v>10.4</v>
      </c>
      <c r="S4194">
        <v>2.12</v>
      </c>
      <c r="T4194">
        <v>1.12</v>
      </c>
      <c r="U4194">
        <v>16.86</v>
      </c>
      <c r="V4194">
        <v>131</v>
      </c>
      <c r="W4194">
        <v>10.29</v>
      </c>
      <c r="X4194" t="s">
        <v>60</v>
      </c>
      <c r="Y4194" t="s">
        <v>1646</v>
      </c>
      <c r="Z4194">
        <v>1.74</v>
      </c>
      <c r="AA4194">
        <v>37</v>
      </c>
      <c r="AB4194">
        <v>56</v>
      </c>
      <c r="AC4194">
        <v>3.44</v>
      </c>
      <c r="AD4194" t="s">
        <v>19680</v>
      </c>
      <c r="AE4194" t="s">
        <v>19895</v>
      </c>
      <c r="AF4194" t="s">
        <v>19896</v>
      </c>
      <c r="AG4194" t="s">
        <v>19897</v>
      </c>
      <c r="AH4194">
        <v>-2.74</v>
      </c>
      <c r="AI4194">
        <v>-3.11</v>
      </c>
      <c r="AJ4194">
        <v>1.78</v>
      </c>
      <c r="AK4194">
        <v>4.03</v>
      </c>
      <c r="AL4194">
        <v>-3</v>
      </c>
      <c r="AM4194">
        <v>-1.15</v>
      </c>
      <c r="AN4194">
        <v>-1.72</v>
      </c>
      <c r="AO4194">
        <v>-2.37</v>
      </c>
      <c r="AP4194">
        <v>0.69</v>
      </c>
    </row>
    <row r="4195" spans="1:42">
      <c r="A4195">
        <v>4194</v>
      </c>
      <c r="B4195" t="str">
        <f>"300967"</f>
        <v>300967</v>
      </c>
      <c r="C4195" t="s">
        <v>19898</v>
      </c>
      <c r="D4195">
        <v>14.76</v>
      </c>
      <c r="E4195">
        <v>-1.01</v>
      </c>
      <c r="F4195">
        <v>-0.15</v>
      </c>
      <c r="G4195" t="s">
        <v>10934</v>
      </c>
      <c r="H4195">
        <v>372</v>
      </c>
      <c r="I4195">
        <v>14.75</v>
      </c>
      <c r="J4195">
        <v>14.76</v>
      </c>
      <c r="K4195" t="s">
        <v>19899</v>
      </c>
      <c r="L4195">
        <v>1.84</v>
      </c>
      <c r="M4195" t="s">
        <v>46</v>
      </c>
      <c r="N4195" t="s">
        <v>2158</v>
      </c>
      <c r="O4195">
        <v>15.16</v>
      </c>
      <c r="P4195">
        <v>14.71</v>
      </c>
      <c r="Q4195">
        <v>14.81</v>
      </c>
      <c r="R4195">
        <v>14.91</v>
      </c>
      <c r="S4195">
        <v>3.02</v>
      </c>
      <c r="T4195">
        <v>0.62</v>
      </c>
      <c r="U4195">
        <v>17.16</v>
      </c>
      <c r="V4195">
        <v>99</v>
      </c>
      <c r="W4195">
        <v>14.9</v>
      </c>
      <c r="X4195" t="s">
        <v>2074</v>
      </c>
      <c r="Y4195">
        <v>9279</v>
      </c>
      <c r="Z4195">
        <v>1.09</v>
      </c>
      <c r="AA4195">
        <v>7</v>
      </c>
      <c r="AB4195">
        <v>140</v>
      </c>
      <c r="AC4195">
        <v>3.89</v>
      </c>
      <c r="AD4195" t="s">
        <v>3916</v>
      </c>
      <c r="AE4195" t="s">
        <v>19900</v>
      </c>
      <c r="AF4195" t="s">
        <v>7571</v>
      </c>
      <c r="AG4195" t="s">
        <v>14181</v>
      </c>
      <c r="AH4195">
        <v>-1.34</v>
      </c>
      <c r="AI4195">
        <v>-0.54</v>
      </c>
      <c r="AJ4195">
        <v>5.86</v>
      </c>
      <c r="AK4195">
        <v>16.77</v>
      </c>
      <c r="AL4195">
        <v>-1</v>
      </c>
      <c r="AM4195">
        <v>-1.01</v>
      </c>
      <c r="AN4195">
        <v>-14.19</v>
      </c>
      <c r="AO4195">
        <v>0.41</v>
      </c>
      <c r="AP4195">
        <v>-15.85</v>
      </c>
    </row>
    <row r="4196" spans="1:42">
      <c r="A4196">
        <v>4195</v>
      </c>
      <c r="B4196" t="str">
        <f>"301035"</f>
        <v>301035</v>
      </c>
      <c r="C4196" t="s">
        <v>19901</v>
      </c>
      <c r="D4196">
        <v>74.5</v>
      </c>
      <c r="E4196">
        <v>-1.06</v>
      </c>
      <c r="F4196">
        <v>-0.8</v>
      </c>
      <c r="G4196">
        <v>3845</v>
      </c>
      <c r="H4196">
        <v>9</v>
      </c>
      <c r="I4196">
        <v>74.3</v>
      </c>
      <c r="J4196">
        <v>74.5</v>
      </c>
      <c r="K4196" t="s">
        <v>19902</v>
      </c>
      <c r="L4196">
        <v>0.43</v>
      </c>
      <c r="M4196" t="s">
        <v>46</v>
      </c>
      <c r="N4196" t="s">
        <v>19903</v>
      </c>
      <c r="O4196">
        <v>75.6</v>
      </c>
      <c r="P4196">
        <v>74.23</v>
      </c>
      <c r="Q4196">
        <v>75.08</v>
      </c>
      <c r="R4196">
        <v>75.3</v>
      </c>
      <c r="S4196">
        <v>1.82</v>
      </c>
      <c r="T4196">
        <v>1.12</v>
      </c>
      <c r="U4196">
        <v>33.33</v>
      </c>
      <c r="V4196">
        <v>26</v>
      </c>
      <c r="W4196">
        <v>74.89</v>
      </c>
      <c r="X4196">
        <v>1410</v>
      </c>
      <c r="Y4196">
        <v>2435</v>
      </c>
      <c r="Z4196">
        <v>0.58</v>
      </c>
      <c r="AA4196">
        <v>1</v>
      </c>
      <c r="AB4196">
        <v>3</v>
      </c>
      <c r="AC4196">
        <v>3.19</v>
      </c>
      <c r="AD4196" t="s">
        <v>12258</v>
      </c>
      <c r="AE4196" t="s">
        <v>7360</v>
      </c>
      <c r="AF4196" t="s">
        <v>19904</v>
      </c>
      <c r="AG4196" t="s">
        <v>19905</v>
      </c>
      <c r="AH4196">
        <v>-0.8</v>
      </c>
      <c r="AI4196">
        <v>-2.37</v>
      </c>
      <c r="AJ4196">
        <v>1.09</v>
      </c>
      <c r="AK4196">
        <v>2.35</v>
      </c>
      <c r="AL4196">
        <v>-1</v>
      </c>
      <c r="AM4196">
        <v>-1.06</v>
      </c>
      <c r="AN4196">
        <v>-12.83</v>
      </c>
      <c r="AO4196">
        <v>6.73</v>
      </c>
      <c r="AP4196">
        <v>-12.12</v>
      </c>
    </row>
    <row r="4197" spans="1:42">
      <c r="A4197">
        <v>4196</v>
      </c>
      <c r="B4197" t="str">
        <f>"000011"</f>
        <v>000011</v>
      </c>
      <c r="C4197" t="s">
        <v>19906</v>
      </c>
      <c r="D4197">
        <v>9.43</v>
      </c>
      <c r="E4197">
        <v>0.64</v>
      </c>
      <c r="F4197">
        <v>0.06</v>
      </c>
      <c r="G4197" t="s">
        <v>401</v>
      </c>
      <c r="H4197">
        <v>204</v>
      </c>
      <c r="I4197">
        <v>9.43</v>
      </c>
      <c r="J4197">
        <v>9.45</v>
      </c>
      <c r="K4197" t="s">
        <v>19902</v>
      </c>
      <c r="L4197">
        <v>0.58</v>
      </c>
      <c r="M4197" t="s">
        <v>46</v>
      </c>
      <c r="N4197" t="s">
        <v>16388</v>
      </c>
      <c r="O4197">
        <v>9.49</v>
      </c>
      <c r="P4197">
        <v>9.31</v>
      </c>
      <c r="Q4197">
        <v>9.38</v>
      </c>
      <c r="R4197">
        <v>9.37</v>
      </c>
      <c r="S4197">
        <v>1.92</v>
      </c>
      <c r="T4197">
        <v>0.49</v>
      </c>
      <c r="U4197">
        <v>-4.96</v>
      </c>
      <c r="V4197">
        <v>-282</v>
      </c>
      <c r="W4197">
        <v>9.42</v>
      </c>
      <c r="X4197" t="s">
        <v>5183</v>
      </c>
      <c r="Y4197" t="s">
        <v>2111</v>
      </c>
      <c r="Z4197">
        <v>0.8</v>
      </c>
      <c r="AA4197">
        <v>100</v>
      </c>
      <c r="AB4197">
        <v>1110</v>
      </c>
      <c r="AC4197">
        <v>1.27</v>
      </c>
      <c r="AD4197" t="s">
        <v>6913</v>
      </c>
      <c r="AE4197" t="s">
        <v>16542</v>
      </c>
      <c r="AF4197" t="s">
        <v>19907</v>
      </c>
      <c r="AG4197" t="s">
        <v>10049</v>
      </c>
      <c r="AH4197">
        <v>-0.63</v>
      </c>
      <c r="AI4197">
        <v>-6.17</v>
      </c>
      <c r="AJ4197">
        <v>2.11</v>
      </c>
      <c r="AK4197">
        <v>6.55</v>
      </c>
      <c r="AL4197">
        <v>2</v>
      </c>
      <c r="AM4197">
        <v>0.64</v>
      </c>
      <c r="AN4197">
        <v>-16.03</v>
      </c>
      <c r="AO4197">
        <v>5.6</v>
      </c>
      <c r="AP4197">
        <v>-4.94</v>
      </c>
    </row>
    <row r="4198" spans="1:42">
      <c r="A4198">
        <v>4197</v>
      </c>
      <c r="B4198" t="str">
        <f>"301123"</f>
        <v>301123</v>
      </c>
      <c r="C4198" t="s">
        <v>19908</v>
      </c>
      <c r="D4198">
        <v>24.06</v>
      </c>
      <c r="E4198">
        <v>-0.21</v>
      </c>
      <c r="F4198">
        <v>-0.05</v>
      </c>
      <c r="G4198" t="s">
        <v>8636</v>
      </c>
      <c r="H4198">
        <v>292</v>
      </c>
      <c r="I4198">
        <v>24.05</v>
      </c>
      <c r="J4198">
        <v>24.06</v>
      </c>
      <c r="K4198" t="s">
        <v>19902</v>
      </c>
      <c r="L4198">
        <v>1.57</v>
      </c>
      <c r="M4198" t="s">
        <v>46</v>
      </c>
      <c r="N4198" t="s">
        <v>3436</v>
      </c>
      <c r="O4198">
        <v>24.28</v>
      </c>
      <c r="P4198">
        <v>23.8</v>
      </c>
      <c r="Q4198">
        <v>24.11</v>
      </c>
      <c r="R4198">
        <v>24.11</v>
      </c>
      <c r="S4198">
        <v>1.99</v>
      </c>
      <c r="T4198">
        <v>0.59</v>
      </c>
      <c r="U4198">
        <v>-3.97</v>
      </c>
      <c r="V4198">
        <v>-11</v>
      </c>
      <c r="W4198">
        <v>24.03</v>
      </c>
      <c r="X4198">
        <v>6725</v>
      </c>
      <c r="Y4198">
        <v>5255</v>
      </c>
      <c r="Z4198">
        <v>1.28</v>
      </c>
      <c r="AA4198">
        <v>52</v>
      </c>
      <c r="AB4198">
        <v>25</v>
      </c>
      <c r="AC4198">
        <v>1.88</v>
      </c>
      <c r="AD4198" t="s">
        <v>19909</v>
      </c>
      <c r="AE4198" t="s">
        <v>16542</v>
      </c>
      <c r="AF4198" t="s">
        <v>19910</v>
      </c>
      <c r="AG4198" t="s">
        <v>12265</v>
      </c>
      <c r="AH4198">
        <v>-1.84</v>
      </c>
      <c r="AI4198">
        <v>-2.04</v>
      </c>
      <c r="AJ4198">
        <v>7.32</v>
      </c>
      <c r="AK4198">
        <v>14.81</v>
      </c>
      <c r="AL4198">
        <v>-3</v>
      </c>
      <c r="AM4198">
        <v>-0.21</v>
      </c>
      <c r="AN4198">
        <v>12.38</v>
      </c>
      <c r="AO4198">
        <v>6.7</v>
      </c>
      <c r="AP4198">
        <v>3.31</v>
      </c>
    </row>
    <row r="4199" spans="1:42">
      <c r="A4199">
        <v>4198</v>
      </c>
      <c r="B4199" t="str">
        <f>"600321"</f>
        <v>600321</v>
      </c>
      <c r="C4199" t="s">
        <v>19911</v>
      </c>
      <c r="D4199">
        <v>1.77</v>
      </c>
      <c r="E4199">
        <v>1.72</v>
      </c>
      <c r="F4199">
        <v>0.03</v>
      </c>
      <c r="G4199" t="s">
        <v>3143</v>
      </c>
      <c r="H4199">
        <v>553</v>
      </c>
      <c r="I4199">
        <v>1.76</v>
      </c>
      <c r="J4199">
        <v>1.77</v>
      </c>
      <c r="K4199" t="s">
        <v>8258</v>
      </c>
      <c r="L4199">
        <v>1.08</v>
      </c>
      <c r="M4199" t="s">
        <v>46</v>
      </c>
      <c r="N4199" t="s">
        <v>19912</v>
      </c>
      <c r="O4199">
        <v>1.78</v>
      </c>
      <c r="P4199">
        <v>1.72</v>
      </c>
      <c r="Q4199">
        <v>1.74</v>
      </c>
      <c r="R4199">
        <v>1.74</v>
      </c>
      <c r="S4199">
        <v>3.45</v>
      </c>
      <c r="T4199">
        <v>1.19</v>
      </c>
      <c r="U4199">
        <v>-25.18</v>
      </c>
      <c r="V4199" t="s">
        <v>19913</v>
      </c>
      <c r="W4199">
        <v>1.76</v>
      </c>
      <c r="X4199" t="s">
        <v>5270</v>
      </c>
      <c r="Y4199" t="s">
        <v>12877</v>
      </c>
      <c r="Z4199">
        <v>0.69</v>
      </c>
      <c r="AA4199">
        <v>4046</v>
      </c>
      <c r="AB4199">
        <v>2732</v>
      </c>
      <c r="AC4199">
        <v>1.74</v>
      </c>
      <c r="AD4199" t="s">
        <v>14172</v>
      </c>
      <c r="AE4199" t="s">
        <v>14925</v>
      </c>
      <c r="AF4199" t="s">
        <v>14172</v>
      </c>
      <c r="AG4199" t="s">
        <v>14925</v>
      </c>
      <c r="AH4199">
        <v>-0.56</v>
      </c>
      <c r="AI4199">
        <v>-1.67</v>
      </c>
      <c r="AJ4199">
        <v>2.74</v>
      </c>
      <c r="AK4199">
        <v>5.61</v>
      </c>
      <c r="AL4199">
        <v>1</v>
      </c>
      <c r="AM4199">
        <v>1.72</v>
      </c>
      <c r="AN4199">
        <v>-2.21</v>
      </c>
      <c r="AO4199">
        <v>5.36</v>
      </c>
      <c r="AP4199">
        <v>-5.35</v>
      </c>
    </row>
    <row r="4200" spans="1:42">
      <c r="A4200">
        <v>4199</v>
      </c>
      <c r="B4200" t="str">
        <f>"301318"</f>
        <v>301318</v>
      </c>
      <c r="C4200" t="s">
        <v>19914</v>
      </c>
      <c r="D4200">
        <v>31.85</v>
      </c>
      <c r="E4200">
        <v>2.05</v>
      </c>
      <c r="F4200">
        <v>0.64</v>
      </c>
      <c r="G4200">
        <v>9093</v>
      </c>
      <c r="H4200">
        <v>156</v>
      </c>
      <c r="I4200">
        <v>31.81</v>
      </c>
      <c r="J4200">
        <v>31.85</v>
      </c>
      <c r="K4200" t="s">
        <v>19915</v>
      </c>
      <c r="L4200">
        <v>3.05</v>
      </c>
      <c r="M4200" t="s">
        <v>46</v>
      </c>
      <c r="N4200" t="s">
        <v>8131</v>
      </c>
      <c r="O4200">
        <v>31.98</v>
      </c>
      <c r="P4200">
        <v>31.15</v>
      </c>
      <c r="Q4200">
        <v>31.45</v>
      </c>
      <c r="R4200">
        <v>31.21</v>
      </c>
      <c r="S4200">
        <v>2.66</v>
      </c>
      <c r="T4200">
        <v>1.12</v>
      </c>
      <c r="U4200">
        <v>-23.1</v>
      </c>
      <c r="V4200">
        <v>-72</v>
      </c>
      <c r="W4200">
        <v>31.6</v>
      </c>
      <c r="X4200">
        <v>4342</v>
      </c>
      <c r="Y4200">
        <v>4751</v>
      </c>
      <c r="Z4200">
        <v>0.91</v>
      </c>
      <c r="AA4200">
        <v>14</v>
      </c>
      <c r="AB4200">
        <v>89</v>
      </c>
      <c r="AC4200">
        <v>1.89</v>
      </c>
      <c r="AD4200" t="s">
        <v>19916</v>
      </c>
      <c r="AE4200" t="s">
        <v>2048</v>
      </c>
      <c r="AF4200" t="s">
        <v>19665</v>
      </c>
      <c r="AG4200" t="s">
        <v>17056</v>
      </c>
      <c r="AH4200">
        <v>-0.22</v>
      </c>
      <c r="AI4200">
        <v>-1.15</v>
      </c>
      <c r="AJ4200">
        <v>7.67</v>
      </c>
      <c r="AK4200">
        <v>16.64</v>
      </c>
      <c r="AL4200">
        <v>1</v>
      </c>
      <c r="AM4200">
        <v>2.05</v>
      </c>
      <c r="AN4200">
        <v>13.22</v>
      </c>
      <c r="AO4200">
        <v>2.51</v>
      </c>
      <c r="AP4200">
        <v>2.08</v>
      </c>
    </row>
    <row r="4201" spans="1:42">
      <c r="A4201">
        <v>4200</v>
      </c>
      <c r="B4201" t="str">
        <f>"688428"</f>
        <v>688428</v>
      </c>
      <c r="C4201" t="s">
        <v>19917</v>
      </c>
      <c r="D4201">
        <v>11.17</v>
      </c>
      <c r="E4201">
        <v>0.09</v>
      </c>
      <c r="F4201">
        <v>0.01</v>
      </c>
      <c r="G4201" t="s">
        <v>4036</v>
      </c>
      <c r="H4201">
        <v>663</v>
      </c>
      <c r="I4201">
        <v>11.16</v>
      </c>
      <c r="J4201">
        <v>11.17</v>
      </c>
      <c r="K4201" t="s">
        <v>19918</v>
      </c>
      <c r="L4201">
        <v>1.01</v>
      </c>
      <c r="M4201" t="s">
        <v>46</v>
      </c>
      <c r="N4201" t="s">
        <v>6382</v>
      </c>
      <c r="O4201">
        <v>11.2</v>
      </c>
      <c r="P4201">
        <v>10.96</v>
      </c>
      <c r="Q4201">
        <v>11.2</v>
      </c>
      <c r="R4201">
        <v>11.16</v>
      </c>
      <c r="S4201">
        <v>2.15</v>
      </c>
      <c r="T4201">
        <v>0.79</v>
      </c>
      <c r="U4201">
        <v>-68.46</v>
      </c>
      <c r="V4201">
        <v>-878</v>
      </c>
      <c r="W4201">
        <v>11.07</v>
      </c>
      <c r="X4201" t="s">
        <v>10542</v>
      </c>
      <c r="Y4201" t="s">
        <v>1052</v>
      </c>
      <c r="Z4201">
        <v>1.15</v>
      </c>
      <c r="AA4201">
        <v>3</v>
      </c>
      <c r="AB4201">
        <v>203</v>
      </c>
      <c r="AC4201">
        <v>2.68</v>
      </c>
      <c r="AD4201" t="s">
        <v>19919</v>
      </c>
      <c r="AE4201" t="s">
        <v>19920</v>
      </c>
      <c r="AF4201" t="s">
        <v>19921</v>
      </c>
      <c r="AG4201" t="s">
        <v>19922</v>
      </c>
      <c r="AH4201">
        <v>-0.36</v>
      </c>
      <c r="AI4201">
        <v>0.63</v>
      </c>
      <c r="AJ4201">
        <v>3.35</v>
      </c>
      <c r="AK4201">
        <v>7.43</v>
      </c>
      <c r="AL4201">
        <v>2</v>
      </c>
      <c r="AM4201">
        <v>0.09</v>
      </c>
      <c r="AN4201">
        <v>-20.84</v>
      </c>
      <c r="AO4201">
        <v>4.2</v>
      </c>
      <c r="AP4201">
        <v>-19.76</v>
      </c>
    </row>
    <row r="4202" spans="1:42">
      <c r="A4202">
        <v>4201</v>
      </c>
      <c r="B4202" t="str">
        <f>"301179"</f>
        <v>301179</v>
      </c>
      <c r="C4202" t="s">
        <v>19923</v>
      </c>
      <c r="D4202">
        <v>26.82</v>
      </c>
      <c r="E4202">
        <v>0.45</v>
      </c>
      <c r="F4202">
        <v>0.12</v>
      </c>
      <c r="G4202" t="s">
        <v>7974</v>
      </c>
      <c r="H4202">
        <v>70</v>
      </c>
      <c r="I4202">
        <v>26.82</v>
      </c>
      <c r="J4202">
        <v>26.83</v>
      </c>
      <c r="K4202" t="s">
        <v>19924</v>
      </c>
      <c r="L4202">
        <v>1.76</v>
      </c>
      <c r="M4202" t="s">
        <v>46</v>
      </c>
      <c r="N4202" t="s">
        <v>10171</v>
      </c>
      <c r="O4202">
        <v>26.98</v>
      </c>
      <c r="P4202">
        <v>26.34</v>
      </c>
      <c r="Q4202">
        <v>26.78</v>
      </c>
      <c r="R4202">
        <v>26.7</v>
      </c>
      <c r="S4202">
        <v>2.4</v>
      </c>
      <c r="T4202">
        <v>0.91</v>
      </c>
      <c r="U4202">
        <v>-12.9</v>
      </c>
      <c r="V4202">
        <v>-16</v>
      </c>
      <c r="W4202">
        <v>26.67</v>
      </c>
      <c r="X4202">
        <v>5117</v>
      </c>
      <c r="Y4202">
        <v>5646</v>
      </c>
      <c r="Z4202">
        <v>0.91</v>
      </c>
      <c r="AA4202">
        <v>12</v>
      </c>
      <c r="AB4202">
        <v>11</v>
      </c>
      <c r="AC4202">
        <v>2.79</v>
      </c>
      <c r="AD4202" t="s">
        <v>19925</v>
      </c>
      <c r="AE4202" t="s">
        <v>16620</v>
      </c>
      <c r="AF4202" t="s">
        <v>19926</v>
      </c>
      <c r="AG4202" t="s">
        <v>19927</v>
      </c>
      <c r="AH4202">
        <v>-0.63</v>
      </c>
      <c r="AI4202">
        <v>-0.92</v>
      </c>
      <c r="AJ4202">
        <v>5.22</v>
      </c>
      <c r="AK4202">
        <v>11.51</v>
      </c>
      <c r="AL4202">
        <v>1</v>
      </c>
      <c r="AM4202">
        <v>0.45</v>
      </c>
      <c r="AN4202">
        <v>28.2</v>
      </c>
      <c r="AO4202">
        <v>3.27</v>
      </c>
      <c r="AP4202">
        <v>16.86</v>
      </c>
    </row>
    <row r="4203" spans="1:42">
      <c r="A4203">
        <v>4202</v>
      </c>
      <c r="B4203" t="str">
        <f>"600084"</f>
        <v>600084</v>
      </c>
      <c r="C4203" t="s">
        <v>19928</v>
      </c>
      <c r="D4203">
        <v>8.12</v>
      </c>
      <c r="E4203">
        <v>0.12</v>
      </c>
      <c r="F4203">
        <v>0.01</v>
      </c>
      <c r="G4203" t="s">
        <v>4527</v>
      </c>
      <c r="H4203">
        <v>57</v>
      </c>
      <c r="I4203">
        <v>8.11</v>
      </c>
      <c r="J4203">
        <v>8.12</v>
      </c>
      <c r="K4203" t="s">
        <v>19929</v>
      </c>
      <c r="L4203">
        <v>0.31</v>
      </c>
      <c r="M4203" t="s">
        <v>46</v>
      </c>
      <c r="N4203" t="s">
        <v>4700</v>
      </c>
      <c r="O4203">
        <v>8.22</v>
      </c>
      <c r="P4203">
        <v>8.11</v>
      </c>
      <c r="Q4203">
        <v>8.11</v>
      </c>
      <c r="R4203">
        <v>8.11</v>
      </c>
      <c r="S4203">
        <v>1.36</v>
      </c>
      <c r="T4203">
        <v>0.71</v>
      </c>
      <c r="U4203">
        <v>30.82</v>
      </c>
      <c r="V4203">
        <v>744</v>
      </c>
      <c r="W4203">
        <v>8.14</v>
      </c>
      <c r="X4203" t="s">
        <v>141</v>
      </c>
      <c r="Y4203" t="s">
        <v>5585</v>
      </c>
      <c r="Z4203">
        <v>0.81</v>
      </c>
      <c r="AA4203">
        <v>501</v>
      </c>
      <c r="AB4203">
        <v>7</v>
      </c>
      <c r="AC4203">
        <v>7.1</v>
      </c>
      <c r="AD4203" t="s">
        <v>6479</v>
      </c>
      <c r="AE4203" t="s">
        <v>19930</v>
      </c>
      <c r="AF4203" t="s">
        <v>6479</v>
      </c>
      <c r="AG4203" t="s">
        <v>19930</v>
      </c>
      <c r="AH4203">
        <v>0.25</v>
      </c>
      <c r="AI4203">
        <v>-1.93</v>
      </c>
      <c r="AJ4203">
        <v>1.09</v>
      </c>
      <c r="AK4203">
        <v>2.51</v>
      </c>
      <c r="AL4203">
        <v>2</v>
      </c>
      <c r="AM4203">
        <v>0.12</v>
      </c>
      <c r="AN4203">
        <v>11.54</v>
      </c>
      <c r="AO4203">
        <v>3.31</v>
      </c>
      <c r="AP4203">
        <v>12</v>
      </c>
    </row>
    <row r="4204" spans="1:42">
      <c r="A4204">
        <v>4203</v>
      </c>
      <c r="B4204" t="str">
        <f>"001283"</f>
        <v>001283</v>
      </c>
      <c r="C4204" t="s">
        <v>19931</v>
      </c>
      <c r="D4204">
        <v>45.7</v>
      </c>
      <c r="E4204">
        <v>-1.4</v>
      </c>
      <c r="F4204">
        <v>-0.65</v>
      </c>
      <c r="G4204">
        <v>6269</v>
      </c>
      <c r="H4204">
        <v>39</v>
      </c>
      <c r="I4204">
        <v>45.68</v>
      </c>
      <c r="J4204">
        <v>45.7</v>
      </c>
      <c r="K4204" t="s">
        <v>19932</v>
      </c>
      <c r="L4204">
        <v>1.1</v>
      </c>
      <c r="M4204" t="s">
        <v>46</v>
      </c>
      <c r="N4204" t="s">
        <v>7151</v>
      </c>
      <c r="O4204">
        <v>46.35</v>
      </c>
      <c r="P4204">
        <v>45.36</v>
      </c>
      <c r="Q4204">
        <v>46.35</v>
      </c>
      <c r="R4204">
        <v>46.35</v>
      </c>
      <c r="S4204">
        <v>2.14</v>
      </c>
      <c r="T4204">
        <v>0.7</v>
      </c>
      <c r="U4204">
        <v>56.41</v>
      </c>
      <c r="V4204">
        <v>44</v>
      </c>
      <c r="W4204">
        <v>45.68</v>
      </c>
      <c r="X4204">
        <v>4017</v>
      </c>
      <c r="Y4204">
        <v>2252</v>
      </c>
      <c r="Z4204">
        <v>1.78</v>
      </c>
      <c r="AA4204">
        <v>30</v>
      </c>
      <c r="AB4204">
        <v>1</v>
      </c>
      <c r="AC4204">
        <v>1.62</v>
      </c>
      <c r="AD4204" t="s">
        <v>19933</v>
      </c>
      <c r="AE4204" t="s">
        <v>19934</v>
      </c>
      <c r="AF4204" t="s">
        <v>19935</v>
      </c>
      <c r="AG4204" t="s">
        <v>19936</v>
      </c>
      <c r="AH4204">
        <v>-2.27</v>
      </c>
      <c r="AI4204">
        <v>-3.61</v>
      </c>
      <c r="AJ4204">
        <v>4.16</v>
      </c>
      <c r="AK4204">
        <v>8.89</v>
      </c>
      <c r="AL4204">
        <v>-3</v>
      </c>
      <c r="AM4204">
        <v>-1.4</v>
      </c>
      <c r="AN4204">
        <v>-11.76</v>
      </c>
      <c r="AO4204">
        <v>5.79</v>
      </c>
      <c r="AP4204">
        <v>-24.46</v>
      </c>
    </row>
    <row r="4205" spans="1:42">
      <c r="A4205">
        <v>4204</v>
      </c>
      <c r="B4205" t="str">
        <f>"873665"</f>
        <v>873665</v>
      </c>
      <c r="C4205" t="s">
        <v>19937</v>
      </c>
      <c r="D4205">
        <v>8.44</v>
      </c>
      <c r="E4205">
        <v>-5.38</v>
      </c>
      <c r="F4205">
        <v>-0.48</v>
      </c>
      <c r="G4205" t="s">
        <v>8255</v>
      </c>
      <c r="H4205">
        <v>177</v>
      </c>
      <c r="I4205">
        <v>8.42</v>
      </c>
      <c r="J4205">
        <v>8.44</v>
      </c>
      <c r="K4205" t="s">
        <v>19932</v>
      </c>
      <c r="L4205">
        <v>9.82</v>
      </c>
      <c r="M4205" t="s">
        <v>46</v>
      </c>
      <c r="N4205" t="s">
        <v>5681</v>
      </c>
      <c r="O4205">
        <v>9.23</v>
      </c>
      <c r="P4205">
        <v>8.4</v>
      </c>
      <c r="Q4205">
        <v>9.05</v>
      </c>
      <c r="R4205">
        <v>8.92</v>
      </c>
      <c r="S4205">
        <v>9.3</v>
      </c>
      <c r="T4205">
        <v>0.34</v>
      </c>
      <c r="U4205">
        <v>-44.73</v>
      </c>
      <c r="V4205">
        <v>-670</v>
      </c>
      <c r="W4205">
        <v>8.83</v>
      </c>
      <c r="X4205" t="s">
        <v>2694</v>
      </c>
      <c r="Y4205" t="s">
        <v>1777</v>
      </c>
      <c r="Z4205">
        <v>1.42</v>
      </c>
      <c r="AA4205">
        <v>29</v>
      </c>
      <c r="AB4205">
        <v>175</v>
      </c>
      <c r="AC4205">
        <v>1.67</v>
      </c>
      <c r="AD4205" t="s">
        <v>7462</v>
      </c>
      <c r="AE4205" t="s">
        <v>996</v>
      </c>
      <c r="AF4205" t="s">
        <v>19938</v>
      </c>
      <c r="AG4205" t="s">
        <v>19939</v>
      </c>
      <c r="AH4205">
        <v>-19.31</v>
      </c>
      <c r="AI4205">
        <v>18.87</v>
      </c>
      <c r="AJ4205">
        <v>41.39</v>
      </c>
      <c r="AK4205">
        <v>155.46</v>
      </c>
      <c r="AL4205">
        <v>-4</v>
      </c>
      <c r="AM4205">
        <v>-5.38</v>
      </c>
      <c r="AN4205">
        <v>90.95</v>
      </c>
      <c r="AO4205">
        <v>47.04</v>
      </c>
      <c r="AP4205">
        <v>11.79</v>
      </c>
    </row>
    <row r="4206" spans="1:42">
      <c r="A4206">
        <v>4205</v>
      </c>
      <c r="B4206" t="str">
        <f>"300851"</f>
        <v>300851</v>
      </c>
      <c r="C4206" t="s">
        <v>19940</v>
      </c>
      <c r="D4206">
        <v>29.77</v>
      </c>
      <c r="E4206">
        <v>-0.93</v>
      </c>
      <c r="F4206">
        <v>-0.28</v>
      </c>
      <c r="G4206">
        <v>9613</v>
      </c>
      <c r="H4206">
        <v>53</v>
      </c>
      <c r="I4206">
        <v>29.77</v>
      </c>
      <c r="J4206">
        <v>29.78</v>
      </c>
      <c r="K4206" t="s">
        <v>19941</v>
      </c>
      <c r="L4206">
        <v>2.08</v>
      </c>
      <c r="M4206" t="s">
        <v>46</v>
      </c>
      <c r="N4206" t="s">
        <v>2519</v>
      </c>
      <c r="O4206">
        <v>30.33</v>
      </c>
      <c r="P4206">
        <v>29.52</v>
      </c>
      <c r="Q4206">
        <v>30.05</v>
      </c>
      <c r="R4206">
        <v>30.05</v>
      </c>
      <c r="S4206">
        <v>2.7</v>
      </c>
      <c r="T4206">
        <v>1.03</v>
      </c>
      <c r="U4206">
        <v>-7.54</v>
      </c>
      <c r="V4206">
        <v>-15</v>
      </c>
      <c r="W4206">
        <v>29.77</v>
      </c>
      <c r="X4206">
        <v>4750</v>
      </c>
      <c r="Y4206">
        <v>4863</v>
      </c>
      <c r="Z4206">
        <v>0.98</v>
      </c>
      <c r="AA4206">
        <v>39</v>
      </c>
      <c r="AB4206">
        <v>20</v>
      </c>
      <c r="AC4206">
        <v>2.08</v>
      </c>
      <c r="AD4206" t="s">
        <v>11803</v>
      </c>
      <c r="AE4206" t="s">
        <v>16411</v>
      </c>
      <c r="AF4206" t="s">
        <v>19361</v>
      </c>
      <c r="AG4206" t="s">
        <v>7244</v>
      </c>
      <c r="AH4206">
        <v>-1.68</v>
      </c>
      <c r="AI4206">
        <v>-2.07</v>
      </c>
      <c r="AJ4206">
        <v>5.99</v>
      </c>
      <c r="AK4206">
        <v>12.2</v>
      </c>
      <c r="AL4206">
        <v>-3</v>
      </c>
      <c r="AM4206">
        <v>-0.93</v>
      </c>
      <c r="AN4206">
        <v>39.05</v>
      </c>
      <c r="AO4206">
        <v>4.16</v>
      </c>
      <c r="AP4206">
        <v>28.21</v>
      </c>
    </row>
    <row r="4207" spans="1:42">
      <c r="A4207">
        <v>4206</v>
      </c>
      <c r="B4207" t="str">
        <f>"301235"</f>
        <v>301235</v>
      </c>
      <c r="C4207" t="s">
        <v>19942</v>
      </c>
      <c r="D4207">
        <v>26.13</v>
      </c>
      <c r="E4207">
        <v>0.89</v>
      </c>
      <c r="F4207">
        <v>0.23</v>
      </c>
      <c r="G4207" t="s">
        <v>4443</v>
      </c>
      <c r="H4207">
        <v>74</v>
      </c>
      <c r="I4207">
        <v>26.13</v>
      </c>
      <c r="J4207">
        <v>26.15</v>
      </c>
      <c r="K4207" t="s">
        <v>19941</v>
      </c>
      <c r="L4207">
        <v>2.19</v>
      </c>
      <c r="M4207" t="s">
        <v>46</v>
      </c>
      <c r="N4207" t="s">
        <v>5453</v>
      </c>
      <c r="O4207">
        <v>26.32</v>
      </c>
      <c r="P4207">
        <v>25.75</v>
      </c>
      <c r="Q4207">
        <v>25.97</v>
      </c>
      <c r="R4207">
        <v>25.9</v>
      </c>
      <c r="S4207">
        <v>2.2</v>
      </c>
      <c r="T4207">
        <v>0.92</v>
      </c>
      <c r="U4207">
        <v>65.47</v>
      </c>
      <c r="V4207">
        <v>182</v>
      </c>
      <c r="W4207">
        <v>26.09</v>
      </c>
      <c r="X4207">
        <v>6289</v>
      </c>
      <c r="Y4207">
        <v>4680</v>
      </c>
      <c r="Z4207">
        <v>1.34</v>
      </c>
      <c r="AA4207">
        <v>5</v>
      </c>
      <c r="AB4207">
        <v>2</v>
      </c>
      <c r="AC4207">
        <v>1.59</v>
      </c>
      <c r="AD4207" t="s">
        <v>19943</v>
      </c>
      <c r="AE4207" t="s">
        <v>19944</v>
      </c>
      <c r="AF4207" t="s">
        <v>19945</v>
      </c>
      <c r="AG4207" t="s">
        <v>2985</v>
      </c>
      <c r="AH4207">
        <v>-1.21</v>
      </c>
      <c r="AI4207">
        <v>-0.99</v>
      </c>
      <c r="AJ4207">
        <v>5.98</v>
      </c>
      <c r="AK4207">
        <v>14.08</v>
      </c>
      <c r="AL4207">
        <v>1</v>
      </c>
      <c r="AM4207">
        <v>0.89</v>
      </c>
      <c r="AN4207">
        <v>-26.68</v>
      </c>
      <c r="AO4207">
        <v>4.94</v>
      </c>
      <c r="AP4207">
        <v>-47.09</v>
      </c>
    </row>
    <row r="4208" spans="1:42">
      <c r="A4208">
        <v>4207</v>
      </c>
      <c r="B4208" t="str">
        <f>"301058"</f>
        <v>301058</v>
      </c>
      <c r="C4208" t="s">
        <v>19946</v>
      </c>
      <c r="D4208">
        <v>11.81</v>
      </c>
      <c r="E4208">
        <v>0.17</v>
      </c>
      <c r="F4208">
        <v>0.02</v>
      </c>
      <c r="G4208" t="s">
        <v>4037</v>
      </c>
      <c r="H4208">
        <v>202</v>
      </c>
      <c r="I4208">
        <v>11.8</v>
      </c>
      <c r="J4208">
        <v>11.81</v>
      </c>
      <c r="K4208" t="s">
        <v>19947</v>
      </c>
      <c r="L4208">
        <v>1.19</v>
      </c>
      <c r="M4208" t="s">
        <v>46</v>
      </c>
      <c r="N4208" t="s">
        <v>5535</v>
      </c>
      <c r="O4208">
        <v>11.97</v>
      </c>
      <c r="P4208">
        <v>11.69</v>
      </c>
      <c r="Q4208">
        <v>11.75</v>
      </c>
      <c r="R4208">
        <v>11.79</v>
      </c>
      <c r="S4208">
        <v>2.37</v>
      </c>
      <c r="T4208">
        <v>1.3</v>
      </c>
      <c r="U4208">
        <v>42.52</v>
      </c>
      <c r="V4208">
        <v>321</v>
      </c>
      <c r="W4208">
        <v>11.82</v>
      </c>
      <c r="X4208" t="s">
        <v>6212</v>
      </c>
      <c r="Y4208" t="s">
        <v>2284</v>
      </c>
      <c r="Z4208">
        <v>1.1</v>
      </c>
      <c r="AA4208">
        <v>147</v>
      </c>
      <c r="AB4208">
        <v>10</v>
      </c>
      <c r="AC4208">
        <v>3.23</v>
      </c>
      <c r="AD4208" t="s">
        <v>7157</v>
      </c>
      <c r="AE4208" t="s">
        <v>6146</v>
      </c>
      <c r="AF4208" t="s">
        <v>19948</v>
      </c>
      <c r="AG4208" t="s">
        <v>19949</v>
      </c>
      <c r="AH4208">
        <v>-1.09</v>
      </c>
      <c r="AI4208">
        <v>-2.72</v>
      </c>
      <c r="AJ4208">
        <v>2.78</v>
      </c>
      <c r="AK4208">
        <v>5.75</v>
      </c>
      <c r="AL4208">
        <v>1</v>
      </c>
      <c r="AM4208">
        <v>0.17</v>
      </c>
      <c r="AN4208">
        <v>-19.93</v>
      </c>
      <c r="AO4208">
        <v>-2.96</v>
      </c>
      <c r="AP4208">
        <v>-32.67</v>
      </c>
    </row>
    <row r="4209" spans="1:42">
      <c r="A4209">
        <v>4208</v>
      </c>
      <c r="B4209" t="str">
        <f>"300617"</f>
        <v>300617</v>
      </c>
      <c r="C4209" t="s">
        <v>19950</v>
      </c>
      <c r="D4209">
        <v>30.6</v>
      </c>
      <c r="E4209">
        <v>-0.71</v>
      </c>
      <c r="F4209">
        <v>-0.22</v>
      </c>
      <c r="G4209">
        <v>9345</v>
      </c>
      <c r="H4209">
        <v>69</v>
      </c>
      <c r="I4209">
        <v>30.59</v>
      </c>
      <c r="J4209">
        <v>30.6</v>
      </c>
      <c r="K4209" t="s">
        <v>19951</v>
      </c>
      <c r="L4209">
        <v>0.89</v>
      </c>
      <c r="M4209" t="s">
        <v>46</v>
      </c>
      <c r="N4209" t="s">
        <v>17089</v>
      </c>
      <c r="O4209">
        <v>31.09</v>
      </c>
      <c r="P4209">
        <v>30.37</v>
      </c>
      <c r="Q4209">
        <v>30.9</v>
      </c>
      <c r="R4209">
        <v>30.82</v>
      </c>
      <c r="S4209">
        <v>2.34</v>
      </c>
      <c r="T4209">
        <v>1.21</v>
      </c>
      <c r="U4209">
        <v>-35.35</v>
      </c>
      <c r="V4209">
        <v>-35</v>
      </c>
      <c r="W4209">
        <v>30.59</v>
      </c>
      <c r="X4209">
        <v>6286</v>
      </c>
      <c r="Y4209">
        <v>3059</v>
      </c>
      <c r="Z4209">
        <v>2.06</v>
      </c>
      <c r="AA4209">
        <v>8</v>
      </c>
      <c r="AB4209">
        <v>3</v>
      </c>
      <c r="AC4209">
        <v>1.91</v>
      </c>
      <c r="AD4209" t="s">
        <v>2651</v>
      </c>
      <c r="AE4209" t="s">
        <v>19952</v>
      </c>
      <c r="AF4209" t="s">
        <v>14275</v>
      </c>
      <c r="AG4209" t="s">
        <v>11290</v>
      </c>
      <c r="AH4209">
        <v>-2.89</v>
      </c>
      <c r="AI4209">
        <v>-2.42</v>
      </c>
      <c r="AJ4209">
        <v>2.23</v>
      </c>
      <c r="AK4209">
        <v>4.55</v>
      </c>
      <c r="AL4209">
        <v>-3</v>
      </c>
      <c r="AM4209">
        <v>-0.71</v>
      </c>
      <c r="AN4209">
        <v>-13.17</v>
      </c>
      <c r="AO4209">
        <v>-0.36</v>
      </c>
      <c r="AP4209">
        <v>-21.94</v>
      </c>
    </row>
    <row r="4210" spans="1:42">
      <c r="A4210">
        <v>4209</v>
      </c>
      <c r="B4210" t="str">
        <f>"831855"</f>
        <v>831855</v>
      </c>
      <c r="C4210" t="s">
        <v>19953</v>
      </c>
      <c r="D4210">
        <v>10.24</v>
      </c>
      <c r="E4210">
        <v>-3.31</v>
      </c>
      <c r="F4210">
        <v>-0.35</v>
      </c>
      <c r="G4210" t="s">
        <v>7028</v>
      </c>
      <c r="H4210">
        <v>1537</v>
      </c>
      <c r="I4210">
        <v>10.23</v>
      </c>
      <c r="J4210">
        <v>10.24</v>
      </c>
      <c r="K4210" t="s">
        <v>19951</v>
      </c>
      <c r="L4210">
        <v>13.31</v>
      </c>
      <c r="M4210" t="s">
        <v>46</v>
      </c>
      <c r="N4210" t="s">
        <v>2549</v>
      </c>
      <c r="O4210">
        <v>10.67</v>
      </c>
      <c r="P4210">
        <v>9.8</v>
      </c>
      <c r="Q4210">
        <v>10.41</v>
      </c>
      <c r="R4210">
        <v>10.59</v>
      </c>
      <c r="S4210">
        <v>8.22</v>
      </c>
      <c r="T4210">
        <v>0.5</v>
      </c>
      <c r="U4210">
        <v>-64.89</v>
      </c>
      <c r="V4210">
        <v>-611</v>
      </c>
      <c r="W4210">
        <v>10.21</v>
      </c>
      <c r="X4210" t="s">
        <v>4105</v>
      </c>
      <c r="Y4210" t="s">
        <v>3284</v>
      </c>
      <c r="Z4210">
        <v>1.04</v>
      </c>
      <c r="AA4210">
        <v>5</v>
      </c>
      <c r="AB4210">
        <v>101</v>
      </c>
      <c r="AC4210">
        <v>1.45</v>
      </c>
      <c r="AD4210" t="s">
        <v>19954</v>
      </c>
      <c r="AE4210" t="s">
        <v>15158</v>
      </c>
      <c r="AF4210" t="s">
        <v>19955</v>
      </c>
      <c r="AG4210" t="s">
        <v>14271</v>
      </c>
      <c r="AH4210">
        <v>0.1</v>
      </c>
      <c r="AI4210">
        <v>36.9</v>
      </c>
      <c r="AJ4210">
        <v>66.9</v>
      </c>
      <c r="AK4210">
        <v>145.58</v>
      </c>
      <c r="AL4210">
        <v>-2</v>
      </c>
      <c r="AM4210">
        <v>-3.31</v>
      </c>
      <c r="AN4210">
        <v>66.78</v>
      </c>
      <c r="AO4210">
        <v>58.27</v>
      </c>
      <c r="AP4210">
        <v>5.03</v>
      </c>
    </row>
    <row r="4211" spans="1:42">
      <c r="A4211">
        <v>4210</v>
      </c>
      <c r="B4211" t="str">
        <f>"300949"</f>
        <v>300949</v>
      </c>
      <c r="C4211" t="s">
        <v>19956</v>
      </c>
      <c r="D4211">
        <v>41.88</v>
      </c>
      <c r="E4211">
        <v>4.88</v>
      </c>
      <c r="F4211">
        <v>1.95</v>
      </c>
      <c r="G4211">
        <v>7022</v>
      </c>
      <c r="H4211">
        <v>331</v>
      </c>
      <c r="I4211">
        <v>41.86</v>
      </c>
      <c r="J4211">
        <v>41.88</v>
      </c>
      <c r="K4211" t="s">
        <v>19957</v>
      </c>
      <c r="L4211">
        <v>4.13</v>
      </c>
      <c r="M4211" t="s">
        <v>46</v>
      </c>
      <c r="N4211" t="s">
        <v>3810</v>
      </c>
      <c r="O4211">
        <v>42.1</v>
      </c>
      <c r="P4211">
        <v>39.81</v>
      </c>
      <c r="Q4211">
        <v>39.88</v>
      </c>
      <c r="R4211">
        <v>39.93</v>
      </c>
      <c r="S4211">
        <v>5.74</v>
      </c>
      <c r="T4211">
        <v>1.39</v>
      </c>
      <c r="U4211">
        <v>-4.13</v>
      </c>
      <c r="V4211">
        <v>-21</v>
      </c>
      <c r="W4211">
        <v>40.69</v>
      </c>
      <c r="X4211">
        <v>3583</v>
      </c>
      <c r="Y4211">
        <v>3439</v>
      </c>
      <c r="Z4211">
        <v>1.04</v>
      </c>
      <c r="AA4211">
        <v>30</v>
      </c>
      <c r="AB4211">
        <v>56</v>
      </c>
      <c r="AC4211">
        <v>2.3</v>
      </c>
      <c r="AD4211" t="s">
        <v>7827</v>
      </c>
      <c r="AE4211" t="s">
        <v>3652</v>
      </c>
      <c r="AF4211" t="s">
        <v>8054</v>
      </c>
      <c r="AG4211" t="s">
        <v>5335</v>
      </c>
      <c r="AH4211">
        <v>3.92</v>
      </c>
      <c r="AI4211">
        <v>1.8</v>
      </c>
      <c r="AJ4211">
        <v>9.5</v>
      </c>
      <c r="AK4211">
        <v>19.02</v>
      </c>
      <c r="AL4211">
        <v>2</v>
      </c>
      <c r="AM4211">
        <v>4.88</v>
      </c>
      <c r="AN4211">
        <v>36.91</v>
      </c>
      <c r="AO4211">
        <v>7.74</v>
      </c>
      <c r="AP4211">
        <v>29.34</v>
      </c>
    </row>
    <row r="4212" spans="1:42">
      <c r="A4212">
        <v>4211</v>
      </c>
      <c r="B4212" t="str">
        <f>"300626"</f>
        <v>300626</v>
      </c>
      <c r="C4212" t="s">
        <v>19958</v>
      </c>
      <c r="D4212">
        <v>10.43</v>
      </c>
      <c r="E4212">
        <v>-1.6</v>
      </c>
      <c r="F4212">
        <v>-0.17</v>
      </c>
      <c r="G4212" t="s">
        <v>6675</v>
      </c>
      <c r="H4212">
        <v>413</v>
      </c>
      <c r="I4212">
        <v>10.43</v>
      </c>
      <c r="J4212">
        <v>10.45</v>
      </c>
      <c r="K4212" t="s">
        <v>19959</v>
      </c>
      <c r="L4212">
        <v>1.53</v>
      </c>
      <c r="M4212" t="s">
        <v>46</v>
      </c>
      <c r="N4212" t="s">
        <v>2843</v>
      </c>
      <c r="O4212">
        <v>10.66</v>
      </c>
      <c r="P4212">
        <v>10.41</v>
      </c>
      <c r="Q4212">
        <v>10.58</v>
      </c>
      <c r="R4212">
        <v>10.6</v>
      </c>
      <c r="S4212">
        <v>2.36</v>
      </c>
      <c r="T4212">
        <v>1.02</v>
      </c>
      <c r="U4212">
        <v>-10.08</v>
      </c>
      <c r="V4212">
        <v>-135</v>
      </c>
      <c r="W4212">
        <v>10.49</v>
      </c>
      <c r="X4212" t="s">
        <v>5900</v>
      </c>
      <c r="Y4212" t="s">
        <v>1427</v>
      </c>
      <c r="Z4212">
        <v>1.1</v>
      </c>
      <c r="AA4212">
        <v>119</v>
      </c>
      <c r="AB4212">
        <v>90</v>
      </c>
      <c r="AC4212">
        <v>3.02</v>
      </c>
      <c r="AD4212" t="s">
        <v>8722</v>
      </c>
      <c r="AE4212" t="s">
        <v>19960</v>
      </c>
      <c r="AF4212" t="s">
        <v>14658</v>
      </c>
      <c r="AG4212" t="s">
        <v>7599</v>
      </c>
      <c r="AH4212">
        <v>-1.32</v>
      </c>
      <c r="AI4212">
        <v>-1.14</v>
      </c>
      <c r="AJ4212">
        <v>4.66</v>
      </c>
      <c r="AK4212">
        <v>9.07</v>
      </c>
      <c r="AL4212">
        <v>-2</v>
      </c>
      <c r="AM4212">
        <v>-1.6</v>
      </c>
      <c r="AN4212">
        <v>33.04</v>
      </c>
      <c r="AO4212">
        <v>2.76</v>
      </c>
      <c r="AP4212">
        <v>20.16</v>
      </c>
    </row>
    <row r="4213" spans="1:42">
      <c r="A4213">
        <v>4212</v>
      </c>
      <c r="B4213" t="str">
        <f>"688505"</f>
        <v>688505</v>
      </c>
      <c r="C4213" t="s">
        <v>19961</v>
      </c>
      <c r="D4213">
        <v>10.2</v>
      </c>
      <c r="E4213">
        <v>0</v>
      </c>
      <c r="F4213">
        <v>0</v>
      </c>
      <c r="G4213" t="s">
        <v>7028</v>
      </c>
      <c r="H4213">
        <v>259</v>
      </c>
      <c r="I4213">
        <v>10.19</v>
      </c>
      <c r="J4213">
        <v>10.2</v>
      </c>
      <c r="K4213" t="s">
        <v>19962</v>
      </c>
      <c r="L4213">
        <v>0.39</v>
      </c>
      <c r="M4213" t="s">
        <v>46</v>
      </c>
      <c r="N4213" t="s">
        <v>18256</v>
      </c>
      <c r="O4213">
        <v>10.29</v>
      </c>
      <c r="P4213">
        <v>10.11</v>
      </c>
      <c r="Q4213">
        <v>10.24</v>
      </c>
      <c r="R4213">
        <v>10.2</v>
      </c>
      <c r="S4213">
        <v>1.76</v>
      </c>
      <c r="T4213">
        <v>0.64</v>
      </c>
      <c r="U4213">
        <v>-77.44</v>
      </c>
      <c r="V4213">
        <v>-2856</v>
      </c>
      <c r="W4213">
        <v>10.19</v>
      </c>
      <c r="X4213" t="s">
        <v>3130</v>
      </c>
      <c r="Y4213" t="s">
        <v>383</v>
      </c>
      <c r="Z4213">
        <v>1.11</v>
      </c>
      <c r="AA4213">
        <v>172</v>
      </c>
      <c r="AB4213">
        <v>1070</v>
      </c>
      <c r="AC4213">
        <v>4.53</v>
      </c>
      <c r="AD4213" t="s">
        <v>1000</v>
      </c>
      <c r="AE4213" t="s">
        <v>12951</v>
      </c>
      <c r="AF4213" t="s">
        <v>18601</v>
      </c>
      <c r="AG4213" t="s">
        <v>19963</v>
      </c>
      <c r="AH4213">
        <v>-2.49</v>
      </c>
      <c r="AI4213">
        <v>-2.86</v>
      </c>
      <c r="AJ4213">
        <v>1.35</v>
      </c>
      <c r="AK4213">
        <v>3.47</v>
      </c>
      <c r="AL4213">
        <v>0</v>
      </c>
      <c r="AM4213">
        <v>0</v>
      </c>
      <c r="AN4213">
        <v>23.19</v>
      </c>
      <c r="AO4213">
        <v>2.41</v>
      </c>
      <c r="AP4213">
        <v>7.94</v>
      </c>
    </row>
    <row r="4214" spans="1:42">
      <c r="A4214">
        <v>4213</v>
      </c>
      <c r="B4214" t="str">
        <f>"688356"</f>
        <v>688356</v>
      </c>
      <c r="C4214" t="s">
        <v>19964</v>
      </c>
      <c r="D4214">
        <v>124.19</v>
      </c>
      <c r="E4214">
        <v>0.17</v>
      </c>
      <c r="F4214">
        <v>0.21</v>
      </c>
      <c r="G4214">
        <v>2303</v>
      </c>
      <c r="H4214">
        <v>104</v>
      </c>
      <c r="I4214">
        <v>124.03</v>
      </c>
      <c r="J4214">
        <v>124.19</v>
      </c>
      <c r="K4214" t="s">
        <v>19965</v>
      </c>
      <c r="L4214">
        <v>0.38</v>
      </c>
      <c r="M4214" t="s">
        <v>46</v>
      </c>
      <c r="N4214" t="s">
        <v>5876</v>
      </c>
      <c r="O4214">
        <v>124.67</v>
      </c>
      <c r="P4214">
        <v>122.11</v>
      </c>
      <c r="Q4214">
        <v>123.54</v>
      </c>
      <c r="R4214">
        <v>123.98</v>
      </c>
      <c r="S4214">
        <v>2.06</v>
      </c>
      <c r="T4214">
        <v>0.53</v>
      </c>
      <c r="U4214">
        <v>59.96</v>
      </c>
      <c r="V4214">
        <v>128</v>
      </c>
      <c r="W4214">
        <v>123.67</v>
      </c>
      <c r="X4214">
        <v>1094</v>
      </c>
      <c r="Y4214">
        <v>1209</v>
      </c>
      <c r="Z4214">
        <v>0.91</v>
      </c>
      <c r="AA4214">
        <v>10</v>
      </c>
      <c r="AB4214">
        <v>2</v>
      </c>
      <c r="AC4214">
        <v>5.83</v>
      </c>
      <c r="AD4214" t="s">
        <v>14663</v>
      </c>
      <c r="AE4214" t="s">
        <v>4275</v>
      </c>
      <c r="AF4214" t="s">
        <v>14663</v>
      </c>
      <c r="AG4214" t="s">
        <v>4275</v>
      </c>
      <c r="AH4214">
        <v>3.06</v>
      </c>
      <c r="AI4214">
        <v>3.74</v>
      </c>
      <c r="AJ4214">
        <v>2.2</v>
      </c>
      <c r="AK4214">
        <v>3.94</v>
      </c>
      <c r="AL4214">
        <v>4</v>
      </c>
      <c r="AM4214">
        <v>0.17</v>
      </c>
      <c r="AN4214">
        <v>-20.2</v>
      </c>
      <c r="AO4214">
        <v>-6.48</v>
      </c>
      <c r="AP4214">
        <v>-32.86</v>
      </c>
    </row>
    <row r="4215" spans="1:42">
      <c r="A4215">
        <v>4214</v>
      </c>
      <c r="B4215" t="str">
        <f>"300569"</f>
        <v>300569</v>
      </c>
      <c r="C4215" t="s">
        <v>19966</v>
      </c>
      <c r="D4215">
        <v>7.05</v>
      </c>
      <c r="E4215">
        <v>-0.28</v>
      </c>
      <c r="F4215">
        <v>-0.02</v>
      </c>
      <c r="G4215" t="s">
        <v>3373</v>
      </c>
      <c r="H4215">
        <v>441</v>
      </c>
      <c r="I4215">
        <v>7.05</v>
      </c>
      <c r="J4215">
        <v>7.06</v>
      </c>
      <c r="K4215" t="s">
        <v>19967</v>
      </c>
      <c r="L4215">
        <v>0.56</v>
      </c>
      <c r="M4215" t="s">
        <v>46</v>
      </c>
      <c r="N4215" t="s">
        <v>19968</v>
      </c>
      <c r="O4215">
        <v>7.1</v>
      </c>
      <c r="P4215">
        <v>7</v>
      </c>
      <c r="Q4215">
        <v>7.07</v>
      </c>
      <c r="R4215">
        <v>7.07</v>
      </c>
      <c r="S4215">
        <v>1.41</v>
      </c>
      <c r="T4215">
        <v>1.07</v>
      </c>
      <c r="U4215">
        <v>-8.01</v>
      </c>
      <c r="V4215">
        <v>-564</v>
      </c>
      <c r="W4215">
        <v>7.03</v>
      </c>
      <c r="X4215" t="s">
        <v>48</v>
      </c>
      <c r="Y4215" t="s">
        <v>8212</v>
      </c>
      <c r="Z4215">
        <v>1.59</v>
      </c>
      <c r="AA4215">
        <v>376</v>
      </c>
      <c r="AB4215">
        <v>2148</v>
      </c>
      <c r="AC4215">
        <v>1.31</v>
      </c>
      <c r="AD4215" t="s">
        <v>1070</v>
      </c>
      <c r="AE4215" t="s">
        <v>19969</v>
      </c>
      <c r="AF4215" t="s">
        <v>13972</v>
      </c>
      <c r="AG4215" t="s">
        <v>19704</v>
      </c>
      <c r="AH4215">
        <v>-1.95</v>
      </c>
      <c r="AI4215">
        <v>-1.81</v>
      </c>
      <c r="AJ4215">
        <v>1.63</v>
      </c>
      <c r="AK4215">
        <v>3.18</v>
      </c>
      <c r="AL4215">
        <v>-3</v>
      </c>
      <c r="AM4215">
        <v>-0.28</v>
      </c>
      <c r="AN4215">
        <v>-11.54</v>
      </c>
      <c r="AO4215">
        <v>-4.6</v>
      </c>
      <c r="AP4215">
        <v>-20.25</v>
      </c>
    </row>
    <row r="4216" spans="1:42">
      <c r="A4216">
        <v>4215</v>
      </c>
      <c r="B4216" t="str">
        <f>"688013"</f>
        <v>688013</v>
      </c>
      <c r="C4216" t="s">
        <v>19970</v>
      </c>
      <c r="D4216">
        <v>23.06</v>
      </c>
      <c r="E4216">
        <v>1.54</v>
      </c>
      <c r="F4216">
        <v>0.35</v>
      </c>
      <c r="G4216" t="s">
        <v>2547</v>
      </c>
      <c r="H4216">
        <v>112</v>
      </c>
      <c r="I4216">
        <v>23.06</v>
      </c>
      <c r="J4216">
        <v>23.08</v>
      </c>
      <c r="K4216" t="s">
        <v>19967</v>
      </c>
      <c r="L4216">
        <v>1.53</v>
      </c>
      <c r="M4216" t="s">
        <v>46</v>
      </c>
      <c r="N4216" t="s">
        <v>2196</v>
      </c>
      <c r="O4216">
        <v>23.17</v>
      </c>
      <c r="P4216">
        <v>22.51</v>
      </c>
      <c r="Q4216">
        <v>22.82</v>
      </c>
      <c r="R4216">
        <v>22.71</v>
      </c>
      <c r="S4216">
        <v>2.91</v>
      </c>
      <c r="T4216">
        <v>1.36</v>
      </c>
      <c r="U4216">
        <v>50.03</v>
      </c>
      <c r="V4216">
        <v>691</v>
      </c>
      <c r="W4216">
        <v>22.86</v>
      </c>
      <c r="X4216">
        <v>7140</v>
      </c>
      <c r="Y4216">
        <v>5312</v>
      </c>
      <c r="Z4216">
        <v>1.34</v>
      </c>
      <c r="AA4216">
        <v>911</v>
      </c>
      <c r="AB4216">
        <v>210</v>
      </c>
      <c r="AC4216">
        <v>3.39</v>
      </c>
      <c r="AD4216" t="s">
        <v>19971</v>
      </c>
      <c r="AE4216" t="s">
        <v>2173</v>
      </c>
      <c r="AF4216" t="s">
        <v>19971</v>
      </c>
      <c r="AG4216" t="s">
        <v>2173</v>
      </c>
      <c r="AH4216">
        <v>0.09</v>
      </c>
      <c r="AI4216">
        <v>1.23</v>
      </c>
      <c r="AJ4216">
        <v>4.11</v>
      </c>
      <c r="AK4216">
        <v>7.16</v>
      </c>
      <c r="AL4216">
        <v>1</v>
      </c>
      <c r="AM4216">
        <v>1.54</v>
      </c>
      <c r="AN4216">
        <v>20.48</v>
      </c>
      <c r="AO4216">
        <v>5.39</v>
      </c>
      <c r="AP4216">
        <v>4.77</v>
      </c>
    </row>
    <row r="4217" spans="1:42">
      <c r="A4217">
        <v>4216</v>
      </c>
      <c r="B4217" t="str">
        <f>"603277"</f>
        <v>603277</v>
      </c>
      <c r="C4217" t="s">
        <v>19972</v>
      </c>
      <c r="D4217">
        <v>26.75</v>
      </c>
      <c r="E4217">
        <v>-1.55</v>
      </c>
      <c r="F4217">
        <v>-0.42</v>
      </c>
      <c r="G4217" t="s">
        <v>218</v>
      </c>
      <c r="H4217">
        <v>114</v>
      </c>
      <c r="I4217">
        <v>26.7</v>
      </c>
      <c r="J4217">
        <v>26.75</v>
      </c>
      <c r="K4217" t="s">
        <v>19967</v>
      </c>
      <c r="L4217">
        <v>0.25</v>
      </c>
      <c r="M4217" t="s">
        <v>46</v>
      </c>
      <c r="N4217" t="s">
        <v>7530</v>
      </c>
      <c r="O4217">
        <v>27.18</v>
      </c>
      <c r="P4217">
        <v>26.5</v>
      </c>
      <c r="Q4217">
        <v>27.12</v>
      </c>
      <c r="R4217">
        <v>27.17</v>
      </c>
      <c r="S4217">
        <v>2.5</v>
      </c>
      <c r="T4217">
        <v>1.15</v>
      </c>
      <c r="U4217">
        <v>-16.26</v>
      </c>
      <c r="V4217">
        <v>-33</v>
      </c>
      <c r="W4217">
        <v>26.81</v>
      </c>
      <c r="X4217">
        <v>6288</v>
      </c>
      <c r="Y4217">
        <v>4332</v>
      </c>
      <c r="Z4217">
        <v>1.45</v>
      </c>
      <c r="AA4217">
        <v>2</v>
      </c>
      <c r="AB4217">
        <v>38</v>
      </c>
      <c r="AC4217">
        <v>4.17</v>
      </c>
      <c r="AD4217" t="s">
        <v>18742</v>
      </c>
      <c r="AE4217" t="s">
        <v>5895</v>
      </c>
      <c r="AF4217" t="s">
        <v>8842</v>
      </c>
      <c r="AG4217" t="s">
        <v>3781</v>
      </c>
      <c r="AH4217">
        <v>-1.4</v>
      </c>
      <c r="AI4217">
        <v>1.06</v>
      </c>
      <c r="AJ4217">
        <v>0.69</v>
      </c>
      <c r="AK4217">
        <v>1.36</v>
      </c>
      <c r="AL4217">
        <v>-2</v>
      </c>
      <c r="AM4217">
        <v>-1.55</v>
      </c>
      <c r="AN4217">
        <v>70.06</v>
      </c>
      <c r="AO4217">
        <v>-5.54</v>
      </c>
      <c r="AP4217">
        <v>52.51</v>
      </c>
    </row>
    <row r="4218" spans="1:42">
      <c r="A4218">
        <v>4217</v>
      </c>
      <c r="B4218" t="str">
        <f>"601512"</f>
        <v>601512</v>
      </c>
      <c r="C4218" t="s">
        <v>19973</v>
      </c>
      <c r="D4218">
        <v>8.18</v>
      </c>
      <c r="E4218">
        <v>0.62</v>
      </c>
      <c r="F4218">
        <v>0.05</v>
      </c>
      <c r="G4218" t="s">
        <v>6025</v>
      </c>
      <c r="H4218">
        <v>138</v>
      </c>
      <c r="I4218">
        <v>8.18</v>
      </c>
      <c r="J4218">
        <v>8.19</v>
      </c>
      <c r="K4218" t="s">
        <v>19974</v>
      </c>
      <c r="L4218">
        <v>0.23</v>
      </c>
      <c r="M4218" t="s">
        <v>46</v>
      </c>
      <c r="N4218" t="s">
        <v>10840</v>
      </c>
      <c r="O4218">
        <v>8.24</v>
      </c>
      <c r="P4218">
        <v>8.11</v>
      </c>
      <c r="Q4218">
        <v>8.15</v>
      </c>
      <c r="R4218">
        <v>8.13</v>
      </c>
      <c r="S4218">
        <v>1.6</v>
      </c>
      <c r="T4218">
        <v>1.03</v>
      </c>
      <c r="U4218">
        <v>-0.59</v>
      </c>
      <c r="V4218">
        <v>-13</v>
      </c>
      <c r="W4218">
        <v>8.18</v>
      </c>
      <c r="X4218" t="s">
        <v>6012</v>
      </c>
      <c r="Y4218" t="s">
        <v>1692</v>
      </c>
      <c r="Z4218">
        <v>1.13</v>
      </c>
      <c r="AA4218">
        <v>101</v>
      </c>
      <c r="AB4218">
        <v>326</v>
      </c>
      <c r="AC4218">
        <v>0.88</v>
      </c>
      <c r="AD4218" t="s">
        <v>16676</v>
      </c>
      <c r="AE4218" t="s">
        <v>2917</v>
      </c>
      <c r="AF4218" t="s">
        <v>16676</v>
      </c>
      <c r="AG4218" t="s">
        <v>2917</v>
      </c>
      <c r="AH4218">
        <v>-0.85</v>
      </c>
      <c r="AI4218">
        <v>-2.73</v>
      </c>
      <c r="AJ4218">
        <v>0.67</v>
      </c>
      <c r="AK4218">
        <v>1.36</v>
      </c>
      <c r="AL4218">
        <v>1</v>
      </c>
      <c r="AM4218">
        <v>0.62</v>
      </c>
      <c r="AN4218">
        <v>6.65</v>
      </c>
      <c r="AO4218">
        <v>0.99</v>
      </c>
      <c r="AP4218">
        <v>3.81</v>
      </c>
    </row>
    <row r="4219" spans="1:42">
      <c r="A4219">
        <v>4218</v>
      </c>
      <c r="B4219" t="str">
        <f>"688517"</f>
        <v>688517</v>
      </c>
      <c r="C4219" t="s">
        <v>19975</v>
      </c>
      <c r="D4219">
        <v>15.36</v>
      </c>
      <c r="E4219">
        <v>-0.71</v>
      </c>
      <c r="F4219">
        <v>-0.11</v>
      </c>
      <c r="G4219" t="s">
        <v>2723</v>
      </c>
      <c r="H4219">
        <v>162</v>
      </c>
      <c r="I4219">
        <v>15.36</v>
      </c>
      <c r="J4219">
        <v>15.38</v>
      </c>
      <c r="K4219" t="s">
        <v>19976</v>
      </c>
      <c r="L4219">
        <v>2.17</v>
      </c>
      <c r="M4219" t="s">
        <v>46</v>
      </c>
      <c r="N4219" t="s">
        <v>2259</v>
      </c>
      <c r="O4219">
        <v>15.49</v>
      </c>
      <c r="P4219">
        <v>15.17</v>
      </c>
      <c r="Q4219">
        <v>15.48</v>
      </c>
      <c r="R4219">
        <v>15.47</v>
      </c>
      <c r="S4219">
        <v>2.07</v>
      </c>
      <c r="T4219">
        <v>0.75</v>
      </c>
      <c r="U4219">
        <v>23.44</v>
      </c>
      <c r="V4219">
        <v>110</v>
      </c>
      <c r="W4219">
        <v>15.28</v>
      </c>
      <c r="X4219">
        <v>9254</v>
      </c>
      <c r="Y4219">
        <v>9342</v>
      </c>
      <c r="Z4219">
        <v>0.99</v>
      </c>
      <c r="AA4219">
        <v>78</v>
      </c>
      <c r="AB4219">
        <v>35</v>
      </c>
      <c r="AC4219">
        <v>2.74</v>
      </c>
      <c r="AD4219" t="s">
        <v>11656</v>
      </c>
      <c r="AE4219" t="s">
        <v>10090</v>
      </c>
      <c r="AF4219" t="s">
        <v>19977</v>
      </c>
      <c r="AG4219" t="s">
        <v>13160</v>
      </c>
      <c r="AH4219">
        <v>-1.6</v>
      </c>
      <c r="AI4219">
        <v>-1.22</v>
      </c>
      <c r="AJ4219">
        <v>8.81</v>
      </c>
      <c r="AK4219">
        <v>16.59</v>
      </c>
      <c r="AL4219">
        <v>-2</v>
      </c>
      <c r="AM4219">
        <v>-0.71</v>
      </c>
      <c r="AN4219">
        <v>36.05</v>
      </c>
      <c r="AO4219">
        <v>0.2</v>
      </c>
      <c r="AP4219">
        <v>20.75</v>
      </c>
    </row>
    <row r="4220" spans="1:42">
      <c r="A4220">
        <v>4219</v>
      </c>
      <c r="B4220" t="str">
        <f>"603081"</f>
        <v>603081</v>
      </c>
      <c r="C4220" t="s">
        <v>19978</v>
      </c>
      <c r="D4220">
        <v>11.21</v>
      </c>
      <c r="E4220">
        <v>0.9</v>
      </c>
      <c r="F4220">
        <v>0.1</v>
      </c>
      <c r="G4220" t="s">
        <v>4422</v>
      </c>
      <c r="H4220">
        <v>41</v>
      </c>
      <c r="I4220">
        <v>11.2</v>
      </c>
      <c r="J4220">
        <v>11.21</v>
      </c>
      <c r="K4220" t="s">
        <v>19979</v>
      </c>
      <c r="L4220">
        <v>0.63</v>
      </c>
      <c r="M4220" t="s">
        <v>46</v>
      </c>
      <c r="N4220" t="s">
        <v>5282</v>
      </c>
      <c r="O4220">
        <v>11.28</v>
      </c>
      <c r="P4220">
        <v>11</v>
      </c>
      <c r="Q4220">
        <v>11.07</v>
      </c>
      <c r="R4220">
        <v>11.11</v>
      </c>
      <c r="S4220">
        <v>2.52</v>
      </c>
      <c r="T4220">
        <v>1.01</v>
      </c>
      <c r="U4220">
        <v>-34.54</v>
      </c>
      <c r="V4220">
        <v>-210</v>
      </c>
      <c r="W4220">
        <v>11.11</v>
      </c>
      <c r="X4220" t="s">
        <v>1052</v>
      </c>
      <c r="Y4220" t="s">
        <v>1777</v>
      </c>
      <c r="Z4220">
        <v>0.9</v>
      </c>
      <c r="AA4220">
        <v>20</v>
      </c>
      <c r="AB4220">
        <v>32</v>
      </c>
      <c r="AC4220">
        <v>1.64</v>
      </c>
      <c r="AD4220" t="s">
        <v>19980</v>
      </c>
      <c r="AE4220" t="s">
        <v>19981</v>
      </c>
      <c r="AF4220" t="s">
        <v>1562</v>
      </c>
      <c r="AG4220" t="s">
        <v>19982</v>
      </c>
      <c r="AH4220">
        <v>-1.41</v>
      </c>
      <c r="AI4220">
        <v>-3.28</v>
      </c>
      <c r="AJ4220">
        <v>1.84</v>
      </c>
      <c r="AK4220">
        <v>3.78</v>
      </c>
      <c r="AL4220">
        <v>1</v>
      </c>
      <c r="AM4220">
        <v>0.9</v>
      </c>
      <c r="AN4220">
        <v>-8.94</v>
      </c>
      <c r="AO4220">
        <v>-0.97</v>
      </c>
      <c r="AP4220">
        <v>-17.27</v>
      </c>
    </row>
    <row r="4221" spans="1:42">
      <c r="A4221">
        <v>4220</v>
      </c>
      <c r="B4221" t="str">
        <f>"300686"</f>
        <v>300686</v>
      </c>
      <c r="C4221" t="s">
        <v>19983</v>
      </c>
      <c r="D4221">
        <v>10.81</v>
      </c>
      <c r="E4221">
        <v>-0.28</v>
      </c>
      <c r="F4221">
        <v>-0.03</v>
      </c>
      <c r="G4221" t="s">
        <v>7160</v>
      </c>
      <c r="H4221">
        <v>506</v>
      </c>
      <c r="I4221">
        <v>10.81</v>
      </c>
      <c r="J4221">
        <v>10.82</v>
      </c>
      <c r="K4221" t="s">
        <v>19979</v>
      </c>
      <c r="L4221">
        <v>1.33</v>
      </c>
      <c r="M4221" t="s">
        <v>46</v>
      </c>
      <c r="N4221" t="s">
        <v>1126</v>
      </c>
      <c r="O4221">
        <v>10.88</v>
      </c>
      <c r="P4221">
        <v>10.63</v>
      </c>
      <c r="Q4221">
        <v>10.82</v>
      </c>
      <c r="R4221">
        <v>10.84</v>
      </c>
      <c r="S4221">
        <v>2.31</v>
      </c>
      <c r="T4221">
        <v>0.7</v>
      </c>
      <c r="U4221">
        <v>22.56</v>
      </c>
      <c r="V4221">
        <v>141</v>
      </c>
      <c r="W4221">
        <v>10.74</v>
      </c>
      <c r="X4221" t="s">
        <v>905</v>
      </c>
      <c r="Y4221" t="s">
        <v>5446</v>
      </c>
      <c r="Z4221">
        <v>0.88</v>
      </c>
      <c r="AA4221">
        <v>35</v>
      </c>
      <c r="AB4221">
        <v>1</v>
      </c>
      <c r="AC4221">
        <v>2.32</v>
      </c>
      <c r="AD4221" t="s">
        <v>19984</v>
      </c>
      <c r="AE4221" t="s">
        <v>19985</v>
      </c>
      <c r="AF4221" t="s">
        <v>12889</v>
      </c>
      <c r="AG4221" t="s">
        <v>4311</v>
      </c>
      <c r="AH4221">
        <v>-2.79</v>
      </c>
      <c r="AI4221">
        <v>-2.79</v>
      </c>
      <c r="AJ4221">
        <v>4.78</v>
      </c>
      <c r="AK4221">
        <v>10.78</v>
      </c>
      <c r="AL4221">
        <v>-3</v>
      </c>
      <c r="AM4221">
        <v>-0.28</v>
      </c>
      <c r="AN4221">
        <v>-9.92</v>
      </c>
      <c r="AO4221">
        <v>-1.64</v>
      </c>
      <c r="AP4221">
        <v>-42.32</v>
      </c>
    </row>
    <row r="4222" spans="1:42">
      <c r="A4222">
        <v>4221</v>
      </c>
      <c r="B4222" t="str">
        <f>"430300"</f>
        <v>430300</v>
      </c>
      <c r="C4222" t="s">
        <v>19986</v>
      </c>
      <c r="D4222">
        <v>8.39</v>
      </c>
      <c r="E4222">
        <v>-5.73</v>
      </c>
      <c r="F4222">
        <v>-0.51</v>
      </c>
      <c r="G4222" t="s">
        <v>1600</v>
      </c>
      <c r="H4222">
        <v>829</v>
      </c>
      <c r="I4222">
        <v>8.39</v>
      </c>
      <c r="J4222">
        <v>8.4</v>
      </c>
      <c r="K4222" t="s">
        <v>7008</v>
      </c>
      <c r="L4222">
        <v>6.27</v>
      </c>
      <c r="M4222" t="s">
        <v>46</v>
      </c>
      <c r="N4222" t="s">
        <v>19987</v>
      </c>
      <c r="O4222">
        <v>9.1</v>
      </c>
      <c r="P4222">
        <v>8.37</v>
      </c>
      <c r="Q4222">
        <v>8.99</v>
      </c>
      <c r="R4222">
        <v>8.9</v>
      </c>
      <c r="S4222">
        <v>8.2</v>
      </c>
      <c r="T4222">
        <v>0.37</v>
      </c>
      <c r="U4222">
        <v>78.43</v>
      </c>
      <c r="V4222">
        <v>1142</v>
      </c>
      <c r="W4222">
        <v>8.67</v>
      </c>
      <c r="X4222" t="s">
        <v>2877</v>
      </c>
      <c r="Y4222" t="s">
        <v>9445</v>
      </c>
      <c r="Z4222">
        <v>1.52</v>
      </c>
      <c r="AA4222">
        <v>347</v>
      </c>
      <c r="AB4222">
        <v>50</v>
      </c>
      <c r="AC4222">
        <v>2.45</v>
      </c>
      <c r="AD4222" t="s">
        <v>19988</v>
      </c>
      <c r="AE4222" t="s">
        <v>19989</v>
      </c>
      <c r="AF4222" t="s">
        <v>15782</v>
      </c>
      <c r="AG4222" t="s">
        <v>19990</v>
      </c>
      <c r="AH4222">
        <v>-17.91</v>
      </c>
      <c r="AI4222">
        <v>3.2</v>
      </c>
      <c r="AJ4222">
        <v>26.95</v>
      </c>
      <c r="AK4222">
        <v>90.52</v>
      </c>
      <c r="AL4222">
        <v>-4</v>
      </c>
      <c r="AM4222">
        <v>-5.73</v>
      </c>
      <c r="AN4222">
        <v>29.68</v>
      </c>
      <c r="AO4222">
        <v>20.72</v>
      </c>
      <c r="AP4222">
        <v>17.51</v>
      </c>
    </row>
    <row r="4223" spans="1:42">
      <c r="A4223">
        <v>4222</v>
      </c>
      <c r="B4223" t="str">
        <f>"836504"</f>
        <v>836504</v>
      </c>
      <c r="C4223" t="s">
        <v>19991</v>
      </c>
      <c r="D4223">
        <v>14.38</v>
      </c>
      <c r="E4223">
        <v>-7.23</v>
      </c>
      <c r="F4223">
        <v>-1.12</v>
      </c>
      <c r="G4223" t="s">
        <v>10934</v>
      </c>
      <c r="H4223">
        <v>367</v>
      </c>
      <c r="I4223">
        <v>14.38</v>
      </c>
      <c r="J4223">
        <v>14.39</v>
      </c>
      <c r="K4223" t="s">
        <v>19992</v>
      </c>
      <c r="L4223">
        <v>17.53</v>
      </c>
      <c r="M4223" t="s">
        <v>46</v>
      </c>
      <c r="N4223" t="s">
        <v>3947</v>
      </c>
      <c r="O4223">
        <v>15.77</v>
      </c>
      <c r="P4223">
        <v>14.11</v>
      </c>
      <c r="Q4223">
        <v>15.55</v>
      </c>
      <c r="R4223">
        <v>15.5</v>
      </c>
      <c r="S4223">
        <v>10.71</v>
      </c>
      <c r="T4223">
        <v>0.46</v>
      </c>
      <c r="U4223">
        <v>-10.87</v>
      </c>
      <c r="V4223">
        <v>-15</v>
      </c>
      <c r="W4223">
        <v>14.72</v>
      </c>
      <c r="X4223" t="s">
        <v>6212</v>
      </c>
      <c r="Y4223">
        <v>6609</v>
      </c>
      <c r="Z4223">
        <v>1.91</v>
      </c>
      <c r="AA4223">
        <v>29</v>
      </c>
      <c r="AB4223">
        <v>20</v>
      </c>
      <c r="AC4223">
        <v>3.43</v>
      </c>
      <c r="AD4223" t="s">
        <v>19993</v>
      </c>
      <c r="AE4223" t="s">
        <v>19994</v>
      </c>
      <c r="AF4223" t="s">
        <v>19995</v>
      </c>
      <c r="AG4223" t="s">
        <v>17593</v>
      </c>
      <c r="AH4223">
        <v>-20.55</v>
      </c>
      <c r="AI4223">
        <v>-0.83</v>
      </c>
      <c r="AJ4223">
        <v>61.56</v>
      </c>
      <c r="AK4223">
        <v>208.98</v>
      </c>
      <c r="AL4223">
        <v>-4</v>
      </c>
      <c r="AM4223">
        <v>-7.23</v>
      </c>
      <c r="AN4223">
        <v>47.64</v>
      </c>
      <c r="AO4223">
        <v>65.29</v>
      </c>
      <c r="AP4223">
        <v>69.18</v>
      </c>
    </row>
    <row r="4224" spans="1:42">
      <c r="A4224">
        <v>4223</v>
      </c>
      <c r="B4224" t="str">
        <f>"688602"</f>
        <v>688602</v>
      </c>
      <c r="C4224" t="s">
        <v>19996</v>
      </c>
      <c r="D4224">
        <v>11.52</v>
      </c>
      <c r="E4224">
        <v>0.26</v>
      </c>
      <c r="F4224">
        <v>0.03</v>
      </c>
      <c r="G4224" t="s">
        <v>3662</v>
      </c>
      <c r="H4224">
        <v>173</v>
      </c>
      <c r="I4224">
        <v>11.52</v>
      </c>
      <c r="J4224">
        <v>11.53</v>
      </c>
      <c r="K4224" t="s">
        <v>19997</v>
      </c>
      <c r="L4224">
        <v>2.91</v>
      </c>
      <c r="M4224" t="s">
        <v>46</v>
      </c>
      <c r="N4224" t="s">
        <v>1719</v>
      </c>
      <c r="O4224">
        <v>11.59</v>
      </c>
      <c r="P4224">
        <v>11.38</v>
      </c>
      <c r="Q4224">
        <v>11.49</v>
      </c>
      <c r="R4224">
        <v>11.49</v>
      </c>
      <c r="S4224">
        <v>1.83</v>
      </c>
      <c r="T4224">
        <v>0.64</v>
      </c>
      <c r="U4224">
        <v>41.37</v>
      </c>
      <c r="V4224">
        <v>820</v>
      </c>
      <c r="W4224">
        <v>11.49</v>
      </c>
      <c r="X4224" t="s">
        <v>1384</v>
      </c>
      <c r="Y4224" t="s">
        <v>2807</v>
      </c>
      <c r="Z4224">
        <v>1.21</v>
      </c>
      <c r="AA4224">
        <v>83</v>
      </c>
      <c r="AB4224">
        <v>12</v>
      </c>
      <c r="AC4224">
        <v>2.16</v>
      </c>
      <c r="AD4224" t="s">
        <v>15830</v>
      </c>
      <c r="AE4224" t="s">
        <v>19998</v>
      </c>
      <c r="AF4224" t="s">
        <v>19999</v>
      </c>
      <c r="AG4224" t="s">
        <v>19280</v>
      </c>
      <c r="AH4224">
        <v>-2.95</v>
      </c>
      <c r="AI4224">
        <v>-5.88</v>
      </c>
      <c r="AJ4224">
        <v>11.22</v>
      </c>
      <c r="AK4224">
        <v>25.67</v>
      </c>
      <c r="AL4224">
        <v>1</v>
      </c>
      <c r="AM4224">
        <v>0.26</v>
      </c>
      <c r="AN4224">
        <v>33.03</v>
      </c>
      <c r="AO4224">
        <v>-3.92</v>
      </c>
      <c r="AP4224">
        <v>33.03</v>
      </c>
    </row>
    <row r="4225" spans="1:42">
      <c r="A4225">
        <v>4224</v>
      </c>
      <c r="B4225" t="str">
        <f>"301121"</f>
        <v>301121</v>
      </c>
      <c r="C4225" t="s">
        <v>20000</v>
      </c>
      <c r="D4225">
        <v>41.5</v>
      </c>
      <c r="E4225">
        <v>0.17</v>
      </c>
      <c r="F4225">
        <v>0.07</v>
      </c>
      <c r="G4225">
        <v>6810</v>
      </c>
      <c r="H4225">
        <v>49</v>
      </c>
      <c r="I4225">
        <v>41.49</v>
      </c>
      <c r="J4225">
        <v>41.5</v>
      </c>
      <c r="K4225" t="s">
        <v>20001</v>
      </c>
      <c r="L4225">
        <v>2.3</v>
      </c>
      <c r="M4225" t="s">
        <v>46</v>
      </c>
      <c r="N4225" t="s">
        <v>2073</v>
      </c>
      <c r="O4225">
        <v>42.06</v>
      </c>
      <c r="P4225">
        <v>40.99</v>
      </c>
      <c r="Q4225">
        <v>41.43</v>
      </c>
      <c r="R4225">
        <v>41.43</v>
      </c>
      <c r="S4225">
        <v>2.58</v>
      </c>
      <c r="T4225">
        <v>0.88</v>
      </c>
      <c r="U4225">
        <v>-50.72</v>
      </c>
      <c r="V4225">
        <v>-35</v>
      </c>
      <c r="W4225">
        <v>41.56</v>
      </c>
      <c r="X4225">
        <v>3398</v>
      </c>
      <c r="Y4225">
        <v>3412</v>
      </c>
      <c r="Z4225">
        <v>1</v>
      </c>
      <c r="AA4225">
        <v>2</v>
      </c>
      <c r="AB4225">
        <v>3</v>
      </c>
      <c r="AC4225">
        <v>1.81</v>
      </c>
      <c r="AD4225" t="s">
        <v>20002</v>
      </c>
      <c r="AE4225" t="s">
        <v>20003</v>
      </c>
      <c r="AF4225" t="s">
        <v>19746</v>
      </c>
      <c r="AG4225" t="s">
        <v>19603</v>
      </c>
      <c r="AH4225">
        <v>-2.88</v>
      </c>
      <c r="AI4225">
        <v>-3.35</v>
      </c>
      <c r="AJ4225">
        <v>7.22</v>
      </c>
      <c r="AK4225">
        <v>15.39</v>
      </c>
      <c r="AL4225">
        <v>1</v>
      </c>
      <c r="AM4225">
        <v>0.17</v>
      </c>
      <c r="AN4225">
        <v>-19.34</v>
      </c>
      <c r="AO4225">
        <v>0</v>
      </c>
      <c r="AP4225">
        <v>-25.67</v>
      </c>
    </row>
    <row r="4226" spans="1:42">
      <c r="A4226">
        <v>4225</v>
      </c>
      <c r="B4226" t="str">
        <f>"300619"</f>
        <v>300619</v>
      </c>
      <c r="C4226" t="s">
        <v>20004</v>
      </c>
      <c r="D4226">
        <v>54.88</v>
      </c>
      <c r="E4226">
        <v>-0.42</v>
      </c>
      <c r="F4226">
        <v>-0.23</v>
      </c>
      <c r="G4226">
        <v>5148</v>
      </c>
      <c r="H4226">
        <v>56</v>
      </c>
      <c r="I4226">
        <v>54.88</v>
      </c>
      <c r="J4226">
        <v>55</v>
      </c>
      <c r="K4226" t="s">
        <v>20005</v>
      </c>
      <c r="L4226">
        <v>0.71</v>
      </c>
      <c r="M4226" t="s">
        <v>46</v>
      </c>
      <c r="N4226" t="s">
        <v>4263</v>
      </c>
      <c r="O4226">
        <v>55.36</v>
      </c>
      <c r="P4226">
        <v>54.6</v>
      </c>
      <c r="Q4226">
        <v>55.11</v>
      </c>
      <c r="R4226">
        <v>55.11</v>
      </c>
      <c r="S4226">
        <v>1.38</v>
      </c>
      <c r="T4226">
        <v>0.97</v>
      </c>
      <c r="U4226">
        <v>-21.15</v>
      </c>
      <c r="V4226">
        <v>-22</v>
      </c>
      <c r="W4226">
        <v>54.89</v>
      </c>
      <c r="X4226">
        <v>2723</v>
      </c>
      <c r="Y4226">
        <v>2425</v>
      </c>
      <c r="Z4226">
        <v>1.12</v>
      </c>
      <c r="AA4226">
        <v>10</v>
      </c>
      <c r="AB4226">
        <v>10</v>
      </c>
      <c r="AC4226">
        <v>4.63</v>
      </c>
      <c r="AD4226" t="s">
        <v>20006</v>
      </c>
      <c r="AE4226" t="s">
        <v>20007</v>
      </c>
      <c r="AF4226" t="s">
        <v>20008</v>
      </c>
      <c r="AG4226" t="s">
        <v>15161</v>
      </c>
      <c r="AH4226">
        <v>-2.75</v>
      </c>
      <c r="AI4226">
        <v>-3.19</v>
      </c>
      <c r="AJ4226">
        <v>2.21</v>
      </c>
      <c r="AK4226">
        <v>4.38</v>
      </c>
      <c r="AL4226">
        <v>-3</v>
      </c>
      <c r="AM4226">
        <v>-0.42</v>
      </c>
      <c r="AN4226">
        <v>-11.94</v>
      </c>
      <c r="AO4226">
        <v>-6.67</v>
      </c>
      <c r="AP4226">
        <v>-15.52</v>
      </c>
    </row>
    <row r="4227" spans="1:42">
      <c r="A4227">
        <v>4226</v>
      </c>
      <c r="B4227" t="str">
        <f>"000688"</f>
        <v>000688</v>
      </c>
      <c r="C4227" t="s">
        <v>20009</v>
      </c>
      <c r="D4227">
        <v>10.37</v>
      </c>
      <c r="E4227">
        <v>0.68</v>
      </c>
      <c r="F4227">
        <v>0.07</v>
      </c>
      <c r="G4227" t="s">
        <v>3121</v>
      </c>
      <c r="H4227">
        <v>152</v>
      </c>
      <c r="I4227">
        <v>10.37</v>
      </c>
      <c r="J4227">
        <v>10.38</v>
      </c>
      <c r="K4227" t="s">
        <v>20010</v>
      </c>
      <c r="L4227">
        <v>0.25</v>
      </c>
      <c r="M4227" t="s">
        <v>46</v>
      </c>
      <c r="N4227" t="s">
        <v>1637</v>
      </c>
      <c r="O4227">
        <v>10.48</v>
      </c>
      <c r="P4227">
        <v>10.18</v>
      </c>
      <c r="Q4227">
        <v>10.28</v>
      </c>
      <c r="R4227">
        <v>10.3</v>
      </c>
      <c r="S4227">
        <v>2.91</v>
      </c>
      <c r="T4227">
        <v>0.84</v>
      </c>
      <c r="U4227">
        <v>1.54</v>
      </c>
      <c r="V4227">
        <v>15</v>
      </c>
      <c r="W4227">
        <v>10.3</v>
      </c>
      <c r="X4227" t="s">
        <v>1427</v>
      </c>
      <c r="Y4227" t="s">
        <v>1769</v>
      </c>
      <c r="Z4227">
        <v>0.89</v>
      </c>
      <c r="AA4227">
        <v>147</v>
      </c>
      <c r="AB4227">
        <v>86</v>
      </c>
      <c r="AC4227">
        <v>4.16</v>
      </c>
      <c r="AD4227" t="s">
        <v>976</v>
      </c>
      <c r="AE4227" t="s">
        <v>9054</v>
      </c>
      <c r="AF4227" t="s">
        <v>976</v>
      </c>
      <c r="AG4227" t="s">
        <v>9054</v>
      </c>
      <c r="AH4227">
        <v>-1.33</v>
      </c>
      <c r="AI4227">
        <v>-2.35</v>
      </c>
      <c r="AJ4227">
        <v>0.78</v>
      </c>
      <c r="AK4227">
        <v>1.7</v>
      </c>
      <c r="AL4227">
        <v>1</v>
      </c>
      <c r="AM4227">
        <v>0.68</v>
      </c>
      <c r="AN4227">
        <v>-35.87</v>
      </c>
      <c r="AO4227">
        <v>-1.61</v>
      </c>
      <c r="AP4227">
        <v>-42.61</v>
      </c>
    </row>
    <row r="4228" spans="1:42">
      <c r="A4228">
        <v>4227</v>
      </c>
      <c r="B4228" t="str">
        <f>"000595"</f>
        <v>000595</v>
      </c>
      <c r="C4228" t="s">
        <v>20011</v>
      </c>
      <c r="D4228">
        <v>5.12</v>
      </c>
      <c r="E4228">
        <v>0.2</v>
      </c>
      <c r="F4228">
        <v>0.01</v>
      </c>
      <c r="G4228" t="s">
        <v>2735</v>
      </c>
      <c r="H4228">
        <v>328</v>
      </c>
      <c r="I4228">
        <v>5.12</v>
      </c>
      <c r="J4228">
        <v>5.13</v>
      </c>
      <c r="K4228" t="s">
        <v>20010</v>
      </c>
      <c r="L4228">
        <v>0.49</v>
      </c>
      <c r="M4228" t="s">
        <v>46</v>
      </c>
      <c r="N4228" t="s">
        <v>7429</v>
      </c>
      <c r="O4228">
        <v>5.14</v>
      </c>
      <c r="P4228">
        <v>5.06</v>
      </c>
      <c r="Q4228">
        <v>5.1</v>
      </c>
      <c r="R4228">
        <v>5.11</v>
      </c>
      <c r="S4228">
        <v>1.57</v>
      </c>
      <c r="T4228">
        <v>0.87</v>
      </c>
      <c r="U4228">
        <v>-36.94</v>
      </c>
      <c r="V4228">
        <v>-4866</v>
      </c>
      <c r="W4228">
        <v>5.1</v>
      </c>
      <c r="X4228" t="s">
        <v>2727</v>
      </c>
      <c r="Y4228" t="s">
        <v>914</v>
      </c>
      <c r="Z4228">
        <v>1.08</v>
      </c>
      <c r="AA4228">
        <v>411</v>
      </c>
      <c r="AB4228">
        <v>1367</v>
      </c>
      <c r="AC4228">
        <v>9.47</v>
      </c>
      <c r="AD4228" t="s">
        <v>11350</v>
      </c>
      <c r="AE4228" t="s">
        <v>20012</v>
      </c>
      <c r="AF4228" t="s">
        <v>302</v>
      </c>
      <c r="AG4228" t="s">
        <v>20013</v>
      </c>
      <c r="AH4228">
        <v>-0.78</v>
      </c>
      <c r="AI4228">
        <v>-1.73</v>
      </c>
      <c r="AJ4228">
        <v>1.41</v>
      </c>
      <c r="AK4228">
        <v>3.29</v>
      </c>
      <c r="AL4228">
        <v>1</v>
      </c>
      <c r="AM4228">
        <v>0.2</v>
      </c>
      <c r="AN4228">
        <v>-23.81</v>
      </c>
      <c r="AO4228">
        <v>1.39</v>
      </c>
      <c r="AP4228">
        <v>-32.01</v>
      </c>
    </row>
    <row r="4229" spans="1:42">
      <c r="A4229">
        <v>4228</v>
      </c>
      <c r="B4229" t="str">
        <f>"001259"</f>
        <v>001259</v>
      </c>
      <c r="C4229" t="s">
        <v>20014</v>
      </c>
      <c r="D4229">
        <v>29.31</v>
      </c>
      <c r="E4229">
        <v>-0.85</v>
      </c>
      <c r="F4229">
        <v>-0.25</v>
      </c>
      <c r="G4229">
        <v>9599</v>
      </c>
      <c r="H4229">
        <v>229</v>
      </c>
      <c r="I4229">
        <v>29.31</v>
      </c>
      <c r="J4229">
        <v>29.32</v>
      </c>
      <c r="K4229" t="s">
        <v>20015</v>
      </c>
      <c r="L4229">
        <v>5.19</v>
      </c>
      <c r="M4229" t="s">
        <v>46</v>
      </c>
      <c r="N4229" t="s">
        <v>4554</v>
      </c>
      <c r="O4229">
        <v>29.62</v>
      </c>
      <c r="P4229">
        <v>29.06</v>
      </c>
      <c r="Q4229">
        <v>29.38</v>
      </c>
      <c r="R4229">
        <v>29.56</v>
      </c>
      <c r="S4229">
        <v>1.89</v>
      </c>
      <c r="T4229">
        <v>0.79</v>
      </c>
      <c r="U4229">
        <v>34.65</v>
      </c>
      <c r="V4229">
        <v>70</v>
      </c>
      <c r="W4229">
        <v>29.33</v>
      </c>
      <c r="X4229">
        <v>4692</v>
      </c>
      <c r="Y4229">
        <v>4907</v>
      </c>
      <c r="Z4229">
        <v>0.96</v>
      </c>
      <c r="AA4229">
        <v>33</v>
      </c>
      <c r="AB4229">
        <v>9</v>
      </c>
      <c r="AC4229">
        <v>2.85</v>
      </c>
      <c r="AD4229" t="s">
        <v>20016</v>
      </c>
      <c r="AE4229" t="s">
        <v>7756</v>
      </c>
      <c r="AF4229" t="s">
        <v>20017</v>
      </c>
      <c r="AG4229" t="s">
        <v>7830</v>
      </c>
      <c r="AH4229">
        <v>0.58</v>
      </c>
      <c r="AI4229">
        <v>0.03</v>
      </c>
      <c r="AJ4229">
        <v>22.94</v>
      </c>
      <c r="AK4229">
        <v>37.97</v>
      </c>
      <c r="AL4229">
        <v>-2</v>
      </c>
      <c r="AM4229">
        <v>-0.85</v>
      </c>
      <c r="AN4229">
        <v>6.78</v>
      </c>
      <c r="AO4229">
        <v>2.73</v>
      </c>
      <c r="AP4229">
        <v>-1.15</v>
      </c>
    </row>
    <row r="4230" spans="1:42">
      <c r="A4230">
        <v>4229</v>
      </c>
      <c r="B4230" t="str">
        <f>"002873"</f>
        <v>002873</v>
      </c>
      <c r="C4230" t="s">
        <v>20018</v>
      </c>
      <c r="D4230">
        <v>12.96</v>
      </c>
      <c r="E4230">
        <v>0.23</v>
      </c>
      <c r="F4230">
        <v>0.03</v>
      </c>
      <c r="G4230" t="s">
        <v>6827</v>
      </c>
      <c r="H4230">
        <v>86</v>
      </c>
      <c r="I4230">
        <v>12.96</v>
      </c>
      <c r="J4230">
        <v>12.97</v>
      </c>
      <c r="K4230" t="s">
        <v>20019</v>
      </c>
      <c r="L4230">
        <v>0.97</v>
      </c>
      <c r="M4230" t="s">
        <v>46</v>
      </c>
      <c r="N4230" t="s">
        <v>20020</v>
      </c>
      <c r="O4230">
        <v>13.04</v>
      </c>
      <c r="P4230">
        <v>12.81</v>
      </c>
      <c r="Q4230">
        <v>12.93</v>
      </c>
      <c r="R4230">
        <v>12.93</v>
      </c>
      <c r="S4230">
        <v>1.78</v>
      </c>
      <c r="T4230">
        <v>0.4</v>
      </c>
      <c r="U4230">
        <v>-44.73</v>
      </c>
      <c r="V4230">
        <v>-681</v>
      </c>
      <c r="W4230">
        <v>12.93</v>
      </c>
      <c r="X4230" t="s">
        <v>2807</v>
      </c>
      <c r="Y4230" t="s">
        <v>2147</v>
      </c>
      <c r="Z4230">
        <v>1.04</v>
      </c>
      <c r="AA4230">
        <v>59</v>
      </c>
      <c r="AB4230">
        <v>384</v>
      </c>
      <c r="AC4230">
        <v>2.55</v>
      </c>
      <c r="AD4230" t="s">
        <v>20021</v>
      </c>
      <c r="AE4230" t="s">
        <v>20022</v>
      </c>
      <c r="AF4230" t="s">
        <v>20023</v>
      </c>
      <c r="AG4230" t="s">
        <v>16985</v>
      </c>
      <c r="AH4230">
        <v>-1.07</v>
      </c>
      <c r="AI4230">
        <v>-0.15</v>
      </c>
      <c r="AJ4230">
        <v>3.81</v>
      </c>
      <c r="AK4230">
        <v>13.1</v>
      </c>
      <c r="AL4230">
        <v>2</v>
      </c>
      <c r="AM4230">
        <v>0.23</v>
      </c>
      <c r="AN4230">
        <v>-9.87</v>
      </c>
      <c r="AO4230">
        <v>3.85</v>
      </c>
      <c r="AP4230">
        <v>-17.56</v>
      </c>
    </row>
    <row r="4231" spans="1:42">
      <c r="A4231">
        <v>4230</v>
      </c>
      <c r="B4231" t="str">
        <f>"300282"</f>
        <v>300282</v>
      </c>
      <c r="C4231" t="s">
        <v>20024</v>
      </c>
      <c r="D4231">
        <v>3.15</v>
      </c>
      <c r="E4231">
        <v>3.96</v>
      </c>
      <c r="F4231">
        <v>0.12</v>
      </c>
      <c r="G4231" t="s">
        <v>8379</v>
      </c>
      <c r="H4231">
        <v>2336</v>
      </c>
      <c r="I4231">
        <v>3.15</v>
      </c>
      <c r="J4231">
        <v>3.16</v>
      </c>
      <c r="K4231" t="s">
        <v>20025</v>
      </c>
      <c r="L4231">
        <v>2.38</v>
      </c>
      <c r="M4231" t="s">
        <v>46</v>
      </c>
      <c r="N4231" t="s">
        <v>6633</v>
      </c>
      <c r="O4231">
        <v>3.24</v>
      </c>
      <c r="P4231">
        <v>3.01</v>
      </c>
      <c r="Q4231">
        <v>3.04</v>
      </c>
      <c r="R4231">
        <v>3.03</v>
      </c>
      <c r="S4231">
        <v>7.59</v>
      </c>
      <c r="T4231">
        <v>1.89</v>
      </c>
      <c r="U4231">
        <v>-64.94</v>
      </c>
      <c r="V4231">
        <v>-5909</v>
      </c>
      <c r="W4231">
        <v>3.15</v>
      </c>
      <c r="X4231" t="s">
        <v>6302</v>
      </c>
      <c r="Y4231" t="s">
        <v>5917</v>
      </c>
      <c r="Z4231">
        <v>0.75</v>
      </c>
      <c r="AA4231">
        <v>123</v>
      </c>
      <c r="AB4231">
        <v>2225</v>
      </c>
      <c r="AC4231">
        <v>0.9</v>
      </c>
      <c r="AD4231" t="s">
        <v>20026</v>
      </c>
      <c r="AE4231" t="s">
        <v>10679</v>
      </c>
      <c r="AF4231" t="s">
        <v>20026</v>
      </c>
      <c r="AG4231" t="s">
        <v>10679</v>
      </c>
      <c r="AH4231">
        <v>7.14</v>
      </c>
      <c r="AI4231">
        <v>5.7</v>
      </c>
      <c r="AJ4231">
        <v>5.29</v>
      </c>
      <c r="AK4231">
        <v>8.69</v>
      </c>
      <c r="AL4231">
        <v>2</v>
      </c>
      <c r="AM4231">
        <v>3.96</v>
      </c>
      <c r="AN4231">
        <v>-38.24</v>
      </c>
      <c r="AO4231">
        <v>-4.26</v>
      </c>
      <c r="AP4231">
        <v>-47.5</v>
      </c>
    </row>
    <row r="4232" spans="1:42">
      <c r="A4232">
        <v>4231</v>
      </c>
      <c r="B4232" t="str">
        <f>"839273"</f>
        <v>839273</v>
      </c>
      <c r="C4232" t="s">
        <v>20027</v>
      </c>
      <c r="D4232">
        <v>12.58</v>
      </c>
      <c r="E4232">
        <v>-3.97</v>
      </c>
      <c r="F4232">
        <v>-0.52</v>
      </c>
      <c r="G4232" t="s">
        <v>2716</v>
      </c>
      <c r="H4232">
        <v>43</v>
      </c>
      <c r="I4232">
        <v>12.58</v>
      </c>
      <c r="J4232">
        <v>12.62</v>
      </c>
      <c r="K4232" t="s">
        <v>20025</v>
      </c>
      <c r="L4232">
        <v>8.1</v>
      </c>
      <c r="M4232" t="s">
        <v>46</v>
      </c>
      <c r="N4232" t="s">
        <v>3987</v>
      </c>
      <c r="O4232">
        <v>13.69</v>
      </c>
      <c r="P4232">
        <v>12.54</v>
      </c>
      <c r="Q4232">
        <v>13</v>
      </c>
      <c r="R4232">
        <v>13.1</v>
      </c>
      <c r="S4232">
        <v>8.78</v>
      </c>
      <c r="T4232">
        <v>0.69</v>
      </c>
      <c r="U4232">
        <v>-83.62</v>
      </c>
      <c r="V4232">
        <v>-717</v>
      </c>
      <c r="W4232">
        <v>13.14</v>
      </c>
      <c r="X4232" t="s">
        <v>682</v>
      </c>
      <c r="Y4232">
        <v>8759</v>
      </c>
      <c r="Z4232">
        <v>1.44</v>
      </c>
      <c r="AA4232">
        <v>7</v>
      </c>
      <c r="AB4232">
        <v>1</v>
      </c>
      <c r="AC4232">
        <v>1.63</v>
      </c>
      <c r="AD4232" t="s">
        <v>20028</v>
      </c>
      <c r="AE4232" t="s">
        <v>20029</v>
      </c>
      <c r="AF4232" t="s">
        <v>20030</v>
      </c>
      <c r="AG4232" t="s">
        <v>20031</v>
      </c>
      <c r="AH4232">
        <v>-8.18</v>
      </c>
      <c r="AI4232">
        <v>6.61</v>
      </c>
      <c r="AJ4232">
        <v>23.01</v>
      </c>
      <c r="AK4232">
        <v>66.48</v>
      </c>
      <c r="AL4232">
        <v>-1</v>
      </c>
      <c r="AM4232">
        <v>-3.97</v>
      </c>
      <c r="AN4232">
        <v>-52.31</v>
      </c>
      <c r="AO4232">
        <v>36.74</v>
      </c>
      <c r="AP4232">
        <v>-52.31</v>
      </c>
    </row>
    <row r="4233" spans="1:42">
      <c r="A4233">
        <v>4232</v>
      </c>
      <c r="B4233" t="str">
        <f>"300843"</f>
        <v>300843</v>
      </c>
      <c r="C4233" t="s">
        <v>20032</v>
      </c>
      <c r="D4233">
        <v>22.61</v>
      </c>
      <c r="E4233">
        <v>-1.14</v>
      </c>
      <c r="F4233">
        <v>-0.26</v>
      </c>
      <c r="G4233" t="s">
        <v>905</v>
      </c>
      <c r="H4233">
        <v>183</v>
      </c>
      <c r="I4233">
        <v>22.61</v>
      </c>
      <c r="J4233">
        <v>22.62</v>
      </c>
      <c r="K4233" t="s">
        <v>20033</v>
      </c>
      <c r="L4233">
        <v>0.88</v>
      </c>
      <c r="M4233" t="s">
        <v>46</v>
      </c>
      <c r="N4233" t="s">
        <v>13749</v>
      </c>
      <c r="O4233">
        <v>22.95</v>
      </c>
      <c r="P4233">
        <v>22.49</v>
      </c>
      <c r="Q4233">
        <v>22.87</v>
      </c>
      <c r="R4233">
        <v>22.87</v>
      </c>
      <c r="S4233">
        <v>2.01</v>
      </c>
      <c r="T4233">
        <v>0.72</v>
      </c>
      <c r="U4233">
        <v>11.27</v>
      </c>
      <c r="V4233">
        <v>16</v>
      </c>
      <c r="W4233">
        <v>22.63</v>
      </c>
      <c r="X4233">
        <v>6624</v>
      </c>
      <c r="Y4233">
        <v>5791</v>
      </c>
      <c r="Z4233">
        <v>1.14</v>
      </c>
      <c r="AA4233">
        <v>3</v>
      </c>
      <c r="AB4233">
        <v>14</v>
      </c>
      <c r="AC4233">
        <v>3.15</v>
      </c>
      <c r="AD4233" t="s">
        <v>3813</v>
      </c>
      <c r="AE4233" t="s">
        <v>8253</v>
      </c>
      <c r="AF4233" t="s">
        <v>20034</v>
      </c>
      <c r="AG4233" t="s">
        <v>20035</v>
      </c>
      <c r="AH4233">
        <v>-2.29</v>
      </c>
      <c r="AI4233">
        <v>-1.65</v>
      </c>
      <c r="AJ4233">
        <v>3.64</v>
      </c>
      <c r="AK4233">
        <v>6.93</v>
      </c>
      <c r="AL4233">
        <v>-2</v>
      </c>
      <c r="AM4233">
        <v>-1.14</v>
      </c>
      <c r="AN4233">
        <v>29.2</v>
      </c>
      <c r="AO4233">
        <v>3.48</v>
      </c>
      <c r="AP4233">
        <v>23.15</v>
      </c>
    </row>
    <row r="4234" spans="1:42">
      <c r="A4234">
        <v>4233</v>
      </c>
      <c r="B4234" t="str">
        <f>"871981"</f>
        <v>871981</v>
      </c>
      <c r="C4234" t="s">
        <v>20036</v>
      </c>
      <c r="D4234">
        <v>15.58</v>
      </c>
      <c r="E4234">
        <v>-0.06</v>
      </c>
      <c r="F4234">
        <v>-0.01</v>
      </c>
      <c r="G4234" t="s">
        <v>325</v>
      </c>
      <c r="H4234">
        <v>196</v>
      </c>
      <c r="I4234">
        <v>15.56</v>
      </c>
      <c r="J4234">
        <v>15.58</v>
      </c>
      <c r="K4234" t="s">
        <v>20037</v>
      </c>
      <c r="L4234">
        <v>4.94</v>
      </c>
      <c r="M4234" t="s">
        <v>46</v>
      </c>
      <c r="N4234" t="s">
        <v>5490</v>
      </c>
      <c r="O4234">
        <v>15.75</v>
      </c>
      <c r="P4234">
        <v>15.05</v>
      </c>
      <c r="Q4234">
        <v>15.61</v>
      </c>
      <c r="R4234">
        <v>15.59</v>
      </c>
      <c r="S4234">
        <v>4.49</v>
      </c>
      <c r="T4234">
        <v>0.57</v>
      </c>
      <c r="U4234">
        <v>-89.74</v>
      </c>
      <c r="V4234">
        <v>-1337</v>
      </c>
      <c r="W4234">
        <v>15.31</v>
      </c>
      <c r="X4234" t="s">
        <v>2074</v>
      </c>
      <c r="Y4234">
        <v>8265</v>
      </c>
      <c r="Z4234">
        <v>1.22</v>
      </c>
      <c r="AA4234">
        <v>5</v>
      </c>
      <c r="AB4234">
        <v>184</v>
      </c>
      <c r="AC4234">
        <v>2.37</v>
      </c>
      <c r="AD4234" t="s">
        <v>20038</v>
      </c>
      <c r="AE4234" t="s">
        <v>15096</v>
      </c>
      <c r="AF4234" t="s">
        <v>18255</v>
      </c>
      <c r="AG4234" t="s">
        <v>20039</v>
      </c>
      <c r="AH4234">
        <v>0.06</v>
      </c>
      <c r="AI4234">
        <v>12.09</v>
      </c>
      <c r="AJ4234">
        <v>17.92</v>
      </c>
      <c r="AK4234">
        <v>48.26</v>
      </c>
      <c r="AL4234">
        <v>-2</v>
      </c>
      <c r="AM4234">
        <v>-0.06</v>
      </c>
      <c r="AN4234">
        <v>29.51</v>
      </c>
      <c r="AO4234">
        <v>40.87</v>
      </c>
      <c r="AP4234">
        <v>16.18</v>
      </c>
    </row>
    <row r="4235" spans="1:42">
      <c r="A4235">
        <v>4234</v>
      </c>
      <c r="B4235" t="str">
        <f>"301217"</f>
        <v>301217</v>
      </c>
      <c r="C4235" t="s">
        <v>20040</v>
      </c>
      <c r="D4235">
        <v>12.1</v>
      </c>
      <c r="E4235">
        <v>0.75</v>
      </c>
      <c r="F4235">
        <v>0.09</v>
      </c>
      <c r="G4235" t="s">
        <v>5710</v>
      </c>
      <c r="H4235">
        <v>158</v>
      </c>
      <c r="I4235">
        <v>12.1</v>
      </c>
      <c r="J4235">
        <v>12.11</v>
      </c>
      <c r="K4235" t="s">
        <v>20041</v>
      </c>
      <c r="L4235">
        <v>1.02</v>
      </c>
      <c r="M4235" t="s">
        <v>46</v>
      </c>
      <c r="N4235" t="s">
        <v>2909</v>
      </c>
      <c r="O4235">
        <v>12.13</v>
      </c>
      <c r="P4235">
        <v>11.95</v>
      </c>
      <c r="Q4235">
        <v>12.03</v>
      </c>
      <c r="R4235">
        <v>12.01</v>
      </c>
      <c r="S4235">
        <v>1.5</v>
      </c>
      <c r="T4235">
        <v>0.95</v>
      </c>
      <c r="U4235">
        <v>-29.56</v>
      </c>
      <c r="V4235">
        <v>-501</v>
      </c>
      <c r="W4235">
        <v>12.03</v>
      </c>
      <c r="X4235" t="s">
        <v>1400</v>
      </c>
      <c r="Y4235" t="s">
        <v>209</v>
      </c>
      <c r="Z4235">
        <v>0.82</v>
      </c>
      <c r="AA4235">
        <v>34</v>
      </c>
      <c r="AB4235">
        <v>146</v>
      </c>
      <c r="AC4235">
        <v>1.8</v>
      </c>
      <c r="AD4235" t="s">
        <v>6010</v>
      </c>
      <c r="AE4235" t="s">
        <v>7658</v>
      </c>
      <c r="AF4235" t="s">
        <v>12788</v>
      </c>
      <c r="AG4235" t="s">
        <v>20042</v>
      </c>
      <c r="AH4235">
        <v>-1.39</v>
      </c>
      <c r="AI4235">
        <v>-1.63</v>
      </c>
      <c r="AJ4235">
        <v>3.2</v>
      </c>
      <c r="AK4235">
        <v>6.38</v>
      </c>
      <c r="AL4235">
        <v>1</v>
      </c>
      <c r="AM4235">
        <v>0.75</v>
      </c>
      <c r="AN4235">
        <v>-1.55</v>
      </c>
      <c r="AO4235">
        <v>0.25</v>
      </c>
      <c r="AP4235">
        <v>-10.83</v>
      </c>
    </row>
    <row r="4236" spans="1:42">
      <c r="A4236">
        <v>4235</v>
      </c>
      <c r="B4236" t="str">
        <f>"603931"</f>
        <v>603931</v>
      </c>
      <c r="C4236" t="s">
        <v>20043</v>
      </c>
      <c r="D4236">
        <v>28</v>
      </c>
      <c r="E4236">
        <v>-1.16</v>
      </c>
      <c r="F4236">
        <v>-0.33</v>
      </c>
      <c r="G4236" t="s">
        <v>2615</v>
      </c>
      <c r="H4236">
        <v>121</v>
      </c>
      <c r="I4236">
        <v>28</v>
      </c>
      <c r="J4236">
        <v>28.01</v>
      </c>
      <c r="K4236" t="s">
        <v>20044</v>
      </c>
      <c r="L4236">
        <v>0.5</v>
      </c>
      <c r="M4236" t="s">
        <v>46</v>
      </c>
      <c r="N4236" t="s">
        <v>4496</v>
      </c>
      <c r="O4236">
        <v>28.49</v>
      </c>
      <c r="P4236">
        <v>27.83</v>
      </c>
      <c r="Q4236">
        <v>28.36</v>
      </c>
      <c r="R4236">
        <v>28.33</v>
      </c>
      <c r="S4236">
        <v>2.33</v>
      </c>
      <c r="T4236">
        <v>0.8</v>
      </c>
      <c r="U4236">
        <v>39.63</v>
      </c>
      <c r="V4236">
        <v>133</v>
      </c>
      <c r="W4236">
        <v>28.02</v>
      </c>
      <c r="X4236">
        <v>5399</v>
      </c>
      <c r="Y4236">
        <v>4612</v>
      </c>
      <c r="Z4236">
        <v>1.17</v>
      </c>
      <c r="AA4236">
        <v>123</v>
      </c>
      <c r="AB4236">
        <v>8</v>
      </c>
      <c r="AC4236">
        <v>3.94</v>
      </c>
      <c r="AD4236" t="s">
        <v>20045</v>
      </c>
      <c r="AE4236" t="s">
        <v>6163</v>
      </c>
      <c r="AF4236" t="s">
        <v>20045</v>
      </c>
      <c r="AG4236" t="s">
        <v>6163</v>
      </c>
      <c r="AH4236">
        <v>-4.96</v>
      </c>
      <c r="AI4236">
        <v>-4.5</v>
      </c>
      <c r="AJ4236">
        <v>2.38</v>
      </c>
      <c r="AK4236">
        <v>3.64</v>
      </c>
      <c r="AL4236">
        <v>-2</v>
      </c>
      <c r="AM4236">
        <v>-1.16</v>
      </c>
      <c r="AN4236">
        <v>3.97</v>
      </c>
      <c r="AO4236">
        <v>-6.29</v>
      </c>
      <c r="AP4236">
        <v>-9.06</v>
      </c>
    </row>
    <row r="4237" spans="1:42">
      <c r="A4237">
        <v>4236</v>
      </c>
      <c r="B4237" t="str">
        <f>"600429"</f>
        <v>600429</v>
      </c>
      <c r="C4237" t="s">
        <v>20046</v>
      </c>
      <c r="D4237">
        <v>4.79</v>
      </c>
      <c r="E4237">
        <v>-0.21</v>
      </c>
      <c r="F4237">
        <v>-0.01</v>
      </c>
      <c r="G4237" t="s">
        <v>3030</v>
      </c>
      <c r="H4237">
        <v>250</v>
      </c>
      <c r="I4237">
        <v>4.79</v>
      </c>
      <c r="J4237">
        <v>4.8</v>
      </c>
      <c r="K4237" t="s">
        <v>20044</v>
      </c>
      <c r="L4237">
        <v>0.39</v>
      </c>
      <c r="M4237" t="s">
        <v>46</v>
      </c>
      <c r="N4237" t="s">
        <v>13570</v>
      </c>
      <c r="O4237">
        <v>4.86</v>
      </c>
      <c r="P4237">
        <v>4.76</v>
      </c>
      <c r="Q4237">
        <v>4.77</v>
      </c>
      <c r="R4237">
        <v>4.8</v>
      </c>
      <c r="S4237">
        <v>2.08</v>
      </c>
      <c r="T4237">
        <v>0.8</v>
      </c>
      <c r="U4237">
        <v>8.86</v>
      </c>
      <c r="V4237">
        <v>674</v>
      </c>
      <c r="W4237">
        <v>4.81</v>
      </c>
      <c r="X4237" t="s">
        <v>2727</v>
      </c>
      <c r="Y4237" t="s">
        <v>7649</v>
      </c>
      <c r="Z4237">
        <v>0.97</v>
      </c>
      <c r="AA4237">
        <v>1404</v>
      </c>
      <c r="AB4237">
        <v>523</v>
      </c>
      <c r="AC4237">
        <v>1.4</v>
      </c>
      <c r="AD4237" t="s">
        <v>11543</v>
      </c>
      <c r="AE4237" t="s">
        <v>20047</v>
      </c>
      <c r="AF4237" t="s">
        <v>7019</v>
      </c>
      <c r="AG4237" t="s">
        <v>7239</v>
      </c>
      <c r="AH4237">
        <v>-0.42</v>
      </c>
      <c r="AI4237">
        <v>-0.42</v>
      </c>
      <c r="AJ4237">
        <v>1.21</v>
      </c>
      <c r="AK4237">
        <v>2.84</v>
      </c>
      <c r="AL4237">
        <v>-1</v>
      </c>
      <c r="AM4237">
        <v>-0.21</v>
      </c>
      <c r="AN4237">
        <v>-9.79</v>
      </c>
      <c r="AO4237">
        <v>1.48</v>
      </c>
      <c r="AP4237">
        <v>5.27</v>
      </c>
    </row>
    <row r="4238" spans="1:42">
      <c r="A4238">
        <v>4237</v>
      </c>
      <c r="B4238" t="str">
        <f>"603661"</f>
        <v>603661</v>
      </c>
      <c r="C4238" t="s">
        <v>20048</v>
      </c>
      <c r="D4238">
        <v>31.1</v>
      </c>
      <c r="E4238">
        <v>0.26</v>
      </c>
      <c r="F4238">
        <v>0.08</v>
      </c>
      <c r="G4238">
        <v>9041</v>
      </c>
      <c r="H4238">
        <v>32</v>
      </c>
      <c r="I4238">
        <v>31.06</v>
      </c>
      <c r="J4238">
        <v>31.1</v>
      </c>
      <c r="K4238" t="s">
        <v>20044</v>
      </c>
      <c r="L4238">
        <v>0.65</v>
      </c>
      <c r="M4238" t="s">
        <v>46</v>
      </c>
      <c r="N4238" t="s">
        <v>17106</v>
      </c>
      <c r="O4238">
        <v>31.23</v>
      </c>
      <c r="P4238">
        <v>30.64</v>
      </c>
      <c r="Q4238">
        <v>31.02</v>
      </c>
      <c r="R4238">
        <v>31.02</v>
      </c>
      <c r="S4238">
        <v>1.9</v>
      </c>
      <c r="T4238">
        <v>1.48</v>
      </c>
      <c r="U4238">
        <v>29.51</v>
      </c>
      <c r="V4238">
        <v>36</v>
      </c>
      <c r="W4238">
        <v>31.02</v>
      </c>
      <c r="X4238">
        <v>4960</v>
      </c>
      <c r="Y4238">
        <v>4081</v>
      </c>
      <c r="Z4238">
        <v>1.22</v>
      </c>
      <c r="AA4238">
        <v>16</v>
      </c>
      <c r="AB4238">
        <v>15</v>
      </c>
      <c r="AC4238">
        <v>1.19</v>
      </c>
      <c r="AD4238" t="s">
        <v>16332</v>
      </c>
      <c r="AE4238" t="s">
        <v>12792</v>
      </c>
      <c r="AF4238" t="s">
        <v>16332</v>
      </c>
      <c r="AG4238" t="s">
        <v>12792</v>
      </c>
      <c r="AH4238">
        <v>-0.7</v>
      </c>
      <c r="AI4238">
        <v>-0.89</v>
      </c>
      <c r="AJ4238">
        <v>1.35</v>
      </c>
      <c r="AK4238">
        <v>2.85</v>
      </c>
      <c r="AL4238">
        <v>1</v>
      </c>
      <c r="AM4238">
        <v>0.26</v>
      </c>
      <c r="AN4238">
        <v>13.13</v>
      </c>
      <c r="AO4238">
        <v>2.74</v>
      </c>
      <c r="AP4238">
        <v>4.93</v>
      </c>
    </row>
    <row r="4239" spans="1:42">
      <c r="A4239">
        <v>4238</v>
      </c>
      <c r="B4239" t="str">
        <f>"000691"</f>
        <v>000691</v>
      </c>
      <c r="C4239" t="s">
        <v>20049</v>
      </c>
      <c r="D4239">
        <v>5</v>
      </c>
      <c r="E4239">
        <v>0.2</v>
      </c>
      <c r="F4239">
        <v>0.01</v>
      </c>
      <c r="G4239" t="s">
        <v>5064</v>
      </c>
      <c r="H4239">
        <v>180</v>
      </c>
      <c r="I4239">
        <v>4.99</v>
      </c>
      <c r="J4239">
        <v>5</v>
      </c>
      <c r="K4239" t="s">
        <v>20050</v>
      </c>
      <c r="L4239">
        <v>1.73</v>
      </c>
      <c r="M4239" t="s">
        <v>46</v>
      </c>
      <c r="N4239" t="s">
        <v>3818</v>
      </c>
      <c r="O4239">
        <v>5.04</v>
      </c>
      <c r="P4239">
        <v>4.95</v>
      </c>
      <c r="Q4239">
        <v>5.03</v>
      </c>
      <c r="R4239">
        <v>4.99</v>
      </c>
      <c r="S4239">
        <v>1.8</v>
      </c>
      <c r="T4239">
        <v>1.09</v>
      </c>
      <c r="U4239">
        <v>-1.1</v>
      </c>
      <c r="V4239">
        <v>-44</v>
      </c>
      <c r="W4239">
        <v>5</v>
      </c>
      <c r="X4239" t="s">
        <v>8966</v>
      </c>
      <c r="Y4239" t="s">
        <v>5553</v>
      </c>
      <c r="Z4239">
        <v>1.02</v>
      </c>
      <c r="AA4239">
        <v>485</v>
      </c>
      <c r="AB4239">
        <v>122</v>
      </c>
      <c r="AC4239">
        <v>27.23</v>
      </c>
      <c r="AD4239" t="s">
        <v>20051</v>
      </c>
      <c r="AE4239" t="s">
        <v>6115</v>
      </c>
      <c r="AF4239" t="s">
        <v>20051</v>
      </c>
      <c r="AG4239" t="s">
        <v>6115</v>
      </c>
      <c r="AH4239">
        <v>-1.96</v>
      </c>
      <c r="AI4239">
        <v>-1.57</v>
      </c>
      <c r="AJ4239">
        <v>4.92</v>
      </c>
      <c r="AK4239">
        <v>9.69</v>
      </c>
      <c r="AL4239">
        <v>1</v>
      </c>
      <c r="AM4239">
        <v>0.2</v>
      </c>
      <c r="AN4239">
        <v>10.13</v>
      </c>
      <c r="AO4239">
        <v>6.38</v>
      </c>
      <c r="AP4239">
        <v>7.76</v>
      </c>
    </row>
    <row r="4240" spans="1:42">
      <c r="A4240">
        <v>4239</v>
      </c>
      <c r="B4240" t="str">
        <f>"300614"</f>
        <v>300614</v>
      </c>
      <c r="C4240" t="s">
        <v>20052</v>
      </c>
      <c r="D4240">
        <v>21.62</v>
      </c>
      <c r="E4240">
        <v>-0.09</v>
      </c>
      <c r="F4240">
        <v>-0.02</v>
      </c>
      <c r="G4240" t="s">
        <v>9445</v>
      </c>
      <c r="H4240">
        <v>383</v>
      </c>
      <c r="I4240">
        <v>21.61</v>
      </c>
      <c r="J4240">
        <v>21.62</v>
      </c>
      <c r="K4240" t="s">
        <v>20053</v>
      </c>
      <c r="L4240">
        <v>1.46</v>
      </c>
      <c r="M4240" t="s">
        <v>46</v>
      </c>
      <c r="N4240" t="s">
        <v>4714</v>
      </c>
      <c r="O4240">
        <v>21.74</v>
      </c>
      <c r="P4240">
        <v>21.38</v>
      </c>
      <c r="Q4240">
        <v>21.64</v>
      </c>
      <c r="R4240">
        <v>21.64</v>
      </c>
      <c r="S4240">
        <v>1.66</v>
      </c>
      <c r="T4240">
        <v>0.51</v>
      </c>
      <c r="U4240">
        <v>11.55</v>
      </c>
      <c r="V4240">
        <v>94</v>
      </c>
      <c r="W4240">
        <v>21.57</v>
      </c>
      <c r="X4240">
        <v>6853</v>
      </c>
      <c r="Y4240">
        <v>6139</v>
      </c>
      <c r="Z4240">
        <v>1.12</v>
      </c>
      <c r="AA4240">
        <v>159</v>
      </c>
      <c r="AB4240">
        <v>255</v>
      </c>
      <c r="AC4240">
        <v>2.28</v>
      </c>
      <c r="AD4240" t="s">
        <v>17515</v>
      </c>
      <c r="AE4240" t="s">
        <v>6253</v>
      </c>
      <c r="AF4240" t="s">
        <v>20054</v>
      </c>
      <c r="AG4240" t="s">
        <v>4834</v>
      </c>
      <c r="AH4240">
        <v>-2.83</v>
      </c>
      <c r="AI4240">
        <v>-7.01</v>
      </c>
      <c r="AJ4240">
        <v>5.66</v>
      </c>
      <c r="AK4240">
        <v>15.66</v>
      </c>
      <c r="AL4240">
        <v>-3</v>
      </c>
      <c r="AM4240">
        <v>-0.09</v>
      </c>
      <c r="AN4240">
        <v>-4.12</v>
      </c>
      <c r="AO4240">
        <v>-10.7</v>
      </c>
      <c r="AP4240">
        <v>-11.97</v>
      </c>
    </row>
    <row r="4241" spans="1:42">
      <c r="A4241">
        <v>4240</v>
      </c>
      <c r="B4241" t="str">
        <f>"600654"</f>
        <v>600654</v>
      </c>
      <c r="C4241" t="s">
        <v>20055</v>
      </c>
      <c r="D4241">
        <v>2.44</v>
      </c>
      <c r="E4241">
        <v>2.52</v>
      </c>
      <c r="F4241">
        <v>0.06</v>
      </c>
      <c r="G4241" t="s">
        <v>4356</v>
      </c>
      <c r="H4241">
        <v>1528</v>
      </c>
      <c r="I4241">
        <v>2.44</v>
      </c>
      <c r="J4241">
        <v>2.45</v>
      </c>
      <c r="K4241" t="s">
        <v>20056</v>
      </c>
      <c r="L4241">
        <v>0.5</v>
      </c>
      <c r="M4241" t="s">
        <v>46</v>
      </c>
      <c r="N4241" t="s">
        <v>360</v>
      </c>
      <c r="O4241">
        <v>2.47</v>
      </c>
      <c r="P4241">
        <v>2.37</v>
      </c>
      <c r="Q4241">
        <v>2.37</v>
      </c>
      <c r="R4241">
        <v>2.38</v>
      </c>
      <c r="S4241">
        <v>4.2</v>
      </c>
      <c r="T4241">
        <v>1.99</v>
      </c>
      <c r="U4241">
        <v>-57.58</v>
      </c>
      <c r="V4241" t="s">
        <v>20057</v>
      </c>
      <c r="W4241">
        <v>2.44</v>
      </c>
      <c r="X4241" t="s">
        <v>4096</v>
      </c>
      <c r="Y4241" t="s">
        <v>1605</v>
      </c>
      <c r="Z4241">
        <v>0.77</v>
      </c>
      <c r="AA4241">
        <v>923</v>
      </c>
      <c r="AB4241">
        <v>2846</v>
      </c>
      <c r="AC4241">
        <v>4.62</v>
      </c>
      <c r="AD4241" t="s">
        <v>20058</v>
      </c>
      <c r="AE4241" t="s">
        <v>20059</v>
      </c>
      <c r="AF4241" t="s">
        <v>7124</v>
      </c>
      <c r="AG4241" t="s">
        <v>1921</v>
      </c>
      <c r="AH4241">
        <v>3.83</v>
      </c>
      <c r="AI4241">
        <v>4.72</v>
      </c>
      <c r="AJ4241">
        <v>1.05</v>
      </c>
      <c r="AK4241">
        <v>1.77</v>
      </c>
      <c r="AL4241">
        <v>4</v>
      </c>
      <c r="AM4241">
        <v>2.52</v>
      </c>
      <c r="AN4241">
        <v>-3.94</v>
      </c>
      <c r="AO4241">
        <v>7.02</v>
      </c>
      <c r="AP4241">
        <v>-5.79</v>
      </c>
    </row>
    <row r="4242" spans="1:42">
      <c r="A4242">
        <v>4241</v>
      </c>
      <c r="B4242" t="str">
        <f>"688317"</f>
        <v>688317</v>
      </c>
      <c r="C4242" t="s">
        <v>20060</v>
      </c>
      <c r="D4242">
        <v>23.24</v>
      </c>
      <c r="E4242">
        <v>1</v>
      </c>
      <c r="F4242">
        <v>0.23</v>
      </c>
      <c r="G4242" t="s">
        <v>1052</v>
      </c>
      <c r="H4242">
        <v>72</v>
      </c>
      <c r="I4242">
        <v>23.24</v>
      </c>
      <c r="J4242">
        <v>23.26</v>
      </c>
      <c r="K4242" t="s">
        <v>20056</v>
      </c>
      <c r="L4242">
        <v>0.98</v>
      </c>
      <c r="M4242" t="s">
        <v>46</v>
      </c>
      <c r="N4242" t="s">
        <v>6773</v>
      </c>
      <c r="O4242">
        <v>23.27</v>
      </c>
      <c r="P4242">
        <v>22.73</v>
      </c>
      <c r="Q4242">
        <v>22.99</v>
      </c>
      <c r="R4242">
        <v>23.01</v>
      </c>
      <c r="S4242">
        <v>2.35</v>
      </c>
      <c r="T4242">
        <v>0.9</v>
      </c>
      <c r="U4242">
        <v>-50.76</v>
      </c>
      <c r="V4242">
        <v>-307</v>
      </c>
      <c r="W4242">
        <v>23.05</v>
      </c>
      <c r="X4242">
        <v>5605</v>
      </c>
      <c r="Y4242">
        <v>6541</v>
      </c>
      <c r="Z4242">
        <v>0.86</v>
      </c>
      <c r="AA4242">
        <v>52</v>
      </c>
      <c r="AB4242">
        <v>18</v>
      </c>
      <c r="AC4242">
        <v>1.13</v>
      </c>
      <c r="AD4242" t="s">
        <v>4091</v>
      </c>
      <c r="AE4242" t="s">
        <v>20061</v>
      </c>
      <c r="AF4242" t="s">
        <v>5536</v>
      </c>
      <c r="AG4242" t="s">
        <v>15462</v>
      </c>
      <c r="AH4242">
        <v>-0.68</v>
      </c>
      <c r="AI4242">
        <v>-1.53</v>
      </c>
      <c r="AJ4242">
        <v>2.5</v>
      </c>
      <c r="AK4242">
        <v>6.42</v>
      </c>
      <c r="AL4242">
        <v>2</v>
      </c>
      <c r="AM4242">
        <v>1</v>
      </c>
      <c r="AN4242">
        <v>-27.83</v>
      </c>
      <c r="AO4242">
        <v>4.08</v>
      </c>
      <c r="AP4242">
        <v>-37.27</v>
      </c>
    </row>
    <row r="4243" spans="1:42">
      <c r="A4243">
        <v>4242</v>
      </c>
      <c r="B4243" t="str">
        <f>"300121"</f>
        <v>300121</v>
      </c>
      <c r="C4243" t="s">
        <v>20062</v>
      </c>
      <c r="D4243">
        <v>9.45</v>
      </c>
      <c r="E4243">
        <v>0.53</v>
      </c>
      <c r="F4243">
        <v>0.05</v>
      </c>
      <c r="G4243" t="s">
        <v>2125</v>
      </c>
      <c r="H4243">
        <v>525</v>
      </c>
      <c r="I4243">
        <v>9.44</v>
      </c>
      <c r="J4243">
        <v>9.45</v>
      </c>
      <c r="K4243" t="s">
        <v>20056</v>
      </c>
      <c r="L4243">
        <v>0.75</v>
      </c>
      <c r="M4243" t="s">
        <v>46</v>
      </c>
      <c r="N4243" t="s">
        <v>19968</v>
      </c>
      <c r="O4243">
        <v>9.48</v>
      </c>
      <c r="P4243">
        <v>9.35</v>
      </c>
      <c r="Q4243">
        <v>9.39</v>
      </c>
      <c r="R4243">
        <v>9.4</v>
      </c>
      <c r="S4243">
        <v>1.38</v>
      </c>
      <c r="T4243">
        <v>0.41</v>
      </c>
      <c r="U4243">
        <v>-8.7</v>
      </c>
      <c r="V4243">
        <v>-236</v>
      </c>
      <c r="W4243">
        <v>9.42</v>
      </c>
      <c r="X4243" t="s">
        <v>6656</v>
      </c>
      <c r="Y4243" t="s">
        <v>905</v>
      </c>
      <c r="Z4243">
        <v>1.39</v>
      </c>
      <c r="AA4243">
        <v>15</v>
      </c>
      <c r="AB4243">
        <v>242</v>
      </c>
      <c r="AC4243">
        <v>1.3</v>
      </c>
      <c r="AD4243" t="s">
        <v>19155</v>
      </c>
      <c r="AE4243" t="s">
        <v>20063</v>
      </c>
      <c r="AF4243" t="s">
        <v>17626</v>
      </c>
      <c r="AG4243" t="s">
        <v>20064</v>
      </c>
      <c r="AH4243">
        <v>-1.87</v>
      </c>
      <c r="AI4243">
        <v>-6.62</v>
      </c>
      <c r="AJ4243">
        <v>2.98</v>
      </c>
      <c r="AK4243">
        <v>9.94</v>
      </c>
      <c r="AL4243">
        <v>1</v>
      </c>
      <c r="AM4243">
        <v>0.53</v>
      </c>
      <c r="AN4243">
        <v>-6.99</v>
      </c>
      <c r="AO4243">
        <v>1.18</v>
      </c>
      <c r="AP4243">
        <v>-17.32</v>
      </c>
    </row>
    <row r="4244" spans="1:42">
      <c r="A4244">
        <v>4243</v>
      </c>
      <c r="B4244" t="str">
        <f>"603558"</f>
        <v>603558</v>
      </c>
      <c r="C4244" t="s">
        <v>20065</v>
      </c>
      <c r="D4244">
        <v>9.71</v>
      </c>
      <c r="E4244">
        <v>-0.72</v>
      </c>
      <c r="F4244">
        <v>-0.07</v>
      </c>
      <c r="G4244" t="s">
        <v>2727</v>
      </c>
      <c r="H4244">
        <v>122</v>
      </c>
      <c r="I4244">
        <v>9.7</v>
      </c>
      <c r="J4244">
        <v>9.71</v>
      </c>
      <c r="K4244" t="s">
        <v>20066</v>
      </c>
      <c r="L4244">
        <v>0.78</v>
      </c>
      <c r="M4244" t="s">
        <v>46</v>
      </c>
      <c r="N4244" t="s">
        <v>4071</v>
      </c>
      <c r="O4244">
        <v>9.8</v>
      </c>
      <c r="P4244">
        <v>9.65</v>
      </c>
      <c r="Q4244">
        <v>9.76</v>
      </c>
      <c r="R4244">
        <v>9.78</v>
      </c>
      <c r="S4244">
        <v>1.53</v>
      </c>
      <c r="T4244">
        <v>0.61</v>
      </c>
      <c r="U4244">
        <v>-8.38</v>
      </c>
      <c r="V4244">
        <v>-95</v>
      </c>
      <c r="W4244">
        <v>9.71</v>
      </c>
      <c r="X4244" t="s">
        <v>4943</v>
      </c>
      <c r="Y4244" t="s">
        <v>2547</v>
      </c>
      <c r="Z4244">
        <v>1.3</v>
      </c>
      <c r="AA4244">
        <v>28</v>
      </c>
      <c r="AB4244">
        <v>4</v>
      </c>
      <c r="AC4244">
        <v>1.52</v>
      </c>
      <c r="AD4244" t="s">
        <v>17295</v>
      </c>
      <c r="AE4244" t="s">
        <v>9873</v>
      </c>
      <c r="AF4244" t="s">
        <v>17295</v>
      </c>
      <c r="AG4244" t="s">
        <v>9873</v>
      </c>
      <c r="AH4244">
        <v>-0.31</v>
      </c>
      <c r="AI4244">
        <v>4.18</v>
      </c>
      <c r="AJ4244">
        <v>2.67</v>
      </c>
      <c r="AK4244">
        <v>7.16</v>
      </c>
      <c r="AL4244">
        <v>-1</v>
      </c>
      <c r="AM4244">
        <v>-0.72</v>
      </c>
      <c r="AN4244">
        <v>27.93</v>
      </c>
      <c r="AO4244">
        <v>8.98</v>
      </c>
      <c r="AP4244">
        <v>25.29</v>
      </c>
    </row>
    <row r="4245" spans="1:42">
      <c r="A4245">
        <v>4244</v>
      </c>
      <c r="B4245" t="str">
        <f>"870976"</f>
        <v>870976</v>
      </c>
      <c r="C4245" t="s">
        <v>20067</v>
      </c>
      <c r="D4245">
        <v>12.54</v>
      </c>
      <c r="E4245">
        <v>-6.84</v>
      </c>
      <c r="F4245">
        <v>-0.92</v>
      </c>
      <c r="G4245" t="s">
        <v>3116</v>
      </c>
      <c r="H4245">
        <v>595</v>
      </c>
      <c r="I4245">
        <v>12.54</v>
      </c>
      <c r="J4245">
        <v>12.58</v>
      </c>
      <c r="K4245" t="s">
        <v>20066</v>
      </c>
      <c r="L4245">
        <v>13.41</v>
      </c>
      <c r="M4245" t="s">
        <v>46</v>
      </c>
      <c r="N4245" t="s">
        <v>7870</v>
      </c>
      <c r="O4245">
        <v>13.89</v>
      </c>
      <c r="P4245">
        <v>12.51</v>
      </c>
      <c r="Q4245">
        <v>13.5</v>
      </c>
      <c r="R4245">
        <v>13.46</v>
      </c>
      <c r="S4245">
        <v>10.25</v>
      </c>
      <c r="T4245">
        <v>0.42</v>
      </c>
      <c r="U4245">
        <v>34.48</v>
      </c>
      <c r="V4245">
        <v>165</v>
      </c>
      <c r="W4245">
        <v>13.13</v>
      </c>
      <c r="X4245" t="s">
        <v>209</v>
      </c>
      <c r="Y4245">
        <v>8518</v>
      </c>
      <c r="Z4245">
        <v>1.5</v>
      </c>
      <c r="AA4245">
        <v>30</v>
      </c>
      <c r="AB4245">
        <v>21</v>
      </c>
      <c r="AC4245">
        <v>2.51</v>
      </c>
      <c r="AD4245" t="s">
        <v>20068</v>
      </c>
      <c r="AE4245" t="s">
        <v>20069</v>
      </c>
      <c r="AF4245" t="s">
        <v>20070</v>
      </c>
      <c r="AG4245" t="s">
        <v>19384</v>
      </c>
      <c r="AH4245">
        <v>-22.21</v>
      </c>
      <c r="AI4245">
        <v>1.95</v>
      </c>
      <c r="AJ4245">
        <v>57.69</v>
      </c>
      <c r="AK4245">
        <v>173.05</v>
      </c>
      <c r="AL4245">
        <v>-4</v>
      </c>
      <c r="AM4245">
        <v>-6.84</v>
      </c>
      <c r="AN4245">
        <v>95.94</v>
      </c>
      <c r="AO4245">
        <v>41.53</v>
      </c>
      <c r="AP4245">
        <v>95.94</v>
      </c>
    </row>
    <row r="4246" spans="1:42">
      <c r="A4246">
        <v>4245</v>
      </c>
      <c r="B4246" t="str">
        <f>"603227"</f>
        <v>603227</v>
      </c>
      <c r="C4246" t="s">
        <v>20071</v>
      </c>
      <c r="D4246">
        <v>7.2</v>
      </c>
      <c r="E4246">
        <v>0</v>
      </c>
      <c r="F4246">
        <v>0</v>
      </c>
      <c r="G4246" t="s">
        <v>6794</v>
      </c>
      <c r="H4246">
        <v>365</v>
      </c>
      <c r="I4246">
        <v>7.2</v>
      </c>
      <c r="J4246">
        <v>7.21</v>
      </c>
      <c r="K4246" t="s">
        <v>20066</v>
      </c>
      <c r="L4246">
        <v>0.51</v>
      </c>
      <c r="M4246" t="s">
        <v>46</v>
      </c>
      <c r="N4246" t="s">
        <v>13008</v>
      </c>
      <c r="O4246">
        <v>7.23</v>
      </c>
      <c r="P4246">
        <v>7.15</v>
      </c>
      <c r="Q4246">
        <v>7.22</v>
      </c>
      <c r="R4246">
        <v>7.2</v>
      </c>
      <c r="S4246">
        <v>1.11</v>
      </c>
      <c r="T4246">
        <v>1</v>
      </c>
      <c r="U4246">
        <v>-17.03</v>
      </c>
      <c r="V4246">
        <v>-538</v>
      </c>
      <c r="W4246">
        <v>7.18</v>
      </c>
      <c r="X4246" t="s">
        <v>1590</v>
      </c>
      <c r="Y4246" t="s">
        <v>2694</v>
      </c>
      <c r="Z4246">
        <v>1.04</v>
      </c>
      <c r="AA4246">
        <v>6</v>
      </c>
      <c r="AB4246">
        <v>272</v>
      </c>
      <c r="AC4246">
        <v>1.77</v>
      </c>
      <c r="AD4246" t="s">
        <v>1022</v>
      </c>
      <c r="AE4246" t="s">
        <v>20072</v>
      </c>
      <c r="AF4246" t="s">
        <v>18938</v>
      </c>
      <c r="AG4246" t="s">
        <v>20073</v>
      </c>
      <c r="AH4246">
        <v>-2.57</v>
      </c>
      <c r="AI4246">
        <v>-3.49</v>
      </c>
      <c r="AJ4246">
        <v>1.69</v>
      </c>
      <c r="AK4246">
        <v>3.07</v>
      </c>
      <c r="AL4246">
        <v>0</v>
      </c>
      <c r="AM4246">
        <v>0</v>
      </c>
      <c r="AN4246">
        <v>-11.55</v>
      </c>
      <c r="AO4246">
        <v>-5.26</v>
      </c>
      <c r="AP4246">
        <v>-15.19</v>
      </c>
    </row>
    <row r="4247" spans="1:42">
      <c r="A4247">
        <v>4246</v>
      </c>
      <c r="B4247" t="str">
        <f>"603268"</f>
        <v>603268</v>
      </c>
      <c r="C4247" t="s">
        <v>20074</v>
      </c>
      <c r="D4247">
        <v>16.65</v>
      </c>
      <c r="E4247">
        <v>-1.36</v>
      </c>
      <c r="F4247">
        <v>-0.23</v>
      </c>
      <c r="G4247" t="s">
        <v>390</v>
      </c>
      <c r="H4247">
        <v>123</v>
      </c>
      <c r="I4247">
        <v>16.65</v>
      </c>
      <c r="J4247">
        <v>16.66</v>
      </c>
      <c r="K4247" t="s">
        <v>16856</v>
      </c>
      <c r="L4247">
        <v>1.34</v>
      </c>
      <c r="M4247" t="s">
        <v>46</v>
      </c>
      <c r="N4247" t="s">
        <v>5956</v>
      </c>
      <c r="O4247">
        <v>17.15</v>
      </c>
      <c r="P4247">
        <v>16.63</v>
      </c>
      <c r="Q4247">
        <v>16.88</v>
      </c>
      <c r="R4247">
        <v>16.88</v>
      </c>
      <c r="S4247">
        <v>3.08</v>
      </c>
      <c r="T4247">
        <v>1.49</v>
      </c>
      <c r="U4247">
        <v>-11.05</v>
      </c>
      <c r="V4247">
        <v>-39</v>
      </c>
      <c r="W4247">
        <v>16.81</v>
      </c>
      <c r="X4247">
        <v>7932</v>
      </c>
      <c r="Y4247">
        <v>8687</v>
      </c>
      <c r="Z4247">
        <v>0.91</v>
      </c>
      <c r="AA4247">
        <v>5</v>
      </c>
      <c r="AB4247">
        <v>10</v>
      </c>
      <c r="AC4247">
        <v>16.06</v>
      </c>
      <c r="AD4247" t="s">
        <v>20075</v>
      </c>
      <c r="AE4247" t="s">
        <v>20076</v>
      </c>
      <c r="AF4247" t="s">
        <v>20075</v>
      </c>
      <c r="AG4247" t="s">
        <v>20076</v>
      </c>
      <c r="AH4247">
        <v>-2.97</v>
      </c>
      <c r="AI4247">
        <v>-2.75</v>
      </c>
      <c r="AJ4247">
        <v>3.26</v>
      </c>
      <c r="AK4247">
        <v>5.83</v>
      </c>
      <c r="AL4247">
        <v>-3</v>
      </c>
      <c r="AM4247">
        <v>-1.36</v>
      </c>
      <c r="AN4247">
        <v>24.81</v>
      </c>
      <c r="AO4247">
        <v>-1.77</v>
      </c>
      <c r="AP4247">
        <v>10.05</v>
      </c>
    </row>
    <row r="4248" spans="1:42">
      <c r="A4248">
        <v>4247</v>
      </c>
      <c r="B4248" t="str">
        <f>"688055"</f>
        <v>688055</v>
      </c>
      <c r="C4248" t="s">
        <v>20077</v>
      </c>
      <c r="D4248">
        <v>4.83</v>
      </c>
      <c r="E4248">
        <v>0.84</v>
      </c>
      <c r="F4248">
        <v>0.04</v>
      </c>
      <c r="G4248" t="s">
        <v>10661</v>
      </c>
      <c r="H4248">
        <v>1372</v>
      </c>
      <c r="I4248">
        <v>4.83</v>
      </c>
      <c r="J4248">
        <v>4.84</v>
      </c>
      <c r="K4248" t="s">
        <v>16856</v>
      </c>
      <c r="L4248">
        <v>0.17</v>
      </c>
      <c r="M4248" t="s">
        <v>46</v>
      </c>
      <c r="N4248" t="s">
        <v>20078</v>
      </c>
      <c r="O4248">
        <v>4.86</v>
      </c>
      <c r="P4248">
        <v>4.74</v>
      </c>
      <c r="Q4248">
        <v>4.8</v>
      </c>
      <c r="R4248">
        <v>4.79</v>
      </c>
      <c r="S4248">
        <v>2.51</v>
      </c>
      <c r="T4248">
        <v>1.09</v>
      </c>
      <c r="U4248">
        <v>-20.13</v>
      </c>
      <c r="V4248">
        <v>-1753</v>
      </c>
      <c r="W4248">
        <v>4.82</v>
      </c>
      <c r="X4248" t="s">
        <v>5266</v>
      </c>
      <c r="Y4248" t="s">
        <v>5444</v>
      </c>
      <c r="Z4248">
        <v>1.16</v>
      </c>
      <c r="AA4248">
        <v>356</v>
      </c>
      <c r="AB4248">
        <v>379</v>
      </c>
      <c r="AC4248">
        <v>3.54</v>
      </c>
      <c r="AD4248" t="s">
        <v>10817</v>
      </c>
      <c r="AE4248" t="s">
        <v>20079</v>
      </c>
      <c r="AF4248" t="s">
        <v>10817</v>
      </c>
      <c r="AG4248" t="s">
        <v>20079</v>
      </c>
      <c r="AH4248">
        <v>-0.41</v>
      </c>
      <c r="AI4248">
        <v>1.05</v>
      </c>
      <c r="AJ4248">
        <v>0.46</v>
      </c>
      <c r="AK4248">
        <v>0.97</v>
      </c>
      <c r="AL4248">
        <v>1</v>
      </c>
      <c r="AM4248">
        <v>0.84</v>
      </c>
      <c r="AN4248">
        <v>20.45</v>
      </c>
      <c r="AO4248">
        <v>4.09</v>
      </c>
      <c r="AP4248">
        <v>8.78</v>
      </c>
    </row>
    <row r="4249" spans="1:42">
      <c r="A4249">
        <v>4248</v>
      </c>
      <c r="B4249" t="str">
        <f>"688618"</f>
        <v>688618</v>
      </c>
      <c r="C4249" t="s">
        <v>20080</v>
      </c>
      <c r="D4249">
        <v>58</v>
      </c>
      <c r="E4249">
        <v>-0.48</v>
      </c>
      <c r="F4249">
        <v>-0.28</v>
      </c>
      <c r="G4249">
        <v>4808</v>
      </c>
      <c r="H4249">
        <v>30</v>
      </c>
      <c r="I4249">
        <v>57.97</v>
      </c>
      <c r="J4249">
        <v>58</v>
      </c>
      <c r="K4249" t="s">
        <v>20081</v>
      </c>
      <c r="L4249">
        <v>1.9</v>
      </c>
      <c r="M4249" t="s">
        <v>46</v>
      </c>
      <c r="N4249" t="s">
        <v>3266</v>
      </c>
      <c r="O4249">
        <v>59.04</v>
      </c>
      <c r="P4249">
        <v>57.2</v>
      </c>
      <c r="Q4249">
        <v>57.98</v>
      </c>
      <c r="R4249">
        <v>58.28</v>
      </c>
      <c r="S4249">
        <v>3.16</v>
      </c>
      <c r="T4249">
        <v>1.41</v>
      </c>
      <c r="U4249">
        <v>17.44</v>
      </c>
      <c r="V4249">
        <v>14</v>
      </c>
      <c r="W4249">
        <v>58.05</v>
      </c>
      <c r="X4249">
        <v>2274</v>
      </c>
      <c r="Y4249">
        <v>2533</v>
      </c>
      <c r="Z4249">
        <v>0.9</v>
      </c>
      <c r="AA4249">
        <v>2</v>
      </c>
      <c r="AB4249">
        <v>22</v>
      </c>
      <c r="AC4249">
        <v>5.09</v>
      </c>
      <c r="AD4249" t="s">
        <v>20082</v>
      </c>
      <c r="AE4249" t="s">
        <v>20083</v>
      </c>
      <c r="AF4249" t="s">
        <v>20084</v>
      </c>
      <c r="AG4249" t="s">
        <v>798</v>
      </c>
      <c r="AH4249">
        <v>-4.26</v>
      </c>
      <c r="AI4249">
        <v>-4.48</v>
      </c>
      <c r="AJ4249">
        <v>5</v>
      </c>
      <c r="AK4249">
        <v>8.65</v>
      </c>
      <c r="AL4249">
        <v>-4</v>
      </c>
      <c r="AM4249">
        <v>-0.48</v>
      </c>
      <c r="AN4249">
        <v>7.97</v>
      </c>
      <c r="AO4249">
        <v>-5.77</v>
      </c>
      <c r="AP4249">
        <v>-8.17</v>
      </c>
    </row>
    <row r="4250" spans="1:42">
      <c r="A4250">
        <v>4249</v>
      </c>
      <c r="B4250" t="str">
        <f>"000953"</f>
        <v>000953</v>
      </c>
      <c r="C4250" t="s">
        <v>20085</v>
      </c>
      <c r="D4250">
        <v>5.99</v>
      </c>
      <c r="E4250">
        <v>0.5</v>
      </c>
      <c r="F4250">
        <v>0.03</v>
      </c>
      <c r="G4250" t="s">
        <v>4168</v>
      </c>
      <c r="H4250">
        <v>488</v>
      </c>
      <c r="I4250">
        <v>5.97</v>
      </c>
      <c r="J4250">
        <v>5.99</v>
      </c>
      <c r="K4250" t="s">
        <v>20086</v>
      </c>
      <c r="L4250">
        <v>1.27</v>
      </c>
      <c r="M4250" t="s">
        <v>46</v>
      </c>
      <c r="N4250" t="s">
        <v>8494</v>
      </c>
      <c r="O4250">
        <v>6.03</v>
      </c>
      <c r="P4250">
        <v>5.93</v>
      </c>
      <c r="Q4250">
        <v>5.97</v>
      </c>
      <c r="R4250">
        <v>5.96</v>
      </c>
      <c r="S4250">
        <v>1.68</v>
      </c>
      <c r="T4250">
        <v>1.19</v>
      </c>
      <c r="U4250">
        <v>-49.64</v>
      </c>
      <c r="V4250">
        <v>-1366</v>
      </c>
      <c r="W4250">
        <v>5.99</v>
      </c>
      <c r="X4250" t="s">
        <v>3151</v>
      </c>
      <c r="Y4250" t="s">
        <v>6266</v>
      </c>
      <c r="Z4250">
        <v>1.02</v>
      </c>
      <c r="AA4250">
        <v>31</v>
      </c>
      <c r="AB4250">
        <v>43</v>
      </c>
      <c r="AC4250">
        <v>29.51</v>
      </c>
      <c r="AD4250" t="s">
        <v>20087</v>
      </c>
      <c r="AE4250" t="s">
        <v>15755</v>
      </c>
      <c r="AF4250" t="s">
        <v>20087</v>
      </c>
      <c r="AG4250" t="s">
        <v>15755</v>
      </c>
      <c r="AH4250">
        <v>-0.5</v>
      </c>
      <c r="AI4250">
        <v>-0.66</v>
      </c>
      <c r="AJ4250">
        <v>3.03</v>
      </c>
      <c r="AK4250">
        <v>6.64</v>
      </c>
      <c r="AL4250">
        <v>1</v>
      </c>
      <c r="AM4250">
        <v>0.5</v>
      </c>
      <c r="AN4250">
        <v>-14.18</v>
      </c>
      <c r="AO4250">
        <v>3.99</v>
      </c>
      <c r="AP4250">
        <v>-17.27</v>
      </c>
    </row>
    <row r="4251" spans="1:42">
      <c r="A4251">
        <v>4250</v>
      </c>
      <c r="B4251" t="str">
        <f>"002759"</f>
        <v>002759</v>
      </c>
      <c r="C4251" t="s">
        <v>20088</v>
      </c>
      <c r="D4251">
        <v>11.27</v>
      </c>
      <c r="E4251">
        <v>0.09</v>
      </c>
      <c r="F4251">
        <v>0.01</v>
      </c>
      <c r="G4251" t="s">
        <v>4013</v>
      </c>
      <c r="H4251">
        <v>142</v>
      </c>
      <c r="I4251">
        <v>11.27</v>
      </c>
      <c r="J4251">
        <v>11.28</v>
      </c>
      <c r="K4251" t="s">
        <v>20086</v>
      </c>
      <c r="L4251">
        <v>0.61</v>
      </c>
      <c r="M4251" t="s">
        <v>46</v>
      </c>
      <c r="N4251" t="s">
        <v>7965</v>
      </c>
      <c r="O4251">
        <v>11.36</v>
      </c>
      <c r="P4251">
        <v>11.13</v>
      </c>
      <c r="Q4251">
        <v>11.26</v>
      </c>
      <c r="R4251">
        <v>11.26</v>
      </c>
      <c r="S4251">
        <v>2.04</v>
      </c>
      <c r="T4251">
        <v>0.87</v>
      </c>
      <c r="U4251">
        <v>5.17</v>
      </c>
      <c r="V4251">
        <v>54</v>
      </c>
      <c r="W4251">
        <v>11.23</v>
      </c>
      <c r="X4251" t="s">
        <v>51</v>
      </c>
      <c r="Y4251" t="s">
        <v>5446</v>
      </c>
      <c r="Z4251">
        <v>0.78</v>
      </c>
      <c r="AA4251">
        <v>42</v>
      </c>
      <c r="AB4251">
        <v>96</v>
      </c>
      <c r="AC4251">
        <v>1.22</v>
      </c>
      <c r="AD4251" t="s">
        <v>6129</v>
      </c>
      <c r="AE4251" t="s">
        <v>12487</v>
      </c>
      <c r="AF4251" t="s">
        <v>20089</v>
      </c>
      <c r="AG4251" t="s">
        <v>20090</v>
      </c>
      <c r="AH4251">
        <v>-2.42</v>
      </c>
      <c r="AI4251">
        <v>-4.09</v>
      </c>
      <c r="AJ4251">
        <v>1.91</v>
      </c>
      <c r="AK4251">
        <v>4.15</v>
      </c>
      <c r="AL4251">
        <v>1</v>
      </c>
      <c r="AM4251">
        <v>0.09</v>
      </c>
      <c r="AN4251">
        <v>-29.39</v>
      </c>
      <c r="AO4251">
        <v>-3.51</v>
      </c>
      <c r="AP4251">
        <v>-36.86</v>
      </c>
    </row>
    <row r="4252" spans="1:42">
      <c r="A4252">
        <v>4251</v>
      </c>
      <c r="B4252" t="str">
        <f>"834639"</f>
        <v>834639</v>
      </c>
      <c r="C4252" t="s">
        <v>20091</v>
      </c>
      <c r="D4252">
        <v>4.4</v>
      </c>
      <c r="E4252">
        <v>-5.98</v>
      </c>
      <c r="F4252">
        <v>-0.28</v>
      </c>
      <c r="G4252" t="s">
        <v>7126</v>
      </c>
      <c r="H4252">
        <v>627</v>
      </c>
      <c r="I4252">
        <v>4.4</v>
      </c>
      <c r="J4252">
        <v>4.41</v>
      </c>
      <c r="K4252" t="s">
        <v>20092</v>
      </c>
      <c r="L4252">
        <v>6.91</v>
      </c>
      <c r="M4252" t="s">
        <v>46</v>
      </c>
      <c r="N4252" t="s">
        <v>5022</v>
      </c>
      <c r="O4252">
        <v>4.78</v>
      </c>
      <c r="P4252">
        <v>4.4</v>
      </c>
      <c r="Q4252">
        <v>4.72</v>
      </c>
      <c r="R4252">
        <v>4.68</v>
      </c>
      <c r="S4252">
        <v>8.12</v>
      </c>
      <c r="T4252">
        <v>0.43</v>
      </c>
      <c r="U4252">
        <v>4.59</v>
      </c>
      <c r="V4252">
        <v>166</v>
      </c>
      <c r="W4252">
        <v>4.57</v>
      </c>
      <c r="X4252" t="s">
        <v>2973</v>
      </c>
      <c r="Y4252" t="s">
        <v>2102</v>
      </c>
      <c r="Z4252">
        <v>1.78</v>
      </c>
      <c r="AA4252">
        <v>1379</v>
      </c>
      <c r="AB4252">
        <v>207</v>
      </c>
      <c r="AC4252">
        <v>1.06</v>
      </c>
      <c r="AD4252" t="s">
        <v>12432</v>
      </c>
      <c r="AE4252" t="s">
        <v>20093</v>
      </c>
      <c r="AF4252" t="s">
        <v>20094</v>
      </c>
      <c r="AG4252" t="s">
        <v>20095</v>
      </c>
      <c r="AH4252">
        <v>-16.51</v>
      </c>
      <c r="AI4252">
        <v>5.26</v>
      </c>
      <c r="AJ4252">
        <v>30.32</v>
      </c>
      <c r="AK4252">
        <v>86.51</v>
      </c>
      <c r="AL4252">
        <v>-4</v>
      </c>
      <c r="AM4252">
        <v>-5.98</v>
      </c>
      <c r="AN4252">
        <v>20.88</v>
      </c>
      <c r="AO4252">
        <v>20.55</v>
      </c>
      <c r="AP4252">
        <v>14.58</v>
      </c>
    </row>
    <row r="4253" spans="1:42">
      <c r="A4253">
        <v>4252</v>
      </c>
      <c r="B4253" t="str">
        <f>"834950"</f>
        <v>834950</v>
      </c>
      <c r="C4253" t="s">
        <v>20096</v>
      </c>
      <c r="D4253">
        <v>17.89</v>
      </c>
      <c r="E4253">
        <v>-6.34</v>
      </c>
      <c r="F4253">
        <v>-1.21</v>
      </c>
      <c r="G4253" t="s">
        <v>61</v>
      </c>
      <c r="H4253">
        <v>157</v>
      </c>
      <c r="I4253">
        <v>17.89</v>
      </c>
      <c r="J4253">
        <v>17.92</v>
      </c>
      <c r="K4253" t="s">
        <v>20097</v>
      </c>
      <c r="L4253">
        <v>12.66</v>
      </c>
      <c r="M4253" t="s">
        <v>46</v>
      </c>
      <c r="N4253" t="s">
        <v>4700</v>
      </c>
      <c r="O4253">
        <v>19.54</v>
      </c>
      <c r="P4253">
        <v>17.62</v>
      </c>
      <c r="Q4253">
        <v>18.8</v>
      </c>
      <c r="R4253">
        <v>19.1</v>
      </c>
      <c r="S4253">
        <v>10.05</v>
      </c>
      <c r="T4253">
        <v>0.44</v>
      </c>
      <c r="U4253">
        <v>-41.73</v>
      </c>
      <c r="V4253">
        <v>-102</v>
      </c>
      <c r="W4253">
        <v>18.33</v>
      </c>
      <c r="X4253">
        <v>9358</v>
      </c>
      <c r="Y4253">
        <v>5831</v>
      </c>
      <c r="Z4253">
        <v>1.61</v>
      </c>
      <c r="AA4253">
        <v>22</v>
      </c>
      <c r="AB4253">
        <v>17</v>
      </c>
      <c r="AC4253">
        <v>3.27</v>
      </c>
      <c r="AD4253" t="s">
        <v>20098</v>
      </c>
      <c r="AE4253" t="s">
        <v>20099</v>
      </c>
      <c r="AF4253" t="s">
        <v>20100</v>
      </c>
      <c r="AG4253" t="s">
        <v>19118</v>
      </c>
      <c r="AH4253">
        <v>-17.21</v>
      </c>
      <c r="AI4253">
        <v>22.53</v>
      </c>
      <c r="AJ4253">
        <v>52.5</v>
      </c>
      <c r="AK4253">
        <v>155.71</v>
      </c>
      <c r="AL4253">
        <v>-1</v>
      </c>
      <c r="AM4253">
        <v>-6.34</v>
      </c>
      <c r="AN4253">
        <v>45.68</v>
      </c>
      <c r="AO4253">
        <v>60.45</v>
      </c>
      <c r="AP4253">
        <v>45.68</v>
      </c>
    </row>
    <row r="4254" spans="1:42">
      <c r="A4254">
        <v>4253</v>
      </c>
      <c r="B4254" t="str">
        <f>"833575"</f>
        <v>833575</v>
      </c>
      <c r="C4254" t="s">
        <v>20101</v>
      </c>
      <c r="D4254">
        <v>16.75</v>
      </c>
      <c r="E4254">
        <v>-1.47</v>
      </c>
      <c r="F4254">
        <v>-0.25</v>
      </c>
      <c r="G4254" t="s">
        <v>1692</v>
      </c>
      <c r="H4254">
        <v>141</v>
      </c>
      <c r="I4254">
        <v>16.75</v>
      </c>
      <c r="J4254">
        <v>16.76</v>
      </c>
      <c r="K4254" t="s">
        <v>20102</v>
      </c>
      <c r="L4254">
        <v>1.2</v>
      </c>
      <c r="M4254" t="s">
        <v>46</v>
      </c>
      <c r="N4254" t="s">
        <v>1076</v>
      </c>
      <c r="O4254">
        <v>17.37</v>
      </c>
      <c r="P4254">
        <v>16.71</v>
      </c>
      <c r="Q4254">
        <v>17.24</v>
      </c>
      <c r="R4254">
        <v>17</v>
      </c>
      <c r="S4254">
        <v>3.88</v>
      </c>
      <c r="T4254">
        <v>0.3</v>
      </c>
      <c r="U4254">
        <v>87.34</v>
      </c>
      <c r="V4254">
        <v>1068</v>
      </c>
      <c r="W4254">
        <v>16.96</v>
      </c>
      <c r="X4254">
        <v>9860</v>
      </c>
      <c r="Y4254">
        <v>6545</v>
      </c>
      <c r="Z4254">
        <v>1.51</v>
      </c>
      <c r="AA4254">
        <v>610</v>
      </c>
      <c r="AB4254">
        <v>15</v>
      </c>
      <c r="AC4254">
        <v>4.8</v>
      </c>
      <c r="AD4254" t="s">
        <v>20103</v>
      </c>
      <c r="AE4254" t="s">
        <v>20104</v>
      </c>
      <c r="AF4254" t="s">
        <v>5309</v>
      </c>
      <c r="AG4254" t="s">
        <v>20105</v>
      </c>
      <c r="AH4254">
        <v>-6.63</v>
      </c>
      <c r="AI4254">
        <v>1.95</v>
      </c>
      <c r="AJ4254">
        <v>5.46</v>
      </c>
      <c r="AK4254">
        <v>21.13</v>
      </c>
      <c r="AL4254">
        <v>-4</v>
      </c>
      <c r="AM4254">
        <v>-1.47</v>
      </c>
      <c r="AN4254">
        <v>-42.22</v>
      </c>
      <c r="AO4254">
        <v>8.06</v>
      </c>
      <c r="AP4254">
        <v>-42.22</v>
      </c>
    </row>
    <row r="4255" spans="1:42">
      <c r="A4255">
        <v>4254</v>
      </c>
      <c r="B4255" t="str">
        <f>"600279"</f>
        <v>600279</v>
      </c>
      <c r="C4255" t="s">
        <v>20106</v>
      </c>
      <c r="D4255">
        <v>4.45</v>
      </c>
      <c r="E4255">
        <v>0.23</v>
      </c>
      <c r="F4255">
        <v>0.01</v>
      </c>
      <c r="G4255" t="s">
        <v>4746</v>
      </c>
      <c r="H4255">
        <v>830</v>
      </c>
      <c r="I4255">
        <v>4.44</v>
      </c>
      <c r="J4255">
        <v>4.45</v>
      </c>
      <c r="K4255" t="s">
        <v>20102</v>
      </c>
      <c r="L4255">
        <v>0.52</v>
      </c>
      <c r="M4255" t="s">
        <v>46</v>
      </c>
      <c r="N4255" t="s">
        <v>1720</v>
      </c>
      <c r="O4255">
        <v>4.52</v>
      </c>
      <c r="P4255">
        <v>4.41</v>
      </c>
      <c r="Q4255">
        <v>4.44</v>
      </c>
      <c r="R4255">
        <v>4.44</v>
      </c>
      <c r="S4255">
        <v>2.48</v>
      </c>
      <c r="T4255">
        <v>0.81</v>
      </c>
      <c r="U4255">
        <v>-33.81</v>
      </c>
      <c r="V4255">
        <v>-3238</v>
      </c>
      <c r="W4255">
        <v>4.47</v>
      </c>
      <c r="X4255" t="s">
        <v>4422</v>
      </c>
      <c r="Y4255" t="s">
        <v>1313</v>
      </c>
      <c r="Z4255">
        <v>0.7</v>
      </c>
      <c r="AA4255">
        <v>396</v>
      </c>
      <c r="AB4255">
        <v>205</v>
      </c>
      <c r="AC4255">
        <v>0.93</v>
      </c>
      <c r="AD4255" t="s">
        <v>14522</v>
      </c>
      <c r="AE4255" t="s">
        <v>9270</v>
      </c>
      <c r="AF4255" t="s">
        <v>14522</v>
      </c>
      <c r="AG4255" t="s">
        <v>9270</v>
      </c>
      <c r="AH4255">
        <v>0.68</v>
      </c>
      <c r="AI4255">
        <v>3.97</v>
      </c>
      <c r="AJ4255">
        <v>1.56</v>
      </c>
      <c r="AK4255">
        <v>3.74</v>
      </c>
      <c r="AL4255">
        <v>2</v>
      </c>
      <c r="AM4255">
        <v>0.23</v>
      </c>
      <c r="AN4255">
        <v>13.23</v>
      </c>
      <c r="AO4255">
        <v>7.23</v>
      </c>
      <c r="AP4255">
        <v>12.94</v>
      </c>
    </row>
    <row r="4256" spans="1:42">
      <c r="A4256">
        <v>4255</v>
      </c>
      <c r="B4256" t="str">
        <f>"605009"</f>
        <v>605009</v>
      </c>
      <c r="C4256" t="s">
        <v>20107</v>
      </c>
      <c r="D4256">
        <v>41.57</v>
      </c>
      <c r="E4256">
        <v>0.78</v>
      </c>
      <c r="F4256">
        <v>0.32</v>
      </c>
      <c r="G4256">
        <v>6688</v>
      </c>
      <c r="H4256">
        <v>63</v>
      </c>
      <c r="I4256">
        <v>41.56</v>
      </c>
      <c r="J4256">
        <v>41.57</v>
      </c>
      <c r="K4256" t="s">
        <v>20108</v>
      </c>
      <c r="L4256">
        <v>0.43</v>
      </c>
      <c r="M4256" t="s">
        <v>46</v>
      </c>
      <c r="N4256" t="s">
        <v>2474</v>
      </c>
      <c r="O4256">
        <v>41.8</v>
      </c>
      <c r="P4256">
        <v>41.09</v>
      </c>
      <c r="Q4256">
        <v>41.25</v>
      </c>
      <c r="R4256">
        <v>41.25</v>
      </c>
      <c r="S4256">
        <v>1.72</v>
      </c>
      <c r="T4256">
        <v>1.14</v>
      </c>
      <c r="U4256">
        <v>8.65</v>
      </c>
      <c r="V4256">
        <v>15</v>
      </c>
      <c r="W4256">
        <v>41.56</v>
      </c>
      <c r="X4256">
        <v>3216</v>
      </c>
      <c r="Y4256">
        <v>3472</v>
      </c>
      <c r="Z4256">
        <v>0.93</v>
      </c>
      <c r="AA4256">
        <v>22</v>
      </c>
      <c r="AB4256">
        <v>10</v>
      </c>
      <c r="AC4256">
        <v>2.1</v>
      </c>
      <c r="AD4256" t="s">
        <v>14973</v>
      </c>
      <c r="AE4256" t="s">
        <v>20109</v>
      </c>
      <c r="AF4256" t="s">
        <v>11750</v>
      </c>
      <c r="AG4256" t="s">
        <v>9180</v>
      </c>
      <c r="AH4256">
        <v>0.14</v>
      </c>
      <c r="AI4256">
        <v>0.22</v>
      </c>
      <c r="AJ4256">
        <v>1.11</v>
      </c>
      <c r="AK4256">
        <v>2.34</v>
      </c>
      <c r="AL4256">
        <v>1</v>
      </c>
      <c r="AM4256">
        <v>0.78</v>
      </c>
      <c r="AN4256">
        <v>-16.48</v>
      </c>
      <c r="AO4256">
        <v>4.19</v>
      </c>
      <c r="AP4256">
        <v>-0.43</v>
      </c>
    </row>
    <row r="4257" spans="1:42">
      <c r="A4257">
        <v>4256</v>
      </c>
      <c r="B4257" t="str">
        <f>"603800"</f>
        <v>603800</v>
      </c>
      <c r="C4257" t="s">
        <v>20110</v>
      </c>
      <c r="D4257">
        <v>27.91</v>
      </c>
      <c r="E4257">
        <v>-0.57</v>
      </c>
      <c r="F4257">
        <v>-0.16</v>
      </c>
      <c r="G4257">
        <v>9912</v>
      </c>
      <c r="H4257">
        <v>71</v>
      </c>
      <c r="I4257">
        <v>27.91</v>
      </c>
      <c r="J4257">
        <v>27.93</v>
      </c>
      <c r="K4257" t="s">
        <v>20111</v>
      </c>
      <c r="L4257">
        <v>0.48</v>
      </c>
      <c r="M4257" t="s">
        <v>46</v>
      </c>
      <c r="N4257" t="s">
        <v>208</v>
      </c>
      <c r="O4257">
        <v>28.28</v>
      </c>
      <c r="P4257">
        <v>27.83</v>
      </c>
      <c r="Q4257">
        <v>28.14</v>
      </c>
      <c r="R4257">
        <v>28.07</v>
      </c>
      <c r="S4257">
        <v>1.6</v>
      </c>
      <c r="T4257">
        <v>0.92</v>
      </c>
      <c r="U4257">
        <v>58.14</v>
      </c>
      <c r="V4257">
        <v>100</v>
      </c>
      <c r="W4257">
        <v>28.04</v>
      </c>
      <c r="X4257">
        <v>5051</v>
      </c>
      <c r="Y4257">
        <v>4861</v>
      </c>
      <c r="Z4257">
        <v>1.04</v>
      </c>
      <c r="AA4257">
        <v>51</v>
      </c>
      <c r="AB4257">
        <v>18</v>
      </c>
      <c r="AC4257">
        <v>8.62</v>
      </c>
      <c r="AD4257" t="s">
        <v>8126</v>
      </c>
      <c r="AE4257" t="s">
        <v>20112</v>
      </c>
      <c r="AF4257" t="s">
        <v>8126</v>
      </c>
      <c r="AG4257" t="s">
        <v>20112</v>
      </c>
      <c r="AH4257">
        <v>-2.85</v>
      </c>
      <c r="AI4257">
        <v>-4.02</v>
      </c>
      <c r="AJ4257">
        <v>1.34</v>
      </c>
      <c r="AK4257">
        <v>3.06</v>
      </c>
      <c r="AL4257">
        <v>-3</v>
      </c>
      <c r="AM4257">
        <v>-0.57</v>
      </c>
      <c r="AN4257">
        <v>4.61</v>
      </c>
      <c r="AO4257">
        <v>0.32</v>
      </c>
      <c r="AP4257">
        <v>-16.66</v>
      </c>
    </row>
    <row r="4258" spans="1:42">
      <c r="A4258">
        <v>4257</v>
      </c>
      <c r="B4258" t="str">
        <f>"688613"</f>
        <v>688613</v>
      </c>
      <c r="C4258" t="s">
        <v>20113</v>
      </c>
      <c r="D4258">
        <v>23.73</v>
      </c>
      <c r="E4258">
        <v>0.08</v>
      </c>
      <c r="F4258">
        <v>0.02</v>
      </c>
      <c r="G4258" t="s">
        <v>1083</v>
      </c>
      <c r="H4258">
        <v>37</v>
      </c>
      <c r="I4258">
        <v>23.73</v>
      </c>
      <c r="J4258">
        <v>23.74</v>
      </c>
      <c r="K4258" t="s">
        <v>20111</v>
      </c>
      <c r="L4258">
        <v>1.12</v>
      </c>
      <c r="M4258" t="s">
        <v>46</v>
      </c>
      <c r="N4258" t="s">
        <v>987</v>
      </c>
      <c r="O4258">
        <v>23.85</v>
      </c>
      <c r="P4258">
        <v>23.42</v>
      </c>
      <c r="Q4258">
        <v>23.78</v>
      </c>
      <c r="R4258">
        <v>23.71</v>
      </c>
      <c r="S4258">
        <v>1.81</v>
      </c>
      <c r="T4258">
        <v>0.96</v>
      </c>
      <c r="U4258">
        <v>-68.97</v>
      </c>
      <c r="V4258">
        <v>-457</v>
      </c>
      <c r="W4258">
        <v>23.62</v>
      </c>
      <c r="X4258">
        <v>5350</v>
      </c>
      <c r="Y4258">
        <v>6418</v>
      </c>
      <c r="Z4258">
        <v>0.83</v>
      </c>
      <c r="AA4258">
        <v>38</v>
      </c>
      <c r="AB4258">
        <v>65</v>
      </c>
      <c r="AC4258">
        <v>2.32</v>
      </c>
      <c r="AD4258" t="s">
        <v>9334</v>
      </c>
      <c r="AE4258" t="s">
        <v>20114</v>
      </c>
      <c r="AF4258" t="s">
        <v>7571</v>
      </c>
      <c r="AG4258" t="s">
        <v>20115</v>
      </c>
      <c r="AH4258">
        <v>-1.08</v>
      </c>
      <c r="AI4258">
        <v>-0.29</v>
      </c>
      <c r="AJ4258">
        <v>3.26</v>
      </c>
      <c r="AK4258">
        <v>6.93</v>
      </c>
      <c r="AL4258">
        <v>1</v>
      </c>
      <c r="AM4258">
        <v>0.08</v>
      </c>
      <c r="AN4258">
        <v>1.8</v>
      </c>
      <c r="AO4258">
        <v>2.15</v>
      </c>
      <c r="AP4258">
        <v>-8.98</v>
      </c>
    </row>
    <row r="4259" spans="1:42">
      <c r="A4259">
        <v>4258</v>
      </c>
      <c r="B4259" t="str">
        <f>"002486"</f>
        <v>002486</v>
      </c>
      <c r="C4259" t="s">
        <v>20116</v>
      </c>
      <c r="D4259">
        <v>3.02</v>
      </c>
      <c r="E4259">
        <v>1</v>
      </c>
      <c r="F4259">
        <v>0.03</v>
      </c>
      <c r="G4259" t="s">
        <v>79</v>
      </c>
      <c r="H4259">
        <v>905</v>
      </c>
      <c r="I4259">
        <v>3.01</v>
      </c>
      <c r="J4259">
        <v>3.02</v>
      </c>
      <c r="K4259" t="s">
        <v>20117</v>
      </c>
      <c r="L4259">
        <v>1.1</v>
      </c>
      <c r="M4259" t="s">
        <v>46</v>
      </c>
      <c r="N4259" t="s">
        <v>1830</v>
      </c>
      <c r="O4259">
        <v>3.04</v>
      </c>
      <c r="P4259">
        <v>2.99</v>
      </c>
      <c r="Q4259">
        <v>3.01</v>
      </c>
      <c r="R4259">
        <v>2.99</v>
      </c>
      <c r="S4259">
        <v>1.67</v>
      </c>
      <c r="T4259">
        <v>0.98</v>
      </c>
      <c r="U4259">
        <v>-50.26</v>
      </c>
      <c r="V4259">
        <v>-8432</v>
      </c>
      <c r="W4259">
        <v>3.02</v>
      </c>
      <c r="X4259" t="s">
        <v>5205</v>
      </c>
      <c r="Y4259" t="s">
        <v>3255</v>
      </c>
      <c r="Z4259">
        <v>0.85</v>
      </c>
      <c r="AA4259">
        <v>213</v>
      </c>
      <c r="AB4259">
        <v>934</v>
      </c>
      <c r="AC4259">
        <v>2.36</v>
      </c>
      <c r="AD4259" t="s">
        <v>20118</v>
      </c>
      <c r="AE4259" t="s">
        <v>3652</v>
      </c>
      <c r="AF4259" t="s">
        <v>20118</v>
      </c>
      <c r="AG4259" t="s">
        <v>3652</v>
      </c>
      <c r="AH4259">
        <v>-0.33</v>
      </c>
      <c r="AI4259">
        <v>-1.31</v>
      </c>
      <c r="AJ4259">
        <v>3.59</v>
      </c>
      <c r="AK4259">
        <v>6.76</v>
      </c>
      <c r="AL4259">
        <v>1</v>
      </c>
      <c r="AM4259">
        <v>1</v>
      </c>
      <c r="AN4259">
        <v>-9.85</v>
      </c>
      <c r="AO4259">
        <v>3.42</v>
      </c>
      <c r="AP4259">
        <v>-13.71</v>
      </c>
    </row>
    <row r="4260" spans="1:42">
      <c r="A4260">
        <v>4259</v>
      </c>
      <c r="B4260" t="str">
        <f>"601616"</f>
        <v>601616</v>
      </c>
      <c r="C4260" t="s">
        <v>20119</v>
      </c>
      <c r="D4260">
        <v>3.45</v>
      </c>
      <c r="E4260">
        <v>0</v>
      </c>
      <c r="F4260">
        <v>0</v>
      </c>
      <c r="G4260" t="s">
        <v>8408</v>
      </c>
      <c r="H4260">
        <v>818</v>
      </c>
      <c r="I4260">
        <v>3.45</v>
      </c>
      <c r="J4260">
        <v>3.46</v>
      </c>
      <c r="K4260" t="s">
        <v>20120</v>
      </c>
      <c r="L4260">
        <v>0.86</v>
      </c>
      <c r="M4260" t="s">
        <v>46</v>
      </c>
      <c r="N4260" t="s">
        <v>10171</v>
      </c>
      <c r="O4260">
        <v>3.46</v>
      </c>
      <c r="P4260">
        <v>3.42</v>
      </c>
      <c r="Q4260">
        <v>3.44</v>
      </c>
      <c r="R4260">
        <v>3.45</v>
      </c>
      <c r="S4260">
        <v>1.16</v>
      </c>
      <c r="T4260">
        <v>0.82</v>
      </c>
      <c r="U4260">
        <v>-35.27</v>
      </c>
      <c r="V4260">
        <v>-5216</v>
      </c>
      <c r="W4260">
        <v>3.45</v>
      </c>
      <c r="X4260" t="s">
        <v>2550</v>
      </c>
      <c r="Y4260" t="s">
        <v>6560</v>
      </c>
      <c r="Z4260">
        <v>0.76</v>
      </c>
      <c r="AA4260">
        <v>241</v>
      </c>
      <c r="AB4260">
        <v>524</v>
      </c>
      <c r="AC4260">
        <v>1.34</v>
      </c>
      <c r="AD4260" t="s">
        <v>11283</v>
      </c>
      <c r="AE4260" t="s">
        <v>20121</v>
      </c>
      <c r="AF4260" t="s">
        <v>11283</v>
      </c>
      <c r="AG4260" t="s">
        <v>20121</v>
      </c>
      <c r="AH4260">
        <v>-0.29</v>
      </c>
      <c r="AI4260">
        <v>1.17</v>
      </c>
      <c r="AJ4260">
        <v>2.66</v>
      </c>
      <c r="AK4260">
        <v>6.11</v>
      </c>
      <c r="AL4260">
        <v>0</v>
      </c>
      <c r="AM4260">
        <v>0</v>
      </c>
      <c r="AN4260">
        <v>3.92</v>
      </c>
      <c r="AO4260">
        <v>4.55</v>
      </c>
      <c r="AP4260">
        <v>-3.09</v>
      </c>
    </row>
    <row r="4261" spans="1:42">
      <c r="A4261">
        <v>4260</v>
      </c>
      <c r="B4261" t="str">
        <f>"831039"</f>
        <v>831039</v>
      </c>
      <c r="C4261" t="s">
        <v>20122</v>
      </c>
      <c r="D4261">
        <v>6.13</v>
      </c>
      <c r="E4261">
        <v>4.43</v>
      </c>
      <c r="F4261">
        <v>0.26</v>
      </c>
      <c r="G4261" t="s">
        <v>3103</v>
      </c>
      <c r="H4261">
        <v>289</v>
      </c>
      <c r="I4261">
        <v>6.12</v>
      </c>
      <c r="J4261">
        <v>6.13</v>
      </c>
      <c r="K4261" t="s">
        <v>20120</v>
      </c>
      <c r="L4261">
        <v>2.86</v>
      </c>
      <c r="M4261" t="s">
        <v>46</v>
      </c>
      <c r="N4261" t="s">
        <v>7685</v>
      </c>
      <c r="O4261">
        <v>6.78</v>
      </c>
      <c r="P4261">
        <v>5.99</v>
      </c>
      <c r="Q4261">
        <v>6.1</v>
      </c>
      <c r="R4261">
        <v>5.87</v>
      </c>
      <c r="S4261">
        <v>13.46</v>
      </c>
      <c r="T4261">
        <v>0.86</v>
      </c>
      <c r="U4261">
        <v>-76.71</v>
      </c>
      <c r="V4261">
        <v>-1773</v>
      </c>
      <c r="W4261">
        <v>6.32</v>
      </c>
      <c r="X4261" t="s">
        <v>5592</v>
      </c>
      <c r="Y4261" t="s">
        <v>1710</v>
      </c>
      <c r="Z4261">
        <v>0.91</v>
      </c>
      <c r="AA4261">
        <v>30</v>
      </c>
      <c r="AB4261">
        <v>171</v>
      </c>
      <c r="AC4261">
        <v>1.61</v>
      </c>
      <c r="AD4261" t="s">
        <v>20123</v>
      </c>
      <c r="AE4261" t="s">
        <v>19176</v>
      </c>
      <c r="AF4261" t="s">
        <v>20123</v>
      </c>
      <c r="AG4261" t="s">
        <v>19176</v>
      </c>
      <c r="AH4261">
        <v>-5.98</v>
      </c>
      <c r="AI4261">
        <v>12.27</v>
      </c>
      <c r="AJ4261">
        <v>6.23</v>
      </c>
      <c r="AK4261">
        <v>19.48</v>
      </c>
      <c r="AL4261">
        <v>1</v>
      </c>
      <c r="AM4261">
        <v>4.43</v>
      </c>
      <c r="AN4261">
        <v>38.06</v>
      </c>
      <c r="AO4261">
        <v>27.18</v>
      </c>
      <c r="AP4261">
        <v>31.83</v>
      </c>
    </row>
    <row r="4262" spans="1:42">
      <c r="A4262">
        <v>4261</v>
      </c>
      <c r="B4262" t="str">
        <f>"002674"</f>
        <v>002674</v>
      </c>
      <c r="C4262" t="s">
        <v>20124</v>
      </c>
      <c r="D4262">
        <v>12.84</v>
      </c>
      <c r="E4262">
        <v>-0.08</v>
      </c>
      <c r="F4262">
        <v>-0.01</v>
      </c>
      <c r="G4262" t="s">
        <v>1520</v>
      </c>
      <c r="H4262">
        <v>97</v>
      </c>
      <c r="I4262">
        <v>12.84</v>
      </c>
      <c r="J4262">
        <v>12.85</v>
      </c>
      <c r="K4262" t="s">
        <v>20125</v>
      </c>
      <c r="L4262">
        <v>0.75</v>
      </c>
      <c r="M4262" t="s">
        <v>46</v>
      </c>
      <c r="N4262" t="s">
        <v>2088</v>
      </c>
      <c r="O4262">
        <v>12.95</v>
      </c>
      <c r="P4262">
        <v>12.74</v>
      </c>
      <c r="Q4262">
        <v>12.8</v>
      </c>
      <c r="R4262">
        <v>12.85</v>
      </c>
      <c r="S4262">
        <v>1.63</v>
      </c>
      <c r="T4262">
        <v>0.38</v>
      </c>
      <c r="U4262">
        <v>19.23</v>
      </c>
      <c r="V4262">
        <v>130</v>
      </c>
      <c r="W4262">
        <v>12.84</v>
      </c>
      <c r="X4262" t="s">
        <v>7974</v>
      </c>
      <c r="Y4262" t="s">
        <v>51</v>
      </c>
      <c r="Z4262">
        <v>0.99</v>
      </c>
      <c r="AA4262">
        <v>107</v>
      </c>
      <c r="AB4262">
        <v>125</v>
      </c>
      <c r="AC4262">
        <v>1.57</v>
      </c>
      <c r="AD4262" t="s">
        <v>20126</v>
      </c>
      <c r="AE4262" t="s">
        <v>20127</v>
      </c>
      <c r="AF4262" t="s">
        <v>20128</v>
      </c>
      <c r="AG4262" t="s">
        <v>18839</v>
      </c>
      <c r="AH4262">
        <v>-2.65</v>
      </c>
      <c r="AI4262">
        <v>-0.23</v>
      </c>
      <c r="AJ4262">
        <v>2.99</v>
      </c>
      <c r="AK4262">
        <v>10.54</v>
      </c>
      <c r="AL4262">
        <v>-4</v>
      </c>
      <c r="AM4262">
        <v>-0.08</v>
      </c>
      <c r="AN4262">
        <v>24.54</v>
      </c>
      <c r="AO4262">
        <v>6.82</v>
      </c>
      <c r="AP4262">
        <v>20</v>
      </c>
    </row>
    <row r="4263" spans="1:42">
      <c r="A4263">
        <v>4262</v>
      </c>
      <c r="B4263" t="str">
        <f>"600608"</f>
        <v>600608</v>
      </c>
      <c r="C4263" t="s">
        <v>20129</v>
      </c>
      <c r="D4263">
        <v>4.76</v>
      </c>
      <c r="E4263">
        <v>-2.06</v>
      </c>
      <c r="F4263">
        <v>-0.1</v>
      </c>
      <c r="G4263" t="s">
        <v>3030</v>
      </c>
      <c r="H4263">
        <v>1072</v>
      </c>
      <c r="I4263">
        <v>4.73</v>
      </c>
      <c r="J4263">
        <v>4.76</v>
      </c>
      <c r="K4263" t="s">
        <v>20130</v>
      </c>
      <c r="L4263">
        <v>1.83</v>
      </c>
      <c r="M4263" t="s">
        <v>46</v>
      </c>
      <c r="N4263" t="s">
        <v>8725</v>
      </c>
      <c r="O4263">
        <v>4.86</v>
      </c>
      <c r="P4263">
        <v>4.66</v>
      </c>
      <c r="Q4263">
        <v>4.84</v>
      </c>
      <c r="R4263">
        <v>4.86</v>
      </c>
      <c r="S4263">
        <v>4.12</v>
      </c>
      <c r="T4263">
        <v>0.74</v>
      </c>
      <c r="U4263">
        <v>51.33</v>
      </c>
      <c r="V4263">
        <v>2440</v>
      </c>
      <c r="W4263">
        <v>4.76</v>
      </c>
      <c r="X4263" t="s">
        <v>16179</v>
      </c>
      <c r="Y4263" t="s">
        <v>5237</v>
      </c>
      <c r="Z4263">
        <v>1.85</v>
      </c>
      <c r="AA4263">
        <v>31</v>
      </c>
      <c r="AB4263">
        <v>41</v>
      </c>
      <c r="AC4263">
        <v>23.78</v>
      </c>
      <c r="AD4263" t="s">
        <v>1506</v>
      </c>
      <c r="AE4263" t="s">
        <v>9600</v>
      </c>
      <c r="AF4263" t="s">
        <v>20131</v>
      </c>
      <c r="AG4263" t="s">
        <v>20132</v>
      </c>
      <c r="AH4263">
        <v>3.03</v>
      </c>
      <c r="AI4263">
        <v>14.98</v>
      </c>
      <c r="AJ4263">
        <v>6.31</v>
      </c>
      <c r="AK4263">
        <v>14.3</v>
      </c>
      <c r="AL4263">
        <v>-1</v>
      </c>
      <c r="AM4263">
        <v>-2.06</v>
      </c>
      <c r="AN4263">
        <v>4.39</v>
      </c>
      <c r="AO4263">
        <v>14.7</v>
      </c>
      <c r="AP4263">
        <v>1.49</v>
      </c>
    </row>
    <row r="4264" spans="1:42">
      <c r="A4264">
        <v>4263</v>
      </c>
      <c r="B4264" t="str">
        <f>"002164"</f>
        <v>002164</v>
      </c>
      <c r="C4264" t="s">
        <v>20133</v>
      </c>
      <c r="D4264">
        <v>5.77</v>
      </c>
      <c r="E4264">
        <v>-0.17</v>
      </c>
      <c r="F4264">
        <v>-0.01</v>
      </c>
      <c r="G4264" t="s">
        <v>6203</v>
      </c>
      <c r="H4264">
        <v>121</v>
      </c>
      <c r="I4264">
        <v>5.76</v>
      </c>
      <c r="J4264">
        <v>5.77</v>
      </c>
      <c r="K4264" t="s">
        <v>20134</v>
      </c>
      <c r="L4264">
        <v>1</v>
      </c>
      <c r="M4264" t="s">
        <v>46</v>
      </c>
      <c r="N4264" t="s">
        <v>3553</v>
      </c>
      <c r="O4264">
        <v>5.8</v>
      </c>
      <c r="P4264">
        <v>5.72</v>
      </c>
      <c r="Q4264">
        <v>5.78</v>
      </c>
      <c r="R4264">
        <v>5.78</v>
      </c>
      <c r="S4264">
        <v>1.38</v>
      </c>
      <c r="T4264">
        <v>0.95</v>
      </c>
      <c r="U4264">
        <v>-35.53</v>
      </c>
      <c r="V4264">
        <v>-1261</v>
      </c>
      <c r="W4264">
        <v>5.76</v>
      </c>
      <c r="X4264" t="s">
        <v>3662</v>
      </c>
      <c r="Y4264" t="s">
        <v>3151</v>
      </c>
      <c r="Z4264">
        <v>1.05</v>
      </c>
      <c r="AA4264">
        <v>109</v>
      </c>
      <c r="AB4264">
        <v>30</v>
      </c>
      <c r="AC4264">
        <v>2.33</v>
      </c>
      <c r="AD4264" t="s">
        <v>11441</v>
      </c>
      <c r="AE4264" t="s">
        <v>9966</v>
      </c>
      <c r="AF4264" t="s">
        <v>20135</v>
      </c>
      <c r="AG4264" t="s">
        <v>5548</v>
      </c>
      <c r="AH4264">
        <v>-1.03</v>
      </c>
      <c r="AI4264">
        <v>-0.86</v>
      </c>
      <c r="AJ4264">
        <v>3.05</v>
      </c>
      <c r="AK4264">
        <v>6.28</v>
      </c>
      <c r="AL4264">
        <v>-3</v>
      </c>
      <c r="AM4264">
        <v>-0.17</v>
      </c>
      <c r="AN4264">
        <v>-6.63</v>
      </c>
      <c r="AO4264">
        <v>3.22</v>
      </c>
      <c r="AP4264">
        <v>-14.64</v>
      </c>
    </row>
    <row r="4265" spans="1:42">
      <c r="A4265">
        <v>4264</v>
      </c>
      <c r="B4265" t="str">
        <f>"300675"</f>
        <v>300675</v>
      </c>
      <c r="C4265" t="s">
        <v>20136</v>
      </c>
      <c r="D4265">
        <v>15.36</v>
      </c>
      <c r="E4265">
        <v>1.65</v>
      </c>
      <c r="F4265">
        <v>0.25</v>
      </c>
      <c r="G4265" t="s">
        <v>3069</v>
      </c>
      <c r="H4265">
        <v>253</v>
      </c>
      <c r="I4265">
        <v>15.35</v>
      </c>
      <c r="J4265">
        <v>15.36</v>
      </c>
      <c r="K4265" t="s">
        <v>20134</v>
      </c>
      <c r="L4265">
        <v>1.23</v>
      </c>
      <c r="M4265" t="s">
        <v>46</v>
      </c>
      <c r="N4265" t="s">
        <v>5465</v>
      </c>
      <c r="O4265">
        <v>15.43</v>
      </c>
      <c r="P4265">
        <v>15.03</v>
      </c>
      <c r="Q4265">
        <v>15.11</v>
      </c>
      <c r="R4265">
        <v>15.11</v>
      </c>
      <c r="S4265">
        <v>2.65</v>
      </c>
      <c r="T4265">
        <v>0.59</v>
      </c>
      <c r="U4265">
        <v>3.55</v>
      </c>
      <c r="V4265">
        <v>23</v>
      </c>
      <c r="W4265">
        <v>15.3</v>
      </c>
      <c r="X4265">
        <v>6955</v>
      </c>
      <c r="Y4265" t="s">
        <v>2807</v>
      </c>
      <c r="Z4265">
        <v>0.62</v>
      </c>
      <c r="AA4265">
        <v>82</v>
      </c>
      <c r="AB4265">
        <v>55</v>
      </c>
      <c r="AC4265">
        <v>4.15</v>
      </c>
      <c r="AD4265" t="s">
        <v>6574</v>
      </c>
      <c r="AE4265" t="s">
        <v>20137</v>
      </c>
      <c r="AF4265" t="s">
        <v>6574</v>
      </c>
      <c r="AG4265" t="s">
        <v>20137</v>
      </c>
      <c r="AH4265">
        <v>-0.26</v>
      </c>
      <c r="AI4265">
        <v>-3.76</v>
      </c>
      <c r="AJ4265">
        <v>4.43</v>
      </c>
      <c r="AK4265">
        <v>11.66</v>
      </c>
      <c r="AL4265">
        <v>1</v>
      </c>
      <c r="AM4265">
        <v>1.65</v>
      </c>
      <c r="AN4265">
        <v>8.7</v>
      </c>
      <c r="AO4265">
        <v>2.81</v>
      </c>
      <c r="AP4265">
        <v>-2.72</v>
      </c>
    </row>
    <row r="4266" spans="1:42">
      <c r="A4266">
        <v>4265</v>
      </c>
      <c r="B4266" t="str">
        <f>"301548"</f>
        <v>301548</v>
      </c>
      <c r="C4266" t="s">
        <v>20138</v>
      </c>
      <c r="D4266">
        <v>64.72</v>
      </c>
      <c r="E4266">
        <v>-0.14</v>
      </c>
      <c r="F4266">
        <v>-0.09</v>
      </c>
      <c r="G4266">
        <v>4307</v>
      </c>
      <c r="H4266">
        <v>36</v>
      </c>
      <c r="I4266">
        <v>64.7</v>
      </c>
      <c r="J4266">
        <v>64.72</v>
      </c>
      <c r="K4266" t="s">
        <v>20139</v>
      </c>
      <c r="L4266">
        <v>3.03</v>
      </c>
      <c r="M4266" t="s">
        <v>46</v>
      </c>
      <c r="N4266" t="s">
        <v>3735</v>
      </c>
      <c r="O4266">
        <v>65.26</v>
      </c>
      <c r="P4266">
        <v>63.42</v>
      </c>
      <c r="Q4266">
        <v>64.51</v>
      </c>
      <c r="R4266">
        <v>64.81</v>
      </c>
      <c r="S4266">
        <v>2.84</v>
      </c>
      <c r="T4266">
        <v>0.76</v>
      </c>
      <c r="U4266">
        <v>52.26</v>
      </c>
      <c r="V4266">
        <v>74</v>
      </c>
      <c r="W4266">
        <v>64.3</v>
      </c>
      <c r="X4266">
        <v>2222</v>
      </c>
      <c r="Y4266">
        <v>2085</v>
      </c>
      <c r="Z4266">
        <v>1.07</v>
      </c>
      <c r="AA4266">
        <v>2</v>
      </c>
      <c r="AB4266">
        <v>22</v>
      </c>
      <c r="AC4266">
        <v>2.75</v>
      </c>
      <c r="AD4266" t="s">
        <v>7827</v>
      </c>
      <c r="AE4266" t="s">
        <v>13177</v>
      </c>
      <c r="AF4266" t="s">
        <v>20140</v>
      </c>
      <c r="AG4266" t="s">
        <v>20141</v>
      </c>
      <c r="AH4266">
        <v>-1.94</v>
      </c>
      <c r="AI4266">
        <v>-2.49</v>
      </c>
      <c r="AJ4266">
        <v>11.97</v>
      </c>
      <c r="AK4266">
        <v>23.04</v>
      </c>
      <c r="AL4266">
        <v>-2</v>
      </c>
      <c r="AM4266">
        <v>-0.14</v>
      </c>
      <c r="AN4266">
        <v>-3.11</v>
      </c>
      <c r="AO4266">
        <v>2.93</v>
      </c>
      <c r="AP4266">
        <v>-3.11</v>
      </c>
    </row>
    <row r="4267" spans="1:42">
      <c r="A4267">
        <v>4266</v>
      </c>
      <c r="B4267" t="str">
        <f>"000626"</f>
        <v>000626</v>
      </c>
      <c r="C4267" t="s">
        <v>20142</v>
      </c>
      <c r="D4267">
        <v>7.33</v>
      </c>
      <c r="E4267">
        <v>1.52</v>
      </c>
      <c r="F4267">
        <v>0.11</v>
      </c>
      <c r="G4267" t="s">
        <v>16179</v>
      </c>
      <c r="H4267">
        <v>523</v>
      </c>
      <c r="I4267">
        <v>7.32</v>
      </c>
      <c r="J4267">
        <v>7.33</v>
      </c>
      <c r="K4267" t="s">
        <v>20143</v>
      </c>
      <c r="L4267">
        <v>0.76</v>
      </c>
      <c r="M4267" t="s">
        <v>46</v>
      </c>
      <c r="N4267" t="s">
        <v>20144</v>
      </c>
      <c r="O4267">
        <v>7.35</v>
      </c>
      <c r="P4267">
        <v>7.21</v>
      </c>
      <c r="Q4267">
        <v>7.21</v>
      </c>
      <c r="R4267">
        <v>7.22</v>
      </c>
      <c r="S4267">
        <v>1.94</v>
      </c>
      <c r="T4267">
        <v>1.36</v>
      </c>
      <c r="U4267">
        <v>-65.77</v>
      </c>
      <c r="V4267">
        <v>-1837</v>
      </c>
      <c r="W4267">
        <v>7.3</v>
      </c>
      <c r="X4267" t="s">
        <v>4943</v>
      </c>
      <c r="Y4267" t="s">
        <v>1520</v>
      </c>
      <c r="Z4267">
        <v>0.75</v>
      </c>
      <c r="AA4267">
        <v>23</v>
      </c>
      <c r="AB4267">
        <v>96</v>
      </c>
      <c r="AC4267">
        <v>1.25</v>
      </c>
      <c r="AD4267" t="s">
        <v>20145</v>
      </c>
      <c r="AE4267" t="s">
        <v>20146</v>
      </c>
      <c r="AF4267" t="s">
        <v>20147</v>
      </c>
      <c r="AG4267" t="s">
        <v>16953</v>
      </c>
      <c r="AH4267">
        <v>0.55</v>
      </c>
      <c r="AI4267">
        <v>0</v>
      </c>
      <c r="AJ4267">
        <v>1.75</v>
      </c>
      <c r="AK4267">
        <v>3.54</v>
      </c>
      <c r="AL4267">
        <v>1</v>
      </c>
      <c r="AM4267">
        <v>1.52</v>
      </c>
      <c r="AN4267">
        <v>-21.69</v>
      </c>
      <c r="AO4267">
        <v>2.95</v>
      </c>
      <c r="AP4267">
        <v>-32.88</v>
      </c>
    </row>
    <row r="4268" spans="1:42">
      <c r="A4268">
        <v>4267</v>
      </c>
      <c r="B4268" t="str">
        <f>"300712"</f>
        <v>300712</v>
      </c>
      <c r="C4268" t="s">
        <v>20148</v>
      </c>
      <c r="D4268">
        <v>26.6</v>
      </c>
      <c r="E4268">
        <v>0.34</v>
      </c>
      <c r="F4268">
        <v>0.09</v>
      </c>
      <c r="G4268" t="s">
        <v>1400</v>
      </c>
      <c r="H4268">
        <v>217</v>
      </c>
      <c r="I4268">
        <v>26.6</v>
      </c>
      <c r="J4268">
        <v>26.62</v>
      </c>
      <c r="K4268" t="s">
        <v>10870</v>
      </c>
      <c r="L4268">
        <v>0.56</v>
      </c>
      <c r="M4268" t="s">
        <v>46</v>
      </c>
      <c r="N4268" t="s">
        <v>1190</v>
      </c>
      <c r="O4268">
        <v>26.98</v>
      </c>
      <c r="P4268">
        <v>26.18</v>
      </c>
      <c r="Q4268">
        <v>26.8</v>
      </c>
      <c r="R4268">
        <v>26.51</v>
      </c>
      <c r="S4268">
        <v>3.02</v>
      </c>
      <c r="T4268">
        <v>1.01</v>
      </c>
      <c r="U4268">
        <v>-25.6</v>
      </c>
      <c r="V4268">
        <v>-53</v>
      </c>
      <c r="W4268">
        <v>26.44</v>
      </c>
      <c r="X4268">
        <v>5324</v>
      </c>
      <c r="Y4268">
        <v>5140</v>
      </c>
      <c r="Z4268">
        <v>1.04</v>
      </c>
      <c r="AA4268">
        <v>10</v>
      </c>
      <c r="AB4268">
        <v>10</v>
      </c>
      <c r="AC4268">
        <v>3.66</v>
      </c>
      <c r="AD4268" t="s">
        <v>20149</v>
      </c>
      <c r="AE4268" t="s">
        <v>3417</v>
      </c>
      <c r="AF4268" t="s">
        <v>11797</v>
      </c>
      <c r="AG4268" t="s">
        <v>9958</v>
      </c>
      <c r="AH4268">
        <v>-2.39</v>
      </c>
      <c r="AI4268">
        <v>-5.34</v>
      </c>
      <c r="AJ4268">
        <v>1.52</v>
      </c>
      <c r="AK4268">
        <v>3.32</v>
      </c>
      <c r="AL4268">
        <v>1</v>
      </c>
      <c r="AM4268">
        <v>0.34</v>
      </c>
      <c r="AN4268">
        <v>-39.91</v>
      </c>
      <c r="AO4268">
        <v>-3.03</v>
      </c>
      <c r="AP4268">
        <v>-34.96</v>
      </c>
    </row>
    <row r="4269" spans="1:42">
      <c r="A4269">
        <v>4268</v>
      </c>
      <c r="B4269" t="str">
        <f>"603829"</f>
        <v>603829</v>
      </c>
      <c r="C4269" t="s">
        <v>20150</v>
      </c>
      <c r="D4269">
        <v>15.61</v>
      </c>
      <c r="E4269">
        <v>-1.27</v>
      </c>
      <c r="F4269">
        <v>-0.2</v>
      </c>
      <c r="G4269" t="s">
        <v>60</v>
      </c>
      <c r="H4269">
        <v>219</v>
      </c>
      <c r="I4269">
        <v>15.6</v>
      </c>
      <c r="J4269">
        <v>15.61</v>
      </c>
      <c r="K4269" t="s">
        <v>10870</v>
      </c>
      <c r="L4269">
        <v>1.11</v>
      </c>
      <c r="M4269" t="s">
        <v>46</v>
      </c>
      <c r="N4269" t="s">
        <v>2533</v>
      </c>
      <c r="O4269">
        <v>15.8</v>
      </c>
      <c r="P4269">
        <v>15.3</v>
      </c>
      <c r="Q4269">
        <v>15.6</v>
      </c>
      <c r="R4269">
        <v>15.81</v>
      </c>
      <c r="S4269">
        <v>3.16</v>
      </c>
      <c r="T4269">
        <v>0.72</v>
      </c>
      <c r="U4269">
        <v>-7.66</v>
      </c>
      <c r="V4269">
        <v>-34</v>
      </c>
      <c r="W4269">
        <v>15.55</v>
      </c>
      <c r="X4269">
        <v>9845</v>
      </c>
      <c r="Y4269">
        <v>7952</v>
      </c>
      <c r="Z4269">
        <v>1.24</v>
      </c>
      <c r="AA4269">
        <v>25</v>
      </c>
      <c r="AB4269">
        <v>111</v>
      </c>
      <c r="AC4269">
        <v>2.74</v>
      </c>
      <c r="AD4269" t="s">
        <v>2521</v>
      </c>
      <c r="AE4269" t="s">
        <v>20115</v>
      </c>
      <c r="AF4269" t="s">
        <v>2521</v>
      </c>
      <c r="AG4269" t="s">
        <v>20115</v>
      </c>
      <c r="AH4269">
        <v>0.19</v>
      </c>
      <c r="AI4269">
        <v>2.09</v>
      </c>
      <c r="AJ4269">
        <v>3.54</v>
      </c>
      <c r="AK4269">
        <v>8.82</v>
      </c>
      <c r="AL4269">
        <v>-1</v>
      </c>
      <c r="AM4269">
        <v>-1.27</v>
      </c>
      <c r="AN4269">
        <v>49.66</v>
      </c>
      <c r="AO4269">
        <v>5.26</v>
      </c>
      <c r="AP4269">
        <v>32.96</v>
      </c>
    </row>
    <row r="4270" spans="1:42">
      <c r="A4270">
        <v>4269</v>
      </c>
      <c r="B4270" t="str">
        <f>"002455"</f>
        <v>002455</v>
      </c>
      <c r="C4270" t="s">
        <v>20151</v>
      </c>
      <c r="D4270">
        <v>7.23</v>
      </c>
      <c r="E4270">
        <v>0.28</v>
      </c>
      <c r="F4270">
        <v>0.02</v>
      </c>
      <c r="G4270" t="s">
        <v>4846</v>
      </c>
      <c r="H4270">
        <v>104</v>
      </c>
      <c r="I4270">
        <v>7.22</v>
      </c>
      <c r="J4270">
        <v>7.23</v>
      </c>
      <c r="K4270" t="s">
        <v>20152</v>
      </c>
      <c r="L4270">
        <v>0.77</v>
      </c>
      <c r="M4270" t="s">
        <v>46</v>
      </c>
      <c r="N4270" t="s">
        <v>4457</v>
      </c>
      <c r="O4270">
        <v>7.26</v>
      </c>
      <c r="P4270">
        <v>7.14</v>
      </c>
      <c r="Q4270">
        <v>7.23</v>
      </c>
      <c r="R4270">
        <v>7.21</v>
      </c>
      <c r="S4270">
        <v>1.66</v>
      </c>
      <c r="T4270">
        <v>0.84</v>
      </c>
      <c r="U4270">
        <v>3.51</v>
      </c>
      <c r="V4270">
        <v>192</v>
      </c>
      <c r="W4270">
        <v>7.2</v>
      </c>
      <c r="X4270" t="s">
        <v>2694</v>
      </c>
      <c r="Y4270" t="s">
        <v>6425</v>
      </c>
      <c r="Z4270">
        <v>0.98</v>
      </c>
      <c r="AA4270">
        <v>569</v>
      </c>
      <c r="AB4270">
        <v>202</v>
      </c>
      <c r="AC4270">
        <v>2.08</v>
      </c>
      <c r="AD4270" t="s">
        <v>20153</v>
      </c>
      <c r="AE4270" t="s">
        <v>20154</v>
      </c>
      <c r="AF4270" t="s">
        <v>17496</v>
      </c>
      <c r="AG4270" t="s">
        <v>16337</v>
      </c>
      <c r="AH4270">
        <v>-1.5</v>
      </c>
      <c r="AI4270">
        <v>-3.98</v>
      </c>
      <c r="AJ4270">
        <v>2.58</v>
      </c>
      <c r="AK4270">
        <v>5.37</v>
      </c>
      <c r="AL4270">
        <v>1</v>
      </c>
      <c r="AM4270">
        <v>0.28</v>
      </c>
      <c r="AN4270">
        <v>-21.75</v>
      </c>
      <c r="AO4270">
        <v>1.54</v>
      </c>
      <c r="AP4270">
        <v>-28.06</v>
      </c>
    </row>
    <row r="4271" spans="1:42">
      <c r="A4271">
        <v>4270</v>
      </c>
      <c r="B4271" t="str">
        <f>"300972"</f>
        <v>300972</v>
      </c>
      <c r="C4271" t="s">
        <v>20155</v>
      </c>
      <c r="D4271">
        <v>33</v>
      </c>
      <c r="E4271">
        <v>-0.39</v>
      </c>
      <c r="F4271">
        <v>-0.13</v>
      </c>
      <c r="G4271">
        <v>8401</v>
      </c>
      <c r="H4271">
        <v>59</v>
      </c>
      <c r="I4271">
        <v>32.97</v>
      </c>
      <c r="J4271">
        <v>33</v>
      </c>
      <c r="K4271" t="s">
        <v>20152</v>
      </c>
      <c r="L4271">
        <v>1.11</v>
      </c>
      <c r="M4271" t="s">
        <v>46</v>
      </c>
      <c r="N4271" t="s">
        <v>12935</v>
      </c>
      <c r="O4271">
        <v>33.28</v>
      </c>
      <c r="P4271">
        <v>32.68</v>
      </c>
      <c r="Q4271">
        <v>33.26</v>
      </c>
      <c r="R4271">
        <v>33.13</v>
      </c>
      <c r="S4271">
        <v>1.81</v>
      </c>
      <c r="T4271">
        <v>0.64</v>
      </c>
      <c r="U4271">
        <v>-15.2</v>
      </c>
      <c r="V4271">
        <v>-62</v>
      </c>
      <c r="W4271">
        <v>32.9</v>
      </c>
      <c r="X4271">
        <v>3766</v>
      </c>
      <c r="Y4271">
        <v>4635</v>
      </c>
      <c r="Z4271">
        <v>0.81</v>
      </c>
      <c r="AA4271">
        <v>50</v>
      </c>
      <c r="AB4271">
        <v>10</v>
      </c>
      <c r="AC4271">
        <v>7.27</v>
      </c>
      <c r="AD4271" t="s">
        <v>16993</v>
      </c>
      <c r="AE4271" t="s">
        <v>7046</v>
      </c>
      <c r="AF4271" t="s">
        <v>20156</v>
      </c>
      <c r="AG4271" t="s">
        <v>20157</v>
      </c>
      <c r="AH4271">
        <v>0</v>
      </c>
      <c r="AI4271">
        <v>-3.4</v>
      </c>
      <c r="AJ4271">
        <v>5.22</v>
      </c>
      <c r="AK4271">
        <v>9.78</v>
      </c>
      <c r="AL4271">
        <v>-1</v>
      </c>
      <c r="AM4271">
        <v>-0.39</v>
      </c>
      <c r="AN4271">
        <v>174.09</v>
      </c>
      <c r="AO4271">
        <v>-8.05</v>
      </c>
      <c r="AP4271">
        <v>173.41</v>
      </c>
    </row>
    <row r="4272" spans="1:42">
      <c r="A4272">
        <v>4271</v>
      </c>
      <c r="B4272" t="str">
        <f>"000584"</f>
        <v>000584</v>
      </c>
      <c r="C4272" t="s">
        <v>20158</v>
      </c>
      <c r="D4272">
        <v>4.22</v>
      </c>
      <c r="E4272">
        <v>0</v>
      </c>
      <c r="F4272">
        <v>0</v>
      </c>
      <c r="G4272" t="s">
        <v>7940</v>
      </c>
      <c r="H4272">
        <v>387</v>
      </c>
      <c r="I4272">
        <v>4.21</v>
      </c>
      <c r="J4272">
        <v>4.22</v>
      </c>
      <c r="K4272" t="s">
        <v>16555</v>
      </c>
      <c r="L4272">
        <v>0.88</v>
      </c>
      <c r="M4272" t="s">
        <v>46</v>
      </c>
      <c r="N4272" t="s">
        <v>1592</v>
      </c>
      <c r="O4272">
        <v>4.24</v>
      </c>
      <c r="P4272">
        <v>4.17</v>
      </c>
      <c r="Q4272">
        <v>4.19</v>
      </c>
      <c r="R4272">
        <v>4.22</v>
      </c>
      <c r="S4272">
        <v>1.66</v>
      </c>
      <c r="T4272">
        <v>0.66</v>
      </c>
      <c r="U4272">
        <v>24.07</v>
      </c>
      <c r="V4272">
        <v>4041</v>
      </c>
      <c r="W4272">
        <v>4.2</v>
      </c>
      <c r="X4272" t="s">
        <v>7062</v>
      </c>
      <c r="Y4272" t="s">
        <v>299</v>
      </c>
      <c r="Z4272">
        <v>1.74</v>
      </c>
      <c r="AA4272">
        <v>4282</v>
      </c>
      <c r="AB4272">
        <v>662</v>
      </c>
      <c r="AC4272">
        <v>3.16</v>
      </c>
      <c r="AD4272" t="s">
        <v>20159</v>
      </c>
      <c r="AE4272" t="s">
        <v>5200</v>
      </c>
      <c r="AF4272" t="s">
        <v>20160</v>
      </c>
      <c r="AG4272" t="s">
        <v>6937</v>
      </c>
      <c r="AH4272">
        <v>-1.4</v>
      </c>
      <c r="AI4272">
        <v>-3.65</v>
      </c>
      <c r="AJ4272">
        <v>3.59</v>
      </c>
      <c r="AK4272">
        <v>7.52</v>
      </c>
      <c r="AL4272">
        <v>0</v>
      </c>
      <c r="AM4272">
        <v>0</v>
      </c>
      <c r="AN4272">
        <v>-38.66</v>
      </c>
      <c r="AO4272">
        <v>0</v>
      </c>
      <c r="AP4272">
        <v>-42.11</v>
      </c>
    </row>
    <row r="4273" spans="1:42">
      <c r="A4273">
        <v>4272</v>
      </c>
      <c r="B4273" t="str">
        <f>"300774"</f>
        <v>300774</v>
      </c>
      <c r="C4273" t="s">
        <v>20161</v>
      </c>
      <c r="D4273">
        <v>10.85</v>
      </c>
      <c r="E4273">
        <v>-1</v>
      </c>
      <c r="F4273">
        <v>-0.11</v>
      </c>
      <c r="G4273" t="s">
        <v>9251</v>
      </c>
      <c r="H4273">
        <v>239</v>
      </c>
      <c r="I4273">
        <v>10.85</v>
      </c>
      <c r="J4273">
        <v>10.86</v>
      </c>
      <c r="K4273" t="s">
        <v>20162</v>
      </c>
      <c r="L4273">
        <v>2.05</v>
      </c>
      <c r="M4273" t="s">
        <v>46</v>
      </c>
      <c r="N4273" t="s">
        <v>2487</v>
      </c>
      <c r="O4273">
        <v>11.01</v>
      </c>
      <c r="P4273">
        <v>10.76</v>
      </c>
      <c r="Q4273">
        <v>10.94</v>
      </c>
      <c r="R4273">
        <v>10.96</v>
      </c>
      <c r="S4273">
        <v>2.28</v>
      </c>
      <c r="T4273">
        <v>1.3</v>
      </c>
      <c r="U4273">
        <v>-40.73</v>
      </c>
      <c r="V4273">
        <v>-404</v>
      </c>
      <c r="W4273">
        <v>10.88</v>
      </c>
      <c r="X4273" t="s">
        <v>6212</v>
      </c>
      <c r="Y4273" t="s">
        <v>6212</v>
      </c>
      <c r="Z4273">
        <v>1</v>
      </c>
      <c r="AA4273">
        <v>84</v>
      </c>
      <c r="AB4273">
        <v>248</v>
      </c>
      <c r="AC4273">
        <v>3.01</v>
      </c>
      <c r="AD4273" t="s">
        <v>14255</v>
      </c>
      <c r="AE4273" t="s">
        <v>17851</v>
      </c>
      <c r="AF4273" t="s">
        <v>7508</v>
      </c>
      <c r="AG4273" t="s">
        <v>8064</v>
      </c>
      <c r="AH4273">
        <v>-3.21</v>
      </c>
      <c r="AI4273">
        <v>-3.56</v>
      </c>
      <c r="AJ4273">
        <v>5.4</v>
      </c>
      <c r="AK4273">
        <v>9.9</v>
      </c>
      <c r="AL4273">
        <v>-3</v>
      </c>
      <c r="AM4273">
        <v>-1</v>
      </c>
      <c r="AN4273">
        <v>-5.73</v>
      </c>
      <c r="AO4273">
        <v>0.56</v>
      </c>
      <c r="AP4273">
        <v>-17.62</v>
      </c>
    </row>
    <row r="4274" spans="1:42">
      <c r="A4274">
        <v>4273</v>
      </c>
      <c r="B4274" t="str">
        <f>"002769"</f>
        <v>002769</v>
      </c>
      <c r="C4274" t="s">
        <v>20163</v>
      </c>
      <c r="D4274">
        <v>8.87</v>
      </c>
      <c r="E4274">
        <v>-0.11</v>
      </c>
      <c r="F4274">
        <v>-0.01</v>
      </c>
      <c r="G4274" t="s">
        <v>6657</v>
      </c>
      <c r="H4274">
        <v>214</v>
      </c>
      <c r="I4274">
        <v>8.87</v>
      </c>
      <c r="J4274">
        <v>8.88</v>
      </c>
      <c r="K4274" t="s">
        <v>20162</v>
      </c>
      <c r="L4274">
        <v>0.94</v>
      </c>
      <c r="M4274" t="s">
        <v>46</v>
      </c>
      <c r="N4274" t="s">
        <v>2858</v>
      </c>
      <c r="O4274">
        <v>8.98</v>
      </c>
      <c r="P4274">
        <v>8.79</v>
      </c>
      <c r="Q4274">
        <v>8.88</v>
      </c>
      <c r="R4274">
        <v>8.88</v>
      </c>
      <c r="S4274">
        <v>2.14</v>
      </c>
      <c r="T4274">
        <v>0.84</v>
      </c>
      <c r="U4274">
        <v>55.6</v>
      </c>
      <c r="V4274">
        <v>779</v>
      </c>
      <c r="W4274">
        <v>8.91</v>
      </c>
      <c r="X4274" t="s">
        <v>7487</v>
      </c>
      <c r="Y4274" t="s">
        <v>7656</v>
      </c>
      <c r="Z4274">
        <v>1.09</v>
      </c>
      <c r="AA4274">
        <v>80</v>
      </c>
      <c r="AB4274">
        <v>26</v>
      </c>
      <c r="AC4274">
        <v>2.53</v>
      </c>
      <c r="AD4274" t="s">
        <v>20164</v>
      </c>
      <c r="AE4274" t="s">
        <v>20165</v>
      </c>
      <c r="AF4274" t="s">
        <v>20166</v>
      </c>
      <c r="AG4274" t="s">
        <v>15533</v>
      </c>
      <c r="AH4274">
        <v>-0.89</v>
      </c>
      <c r="AI4274">
        <v>-1.33</v>
      </c>
      <c r="AJ4274">
        <v>2.92</v>
      </c>
      <c r="AK4274">
        <v>6.52</v>
      </c>
      <c r="AL4274">
        <v>-4</v>
      </c>
      <c r="AM4274">
        <v>-0.11</v>
      </c>
      <c r="AN4274">
        <v>7.38</v>
      </c>
      <c r="AO4274">
        <v>-0.11</v>
      </c>
      <c r="AP4274">
        <v>1.14</v>
      </c>
    </row>
    <row r="4275" spans="1:42">
      <c r="A4275">
        <v>4274</v>
      </c>
      <c r="B4275" t="str">
        <f>"688507"</f>
        <v>688507</v>
      </c>
      <c r="C4275" t="s">
        <v>20167</v>
      </c>
      <c r="D4275">
        <v>123.43</v>
      </c>
      <c r="E4275">
        <v>1.45</v>
      </c>
      <c r="F4275">
        <v>1.76</v>
      </c>
      <c r="G4275">
        <v>2254</v>
      </c>
      <c r="H4275">
        <v>23</v>
      </c>
      <c r="I4275">
        <v>123.03</v>
      </c>
      <c r="J4275">
        <v>123.43</v>
      </c>
      <c r="K4275" t="s">
        <v>20168</v>
      </c>
      <c r="L4275">
        <v>1.56</v>
      </c>
      <c r="M4275" t="s">
        <v>46</v>
      </c>
      <c r="N4275" t="s">
        <v>15764</v>
      </c>
      <c r="O4275">
        <v>124.72</v>
      </c>
      <c r="P4275">
        <v>119.55</v>
      </c>
      <c r="Q4275">
        <v>121.18</v>
      </c>
      <c r="R4275">
        <v>121.67</v>
      </c>
      <c r="S4275">
        <v>4.25</v>
      </c>
      <c r="T4275">
        <v>0.87</v>
      </c>
      <c r="U4275">
        <v>-39.91</v>
      </c>
      <c r="V4275">
        <v>-23</v>
      </c>
      <c r="W4275">
        <v>122.02</v>
      </c>
      <c r="X4275">
        <v>644</v>
      </c>
      <c r="Y4275">
        <v>1610</v>
      </c>
      <c r="Z4275">
        <v>0.4</v>
      </c>
      <c r="AA4275">
        <v>2</v>
      </c>
      <c r="AB4275">
        <v>11</v>
      </c>
      <c r="AC4275">
        <v>2.7</v>
      </c>
      <c r="AD4275" t="s">
        <v>14606</v>
      </c>
      <c r="AE4275" t="s">
        <v>20169</v>
      </c>
      <c r="AF4275" t="s">
        <v>20170</v>
      </c>
      <c r="AG4275" t="s">
        <v>8947</v>
      </c>
      <c r="AH4275">
        <v>2.35</v>
      </c>
      <c r="AI4275">
        <v>-1.41</v>
      </c>
      <c r="AJ4275">
        <v>4.98</v>
      </c>
      <c r="AK4275">
        <v>10.51</v>
      </c>
      <c r="AL4275">
        <v>2</v>
      </c>
      <c r="AM4275">
        <v>1.45</v>
      </c>
      <c r="AN4275">
        <v>-25.56</v>
      </c>
      <c r="AO4275">
        <v>11.41</v>
      </c>
      <c r="AP4275">
        <v>-25.56</v>
      </c>
    </row>
    <row r="4276" spans="1:42">
      <c r="A4276">
        <v>4275</v>
      </c>
      <c r="B4276" t="str">
        <f>"000037"</f>
        <v>000037</v>
      </c>
      <c r="C4276" t="s">
        <v>20171</v>
      </c>
      <c r="D4276">
        <v>8.7</v>
      </c>
      <c r="E4276">
        <v>0</v>
      </c>
      <c r="F4276">
        <v>0</v>
      </c>
      <c r="G4276" t="s">
        <v>3226</v>
      </c>
      <c r="H4276">
        <v>250</v>
      </c>
      <c r="I4276">
        <v>8.7</v>
      </c>
      <c r="J4276">
        <v>8.71</v>
      </c>
      <c r="K4276" t="s">
        <v>20172</v>
      </c>
      <c r="L4276">
        <v>0.93</v>
      </c>
      <c r="M4276" t="s">
        <v>46</v>
      </c>
      <c r="N4276" t="s">
        <v>3166</v>
      </c>
      <c r="O4276">
        <v>8.76</v>
      </c>
      <c r="P4276">
        <v>8.67</v>
      </c>
      <c r="Q4276">
        <v>8.71</v>
      </c>
      <c r="R4276">
        <v>8.7</v>
      </c>
      <c r="S4276">
        <v>1.03</v>
      </c>
      <c r="T4276">
        <v>0.72</v>
      </c>
      <c r="U4276">
        <v>-19.72</v>
      </c>
      <c r="V4276">
        <v>-1045</v>
      </c>
      <c r="W4276">
        <v>8.71</v>
      </c>
      <c r="X4276" t="s">
        <v>2371</v>
      </c>
      <c r="Y4276" t="s">
        <v>1692</v>
      </c>
      <c r="Z4276">
        <v>0.92</v>
      </c>
      <c r="AA4276">
        <v>867</v>
      </c>
      <c r="AB4276">
        <v>111</v>
      </c>
      <c r="AC4276">
        <v>3.68</v>
      </c>
      <c r="AD4276" t="s">
        <v>20173</v>
      </c>
      <c r="AE4276" t="s">
        <v>3105</v>
      </c>
      <c r="AF4276" t="s">
        <v>20174</v>
      </c>
      <c r="AG4276" t="s">
        <v>9397</v>
      </c>
      <c r="AH4276">
        <v>-1.14</v>
      </c>
      <c r="AI4276">
        <v>-0.91</v>
      </c>
      <c r="AJ4276">
        <v>3.32</v>
      </c>
      <c r="AK4276">
        <v>7.42</v>
      </c>
      <c r="AL4276">
        <v>0</v>
      </c>
      <c r="AM4276">
        <v>0</v>
      </c>
      <c r="AN4276">
        <v>8.48</v>
      </c>
      <c r="AO4276">
        <v>3.2</v>
      </c>
      <c r="AP4276">
        <v>5.45</v>
      </c>
    </row>
    <row r="4277" spans="1:42">
      <c r="A4277">
        <v>4276</v>
      </c>
      <c r="B4277" t="str">
        <f>"301322"</f>
        <v>301322</v>
      </c>
      <c r="C4277" t="s">
        <v>20175</v>
      </c>
      <c r="D4277">
        <v>44.4</v>
      </c>
      <c r="E4277">
        <v>0.48</v>
      </c>
      <c r="F4277">
        <v>0.21</v>
      </c>
      <c r="G4277">
        <v>6232</v>
      </c>
      <c r="H4277">
        <v>42</v>
      </c>
      <c r="I4277">
        <v>44.4</v>
      </c>
      <c r="J4277">
        <v>44.46</v>
      </c>
      <c r="K4277" t="s">
        <v>20176</v>
      </c>
      <c r="L4277">
        <v>2.38</v>
      </c>
      <c r="M4277" t="s">
        <v>46</v>
      </c>
      <c r="N4277" t="s">
        <v>1575</v>
      </c>
      <c r="O4277">
        <v>44.68</v>
      </c>
      <c r="P4277">
        <v>43.55</v>
      </c>
      <c r="Q4277">
        <v>44.35</v>
      </c>
      <c r="R4277">
        <v>44.19</v>
      </c>
      <c r="S4277">
        <v>2.56</v>
      </c>
      <c r="T4277">
        <v>1.01</v>
      </c>
      <c r="U4277">
        <v>-52.17</v>
      </c>
      <c r="V4277">
        <v>-72</v>
      </c>
      <c r="W4277">
        <v>44.09</v>
      </c>
      <c r="X4277">
        <v>2564</v>
      </c>
      <c r="Y4277">
        <v>3668</v>
      </c>
      <c r="Z4277">
        <v>0.7</v>
      </c>
      <c r="AA4277">
        <v>2</v>
      </c>
      <c r="AB4277">
        <v>13</v>
      </c>
      <c r="AC4277">
        <v>1.64</v>
      </c>
      <c r="AD4277" t="s">
        <v>20177</v>
      </c>
      <c r="AE4277" t="s">
        <v>20178</v>
      </c>
      <c r="AF4277" t="s">
        <v>20179</v>
      </c>
      <c r="AG4277" t="s">
        <v>113</v>
      </c>
      <c r="AH4277">
        <v>-2.74</v>
      </c>
      <c r="AI4277">
        <v>-3.39</v>
      </c>
      <c r="AJ4277">
        <v>7.32</v>
      </c>
      <c r="AK4277">
        <v>14.19</v>
      </c>
      <c r="AL4277">
        <v>1</v>
      </c>
      <c r="AM4277">
        <v>0.48</v>
      </c>
      <c r="AN4277">
        <v>-48.32</v>
      </c>
      <c r="AO4277">
        <v>1.37</v>
      </c>
      <c r="AP4277">
        <v>-48.32</v>
      </c>
    </row>
    <row r="4278" spans="1:42">
      <c r="A4278">
        <v>4277</v>
      </c>
      <c r="B4278" t="str">
        <f>"001207"</f>
        <v>001207</v>
      </c>
      <c r="C4278" t="s">
        <v>20180</v>
      </c>
      <c r="D4278">
        <v>17.01</v>
      </c>
      <c r="E4278">
        <v>-0.87</v>
      </c>
      <c r="F4278">
        <v>-0.15</v>
      </c>
      <c r="G4278" t="s">
        <v>7487</v>
      </c>
      <c r="H4278">
        <v>166</v>
      </c>
      <c r="I4278">
        <v>16.99</v>
      </c>
      <c r="J4278">
        <v>17.01</v>
      </c>
      <c r="K4278" t="s">
        <v>20181</v>
      </c>
      <c r="L4278">
        <v>2.49</v>
      </c>
      <c r="M4278" t="s">
        <v>46</v>
      </c>
      <c r="N4278" t="s">
        <v>5535</v>
      </c>
      <c r="O4278">
        <v>17.17</v>
      </c>
      <c r="P4278">
        <v>16.88</v>
      </c>
      <c r="Q4278">
        <v>17.17</v>
      </c>
      <c r="R4278">
        <v>17.16</v>
      </c>
      <c r="S4278">
        <v>1.69</v>
      </c>
      <c r="T4278">
        <v>0.82</v>
      </c>
      <c r="U4278">
        <v>30</v>
      </c>
      <c r="V4278">
        <v>72</v>
      </c>
      <c r="W4278">
        <v>17.03</v>
      </c>
      <c r="X4278">
        <v>8108</v>
      </c>
      <c r="Y4278">
        <v>8014</v>
      </c>
      <c r="Z4278">
        <v>1.01</v>
      </c>
      <c r="AA4278">
        <v>2</v>
      </c>
      <c r="AB4278">
        <v>28</v>
      </c>
      <c r="AC4278">
        <v>2.03</v>
      </c>
      <c r="AD4278" t="s">
        <v>17587</v>
      </c>
      <c r="AE4278" t="s">
        <v>6658</v>
      </c>
      <c r="AF4278" t="s">
        <v>20182</v>
      </c>
      <c r="AG4278" t="s">
        <v>18403</v>
      </c>
      <c r="AH4278">
        <v>-2.74</v>
      </c>
      <c r="AI4278">
        <v>-1.79</v>
      </c>
      <c r="AJ4278">
        <v>9.88</v>
      </c>
      <c r="AK4278">
        <v>17.67</v>
      </c>
      <c r="AL4278">
        <v>-2</v>
      </c>
      <c r="AM4278">
        <v>-0.87</v>
      </c>
      <c r="AN4278">
        <v>27.42</v>
      </c>
      <c r="AO4278">
        <v>-0.35</v>
      </c>
      <c r="AP4278">
        <v>14.24</v>
      </c>
    </row>
    <row r="4279" spans="1:42">
      <c r="A4279">
        <v>4278</v>
      </c>
      <c r="B4279" t="str">
        <f>"300553"</f>
        <v>300553</v>
      </c>
      <c r="C4279" t="s">
        <v>20183</v>
      </c>
      <c r="D4279">
        <v>43.65</v>
      </c>
      <c r="E4279">
        <v>-0.98</v>
      </c>
      <c r="F4279">
        <v>-0.43</v>
      </c>
      <c r="G4279">
        <v>6310</v>
      </c>
      <c r="H4279">
        <v>111</v>
      </c>
      <c r="I4279">
        <v>43.65</v>
      </c>
      <c r="J4279">
        <v>43.67</v>
      </c>
      <c r="K4279" t="s">
        <v>8639</v>
      </c>
      <c r="L4279">
        <v>1.18</v>
      </c>
      <c r="M4279" t="s">
        <v>46</v>
      </c>
      <c r="N4279" t="s">
        <v>987</v>
      </c>
      <c r="O4279">
        <v>44.11</v>
      </c>
      <c r="P4279">
        <v>43.11</v>
      </c>
      <c r="Q4279">
        <v>44.11</v>
      </c>
      <c r="R4279">
        <v>44.08</v>
      </c>
      <c r="S4279">
        <v>2.27</v>
      </c>
      <c r="T4279">
        <v>0.66</v>
      </c>
      <c r="U4279">
        <v>-92.47</v>
      </c>
      <c r="V4279">
        <v>-983</v>
      </c>
      <c r="W4279">
        <v>43.49</v>
      </c>
      <c r="X4279">
        <v>3490</v>
      </c>
      <c r="Y4279">
        <v>2820</v>
      </c>
      <c r="Z4279">
        <v>1.24</v>
      </c>
      <c r="AA4279">
        <v>3</v>
      </c>
      <c r="AB4279">
        <v>2</v>
      </c>
      <c r="AC4279">
        <v>5</v>
      </c>
      <c r="AD4279" t="s">
        <v>12470</v>
      </c>
      <c r="AE4279" t="s">
        <v>5130</v>
      </c>
      <c r="AF4279" t="s">
        <v>15570</v>
      </c>
      <c r="AG4279" t="s">
        <v>19031</v>
      </c>
      <c r="AH4279">
        <v>-1.89</v>
      </c>
      <c r="AI4279">
        <v>-2.15</v>
      </c>
      <c r="AJ4279">
        <v>3.8</v>
      </c>
      <c r="AK4279">
        <v>10.06</v>
      </c>
      <c r="AL4279">
        <v>-1</v>
      </c>
      <c r="AM4279">
        <v>-0.98</v>
      </c>
      <c r="AN4279">
        <v>-8.78</v>
      </c>
      <c r="AO4279">
        <v>3.19</v>
      </c>
      <c r="AP4279">
        <v>3.83</v>
      </c>
    </row>
    <row r="4280" spans="1:42">
      <c r="A4280">
        <v>4279</v>
      </c>
      <c r="B4280" t="str">
        <f>"603587"</f>
        <v>603587</v>
      </c>
      <c r="C4280" t="s">
        <v>20184</v>
      </c>
      <c r="D4280">
        <v>13.91</v>
      </c>
      <c r="E4280">
        <v>0.14</v>
      </c>
      <c r="F4280">
        <v>0.02</v>
      </c>
      <c r="G4280" t="s">
        <v>2924</v>
      </c>
      <c r="H4280">
        <v>85</v>
      </c>
      <c r="I4280">
        <v>13.91</v>
      </c>
      <c r="J4280">
        <v>13.92</v>
      </c>
      <c r="K4280" t="s">
        <v>8639</v>
      </c>
      <c r="L4280">
        <v>0.42</v>
      </c>
      <c r="M4280" t="s">
        <v>46</v>
      </c>
      <c r="N4280" t="s">
        <v>5506</v>
      </c>
      <c r="O4280">
        <v>13.97</v>
      </c>
      <c r="P4280">
        <v>13.82</v>
      </c>
      <c r="Q4280">
        <v>13.92</v>
      </c>
      <c r="R4280">
        <v>13.89</v>
      </c>
      <c r="S4280">
        <v>1.08</v>
      </c>
      <c r="T4280">
        <v>1.13</v>
      </c>
      <c r="U4280">
        <v>-26.33</v>
      </c>
      <c r="V4280">
        <v>-356</v>
      </c>
      <c r="W4280">
        <v>13.9</v>
      </c>
      <c r="X4280" t="s">
        <v>239</v>
      </c>
      <c r="Y4280">
        <v>9366</v>
      </c>
      <c r="Z4280">
        <v>1.11</v>
      </c>
      <c r="AA4280">
        <v>20</v>
      </c>
      <c r="AB4280">
        <v>43</v>
      </c>
      <c r="AC4280">
        <v>1.82</v>
      </c>
      <c r="AD4280" t="s">
        <v>20185</v>
      </c>
      <c r="AE4280" t="s">
        <v>20186</v>
      </c>
      <c r="AF4280" t="s">
        <v>20187</v>
      </c>
      <c r="AG4280" t="s">
        <v>20188</v>
      </c>
      <c r="AH4280">
        <v>-1.07</v>
      </c>
      <c r="AI4280">
        <v>-1.42</v>
      </c>
      <c r="AJ4280">
        <v>1.19</v>
      </c>
      <c r="AK4280">
        <v>2.24</v>
      </c>
      <c r="AL4280">
        <v>1</v>
      </c>
      <c r="AM4280">
        <v>0.14</v>
      </c>
      <c r="AN4280">
        <v>-4.2</v>
      </c>
      <c r="AO4280">
        <v>-1.14</v>
      </c>
      <c r="AP4280">
        <v>1.09</v>
      </c>
    </row>
    <row r="4281" spans="1:42">
      <c r="A4281">
        <v>4280</v>
      </c>
      <c r="B4281" t="str">
        <f>"002170"</f>
        <v>002170</v>
      </c>
      <c r="C4281" t="s">
        <v>20189</v>
      </c>
      <c r="D4281">
        <v>5.53</v>
      </c>
      <c r="E4281">
        <v>0</v>
      </c>
      <c r="F4281">
        <v>0</v>
      </c>
      <c r="G4281" t="s">
        <v>3356</v>
      </c>
      <c r="H4281">
        <v>433</v>
      </c>
      <c r="I4281">
        <v>5.53</v>
      </c>
      <c r="J4281">
        <v>5.54</v>
      </c>
      <c r="K4281" t="s">
        <v>20190</v>
      </c>
      <c r="L4281">
        <v>0.7</v>
      </c>
      <c r="M4281" t="s">
        <v>46</v>
      </c>
      <c r="N4281" t="s">
        <v>3334</v>
      </c>
      <c r="O4281">
        <v>5.57</v>
      </c>
      <c r="P4281">
        <v>5.49</v>
      </c>
      <c r="Q4281">
        <v>5.53</v>
      </c>
      <c r="R4281">
        <v>5.53</v>
      </c>
      <c r="S4281">
        <v>1.45</v>
      </c>
      <c r="T4281">
        <v>0.75</v>
      </c>
      <c r="U4281">
        <v>-19.5</v>
      </c>
      <c r="V4281">
        <v>-2099</v>
      </c>
      <c r="W4281">
        <v>5.52</v>
      </c>
      <c r="X4281" t="s">
        <v>7485</v>
      </c>
      <c r="Y4281" t="s">
        <v>2102</v>
      </c>
      <c r="Z4281">
        <v>1.26</v>
      </c>
      <c r="AA4281">
        <v>72</v>
      </c>
      <c r="AB4281">
        <v>2758</v>
      </c>
      <c r="AC4281">
        <v>2.08</v>
      </c>
      <c r="AD4281" t="s">
        <v>20191</v>
      </c>
      <c r="AE4281" t="s">
        <v>20192</v>
      </c>
      <c r="AF4281" t="s">
        <v>12092</v>
      </c>
      <c r="AG4281" t="s">
        <v>20193</v>
      </c>
      <c r="AH4281">
        <v>-2.47</v>
      </c>
      <c r="AI4281">
        <v>-2.12</v>
      </c>
      <c r="AJ4281">
        <v>2.46</v>
      </c>
      <c r="AK4281">
        <v>5.37</v>
      </c>
      <c r="AL4281">
        <v>0</v>
      </c>
      <c r="AM4281">
        <v>0</v>
      </c>
      <c r="AN4281">
        <v>-10.81</v>
      </c>
      <c r="AO4281">
        <v>-1.25</v>
      </c>
      <c r="AP4281">
        <v>2.22</v>
      </c>
    </row>
    <row r="4282" spans="1:42">
      <c r="A4282">
        <v>4281</v>
      </c>
      <c r="B4282" t="str">
        <f>"002206"</f>
        <v>002206</v>
      </c>
      <c r="C4282" t="s">
        <v>20194</v>
      </c>
      <c r="D4282">
        <v>5.27</v>
      </c>
      <c r="E4282">
        <v>-0.75</v>
      </c>
      <c r="F4282">
        <v>-0.04</v>
      </c>
      <c r="G4282" t="s">
        <v>5191</v>
      </c>
      <c r="H4282">
        <v>124</v>
      </c>
      <c r="I4282">
        <v>5.27</v>
      </c>
      <c r="J4282">
        <v>5.28</v>
      </c>
      <c r="K4282" t="s">
        <v>20190</v>
      </c>
      <c r="L4282">
        <v>0.57</v>
      </c>
      <c r="M4282" t="s">
        <v>46</v>
      </c>
      <c r="N4282" t="s">
        <v>20195</v>
      </c>
      <c r="O4282">
        <v>5.32</v>
      </c>
      <c r="P4282">
        <v>5.26</v>
      </c>
      <c r="Q4282">
        <v>5.32</v>
      </c>
      <c r="R4282">
        <v>5.31</v>
      </c>
      <c r="S4282">
        <v>1.13</v>
      </c>
      <c r="T4282">
        <v>0.65</v>
      </c>
      <c r="U4282">
        <v>18.51</v>
      </c>
      <c r="V4282">
        <v>1541</v>
      </c>
      <c r="W4282">
        <v>5.29</v>
      </c>
      <c r="X4282" t="s">
        <v>4422</v>
      </c>
      <c r="Y4282" t="s">
        <v>688</v>
      </c>
      <c r="Z4282">
        <v>0.97</v>
      </c>
      <c r="AA4282">
        <v>1816</v>
      </c>
      <c r="AB4282">
        <v>810</v>
      </c>
      <c r="AC4282">
        <v>1.69</v>
      </c>
      <c r="AD4282" t="s">
        <v>9297</v>
      </c>
      <c r="AE4282" t="s">
        <v>20196</v>
      </c>
      <c r="AF4282" t="s">
        <v>15902</v>
      </c>
      <c r="AG4282" t="s">
        <v>1850</v>
      </c>
      <c r="AH4282">
        <v>-2.59</v>
      </c>
      <c r="AI4282">
        <v>-3.3</v>
      </c>
      <c r="AJ4282">
        <v>2.26</v>
      </c>
      <c r="AK4282">
        <v>4.95</v>
      </c>
      <c r="AL4282">
        <v>-3</v>
      </c>
      <c r="AM4282">
        <v>-0.75</v>
      </c>
      <c r="AN4282">
        <v>-9.45</v>
      </c>
      <c r="AO4282">
        <v>-2.23</v>
      </c>
      <c r="AP4282">
        <v>-14.86</v>
      </c>
    </row>
    <row r="4283" spans="1:42">
      <c r="A4283">
        <v>4282</v>
      </c>
      <c r="B4283" t="str">
        <f>"833455"</f>
        <v>833455</v>
      </c>
      <c r="C4283" t="s">
        <v>20197</v>
      </c>
      <c r="D4283">
        <v>4.43</v>
      </c>
      <c r="E4283">
        <v>-3.7</v>
      </c>
      <c r="F4283">
        <v>-0.17</v>
      </c>
      <c r="G4283" t="s">
        <v>8192</v>
      </c>
      <c r="H4283">
        <v>779</v>
      </c>
      <c r="I4283">
        <v>4.43</v>
      </c>
      <c r="J4283">
        <v>4.44</v>
      </c>
      <c r="K4283" t="s">
        <v>20198</v>
      </c>
      <c r="L4283">
        <v>13.88</v>
      </c>
      <c r="M4283" t="s">
        <v>46</v>
      </c>
      <c r="N4283" t="s">
        <v>8252</v>
      </c>
      <c r="O4283">
        <v>4.76</v>
      </c>
      <c r="P4283">
        <v>4.37</v>
      </c>
      <c r="Q4283">
        <v>4.55</v>
      </c>
      <c r="R4283">
        <v>4.6</v>
      </c>
      <c r="S4283">
        <v>8.48</v>
      </c>
      <c r="T4283">
        <v>0.4</v>
      </c>
      <c r="U4283">
        <v>-25.13</v>
      </c>
      <c r="V4283">
        <v>-584</v>
      </c>
      <c r="W4283">
        <v>4.57</v>
      </c>
      <c r="X4283" t="s">
        <v>2550</v>
      </c>
      <c r="Y4283" t="s">
        <v>9211</v>
      </c>
      <c r="Z4283">
        <v>1.37</v>
      </c>
      <c r="AA4283">
        <v>190</v>
      </c>
      <c r="AB4283">
        <v>400</v>
      </c>
      <c r="AC4283">
        <v>2.38</v>
      </c>
      <c r="AD4283" t="s">
        <v>8457</v>
      </c>
      <c r="AE4283" t="s">
        <v>20199</v>
      </c>
      <c r="AF4283" t="s">
        <v>17191</v>
      </c>
      <c r="AG4283" t="s">
        <v>20200</v>
      </c>
      <c r="AH4283">
        <v>-14.81</v>
      </c>
      <c r="AI4283">
        <v>8.31</v>
      </c>
      <c r="AJ4283">
        <v>61.89</v>
      </c>
      <c r="AK4283">
        <v>187.16</v>
      </c>
      <c r="AL4283">
        <v>-1</v>
      </c>
      <c r="AM4283">
        <v>-3.7</v>
      </c>
      <c r="AN4283">
        <v>203.42</v>
      </c>
      <c r="AO4283">
        <v>65.92</v>
      </c>
      <c r="AP4283">
        <v>203.42</v>
      </c>
    </row>
    <row r="4284" spans="1:42">
      <c r="A4284">
        <v>4283</v>
      </c>
      <c r="B4284" t="str">
        <f>"002225"</f>
        <v>002225</v>
      </c>
      <c r="C4284" t="s">
        <v>20201</v>
      </c>
      <c r="D4284">
        <v>3.83</v>
      </c>
      <c r="E4284">
        <v>0.52</v>
      </c>
      <c r="F4284">
        <v>0.02</v>
      </c>
      <c r="G4284" t="s">
        <v>9217</v>
      </c>
      <c r="H4284">
        <v>285</v>
      </c>
      <c r="I4284">
        <v>3.82</v>
      </c>
      <c r="J4284">
        <v>3.83</v>
      </c>
      <c r="K4284" t="s">
        <v>20198</v>
      </c>
      <c r="L4284">
        <v>0.87</v>
      </c>
      <c r="M4284" t="s">
        <v>46</v>
      </c>
      <c r="N4284" t="s">
        <v>543</v>
      </c>
      <c r="O4284">
        <v>3.86</v>
      </c>
      <c r="P4284">
        <v>3.8</v>
      </c>
      <c r="Q4284">
        <v>3.82</v>
      </c>
      <c r="R4284">
        <v>3.81</v>
      </c>
      <c r="S4284">
        <v>1.57</v>
      </c>
      <c r="T4284">
        <v>0.69</v>
      </c>
      <c r="U4284">
        <v>-5.72</v>
      </c>
      <c r="V4284">
        <v>-663</v>
      </c>
      <c r="W4284">
        <v>3.83</v>
      </c>
      <c r="X4284" t="s">
        <v>6431</v>
      </c>
      <c r="Y4284" t="s">
        <v>5706</v>
      </c>
      <c r="Z4284">
        <v>0.81</v>
      </c>
      <c r="AA4284">
        <v>1557</v>
      </c>
      <c r="AB4284">
        <v>443</v>
      </c>
      <c r="AC4284">
        <v>1.17</v>
      </c>
      <c r="AD4284" t="s">
        <v>7758</v>
      </c>
      <c r="AE4284" t="s">
        <v>14301</v>
      </c>
      <c r="AF4284" t="s">
        <v>20202</v>
      </c>
      <c r="AG4284" t="s">
        <v>6937</v>
      </c>
      <c r="AH4284">
        <v>-2.05</v>
      </c>
      <c r="AI4284">
        <v>-3.28</v>
      </c>
      <c r="AJ4284">
        <v>3.7</v>
      </c>
      <c r="AK4284">
        <v>7.17</v>
      </c>
      <c r="AL4284">
        <v>1</v>
      </c>
      <c r="AM4284">
        <v>0.52</v>
      </c>
      <c r="AN4284">
        <v>1.06</v>
      </c>
      <c r="AO4284">
        <v>-0.78</v>
      </c>
      <c r="AP4284">
        <v>-8.59</v>
      </c>
    </row>
    <row r="4285" spans="1:42">
      <c r="A4285">
        <v>4284</v>
      </c>
      <c r="B4285" t="str">
        <f>"001211"</f>
        <v>001211</v>
      </c>
      <c r="C4285" t="s">
        <v>20203</v>
      </c>
      <c r="D4285">
        <v>24.88</v>
      </c>
      <c r="E4285">
        <v>0.65</v>
      </c>
      <c r="F4285">
        <v>0.16</v>
      </c>
      <c r="G4285" t="s">
        <v>4443</v>
      </c>
      <c r="H4285">
        <v>440</v>
      </c>
      <c r="I4285">
        <v>24.88</v>
      </c>
      <c r="J4285">
        <v>24.9</v>
      </c>
      <c r="K4285" t="s">
        <v>20204</v>
      </c>
      <c r="L4285">
        <v>2.93</v>
      </c>
      <c r="M4285" t="s">
        <v>46</v>
      </c>
      <c r="N4285" t="s">
        <v>2034</v>
      </c>
      <c r="O4285">
        <v>24.97</v>
      </c>
      <c r="P4285">
        <v>24.5</v>
      </c>
      <c r="Q4285">
        <v>24.84</v>
      </c>
      <c r="R4285">
        <v>24.72</v>
      </c>
      <c r="S4285">
        <v>1.9</v>
      </c>
      <c r="T4285">
        <v>1.32</v>
      </c>
      <c r="U4285">
        <v>-22.94</v>
      </c>
      <c r="V4285">
        <v>-153</v>
      </c>
      <c r="W4285">
        <v>24.77</v>
      </c>
      <c r="X4285">
        <v>5530</v>
      </c>
      <c r="Y4285">
        <v>5509</v>
      </c>
      <c r="Z4285">
        <v>1</v>
      </c>
      <c r="AA4285">
        <v>121</v>
      </c>
      <c r="AB4285">
        <v>71</v>
      </c>
      <c r="AC4285">
        <v>2.05</v>
      </c>
      <c r="AD4285" t="s">
        <v>20205</v>
      </c>
      <c r="AE4285" t="s">
        <v>20206</v>
      </c>
      <c r="AF4285" t="s">
        <v>18130</v>
      </c>
      <c r="AG4285" t="s">
        <v>12833</v>
      </c>
      <c r="AH4285">
        <v>0.73</v>
      </c>
      <c r="AI4285">
        <v>0.36</v>
      </c>
      <c r="AJ4285">
        <v>7.99</v>
      </c>
      <c r="AK4285">
        <v>14.07</v>
      </c>
      <c r="AL4285">
        <v>1</v>
      </c>
      <c r="AM4285">
        <v>0.65</v>
      </c>
      <c r="AN4285">
        <v>11.07</v>
      </c>
      <c r="AO4285">
        <v>4.1</v>
      </c>
      <c r="AP4285">
        <v>10.63</v>
      </c>
    </row>
    <row r="4286" spans="1:42">
      <c r="A4286">
        <v>4285</v>
      </c>
      <c r="B4286" t="str">
        <f>"002360"</f>
        <v>002360</v>
      </c>
      <c r="C4286" t="s">
        <v>20207</v>
      </c>
      <c r="D4286">
        <v>7.02</v>
      </c>
      <c r="E4286">
        <v>0.57</v>
      </c>
      <c r="F4286">
        <v>0.04</v>
      </c>
      <c r="G4286" t="s">
        <v>6794</v>
      </c>
      <c r="H4286">
        <v>228</v>
      </c>
      <c r="I4286">
        <v>7.01</v>
      </c>
      <c r="J4286">
        <v>7.02</v>
      </c>
      <c r="K4286" t="s">
        <v>13299</v>
      </c>
      <c r="L4286">
        <v>1.22</v>
      </c>
      <c r="M4286" t="s">
        <v>46</v>
      </c>
      <c r="N4286" t="s">
        <v>11091</v>
      </c>
      <c r="O4286">
        <v>7.07</v>
      </c>
      <c r="P4286">
        <v>6.97</v>
      </c>
      <c r="Q4286">
        <v>7</v>
      </c>
      <c r="R4286">
        <v>6.98</v>
      </c>
      <c r="S4286">
        <v>1.43</v>
      </c>
      <c r="T4286">
        <v>0.93</v>
      </c>
      <c r="U4286">
        <v>-33.75</v>
      </c>
      <c r="V4286">
        <v>-1502</v>
      </c>
      <c r="W4286">
        <v>7.02</v>
      </c>
      <c r="X4286" t="s">
        <v>2111</v>
      </c>
      <c r="Y4286" t="s">
        <v>377</v>
      </c>
      <c r="Z4286">
        <v>0.77</v>
      </c>
      <c r="AA4286">
        <v>182</v>
      </c>
      <c r="AB4286">
        <v>144</v>
      </c>
      <c r="AC4286">
        <v>1.55</v>
      </c>
      <c r="AD4286" t="s">
        <v>16071</v>
      </c>
      <c r="AE4286" t="s">
        <v>20208</v>
      </c>
      <c r="AF4286" t="s">
        <v>20209</v>
      </c>
      <c r="AG4286" t="s">
        <v>20210</v>
      </c>
      <c r="AH4286">
        <v>-1.54</v>
      </c>
      <c r="AI4286">
        <v>-1.27</v>
      </c>
      <c r="AJ4286">
        <v>3.85</v>
      </c>
      <c r="AK4286">
        <v>7.74</v>
      </c>
      <c r="AL4286">
        <v>1</v>
      </c>
      <c r="AM4286">
        <v>0.57</v>
      </c>
      <c r="AN4286">
        <v>-0.14</v>
      </c>
      <c r="AO4286">
        <v>1.15</v>
      </c>
      <c r="AP4286">
        <v>-6.77</v>
      </c>
    </row>
    <row r="4287" spans="1:42">
      <c r="A4287">
        <v>4286</v>
      </c>
      <c r="B4287" t="str">
        <f>"839719"</f>
        <v>839719</v>
      </c>
      <c r="C4287" t="s">
        <v>20211</v>
      </c>
      <c r="D4287">
        <v>12.35</v>
      </c>
      <c r="E4287">
        <v>-1.91</v>
      </c>
      <c r="F4287">
        <v>-0.24</v>
      </c>
      <c r="G4287" t="s">
        <v>2716</v>
      </c>
      <c r="H4287">
        <v>1043</v>
      </c>
      <c r="I4287">
        <v>12.34</v>
      </c>
      <c r="J4287">
        <v>12.35</v>
      </c>
      <c r="K4287" t="s">
        <v>20212</v>
      </c>
      <c r="L4287">
        <v>3.29</v>
      </c>
      <c r="M4287" t="s">
        <v>46</v>
      </c>
      <c r="N4287" t="s">
        <v>10701</v>
      </c>
      <c r="O4287">
        <v>13.23</v>
      </c>
      <c r="P4287">
        <v>12.33</v>
      </c>
      <c r="Q4287">
        <v>12.65</v>
      </c>
      <c r="R4287">
        <v>12.59</v>
      </c>
      <c r="S4287">
        <v>7.15</v>
      </c>
      <c r="T4287">
        <v>0.4</v>
      </c>
      <c r="U4287">
        <v>-58.7</v>
      </c>
      <c r="V4287">
        <v>-370</v>
      </c>
      <c r="W4287">
        <v>12.75</v>
      </c>
      <c r="X4287" t="s">
        <v>8636</v>
      </c>
      <c r="Y4287">
        <v>9358</v>
      </c>
      <c r="Z4287">
        <v>1.29</v>
      </c>
      <c r="AA4287">
        <v>51</v>
      </c>
      <c r="AB4287">
        <v>468</v>
      </c>
      <c r="AC4287">
        <v>1.22</v>
      </c>
      <c r="AD4287" t="s">
        <v>20213</v>
      </c>
      <c r="AE4287" t="s">
        <v>915</v>
      </c>
      <c r="AF4287" t="s">
        <v>14101</v>
      </c>
      <c r="AG4287" t="s">
        <v>8623</v>
      </c>
      <c r="AH4287">
        <v>-16.89</v>
      </c>
      <c r="AI4287">
        <v>1.06</v>
      </c>
      <c r="AJ4287">
        <v>15.33</v>
      </c>
      <c r="AK4287">
        <v>44.66</v>
      </c>
      <c r="AL4287">
        <v>-4</v>
      </c>
      <c r="AM4287">
        <v>-1.91</v>
      </c>
      <c r="AN4287">
        <v>-31.01</v>
      </c>
      <c r="AO4287">
        <v>20.72</v>
      </c>
      <c r="AP4287">
        <v>-31.01</v>
      </c>
    </row>
    <row r="4288" spans="1:42">
      <c r="A4288">
        <v>4287</v>
      </c>
      <c r="B4288" t="str">
        <f>"831445"</f>
        <v>831445</v>
      </c>
      <c r="C4288" t="s">
        <v>20214</v>
      </c>
      <c r="D4288">
        <v>6.01</v>
      </c>
      <c r="E4288">
        <v>-6.97</v>
      </c>
      <c r="F4288">
        <v>-0.45</v>
      </c>
      <c r="G4288" t="s">
        <v>6838</v>
      </c>
      <c r="H4288">
        <v>655</v>
      </c>
      <c r="I4288">
        <v>6.01</v>
      </c>
      <c r="J4288">
        <v>6.03</v>
      </c>
      <c r="K4288" t="s">
        <v>20215</v>
      </c>
      <c r="L4288">
        <v>4.72</v>
      </c>
      <c r="M4288" t="s">
        <v>46</v>
      </c>
      <c r="N4288" t="s">
        <v>5981</v>
      </c>
      <c r="O4288">
        <v>6.68</v>
      </c>
      <c r="P4288">
        <v>5.99</v>
      </c>
      <c r="Q4288">
        <v>6.5</v>
      </c>
      <c r="R4288">
        <v>6.46</v>
      </c>
      <c r="S4288">
        <v>10.68</v>
      </c>
      <c r="T4288">
        <v>0.51</v>
      </c>
      <c r="U4288">
        <v>58.88</v>
      </c>
      <c r="V4288">
        <v>948</v>
      </c>
      <c r="W4288">
        <v>6.24</v>
      </c>
      <c r="X4288" t="s">
        <v>7946</v>
      </c>
      <c r="Y4288" t="s">
        <v>325</v>
      </c>
      <c r="Z4288">
        <v>1.39</v>
      </c>
      <c r="AA4288">
        <v>239</v>
      </c>
      <c r="AB4288">
        <v>33</v>
      </c>
      <c r="AC4288">
        <v>2.37</v>
      </c>
      <c r="AD4288" t="s">
        <v>20216</v>
      </c>
      <c r="AE4288" t="s">
        <v>20217</v>
      </c>
      <c r="AF4288" t="s">
        <v>20218</v>
      </c>
      <c r="AG4288" t="s">
        <v>20219</v>
      </c>
      <c r="AH4288">
        <v>-17.22</v>
      </c>
      <c r="AI4288">
        <v>-8.52</v>
      </c>
      <c r="AJ4288">
        <v>16.29</v>
      </c>
      <c r="AK4288">
        <v>50.87</v>
      </c>
      <c r="AL4288">
        <v>-4</v>
      </c>
      <c r="AM4288">
        <v>-6.97</v>
      </c>
      <c r="AN4288">
        <v>-5.95</v>
      </c>
      <c r="AO4288">
        <v>0.5</v>
      </c>
      <c r="AP4288">
        <v>-13.02</v>
      </c>
    </row>
    <row r="4289" spans="1:42">
      <c r="A4289">
        <v>4288</v>
      </c>
      <c r="B4289" t="str">
        <f>"603970"</f>
        <v>603970</v>
      </c>
      <c r="C4289" t="s">
        <v>20220</v>
      </c>
      <c r="D4289">
        <v>16.11</v>
      </c>
      <c r="E4289">
        <v>-0.25</v>
      </c>
      <c r="F4289">
        <v>-0.04</v>
      </c>
      <c r="G4289" t="s">
        <v>1110</v>
      </c>
      <c r="H4289">
        <v>514</v>
      </c>
      <c r="I4289">
        <v>16.11</v>
      </c>
      <c r="J4289">
        <v>16.12</v>
      </c>
      <c r="K4289" t="s">
        <v>11141</v>
      </c>
      <c r="L4289">
        <v>0.63</v>
      </c>
      <c r="M4289" t="s">
        <v>46</v>
      </c>
      <c r="N4289" t="s">
        <v>3557</v>
      </c>
      <c r="O4289">
        <v>16.21</v>
      </c>
      <c r="P4289">
        <v>16</v>
      </c>
      <c r="Q4289">
        <v>16.15</v>
      </c>
      <c r="R4289">
        <v>16.15</v>
      </c>
      <c r="S4289">
        <v>1.3</v>
      </c>
      <c r="T4289">
        <v>0.64</v>
      </c>
      <c r="U4289">
        <v>-58.58</v>
      </c>
      <c r="V4289">
        <v>-270</v>
      </c>
      <c r="W4289">
        <v>16.1</v>
      </c>
      <c r="X4289">
        <v>7754</v>
      </c>
      <c r="Y4289">
        <v>9185</v>
      </c>
      <c r="Z4289">
        <v>0.84</v>
      </c>
      <c r="AA4289">
        <v>25</v>
      </c>
      <c r="AB4289">
        <v>142</v>
      </c>
      <c r="AC4289">
        <v>3.08</v>
      </c>
      <c r="AD4289" t="s">
        <v>20221</v>
      </c>
      <c r="AE4289" t="s">
        <v>20222</v>
      </c>
      <c r="AF4289" t="s">
        <v>20221</v>
      </c>
      <c r="AG4289" t="s">
        <v>20222</v>
      </c>
      <c r="AH4289">
        <v>-6.12</v>
      </c>
      <c r="AI4289">
        <v>-3.71</v>
      </c>
      <c r="AJ4289">
        <v>2.66</v>
      </c>
      <c r="AK4289">
        <v>5.53</v>
      </c>
      <c r="AL4289">
        <v>-3</v>
      </c>
      <c r="AM4289">
        <v>-0.25</v>
      </c>
      <c r="AN4289">
        <v>-21.57</v>
      </c>
      <c r="AO4289">
        <v>-1.47</v>
      </c>
      <c r="AP4289">
        <v>-21.53</v>
      </c>
    </row>
    <row r="4290" spans="1:42">
      <c r="A4290">
        <v>4289</v>
      </c>
      <c r="B4290" t="str">
        <f>"601388"</f>
        <v>601388</v>
      </c>
      <c r="C4290" t="s">
        <v>20223</v>
      </c>
      <c r="D4290">
        <v>2.65</v>
      </c>
      <c r="E4290">
        <v>0.38</v>
      </c>
      <c r="F4290">
        <v>0.01</v>
      </c>
      <c r="G4290" t="s">
        <v>3402</v>
      </c>
      <c r="H4290">
        <v>365</v>
      </c>
      <c r="I4290">
        <v>2.65</v>
      </c>
      <c r="J4290">
        <v>2.66</v>
      </c>
      <c r="K4290" t="s">
        <v>20224</v>
      </c>
      <c r="L4290">
        <v>0.47</v>
      </c>
      <c r="M4290" t="s">
        <v>46</v>
      </c>
      <c r="N4290" t="s">
        <v>20225</v>
      </c>
      <c r="O4290">
        <v>2.67</v>
      </c>
      <c r="P4290">
        <v>2.63</v>
      </c>
      <c r="Q4290">
        <v>2.64</v>
      </c>
      <c r="R4290">
        <v>2.64</v>
      </c>
      <c r="S4290">
        <v>1.52</v>
      </c>
      <c r="T4290">
        <v>1.13</v>
      </c>
      <c r="U4290">
        <v>-16.27</v>
      </c>
      <c r="V4290">
        <v>-5857</v>
      </c>
      <c r="W4290">
        <v>2.65</v>
      </c>
      <c r="X4290" t="s">
        <v>308</v>
      </c>
      <c r="Y4290" t="s">
        <v>6045</v>
      </c>
      <c r="Z4290">
        <v>1.09</v>
      </c>
      <c r="AA4290">
        <v>1050</v>
      </c>
      <c r="AB4290">
        <v>1876</v>
      </c>
      <c r="AC4290">
        <v>1.36</v>
      </c>
      <c r="AD4290" t="s">
        <v>20226</v>
      </c>
      <c r="AE4290" t="s">
        <v>20227</v>
      </c>
      <c r="AF4290" t="s">
        <v>20226</v>
      </c>
      <c r="AG4290" t="s">
        <v>20227</v>
      </c>
      <c r="AH4290">
        <v>-1.85</v>
      </c>
      <c r="AI4290">
        <v>-2.93</v>
      </c>
      <c r="AJ4290">
        <v>1.36</v>
      </c>
      <c r="AK4290">
        <v>2.54</v>
      </c>
      <c r="AL4290">
        <v>1</v>
      </c>
      <c r="AM4290">
        <v>0.38</v>
      </c>
      <c r="AN4290">
        <v>-19.7</v>
      </c>
      <c r="AO4290">
        <v>-1.49</v>
      </c>
      <c r="AP4290">
        <v>-21.6</v>
      </c>
    </row>
    <row r="4291" spans="1:42">
      <c r="A4291">
        <v>4290</v>
      </c>
      <c r="B4291" t="str">
        <f>"002059"</f>
        <v>002059</v>
      </c>
      <c r="C4291" t="s">
        <v>20228</v>
      </c>
      <c r="D4291">
        <v>5.76</v>
      </c>
      <c r="E4291">
        <v>0.7</v>
      </c>
      <c r="F4291">
        <v>0.04</v>
      </c>
      <c r="G4291" t="s">
        <v>5674</v>
      </c>
      <c r="H4291">
        <v>696</v>
      </c>
      <c r="I4291">
        <v>5.75</v>
      </c>
      <c r="J4291">
        <v>5.76</v>
      </c>
      <c r="K4291" t="s">
        <v>20229</v>
      </c>
      <c r="L4291">
        <v>0.5</v>
      </c>
      <c r="M4291" t="s">
        <v>46</v>
      </c>
      <c r="N4291" t="s">
        <v>3946</v>
      </c>
      <c r="O4291">
        <v>5.77</v>
      </c>
      <c r="P4291">
        <v>5.7</v>
      </c>
      <c r="Q4291">
        <v>5.72</v>
      </c>
      <c r="R4291">
        <v>5.72</v>
      </c>
      <c r="S4291">
        <v>1.22</v>
      </c>
      <c r="T4291">
        <v>1.26</v>
      </c>
      <c r="U4291">
        <v>-24.36</v>
      </c>
      <c r="V4291">
        <v>-2566</v>
      </c>
      <c r="W4291">
        <v>5.74</v>
      </c>
      <c r="X4291" t="s">
        <v>6266</v>
      </c>
      <c r="Y4291" t="s">
        <v>9272</v>
      </c>
      <c r="Z4291">
        <v>0.95</v>
      </c>
      <c r="AA4291">
        <v>2135</v>
      </c>
      <c r="AB4291">
        <v>1703</v>
      </c>
      <c r="AC4291">
        <v>3.32</v>
      </c>
      <c r="AD4291" t="s">
        <v>1108</v>
      </c>
      <c r="AE4291" t="s">
        <v>20230</v>
      </c>
      <c r="AF4291" t="s">
        <v>9004</v>
      </c>
      <c r="AG4291" t="s">
        <v>20231</v>
      </c>
      <c r="AH4291">
        <v>0.88</v>
      </c>
      <c r="AI4291">
        <v>0.7</v>
      </c>
      <c r="AJ4291">
        <v>1.42</v>
      </c>
      <c r="AK4291">
        <v>2.5</v>
      </c>
      <c r="AL4291">
        <v>2</v>
      </c>
      <c r="AM4291">
        <v>0.7</v>
      </c>
      <c r="AN4291">
        <v>-28.18</v>
      </c>
      <c r="AO4291">
        <v>6.08</v>
      </c>
      <c r="AP4291">
        <v>-7.1</v>
      </c>
    </row>
    <row r="4292" spans="1:42">
      <c r="A4292">
        <v>4291</v>
      </c>
      <c r="B4292" t="str">
        <f>"000590"</f>
        <v>000590</v>
      </c>
      <c r="C4292" t="s">
        <v>20232</v>
      </c>
      <c r="D4292">
        <v>9.38</v>
      </c>
      <c r="E4292">
        <v>-0.21</v>
      </c>
      <c r="F4292">
        <v>-0.02</v>
      </c>
      <c r="G4292" t="s">
        <v>541</v>
      </c>
      <c r="H4292">
        <v>106</v>
      </c>
      <c r="I4292">
        <v>9.38</v>
      </c>
      <c r="J4292">
        <v>9.39</v>
      </c>
      <c r="K4292" t="s">
        <v>20229</v>
      </c>
      <c r="L4292">
        <v>1.21</v>
      </c>
      <c r="M4292" t="s">
        <v>46</v>
      </c>
      <c r="N4292" t="s">
        <v>3818</v>
      </c>
      <c r="O4292">
        <v>9.51</v>
      </c>
      <c r="P4292">
        <v>9.3</v>
      </c>
      <c r="Q4292">
        <v>9.4</v>
      </c>
      <c r="R4292">
        <v>9.4</v>
      </c>
      <c r="S4292">
        <v>2.23</v>
      </c>
      <c r="T4292">
        <v>0.59</v>
      </c>
      <c r="U4292">
        <v>61.15</v>
      </c>
      <c r="V4292">
        <v>933</v>
      </c>
      <c r="W4292">
        <v>9.41</v>
      </c>
      <c r="X4292" t="s">
        <v>4525</v>
      </c>
      <c r="Y4292" t="s">
        <v>2371</v>
      </c>
      <c r="Z4292">
        <v>0.91</v>
      </c>
      <c r="AA4292">
        <v>13</v>
      </c>
      <c r="AB4292">
        <v>81</v>
      </c>
      <c r="AC4292">
        <v>3.19</v>
      </c>
      <c r="AD4292" t="s">
        <v>20233</v>
      </c>
      <c r="AE4292" t="s">
        <v>20234</v>
      </c>
      <c r="AF4292" t="s">
        <v>16939</v>
      </c>
      <c r="AG4292" t="s">
        <v>20235</v>
      </c>
      <c r="AH4292">
        <v>-0.74</v>
      </c>
      <c r="AI4292">
        <v>-0.32</v>
      </c>
      <c r="AJ4292">
        <v>3.72</v>
      </c>
      <c r="AK4292">
        <v>11.54</v>
      </c>
      <c r="AL4292">
        <v>-1</v>
      </c>
      <c r="AM4292">
        <v>-0.21</v>
      </c>
      <c r="AN4292">
        <v>4.92</v>
      </c>
      <c r="AO4292">
        <v>4.11</v>
      </c>
      <c r="AP4292">
        <v>-26.03</v>
      </c>
    </row>
    <row r="4293" spans="1:42">
      <c r="A4293">
        <v>4292</v>
      </c>
      <c r="B4293" t="str">
        <f>"300621"</f>
        <v>300621</v>
      </c>
      <c r="C4293" t="s">
        <v>20236</v>
      </c>
      <c r="D4293">
        <v>11.61</v>
      </c>
      <c r="E4293">
        <v>1.4</v>
      </c>
      <c r="F4293">
        <v>0.16</v>
      </c>
      <c r="G4293" t="s">
        <v>2818</v>
      </c>
      <c r="H4293">
        <v>254</v>
      </c>
      <c r="I4293">
        <v>11.6</v>
      </c>
      <c r="J4293">
        <v>11.61</v>
      </c>
      <c r="K4293" t="s">
        <v>20237</v>
      </c>
      <c r="L4293">
        <v>1.2</v>
      </c>
      <c r="M4293" t="s">
        <v>46</v>
      </c>
      <c r="N4293" t="s">
        <v>6407</v>
      </c>
      <c r="O4293">
        <v>11.62</v>
      </c>
      <c r="P4293">
        <v>11.4</v>
      </c>
      <c r="Q4293">
        <v>11.42</v>
      </c>
      <c r="R4293">
        <v>11.45</v>
      </c>
      <c r="S4293">
        <v>1.92</v>
      </c>
      <c r="T4293">
        <v>1.06</v>
      </c>
      <c r="U4293">
        <v>-48.92</v>
      </c>
      <c r="V4293">
        <v>-994</v>
      </c>
      <c r="W4293">
        <v>11.55</v>
      </c>
      <c r="X4293" t="s">
        <v>189</v>
      </c>
      <c r="Y4293" t="s">
        <v>718</v>
      </c>
      <c r="Z4293">
        <v>0.98</v>
      </c>
      <c r="AA4293">
        <v>49</v>
      </c>
      <c r="AB4293">
        <v>92</v>
      </c>
      <c r="AC4293">
        <v>2.99</v>
      </c>
      <c r="AD4293" t="s">
        <v>7291</v>
      </c>
      <c r="AE4293" t="s">
        <v>11469</v>
      </c>
      <c r="AF4293" t="s">
        <v>20238</v>
      </c>
      <c r="AG4293" t="s">
        <v>13555</v>
      </c>
      <c r="AH4293">
        <v>1.49</v>
      </c>
      <c r="AI4293">
        <v>-0.6</v>
      </c>
      <c r="AJ4293">
        <v>3.17</v>
      </c>
      <c r="AK4293">
        <v>6.87</v>
      </c>
      <c r="AL4293">
        <v>2</v>
      </c>
      <c r="AM4293">
        <v>1.4</v>
      </c>
      <c r="AN4293">
        <v>46.59</v>
      </c>
      <c r="AO4293">
        <v>9.74</v>
      </c>
      <c r="AP4293">
        <v>36.43</v>
      </c>
    </row>
    <row r="4294" spans="1:42">
      <c r="A4294">
        <v>4293</v>
      </c>
      <c r="B4294" t="str">
        <f>"300625"</f>
        <v>300625</v>
      </c>
      <c r="C4294" t="s">
        <v>20239</v>
      </c>
      <c r="D4294">
        <v>14.54</v>
      </c>
      <c r="E4294">
        <v>0</v>
      </c>
      <c r="F4294">
        <v>0</v>
      </c>
      <c r="G4294" t="s">
        <v>1072</v>
      </c>
      <c r="H4294">
        <v>152</v>
      </c>
      <c r="I4294">
        <v>14.54</v>
      </c>
      <c r="J4294">
        <v>14.56</v>
      </c>
      <c r="K4294" t="s">
        <v>20240</v>
      </c>
      <c r="L4294">
        <v>1.18</v>
      </c>
      <c r="M4294" t="s">
        <v>46</v>
      </c>
      <c r="N4294" t="s">
        <v>9029</v>
      </c>
      <c r="O4294">
        <v>14.67</v>
      </c>
      <c r="P4294">
        <v>14.47</v>
      </c>
      <c r="Q4294">
        <v>14.64</v>
      </c>
      <c r="R4294">
        <v>14.54</v>
      </c>
      <c r="S4294">
        <v>1.38</v>
      </c>
      <c r="T4294">
        <v>0.63</v>
      </c>
      <c r="U4294">
        <v>7.08</v>
      </c>
      <c r="V4294">
        <v>50</v>
      </c>
      <c r="W4294">
        <v>14.57</v>
      </c>
      <c r="X4294">
        <v>9457</v>
      </c>
      <c r="Y4294">
        <v>9226</v>
      </c>
      <c r="Z4294">
        <v>1.03</v>
      </c>
      <c r="AA4294">
        <v>127</v>
      </c>
      <c r="AB4294">
        <v>20</v>
      </c>
      <c r="AC4294">
        <v>1.9</v>
      </c>
      <c r="AD4294" t="s">
        <v>20241</v>
      </c>
      <c r="AE4294" t="s">
        <v>20242</v>
      </c>
      <c r="AF4294" t="s">
        <v>4118</v>
      </c>
      <c r="AG4294" t="s">
        <v>5132</v>
      </c>
      <c r="AH4294">
        <v>-1.96</v>
      </c>
      <c r="AI4294">
        <v>-0.95</v>
      </c>
      <c r="AJ4294">
        <v>4.5</v>
      </c>
      <c r="AK4294">
        <v>10.56</v>
      </c>
      <c r="AL4294">
        <v>0</v>
      </c>
      <c r="AM4294">
        <v>0</v>
      </c>
      <c r="AN4294">
        <v>47.32</v>
      </c>
      <c r="AO4294">
        <v>4.98</v>
      </c>
      <c r="AP4294">
        <v>35.26</v>
      </c>
    </row>
    <row r="4295" spans="1:42">
      <c r="A4295">
        <v>4294</v>
      </c>
      <c r="B4295" t="str">
        <f>"600662"</f>
        <v>600662</v>
      </c>
      <c r="C4295" t="s">
        <v>20243</v>
      </c>
      <c r="D4295">
        <v>5.21</v>
      </c>
      <c r="E4295">
        <v>1.17</v>
      </c>
      <c r="F4295">
        <v>0.06</v>
      </c>
      <c r="G4295" t="s">
        <v>7763</v>
      </c>
      <c r="H4295">
        <v>423</v>
      </c>
      <c r="I4295">
        <v>5.2</v>
      </c>
      <c r="J4295">
        <v>5.21</v>
      </c>
      <c r="K4295" t="s">
        <v>20240</v>
      </c>
      <c r="L4295">
        <v>0.5</v>
      </c>
      <c r="M4295" t="s">
        <v>46</v>
      </c>
      <c r="N4295" t="s">
        <v>20244</v>
      </c>
      <c r="O4295">
        <v>5.23</v>
      </c>
      <c r="P4295">
        <v>5.14</v>
      </c>
      <c r="Q4295">
        <v>5.15</v>
      </c>
      <c r="R4295">
        <v>5.15</v>
      </c>
      <c r="S4295">
        <v>1.75</v>
      </c>
      <c r="T4295">
        <v>1.29</v>
      </c>
      <c r="U4295">
        <v>-19.62</v>
      </c>
      <c r="V4295">
        <v>-1921</v>
      </c>
      <c r="W4295">
        <v>5.2</v>
      </c>
      <c r="X4295" t="s">
        <v>2694</v>
      </c>
      <c r="Y4295" t="s">
        <v>1687</v>
      </c>
      <c r="Z4295">
        <v>0.57</v>
      </c>
      <c r="AA4295">
        <v>1246</v>
      </c>
      <c r="AB4295">
        <v>1309</v>
      </c>
      <c r="AC4295">
        <v>2.88</v>
      </c>
      <c r="AD4295" t="s">
        <v>7265</v>
      </c>
      <c r="AE4295" t="s">
        <v>20245</v>
      </c>
      <c r="AF4295" t="s">
        <v>16780</v>
      </c>
      <c r="AG4295" t="s">
        <v>12309</v>
      </c>
      <c r="AH4295">
        <v>0.97</v>
      </c>
      <c r="AI4295">
        <v>-0.19</v>
      </c>
      <c r="AJ4295">
        <v>1.31</v>
      </c>
      <c r="AK4295">
        <v>2.42</v>
      </c>
      <c r="AL4295">
        <v>1</v>
      </c>
      <c r="AM4295">
        <v>1.17</v>
      </c>
      <c r="AN4295">
        <v>-10.94</v>
      </c>
      <c r="AO4295">
        <v>1.96</v>
      </c>
      <c r="AP4295">
        <v>1.17</v>
      </c>
    </row>
    <row r="4296" spans="1:42">
      <c r="A4296">
        <v>4295</v>
      </c>
      <c r="B4296" t="str">
        <f>"300642"</f>
        <v>300642</v>
      </c>
      <c r="C4296" t="s">
        <v>20246</v>
      </c>
      <c r="D4296">
        <v>19.02</v>
      </c>
      <c r="E4296">
        <v>0.53</v>
      </c>
      <c r="F4296">
        <v>0.1</v>
      </c>
      <c r="G4296" t="s">
        <v>5900</v>
      </c>
      <c r="H4296">
        <v>61</v>
      </c>
      <c r="I4296">
        <v>19.02</v>
      </c>
      <c r="J4296">
        <v>19.03</v>
      </c>
      <c r="K4296" t="s">
        <v>20240</v>
      </c>
      <c r="L4296">
        <v>1.04</v>
      </c>
      <c r="M4296" t="s">
        <v>46</v>
      </c>
      <c r="N4296" t="s">
        <v>804</v>
      </c>
      <c r="O4296">
        <v>19.13</v>
      </c>
      <c r="P4296">
        <v>18.87</v>
      </c>
      <c r="Q4296">
        <v>18.89</v>
      </c>
      <c r="R4296">
        <v>18.92</v>
      </c>
      <c r="S4296">
        <v>1.37</v>
      </c>
      <c r="T4296">
        <v>0.79</v>
      </c>
      <c r="U4296">
        <v>-46.36</v>
      </c>
      <c r="V4296">
        <v>-113</v>
      </c>
      <c r="W4296">
        <v>18.99</v>
      </c>
      <c r="X4296">
        <v>6817</v>
      </c>
      <c r="Y4296">
        <v>7511</v>
      </c>
      <c r="Z4296">
        <v>0.91</v>
      </c>
      <c r="AA4296">
        <v>12</v>
      </c>
      <c r="AB4296">
        <v>6</v>
      </c>
      <c r="AC4296">
        <v>2.08</v>
      </c>
      <c r="AD4296" t="s">
        <v>19371</v>
      </c>
      <c r="AE4296" t="s">
        <v>11415</v>
      </c>
      <c r="AF4296" t="s">
        <v>264</v>
      </c>
      <c r="AG4296" t="s">
        <v>17719</v>
      </c>
      <c r="AH4296">
        <v>-0.52</v>
      </c>
      <c r="AI4296">
        <v>0.05</v>
      </c>
      <c r="AJ4296">
        <v>2.91</v>
      </c>
      <c r="AK4296">
        <v>7.63</v>
      </c>
      <c r="AL4296">
        <v>2</v>
      </c>
      <c r="AM4296">
        <v>0.53</v>
      </c>
      <c r="AN4296">
        <v>-7.63</v>
      </c>
      <c r="AO4296">
        <v>5.78</v>
      </c>
      <c r="AP4296">
        <v>-19.58</v>
      </c>
    </row>
    <row r="4297" spans="1:42">
      <c r="A4297">
        <v>4296</v>
      </c>
      <c r="B4297" t="str">
        <f>"600235"</f>
        <v>600235</v>
      </c>
      <c r="C4297" t="s">
        <v>20247</v>
      </c>
      <c r="D4297">
        <v>6.1</v>
      </c>
      <c r="E4297">
        <v>1.16</v>
      </c>
      <c r="F4297">
        <v>0.07</v>
      </c>
      <c r="G4297" t="s">
        <v>4766</v>
      </c>
      <c r="H4297">
        <v>323</v>
      </c>
      <c r="I4297">
        <v>6.09</v>
      </c>
      <c r="J4297">
        <v>6.1</v>
      </c>
      <c r="K4297" t="s">
        <v>5749</v>
      </c>
      <c r="L4297">
        <v>1.27</v>
      </c>
      <c r="M4297" t="s">
        <v>46</v>
      </c>
      <c r="N4297" t="s">
        <v>517</v>
      </c>
      <c r="O4297">
        <v>6.15</v>
      </c>
      <c r="P4297">
        <v>6.01</v>
      </c>
      <c r="Q4297">
        <v>6.03</v>
      </c>
      <c r="R4297">
        <v>6.03</v>
      </c>
      <c r="S4297">
        <v>2.32</v>
      </c>
      <c r="T4297">
        <v>1.07</v>
      </c>
      <c r="U4297">
        <v>37.5</v>
      </c>
      <c r="V4297">
        <v>1848</v>
      </c>
      <c r="W4297">
        <v>6.09</v>
      </c>
      <c r="X4297" t="s">
        <v>4269</v>
      </c>
      <c r="Y4297" t="s">
        <v>5237</v>
      </c>
      <c r="Z4297">
        <v>1.19</v>
      </c>
      <c r="AA4297">
        <v>2755</v>
      </c>
      <c r="AB4297">
        <v>35</v>
      </c>
      <c r="AC4297">
        <v>1.5</v>
      </c>
      <c r="AD4297" t="s">
        <v>20248</v>
      </c>
      <c r="AE4297" t="s">
        <v>19816</v>
      </c>
      <c r="AF4297" t="s">
        <v>20248</v>
      </c>
      <c r="AG4297" t="s">
        <v>19816</v>
      </c>
      <c r="AH4297">
        <v>0.49</v>
      </c>
      <c r="AI4297">
        <v>0.16</v>
      </c>
      <c r="AJ4297">
        <v>3.74</v>
      </c>
      <c r="AK4297">
        <v>7.19</v>
      </c>
      <c r="AL4297">
        <v>1</v>
      </c>
      <c r="AM4297">
        <v>1.16</v>
      </c>
      <c r="AN4297">
        <v>9.71</v>
      </c>
      <c r="AO4297">
        <v>4.63</v>
      </c>
      <c r="AP4297">
        <v>11.31</v>
      </c>
    </row>
    <row r="4298" spans="1:42">
      <c r="A4298">
        <v>4297</v>
      </c>
      <c r="B4298" t="str">
        <f>"603618"</f>
        <v>603618</v>
      </c>
      <c r="C4298" t="s">
        <v>20249</v>
      </c>
      <c r="D4298">
        <v>6.28</v>
      </c>
      <c r="E4298">
        <v>0</v>
      </c>
      <c r="F4298">
        <v>0</v>
      </c>
      <c r="G4298" t="s">
        <v>459</v>
      </c>
      <c r="H4298">
        <v>255</v>
      </c>
      <c r="I4298">
        <v>6.27</v>
      </c>
      <c r="J4298">
        <v>6.28</v>
      </c>
      <c r="K4298" t="s">
        <v>5749</v>
      </c>
      <c r="L4298">
        <v>0.63</v>
      </c>
      <c r="M4298" t="s">
        <v>46</v>
      </c>
      <c r="N4298" t="s">
        <v>2795</v>
      </c>
      <c r="O4298">
        <v>6.32</v>
      </c>
      <c r="P4298">
        <v>6.22</v>
      </c>
      <c r="Q4298">
        <v>6.32</v>
      </c>
      <c r="R4298">
        <v>6.28</v>
      </c>
      <c r="S4298">
        <v>1.59</v>
      </c>
      <c r="T4298">
        <v>0.72</v>
      </c>
      <c r="U4298">
        <v>10.82</v>
      </c>
      <c r="V4298">
        <v>553</v>
      </c>
      <c r="W4298">
        <v>6.26</v>
      </c>
      <c r="X4298" t="s">
        <v>156</v>
      </c>
      <c r="Y4298" t="s">
        <v>1212</v>
      </c>
      <c r="Z4298">
        <v>0.93</v>
      </c>
      <c r="AA4298">
        <v>318</v>
      </c>
      <c r="AB4298">
        <v>45</v>
      </c>
      <c r="AC4298">
        <v>1.58</v>
      </c>
      <c r="AD4298" t="s">
        <v>20250</v>
      </c>
      <c r="AE4298" t="s">
        <v>16945</v>
      </c>
      <c r="AF4298" t="s">
        <v>20250</v>
      </c>
      <c r="AG4298" t="s">
        <v>16945</v>
      </c>
      <c r="AH4298">
        <v>-1.57</v>
      </c>
      <c r="AI4298">
        <v>-0.32</v>
      </c>
      <c r="AJ4298">
        <v>2.3</v>
      </c>
      <c r="AK4298">
        <v>5</v>
      </c>
      <c r="AL4298">
        <v>0</v>
      </c>
      <c r="AM4298">
        <v>0</v>
      </c>
      <c r="AN4298">
        <v>20.54</v>
      </c>
      <c r="AO4298">
        <v>2.28</v>
      </c>
      <c r="AP4298">
        <v>8.09</v>
      </c>
    </row>
    <row r="4299" spans="1:42">
      <c r="A4299">
        <v>4298</v>
      </c>
      <c r="B4299" t="str">
        <f>"300153"</f>
        <v>300153</v>
      </c>
      <c r="C4299" t="s">
        <v>20251</v>
      </c>
      <c r="D4299">
        <v>8.04</v>
      </c>
      <c r="E4299">
        <v>0.63</v>
      </c>
      <c r="F4299">
        <v>0.05</v>
      </c>
      <c r="G4299" t="s">
        <v>4970</v>
      </c>
      <c r="H4299">
        <v>288</v>
      </c>
      <c r="I4299">
        <v>8.03</v>
      </c>
      <c r="J4299">
        <v>8.04</v>
      </c>
      <c r="K4299" t="s">
        <v>20252</v>
      </c>
      <c r="L4299">
        <v>1.07</v>
      </c>
      <c r="M4299" t="s">
        <v>46</v>
      </c>
      <c r="N4299" t="s">
        <v>2195</v>
      </c>
      <c r="O4299">
        <v>8.07</v>
      </c>
      <c r="P4299">
        <v>7.94</v>
      </c>
      <c r="Q4299">
        <v>7.99</v>
      </c>
      <c r="R4299">
        <v>7.99</v>
      </c>
      <c r="S4299">
        <v>1.63</v>
      </c>
      <c r="T4299">
        <v>0.83</v>
      </c>
      <c r="U4299">
        <v>-27.73</v>
      </c>
      <c r="V4299">
        <v>-868</v>
      </c>
      <c r="W4299">
        <v>8.01</v>
      </c>
      <c r="X4299" t="s">
        <v>432</v>
      </c>
      <c r="Y4299" t="s">
        <v>919</v>
      </c>
      <c r="Z4299">
        <v>1.12</v>
      </c>
      <c r="AA4299">
        <v>393</v>
      </c>
      <c r="AB4299">
        <v>284</v>
      </c>
      <c r="AC4299">
        <v>3.13</v>
      </c>
      <c r="AD4299" t="s">
        <v>10577</v>
      </c>
      <c r="AE4299" t="s">
        <v>12121</v>
      </c>
      <c r="AF4299" t="s">
        <v>9196</v>
      </c>
      <c r="AG4299" t="s">
        <v>20253</v>
      </c>
      <c r="AH4299">
        <v>-1.23</v>
      </c>
      <c r="AI4299">
        <v>-1.11</v>
      </c>
      <c r="AJ4299">
        <v>3.77</v>
      </c>
      <c r="AK4299">
        <v>7.52</v>
      </c>
      <c r="AL4299">
        <v>1</v>
      </c>
      <c r="AM4299">
        <v>0.63</v>
      </c>
      <c r="AN4299">
        <v>19.29</v>
      </c>
      <c r="AO4299">
        <v>0.88</v>
      </c>
      <c r="AP4299">
        <v>8.8</v>
      </c>
    </row>
    <row r="4300" spans="1:42">
      <c r="A4300">
        <v>4299</v>
      </c>
      <c r="B4300" t="str">
        <f>"300080"</f>
        <v>300080</v>
      </c>
      <c r="C4300" t="s">
        <v>20254</v>
      </c>
      <c r="D4300">
        <v>4.8</v>
      </c>
      <c r="E4300">
        <v>0.84</v>
      </c>
      <c r="F4300">
        <v>0.04</v>
      </c>
      <c r="G4300" t="s">
        <v>1503</v>
      </c>
      <c r="H4300">
        <v>489</v>
      </c>
      <c r="I4300">
        <v>4.79</v>
      </c>
      <c r="J4300">
        <v>4.8</v>
      </c>
      <c r="K4300" t="s">
        <v>20255</v>
      </c>
      <c r="L4300">
        <v>0.46</v>
      </c>
      <c r="M4300" t="s">
        <v>46</v>
      </c>
      <c r="N4300" t="s">
        <v>20256</v>
      </c>
      <c r="O4300">
        <v>4.81</v>
      </c>
      <c r="P4300">
        <v>4.73</v>
      </c>
      <c r="Q4300">
        <v>4.77</v>
      </c>
      <c r="R4300">
        <v>4.76</v>
      </c>
      <c r="S4300">
        <v>1.68</v>
      </c>
      <c r="T4300">
        <v>0.9</v>
      </c>
      <c r="U4300">
        <v>-11.5</v>
      </c>
      <c r="V4300">
        <v>-962</v>
      </c>
      <c r="W4300">
        <v>4.77</v>
      </c>
      <c r="X4300" t="s">
        <v>8072</v>
      </c>
      <c r="Y4300" t="s">
        <v>3456</v>
      </c>
      <c r="Z4300">
        <v>1.11</v>
      </c>
      <c r="AA4300">
        <v>853</v>
      </c>
      <c r="AB4300">
        <v>1056</v>
      </c>
      <c r="AC4300">
        <v>1.77</v>
      </c>
      <c r="AD4300" t="s">
        <v>8745</v>
      </c>
      <c r="AE4300" t="s">
        <v>20257</v>
      </c>
      <c r="AF4300" t="s">
        <v>16695</v>
      </c>
      <c r="AG4300" t="s">
        <v>3136</v>
      </c>
      <c r="AH4300">
        <v>-1.64</v>
      </c>
      <c r="AI4300">
        <v>-2.64</v>
      </c>
      <c r="AJ4300">
        <v>1.46</v>
      </c>
      <c r="AK4300">
        <v>3.04</v>
      </c>
      <c r="AL4300">
        <v>1</v>
      </c>
      <c r="AM4300">
        <v>0.84</v>
      </c>
      <c r="AN4300">
        <v>3</v>
      </c>
      <c r="AO4300">
        <v>-0.62</v>
      </c>
      <c r="AP4300">
        <v>-6.61</v>
      </c>
    </row>
    <row r="4301" spans="1:42">
      <c r="A4301">
        <v>4300</v>
      </c>
      <c r="B4301" t="str">
        <f>"688244"</f>
        <v>688244</v>
      </c>
      <c r="C4301" t="s">
        <v>20258</v>
      </c>
      <c r="D4301">
        <v>57.58</v>
      </c>
      <c r="E4301">
        <v>1.73</v>
      </c>
      <c r="F4301">
        <v>0.98</v>
      </c>
      <c r="G4301">
        <v>4733</v>
      </c>
      <c r="H4301">
        <v>11</v>
      </c>
      <c r="I4301">
        <v>57.58</v>
      </c>
      <c r="J4301">
        <v>57.62</v>
      </c>
      <c r="K4301" t="s">
        <v>20259</v>
      </c>
      <c r="L4301">
        <v>1.44</v>
      </c>
      <c r="M4301" t="s">
        <v>46</v>
      </c>
      <c r="N4301" t="s">
        <v>7816</v>
      </c>
      <c r="O4301">
        <v>58.17</v>
      </c>
      <c r="P4301">
        <v>56.06</v>
      </c>
      <c r="Q4301">
        <v>56.9</v>
      </c>
      <c r="R4301">
        <v>56.6</v>
      </c>
      <c r="S4301">
        <v>3.73</v>
      </c>
      <c r="T4301">
        <v>1.02</v>
      </c>
      <c r="U4301">
        <v>13.6</v>
      </c>
      <c r="V4301">
        <v>15</v>
      </c>
      <c r="W4301">
        <v>57.33</v>
      </c>
      <c r="X4301">
        <v>1426</v>
      </c>
      <c r="Y4301">
        <v>3306</v>
      </c>
      <c r="Z4301">
        <v>0.43</v>
      </c>
      <c r="AA4301">
        <v>27</v>
      </c>
      <c r="AB4301">
        <v>4</v>
      </c>
      <c r="AC4301">
        <v>3.93</v>
      </c>
      <c r="AD4301" t="s">
        <v>13623</v>
      </c>
      <c r="AE4301" t="s">
        <v>11581</v>
      </c>
      <c r="AF4301" t="s">
        <v>20260</v>
      </c>
      <c r="AG4301" t="s">
        <v>20261</v>
      </c>
      <c r="AH4301">
        <v>0.98</v>
      </c>
      <c r="AI4301">
        <v>-3.99</v>
      </c>
      <c r="AJ4301">
        <v>3.76</v>
      </c>
      <c r="AK4301">
        <v>8.55</v>
      </c>
      <c r="AL4301">
        <v>1</v>
      </c>
      <c r="AM4301">
        <v>1.73</v>
      </c>
      <c r="AN4301">
        <v>57.32</v>
      </c>
      <c r="AO4301">
        <v>15.32</v>
      </c>
      <c r="AP4301">
        <v>9.14</v>
      </c>
    </row>
    <row r="4302" spans="1:42">
      <c r="A4302">
        <v>4301</v>
      </c>
      <c r="B4302" t="str">
        <f>"000910"</f>
        <v>000910</v>
      </c>
      <c r="C4302" t="s">
        <v>20262</v>
      </c>
      <c r="D4302">
        <v>8.25</v>
      </c>
      <c r="E4302">
        <v>0.73</v>
      </c>
      <c r="F4302">
        <v>0.06</v>
      </c>
      <c r="G4302" t="s">
        <v>1704</v>
      </c>
      <c r="H4302">
        <v>58</v>
      </c>
      <c r="I4302">
        <v>8.24</v>
      </c>
      <c r="J4302">
        <v>8.25</v>
      </c>
      <c r="K4302" t="s">
        <v>20263</v>
      </c>
      <c r="L4302">
        <v>0.6</v>
      </c>
      <c r="M4302" t="s">
        <v>46</v>
      </c>
      <c r="N4302" t="s">
        <v>18440</v>
      </c>
      <c r="O4302">
        <v>8.29</v>
      </c>
      <c r="P4302">
        <v>8.12</v>
      </c>
      <c r="Q4302">
        <v>8.16</v>
      </c>
      <c r="R4302">
        <v>8.19</v>
      </c>
      <c r="S4302">
        <v>2.08</v>
      </c>
      <c r="T4302">
        <v>0.89</v>
      </c>
      <c r="U4302">
        <v>-22.48</v>
      </c>
      <c r="V4302">
        <v>-468</v>
      </c>
      <c r="W4302">
        <v>8.21</v>
      </c>
      <c r="X4302" t="s">
        <v>2371</v>
      </c>
      <c r="Y4302" t="s">
        <v>1255</v>
      </c>
      <c r="Z4302">
        <v>0.85</v>
      </c>
      <c r="AA4302">
        <v>49</v>
      </c>
      <c r="AB4302">
        <v>53</v>
      </c>
      <c r="AC4302">
        <v>0.68</v>
      </c>
      <c r="AD4302" t="s">
        <v>20264</v>
      </c>
      <c r="AE4302" t="s">
        <v>19813</v>
      </c>
      <c r="AF4302" t="s">
        <v>20265</v>
      </c>
      <c r="AG4302" t="s">
        <v>20266</v>
      </c>
      <c r="AH4302">
        <v>-0.12</v>
      </c>
      <c r="AI4302">
        <v>-0.72</v>
      </c>
      <c r="AJ4302">
        <v>1.57</v>
      </c>
      <c r="AK4302">
        <v>4.01</v>
      </c>
      <c r="AL4302">
        <v>1</v>
      </c>
      <c r="AM4302">
        <v>0.73</v>
      </c>
      <c r="AN4302">
        <v>-1.32</v>
      </c>
      <c r="AO4302">
        <v>4.43</v>
      </c>
      <c r="AP4302">
        <v>-1.67</v>
      </c>
    </row>
    <row r="4303" spans="1:42">
      <c r="A4303">
        <v>4302</v>
      </c>
      <c r="B4303" t="str">
        <f>"001336"</f>
        <v>001336</v>
      </c>
      <c r="C4303" t="s">
        <v>20267</v>
      </c>
      <c r="D4303">
        <v>29.97</v>
      </c>
      <c r="E4303">
        <v>-0.13</v>
      </c>
      <c r="F4303">
        <v>-0.04</v>
      </c>
      <c r="G4303">
        <v>9046</v>
      </c>
      <c r="H4303">
        <v>72</v>
      </c>
      <c r="I4303">
        <v>29.94</v>
      </c>
      <c r="J4303">
        <v>29.97</v>
      </c>
      <c r="K4303" t="s">
        <v>20263</v>
      </c>
      <c r="L4303">
        <v>3.17</v>
      </c>
      <c r="M4303" t="s">
        <v>46</v>
      </c>
      <c r="N4303" t="s">
        <v>5134</v>
      </c>
      <c r="O4303">
        <v>30.3</v>
      </c>
      <c r="P4303">
        <v>29.74</v>
      </c>
      <c r="Q4303">
        <v>30.16</v>
      </c>
      <c r="R4303">
        <v>30.01</v>
      </c>
      <c r="S4303">
        <v>1.87</v>
      </c>
      <c r="T4303">
        <v>0.95</v>
      </c>
      <c r="U4303">
        <v>37.36</v>
      </c>
      <c r="V4303">
        <v>99</v>
      </c>
      <c r="W4303">
        <v>29.98</v>
      </c>
      <c r="X4303">
        <v>3997</v>
      </c>
      <c r="Y4303">
        <v>5049</v>
      </c>
      <c r="Z4303">
        <v>0.79</v>
      </c>
      <c r="AA4303">
        <v>75</v>
      </c>
      <c r="AB4303">
        <v>7</v>
      </c>
      <c r="AC4303">
        <v>3.16</v>
      </c>
      <c r="AD4303" t="s">
        <v>12537</v>
      </c>
      <c r="AE4303" t="s">
        <v>19503</v>
      </c>
      <c r="AF4303" t="s">
        <v>20268</v>
      </c>
      <c r="AG4303" t="s">
        <v>13027</v>
      </c>
      <c r="AH4303">
        <v>0.57</v>
      </c>
      <c r="AI4303">
        <v>1.18</v>
      </c>
      <c r="AJ4303">
        <v>9.92</v>
      </c>
      <c r="AK4303">
        <v>19.86</v>
      </c>
      <c r="AL4303">
        <v>-2</v>
      </c>
      <c r="AM4303">
        <v>-0.13</v>
      </c>
      <c r="AN4303">
        <v>21.88</v>
      </c>
      <c r="AO4303">
        <v>12.46</v>
      </c>
      <c r="AP4303">
        <v>6.65</v>
      </c>
    </row>
    <row r="4304" spans="1:42">
      <c r="A4304">
        <v>4303</v>
      </c>
      <c r="B4304" t="str">
        <f>"001223"</f>
        <v>001223</v>
      </c>
      <c r="C4304" t="s">
        <v>20269</v>
      </c>
      <c r="D4304">
        <v>66.12</v>
      </c>
      <c r="E4304">
        <v>-2.29</v>
      </c>
      <c r="F4304">
        <v>-1.55</v>
      </c>
      <c r="G4304">
        <v>4091</v>
      </c>
      <c r="H4304">
        <v>69</v>
      </c>
      <c r="I4304">
        <v>66.12</v>
      </c>
      <c r="J4304">
        <v>66.14</v>
      </c>
      <c r="K4304" t="s">
        <v>20263</v>
      </c>
      <c r="L4304">
        <v>2.45</v>
      </c>
      <c r="M4304" t="s">
        <v>46</v>
      </c>
      <c r="N4304" t="s">
        <v>897</v>
      </c>
      <c r="O4304">
        <v>67.67</v>
      </c>
      <c r="P4304">
        <v>65.66</v>
      </c>
      <c r="Q4304">
        <v>67.67</v>
      </c>
      <c r="R4304">
        <v>67.67</v>
      </c>
      <c r="S4304">
        <v>2.97</v>
      </c>
      <c r="T4304">
        <v>0.71</v>
      </c>
      <c r="U4304">
        <v>-5.88</v>
      </c>
      <c r="V4304">
        <v>-11</v>
      </c>
      <c r="W4304">
        <v>66.29</v>
      </c>
      <c r="X4304">
        <v>2712</v>
      </c>
      <c r="Y4304">
        <v>1380</v>
      </c>
      <c r="Z4304">
        <v>1.97</v>
      </c>
      <c r="AA4304">
        <v>17</v>
      </c>
      <c r="AB4304">
        <v>4</v>
      </c>
      <c r="AC4304">
        <v>2.35</v>
      </c>
      <c r="AD4304" t="s">
        <v>5125</v>
      </c>
      <c r="AE4304" t="s">
        <v>9948</v>
      </c>
      <c r="AF4304" t="s">
        <v>20270</v>
      </c>
      <c r="AG4304" t="s">
        <v>18403</v>
      </c>
      <c r="AH4304">
        <v>-3.56</v>
      </c>
      <c r="AI4304">
        <v>-6.91</v>
      </c>
      <c r="AJ4304">
        <v>8.51</v>
      </c>
      <c r="AK4304">
        <v>19.67</v>
      </c>
      <c r="AL4304">
        <v>-1</v>
      </c>
      <c r="AM4304">
        <v>-2.29</v>
      </c>
      <c r="AN4304">
        <v>10.02</v>
      </c>
      <c r="AO4304">
        <v>-4.06</v>
      </c>
      <c r="AP4304">
        <v>0.82</v>
      </c>
    </row>
    <row r="4305" spans="1:42">
      <c r="A4305">
        <v>4304</v>
      </c>
      <c r="B4305" t="str">
        <f>"603967"</f>
        <v>603967</v>
      </c>
      <c r="C4305" t="s">
        <v>20271</v>
      </c>
      <c r="D4305">
        <v>9.93</v>
      </c>
      <c r="E4305">
        <v>-0.3</v>
      </c>
      <c r="F4305">
        <v>-0.03</v>
      </c>
      <c r="G4305" t="s">
        <v>5420</v>
      </c>
      <c r="H4305">
        <v>231</v>
      </c>
      <c r="I4305">
        <v>9.92</v>
      </c>
      <c r="J4305">
        <v>9.93</v>
      </c>
      <c r="K4305" t="s">
        <v>20272</v>
      </c>
      <c r="L4305">
        <v>0.79</v>
      </c>
      <c r="M4305" t="s">
        <v>46</v>
      </c>
      <c r="N4305" t="s">
        <v>13008</v>
      </c>
      <c r="O4305">
        <v>10.01</v>
      </c>
      <c r="P4305">
        <v>9.82</v>
      </c>
      <c r="Q4305">
        <v>9.97</v>
      </c>
      <c r="R4305">
        <v>9.96</v>
      </c>
      <c r="S4305">
        <v>1.91</v>
      </c>
      <c r="T4305">
        <v>1.32</v>
      </c>
      <c r="U4305">
        <v>-14.8</v>
      </c>
      <c r="V4305">
        <v>-96</v>
      </c>
      <c r="W4305">
        <v>9.94</v>
      </c>
      <c r="X4305" t="s">
        <v>4943</v>
      </c>
      <c r="Y4305" t="s">
        <v>4443</v>
      </c>
      <c r="Z4305">
        <v>1.48</v>
      </c>
      <c r="AA4305">
        <v>25</v>
      </c>
      <c r="AB4305">
        <v>2</v>
      </c>
      <c r="AC4305">
        <v>1.55</v>
      </c>
      <c r="AD4305" t="s">
        <v>20273</v>
      </c>
      <c r="AE4305" t="s">
        <v>6658</v>
      </c>
      <c r="AF4305" t="s">
        <v>20273</v>
      </c>
      <c r="AG4305" t="s">
        <v>6658</v>
      </c>
      <c r="AH4305">
        <v>0</v>
      </c>
      <c r="AI4305">
        <v>0.81</v>
      </c>
      <c r="AJ4305">
        <v>1.97</v>
      </c>
      <c r="AK4305">
        <v>3.76</v>
      </c>
      <c r="AL4305">
        <v>-1</v>
      </c>
      <c r="AM4305">
        <v>-0.3</v>
      </c>
      <c r="AN4305">
        <v>4.2</v>
      </c>
      <c r="AO4305">
        <v>2.9</v>
      </c>
      <c r="AP4305">
        <v>1.53</v>
      </c>
    </row>
    <row r="4306" spans="1:42">
      <c r="A4306">
        <v>4305</v>
      </c>
      <c r="B4306" t="str">
        <f>"002578"</f>
        <v>002578</v>
      </c>
      <c r="C4306" t="s">
        <v>20274</v>
      </c>
      <c r="D4306">
        <v>3.78</v>
      </c>
      <c r="E4306">
        <v>0.27</v>
      </c>
      <c r="F4306">
        <v>0.01</v>
      </c>
      <c r="G4306" t="s">
        <v>7753</v>
      </c>
      <c r="H4306">
        <v>468</v>
      </c>
      <c r="I4306">
        <v>3.77</v>
      </c>
      <c r="J4306">
        <v>3.78</v>
      </c>
      <c r="K4306" t="s">
        <v>20275</v>
      </c>
      <c r="L4306">
        <v>0.83</v>
      </c>
      <c r="M4306" t="s">
        <v>46</v>
      </c>
      <c r="N4306" t="s">
        <v>4469</v>
      </c>
      <c r="O4306">
        <v>3.81</v>
      </c>
      <c r="P4306">
        <v>3.74</v>
      </c>
      <c r="Q4306">
        <v>3.8</v>
      </c>
      <c r="R4306">
        <v>3.77</v>
      </c>
      <c r="S4306">
        <v>1.86</v>
      </c>
      <c r="T4306">
        <v>0.88</v>
      </c>
      <c r="U4306">
        <v>-57.25</v>
      </c>
      <c r="V4306">
        <v>-6026</v>
      </c>
      <c r="W4306">
        <v>3.77</v>
      </c>
      <c r="X4306" t="s">
        <v>7966</v>
      </c>
      <c r="Y4306" t="s">
        <v>8404</v>
      </c>
      <c r="Z4306">
        <v>0.8</v>
      </c>
      <c r="AA4306">
        <v>368</v>
      </c>
      <c r="AB4306">
        <v>1207</v>
      </c>
      <c r="AC4306">
        <v>2.3</v>
      </c>
      <c r="AD4306" t="s">
        <v>20276</v>
      </c>
      <c r="AE4306" t="s">
        <v>20277</v>
      </c>
      <c r="AF4306" t="s">
        <v>15498</v>
      </c>
      <c r="AG4306" t="s">
        <v>20278</v>
      </c>
      <c r="AH4306">
        <v>-1.82</v>
      </c>
      <c r="AI4306">
        <v>-1.56</v>
      </c>
      <c r="AJ4306">
        <v>2.85</v>
      </c>
      <c r="AK4306">
        <v>5.59</v>
      </c>
      <c r="AL4306">
        <v>1</v>
      </c>
      <c r="AM4306">
        <v>0.27</v>
      </c>
      <c r="AN4306">
        <v>-12.7</v>
      </c>
      <c r="AO4306">
        <v>1.07</v>
      </c>
      <c r="AP4306">
        <v>-16.37</v>
      </c>
    </row>
    <row r="4307" spans="1:42">
      <c r="A4307">
        <v>4306</v>
      </c>
      <c r="B4307" t="str">
        <f>"000819"</f>
        <v>000819</v>
      </c>
      <c r="C4307" t="s">
        <v>20279</v>
      </c>
      <c r="D4307">
        <v>18.8</v>
      </c>
      <c r="E4307">
        <v>-0.05</v>
      </c>
      <c r="F4307">
        <v>-0.01</v>
      </c>
      <c r="G4307" t="s">
        <v>6867</v>
      </c>
      <c r="H4307">
        <v>94</v>
      </c>
      <c r="I4307">
        <v>18.79</v>
      </c>
      <c r="J4307">
        <v>18.8</v>
      </c>
      <c r="K4307" t="s">
        <v>20280</v>
      </c>
      <c r="L4307">
        <v>0.48</v>
      </c>
      <c r="M4307" t="s">
        <v>46</v>
      </c>
      <c r="N4307" t="s">
        <v>4826</v>
      </c>
      <c r="O4307">
        <v>19.03</v>
      </c>
      <c r="P4307">
        <v>18.65</v>
      </c>
      <c r="Q4307">
        <v>18.81</v>
      </c>
      <c r="R4307">
        <v>18.81</v>
      </c>
      <c r="S4307">
        <v>2.02</v>
      </c>
      <c r="T4307">
        <v>0.86</v>
      </c>
      <c r="U4307">
        <v>33.13</v>
      </c>
      <c r="V4307">
        <v>218</v>
      </c>
      <c r="W4307">
        <v>18.79</v>
      </c>
      <c r="X4307">
        <v>7714</v>
      </c>
      <c r="Y4307">
        <v>6656</v>
      </c>
      <c r="Z4307">
        <v>1.16</v>
      </c>
      <c r="AA4307">
        <v>12</v>
      </c>
      <c r="AB4307">
        <v>11</v>
      </c>
      <c r="AC4307">
        <v>5.3</v>
      </c>
      <c r="AD4307" t="s">
        <v>6327</v>
      </c>
      <c r="AE4307" t="s">
        <v>20281</v>
      </c>
      <c r="AF4307" t="s">
        <v>20282</v>
      </c>
      <c r="AG4307" t="s">
        <v>20283</v>
      </c>
      <c r="AH4307">
        <v>-1.93</v>
      </c>
      <c r="AI4307">
        <v>-1.1</v>
      </c>
      <c r="AJ4307">
        <v>1.4</v>
      </c>
      <c r="AK4307">
        <v>3.28</v>
      </c>
      <c r="AL4307">
        <v>-4</v>
      </c>
      <c r="AM4307">
        <v>-0.05</v>
      </c>
      <c r="AN4307">
        <v>-15.7</v>
      </c>
      <c r="AO4307">
        <v>-0.84</v>
      </c>
      <c r="AP4307">
        <v>-16.44</v>
      </c>
    </row>
    <row r="4308" spans="1:42">
      <c r="A4308">
        <v>4307</v>
      </c>
      <c r="B4308" t="str">
        <f>"603339"</f>
        <v>603339</v>
      </c>
      <c r="C4308" t="s">
        <v>20284</v>
      </c>
      <c r="D4308">
        <v>12.09</v>
      </c>
      <c r="E4308">
        <v>0.25</v>
      </c>
      <c r="F4308">
        <v>0.03</v>
      </c>
      <c r="G4308" t="s">
        <v>7195</v>
      </c>
      <c r="H4308">
        <v>193</v>
      </c>
      <c r="I4308">
        <v>12.08</v>
      </c>
      <c r="J4308">
        <v>12.09</v>
      </c>
      <c r="K4308" t="s">
        <v>20285</v>
      </c>
      <c r="L4308">
        <v>0.72</v>
      </c>
      <c r="M4308" t="s">
        <v>46</v>
      </c>
      <c r="N4308" t="s">
        <v>2751</v>
      </c>
      <c r="O4308">
        <v>12.18</v>
      </c>
      <c r="P4308">
        <v>11.98</v>
      </c>
      <c r="Q4308">
        <v>12.08</v>
      </c>
      <c r="R4308">
        <v>12.06</v>
      </c>
      <c r="S4308">
        <v>1.66</v>
      </c>
      <c r="T4308">
        <v>0.81</v>
      </c>
      <c r="U4308">
        <v>-17.31</v>
      </c>
      <c r="V4308">
        <v>-233</v>
      </c>
      <c r="W4308">
        <v>12.05</v>
      </c>
      <c r="X4308" t="s">
        <v>1052</v>
      </c>
      <c r="Y4308" t="s">
        <v>1154</v>
      </c>
      <c r="Z4308">
        <v>1.17</v>
      </c>
      <c r="AA4308">
        <v>111</v>
      </c>
      <c r="AB4308">
        <v>105</v>
      </c>
      <c r="AC4308">
        <v>1.57</v>
      </c>
      <c r="AD4308" t="s">
        <v>20286</v>
      </c>
      <c r="AE4308" t="s">
        <v>18737</v>
      </c>
      <c r="AF4308" t="s">
        <v>20286</v>
      </c>
      <c r="AG4308" t="s">
        <v>18737</v>
      </c>
      <c r="AH4308">
        <v>-1.23</v>
      </c>
      <c r="AI4308">
        <v>-1.06</v>
      </c>
      <c r="AJ4308">
        <v>2.19</v>
      </c>
      <c r="AK4308">
        <v>5.21</v>
      </c>
      <c r="AL4308">
        <v>1</v>
      </c>
      <c r="AM4308">
        <v>0.25</v>
      </c>
      <c r="AN4308">
        <v>0.83</v>
      </c>
      <c r="AO4308">
        <v>1.85</v>
      </c>
      <c r="AP4308">
        <v>-11.23</v>
      </c>
    </row>
    <row r="4309" spans="1:42">
      <c r="A4309">
        <v>4308</v>
      </c>
      <c r="B4309" t="str">
        <f>"688576"</f>
        <v>688576</v>
      </c>
      <c r="C4309" t="s">
        <v>20287</v>
      </c>
      <c r="D4309">
        <v>92.57</v>
      </c>
      <c r="E4309">
        <v>0.77</v>
      </c>
      <c r="F4309">
        <v>0.71</v>
      </c>
      <c r="G4309">
        <v>2931</v>
      </c>
      <c r="H4309">
        <v>24</v>
      </c>
      <c r="I4309">
        <v>92.57</v>
      </c>
      <c r="J4309">
        <v>92.7</v>
      </c>
      <c r="K4309" t="s">
        <v>20288</v>
      </c>
      <c r="L4309">
        <v>2.38</v>
      </c>
      <c r="M4309" t="s">
        <v>46</v>
      </c>
      <c r="N4309" t="s">
        <v>6517</v>
      </c>
      <c r="O4309">
        <v>93.02</v>
      </c>
      <c r="P4309">
        <v>90.8</v>
      </c>
      <c r="Q4309">
        <v>91.86</v>
      </c>
      <c r="R4309">
        <v>91.86</v>
      </c>
      <c r="S4309">
        <v>2.42</v>
      </c>
      <c r="T4309">
        <v>0.66</v>
      </c>
      <c r="U4309">
        <v>-33.93</v>
      </c>
      <c r="V4309">
        <v>-27</v>
      </c>
      <c r="W4309">
        <v>91.9</v>
      </c>
      <c r="X4309">
        <v>1434</v>
      </c>
      <c r="Y4309">
        <v>1497</v>
      </c>
      <c r="Z4309">
        <v>0.96</v>
      </c>
      <c r="AA4309">
        <v>10</v>
      </c>
      <c r="AB4309">
        <v>2</v>
      </c>
      <c r="AC4309">
        <v>2.33</v>
      </c>
      <c r="AD4309" t="s">
        <v>20289</v>
      </c>
      <c r="AE4309" t="s">
        <v>20290</v>
      </c>
      <c r="AF4309" t="s">
        <v>20291</v>
      </c>
      <c r="AG4309" t="s">
        <v>16644</v>
      </c>
      <c r="AH4309">
        <v>-2.02</v>
      </c>
      <c r="AI4309">
        <v>-1.4</v>
      </c>
      <c r="AJ4309">
        <v>8.65</v>
      </c>
      <c r="AK4309">
        <v>20.49</v>
      </c>
      <c r="AL4309">
        <v>1</v>
      </c>
      <c r="AM4309">
        <v>0.77</v>
      </c>
      <c r="AN4309">
        <v>-31.83</v>
      </c>
      <c r="AO4309">
        <v>2.33</v>
      </c>
      <c r="AP4309">
        <v>-31.83</v>
      </c>
    </row>
    <row r="4310" spans="1:42">
      <c r="A4310">
        <v>4309</v>
      </c>
      <c r="B4310" t="str">
        <f>"301000"</f>
        <v>301000</v>
      </c>
      <c r="C4310" t="s">
        <v>20292</v>
      </c>
      <c r="D4310">
        <v>17.61</v>
      </c>
      <c r="E4310">
        <v>-0.45</v>
      </c>
      <c r="F4310">
        <v>-0.08</v>
      </c>
      <c r="G4310" t="s">
        <v>578</v>
      </c>
      <c r="H4310">
        <v>219</v>
      </c>
      <c r="I4310">
        <v>17.61</v>
      </c>
      <c r="J4310">
        <v>17.62</v>
      </c>
      <c r="K4310" t="s">
        <v>20293</v>
      </c>
      <c r="L4310">
        <v>2.22</v>
      </c>
      <c r="M4310" t="s">
        <v>46</v>
      </c>
      <c r="N4310" t="s">
        <v>11996</v>
      </c>
      <c r="O4310">
        <v>17.75</v>
      </c>
      <c r="P4310">
        <v>17.37</v>
      </c>
      <c r="Q4310">
        <v>17.55</v>
      </c>
      <c r="R4310">
        <v>17.69</v>
      </c>
      <c r="S4310">
        <v>2.15</v>
      </c>
      <c r="T4310">
        <v>0.79</v>
      </c>
      <c r="U4310">
        <v>28.73</v>
      </c>
      <c r="V4310">
        <v>133</v>
      </c>
      <c r="W4310">
        <v>17.56</v>
      </c>
      <c r="X4310">
        <v>8211</v>
      </c>
      <c r="Y4310">
        <v>7127</v>
      </c>
      <c r="Z4310">
        <v>1.15</v>
      </c>
      <c r="AA4310">
        <v>77</v>
      </c>
      <c r="AB4310">
        <v>87</v>
      </c>
      <c r="AC4310">
        <v>2.74</v>
      </c>
      <c r="AD4310" t="s">
        <v>11951</v>
      </c>
      <c r="AE4310" t="s">
        <v>20294</v>
      </c>
      <c r="AF4310" t="s">
        <v>20295</v>
      </c>
      <c r="AG4310" t="s">
        <v>11991</v>
      </c>
      <c r="AH4310">
        <v>-2.92</v>
      </c>
      <c r="AI4310">
        <v>-1.78</v>
      </c>
      <c r="AJ4310">
        <v>8.55</v>
      </c>
      <c r="AK4310">
        <v>16.27</v>
      </c>
      <c r="AL4310">
        <v>-3</v>
      </c>
      <c r="AM4310">
        <v>-0.45</v>
      </c>
      <c r="AN4310">
        <v>22.72</v>
      </c>
      <c r="AO4310">
        <v>4.45</v>
      </c>
      <c r="AP4310">
        <v>10.2</v>
      </c>
    </row>
    <row r="4311" spans="1:42">
      <c r="A4311">
        <v>4310</v>
      </c>
      <c r="B4311" t="str">
        <f>"603360"</f>
        <v>603360</v>
      </c>
      <c r="C4311" t="s">
        <v>20296</v>
      </c>
      <c r="D4311">
        <v>11.48</v>
      </c>
      <c r="E4311">
        <v>1.15</v>
      </c>
      <c r="F4311">
        <v>0.13</v>
      </c>
      <c r="G4311" t="s">
        <v>3151</v>
      </c>
      <c r="H4311">
        <v>73</v>
      </c>
      <c r="I4311">
        <v>11.47</v>
      </c>
      <c r="J4311">
        <v>11.48</v>
      </c>
      <c r="K4311" t="s">
        <v>20293</v>
      </c>
      <c r="L4311">
        <v>0.66</v>
      </c>
      <c r="M4311" t="s">
        <v>46</v>
      </c>
      <c r="N4311" t="s">
        <v>1538</v>
      </c>
      <c r="O4311">
        <v>11.52</v>
      </c>
      <c r="P4311">
        <v>11.33</v>
      </c>
      <c r="Q4311">
        <v>11.35</v>
      </c>
      <c r="R4311">
        <v>11.35</v>
      </c>
      <c r="S4311">
        <v>1.67</v>
      </c>
      <c r="T4311">
        <v>0.89</v>
      </c>
      <c r="U4311">
        <v>42.5</v>
      </c>
      <c r="V4311">
        <v>306</v>
      </c>
      <c r="W4311">
        <v>11.46</v>
      </c>
      <c r="X4311" t="s">
        <v>6212</v>
      </c>
      <c r="Y4311" t="s">
        <v>7974</v>
      </c>
      <c r="Z4311">
        <v>1.17</v>
      </c>
      <c r="AA4311">
        <v>69</v>
      </c>
      <c r="AB4311">
        <v>13</v>
      </c>
      <c r="AC4311">
        <v>2.61</v>
      </c>
      <c r="AD4311" t="s">
        <v>20297</v>
      </c>
      <c r="AE4311" t="s">
        <v>2953</v>
      </c>
      <c r="AF4311" t="s">
        <v>9168</v>
      </c>
      <c r="AG4311" t="s">
        <v>4911</v>
      </c>
      <c r="AH4311">
        <v>-0.78</v>
      </c>
      <c r="AI4311">
        <v>-2.13</v>
      </c>
      <c r="AJ4311">
        <v>2.06</v>
      </c>
      <c r="AK4311">
        <v>4.37</v>
      </c>
      <c r="AL4311">
        <v>1</v>
      </c>
      <c r="AM4311">
        <v>1.15</v>
      </c>
      <c r="AN4311">
        <v>-4.17</v>
      </c>
      <c r="AO4311">
        <v>13.55</v>
      </c>
      <c r="AP4311">
        <v>0.79</v>
      </c>
    </row>
    <row r="4312" spans="1:42">
      <c r="A4312">
        <v>4311</v>
      </c>
      <c r="B4312" t="str">
        <f>"301272"</f>
        <v>301272</v>
      </c>
      <c r="C4312" t="s">
        <v>20298</v>
      </c>
      <c r="D4312">
        <v>53.67</v>
      </c>
      <c r="E4312">
        <v>-1.18</v>
      </c>
      <c r="F4312">
        <v>-0.64</v>
      </c>
      <c r="G4312">
        <v>5008</v>
      </c>
      <c r="H4312">
        <v>119</v>
      </c>
      <c r="I4312">
        <v>53.67</v>
      </c>
      <c r="J4312">
        <v>53.69</v>
      </c>
      <c r="K4312" t="s">
        <v>20299</v>
      </c>
      <c r="L4312">
        <v>3.61</v>
      </c>
      <c r="M4312" t="s">
        <v>46</v>
      </c>
      <c r="N4312" t="s">
        <v>3561</v>
      </c>
      <c r="O4312">
        <v>54.48</v>
      </c>
      <c r="P4312">
        <v>53.37</v>
      </c>
      <c r="Q4312">
        <v>54.25</v>
      </c>
      <c r="R4312">
        <v>54.31</v>
      </c>
      <c r="S4312">
        <v>2.04</v>
      </c>
      <c r="T4312">
        <v>1.13</v>
      </c>
      <c r="U4312">
        <v>63.64</v>
      </c>
      <c r="V4312">
        <v>98</v>
      </c>
      <c r="W4312">
        <v>53.74</v>
      </c>
      <c r="X4312">
        <v>2675</v>
      </c>
      <c r="Y4312">
        <v>2333</v>
      </c>
      <c r="Z4312">
        <v>1.15</v>
      </c>
      <c r="AA4312">
        <v>60</v>
      </c>
      <c r="AB4312">
        <v>1</v>
      </c>
      <c r="AC4312">
        <v>3.22</v>
      </c>
      <c r="AD4312" t="s">
        <v>14912</v>
      </c>
      <c r="AE4312" t="s">
        <v>20300</v>
      </c>
      <c r="AF4312" t="s">
        <v>20301</v>
      </c>
      <c r="AG4312" t="s">
        <v>20302</v>
      </c>
      <c r="AH4312">
        <v>-4.06</v>
      </c>
      <c r="AI4312">
        <v>-5.49</v>
      </c>
      <c r="AJ4312">
        <v>10.14</v>
      </c>
      <c r="AK4312">
        <v>19.52</v>
      </c>
      <c r="AL4312">
        <v>-3</v>
      </c>
      <c r="AM4312">
        <v>-1.18</v>
      </c>
      <c r="AN4312">
        <v>4.44</v>
      </c>
      <c r="AO4312">
        <v>-2.12</v>
      </c>
      <c r="AP4312">
        <v>4.44</v>
      </c>
    </row>
    <row r="4313" spans="1:42">
      <c r="A4313">
        <v>4312</v>
      </c>
      <c r="B4313" t="str">
        <f>"301515"</f>
        <v>301515</v>
      </c>
      <c r="C4313" t="s">
        <v>20303</v>
      </c>
      <c r="D4313">
        <v>31.83</v>
      </c>
      <c r="E4313">
        <v>0.95</v>
      </c>
      <c r="F4313">
        <v>0.3</v>
      </c>
      <c r="G4313">
        <v>8504</v>
      </c>
      <c r="H4313">
        <v>87</v>
      </c>
      <c r="I4313">
        <v>31.83</v>
      </c>
      <c r="J4313">
        <v>31.85</v>
      </c>
      <c r="K4313" t="s">
        <v>20304</v>
      </c>
      <c r="L4313">
        <v>3.59</v>
      </c>
      <c r="M4313" t="s">
        <v>46</v>
      </c>
      <c r="N4313" t="s">
        <v>3340</v>
      </c>
      <c r="O4313">
        <v>31.9</v>
      </c>
      <c r="P4313">
        <v>31.31</v>
      </c>
      <c r="Q4313">
        <v>31.64</v>
      </c>
      <c r="R4313">
        <v>31.53</v>
      </c>
      <c r="S4313">
        <v>1.87</v>
      </c>
      <c r="T4313">
        <v>0.81</v>
      </c>
      <c r="U4313">
        <v>68.93</v>
      </c>
      <c r="V4313">
        <v>315</v>
      </c>
      <c r="W4313">
        <v>31.62</v>
      </c>
      <c r="X4313">
        <v>4555</v>
      </c>
      <c r="Y4313">
        <v>3949</v>
      </c>
      <c r="Z4313">
        <v>1.15</v>
      </c>
      <c r="AA4313">
        <v>27</v>
      </c>
      <c r="AB4313">
        <v>13</v>
      </c>
      <c r="AC4313">
        <v>2.48</v>
      </c>
      <c r="AD4313" t="s">
        <v>5976</v>
      </c>
      <c r="AE4313" t="s">
        <v>3879</v>
      </c>
      <c r="AF4313" t="s">
        <v>14838</v>
      </c>
      <c r="AG4313" t="s">
        <v>20305</v>
      </c>
      <c r="AH4313">
        <v>-2.15</v>
      </c>
      <c r="AI4313">
        <v>-4.79</v>
      </c>
      <c r="AJ4313">
        <v>11.13</v>
      </c>
      <c r="AK4313">
        <v>25.82</v>
      </c>
      <c r="AL4313">
        <v>1</v>
      </c>
      <c r="AM4313">
        <v>0.95</v>
      </c>
      <c r="AN4313">
        <v>2.15</v>
      </c>
      <c r="AO4313">
        <v>-3.25</v>
      </c>
      <c r="AP4313">
        <v>2.15</v>
      </c>
    </row>
    <row r="4314" spans="1:42">
      <c r="A4314">
        <v>4313</v>
      </c>
      <c r="B4314" t="str">
        <f>"839167"</f>
        <v>839167</v>
      </c>
      <c r="C4314" t="s">
        <v>20306</v>
      </c>
      <c r="D4314">
        <v>13.31</v>
      </c>
      <c r="E4314">
        <v>-6.66</v>
      </c>
      <c r="F4314">
        <v>-0.95</v>
      </c>
      <c r="G4314" t="s">
        <v>5585</v>
      </c>
      <c r="H4314">
        <v>215</v>
      </c>
      <c r="I4314">
        <v>13.3</v>
      </c>
      <c r="J4314">
        <v>13.31</v>
      </c>
      <c r="K4314" t="s">
        <v>20307</v>
      </c>
      <c r="L4314">
        <v>3</v>
      </c>
      <c r="M4314" t="s">
        <v>46</v>
      </c>
      <c r="N4314" t="s">
        <v>3024</v>
      </c>
      <c r="O4314">
        <v>14.4</v>
      </c>
      <c r="P4314">
        <v>13.27</v>
      </c>
      <c r="Q4314">
        <v>14.37</v>
      </c>
      <c r="R4314">
        <v>14.26</v>
      </c>
      <c r="S4314">
        <v>7.92</v>
      </c>
      <c r="T4314">
        <v>0.53</v>
      </c>
      <c r="U4314">
        <v>7.97</v>
      </c>
      <c r="V4314">
        <v>47</v>
      </c>
      <c r="W4314">
        <v>13.75</v>
      </c>
      <c r="X4314" t="s">
        <v>2547</v>
      </c>
      <c r="Y4314">
        <v>7014</v>
      </c>
      <c r="Z4314">
        <v>1.79</v>
      </c>
      <c r="AA4314">
        <v>57</v>
      </c>
      <c r="AB4314">
        <v>34</v>
      </c>
      <c r="AC4314">
        <v>2.73</v>
      </c>
      <c r="AD4314" t="s">
        <v>7911</v>
      </c>
      <c r="AE4314" t="s">
        <v>800</v>
      </c>
      <c r="AF4314" t="s">
        <v>20308</v>
      </c>
      <c r="AG4314" t="s">
        <v>20309</v>
      </c>
      <c r="AH4314">
        <v>-16.29</v>
      </c>
      <c r="AI4314">
        <v>-3.55</v>
      </c>
      <c r="AJ4314">
        <v>10.84</v>
      </c>
      <c r="AK4314">
        <v>31.57</v>
      </c>
      <c r="AL4314">
        <v>-4</v>
      </c>
      <c r="AM4314">
        <v>-6.66</v>
      </c>
      <c r="AN4314">
        <v>2.31</v>
      </c>
      <c r="AO4314">
        <v>26.16</v>
      </c>
      <c r="AP4314">
        <v>1.37</v>
      </c>
    </row>
    <row r="4315" spans="1:42">
      <c r="A4315">
        <v>4314</v>
      </c>
      <c r="B4315" t="str">
        <f>"300992"</f>
        <v>300992</v>
      </c>
      <c r="C4315" t="s">
        <v>20310</v>
      </c>
      <c r="D4315">
        <v>21.87</v>
      </c>
      <c r="E4315">
        <v>-0.73</v>
      </c>
      <c r="F4315">
        <v>-0.16</v>
      </c>
      <c r="G4315" t="s">
        <v>1254</v>
      </c>
      <c r="H4315">
        <v>31</v>
      </c>
      <c r="I4315">
        <v>21.83</v>
      </c>
      <c r="J4315">
        <v>21.87</v>
      </c>
      <c r="K4315" t="s">
        <v>20311</v>
      </c>
      <c r="L4315">
        <v>2.81</v>
      </c>
      <c r="M4315" t="s">
        <v>46</v>
      </c>
      <c r="N4315" t="s">
        <v>2858</v>
      </c>
      <c r="O4315">
        <v>22.14</v>
      </c>
      <c r="P4315">
        <v>21.73</v>
      </c>
      <c r="Q4315">
        <v>22.14</v>
      </c>
      <c r="R4315">
        <v>22.03</v>
      </c>
      <c r="S4315">
        <v>1.86</v>
      </c>
      <c r="T4315">
        <v>0.8</v>
      </c>
      <c r="U4315">
        <v>32.09</v>
      </c>
      <c r="V4315">
        <v>120</v>
      </c>
      <c r="W4315">
        <v>21.9</v>
      </c>
      <c r="X4315">
        <v>6248</v>
      </c>
      <c r="Y4315">
        <v>5996</v>
      </c>
      <c r="Z4315">
        <v>1.04</v>
      </c>
      <c r="AA4315">
        <v>99</v>
      </c>
      <c r="AB4315">
        <v>13</v>
      </c>
      <c r="AC4315">
        <v>2.59</v>
      </c>
      <c r="AD4315" t="s">
        <v>20312</v>
      </c>
      <c r="AE4315" t="s">
        <v>349</v>
      </c>
      <c r="AF4315" t="s">
        <v>20313</v>
      </c>
      <c r="AG4315" t="s">
        <v>18786</v>
      </c>
      <c r="AH4315">
        <v>-2.54</v>
      </c>
      <c r="AI4315">
        <v>-0.46</v>
      </c>
      <c r="AJ4315">
        <v>8.44</v>
      </c>
      <c r="AK4315">
        <v>20.37</v>
      </c>
      <c r="AL4315">
        <v>-3</v>
      </c>
      <c r="AM4315">
        <v>-0.73</v>
      </c>
      <c r="AN4315">
        <v>22.32</v>
      </c>
      <c r="AO4315">
        <v>4.24</v>
      </c>
      <c r="AP4315">
        <v>11.3</v>
      </c>
    </row>
    <row r="4316" spans="1:42">
      <c r="A4316">
        <v>4315</v>
      </c>
      <c r="B4316" t="str">
        <f>"300758"</f>
        <v>300758</v>
      </c>
      <c r="C4316" t="s">
        <v>20314</v>
      </c>
      <c r="D4316">
        <v>10.23</v>
      </c>
      <c r="E4316">
        <v>-0.49</v>
      </c>
      <c r="F4316">
        <v>-0.05</v>
      </c>
      <c r="G4316" t="s">
        <v>4012</v>
      </c>
      <c r="H4316">
        <v>712</v>
      </c>
      <c r="I4316">
        <v>10.22</v>
      </c>
      <c r="J4316">
        <v>10.24</v>
      </c>
      <c r="K4316" t="s">
        <v>20315</v>
      </c>
      <c r="L4316">
        <v>0.83</v>
      </c>
      <c r="M4316" t="s">
        <v>46</v>
      </c>
      <c r="N4316" t="s">
        <v>5718</v>
      </c>
      <c r="O4316">
        <v>10.37</v>
      </c>
      <c r="P4316">
        <v>10.13</v>
      </c>
      <c r="Q4316">
        <v>10.36</v>
      </c>
      <c r="R4316">
        <v>10.28</v>
      </c>
      <c r="S4316">
        <v>2.33</v>
      </c>
      <c r="T4316">
        <v>0.8</v>
      </c>
      <c r="U4316">
        <v>-26.64</v>
      </c>
      <c r="V4316">
        <v>-411</v>
      </c>
      <c r="W4316">
        <v>10.24</v>
      </c>
      <c r="X4316" t="s">
        <v>5183</v>
      </c>
      <c r="Y4316" t="s">
        <v>682</v>
      </c>
      <c r="Z4316">
        <v>1.08</v>
      </c>
      <c r="AA4316">
        <v>191</v>
      </c>
      <c r="AB4316">
        <v>2</v>
      </c>
      <c r="AC4316">
        <v>2.63</v>
      </c>
      <c r="AD4316" t="s">
        <v>20316</v>
      </c>
      <c r="AE4316" t="s">
        <v>5286</v>
      </c>
      <c r="AF4316" t="s">
        <v>20317</v>
      </c>
      <c r="AG4316" t="s">
        <v>20318</v>
      </c>
      <c r="AH4316">
        <v>-2.57</v>
      </c>
      <c r="AI4316">
        <v>-3.76</v>
      </c>
      <c r="AJ4316">
        <v>2.82</v>
      </c>
      <c r="AK4316">
        <v>6.03</v>
      </c>
      <c r="AL4316">
        <v>-3</v>
      </c>
      <c r="AM4316">
        <v>-0.49</v>
      </c>
      <c r="AN4316">
        <v>-14.03</v>
      </c>
      <c r="AO4316">
        <v>0.39</v>
      </c>
      <c r="AP4316">
        <v>-17.5</v>
      </c>
    </row>
    <row r="4317" spans="1:42">
      <c r="A4317">
        <v>4316</v>
      </c>
      <c r="B4317" t="str">
        <f>"003013"</f>
        <v>003013</v>
      </c>
      <c r="C4317" t="s">
        <v>20319</v>
      </c>
      <c r="D4317">
        <v>16.61</v>
      </c>
      <c r="E4317">
        <v>-0.06</v>
      </c>
      <c r="F4317">
        <v>-0.01</v>
      </c>
      <c r="G4317" t="s">
        <v>7487</v>
      </c>
      <c r="H4317">
        <v>351</v>
      </c>
      <c r="I4317">
        <v>16.58</v>
      </c>
      <c r="J4317">
        <v>16.61</v>
      </c>
      <c r="K4317" t="s">
        <v>20320</v>
      </c>
      <c r="L4317">
        <v>0.4</v>
      </c>
      <c r="M4317" t="s">
        <v>46</v>
      </c>
      <c r="N4317" t="s">
        <v>2452</v>
      </c>
      <c r="O4317">
        <v>16.75</v>
      </c>
      <c r="P4317">
        <v>16.42</v>
      </c>
      <c r="Q4317">
        <v>16.57</v>
      </c>
      <c r="R4317">
        <v>16.62</v>
      </c>
      <c r="S4317">
        <v>1.99</v>
      </c>
      <c r="T4317">
        <v>1.26</v>
      </c>
      <c r="U4317">
        <v>55.6</v>
      </c>
      <c r="V4317">
        <v>253</v>
      </c>
      <c r="W4317">
        <v>16.57</v>
      </c>
      <c r="X4317">
        <v>7555</v>
      </c>
      <c r="Y4317">
        <v>8586</v>
      </c>
      <c r="Z4317">
        <v>0.88</v>
      </c>
      <c r="AA4317">
        <v>42</v>
      </c>
      <c r="AB4317">
        <v>11</v>
      </c>
      <c r="AC4317">
        <v>2.93</v>
      </c>
      <c r="AD4317" t="s">
        <v>7381</v>
      </c>
      <c r="AE4317" t="s">
        <v>20321</v>
      </c>
      <c r="AF4317" t="s">
        <v>7381</v>
      </c>
      <c r="AG4317" t="s">
        <v>20321</v>
      </c>
      <c r="AH4317">
        <v>-1.25</v>
      </c>
      <c r="AI4317">
        <v>-0.48</v>
      </c>
      <c r="AJ4317">
        <v>1.22</v>
      </c>
      <c r="AK4317">
        <v>2.01</v>
      </c>
      <c r="AL4317">
        <v>-1</v>
      </c>
      <c r="AM4317">
        <v>-0.06</v>
      </c>
      <c r="AN4317">
        <v>10.73</v>
      </c>
      <c r="AO4317">
        <v>3.68</v>
      </c>
      <c r="AP4317">
        <v>7.02</v>
      </c>
    </row>
    <row r="4318" spans="1:42">
      <c r="A4318">
        <v>4317</v>
      </c>
      <c r="B4318" t="str">
        <f>"300821"</f>
        <v>300821</v>
      </c>
      <c r="C4318" t="s">
        <v>20322</v>
      </c>
      <c r="D4318">
        <v>8.44</v>
      </c>
      <c r="E4318">
        <v>0.84</v>
      </c>
      <c r="F4318">
        <v>0.07</v>
      </c>
      <c r="G4318" t="s">
        <v>10810</v>
      </c>
      <c r="H4318">
        <v>198</v>
      </c>
      <c r="I4318">
        <v>8.44</v>
      </c>
      <c r="J4318">
        <v>8.45</v>
      </c>
      <c r="K4318" t="s">
        <v>20323</v>
      </c>
      <c r="L4318">
        <v>0.27</v>
      </c>
      <c r="M4318" t="s">
        <v>46</v>
      </c>
      <c r="N4318" t="s">
        <v>298</v>
      </c>
      <c r="O4318">
        <v>8.52</v>
      </c>
      <c r="P4318">
        <v>8.31</v>
      </c>
      <c r="Q4318">
        <v>8.4</v>
      </c>
      <c r="R4318">
        <v>8.37</v>
      </c>
      <c r="S4318">
        <v>2.51</v>
      </c>
      <c r="T4318">
        <v>1.06</v>
      </c>
      <c r="U4318">
        <v>0.6</v>
      </c>
      <c r="V4318">
        <v>12</v>
      </c>
      <c r="W4318">
        <v>8.39</v>
      </c>
      <c r="X4318" t="s">
        <v>8137</v>
      </c>
      <c r="Y4318" t="s">
        <v>7178</v>
      </c>
      <c r="Z4318">
        <v>1.07</v>
      </c>
      <c r="AA4318">
        <v>325</v>
      </c>
      <c r="AB4318">
        <v>195</v>
      </c>
      <c r="AC4318">
        <v>2.1</v>
      </c>
      <c r="AD4318" t="s">
        <v>5410</v>
      </c>
      <c r="AE4318" t="s">
        <v>4030</v>
      </c>
      <c r="AF4318" t="s">
        <v>5410</v>
      </c>
      <c r="AG4318" t="s">
        <v>4030</v>
      </c>
      <c r="AH4318">
        <v>-1.52</v>
      </c>
      <c r="AI4318">
        <v>-3.1</v>
      </c>
      <c r="AJ4318">
        <v>0.67</v>
      </c>
      <c r="AK4318">
        <v>1.52</v>
      </c>
      <c r="AL4318">
        <v>1</v>
      </c>
      <c r="AM4318">
        <v>0.84</v>
      </c>
      <c r="AN4318">
        <v>-27.12</v>
      </c>
      <c r="AO4318">
        <v>-1.17</v>
      </c>
      <c r="AP4318">
        <v>-36.16</v>
      </c>
    </row>
    <row r="4319" spans="1:42">
      <c r="A4319">
        <v>4318</v>
      </c>
      <c r="B4319" t="str">
        <f>"688379"</f>
        <v>688379</v>
      </c>
      <c r="C4319" t="s">
        <v>20324</v>
      </c>
      <c r="D4319">
        <v>20.38</v>
      </c>
      <c r="E4319">
        <v>-1.4</v>
      </c>
      <c r="F4319">
        <v>-0.29</v>
      </c>
      <c r="G4319" t="s">
        <v>1170</v>
      </c>
      <c r="H4319">
        <v>168</v>
      </c>
      <c r="I4319">
        <v>20.36</v>
      </c>
      <c r="J4319">
        <v>20.38</v>
      </c>
      <c r="K4319" t="s">
        <v>20323</v>
      </c>
      <c r="L4319">
        <v>1.47</v>
      </c>
      <c r="M4319" t="s">
        <v>46</v>
      </c>
      <c r="N4319" t="s">
        <v>289</v>
      </c>
      <c r="O4319">
        <v>20.81</v>
      </c>
      <c r="P4319">
        <v>20.31</v>
      </c>
      <c r="Q4319">
        <v>20.65</v>
      </c>
      <c r="R4319">
        <v>20.67</v>
      </c>
      <c r="S4319">
        <v>2.42</v>
      </c>
      <c r="T4319">
        <v>1.45</v>
      </c>
      <c r="U4319">
        <v>46.56</v>
      </c>
      <c r="V4319">
        <v>111</v>
      </c>
      <c r="W4319">
        <v>20.45</v>
      </c>
      <c r="X4319">
        <v>7058</v>
      </c>
      <c r="Y4319">
        <v>6005</v>
      </c>
      <c r="Z4319">
        <v>1.18</v>
      </c>
      <c r="AA4319">
        <v>25</v>
      </c>
      <c r="AB4319">
        <v>4</v>
      </c>
      <c r="AC4319">
        <v>1.95</v>
      </c>
      <c r="AD4319" t="s">
        <v>20325</v>
      </c>
      <c r="AE4319" t="s">
        <v>20326</v>
      </c>
      <c r="AF4319" t="s">
        <v>20325</v>
      </c>
      <c r="AG4319" t="s">
        <v>20326</v>
      </c>
      <c r="AH4319">
        <v>-3.87</v>
      </c>
      <c r="AI4319">
        <v>-3.23</v>
      </c>
      <c r="AJ4319">
        <v>3.63</v>
      </c>
      <c r="AK4319">
        <v>6.56</v>
      </c>
      <c r="AL4319">
        <v>-3</v>
      </c>
      <c r="AM4319">
        <v>-1.4</v>
      </c>
      <c r="AN4319">
        <v>25.03</v>
      </c>
      <c r="AO4319">
        <v>1.24</v>
      </c>
      <c r="AP4319">
        <v>19.74</v>
      </c>
    </row>
    <row r="4320" spans="1:42">
      <c r="A4320">
        <v>4319</v>
      </c>
      <c r="B4320" t="str">
        <f>"002730"</f>
        <v>002730</v>
      </c>
      <c r="C4320" t="s">
        <v>20327</v>
      </c>
      <c r="D4320">
        <v>9.51</v>
      </c>
      <c r="E4320">
        <v>-1.14</v>
      </c>
      <c r="F4320">
        <v>-0.11</v>
      </c>
      <c r="G4320" t="s">
        <v>7028</v>
      </c>
      <c r="H4320">
        <v>212</v>
      </c>
      <c r="I4320">
        <v>9.5</v>
      </c>
      <c r="J4320">
        <v>9.51</v>
      </c>
      <c r="K4320" t="s">
        <v>20328</v>
      </c>
      <c r="L4320">
        <v>0.81</v>
      </c>
      <c r="M4320" t="s">
        <v>46</v>
      </c>
      <c r="N4320" t="s">
        <v>4388</v>
      </c>
      <c r="O4320">
        <v>9.62</v>
      </c>
      <c r="P4320">
        <v>9.47</v>
      </c>
      <c r="Q4320">
        <v>9.58</v>
      </c>
      <c r="R4320">
        <v>9.62</v>
      </c>
      <c r="S4320">
        <v>1.56</v>
      </c>
      <c r="T4320">
        <v>0.76</v>
      </c>
      <c r="U4320">
        <v>5.51</v>
      </c>
      <c r="V4320">
        <v>102</v>
      </c>
      <c r="W4320">
        <v>9.53</v>
      </c>
      <c r="X4320" t="s">
        <v>1769</v>
      </c>
      <c r="Y4320" t="s">
        <v>1384</v>
      </c>
      <c r="Z4320">
        <v>1.07</v>
      </c>
      <c r="AA4320">
        <v>30</v>
      </c>
      <c r="AB4320">
        <v>26</v>
      </c>
      <c r="AC4320">
        <v>2.26</v>
      </c>
      <c r="AD4320" t="s">
        <v>17331</v>
      </c>
      <c r="AE4320" t="s">
        <v>20329</v>
      </c>
      <c r="AF4320" t="s">
        <v>16775</v>
      </c>
      <c r="AG4320" t="s">
        <v>11484</v>
      </c>
      <c r="AH4320">
        <v>-1.04</v>
      </c>
      <c r="AI4320">
        <v>-0.21</v>
      </c>
      <c r="AJ4320">
        <v>2.76</v>
      </c>
      <c r="AK4320">
        <v>6.17</v>
      </c>
      <c r="AL4320">
        <v>-1</v>
      </c>
      <c r="AM4320">
        <v>-1.14</v>
      </c>
      <c r="AN4320">
        <v>24.8</v>
      </c>
      <c r="AO4320">
        <v>3.93</v>
      </c>
      <c r="AP4320">
        <v>21.92</v>
      </c>
    </row>
    <row r="4321" spans="1:42">
      <c r="A4321">
        <v>4320</v>
      </c>
      <c r="B4321" t="str">
        <f>"688219"</f>
        <v>688219</v>
      </c>
      <c r="C4321" t="s">
        <v>20330</v>
      </c>
      <c r="D4321">
        <v>11.2</v>
      </c>
      <c r="E4321">
        <v>-0.88</v>
      </c>
      <c r="F4321">
        <v>-0.1</v>
      </c>
      <c r="G4321" t="s">
        <v>3328</v>
      </c>
      <c r="H4321">
        <v>158</v>
      </c>
      <c r="I4321">
        <v>11.2</v>
      </c>
      <c r="J4321">
        <v>11.22</v>
      </c>
      <c r="K4321" t="s">
        <v>20331</v>
      </c>
      <c r="L4321">
        <v>0.52</v>
      </c>
      <c r="M4321" t="s">
        <v>46</v>
      </c>
      <c r="N4321" t="s">
        <v>3349</v>
      </c>
      <c r="O4321">
        <v>11.3</v>
      </c>
      <c r="P4321">
        <v>11.1</v>
      </c>
      <c r="Q4321">
        <v>11.3</v>
      </c>
      <c r="R4321">
        <v>11.3</v>
      </c>
      <c r="S4321">
        <v>1.77</v>
      </c>
      <c r="T4321">
        <v>0.52</v>
      </c>
      <c r="U4321">
        <v>29.96</v>
      </c>
      <c r="V4321">
        <v>439</v>
      </c>
      <c r="W4321">
        <v>11.19</v>
      </c>
      <c r="X4321" t="s">
        <v>2547</v>
      </c>
      <c r="Y4321" t="s">
        <v>2667</v>
      </c>
      <c r="Z4321">
        <v>1.1</v>
      </c>
      <c r="AA4321">
        <v>183</v>
      </c>
      <c r="AB4321">
        <v>36</v>
      </c>
      <c r="AC4321">
        <v>2.93</v>
      </c>
      <c r="AD4321" t="s">
        <v>20332</v>
      </c>
      <c r="AE4321" t="s">
        <v>10437</v>
      </c>
      <c r="AF4321" t="s">
        <v>20332</v>
      </c>
      <c r="AG4321" t="s">
        <v>10437</v>
      </c>
      <c r="AH4321">
        <v>-3.61</v>
      </c>
      <c r="AI4321">
        <v>-4.11</v>
      </c>
      <c r="AJ4321">
        <v>2.27</v>
      </c>
      <c r="AK4321">
        <v>5.49</v>
      </c>
      <c r="AL4321">
        <v>-4</v>
      </c>
      <c r="AM4321">
        <v>-0.88</v>
      </c>
      <c r="AN4321">
        <v>33.49</v>
      </c>
      <c r="AO4321">
        <v>3.8</v>
      </c>
      <c r="AP4321">
        <v>19.91</v>
      </c>
    </row>
    <row r="4322" spans="1:42">
      <c r="A4322">
        <v>4321</v>
      </c>
      <c r="B4322" t="str">
        <f>"301230"</f>
        <v>301230</v>
      </c>
      <c r="C4322" t="s">
        <v>20333</v>
      </c>
      <c r="D4322">
        <v>38.69</v>
      </c>
      <c r="E4322">
        <v>0.76</v>
      </c>
      <c r="F4322">
        <v>0.29</v>
      </c>
      <c r="G4322">
        <v>6909</v>
      </c>
      <c r="H4322">
        <v>145</v>
      </c>
      <c r="I4322">
        <v>38.69</v>
      </c>
      <c r="J4322">
        <v>38.7</v>
      </c>
      <c r="K4322" t="s">
        <v>20334</v>
      </c>
      <c r="L4322">
        <v>1.16</v>
      </c>
      <c r="M4322" t="s">
        <v>46</v>
      </c>
      <c r="N4322" t="s">
        <v>3981</v>
      </c>
      <c r="O4322">
        <v>38.9</v>
      </c>
      <c r="P4322">
        <v>38.31</v>
      </c>
      <c r="Q4322">
        <v>38.42</v>
      </c>
      <c r="R4322">
        <v>38.4</v>
      </c>
      <c r="S4322">
        <v>1.54</v>
      </c>
      <c r="T4322">
        <v>0.66</v>
      </c>
      <c r="U4322">
        <v>-7.59</v>
      </c>
      <c r="V4322">
        <v>-12</v>
      </c>
      <c r="W4322">
        <v>38.61</v>
      </c>
      <c r="X4322">
        <v>3110</v>
      </c>
      <c r="Y4322">
        <v>3799</v>
      </c>
      <c r="Z4322">
        <v>0.82</v>
      </c>
      <c r="AA4322">
        <v>44</v>
      </c>
      <c r="AB4322">
        <v>24</v>
      </c>
      <c r="AC4322">
        <v>3.7</v>
      </c>
      <c r="AD4322" t="s">
        <v>18401</v>
      </c>
      <c r="AE4322" t="s">
        <v>9932</v>
      </c>
      <c r="AF4322" t="s">
        <v>20335</v>
      </c>
      <c r="AG4322" t="s">
        <v>18367</v>
      </c>
      <c r="AH4322">
        <v>-2.45</v>
      </c>
      <c r="AI4322">
        <v>-3.11</v>
      </c>
      <c r="AJ4322">
        <v>4.09</v>
      </c>
      <c r="AK4322">
        <v>9.94</v>
      </c>
      <c r="AL4322">
        <v>1</v>
      </c>
      <c r="AM4322">
        <v>0.76</v>
      </c>
      <c r="AN4322">
        <v>2.35</v>
      </c>
      <c r="AO4322">
        <v>-0.62</v>
      </c>
      <c r="AP4322">
        <v>8.71</v>
      </c>
    </row>
    <row r="4323" spans="1:42">
      <c r="A4323">
        <v>4322</v>
      </c>
      <c r="B4323" t="str">
        <f>"688510"</f>
        <v>688510</v>
      </c>
      <c r="C4323" t="s">
        <v>20336</v>
      </c>
      <c r="D4323">
        <v>17.64</v>
      </c>
      <c r="E4323">
        <v>-1.34</v>
      </c>
      <c r="F4323">
        <v>-0.24</v>
      </c>
      <c r="G4323" t="s">
        <v>2371</v>
      </c>
      <c r="H4323">
        <v>63</v>
      </c>
      <c r="I4323">
        <v>17.64</v>
      </c>
      <c r="J4323">
        <v>17.66</v>
      </c>
      <c r="K4323" t="s">
        <v>20334</v>
      </c>
      <c r="L4323">
        <v>0.91</v>
      </c>
      <c r="M4323" t="s">
        <v>46</v>
      </c>
      <c r="N4323" t="s">
        <v>3617</v>
      </c>
      <c r="O4323">
        <v>17.88</v>
      </c>
      <c r="P4323">
        <v>17.58</v>
      </c>
      <c r="Q4323">
        <v>17.75</v>
      </c>
      <c r="R4323">
        <v>17.88</v>
      </c>
      <c r="S4323">
        <v>1.68</v>
      </c>
      <c r="T4323">
        <v>0.97</v>
      </c>
      <c r="U4323">
        <v>66.46</v>
      </c>
      <c r="V4323">
        <v>564</v>
      </c>
      <c r="W4323">
        <v>17.69</v>
      </c>
      <c r="X4323">
        <v>7365</v>
      </c>
      <c r="Y4323">
        <v>7712</v>
      </c>
      <c r="Z4323">
        <v>0.95</v>
      </c>
      <c r="AA4323">
        <v>103</v>
      </c>
      <c r="AB4323">
        <v>11</v>
      </c>
      <c r="AC4323">
        <v>4.43</v>
      </c>
      <c r="AD4323" t="s">
        <v>20337</v>
      </c>
      <c r="AE4323" t="s">
        <v>20338</v>
      </c>
      <c r="AF4323" t="s">
        <v>20339</v>
      </c>
      <c r="AG4323" t="s">
        <v>20340</v>
      </c>
      <c r="AH4323">
        <v>-2.86</v>
      </c>
      <c r="AI4323">
        <v>-2.65</v>
      </c>
      <c r="AJ4323">
        <v>2.56</v>
      </c>
      <c r="AK4323">
        <v>5.6</v>
      </c>
      <c r="AL4323">
        <v>-3</v>
      </c>
      <c r="AM4323">
        <v>-1.34</v>
      </c>
      <c r="AN4323">
        <v>10.94</v>
      </c>
      <c r="AO4323">
        <v>-3.13</v>
      </c>
      <c r="AP4323">
        <v>2.92</v>
      </c>
    </row>
    <row r="4324" spans="1:42">
      <c r="A4324">
        <v>4323</v>
      </c>
      <c r="B4324" t="str">
        <f>"688663"</f>
        <v>688663</v>
      </c>
      <c r="C4324" t="s">
        <v>20341</v>
      </c>
      <c r="D4324">
        <v>27.04</v>
      </c>
      <c r="E4324">
        <v>0</v>
      </c>
      <c r="F4324">
        <v>0</v>
      </c>
      <c r="G4324">
        <v>9889</v>
      </c>
      <c r="H4324">
        <v>52</v>
      </c>
      <c r="I4324">
        <v>27.04</v>
      </c>
      <c r="J4324">
        <v>27.06</v>
      </c>
      <c r="K4324" t="s">
        <v>20342</v>
      </c>
      <c r="L4324">
        <v>1.14</v>
      </c>
      <c r="M4324" t="s">
        <v>46</v>
      </c>
      <c r="N4324" t="s">
        <v>20343</v>
      </c>
      <c r="O4324">
        <v>27.2</v>
      </c>
      <c r="P4324">
        <v>26.76</v>
      </c>
      <c r="Q4324">
        <v>27</v>
      </c>
      <c r="R4324">
        <v>27.04</v>
      </c>
      <c r="S4324">
        <v>1.63</v>
      </c>
      <c r="T4324">
        <v>0.81</v>
      </c>
      <c r="U4324">
        <v>80.89</v>
      </c>
      <c r="V4324">
        <v>582</v>
      </c>
      <c r="W4324">
        <v>26.96</v>
      </c>
      <c r="X4324">
        <v>5304</v>
      </c>
      <c r="Y4324">
        <v>4585</v>
      </c>
      <c r="Z4324">
        <v>1.16</v>
      </c>
      <c r="AA4324">
        <v>612</v>
      </c>
      <c r="AB4324">
        <v>12</v>
      </c>
      <c r="AC4324">
        <v>3.1</v>
      </c>
      <c r="AD4324" t="s">
        <v>20344</v>
      </c>
      <c r="AE4324" t="s">
        <v>20345</v>
      </c>
      <c r="AF4324" t="s">
        <v>20346</v>
      </c>
      <c r="AG4324" t="s">
        <v>20347</v>
      </c>
      <c r="AH4324">
        <v>-2.84</v>
      </c>
      <c r="AI4324">
        <v>-3.08</v>
      </c>
      <c r="AJ4324">
        <v>4.18</v>
      </c>
      <c r="AK4324">
        <v>8.22</v>
      </c>
      <c r="AL4324">
        <v>0</v>
      </c>
      <c r="AM4324">
        <v>0</v>
      </c>
      <c r="AN4324">
        <v>-37.98</v>
      </c>
      <c r="AO4324">
        <v>-0.95</v>
      </c>
      <c r="AP4324">
        <v>-42.78</v>
      </c>
    </row>
    <row r="4325" spans="1:42">
      <c r="A4325">
        <v>4324</v>
      </c>
      <c r="B4325" t="str">
        <f>"603530"</f>
        <v>603530</v>
      </c>
      <c r="C4325" t="s">
        <v>20348</v>
      </c>
      <c r="D4325">
        <v>15.87</v>
      </c>
      <c r="E4325">
        <v>-0.44</v>
      </c>
      <c r="F4325">
        <v>-0.07</v>
      </c>
      <c r="G4325" t="s">
        <v>5997</v>
      </c>
      <c r="H4325">
        <v>143</v>
      </c>
      <c r="I4325">
        <v>15.86</v>
      </c>
      <c r="J4325">
        <v>15.87</v>
      </c>
      <c r="K4325" t="s">
        <v>20342</v>
      </c>
      <c r="L4325">
        <v>0.39</v>
      </c>
      <c r="M4325" t="s">
        <v>46</v>
      </c>
      <c r="N4325" t="s">
        <v>20349</v>
      </c>
      <c r="O4325">
        <v>16</v>
      </c>
      <c r="P4325">
        <v>15.73</v>
      </c>
      <c r="Q4325">
        <v>15.76</v>
      </c>
      <c r="R4325">
        <v>15.94</v>
      </c>
      <c r="S4325">
        <v>1.69</v>
      </c>
      <c r="T4325">
        <v>0.53</v>
      </c>
      <c r="U4325">
        <v>-33.6</v>
      </c>
      <c r="V4325">
        <v>-250</v>
      </c>
      <c r="W4325">
        <v>15.86</v>
      </c>
      <c r="X4325">
        <v>8560</v>
      </c>
      <c r="Y4325">
        <v>8248</v>
      </c>
      <c r="Z4325">
        <v>1.04</v>
      </c>
      <c r="AA4325">
        <v>5</v>
      </c>
      <c r="AB4325">
        <v>363</v>
      </c>
      <c r="AC4325">
        <v>4.12</v>
      </c>
      <c r="AD4325" t="s">
        <v>20350</v>
      </c>
      <c r="AE4325" t="s">
        <v>20351</v>
      </c>
      <c r="AF4325" t="s">
        <v>20350</v>
      </c>
      <c r="AG4325" t="s">
        <v>20351</v>
      </c>
      <c r="AH4325">
        <v>-0.81</v>
      </c>
      <c r="AI4325">
        <v>1.15</v>
      </c>
      <c r="AJ4325">
        <v>1.53</v>
      </c>
      <c r="AK4325">
        <v>4.05</v>
      </c>
      <c r="AL4325">
        <v>-1</v>
      </c>
      <c r="AM4325">
        <v>-0.44</v>
      </c>
      <c r="AN4325">
        <v>6.08</v>
      </c>
      <c r="AO4325">
        <v>8.48</v>
      </c>
      <c r="AP4325">
        <v>-13.42</v>
      </c>
    </row>
    <row r="4326" spans="1:42">
      <c r="A4326">
        <v>4325</v>
      </c>
      <c r="B4326" t="str">
        <f>"600935"</f>
        <v>600935</v>
      </c>
      <c r="C4326" t="s">
        <v>20352</v>
      </c>
      <c r="D4326">
        <v>3.56</v>
      </c>
      <c r="E4326">
        <v>1.14</v>
      </c>
      <c r="F4326">
        <v>0.04</v>
      </c>
      <c r="G4326" t="s">
        <v>8433</v>
      </c>
      <c r="H4326">
        <v>137</v>
      </c>
      <c r="I4326">
        <v>3.55</v>
      </c>
      <c r="J4326">
        <v>3.56</v>
      </c>
      <c r="K4326" t="s">
        <v>20342</v>
      </c>
      <c r="L4326">
        <v>0.4</v>
      </c>
      <c r="M4326" t="s">
        <v>46</v>
      </c>
      <c r="N4326" t="s">
        <v>5204</v>
      </c>
      <c r="O4326">
        <v>3.59</v>
      </c>
      <c r="P4326">
        <v>3.51</v>
      </c>
      <c r="Q4326">
        <v>3.52</v>
      </c>
      <c r="R4326">
        <v>3.52</v>
      </c>
      <c r="S4326">
        <v>2.27</v>
      </c>
      <c r="T4326">
        <v>1.27</v>
      </c>
      <c r="U4326">
        <v>-31.54</v>
      </c>
      <c r="V4326">
        <v>-6897</v>
      </c>
      <c r="W4326">
        <v>3.56</v>
      </c>
      <c r="X4326" t="s">
        <v>9211</v>
      </c>
      <c r="Y4326" t="s">
        <v>3356</v>
      </c>
      <c r="Z4326">
        <v>0.51</v>
      </c>
      <c r="AA4326">
        <v>1564</v>
      </c>
      <c r="AB4326">
        <v>646</v>
      </c>
      <c r="AC4326">
        <v>1.98</v>
      </c>
      <c r="AD4326" t="s">
        <v>13779</v>
      </c>
      <c r="AE4326" t="s">
        <v>20353</v>
      </c>
      <c r="AF4326" t="s">
        <v>9478</v>
      </c>
      <c r="AG4326" t="s">
        <v>6797</v>
      </c>
      <c r="AH4326">
        <v>0</v>
      </c>
      <c r="AI4326">
        <v>-1.39</v>
      </c>
      <c r="AJ4326">
        <v>1.15</v>
      </c>
      <c r="AK4326">
        <v>1.99</v>
      </c>
      <c r="AL4326">
        <v>1</v>
      </c>
      <c r="AM4326">
        <v>1.14</v>
      </c>
      <c r="AN4326">
        <v>-20.18</v>
      </c>
      <c r="AO4326">
        <v>1.42</v>
      </c>
      <c r="AP4326">
        <v>-27.49</v>
      </c>
    </row>
    <row r="4327" spans="1:42">
      <c r="A4327">
        <v>4326</v>
      </c>
      <c r="B4327" t="str">
        <f>"600749"</f>
        <v>600749</v>
      </c>
      <c r="C4327" t="s">
        <v>20354</v>
      </c>
      <c r="D4327">
        <v>12.08</v>
      </c>
      <c r="E4327">
        <v>0.33</v>
      </c>
      <c r="F4327">
        <v>0.04</v>
      </c>
      <c r="G4327" t="s">
        <v>731</v>
      </c>
      <c r="H4327">
        <v>433</v>
      </c>
      <c r="I4327">
        <v>12.07</v>
      </c>
      <c r="J4327">
        <v>12.08</v>
      </c>
      <c r="K4327" t="s">
        <v>20355</v>
      </c>
      <c r="L4327">
        <v>0.97</v>
      </c>
      <c r="M4327" t="s">
        <v>46</v>
      </c>
      <c r="N4327" t="s">
        <v>7685</v>
      </c>
      <c r="O4327">
        <v>12.2</v>
      </c>
      <c r="P4327">
        <v>11.92</v>
      </c>
      <c r="Q4327">
        <v>12.05</v>
      </c>
      <c r="R4327">
        <v>12.04</v>
      </c>
      <c r="S4327">
        <v>2.33</v>
      </c>
      <c r="T4327">
        <v>1.07</v>
      </c>
      <c r="U4327">
        <v>-52.54</v>
      </c>
      <c r="V4327">
        <v>-465</v>
      </c>
      <c r="W4327">
        <v>12.06</v>
      </c>
      <c r="X4327" t="s">
        <v>218</v>
      </c>
      <c r="Y4327" t="s">
        <v>2667</v>
      </c>
      <c r="Z4327">
        <v>0.93</v>
      </c>
      <c r="AA4327">
        <v>41</v>
      </c>
      <c r="AB4327">
        <v>184</v>
      </c>
      <c r="AC4327">
        <v>2.67</v>
      </c>
      <c r="AD4327" t="s">
        <v>11585</v>
      </c>
      <c r="AE4327" t="s">
        <v>20356</v>
      </c>
      <c r="AF4327" t="s">
        <v>11585</v>
      </c>
      <c r="AG4327" t="s">
        <v>20356</v>
      </c>
      <c r="AH4327">
        <v>0.92</v>
      </c>
      <c r="AI4327">
        <v>0.92</v>
      </c>
      <c r="AJ4327">
        <v>3.09</v>
      </c>
      <c r="AK4327">
        <v>5.53</v>
      </c>
      <c r="AL4327">
        <v>2</v>
      </c>
      <c r="AM4327">
        <v>0.33</v>
      </c>
      <c r="AN4327">
        <v>-7.01</v>
      </c>
      <c r="AO4327">
        <v>3.25</v>
      </c>
      <c r="AP4327">
        <v>11.54</v>
      </c>
    </row>
    <row r="4328" spans="1:42">
      <c r="A4328">
        <v>4327</v>
      </c>
      <c r="B4328" t="str">
        <f>"603303"</f>
        <v>603303</v>
      </c>
      <c r="C4328" t="s">
        <v>20357</v>
      </c>
      <c r="D4328">
        <v>13.18</v>
      </c>
      <c r="E4328">
        <v>-1.64</v>
      </c>
      <c r="F4328">
        <v>-0.22</v>
      </c>
      <c r="G4328" t="s">
        <v>1280</v>
      </c>
      <c r="H4328">
        <v>272</v>
      </c>
      <c r="I4328">
        <v>13.17</v>
      </c>
      <c r="J4328">
        <v>13.18</v>
      </c>
      <c r="K4328" t="s">
        <v>20355</v>
      </c>
      <c r="L4328">
        <v>0.42</v>
      </c>
      <c r="M4328" t="s">
        <v>46</v>
      </c>
      <c r="N4328" t="s">
        <v>8868</v>
      </c>
      <c r="O4328">
        <v>13.43</v>
      </c>
      <c r="P4328">
        <v>13.16</v>
      </c>
      <c r="Q4328">
        <v>13.37</v>
      </c>
      <c r="R4328">
        <v>13.4</v>
      </c>
      <c r="S4328">
        <v>2.01</v>
      </c>
      <c r="T4328">
        <v>1.28</v>
      </c>
      <c r="U4328">
        <v>39.01</v>
      </c>
      <c r="V4328">
        <v>284</v>
      </c>
      <c r="W4328">
        <v>13.28</v>
      </c>
      <c r="X4328" t="s">
        <v>8636</v>
      </c>
      <c r="Y4328">
        <v>8093</v>
      </c>
      <c r="Z4328">
        <v>1.48</v>
      </c>
      <c r="AA4328">
        <v>7</v>
      </c>
      <c r="AB4328">
        <v>55</v>
      </c>
      <c r="AC4328">
        <v>1.86</v>
      </c>
      <c r="AD4328" t="s">
        <v>20358</v>
      </c>
      <c r="AE4328" t="s">
        <v>20359</v>
      </c>
      <c r="AF4328" t="s">
        <v>20358</v>
      </c>
      <c r="AG4328" t="s">
        <v>20359</v>
      </c>
      <c r="AH4328">
        <v>-3.23</v>
      </c>
      <c r="AI4328">
        <v>-3.02</v>
      </c>
      <c r="AJ4328">
        <v>1.19</v>
      </c>
      <c r="AK4328">
        <v>2.07</v>
      </c>
      <c r="AL4328">
        <v>-3</v>
      </c>
      <c r="AM4328">
        <v>-1.64</v>
      </c>
      <c r="AN4328">
        <v>-31.43</v>
      </c>
      <c r="AO4328">
        <v>-2.15</v>
      </c>
      <c r="AP4328">
        <v>-29.97</v>
      </c>
    </row>
    <row r="4329" spans="1:42">
      <c r="A4329">
        <v>4328</v>
      </c>
      <c r="B4329" t="str">
        <f>"603938"</f>
        <v>603938</v>
      </c>
      <c r="C4329" t="s">
        <v>20360</v>
      </c>
      <c r="D4329">
        <v>17.06</v>
      </c>
      <c r="E4329">
        <v>-0.41</v>
      </c>
      <c r="F4329">
        <v>-0.07</v>
      </c>
      <c r="G4329" t="s">
        <v>8212</v>
      </c>
      <c r="H4329">
        <v>59</v>
      </c>
      <c r="I4329">
        <v>17.05</v>
      </c>
      <c r="J4329">
        <v>17.06</v>
      </c>
      <c r="K4329" t="s">
        <v>20361</v>
      </c>
      <c r="L4329">
        <v>0.41</v>
      </c>
      <c r="M4329" t="s">
        <v>46</v>
      </c>
      <c r="N4329" t="s">
        <v>2751</v>
      </c>
      <c r="O4329">
        <v>17.24</v>
      </c>
      <c r="P4329">
        <v>16.89</v>
      </c>
      <c r="Q4329">
        <v>17.18</v>
      </c>
      <c r="R4329">
        <v>17.13</v>
      </c>
      <c r="S4329">
        <v>2.04</v>
      </c>
      <c r="T4329">
        <v>1.19</v>
      </c>
      <c r="U4329">
        <v>9.47</v>
      </c>
      <c r="V4329">
        <v>52</v>
      </c>
      <c r="W4329">
        <v>17.02</v>
      </c>
      <c r="X4329">
        <v>8570</v>
      </c>
      <c r="Y4329">
        <v>7054</v>
      </c>
      <c r="Z4329">
        <v>1.21</v>
      </c>
      <c r="AA4329">
        <v>1</v>
      </c>
      <c r="AB4329">
        <v>155</v>
      </c>
      <c r="AC4329">
        <v>2.74</v>
      </c>
      <c r="AD4329" t="s">
        <v>20362</v>
      </c>
      <c r="AE4329" t="s">
        <v>20363</v>
      </c>
      <c r="AF4329" t="s">
        <v>20362</v>
      </c>
      <c r="AG4329" t="s">
        <v>20363</v>
      </c>
      <c r="AH4329">
        <v>-2.57</v>
      </c>
      <c r="AI4329">
        <v>-3.23</v>
      </c>
      <c r="AJ4329">
        <v>1.01</v>
      </c>
      <c r="AK4329">
        <v>2.13</v>
      </c>
      <c r="AL4329">
        <v>-3</v>
      </c>
      <c r="AM4329">
        <v>-0.41</v>
      </c>
      <c r="AN4329">
        <v>-30.22</v>
      </c>
      <c r="AO4329">
        <v>-1.67</v>
      </c>
      <c r="AP4329">
        <v>-43.42</v>
      </c>
    </row>
    <row r="4330" spans="1:42">
      <c r="A4330">
        <v>4329</v>
      </c>
      <c r="B4330" t="str">
        <f>"002034"</f>
        <v>002034</v>
      </c>
      <c r="C4330" t="s">
        <v>20364</v>
      </c>
      <c r="D4330">
        <v>15.26</v>
      </c>
      <c r="E4330">
        <v>0.73</v>
      </c>
      <c r="F4330">
        <v>0.11</v>
      </c>
      <c r="G4330" t="s">
        <v>876</v>
      </c>
      <c r="H4330">
        <v>342</v>
      </c>
      <c r="I4330">
        <v>15.26</v>
      </c>
      <c r="J4330">
        <v>15.28</v>
      </c>
      <c r="K4330" t="s">
        <v>20361</v>
      </c>
      <c r="L4330">
        <v>0.41</v>
      </c>
      <c r="M4330" t="s">
        <v>46</v>
      </c>
      <c r="N4330" t="s">
        <v>7018</v>
      </c>
      <c r="O4330">
        <v>15.33</v>
      </c>
      <c r="P4330">
        <v>15.07</v>
      </c>
      <c r="Q4330">
        <v>15.13</v>
      </c>
      <c r="R4330">
        <v>15.15</v>
      </c>
      <c r="S4330">
        <v>1.72</v>
      </c>
      <c r="T4330">
        <v>1.18</v>
      </c>
      <c r="U4330">
        <v>23.97</v>
      </c>
      <c r="V4330">
        <v>263</v>
      </c>
      <c r="W4330">
        <v>15.24</v>
      </c>
      <c r="X4330">
        <v>5592</v>
      </c>
      <c r="Y4330" t="s">
        <v>718</v>
      </c>
      <c r="Z4330">
        <v>0.47</v>
      </c>
      <c r="AA4330">
        <v>44</v>
      </c>
      <c r="AB4330">
        <v>213</v>
      </c>
      <c r="AC4330">
        <v>1.06</v>
      </c>
      <c r="AD4330" t="s">
        <v>20365</v>
      </c>
      <c r="AE4330" t="s">
        <v>11383</v>
      </c>
      <c r="AF4330" t="s">
        <v>14651</v>
      </c>
      <c r="AG4330" t="s">
        <v>20366</v>
      </c>
      <c r="AH4330">
        <v>0.79</v>
      </c>
      <c r="AI4330">
        <v>1.46</v>
      </c>
      <c r="AJ4330">
        <v>1.13</v>
      </c>
      <c r="AK4330">
        <v>2.14</v>
      </c>
      <c r="AL4330">
        <v>1</v>
      </c>
      <c r="AM4330">
        <v>0.73</v>
      </c>
      <c r="AN4330">
        <v>-12</v>
      </c>
      <c r="AO4330">
        <v>3.95</v>
      </c>
      <c r="AP4330">
        <v>-15.6</v>
      </c>
    </row>
    <row r="4331" spans="1:42">
      <c r="A4331">
        <v>4330</v>
      </c>
      <c r="B4331" t="str">
        <f>"300876"</f>
        <v>300876</v>
      </c>
      <c r="C4331" t="s">
        <v>20367</v>
      </c>
      <c r="D4331">
        <v>25.73</v>
      </c>
      <c r="E4331">
        <v>-2.17</v>
      </c>
      <c r="F4331">
        <v>-0.57</v>
      </c>
      <c r="G4331" t="s">
        <v>1154</v>
      </c>
      <c r="H4331">
        <v>20</v>
      </c>
      <c r="I4331">
        <v>25.7</v>
      </c>
      <c r="J4331">
        <v>25.73</v>
      </c>
      <c r="K4331" t="s">
        <v>20368</v>
      </c>
      <c r="L4331">
        <v>1.5</v>
      </c>
      <c r="M4331" t="s">
        <v>46</v>
      </c>
      <c r="N4331" t="s">
        <v>4351</v>
      </c>
      <c r="O4331">
        <v>26.68</v>
      </c>
      <c r="P4331">
        <v>25.55</v>
      </c>
      <c r="Q4331">
        <v>26.68</v>
      </c>
      <c r="R4331">
        <v>26.3</v>
      </c>
      <c r="S4331">
        <v>4.3</v>
      </c>
      <c r="T4331">
        <v>2.27</v>
      </c>
      <c r="U4331">
        <v>13.14</v>
      </c>
      <c r="V4331">
        <v>16</v>
      </c>
      <c r="W4331">
        <v>25.85</v>
      </c>
      <c r="X4331">
        <v>5660</v>
      </c>
      <c r="Y4331">
        <v>4624</v>
      </c>
      <c r="Z4331">
        <v>1.22</v>
      </c>
      <c r="AA4331">
        <v>15</v>
      </c>
      <c r="AB4331">
        <v>27</v>
      </c>
      <c r="AC4331">
        <v>2.96</v>
      </c>
      <c r="AD4331" t="s">
        <v>4315</v>
      </c>
      <c r="AE4331" t="s">
        <v>20369</v>
      </c>
      <c r="AF4331" t="s">
        <v>20370</v>
      </c>
      <c r="AG4331" t="s">
        <v>20371</v>
      </c>
      <c r="AH4331">
        <v>-3.27</v>
      </c>
      <c r="AI4331">
        <v>-3.52</v>
      </c>
      <c r="AJ4331">
        <v>2.75</v>
      </c>
      <c r="AK4331">
        <v>4.82</v>
      </c>
      <c r="AL4331">
        <v>-3</v>
      </c>
      <c r="AM4331">
        <v>-2.17</v>
      </c>
      <c r="AN4331">
        <v>-15.72</v>
      </c>
      <c r="AO4331">
        <v>0.74</v>
      </c>
      <c r="AP4331">
        <v>-19.34</v>
      </c>
    </row>
    <row r="4332" spans="1:42">
      <c r="A4332">
        <v>4331</v>
      </c>
      <c r="B4332" t="str">
        <f>"002631"</f>
        <v>002631</v>
      </c>
      <c r="C4332" t="s">
        <v>20372</v>
      </c>
      <c r="D4332">
        <v>6.25</v>
      </c>
      <c r="E4332">
        <v>0.16</v>
      </c>
      <c r="F4332">
        <v>0.01</v>
      </c>
      <c r="G4332" t="s">
        <v>4569</v>
      </c>
      <c r="H4332">
        <v>584</v>
      </c>
      <c r="I4332">
        <v>6.24</v>
      </c>
      <c r="J4332">
        <v>6.25</v>
      </c>
      <c r="K4332" t="s">
        <v>11433</v>
      </c>
      <c r="L4332">
        <v>0.65</v>
      </c>
      <c r="M4332" t="s">
        <v>46</v>
      </c>
      <c r="N4332" t="s">
        <v>1568</v>
      </c>
      <c r="O4332">
        <v>6.29</v>
      </c>
      <c r="P4332">
        <v>6.19</v>
      </c>
      <c r="Q4332">
        <v>6.26</v>
      </c>
      <c r="R4332">
        <v>6.24</v>
      </c>
      <c r="S4332">
        <v>1.6</v>
      </c>
      <c r="T4332">
        <v>0.72</v>
      </c>
      <c r="U4332">
        <v>-2.99</v>
      </c>
      <c r="V4332">
        <v>-210</v>
      </c>
      <c r="W4332">
        <v>6.25</v>
      </c>
      <c r="X4332" t="s">
        <v>9024</v>
      </c>
      <c r="Y4332" t="s">
        <v>6827</v>
      </c>
      <c r="Z4332">
        <v>0.95</v>
      </c>
      <c r="AA4332">
        <v>1081</v>
      </c>
      <c r="AB4332">
        <v>168</v>
      </c>
      <c r="AC4332">
        <v>2.45</v>
      </c>
      <c r="AD4332" t="s">
        <v>20373</v>
      </c>
      <c r="AE4332" t="s">
        <v>9831</v>
      </c>
      <c r="AF4332" t="s">
        <v>20374</v>
      </c>
      <c r="AG4332" t="s">
        <v>15920</v>
      </c>
      <c r="AH4332">
        <v>-1.88</v>
      </c>
      <c r="AI4332">
        <v>-2.04</v>
      </c>
      <c r="AJ4332">
        <v>2.13</v>
      </c>
      <c r="AK4332">
        <v>5.14</v>
      </c>
      <c r="AL4332">
        <v>1</v>
      </c>
      <c r="AM4332">
        <v>0.16</v>
      </c>
      <c r="AN4332">
        <v>12.21</v>
      </c>
      <c r="AO4332">
        <v>0.32</v>
      </c>
      <c r="AP4332">
        <v>3.65</v>
      </c>
    </row>
    <row r="4333" spans="1:42">
      <c r="A4333">
        <v>4332</v>
      </c>
      <c r="B4333" t="str">
        <f>"000856"</f>
        <v>000856</v>
      </c>
      <c r="C4333" t="s">
        <v>20375</v>
      </c>
      <c r="D4333">
        <v>9</v>
      </c>
      <c r="E4333">
        <v>1.35</v>
      </c>
      <c r="F4333">
        <v>0.12</v>
      </c>
      <c r="G4333" t="s">
        <v>2125</v>
      </c>
      <c r="H4333">
        <v>1022</v>
      </c>
      <c r="I4333">
        <v>8.99</v>
      </c>
      <c r="J4333">
        <v>9</v>
      </c>
      <c r="K4333" t="s">
        <v>20376</v>
      </c>
      <c r="L4333">
        <v>1.31</v>
      </c>
      <c r="M4333" t="s">
        <v>46</v>
      </c>
      <c r="N4333" t="s">
        <v>19586</v>
      </c>
      <c r="O4333">
        <v>9</v>
      </c>
      <c r="P4333">
        <v>8.83</v>
      </c>
      <c r="Q4333">
        <v>8.87</v>
      </c>
      <c r="R4333">
        <v>8.88</v>
      </c>
      <c r="S4333">
        <v>1.91</v>
      </c>
      <c r="T4333">
        <v>0.87</v>
      </c>
      <c r="U4333">
        <v>-22.11</v>
      </c>
      <c r="V4333">
        <v>-545</v>
      </c>
      <c r="W4333">
        <v>8.93</v>
      </c>
      <c r="X4333" t="s">
        <v>5183</v>
      </c>
      <c r="Y4333" t="s">
        <v>1118</v>
      </c>
      <c r="Z4333">
        <v>0.84</v>
      </c>
      <c r="AA4333">
        <v>172</v>
      </c>
      <c r="AB4333">
        <v>301</v>
      </c>
      <c r="AC4333">
        <v>5.06</v>
      </c>
      <c r="AD4333" t="s">
        <v>11585</v>
      </c>
      <c r="AE4333" t="s">
        <v>17507</v>
      </c>
      <c r="AF4333" t="s">
        <v>11585</v>
      </c>
      <c r="AG4333" t="s">
        <v>17507</v>
      </c>
      <c r="AH4333">
        <v>-0.44</v>
      </c>
      <c r="AI4333">
        <v>-0.11</v>
      </c>
      <c r="AJ4333">
        <v>4.1</v>
      </c>
      <c r="AK4333">
        <v>8.87</v>
      </c>
      <c r="AL4333">
        <v>1</v>
      </c>
      <c r="AM4333">
        <v>1.35</v>
      </c>
      <c r="AN4333">
        <v>8.43</v>
      </c>
      <c r="AO4333">
        <v>3.09</v>
      </c>
      <c r="AP4333">
        <v>-1.53</v>
      </c>
    </row>
    <row r="4334" spans="1:42">
      <c r="A4334">
        <v>4333</v>
      </c>
      <c r="B4334" t="str">
        <f>"600725"</f>
        <v>600725</v>
      </c>
      <c r="C4334" t="s">
        <v>20377</v>
      </c>
      <c r="D4334">
        <v>2.96</v>
      </c>
      <c r="E4334">
        <v>0.34</v>
      </c>
      <c r="F4334">
        <v>0.01</v>
      </c>
      <c r="G4334" t="s">
        <v>6448</v>
      </c>
      <c r="H4334">
        <v>466</v>
      </c>
      <c r="I4334">
        <v>2.95</v>
      </c>
      <c r="J4334">
        <v>2.96</v>
      </c>
      <c r="K4334" t="s">
        <v>20378</v>
      </c>
      <c r="L4334">
        <v>0.73</v>
      </c>
      <c r="M4334" t="s">
        <v>46</v>
      </c>
      <c r="N4334" t="s">
        <v>2858</v>
      </c>
      <c r="O4334">
        <v>3</v>
      </c>
      <c r="P4334">
        <v>2.93</v>
      </c>
      <c r="Q4334">
        <v>2.95</v>
      </c>
      <c r="R4334">
        <v>2.95</v>
      </c>
      <c r="S4334">
        <v>2.37</v>
      </c>
      <c r="T4334">
        <v>0.89</v>
      </c>
      <c r="U4334">
        <v>-17.07</v>
      </c>
      <c r="V4334">
        <v>-3969</v>
      </c>
      <c r="W4334">
        <v>2.96</v>
      </c>
      <c r="X4334" t="s">
        <v>320</v>
      </c>
      <c r="Y4334" t="s">
        <v>5055</v>
      </c>
      <c r="Z4334">
        <v>0.98</v>
      </c>
      <c r="AA4334">
        <v>1010</v>
      </c>
      <c r="AB4334">
        <v>1507</v>
      </c>
      <c r="AC4334">
        <v>10.27</v>
      </c>
      <c r="AD4334" t="s">
        <v>13603</v>
      </c>
      <c r="AE4334" t="s">
        <v>20379</v>
      </c>
      <c r="AF4334" t="s">
        <v>13603</v>
      </c>
      <c r="AG4334" t="s">
        <v>20379</v>
      </c>
      <c r="AH4334">
        <v>-1.99</v>
      </c>
      <c r="AI4334">
        <v>0.34</v>
      </c>
      <c r="AJ4334">
        <v>2.15</v>
      </c>
      <c r="AK4334">
        <v>4.81</v>
      </c>
      <c r="AL4334">
        <v>1</v>
      </c>
      <c r="AM4334">
        <v>0.34</v>
      </c>
      <c r="AN4334">
        <v>-6.33</v>
      </c>
      <c r="AO4334">
        <v>9.23</v>
      </c>
      <c r="AP4334">
        <v>-12.17</v>
      </c>
    </row>
    <row r="4335" spans="1:42">
      <c r="A4335">
        <v>4334</v>
      </c>
      <c r="B4335" t="str">
        <f>"605369"</f>
        <v>605369</v>
      </c>
      <c r="C4335" t="s">
        <v>20380</v>
      </c>
      <c r="D4335">
        <v>60</v>
      </c>
      <c r="E4335">
        <v>-0.53</v>
      </c>
      <c r="F4335">
        <v>-0.32</v>
      </c>
      <c r="G4335">
        <v>4437</v>
      </c>
      <c r="H4335">
        <v>21</v>
      </c>
      <c r="I4335">
        <v>59.79</v>
      </c>
      <c r="J4335">
        <v>60</v>
      </c>
      <c r="K4335" t="s">
        <v>20378</v>
      </c>
      <c r="L4335">
        <v>0.39</v>
      </c>
      <c r="M4335" t="s">
        <v>46</v>
      </c>
      <c r="N4335" t="s">
        <v>1916</v>
      </c>
      <c r="O4335">
        <v>60.59</v>
      </c>
      <c r="P4335">
        <v>59.19</v>
      </c>
      <c r="Q4335">
        <v>60.35</v>
      </c>
      <c r="R4335">
        <v>60.32</v>
      </c>
      <c r="S4335">
        <v>2.32</v>
      </c>
      <c r="T4335">
        <v>0.89</v>
      </c>
      <c r="U4335">
        <v>-3.33</v>
      </c>
      <c r="V4335">
        <v>-2</v>
      </c>
      <c r="W4335">
        <v>59.81</v>
      </c>
      <c r="X4335">
        <v>1982</v>
      </c>
      <c r="Y4335">
        <v>2455</v>
      </c>
      <c r="Z4335">
        <v>0.81</v>
      </c>
      <c r="AA4335">
        <v>5</v>
      </c>
      <c r="AB4335">
        <v>10</v>
      </c>
      <c r="AC4335">
        <v>4.18</v>
      </c>
      <c r="AD4335" t="s">
        <v>20381</v>
      </c>
      <c r="AE4335" t="s">
        <v>20382</v>
      </c>
      <c r="AF4335" t="s">
        <v>3543</v>
      </c>
      <c r="AG4335" t="s">
        <v>5551</v>
      </c>
      <c r="AH4335">
        <v>0.4</v>
      </c>
      <c r="AI4335">
        <v>3.9</v>
      </c>
      <c r="AJ4335">
        <v>1.2</v>
      </c>
      <c r="AK4335">
        <v>2.62</v>
      </c>
      <c r="AL4335">
        <v>-1</v>
      </c>
      <c r="AM4335">
        <v>-0.53</v>
      </c>
      <c r="AN4335">
        <v>-42.75</v>
      </c>
      <c r="AO4335">
        <v>5.89</v>
      </c>
      <c r="AP4335">
        <v>-43.86</v>
      </c>
    </row>
    <row r="4336" spans="1:42">
      <c r="A4336">
        <v>4335</v>
      </c>
      <c r="B4336" t="str">
        <f>"603757"</f>
        <v>603757</v>
      </c>
      <c r="C4336" t="s">
        <v>20383</v>
      </c>
      <c r="D4336">
        <v>23.94</v>
      </c>
      <c r="E4336">
        <v>-0.46</v>
      </c>
      <c r="F4336">
        <v>-0.11</v>
      </c>
      <c r="G4336" t="s">
        <v>2807</v>
      </c>
      <c r="H4336">
        <v>109</v>
      </c>
      <c r="I4336">
        <v>23.94</v>
      </c>
      <c r="J4336">
        <v>23.97</v>
      </c>
      <c r="K4336" t="s">
        <v>20384</v>
      </c>
      <c r="L4336">
        <v>0.66</v>
      </c>
      <c r="M4336" t="s">
        <v>46</v>
      </c>
      <c r="N4336" t="s">
        <v>5535</v>
      </c>
      <c r="O4336">
        <v>24.17</v>
      </c>
      <c r="P4336">
        <v>23.7</v>
      </c>
      <c r="Q4336">
        <v>24.1</v>
      </c>
      <c r="R4336">
        <v>24.05</v>
      </c>
      <c r="S4336">
        <v>1.95</v>
      </c>
      <c r="T4336">
        <v>0.93</v>
      </c>
      <c r="U4336">
        <v>47.33</v>
      </c>
      <c r="V4336">
        <v>115</v>
      </c>
      <c r="W4336">
        <v>23.96</v>
      </c>
      <c r="X4336">
        <v>6080</v>
      </c>
      <c r="Y4336">
        <v>4993</v>
      </c>
      <c r="Z4336">
        <v>1.22</v>
      </c>
      <c r="AA4336">
        <v>20</v>
      </c>
      <c r="AB4336">
        <v>14</v>
      </c>
      <c r="AC4336">
        <v>2.51</v>
      </c>
      <c r="AD4336" t="s">
        <v>20385</v>
      </c>
      <c r="AE4336" t="s">
        <v>11581</v>
      </c>
      <c r="AF4336" t="s">
        <v>20385</v>
      </c>
      <c r="AG4336" t="s">
        <v>11581</v>
      </c>
      <c r="AH4336">
        <v>-1.89</v>
      </c>
      <c r="AI4336">
        <v>-1.89</v>
      </c>
      <c r="AJ4336">
        <v>1.94</v>
      </c>
      <c r="AK4336">
        <v>4.23</v>
      </c>
      <c r="AL4336">
        <v>-3</v>
      </c>
      <c r="AM4336">
        <v>-0.46</v>
      </c>
      <c r="AN4336">
        <v>30.18</v>
      </c>
      <c r="AO4336">
        <v>1.74</v>
      </c>
      <c r="AP4336">
        <v>15.65</v>
      </c>
    </row>
    <row r="4337" spans="1:42">
      <c r="A4337">
        <v>4336</v>
      </c>
      <c r="B4337" t="str">
        <f>"301439"</f>
        <v>301439</v>
      </c>
      <c r="C4337" t="s">
        <v>20386</v>
      </c>
      <c r="D4337">
        <v>15.16</v>
      </c>
      <c r="E4337">
        <v>0.46</v>
      </c>
      <c r="F4337">
        <v>0.07</v>
      </c>
      <c r="G4337" t="s">
        <v>2575</v>
      </c>
      <c r="H4337">
        <v>200</v>
      </c>
      <c r="I4337">
        <v>15.16</v>
      </c>
      <c r="J4337">
        <v>15.17</v>
      </c>
      <c r="K4337" t="s">
        <v>20387</v>
      </c>
      <c r="L4337">
        <v>1.8</v>
      </c>
      <c r="M4337" t="s">
        <v>46</v>
      </c>
      <c r="N4337" t="s">
        <v>4263</v>
      </c>
      <c r="O4337">
        <v>15.29</v>
      </c>
      <c r="P4337">
        <v>14.96</v>
      </c>
      <c r="Q4337">
        <v>15.08</v>
      </c>
      <c r="R4337">
        <v>15.09</v>
      </c>
      <c r="S4337">
        <v>2.19</v>
      </c>
      <c r="T4337">
        <v>0.72</v>
      </c>
      <c r="U4337">
        <v>-7.05</v>
      </c>
      <c r="V4337">
        <v>-71</v>
      </c>
      <c r="W4337">
        <v>15.12</v>
      </c>
      <c r="X4337">
        <v>7647</v>
      </c>
      <c r="Y4337">
        <v>9888</v>
      </c>
      <c r="Z4337">
        <v>0.77</v>
      </c>
      <c r="AA4337">
        <v>93</v>
      </c>
      <c r="AB4337">
        <v>80</v>
      </c>
      <c r="AC4337">
        <v>2.15</v>
      </c>
      <c r="AD4337" t="s">
        <v>20388</v>
      </c>
      <c r="AE4337" t="s">
        <v>20389</v>
      </c>
      <c r="AF4337" t="s">
        <v>11101</v>
      </c>
      <c r="AG4337" t="s">
        <v>833</v>
      </c>
      <c r="AH4337">
        <v>-1.94</v>
      </c>
      <c r="AI4337">
        <v>-2.7</v>
      </c>
      <c r="AJ4337">
        <v>8.19</v>
      </c>
      <c r="AK4337">
        <v>14.4</v>
      </c>
      <c r="AL4337">
        <v>1</v>
      </c>
      <c r="AM4337">
        <v>0.46</v>
      </c>
      <c r="AN4337">
        <v>-23.59</v>
      </c>
      <c r="AO4337">
        <v>-0.72</v>
      </c>
      <c r="AP4337">
        <v>-23.59</v>
      </c>
    </row>
    <row r="4338" spans="1:42">
      <c r="A4338">
        <v>4337</v>
      </c>
      <c r="B4338" t="str">
        <f>"603916"</f>
        <v>603916</v>
      </c>
      <c r="C4338" t="s">
        <v>20390</v>
      </c>
      <c r="D4338">
        <v>11.84</v>
      </c>
      <c r="E4338">
        <v>0.51</v>
      </c>
      <c r="F4338">
        <v>0.06</v>
      </c>
      <c r="G4338" t="s">
        <v>1212</v>
      </c>
      <c r="H4338">
        <v>85</v>
      </c>
      <c r="I4338">
        <v>11.83</v>
      </c>
      <c r="J4338">
        <v>11.84</v>
      </c>
      <c r="K4338" t="s">
        <v>20387</v>
      </c>
      <c r="L4338">
        <v>0.54</v>
      </c>
      <c r="M4338" t="s">
        <v>46</v>
      </c>
      <c r="N4338" t="s">
        <v>4111</v>
      </c>
      <c r="O4338">
        <v>11.9</v>
      </c>
      <c r="P4338">
        <v>11.67</v>
      </c>
      <c r="Q4338">
        <v>11.71</v>
      </c>
      <c r="R4338">
        <v>11.78</v>
      </c>
      <c r="S4338">
        <v>1.95</v>
      </c>
      <c r="T4338">
        <v>0.96</v>
      </c>
      <c r="U4338">
        <v>-13.45</v>
      </c>
      <c r="V4338">
        <v>-134</v>
      </c>
      <c r="W4338">
        <v>11.78</v>
      </c>
      <c r="X4338" t="s">
        <v>2667</v>
      </c>
      <c r="Y4338" t="s">
        <v>2807</v>
      </c>
      <c r="Z4338">
        <v>1.02</v>
      </c>
      <c r="AA4338">
        <v>281</v>
      </c>
      <c r="AB4338">
        <v>70</v>
      </c>
      <c r="AC4338">
        <v>1.21</v>
      </c>
      <c r="AD4338" t="s">
        <v>20391</v>
      </c>
      <c r="AE4338" t="s">
        <v>4224</v>
      </c>
      <c r="AF4338" t="s">
        <v>20391</v>
      </c>
      <c r="AG4338" t="s">
        <v>4224</v>
      </c>
      <c r="AH4338">
        <v>-1.5</v>
      </c>
      <c r="AI4338">
        <v>-2.55</v>
      </c>
      <c r="AJ4338">
        <v>1.66</v>
      </c>
      <c r="AK4338">
        <v>3.33</v>
      </c>
      <c r="AL4338">
        <v>1</v>
      </c>
      <c r="AM4338">
        <v>0.51</v>
      </c>
      <c r="AN4338">
        <v>-24.97</v>
      </c>
      <c r="AO4338">
        <v>0</v>
      </c>
      <c r="AP4338">
        <v>-23.71</v>
      </c>
    </row>
    <row r="4339" spans="1:42">
      <c r="A4339">
        <v>4338</v>
      </c>
      <c r="B4339" t="str">
        <f>"605305"</f>
        <v>605305</v>
      </c>
      <c r="C4339" t="s">
        <v>20392</v>
      </c>
      <c r="D4339">
        <v>31.24</v>
      </c>
      <c r="E4339">
        <v>-0.6</v>
      </c>
      <c r="F4339">
        <v>-0.19</v>
      </c>
      <c r="G4339">
        <v>8479</v>
      </c>
      <c r="H4339">
        <v>127</v>
      </c>
      <c r="I4339">
        <v>31.24</v>
      </c>
      <c r="J4339">
        <v>31.26</v>
      </c>
      <c r="K4339" t="s">
        <v>20387</v>
      </c>
      <c r="L4339">
        <v>0.8</v>
      </c>
      <c r="M4339" t="s">
        <v>46</v>
      </c>
      <c r="N4339" t="s">
        <v>14761</v>
      </c>
      <c r="O4339">
        <v>31.59</v>
      </c>
      <c r="P4339">
        <v>31.05</v>
      </c>
      <c r="Q4339">
        <v>31.36</v>
      </c>
      <c r="R4339">
        <v>31.43</v>
      </c>
      <c r="S4339">
        <v>1.72</v>
      </c>
      <c r="T4339">
        <v>0.91</v>
      </c>
      <c r="U4339">
        <v>-66.49</v>
      </c>
      <c r="V4339">
        <v>-246</v>
      </c>
      <c r="W4339">
        <v>31.25</v>
      </c>
      <c r="X4339">
        <v>4186</v>
      </c>
      <c r="Y4339">
        <v>4293</v>
      </c>
      <c r="Z4339">
        <v>0.97</v>
      </c>
      <c r="AA4339">
        <v>3</v>
      </c>
      <c r="AB4339">
        <v>3</v>
      </c>
      <c r="AC4339">
        <v>2.13</v>
      </c>
      <c r="AD4339" t="s">
        <v>20393</v>
      </c>
      <c r="AE4339" t="s">
        <v>7203</v>
      </c>
      <c r="AF4339" t="s">
        <v>8496</v>
      </c>
      <c r="AG4339" t="s">
        <v>10372</v>
      </c>
      <c r="AH4339">
        <v>-2.95</v>
      </c>
      <c r="AI4339">
        <v>-0.67</v>
      </c>
      <c r="AJ4339">
        <v>2.57</v>
      </c>
      <c r="AK4339">
        <v>5.17</v>
      </c>
      <c r="AL4339">
        <v>-3</v>
      </c>
      <c r="AM4339">
        <v>-0.6</v>
      </c>
      <c r="AN4339">
        <v>-10.64</v>
      </c>
      <c r="AO4339">
        <v>5.65</v>
      </c>
      <c r="AP4339">
        <v>-15.91</v>
      </c>
    </row>
    <row r="4340" spans="1:42">
      <c r="A4340">
        <v>4339</v>
      </c>
      <c r="B4340" t="str">
        <f>"000880"</f>
        <v>000880</v>
      </c>
      <c r="C4340" t="s">
        <v>20394</v>
      </c>
      <c r="D4340">
        <v>10.86</v>
      </c>
      <c r="E4340">
        <v>-0.64</v>
      </c>
      <c r="F4340">
        <v>-0.07</v>
      </c>
      <c r="G4340" t="s">
        <v>9272</v>
      </c>
      <c r="H4340">
        <v>166</v>
      </c>
      <c r="I4340">
        <v>10.86</v>
      </c>
      <c r="J4340">
        <v>10.87</v>
      </c>
      <c r="K4340" t="s">
        <v>20387</v>
      </c>
      <c r="L4340">
        <v>1.51</v>
      </c>
      <c r="M4340" t="s">
        <v>46</v>
      </c>
      <c r="N4340" t="s">
        <v>8416</v>
      </c>
      <c r="O4340">
        <v>10.98</v>
      </c>
      <c r="P4340">
        <v>10.76</v>
      </c>
      <c r="Q4340">
        <v>10.93</v>
      </c>
      <c r="R4340">
        <v>10.93</v>
      </c>
      <c r="S4340">
        <v>2.01</v>
      </c>
      <c r="T4340">
        <v>0.75</v>
      </c>
      <c r="U4340">
        <v>11.4</v>
      </c>
      <c r="V4340">
        <v>138</v>
      </c>
      <c r="W4340">
        <v>10.84</v>
      </c>
      <c r="X4340" t="s">
        <v>6867</v>
      </c>
      <c r="Y4340" t="s">
        <v>2615</v>
      </c>
      <c r="Z4340">
        <v>1.44</v>
      </c>
      <c r="AA4340">
        <v>4</v>
      </c>
      <c r="AB4340">
        <v>419</v>
      </c>
      <c r="AC4340">
        <v>1.88</v>
      </c>
      <c r="AD4340" t="s">
        <v>20395</v>
      </c>
      <c r="AE4340" t="s">
        <v>13094</v>
      </c>
      <c r="AF4340" t="s">
        <v>10283</v>
      </c>
      <c r="AG4340" t="s">
        <v>6243</v>
      </c>
      <c r="AH4340">
        <v>-2.6</v>
      </c>
      <c r="AI4340">
        <v>-1</v>
      </c>
      <c r="AJ4340">
        <v>5.42</v>
      </c>
      <c r="AK4340">
        <v>11.49</v>
      </c>
      <c r="AL4340">
        <v>-3</v>
      </c>
      <c r="AM4340">
        <v>-0.64</v>
      </c>
      <c r="AN4340">
        <v>18.3</v>
      </c>
      <c r="AO4340">
        <v>1.12</v>
      </c>
      <c r="AP4340">
        <v>6.78</v>
      </c>
    </row>
    <row r="4341" spans="1:42">
      <c r="A4341">
        <v>4340</v>
      </c>
      <c r="B4341" t="str">
        <f>"837006"</f>
        <v>837006</v>
      </c>
      <c r="C4341" t="s">
        <v>20396</v>
      </c>
      <c r="D4341">
        <v>12.45</v>
      </c>
      <c r="E4341">
        <v>-1.43</v>
      </c>
      <c r="F4341">
        <v>-0.18</v>
      </c>
      <c r="G4341" t="s">
        <v>3116</v>
      </c>
      <c r="H4341">
        <v>268</v>
      </c>
      <c r="I4341">
        <v>12.42</v>
      </c>
      <c r="J4341">
        <v>12.45</v>
      </c>
      <c r="K4341" t="s">
        <v>20387</v>
      </c>
      <c r="L4341">
        <v>7.41</v>
      </c>
      <c r="M4341" t="s">
        <v>46</v>
      </c>
      <c r="N4341" t="s">
        <v>5249</v>
      </c>
      <c r="O4341">
        <v>12.85</v>
      </c>
      <c r="P4341">
        <v>12.07</v>
      </c>
      <c r="Q4341">
        <v>12.79</v>
      </c>
      <c r="R4341">
        <v>12.63</v>
      </c>
      <c r="S4341">
        <v>6.18</v>
      </c>
      <c r="T4341">
        <v>0.52</v>
      </c>
      <c r="U4341">
        <v>41.4</v>
      </c>
      <c r="V4341">
        <v>490</v>
      </c>
      <c r="W4341">
        <v>12.41</v>
      </c>
      <c r="X4341" t="s">
        <v>1769</v>
      </c>
      <c r="Y4341">
        <v>6831</v>
      </c>
      <c r="Z4341">
        <v>2.12</v>
      </c>
      <c r="AA4341">
        <v>713</v>
      </c>
      <c r="AB4341">
        <v>259</v>
      </c>
      <c r="AC4341">
        <v>3.22</v>
      </c>
      <c r="AD4341" t="s">
        <v>20397</v>
      </c>
      <c r="AE4341" t="s">
        <v>6479</v>
      </c>
      <c r="AF4341" t="s">
        <v>20398</v>
      </c>
      <c r="AG4341" t="s">
        <v>7117</v>
      </c>
      <c r="AH4341">
        <v>-15.31</v>
      </c>
      <c r="AI4341">
        <v>1.3</v>
      </c>
      <c r="AJ4341">
        <v>28.45</v>
      </c>
      <c r="AK4341">
        <v>79.23</v>
      </c>
      <c r="AL4341">
        <v>-4</v>
      </c>
      <c r="AM4341">
        <v>-1.43</v>
      </c>
      <c r="AN4341">
        <v>23.51</v>
      </c>
      <c r="AO4341">
        <v>26.52</v>
      </c>
      <c r="AP4341">
        <v>23.51</v>
      </c>
    </row>
    <row r="4342" spans="1:42">
      <c r="A4342">
        <v>4341</v>
      </c>
      <c r="B4342" t="str">
        <f>"300464"</f>
        <v>300464</v>
      </c>
      <c r="C4342" t="s">
        <v>20399</v>
      </c>
      <c r="D4342">
        <v>6.37</v>
      </c>
      <c r="E4342">
        <v>1.11</v>
      </c>
      <c r="F4342">
        <v>0.07</v>
      </c>
      <c r="G4342" t="s">
        <v>7062</v>
      </c>
      <c r="H4342">
        <v>320</v>
      </c>
      <c r="I4342">
        <v>6.36</v>
      </c>
      <c r="J4342">
        <v>6.37</v>
      </c>
      <c r="K4342" t="s">
        <v>20400</v>
      </c>
      <c r="L4342">
        <v>1.32</v>
      </c>
      <c r="M4342" t="s">
        <v>46</v>
      </c>
      <c r="N4342" t="s">
        <v>958</v>
      </c>
      <c r="O4342">
        <v>6.43</v>
      </c>
      <c r="P4342">
        <v>6.28</v>
      </c>
      <c r="Q4342">
        <v>6.28</v>
      </c>
      <c r="R4342">
        <v>6.3</v>
      </c>
      <c r="S4342">
        <v>2.38</v>
      </c>
      <c r="T4342">
        <v>1.35</v>
      </c>
      <c r="U4342">
        <v>-37.42</v>
      </c>
      <c r="V4342">
        <v>-1679</v>
      </c>
      <c r="W4342">
        <v>6.38</v>
      </c>
      <c r="X4342" t="s">
        <v>2878</v>
      </c>
      <c r="Y4342" t="s">
        <v>5710</v>
      </c>
      <c r="Z4342">
        <v>0.78</v>
      </c>
      <c r="AA4342">
        <v>604</v>
      </c>
      <c r="AB4342">
        <v>156</v>
      </c>
      <c r="AC4342">
        <v>5.18</v>
      </c>
      <c r="AD4342" t="s">
        <v>12963</v>
      </c>
      <c r="AE4342" t="s">
        <v>20401</v>
      </c>
      <c r="AF4342" t="s">
        <v>7730</v>
      </c>
      <c r="AG4342" t="s">
        <v>12975</v>
      </c>
      <c r="AH4342">
        <v>0</v>
      </c>
      <c r="AI4342">
        <v>0.47</v>
      </c>
      <c r="AJ4342">
        <v>3.13</v>
      </c>
      <c r="AK4342">
        <v>6.2</v>
      </c>
      <c r="AL4342">
        <v>1</v>
      </c>
      <c r="AM4342">
        <v>1.11</v>
      </c>
      <c r="AN4342">
        <v>5.46</v>
      </c>
      <c r="AO4342">
        <v>5.12</v>
      </c>
      <c r="AP4342">
        <v>5.99</v>
      </c>
    </row>
    <row r="4343" spans="1:42">
      <c r="A4343">
        <v>4342</v>
      </c>
      <c r="B4343" t="str">
        <f>"002386"</f>
        <v>002386</v>
      </c>
      <c r="C4343" t="s">
        <v>20402</v>
      </c>
      <c r="D4343">
        <v>5.28</v>
      </c>
      <c r="E4343">
        <v>0</v>
      </c>
      <c r="F4343">
        <v>0</v>
      </c>
      <c r="G4343" t="s">
        <v>5660</v>
      </c>
      <c r="H4343">
        <v>375</v>
      </c>
      <c r="I4343">
        <v>5.27</v>
      </c>
      <c r="J4343">
        <v>5.28</v>
      </c>
      <c r="K4343" t="s">
        <v>20400</v>
      </c>
      <c r="L4343">
        <v>0.43</v>
      </c>
      <c r="M4343" t="s">
        <v>46</v>
      </c>
      <c r="N4343" t="s">
        <v>10591</v>
      </c>
      <c r="O4343">
        <v>5.32</v>
      </c>
      <c r="P4343">
        <v>5.25</v>
      </c>
      <c r="Q4343">
        <v>5.29</v>
      </c>
      <c r="R4343">
        <v>5.28</v>
      </c>
      <c r="S4343">
        <v>1.33</v>
      </c>
      <c r="T4343">
        <v>0.92</v>
      </c>
      <c r="U4343">
        <v>-25.44</v>
      </c>
      <c r="V4343">
        <v>-2726</v>
      </c>
      <c r="W4343">
        <v>5.28</v>
      </c>
      <c r="X4343" t="s">
        <v>4036</v>
      </c>
      <c r="Y4343" t="s">
        <v>4037</v>
      </c>
      <c r="Z4343">
        <v>1.07</v>
      </c>
      <c r="AA4343">
        <v>591</v>
      </c>
      <c r="AB4343">
        <v>8</v>
      </c>
      <c r="AC4343">
        <v>0.86</v>
      </c>
      <c r="AD4343" t="s">
        <v>6648</v>
      </c>
      <c r="AE4343" t="s">
        <v>20403</v>
      </c>
      <c r="AF4343" t="s">
        <v>647</v>
      </c>
      <c r="AG4343" t="s">
        <v>20404</v>
      </c>
      <c r="AH4343">
        <v>-2.58</v>
      </c>
      <c r="AI4343">
        <v>-4</v>
      </c>
      <c r="AJ4343">
        <v>1.44</v>
      </c>
      <c r="AK4343">
        <v>2.8</v>
      </c>
      <c r="AL4343">
        <v>0</v>
      </c>
      <c r="AM4343">
        <v>0</v>
      </c>
      <c r="AN4343">
        <v>-21.08</v>
      </c>
      <c r="AO4343">
        <v>-3.83</v>
      </c>
      <c r="AP4343">
        <v>-25.53</v>
      </c>
    </row>
    <row r="4344" spans="1:42">
      <c r="A4344">
        <v>4343</v>
      </c>
      <c r="B4344" t="str">
        <f>"603051"</f>
        <v>603051</v>
      </c>
      <c r="C4344" t="s">
        <v>20405</v>
      </c>
      <c r="D4344">
        <v>32.71</v>
      </c>
      <c r="E4344">
        <v>0.49</v>
      </c>
      <c r="F4344">
        <v>0.16</v>
      </c>
      <c r="G4344">
        <v>8132</v>
      </c>
      <c r="H4344">
        <v>68</v>
      </c>
      <c r="I4344">
        <v>32.71</v>
      </c>
      <c r="J4344">
        <v>32.72</v>
      </c>
      <c r="K4344" t="s">
        <v>20406</v>
      </c>
      <c r="L4344">
        <v>1.64</v>
      </c>
      <c r="M4344" t="s">
        <v>46</v>
      </c>
      <c r="N4344" t="s">
        <v>7267</v>
      </c>
      <c r="O4344">
        <v>32.89</v>
      </c>
      <c r="P4344">
        <v>32.32</v>
      </c>
      <c r="Q4344">
        <v>32.65</v>
      </c>
      <c r="R4344">
        <v>32.55</v>
      </c>
      <c r="S4344">
        <v>1.75</v>
      </c>
      <c r="T4344">
        <v>0.78</v>
      </c>
      <c r="U4344">
        <v>-37.5</v>
      </c>
      <c r="V4344">
        <v>-48</v>
      </c>
      <c r="W4344">
        <v>32.55</v>
      </c>
      <c r="X4344">
        <v>4117</v>
      </c>
      <c r="Y4344">
        <v>4015</v>
      </c>
      <c r="Z4344">
        <v>1.03</v>
      </c>
      <c r="AA4344">
        <v>15</v>
      </c>
      <c r="AB4344">
        <v>73</v>
      </c>
      <c r="AC4344">
        <v>2.45</v>
      </c>
      <c r="AD4344" t="s">
        <v>20407</v>
      </c>
      <c r="AE4344" t="s">
        <v>5091</v>
      </c>
      <c r="AF4344" t="s">
        <v>16167</v>
      </c>
      <c r="AG4344" t="s">
        <v>2118</v>
      </c>
      <c r="AH4344">
        <v>-1.51</v>
      </c>
      <c r="AI4344">
        <v>-5.22</v>
      </c>
      <c r="AJ4344">
        <v>4.77</v>
      </c>
      <c r="AK4344">
        <v>12.16</v>
      </c>
      <c r="AL4344">
        <v>1</v>
      </c>
      <c r="AM4344">
        <v>0.49</v>
      </c>
      <c r="AN4344">
        <v>-45.03</v>
      </c>
      <c r="AO4344">
        <v>-2.79</v>
      </c>
      <c r="AP4344">
        <v>-44.01</v>
      </c>
    </row>
    <row r="4345" spans="1:42">
      <c r="A4345">
        <v>4344</v>
      </c>
      <c r="B4345" t="str">
        <f>"600726"</f>
        <v>600726</v>
      </c>
      <c r="C4345" t="s">
        <v>20408</v>
      </c>
      <c r="D4345">
        <v>2.26</v>
      </c>
      <c r="E4345">
        <v>0.89</v>
      </c>
      <c r="F4345">
        <v>0.02</v>
      </c>
      <c r="G4345" t="s">
        <v>1540</v>
      </c>
      <c r="H4345">
        <v>1597</v>
      </c>
      <c r="I4345">
        <v>2.25</v>
      </c>
      <c r="J4345">
        <v>2.26</v>
      </c>
      <c r="K4345" t="s">
        <v>20406</v>
      </c>
      <c r="L4345">
        <v>0.61</v>
      </c>
      <c r="M4345" t="s">
        <v>46</v>
      </c>
      <c r="N4345" t="s">
        <v>2983</v>
      </c>
      <c r="O4345">
        <v>2.27</v>
      </c>
      <c r="P4345">
        <v>2.22</v>
      </c>
      <c r="Q4345">
        <v>2.24</v>
      </c>
      <c r="R4345">
        <v>2.24</v>
      </c>
      <c r="S4345">
        <v>2.23</v>
      </c>
      <c r="T4345">
        <v>0.98</v>
      </c>
      <c r="U4345">
        <v>-17.46</v>
      </c>
      <c r="V4345" t="s">
        <v>7925</v>
      </c>
      <c r="W4345">
        <v>2.25</v>
      </c>
      <c r="X4345" t="s">
        <v>4981</v>
      </c>
      <c r="Y4345" t="s">
        <v>6903</v>
      </c>
      <c r="Z4345">
        <v>0.85</v>
      </c>
      <c r="AA4345">
        <v>3755</v>
      </c>
      <c r="AB4345">
        <v>5568</v>
      </c>
      <c r="AC4345">
        <v>5.11</v>
      </c>
      <c r="AD4345" t="s">
        <v>5492</v>
      </c>
      <c r="AE4345" t="s">
        <v>6892</v>
      </c>
      <c r="AF4345" t="s">
        <v>19362</v>
      </c>
      <c r="AG4345" t="s">
        <v>20083</v>
      </c>
      <c r="AH4345">
        <v>-0.88</v>
      </c>
      <c r="AI4345">
        <v>1.35</v>
      </c>
      <c r="AJ4345">
        <v>1.68</v>
      </c>
      <c r="AK4345">
        <v>3.71</v>
      </c>
      <c r="AL4345">
        <v>1</v>
      </c>
      <c r="AM4345">
        <v>0.89</v>
      </c>
      <c r="AN4345">
        <v>-15.67</v>
      </c>
      <c r="AO4345">
        <v>2.73</v>
      </c>
      <c r="AP4345">
        <v>-14.72</v>
      </c>
    </row>
    <row r="4346" spans="1:42">
      <c r="A4346">
        <v>4345</v>
      </c>
      <c r="B4346" t="str">
        <f>"603324"</f>
        <v>603324</v>
      </c>
      <c r="C4346" t="s">
        <v>20409</v>
      </c>
      <c r="D4346">
        <v>33.15</v>
      </c>
      <c r="E4346">
        <v>-0.27</v>
      </c>
      <c r="F4346">
        <v>-0.09</v>
      </c>
      <c r="G4346">
        <v>8011</v>
      </c>
      <c r="H4346">
        <v>72</v>
      </c>
      <c r="I4346">
        <v>33.15</v>
      </c>
      <c r="J4346">
        <v>33.17</v>
      </c>
      <c r="K4346" t="s">
        <v>8393</v>
      </c>
      <c r="L4346">
        <v>1.81</v>
      </c>
      <c r="M4346" t="s">
        <v>46</v>
      </c>
      <c r="N4346" t="s">
        <v>7120</v>
      </c>
      <c r="O4346">
        <v>33.4</v>
      </c>
      <c r="P4346">
        <v>32.77</v>
      </c>
      <c r="Q4346">
        <v>33.37</v>
      </c>
      <c r="R4346">
        <v>33.24</v>
      </c>
      <c r="S4346">
        <v>1.9</v>
      </c>
      <c r="T4346">
        <v>0.77</v>
      </c>
      <c r="U4346">
        <v>52.17</v>
      </c>
      <c r="V4346">
        <v>96</v>
      </c>
      <c r="W4346">
        <v>33.03</v>
      </c>
      <c r="X4346">
        <v>4661</v>
      </c>
      <c r="Y4346">
        <v>3350</v>
      </c>
      <c r="Z4346">
        <v>1.39</v>
      </c>
      <c r="AA4346">
        <v>106</v>
      </c>
      <c r="AB4346">
        <v>6</v>
      </c>
      <c r="AC4346">
        <v>2.74</v>
      </c>
      <c r="AD4346" t="s">
        <v>20410</v>
      </c>
      <c r="AE4346" t="s">
        <v>20411</v>
      </c>
      <c r="AF4346" t="s">
        <v>20412</v>
      </c>
      <c r="AG4346" t="s">
        <v>13519</v>
      </c>
      <c r="AH4346">
        <v>-1.25</v>
      </c>
      <c r="AI4346">
        <v>-3.07</v>
      </c>
      <c r="AJ4346">
        <v>6.66</v>
      </c>
      <c r="AK4346">
        <v>13.59</v>
      </c>
      <c r="AL4346">
        <v>-2</v>
      </c>
      <c r="AM4346">
        <v>-0.27</v>
      </c>
      <c r="AN4346">
        <v>-5.04</v>
      </c>
      <c r="AO4346">
        <v>-0.48</v>
      </c>
      <c r="AP4346">
        <v>-20.43</v>
      </c>
    </row>
    <row r="4347" spans="1:42">
      <c r="A4347">
        <v>4346</v>
      </c>
      <c r="B4347" t="str">
        <f>"838670"</f>
        <v>838670</v>
      </c>
      <c r="C4347" t="s">
        <v>20413</v>
      </c>
      <c r="D4347">
        <v>8.31</v>
      </c>
      <c r="E4347">
        <v>-6.63</v>
      </c>
      <c r="F4347">
        <v>-0.59</v>
      </c>
      <c r="G4347" t="s">
        <v>401</v>
      </c>
      <c r="H4347">
        <v>479</v>
      </c>
      <c r="I4347">
        <v>8.31</v>
      </c>
      <c r="J4347">
        <v>8.36</v>
      </c>
      <c r="K4347" t="s">
        <v>20414</v>
      </c>
      <c r="L4347">
        <v>4.64</v>
      </c>
      <c r="M4347" t="s">
        <v>46</v>
      </c>
      <c r="N4347" t="s">
        <v>17045</v>
      </c>
      <c r="O4347">
        <v>9.23</v>
      </c>
      <c r="P4347">
        <v>8.11</v>
      </c>
      <c r="Q4347">
        <v>9</v>
      </c>
      <c r="R4347">
        <v>8.9</v>
      </c>
      <c r="S4347">
        <v>12.58</v>
      </c>
      <c r="T4347">
        <v>0.35</v>
      </c>
      <c r="U4347">
        <v>40.81</v>
      </c>
      <c r="V4347">
        <v>404</v>
      </c>
      <c r="W4347">
        <v>8.63</v>
      </c>
      <c r="X4347" t="s">
        <v>1072</v>
      </c>
      <c r="Y4347" t="s">
        <v>8636</v>
      </c>
      <c r="Z4347">
        <v>1.56</v>
      </c>
      <c r="AA4347">
        <v>97</v>
      </c>
      <c r="AB4347">
        <v>44</v>
      </c>
      <c r="AC4347">
        <v>2.53</v>
      </c>
      <c r="AD4347" t="s">
        <v>11171</v>
      </c>
      <c r="AE4347" t="s">
        <v>7783</v>
      </c>
      <c r="AF4347" t="s">
        <v>20415</v>
      </c>
      <c r="AG4347" t="s">
        <v>2904</v>
      </c>
      <c r="AH4347">
        <v>-23.97</v>
      </c>
      <c r="AI4347">
        <v>-2.35</v>
      </c>
      <c r="AJ4347">
        <v>22.24</v>
      </c>
      <c r="AK4347">
        <v>71.13</v>
      </c>
      <c r="AL4347">
        <v>-3</v>
      </c>
      <c r="AM4347">
        <v>-6.63</v>
      </c>
      <c r="AN4347">
        <v>1.34</v>
      </c>
      <c r="AO4347">
        <v>50.27</v>
      </c>
      <c r="AP4347">
        <v>-6.31</v>
      </c>
    </row>
    <row r="4348" spans="1:42">
      <c r="A4348">
        <v>4347</v>
      </c>
      <c r="B4348" t="str">
        <f>"300931"</f>
        <v>300931</v>
      </c>
      <c r="C4348" t="s">
        <v>20416</v>
      </c>
      <c r="D4348">
        <v>8.58</v>
      </c>
      <c r="E4348">
        <v>0.23</v>
      </c>
      <c r="F4348">
        <v>0.02</v>
      </c>
      <c r="G4348" t="s">
        <v>925</v>
      </c>
      <c r="H4348">
        <v>188</v>
      </c>
      <c r="I4348">
        <v>8.57</v>
      </c>
      <c r="J4348">
        <v>8.58</v>
      </c>
      <c r="K4348" t="s">
        <v>20414</v>
      </c>
      <c r="L4348">
        <v>2.91</v>
      </c>
      <c r="M4348" t="s">
        <v>46</v>
      </c>
      <c r="N4348" t="s">
        <v>4515</v>
      </c>
      <c r="O4348">
        <v>8.66</v>
      </c>
      <c r="P4348">
        <v>8.46</v>
      </c>
      <c r="Q4348">
        <v>8.56</v>
      </c>
      <c r="R4348">
        <v>8.56</v>
      </c>
      <c r="S4348">
        <v>2.34</v>
      </c>
      <c r="T4348">
        <v>1.53</v>
      </c>
      <c r="U4348">
        <v>-34.25</v>
      </c>
      <c r="V4348">
        <v>-446</v>
      </c>
      <c r="W4348">
        <v>8.58</v>
      </c>
      <c r="X4348" t="s">
        <v>5951</v>
      </c>
      <c r="Y4348" t="s">
        <v>578</v>
      </c>
      <c r="Z4348">
        <v>1.01</v>
      </c>
      <c r="AA4348">
        <v>54</v>
      </c>
      <c r="AB4348">
        <v>22</v>
      </c>
      <c r="AC4348">
        <v>2.95</v>
      </c>
      <c r="AD4348" t="s">
        <v>20417</v>
      </c>
      <c r="AE4348" t="s">
        <v>12390</v>
      </c>
      <c r="AF4348" t="s">
        <v>20418</v>
      </c>
      <c r="AG4348" t="s">
        <v>20419</v>
      </c>
      <c r="AH4348">
        <v>-0.58</v>
      </c>
      <c r="AI4348">
        <v>-0.12</v>
      </c>
      <c r="AJ4348">
        <v>6.72</v>
      </c>
      <c r="AK4348">
        <v>12.4</v>
      </c>
      <c r="AL4348">
        <v>1</v>
      </c>
      <c r="AM4348">
        <v>0.23</v>
      </c>
      <c r="AN4348">
        <v>30.2</v>
      </c>
      <c r="AO4348">
        <v>3.5</v>
      </c>
      <c r="AP4348">
        <v>17.21</v>
      </c>
    </row>
    <row r="4349" spans="1:42">
      <c r="A4349">
        <v>4348</v>
      </c>
      <c r="B4349" t="str">
        <f>"301287"</f>
        <v>301287</v>
      </c>
      <c r="C4349" t="s">
        <v>20420</v>
      </c>
      <c r="D4349">
        <v>38.6</v>
      </c>
      <c r="E4349">
        <v>0.97</v>
      </c>
      <c r="F4349">
        <v>0.37</v>
      </c>
      <c r="G4349">
        <v>6887</v>
      </c>
      <c r="H4349">
        <v>77</v>
      </c>
      <c r="I4349">
        <v>38.45</v>
      </c>
      <c r="J4349">
        <v>38.6</v>
      </c>
      <c r="K4349" t="s">
        <v>20414</v>
      </c>
      <c r="L4349">
        <v>4.13</v>
      </c>
      <c r="M4349" t="s">
        <v>46</v>
      </c>
      <c r="N4349" t="s">
        <v>5017</v>
      </c>
      <c r="O4349">
        <v>38.8</v>
      </c>
      <c r="P4349">
        <v>38</v>
      </c>
      <c r="Q4349">
        <v>38.23</v>
      </c>
      <c r="R4349">
        <v>38.23</v>
      </c>
      <c r="S4349">
        <v>2.09</v>
      </c>
      <c r="T4349">
        <v>0.92</v>
      </c>
      <c r="U4349">
        <v>-62.39</v>
      </c>
      <c r="V4349">
        <v>-136</v>
      </c>
      <c r="W4349">
        <v>38.4</v>
      </c>
      <c r="X4349">
        <v>3278</v>
      </c>
      <c r="Y4349">
        <v>3609</v>
      </c>
      <c r="Z4349">
        <v>0.91</v>
      </c>
      <c r="AA4349">
        <v>13</v>
      </c>
      <c r="AB4349">
        <v>57</v>
      </c>
      <c r="AC4349">
        <v>2.4</v>
      </c>
      <c r="AD4349" t="s">
        <v>9889</v>
      </c>
      <c r="AE4349" t="s">
        <v>12121</v>
      </c>
      <c r="AF4349" t="s">
        <v>20421</v>
      </c>
      <c r="AG4349" t="s">
        <v>3488</v>
      </c>
      <c r="AH4349">
        <v>-1.28</v>
      </c>
      <c r="AI4349">
        <v>-2.67</v>
      </c>
      <c r="AJ4349">
        <v>11.81</v>
      </c>
      <c r="AK4349">
        <v>26.61</v>
      </c>
      <c r="AL4349">
        <v>1</v>
      </c>
      <c r="AM4349">
        <v>0.97</v>
      </c>
      <c r="AN4349">
        <v>-3.76</v>
      </c>
      <c r="AO4349">
        <v>0.86</v>
      </c>
      <c r="AP4349">
        <v>-3.76</v>
      </c>
    </row>
    <row r="4350" spans="1:42">
      <c r="A4350">
        <v>4349</v>
      </c>
      <c r="B4350" t="str">
        <f>"603329"</f>
        <v>603329</v>
      </c>
      <c r="C4350" t="s">
        <v>20422</v>
      </c>
      <c r="D4350">
        <v>14.35</v>
      </c>
      <c r="E4350">
        <v>0.56</v>
      </c>
      <c r="F4350">
        <v>0.08</v>
      </c>
      <c r="G4350" t="s">
        <v>6012</v>
      </c>
      <c r="H4350">
        <v>48</v>
      </c>
      <c r="I4350">
        <v>14.35</v>
      </c>
      <c r="J4350">
        <v>14.36</v>
      </c>
      <c r="K4350" t="s">
        <v>20423</v>
      </c>
      <c r="L4350">
        <v>1.16</v>
      </c>
      <c r="M4350" t="s">
        <v>46</v>
      </c>
      <c r="N4350" t="s">
        <v>2488</v>
      </c>
      <c r="O4350">
        <v>14.45</v>
      </c>
      <c r="P4350">
        <v>14.27</v>
      </c>
      <c r="Q4350">
        <v>14.34</v>
      </c>
      <c r="R4350">
        <v>14.27</v>
      </c>
      <c r="S4350">
        <v>1.26</v>
      </c>
      <c r="T4350">
        <v>0.78</v>
      </c>
      <c r="U4350">
        <v>7.01</v>
      </c>
      <c r="V4350">
        <v>68</v>
      </c>
      <c r="W4350">
        <v>14.36</v>
      </c>
      <c r="X4350">
        <v>7366</v>
      </c>
      <c r="Y4350" t="s">
        <v>4443</v>
      </c>
      <c r="Z4350">
        <v>0.67</v>
      </c>
      <c r="AA4350">
        <v>25</v>
      </c>
      <c r="AB4350">
        <v>11</v>
      </c>
      <c r="AC4350">
        <v>2.11</v>
      </c>
      <c r="AD4350" t="s">
        <v>13857</v>
      </c>
      <c r="AE4350" t="s">
        <v>8944</v>
      </c>
      <c r="AF4350" t="s">
        <v>13857</v>
      </c>
      <c r="AG4350" t="s">
        <v>8944</v>
      </c>
      <c r="AH4350">
        <v>-1.37</v>
      </c>
      <c r="AI4350">
        <v>-0.69</v>
      </c>
      <c r="AJ4350">
        <v>3.79</v>
      </c>
      <c r="AK4350">
        <v>8.56</v>
      </c>
      <c r="AL4350">
        <v>1</v>
      </c>
      <c r="AM4350">
        <v>0.56</v>
      </c>
      <c r="AN4350">
        <v>-9.81</v>
      </c>
      <c r="AO4350">
        <v>2.57</v>
      </c>
      <c r="AP4350">
        <v>-15.98</v>
      </c>
    </row>
    <row r="4351" spans="1:42">
      <c r="A4351">
        <v>4350</v>
      </c>
      <c r="B4351" t="str">
        <f>"603676"</f>
        <v>603676</v>
      </c>
      <c r="C4351" t="s">
        <v>20424</v>
      </c>
      <c r="D4351">
        <v>11.13</v>
      </c>
      <c r="E4351">
        <v>0.27</v>
      </c>
      <c r="F4351">
        <v>0.03</v>
      </c>
      <c r="G4351" t="s">
        <v>6419</v>
      </c>
      <c r="H4351">
        <v>72</v>
      </c>
      <c r="I4351">
        <v>11.13</v>
      </c>
      <c r="J4351">
        <v>11.14</v>
      </c>
      <c r="K4351" t="s">
        <v>20425</v>
      </c>
      <c r="L4351">
        <v>0.55</v>
      </c>
      <c r="M4351" t="s">
        <v>46</v>
      </c>
      <c r="N4351" t="s">
        <v>5944</v>
      </c>
      <c r="O4351">
        <v>11.26</v>
      </c>
      <c r="P4351">
        <v>11.06</v>
      </c>
      <c r="Q4351">
        <v>11.08</v>
      </c>
      <c r="R4351">
        <v>11.1</v>
      </c>
      <c r="S4351">
        <v>1.8</v>
      </c>
      <c r="T4351">
        <v>0.86</v>
      </c>
      <c r="U4351">
        <v>-51.09</v>
      </c>
      <c r="V4351">
        <v>-1080</v>
      </c>
      <c r="W4351">
        <v>11.14</v>
      </c>
      <c r="X4351" t="s">
        <v>7974</v>
      </c>
      <c r="Y4351" t="s">
        <v>1427</v>
      </c>
      <c r="Z4351">
        <v>0.84</v>
      </c>
      <c r="AA4351">
        <v>136</v>
      </c>
      <c r="AB4351">
        <v>330</v>
      </c>
      <c r="AC4351">
        <v>3.6</v>
      </c>
      <c r="AD4351" t="s">
        <v>20426</v>
      </c>
      <c r="AE4351" t="s">
        <v>3229</v>
      </c>
      <c r="AF4351" t="s">
        <v>20427</v>
      </c>
      <c r="AG4351" t="s">
        <v>20428</v>
      </c>
      <c r="AH4351">
        <v>-0.62</v>
      </c>
      <c r="AI4351">
        <v>-0.62</v>
      </c>
      <c r="AJ4351">
        <v>1.52</v>
      </c>
      <c r="AK4351">
        <v>3.78</v>
      </c>
      <c r="AL4351">
        <v>1</v>
      </c>
      <c r="AM4351">
        <v>0.27</v>
      </c>
      <c r="AN4351">
        <v>-29.06</v>
      </c>
      <c r="AO4351">
        <v>3.44</v>
      </c>
      <c r="AP4351">
        <v>-29.73</v>
      </c>
    </row>
    <row r="4352" spans="1:42">
      <c r="A4352">
        <v>4351</v>
      </c>
      <c r="B4352" t="str">
        <f>"600929"</f>
        <v>600929</v>
      </c>
      <c r="C4352" t="s">
        <v>20429</v>
      </c>
      <c r="D4352">
        <v>6.38</v>
      </c>
      <c r="E4352">
        <v>0.16</v>
      </c>
      <c r="F4352">
        <v>0.01</v>
      </c>
      <c r="G4352" t="s">
        <v>5767</v>
      </c>
      <c r="H4352">
        <v>166</v>
      </c>
      <c r="I4352">
        <v>6.37</v>
      </c>
      <c r="J4352">
        <v>6.38</v>
      </c>
      <c r="K4352" t="s">
        <v>20030</v>
      </c>
      <c r="L4352">
        <v>0.39</v>
      </c>
      <c r="M4352" t="s">
        <v>46</v>
      </c>
      <c r="N4352" t="s">
        <v>20430</v>
      </c>
      <c r="O4352">
        <v>6.39</v>
      </c>
      <c r="P4352">
        <v>6.33</v>
      </c>
      <c r="Q4352">
        <v>6.36</v>
      </c>
      <c r="R4352">
        <v>6.37</v>
      </c>
      <c r="S4352">
        <v>0.94</v>
      </c>
      <c r="T4352">
        <v>0.8</v>
      </c>
      <c r="U4352">
        <v>3.25</v>
      </c>
      <c r="V4352">
        <v>125</v>
      </c>
      <c r="W4352">
        <v>6.36</v>
      </c>
      <c r="X4352" t="s">
        <v>4976</v>
      </c>
      <c r="Y4352" t="s">
        <v>2716</v>
      </c>
      <c r="Z4352">
        <v>0.94</v>
      </c>
      <c r="AA4352">
        <v>292</v>
      </c>
      <c r="AB4352">
        <v>27</v>
      </c>
      <c r="AC4352">
        <v>1.42</v>
      </c>
      <c r="AD4352" t="s">
        <v>14073</v>
      </c>
      <c r="AE4352" t="s">
        <v>8568</v>
      </c>
      <c r="AF4352" t="s">
        <v>908</v>
      </c>
      <c r="AG4352" t="s">
        <v>20431</v>
      </c>
      <c r="AH4352">
        <v>-1.69</v>
      </c>
      <c r="AI4352">
        <v>-1.39</v>
      </c>
      <c r="AJ4352">
        <v>1.2</v>
      </c>
      <c r="AK4352">
        <v>2.82</v>
      </c>
      <c r="AL4352">
        <v>1</v>
      </c>
      <c r="AM4352">
        <v>0.16</v>
      </c>
      <c r="AN4352">
        <v>-17.78</v>
      </c>
      <c r="AO4352">
        <v>-1.09</v>
      </c>
      <c r="AP4352">
        <v>-24.5</v>
      </c>
    </row>
    <row r="4353" spans="1:42">
      <c r="A4353">
        <v>4352</v>
      </c>
      <c r="B4353" t="str">
        <f>"002297"</f>
        <v>002297</v>
      </c>
      <c r="C4353" t="s">
        <v>20432</v>
      </c>
      <c r="D4353">
        <v>7.9</v>
      </c>
      <c r="E4353">
        <v>0</v>
      </c>
      <c r="F4353">
        <v>0</v>
      </c>
      <c r="G4353" t="s">
        <v>1687</v>
      </c>
      <c r="H4353">
        <v>465</v>
      </c>
      <c r="I4353">
        <v>7.9</v>
      </c>
      <c r="J4353">
        <v>7.91</v>
      </c>
      <c r="K4353" t="s">
        <v>20433</v>
      </c>
      <c r="L4353">
        <v>0.58</v>
      </c>
      <c r="M4353" t="s">
        <v>46</v>
      </c>
      <c r="N4353" t="s">
        <v>8167</v>
      </c>
      <c r="O4353">
        <v>7.95</v>
      </c>
      <c r="P4353">
        <v>7.85</v>
      </c>
      <c r="Q4353">
        <v>7.89</v>
      </c>
      <c r="R4353">
        <v>7.9</v>
      </c>
      <c r="S4353">
        <v>1.27</v>
      </c>
      <c r="T4353">
        <v>0.67</v>
      </c>
      <c r="U4353">
        <v>-14.38</v>
      </c>
      <c r="V4353">
        <v>-588</v>
      </c>
      <c r="W4353">
        <v>7.9</v>
      </c>
      <c r="X4353" t="s">
        <v>6656</v>
      </c>
      <c r="Y4353" t="s">
        <v>7487</v>
      </c>
      <c r="Z4353">
        <v>1.07</v>
      </c>
      <c r="AA4353">
        <v>7</v>
      </c>
      <c r="AB4353">
        <v>157</v>
      </c>
      <c r="AC4353">
        <v>2.15</v>
      </c>
      <c r="AD4353" t="s">
        <v>20434</v>
      </c>
      <c r="AE4353" t="s">
        <v>19982</v>
      </c>
      <c r="AF4353" t="s">
        <v>20434</v>
      </c>
      <c r="AG4353" t="s">
        <v>19982</v>
      </c>
      <c r="AH4353">
        <v>-0.88</v>
      </c>
      <c r="AI4353">
        <v>-0.5</v>
      </c>
      <c r="AJ4353">
        <v>2.23</v>
      </c>
      <c r="AK4353">
        <v>4.94</v>
      </c>
      <c r="AL4353">
        <v>0</v>
      </c>
      <c r="AM4353">
        <v>0</v>
      </c>
      <c r="AN4353">
        <v>9.72</v>
      </c>
      <c r="AO4353">
        <v>2.33</v>
      </c>
      <c r="AP4353">
        <v>3.27</v>
      </c>
    </row>
    <row r="4354" spans="1:42">
      <c r="A4354">
        <v>4353</v>
      </c>
      <c r="B4354" t="str">
        <f>"300198"</f>
        <v>300198</v>
      </c>
      <c r="C4354" t="s">
        <v>20435</v>
      </c>
      <c r="D4354">
        <v>2.82</v>
      </c>
      <c r="E4354">
        <v>-0.35</v>
      </c>
      <c r="F4354">
        <v>-0.01</v>
      </c>
      <c r="G4354" t="s">
        <v>4441</v>
      </c>
      <c r="H4354">
        <v>1059</v>
      </c>
      <c r="I4354">
        <v>2.82</v>
      </c>
      <c r="J4354">
        <v>2.83</v>
      </c>
      <c r="K4354" t="s">
        <v>20436</v>
      </c>
      <c r="L4354">
        <v>1.03</v>
      </c>
      <c r="M4354" t="s">
        <v>46</v>
      </c>
      <c r="N4354" t="s">
        <v>4812</v>
      </c>
      <c r="O4354">
        <v>2.84</v>
      </c>
      <c r="P4354">
        <v>2.8</v>
      </c>
      <c r="Q4354">
        <v>2.84</v>
      </c>
      <c r="R4354">
        <v>2.83</v>
      </c>
      <c r="S4354">
        <v>1.41</v>
      </c>
      <c r="T4354">
        <v>0.77</v>
      </c>
      <c r="U4354">
        <v>15.68</v>
      </c>
      <c r="V4354">
        <v>4228</v>
      </c>
      <c r="W4354">
        <v>2.82</v>
      </c>
      <c r="X4354" t="s">
        <v>6604</v>
      </c>
      <c r="Y4354" t="s">
        <v>8156</v>
      </c>
      <c r="Z4354">
        <v>1.48</v>
      </c>
      <c r="AA4354">
        <v>1783</v>
      </c>
      <c r="AB4354">
        <v>1405</v>
      </c>
      <c r="AC4354">
        <v>2.89</v>
      </c>
      <c r="AD4354" t="s">
        <v>1061</v>
      </c>
      <c r="AE4354" t="s">
        <v>10703</v>
      </c>
      <c r="AF4354" t="s">
        <v>20437</v>
      </c>
      <c r="AG4354" t="s">
        <v>20438</v>
      </c>
      <c r="AH4354">
        <v>-0.7</v>
      </c>
      <c r="AI4354">
        <v>-1.4</v>
      </c>
      <c r="AJ4354">
        <v>3.9</v>
      </c>
      <c r="AK4354">
        <v>7.75</v>
      </c>
      <c r="AL4354">
        <v>-1</v>
      </c>
      <c r="AM4354">
        <v>-0.35</v>
      </c>
      <c r="AN4354">
        <v>4.44</v>
      </c>
      <c r="AO4354">
        <v>4.06</v>
      </c>
      <c r="AP4354">
        <v>-6.93</v>
      </c>
    </row>
    <row r="4355" spans="1:42">
      <c r="A4355">
        <v>4354</v>
      </c>
      <c r="B4355" t="str">
        <f>"600530"</f>
        <v>600530</v>
      </c>
      <c r="C4355" t="s">
        <v>20439</v>
      </c>
      <c r="D4355">
        <v>2.6</v>
      </c>
      <c r="E4355">
        <v>0.78</v>
      </c>
      <c r="F4355">
        <v>0.02</v>
      </c>
      <c r="G4355" t="s">
        <v>1499</v>
      </c>
      <c r="H4355">
        <v>1034</v>
      </c>
      <c r="I4355">
        <v>2.59</v>
      </c>
      <c r="J4355">
        <v>2.6</v>
      </c>
      <c r="K4355" t="s">
        <v>20440</v>
      </c>
      <c r="L4355">
        <v>1.32</v>
      </c>
      <c r="M4355" t="s">
        <v>46</v>
      </c>
      <c r="N4355" t="s">
        <v>5751</v>
      </c>
      <c r="O4355">
        <v>2.61</v>
      </c>
      <c r="P4355">
        <v>2.55</v>
      </c>
      <c r="Q4355">
        <v>2.57</v>
      </c>
      <c r="R4355">
        <v>2.58</v>
      </c>
      <c r="S4355">
        <v>2.33</v>
      </c>
      <c r="T4355">
        <v>1.56</v>
      </c>
      <c r="U4355">
        <v>-11.87</v>
      </c>
      <c r="V4355">
        <v>-1555</v>
      </c>
      <c r="W4355">
        <v>2.58</v>
      </c>
      <c r="X4355" t="s">
        <v>1038</v>
      </c>
      <c r="Y4355" t="s">
        <v>4168</v>
      </c>
      <c r="Z4355">
        <v>1.19</v>
      </c>
      <c r="AA4355">
        <v>1038</v>
      </c>
      <c r="AB4355">
        <v>2062</v>
      </c>
      <c r="AC4355">
        <v>6.73</v>
      </c>
      <c r="AD4355" t="s">
        <v>16080</v>
      </c>
      <c r="AE4355" t="s">
        <v>4240</v>
      </c>
      <c r="AF4355" t="s">
        <v>16080</v>
      </c>
      <c r="AG4355" t="s">
        <v>4240</v>
      </c>
      <c r="AH4355">
        <v>4.42</v>
      </c>
      <c r="AI4355">
        <v>3.17</v>
      </c>
      <c r="AJ4355">
        <v>3.82</v>
      </c>
      <c r="AK4355">
        <v>5.53</v>
      </c>
      <c r="AL4355">
        <v>3</v>
      </c>
      <c r="AM4355">
        <v>0.78</v>
      </c>
      <c r="AN4355">
        <v>-31.58</v>
      </c>
      <c r="AO4355">
        <v>16.07</v>
      </c>
      <c r="AP4355">
        <v>-36.89</v>
      </c>
    </row>
    <row r="4356" spans="1:42">
      <c r="A4356">
        <v>4355</v>
      </c>
      <c r="B4356" t="str">
        <f>"603132"</f>
        <v>603132</v>
      </c>
      <c r="C4356" t="s">
        <v>20441</v>
      </c>
      <c r="D4356">
        <v>12.83</v>
      </c>
      <c r="E4356">
        <v>-0.85</v>
      </c>
      <c r="F4356">
        <v>-0.11</v>
      </c>
      <c r="G4356" t="s">
        <v>3372</v>
      </c>
      <c r="H4356">
        <v>109</v>
      </c>
      <c r="I4356">
        <v>12.83</v>
      </c>
      <c r="J4356">
        <v>12.84</v>
      </c>
      <c r="K4356" t="s">
        <v>20442</v>
      </c>
      <c r="L4356">
        <v>1.29</v>
      </c>
      <c r="M4356" t="s">
        <v>46</v>
      </c>
      <c r="N4356" t="s">
        <v>1575</v>
      </c>
      <c r="O4356">
        <v>12.99</v>
      </c>
      <c r="P4356">
        <v>12.76</v>
      </c>
      <c r="Q4356">
        <v>12.9</v>
      </c>
      <c r="R4356">
        <v>12.94</v>
      </c>
      <c r="S4356">
        <v>1.78</v>
      </c>
      <c r="T4356">
        <v>0.79</v>
      </c>
      <c r="U4356">
        <v>17.95</v>
      </c>
      <c r="V4356">
        <v>193</v>
      </c>
      <c r="W4356">
        <v>12.84</v>
      </c>
      <c r="X4356" t="s">
        <v>2284</v>
      </c>
      <c r="Y4356">
        <v>8965</v>
      </c>
      <c r="Z4356">
        <v>1.29</v>
      </c>
      <c r="AA4356">
        <v>30</v>
      </c>
      <c r="AB4356">
        <v>41</v>
      </c>
      <c r="AC4356">
        <v>4.07</v>
      </c>
      <c r="AD4356" t="s">
        <v>20443</v>
      </c>
      <c r="AE4356" t="s">
        <v>7927</v>
      </c>
      <c r="AF4356" t="s">
        <v>20444</v>
      </c>
      <c r="AG4356" t="s">
        <v>20445</v>
      </c>
      <c r="AH4356">
        <v>-1</v>
      </c>
      <c r="AI4356">
        <v>-0.16</v>
      </c>
      <c r="AJ4356">
        <v>5.67</v>
      </c>
      <c r="AK4356">
        <v>9.39</v>
      </c>
      <c r="AL4356">
        <v>-2</v>
      </c>
      <c r="AM4356">
        <v>-0.85</v>
      </c>
      <c r="AN4356">
        <v>9.94</v>
      </c>
      <c r="AO4356">
        <v>-0.23</v>
      </c>
      <c r="AP4356">
        <v>6.21</v>
      </c>
    </row>
    <row r="4357" spans="1:42">
      <c r="A4357">
        <v>4356</v>
      </c>
      <c r="B4357" t="str">
        <f>"002552"</f>
        <v>002552</v>
      </c>
      <c r="C4357" t="s">
        <v>20446</v>
      </c>
      <c r="D4357">
        <v>15.29</v>
      </c>
      <c r="E4357">
        <v>1.8</v>
      </c>
      <c r="F4357">
        <v>0.27</v>
      </c>
      <c r="G4357" t="s">
        <v>876</v>
      </c>
      <c r="H4357">
        <v>149</v>
      </c>
      <c r="I4357">
        <v>15.28</v>
      </c>
      <c r="J4357">
        <v>15.29</v>
      </c>
      <c r="K4357" t="s">
        <v>20447</v>
      </c>
      <c r="L4357">
        <v>0.55</v>
      </c>
      <c r="M4357" t="s">
        <v>46</v>
      </c>
      <c r="N4357" t="s">
        <v>8839</v>
      </c>
      <c r="O4357">
        <v>15.35</v>
      </c>
      <c r="P4357">
        <v>14.9</v>
      </c>
      <c r="Q4357">
        <v>15.02</v>
      </c>
      <c r="R4357">
        <v>15.02</v>
      </c>
      <c r="S4357">
        <v>3</v>
      </c>
      <c r="T4357">
        <v>0.9</v>
      </c>
      <c r="U4357">
        <v>-46.63</v>
      </c>
      <c r="V4357">
        <v>-664</v>
      </c>
      <c r="W4357">
        <v>15.15</v>
      </c>
      <c r="X4357">
        <v>6393</v>
      </c>
      <c r="Y4357" t="s">
        <v>4443</v>
      </c>
      <c r="Z4357">
        <v>0.58</v>
      </c>
      <c r="AA4357">
        <v>42</v>
      </c>
      <c r="AB4357">
        <v>164</v>
      </c>
      <c r="AC4357">
        <v>3.18</v>
      </c>
      <c r="AD4357" t="s">
        <v>7080</v>
      </c>
      <c r="AE4357" t="s">
        <v>6345</v>
      </c>
      <c r="AF4357" t="s">
        <v>20448</v>
      </c>
      <c r="AG4357" t="s">
        <v>20449</v>
      </c>
      <c r="AH4357">
        <v>-0.13</v>
      </c>
      <c r="AI4357">
        <v>0.13</v>
      </c>
      <c r="AJ4357">
        <v>1.61</v>
      </c>
      <c r="AK4357">
        <v>3.61</v>
      </c>
      <c r="AL4357">
        <v>1</v>
      </c>
      <c r="AM4357">
        <v>1.8</v>
      </c>
      <c r="AN4357">
        <v>1.39</v>
      </c>
      <c r="AO4357">
        <v>-0.78</v>
      </c>
      <c r="AP4357">
        <v>-4.97</v>
      </c>
    </row>
    <row r="4358" spans="1:42">
      <c r="A4358">
        <v>4357</v>
      </c>
      <c r="B4358" t="str">
        <f>"688198"</f>
        <v>688198</v>
      </c>
      <c r="C4358" t="s">
        <v>20450</v>
      </c>
      <c r="D4358">
        <v>138.66</v>
      </c>
      <c r="E4358">
        <v>-0.91</v>
      </c>
      <c r="F4358">
        <v>-1.27</v>
      </c>
      <c r="G4358">
        <v>1893</v>
      </c>
      <c r="H4358">
        <v>23</v>
      </c>
      <c r="I4358">
        <v>138.66</v>
      </c>
      <c r="J4358">
        <v>138.89</v>
      </c>
      <c r="K4358" t="s">
        <v>20451</v>
      </c>
      <c r="L4358">
        <v>0.14</v>
      </c>
      <c r="M4358" t="s">
        <v>46</v>
      </c>
      <c r="N4358" t="s">
        <v>5632</v>
      </c>
      <c r="O4358">
        <v>140.99</v>
      </c>
      <c r="P4358">
        <v>137.6</v>
      </c>
      <c r="Q4358">
        <v>139.09</v>
      </c>
      <c r="R4358">
        <v>139.93</v>
      </c>
      <c r="S4358">
        <v>2.42</v>
      </c>
      <c r="T4358">
        <v>0.89</v>
      </c>
      <c r="U4358">
        <v>27.37</v>
      </c>
      <c r="V4358">
        <v>18</v>
      </c>
      <c r="W4358">
        <v>138.87</v>
      </c>
      <c r="X4358">
        <v>1106</v>
      </c>
      <c r="Y4358">
        <v>787</v>
      </c>
      <c r="Z4358">
        <v>1.4</v>
      </c>
      <c r="AA4358">
        <v>11</v>
      </c>
      <c r="AB4358">
        <v>2</v>
      </c>
      <c r="AC4358">
        <v>16.38</v>
      </c>
      <c r="AD4358" t="s">
        <v>11656</v>
      </c>
      <c r="AE4358" t="s">
        <v>20452</v>
      </c>
      <c r="AF4358" t="s">
        <v>11656</v>
      </c>
      <c r="AG4358" t="s">
        <v>20452</v>
      </c>
      <c r="AH4358">
        <v>-3.19</v>
      </c>
      <c r="AI4358">
        <v>-1.03</v>
      </c>
      <c r="AJ4358">
        <v>0.47</v>
      </c>
      <c r="AK4358">
        <v>0.92</v>
      </c>
      <c r="AL4358">
        <v>-3</v>
      </c>
      <c r="AM4358">
        <v>-0.91</v>
      </c>
      <c r="AN4358">
        <v>7.91</v>
      </c>
      <c r="AO4358">
        <v>3.83</v>
      </c>
      <c r="AP4358">
        <v>2.14</v>
      </c>
    </row>
    <row r="4359" spans="1:42">
      <c r="A4359">
        <v>4358</v>
      </c>
      <c r="B4359" t="str">
        <f>"300721"</f>
        <v>300721</v>
      </c>
      <c r="C4359" t="s">
        <v>20453</v>
      </c>
      <c r="D4359">
        <v>15.59</v>
      </c>
      <c r="E4359">
        <v>0.06</v>
      </c>
      <c r="F4359">
        <v>0.01</v>
      </c>
      <c r="G4359" t="s">
        <v>1110</v>
      </c>
      <c r="H4359">
        <v>101</v>
      </c>
      <c r="I4359">
        <v>15.58</v>
      </c>
      <c r="J4359">
        <v>15.59</v>
      </c>
      <c r="K4359" t="s">
        <v>20179</v>
      </c>
      <c r="L4359">
        <v>1.23</v>
      </c>
      <c r="M4359" t="s">
        <v>46</v>
      </c>
      <c r="N4359" t="s">
        <v>2113</v>
      </c>
      <c r="O4359">
        <v>15.89</v>
      </c>
      <c r="P4359">
        <v>15.42</v>
      </c>
      <c r="Q4359">
        <v>15.89</v>
      </c>
      <c r="R4359">
        <v>15.58</v>
      </c>
      <c r="S4359">
        <v>3.02</v>
      </c>
      <c r="T4359">
        <v>0.88</v>
      </c>
      <c r="U4359">
        <v>-23.37</v>
      </c>
      <c r="V4359">
        <v>-111</v>
      </c>
      <c r="W4359">
        <v>15.57</v>
      </c>
      <c r="X4359">
        <v>8730</v>
      </c>
      <c r="Y4359">
        <v>8125</v>
      </c>
      <c r="Z4359">
        <v>1.07</v>
      </c>
      <c r="AA4359">
        <v>36</v>
      </c>
      <c r="AB4359">
        <v>4</v>
      </c>
      <c r="AC4359">
        <v>2.1</v>
      </c>
      <c r="AD4359" t="s">
        <v>18662</v>
      </c>
      <c r="AE4359" t="s">
        <v>4875</v>
      </c>
      <c r="AF4359" t="s">
        <v>18261</v>
      </c>
      <c r="AG4359" t="s">
        <v>6409</v>
      </c>
      <c r="AH4359">
        <v>-2.5</v>
      </c>
      <c r="AI4359">
        <v>-3.65</v>
      </c>
      <c r="AJ4359">
        <v>3.9</v>
      </c>
      <c r="AK4359">
        <v>8.21</v>
      </c>
      <c r="AL4359">
        <v>1</v>
      </c>
      <c r="AM4359">
        <v>0.06</v>
      </c>
      <c r="AN4359">
        <v>-30.03</v>
      </c>
      <c r="AO4359">
        <v>-0.64</v>
      </c>
      <c r="AP4359">
        <v>-38.53</v>
      </c>
    </row>
    <row r="4360" spans="1:42">
      <c r="A4360">
        <v>4359</v>
      </c>
      <c r="B4360" t="str">
        <f>"600854"</f>
        <v>600854</v>
      </c>
      <c r="C4360" t="s">
        <v>20454</v>
      </c>
      <c r="D4360">
        <v>5.28</v>
      </c>
      <c r="E4360">
        <v>0</v>
      </c>
      <c r="F4360">
        <v>0</v>
      </c>
      <c r="G4360" t="s">
        <v>743</v>
      </c>
      <c r="H4360">
        <v>231</v>
      </c>
      <c r="I4360">
        <v>5.27</v>
      </c>
      <c r="J4360">
        <v>5.28</v>
      </c>
      <c r="K4360" t="s">
        <v>20455</v>
      </c>
      <c r="L4360">
        <v>0.96</v>
      </c>
      <c r="M4360" t="s">
        <v>46</v>
      </c>
      <c r="N4360" t="s">
        <v>8567</v>
      </c>
      <c r="O4360">
        <v>5.32</v>
      </c>
      <c r="P4360">
        <v>5.24</v>
      </c>
      <c r="Q4360">
        <v>5.27</v>
      </c>
      <c r="R4360">
        <v>5.28</v>
      </c>
      <c r="S4360">
        <v>1.52</v>
      </c>
      <c r="T4360">
        <v>1.02</v>
      </c>
      <c r="U4360">
        <v>-37.01</v>
      </c>
      <c r="V4360">
        <v>-2650</v>
      </c>
      <c r="W4360">
        <v>5.29</v>
      </c>
      <c r="X4360" t="s">
        <v>5592</v>
      </c>
      <c r="Y4360" t="s">
        <v>6768</v>
      </c>
      <c r="Z4360">
        <v>0.74</v>
      </c>
      <c r="AA4360">
        <v>130</v>
      </c>
      <c r="AB4360">
        <v>231</v>
      </c>
      <c r="AC4360">
        <v>1.18</v>
      </c>
      <c r="AD4360" t="s">
        <v>20456</v>
      </c>
      <c r="AE4360" t="s">
        <v>9506</v>
      </c>
      <c r="AF4360" t="s">
        <v>20456</v>
      </c>
      <c r="AG4360" t="s">
        <v>9506</v>
      </c>
      <c r="AH4360">
        <v>0.38</v>
      </c>
      <c r="AI4360">
        <v>0</v>
      </c>
      <c r="AJ4360">
        <v>2.66</v>
      </c>
      <c r="AK4360">
        <v>5.66</v>
      </c>
      <c r="AL4360">
        <v>0</v>
      </c>
      <c r="AM4360">
        <v>0</v>
      </c>
      <c r="AN4360">
        <v>19.19</v>
      </c>
      <c r="AO4360">
        <v>5.6</v>
      </c>
      <c r="AP4360">
        <v>14.78</v>
      </c>
    </row>
    <row r="4361" spans="1:42">
      <c r="A4361">
        <v>4360</v>
      </c>
      <c r="B4361" t="str">
        <f>"600861"</f>
        <v>600861</v>
      </c>
      <c r="C4361" t="s">
        <v>20457</v>
      </c>
      <c r="D4361">
        <v>21.07</v>
      </c>
      <c r="E4361">
        <v>-0.24</v>
      </c>
      <c r="F4361">
        <v>-0.05</v>
      </c>
      <c r="G4361" t="s">
        <v>2547</v>
      </c>
      <c r="H4361">
        <v>39</v>
      </c>
      <c r="I4361">
        <v>21.04</v>
      </c>
      <c r="J4361">
        <v>21.07</v>
      </c>
      <c r="K4361" t="s">
        <v>20458</v>
      </c>
      <c r="L4361">
        <v>0.39</v>
      </c>
      <c r="M4361" t="s">
        <v>46</v>
      </c>
      <c r="N4361" t="s">
        <v>20459</v>
      </c>
      <c r="O4361">
        <v>21.23</v>
      </c>
      <c r="P4361">
        <v>20.79</v>
      </c>
      <c r="Q4361">
        <v>21.23</v>
      </c>
      <c r="R4361">
        <v>21.12</v>
      </c>
      <c r="S4361">
        <v>2.08</v>
      </c>
      <c r="T4361">
        <v>0.95</v>
      </c>
      <c r="U4361">
        <v>19.8</v>
      </c>
      <c r="V4361">
        <v>39</v>
      </c>
      <c r="W4361">
        <v>20.96</v>
      </c>
      <c r="X4361">
        <v>6636</v>
      </c>
      <c r="Y4361">
        <v>5872</v>
      </c>
      <c r="Z4361">
        <v>1.13</v>
      </c>
      <c r="AA4361">
        <v>24</v>
      </c>
      <c r="AB4361">
        <v>3</v>
      </c>
      <c r="AC4361">
        <v>2</v>
      </c>
      <c r="AD4361" t="s">
        <v>12125</v>
      </c>
      <c r="AE4361" t="s">
        <v>1824</v>
      </c>
      <c r="AF4361" t="s">
        <v>20460</v>
      </c>
      <c r="AG4361" t="s">
        <v>20461</v>
      </c>
      <c r="AH4361">
        <v>-1.95</v>
      </c>
      <c r="AI4361">
        <v>-3.26</v>
      </c>
      <c r="AJ4361">
        <v>1.33</v>
      </c>
      <c r="AK4361">
        <v>2.47</v>
      </c>
      <c r="AL4361">
        <v>-1</v>
      </c>
      <c r="AM4361">
        <v>-0.24</v>
      </c>
      <c r="AN4361">
        <v>-4.1</v>
      </c>
      <c r="AO4361">
        <v>-4.27</v>
      </c>
      <c r="AP4361">
        <v>3.95</v>
      </c>
    </row>
    <row r="4362" spans="1:42">
      <c r="A4362">
        <v>4361</v>
      </c>
      <c r="B4362" t="str">
        <f>"603095"</f>
        <v>603095</v>
      </c>
      <c r="C4362" t="s">
        <v>20462</v>
      </c>
      <c r="D4362">
        <v>16.64</v>
      </c>
      <c r="E4362">
        <v>-2.63</v>
      </c>
      <c r="F4362">
        <v>-0.45</v>
      </c>
      <c r="G4362" t="s">
        <v>5951</v>
      </c>
      <c r="H4362">
        <v>270</v>
      </c>
      <c r="I4362">
        <v>16.63</v>
      </c>
      <c r="J4362">
        <v>16.64</v>
      </c>
      <c r="K4362" t="s">
        <v>20463</v>
      </c>
      <c r="L4362">
        <v>0.84</v>
      </c>
      <c r="M4362" t="s">
        <v>46</v>
      </c>
      <c r="N4362" t="s">
        <v>10171</v>
      </c>
      <c r="O4362">
        <v>17.1</v>
      </c>
      <c r="P4362">
        <v>16.63</v>
      </c>
      <c r="Q4362">
        <v>17.08</v>
      </c>
      <c r="R4362">
        <v>17.09</v>
      </c>
      <c r="S4362">
        <v>2.75</v>
      </c>
      <c r="T4362">
        <v>0.86</v>
      </c>
      <c r="U4362">
        <v>25.82</v>
      </c>
      <c r="V4362">
        <v>137</v>
      </c>
      <c r="W4362">
        <v>16.87</v>
      </c>
      <c r="X4362">
        <v>9507</v>
      </c>
      <c r="Y4362">
        <v>6021</v>
      </c>
      <c r="Z4362">
        <v>1.58</v>
      </c>
      <c r="AA4362">
        <v>216</v>
      </c>
      <c r="AB4362">
        <v>145</v>
      </c>
      <c r="AC4362">
        <v>1.22</v>
      </c>
      <c r="AD4362" t="s">
        <v>20464</v>
      </c>
      <c r="AE4362" t="s">
        <v>17833</v>
      </c>
      <c r="AF4362" t="s">
        <v>20464</v>
      </c>
      <c r="AG4362" t="s">
        <v>17833</v>
      </c>
      <c r="AH4362">
        <v>-1.71</v>
      </c>
      <c r="AI4362">
        <v>-2.58</v>
      </c>
      <c r="AJ4362">
        <v>3.64</v>
      </c>
      <c r="AK4362">
        <v>5.75</v>
      </c>
      <c r="AL4362">
        <v>-1</v>
      </c>
      <c r="AM4362">
        <v>-2.63</v>
      </c>
      <c r="AN4362">
        <v>9.69</v>
      </c>
      <c r="AO4362">
        <v>-2.23</v>
      </c>
      <c r="AP4362">
        <v>-2.4</v>
      </c>
    </row>
    <row r="4363" spans="1:42">
      <c r="A4363">
        <v>4362</v>
      </c>
      <c r="B4363" t="str">
        <f>"603079"</f>
        <v>603079</v>
      </c>
      <c r="C4363" t="s">
        <v>20465</v>
      </c>
      <c r="D4363">
        <v>14.09</v>
      </c>
      <c r="E4363">
        <v>-1.4</v>
      </c>
      <c r="F4363">
        <v>-0.2</v>
      </c>
      <c r="G4363" t="s">
        <v>128</v>
      </c>
      <c r="H4363">
        <v>297</v>
      </c>
      <c r="I4363">
        <v>14.08</v>
      </c>
      <c r="J4363">
        <v>14.09</v>
      </c>
      <c r="K4363" t="s">
        <v>20466</v>
      </c>
      <c r="L4363">
        <v>1.08</v>
      </c>
      <c r="M4363" t="s">
        <v>46</v>
      </c>
      <c r="N4363" t="s">
        <v>2585</v>
      </c>
      <c r="O4363">
        <v>14.47</v>
      </c>
      <c r="P4363">
        <v>14.02</v>
      </c>
      <c r="Q4363">
        <v>14.32</v>
      </c>
      <c r="R4363">
        <v>14.29</v>
      </c>
      <c r="S4363">
        <v>3.15</v>
      </c>
      <c r="T4363">
        <v>1.14</v>
      </c>
      <c r="U4363">
        <v>60.36</v>
      </c>
      <c r="V4363">
        <v>530</v>
      </c>
      <c r="W4363">
        <v>14.19</v>
      </c>
      <c r="X4363" t="s">
        <v>2074</v>
      </c>
      <c r="Y4363">
        <v>8405</v>
      </c>
      <c r="Z4363">
        <v>1.2</v>
      </c>
      <c r="AA4363">
        <v>26</v>
      </c>
      <c r="AB4363">
        <v>11</v>
      </c>
      <c r="AC4363">
        <v>1.84</v>
      </c>
      <c r="AD4363" t="s">
        <v>11547</v>
      </c>
      <c r="AE4363" t="s">
        <v>7839</v>
      </c>
      <c r="AF4363" t="s">
        <v>11547</v>
      </c>
      <c r="AG4363" t="s">
        <v>7839</v>
      </c>
      <c r="AH4363">
        <v>-1.95</v>
      </c>
      <c r="AI4363">
        <v>-1.67</v>
      </c>
      <c r="AJ4363">
        <v>2.74</v>
      </c>
      <c r="AK4363">
        <v>5.8</v>
      </c>
      <c r="AL4363">
        <v>-1</v>
      </c>
      <c r="AM4363">
        <v>-1.4</v>
      </c>
      <c r="AN4363">
        <v>12.81</v>
      </c>
      <c r="AO4363">
        <v>2.32</v>
      </c>
      <c r="AP4363">
        <v>3.3</v>
      </c>
    </row>
    <row r="4364" spans="1:42">
      <c r="A4364">
        <v>4363</v>
      </c>
      <c r="B4364" t="str">
        <f>"300492"</f>
        <v>300492</v>
      </c>
      <c r="C4364" t="s">
        <v>20467</v>
      </c>
      <c r="D4364">
        <v>61.66</v>
      </c>
      <c r="E4364">
        <v>-0.48</v>
      </c>
      <c r="F4364">
        <v>-0.3</v>
      </c>
      <c r="G4364">
        <v>4275</v>
      </c>
      <c r="H4364">
        <v>15</v>
      </c>
      <c r="I4364">
        <v>61.66</v>
      </c>
      <c r="J4364">
        <v>61.8</v>
      </c>
      <c r="K4364" t="s">
        <v>20466</v>
      </c>
      <c r="L4364">
        <v>0.3</v>
      </c>
      <c r="M4364" t="s">
        <v>46</v>
      </c>
      <c r="N4364" t="s">
        <v>20468</v>
      </c>
      <c r="O4364">
        <v>62.48</v>
      </c>
      <c r="P4364">
        <v>60.43</v>
      </c>
      <c r="Q4364">
        <v>62.48</v>
      </c>
      <c r="R4364">
        <v>61.96</v>
      </c>
      <c r="S4364">
        <v>3.31</v>
      </c>
      <c r="T4364">
        <v>1.26</v>
      </c>
      <c r="U4364">
        <v>34.45</v>
      </c>
      <c r="V4364">
        <v>41</v>
      </c>
      <c r="W4364">
        <v>61.26</v>
      </c>
      <c r="X4364">
        <v>2138</v>
      </c>
      <c r="Y4364">
        <v>2137</v>
      </c>
      <c r="Z4364">
        <v>1</v>
      </c>
      <c r="AA4364">
        <v>22</v>
      </c>
      <c r="AB4364">
        <v>16</v>
      </c>
      <c r="AC4364">
        <v>29.08</v>
      </c>
      <c r="AD4364" t="s">
        <v>19115</v>
      </c>
      <c r="AE4364" t="s">
        <v>15182</v>
      </c>
      <c r="AF4364" t="s">
        <v>19115</v>
      </c>
      <c r="AG4364" t="s">
        <v>15182</v>
      </c>
      <c r="AH4364">
        <v>3.77</v>
      </c>
      <c r="AI4364">
        <v>2.46</v>
      </c>
      <c r="AJ4364">
        <v>0.99</v>
      </c>
      <c r="AK4364">
        <v>1.51</v>
      </c>
      <c r="AL4364">
        <v>-1</v>
      </c>
      <c r="AM4364">
        <v>-0.48</v>
      </c>
      <c r="AN4364">
        <v>73.64</v>
      </c>
      <c r="AO4364">
        <v>3.98</v>
      </c>
      <c r="AP4364">
        <v>71.9</v>
      </c>
    </row>
    <row r="4365" spans="1:42">
      <c r="A4365">
        <v>4364</v>
      </c>
      <c r="B4365" t="str">
        <f>"300689"</f>
        <v>300689</v>
      </c>
      <c r="C4365" t="s">
        <v>20469</v>
      </c>
      <c r="D4365">
        <v>20.92</v>
      </c>
      <c r="E4365">
        <v>0.43</v>
      </c>
      <c r="F4365">
        <v>0.09</v>
      </c>
      <c r="G4365" t="s">
        <v>682</v>
      </c>
      <c r="H4365">
        <v>278</v>
      </c>
      <c r="I4365">
        <v>20.92</v>
      </c>
      <c r="J4365">
        <v>20.93</v>
      </c>
      <c r="K4365" t="s">
        <v>20466</v>
      </c>
      <c r="L4365">
        <v>1.26</v>
      </c>
      <c r="M4365" t="s">
        <v>46</v>
      </c>
      <c r="N4365" t="s">
        <v>4723</v>
      </c>
      <c r="O4365">
        <v>20.99</v>
      </c>
      <c r="P4365">
        <v>20.61</v>
      </c>
      <c r="Q4365">
        <v>20.84</v>
      </c>
      <c r="R4365">
        <v>20.83</v>
      </c>
      <c r="S4365">
        <v>1.82</v>
      </c>
      <c r="T4365">
        <v>0.93</v>
      </c>
      <c r="U4365">
        <v>-47.56</v>
      </c>
      <c r="V4365">
        <v>-156</v>
      </c>
      <c r="W4365">
        <v>20.83</v>
      </c>
      <c r="X4365">
        <v>6502</v>
      </c>
      <c r="Y4365">
        <v>6069</v>
      </c>
      <c r="Z4365">
        <v>1.07</v>
      </c>
      <c r="AA4365">
        <v>20</v>
      </c>
      <c r="AB4365">
        <v>139</v>
      </c>
      <c r="AC4365">
        <v>3.54</v>
      </c>
      <c r="AD4365" t="s">
        <v>6305</v>
      </c>
      <c r="AE4365" t="s">
        <v>5550</v>
      </c>
      <c r="AF4365" t="s">
        <v>20470</v>
      </c>
      <c r="AG4365" t="s">
        <v>20471</v>
      </c>
      <c r="AH4365">
        <v>0.34</v>
      </c>
      <c r="AI4365">
        <v>-0.1</v>
      </c>
      <c r="AJ4365">
        <v>4.04</v>
      </c>
      <c r="AK4365">
        <v>8.03</v>
      </c>
      <c r="AL4365">
        <v>1</v>
      </c>
      <c r="AM4365">
        <v>0.43</v>
      </c>
      <c r="AN4365">
        <v>28.66</v>
      </c>
      <c r="AO4365">
        <v>3.46</v>
      </c>
      <c r="AP4365">
        <v>12.17</v>
      </c>
    </row>
    <row r="4366" spans="1:42">
      <c r="A4366">
        <v>4365</v>
      </c>
      <c r="B4366" t="str">
        <f>"300095"</f>
        <v>300095</v>
      </c>
      <c r="C4366" t="s">
        <v>20472</v>
      </c>
      <c r="D4366">
        <v>8.51</v>
      </c>
      <c r="E4366">
        <v>0.12</v>
      </c>
      <c r="F4366">
        <v>0.01</v>
      </c>
      <c r="G4366" t="s">
        <v>6657</v>
      </c>
      <c r="H4366">
        <v>193</v>
      </c>
      <c r="I4366">
        <v>8.5</v>
      </c>
      <c r="J4366">
        <v>8.51</v>
      </c>
      <c r="K4366" t="s">
        <v>20473</v>
      </c>
      <c r="L4366">
        <v>0.92</v>
      </c>
      <c r="M4366" t="s">
        <v>46</v>
      </c>
      <c r="N4366" t="s">
        <v>1223</v>
      </c>
      <c r="O4366">
        <v>8.55</v>
      </c>
      <c r="P4366">
        <v>8.4</v>
      </c>
      <c r="Q4366">
        <v>8.52</v>
      </c>
      <c r="R4366">
        <v>8.5</v>
      </c>
      <c r="S4366">
        <v>1.76</v>
      </c>
      <c r="T4366">
        <v>0.72</v>
      </c>
      <c r="U4366">
        <v>3.61</v>
      </c>
      <c r="V4366">
        <v>77</v>
      </c>
      <c r="W4366">
        <v>8.47</v>
      </c>
      <c r="X4366" t="s">
        <v>2575</v>
      </c>
      <c r="Y4366" t="s">
        <v>1777</v>
      </c>
      <c r="Z4366">
        <v>1.31</v>
      </c>
      <c r="AA4366">
        <v>134</v>
      </c>
      <c r="AB4366">
        <v>41</v>
      </c>
      <c r="AC4366">
        <v>1.69</v>
      </c>
      <c r="AD4366" t="s">
        <v>8555</v>
      </c>
      <c r="AE4366" t="s">
        <v>20474</v>
      </c>
      <c r="AF4366" t="s">
        <v>11561</v>
      </c>
      <c r="AG4366" t="s">
        <v>20475</v>
      </c>
      <c r="AH4366">
        <v>-1.5</v>
      </c>
      <c r="AI4366">
        <v>-2.18</v>
      </c>
      <c r="AJ4366">
        <v>3.16</v>
      </c>
      <c r="AK4366">
        <v>7.33</v>
      </c>
      <c r="AL4366">
        <v>1</v>
      </c>
      <c r="AM4366">
        <v>0.12</v>
      </c>
      <c r="AN4366">
        <v>-4.49</v>
      </c>
      <c r="AO4366">
        <v>2.16</v>
      </c>
      <c r="AP4366">
        <v>-13.16</v>
      </c>
    </row>
    <row r="4367" spans="1:42">
      <c r="A4367">
        <v>4366</v>
      </c>
      <c r="B4367" t="str">
        <f>"300640"</f>
        <v>300640</v>
      </c>
      <c r="C4367" t="s">
        <v>20476</v>
      </c>
      <c r="D4367">
        <v>6.49</v>
      </c>
      <c r="E4367">
        <v>0.78</v>
      </c>
      <c r="F4367">
        <v>0.05</v>
      </c>
      <c r="G4367" t="s">
        <v>3227</v>
      </c>
      <c r="H4367">
        <v>88</v>
      </c>
      <c r="I4367">
        <v>6.48</v>
      </c>
      <c r="J4367">
        <v>6.49</v>
      </c>
      <c r="K4367" t="s">
        <v>20473</v>
      </c>
      <c r="L4367">
        <v>1.84</v>
      </c>
      <c r="M4367" t="s">
        <v>46</v>
      </c>
      <c r="N4367" t="s">
        <v>4609</v>
      </c>
      <c r="O4367">
        <v>6.51</v>
      </c>
      <c r="P4367">
        <v>6.42</v>
      </c>
      <c r="Q4367">
        <v>6.46</v>
      </c>
      <c r="R4367">
        <v>6.44</v>
      </c>
      <c r="S4367">
        <v>1.4</v>
      </c>
      <c r="T4367">
        <v>0.9</v>
      </c>
      <c r="U4367">
        <v>-20.95</v>
      </c>
      <c r="V4367">
        <v>-765</v>
      </c>
      <c r="W4367">
        <v>6.48</v>
      </c>
      <c r="X4367" t="s">
        <v>5585</v>
      </c>
      <c r="Y4367" t="s">
        <v>156</v>
      </c>
      <c r="Z4367">
        <v>0.93</v>
      </c>
      <c r="AA4367">
        <v>94</v>
      </c>
      <c r="AB4367">
        <v>220</v>
      </c>
      <c r="AC4367">
        <v>2.49</v>
      </c>
      <c r="AD4367" t="s">
        <v>20477</v>
      </c>
      <c r="AE4367" t="s">
        <v>20478</v>
      </c>
      <c r="AF4367" t="s">
        <v>11717</v>
      </c>
      <c r="AG4367" t="s">
        <v>17165</v>
      </c>
      <c r="AH4367">
        <v>0</v>
      </c>
      <c r="AI4367">
        <v>-0.46</v>
      </c>
      <c r="AJ4367">
        <v>5.62</v>
      </c>
      <c r="AK4367">
        <v>12.02</v>
      </c>
      <c r="AL4367">
        <v>1</v>
      </c>
      <c r="AM4367">
        <v>0.78</v>
      </c>
      <c r="AN4367">
        <v>18.43</v>
      </c>
      <c r="AO4367">
        <v>5.7</v>
      </c>
      <c r="AP4367">
        <v>-0.61</v>
      </c>
    </row>
    <row r="4368" spans="1:42">
      <c r="A4368">
        <v>4367</v>
      </c>
      <c r="B4368" t="str">
        <f>"300040"</f>
        <v>300040</v>
      </c>
      <c r="C4368" t="s">
        <v>20479</v>
      </c>
      <c r="D4368">
        <v>5.67</v>
      </c>
      <c r="E4368">
        <v>-0.7</v>
      </c>
      <c r="F4368">
        <v>-0.04</v>
      </c>
      <c r="G4368" t="s">
        <v>4559</v>
      </c>
      <c r="H4368">
        <v>703</v>
      </c>
      <c r="I4368">
        <v>5.66</v>
      </c>
      <c r="J4368">
        <v>5.67</v>
      </c>
      <c r="K4368" t="s">
        <v>4736</v>
      </c>
      <c r="L4368">
        <v>1</v>
      </c>
      <c r="M4368" t="s">
        <v>46</v>
      </c>
      <c r="N4368" t="s">
        <v>1668</v>
      </c>
      <c r="O4368">
        <v>5.71</v>
      </c>
      <c r="P4368">
        <v>5.63</v>
      </c>
      <c r="Q4368">
        <v>5.71</v>
      </c>
      <c r="R4368">
        <v>5.71</v>
      </c>
      <c r="S4368">
        <v>1.4</v>
      </c>
      <c r="T4368">
        <v>0.91</v>
      </c>
      <c r="U4368">
        <v>4.66</v>
      </c>
      <c r="V4368">
        <v>242</v>
      </c>
      <c r="W4368">
        <v>5.66</v>
      </c>
      <c r="X4368" t="s">
        <v>4257</v>
      </c>
      <c r="Y4368" t="s">
        <v>8073</v>
      </c>
      <c r="Z4368">
        <v>1.24</v>
      </c>
      <c r="AA4368">
        <v>627</v>
      </c>
      <c r="AB4368">
        <v>471</v>
      </c>
      <c r="AC4368">
        <v>1.19</v>
      </c>
      <c r="AD4368" t="s">
        <v>10044</v>
      </c>
      <c r="AE4368" t="s">
        <v>20480</v>
      </c>
      <c r="AF4368" t="s">
        <v>9044</v>
      </c>
      <c r="AG4368" t="s">
        <v>5883</v>
      </c>
      <c r="AH4368">
        <v>-1.73</v>
      </c>
      <c r="AI4368">
        <v>-1.39</v>
      </c>
      <c r="AJ4368">
        <v>3</v>
      </c>
      <c r="AK4368">
        <v>6.5</v>
      </c>
      <c r="AL4368">
        <v>-3</v>
      </c>
      <c r="AM4368">
        <v>-0.7</v>
      </c>
      <c r="AN4368">
        <v>-1.56</v>
      </c>
      <c r="AO4368">
        <v>1.07</v>
      </c>
      <c r="AP4368">
        <v>-10.71</v>
      </c>
    </row>
    <row r="4369" spans="1:42">
      <c r="A4369">
        <v>4368</v>
      </c>
      <c r="B4369" t="str">
        <f>"003036"</f>
        <v>003036</v>
      </c>
      <c r="C4369" t="s">
        <v>20481</v>
      </c>
      <c r="D4369">
        <v>12.93</v>
      </c>
      <c r="E4369">
        <v>-0.54</v>
      </c>
      <c r="F4369">
        <v>-0.07</v>
      </c>
      <c r="G4369" t="s">
        <v>2976</v>
      </c>
      <c r="H4369">
        <v>85</v>
      </c>
      <c r="I4369">
        <v>12.93</v>
      </c>
      <c r="J4369">
        <v>12.94</v>
      </c>
      <c r="K4369" t="s">
        <v>20482</v>
      </c>
      <c r="L4369">
        <v>3.56</v>
      </c>
      <c r="M4369" t="s">
        <v>46</v>
      </c>
      <c r="N4369" t="s">
        <v>3553</v>
      </c>
      <c r="O4369">
        <v>13.02</v>
      </c>
      <c r="P4369">
        <v>12.81</v>
      </c>
      <c r="Q4369">
        <v>13.02</v>
      </c>
      <c r="R4369">
        <v>13</v>
      </c>
      <c r="S4369">
        <v>1.62</v>
      </c>
      <c r="T4369">
        <v>1.18</v>
      </c>
      <c r="U4369">
        <v>20</v>
      </c>
      <c r="V4369">
        <v>154</v>
      </c>
      <c r="W4369">
        <v>12.92</v>
      </c>
      <c r="X4369" t="s">
        <v>4443</v>
      </c>
      <c r="Y4369">
        <v>9192</v>
      </c>
      <c r="Z4369">
        <v>1.2</v>
      </c>
      <c r="AA4369">
        <v>61</v>
      </c>
      <c r="AB4369">
        <v>16</v>
      </c>
      <c r="AC4369">
        <v>2.07</v>
      </c>
      <c r="AD4369" t="s">
        <v>6609</v>
      </c>
      <c r="AE4369" t="s">
        <v>13308</v>
      </c>
      <c r="AF4369" t="s">
        <v>20483</v>
      </c>
      <c r="AG4369" t="s">
        <v>20484</v>
      </c>
      <c r="AH4369">
        <v>-1.37</v>
      </c>
      <c r="AI4369">
        <v>-0.61</v>
      </c>
      <c r="AJ4369">
        <v>8.73</v>
      </c>
      <c r="AK4369">
        <v>18.73</v>
      </c>
      <c r="AL4369">
        <v>-3</v>
      </c>
      <c r="AM4369">
        <v>-0.54</v>
      </c>
      <c r="AN4369">
        <v>11.08</v>
      </c>
      <c r="AO4369">
        <v>0.94</v>
      </c>
      <c r="AP4369">
        <v>-0.54</v>
      </c>
    </row>
    <row r="4370" spans="1:42">
      <c r="A4370">
        <v>4369</v>
      </c>
      <c r="B4370" t="str">
        <f>"300424"</f>
        <v>300424</v>
      </c>
      <c r="C4370" t="s">
        <v>20485</v>
      </c>
      <c r="D4370">
        <v>13.82</v>
      </c>
      <c r="E4370">
        <v>0.44</v>
      </c>
      <c r="F4370">
        <v>0.06</v>
      </c>
      <c r="G4370" t="s">
        <v>2694</v>
      </c>
      <c r="H4370">
        <v>127</v>
      </c>
      <c r="I4370">
        <v>13.82</v>
      </c>
      <c r="J4370">
        <v>13.83</v>
      </c>
      <c r="K4370" t="s">
        <v>20486</v>
      </c>
      <c r="L4370">
        <v>0.79</v>
      </c>
      <c r="M4370" t="s">
        <v>46</v>
      </c>
      <c r="N4370" t="s">
        <v>3001</v>
      </c>
      <c r="O4370">
        <v>13.87</v>
      </c>
      <c r="P4370">
        <v>13.65</v>
      </c>
      <c r="Q4370">
        <v>13.77</v>
      </c>
      <c r="R4370">
        <v>13.76</v>
      </c>
      <c r="S4370">
        <v>1.6</v>
      </c>
      <c r="T4370">
        <v>0.68</v>
      </c>
      <c r="U4370">
        <v>0.88</v>
      </c>
      <c r="V4370">
        <v>7</v>
      </c>
      <c r="W4370">
        <v>13.77</v>
      </c>
      <c r="X4370" t="s">
        <v>2074</v>
      </c>
      <c r="Y4370">
        <v>8838</v>
      </c>
      <c r="Z4370">
        <v>1.15</v>
      </c>
      <c r="AA4370">
        <v>227</v>
      </c>
      <c r="AB4370">
        <v>88</v>
      </c>
      <c r="AC4370">
        <v>4.63</v>
      </c>
      <c r="AD4370" t="s">
        <v>4231</v>
      </c>
      <c r="AE4370" t="s">
        <v>15625</v>
      </c>
      <c r="AF4370" t="s">
        <v>19925</v>
      </c>
      <c r="AG4370" t="s">
        <v>16665</v>
      </c>
      <c r="AH4370">
        <v>-0.5</v>
      </c>
      <c r="AI4370">
        <v>-1.5</v>
      </c>
      <c r="AJ4370">
        <v>3.11</v>
      </c>
      <c r="AK4370">
        <v>6.67</v>
      </c>
      <c r="AL4370">
        <v>1</v>
      </c>
      <c r="AM4370">
        <v>0.44</v>
      </c>
      <c r="AN4370">
        <v>17.22</v>
      </c>
      <c r="AO4370">
        <v>3.44</v>
      </c>
      <c r="AP4370">
        <v>10.12</v>
      </c>
    </row>
    <row r="4371" spans="1:42">
      <c r="A4371">
        <v>4370</v>
      </c>
      <c r="B4371" t="str">
        <f>"600538"</f>
        <v>600538</v>
      </c>
      <c r="C4371" t="s">
        <v>20487</v>
      </c>
      <c r="D4371">
        <v>4.62</v>
      </c>
      <c r="E4371">
        <v>0.43</v>
      </c>
      <c r="F4371">
        <v>0.02</v>
      </c>
      <c r="G4371" t="s">
        <v>5289</v>
      </c>
      <c r="H4371">
        <v>400</v>
      </c>
      <c r="I4371">
        <v>4.62</v>
      </c>
      <c r="J4371">
        <v>4.63</v>
      </c>
      <c r="K4371" t="s">
        <v>20486</v>
      </c>
      <c r="L4371">
        <v>1.08</v>
      </c>
      <c r="M4371" t="s">
        <v>46</v>
      </c>
      <c r="N4371" t="s">
        <v>1288</v>
      </c>
      <c r="O4371">
        <v>4.67</v>
      </c>
      <c r="P4371">
        <v>4.58</v>
      </c>
      <c r="Q4371">
        <v>4.58</v>
      </c>
      <c r="R4371">
        <v>4.6</v>
      </c>
      <c r="S4371">
        <v>1.96</v>
      </c>
      <c r="T4371">
        <v>0.78</v>
      </c>
      <c r="U4371">
        <v>-56.48</v>
      </c>
      <c r="V4371">
        <v>-5920</v>
      </c>
      <c r="W4371">
        <v>4.62</v>
      </c>
      <c r="X4371" t="s">
        <v>5444</v>
      </c>
      <c r="Y4371" t="s">
        <v>7389</v>
      </c>
      <c r="Z4371">
        <v>0.91</v>
      </c>
      <c r="AA4371">
        <v>166</v>
      </c>
      <c r="AB4371">
        <v>1226</v>
      </c>
      <c r="AC4371">
        <v>2.59</v>
      </c>
      <c r="AD4371" t="s">
        <v>20488</v>
      </c>
      <c r="AE4371" t="s">
        <v>20489</v>
      </c>
      <c r="AF4371" t="s">
        <v>20488</v>
      </c>
      <c r="AG4371" t="s">
        <v>20489</v>
      </c>
      <c r="AH4371">
        <v>-0.86</v>
      </c>
      <c r="AI4371">
        <v>-0.65</v>
      </c>
      <c r="AJ4371">
        <v>3.41</v>
      </c>
      <c r="AK4371">
        <v>7.99</v>
      </c>
      <c r="AL4371">
        <v>1</v>
      </c>
      <c r="AM4371">
        <v>0.43</v>
      </c>
      <c r="AN4371">
        <v>2.21</v>
      </c>
      <c r="AO4371">
        <v>4.05</v>
      </c>
      <c r="AP4371">
        <v>-7.41</v>
      </c>
    </row>
    <row r="4372" spans="1:42">
      <c r="A4372">
        <v>4371</v>
      </c>
      <c r="B4372" t="str">
        <f>"300916"</f>
        <v>300916</v>
      </c>
      <c r="C4372" t="s">
        <v>20490</v>
      </c>
      <c r="D4372">
        <v>25.13</v>
      </c>
      <c r="E4372">
        <v>-1.02</v>
      </c>
      <c r="F4372">
        <v>-0.26</v>
      </c>
      <c r="G4372" t="s">
        <v>239</v>
      </c>
      <c r="H4372">
        <v>179</v>
      </c>
      <c r="I4372">
        <v>25.13</v>
      </c>
      <c r="J4372">
        <v>25.15</v>
      </c>
      <c r="K4372" t="s">
        <v>20486</v>
      </c>
      <c r="L4372">
        <v>2.47</v>
      </c>
      <c r="M4372" t="s">
        <v>46</v>
      </c>
      <c r="N4372" t="s">
        <v>20491</v>
      </c>
      <c r="O4372">
        <v>25.51</v>
      </c>
      <c r="P4372">
        <v>24.91</v>
      </c>
      <c r="Q4372">
        <v>25.51</v>
      </c>
      <c r="R4372">
        <v>25.39</v>
      </c>
      <c r="S4372">
        <v>2.36</v>
      </c>
      <c r="T4372">
        <v>0.94</v>
      </c>
      <c r="U4372">
        <v>34.04</v>
      </c>
      <c r="V4372">
        <v>98</v>
      </c>
      <c r="W4372">
        <v>25.12</v>
      </c>
      <c r="X4372">
        <v>5713</v>
      </c>
      <c r="Y4372">
        <v>4681</v>
      </c>
      <c r="Z4372">
        <v>1.22</v>
      </c>
      <c r="AA4372">
        <v>4</v>
      </c>
      <c r="AB4372">
        <v>30</v>
      </c>
      <c r="AC4372">
        <v>3.11</v>
      </c>
      <c r="AD4372" t="s">
        <v>20492</v>
      </c>
      <c r="AE4372" t="s">
        <v>13480</v>
      </c>
      <c r="AF4372" t="s">
        <v>17421</v>
      </c>
      <c r="AG4372" t="s">
        <v>8346</v>
      </c>
      <c r="AH4372">
        <v>-3.49</v>
      </c>
      <c r="AI4372">
        <v>-4.08</v>
      </c>
      <c r="AJ4372">
        <v>7.69</v>
      </c>
      <c r="AK4372">
        <v>15.58</v>
      </c>
      <c r="AL4372">
        <v>-3</v>
      </c>
      <c r="AM4372">
        <v>-1.02</v>
      </c>
      <c r="AN4372">
        <v>-11.3</v>
      </c>
      <c r="AO4372">
        <v>-1.3</v>
      </c>
      <c r="AP4372">
        <v>-25.94</v>
      </c>
    </row>
    <row r="4373" spans="1:42">
      <c r="A4373">
        <v>4372</v>
      </c>
      <c r="B4373" t="str">
        <f>"300067"</f>
        <v>300067</v>
      </c>
      <c r="C4373" t="s">
        <v>20493</v>
      </c>
      <c r="D4373">
        <v>3.17</v>
      </c>
      <c r="E4373">
        <v>0.63</v>
      </c>
      <c r="F4373">
        <v>0.02</v>
      </c>
      <c r="G4373" t="s">
        <v>3884</v>
      </c>
      <c r="H4373">
        <v>826</v>
      </c>
      <c r="I4373">
        <v>3.16</v>
      </c>
      <c r="J4373">
        <v>3.17</v>
      </c>
      <c r="K4373" t="s">
        <v>20494</v>
      </c>
      <c r="L4373">
        <v>1.06</v>
      </c>
      <c r="M4373" t="s">
        <v>46</v>
      </c>
      <c r="N4373" t="s">
        <v>2290</v>
      </c>
      <c r="O4373">
        <v>3.2</v>
      </c>
      <c r="P4373">
        <v>3.13</v>
      </c>
      <c r="Q4373">
        <v>3.14</v>
      </c>
      <c r="R4373">
        <v>3.15</v>
      </c>
      <c r="S4373">
        <v>2.22</v>
      </c>
      <c r="T4373">
        <v>0.67</v>
      </c>
      <c r="U4373">
        <v>-24.52</v>
      </c>
      <c r="V4373">
        <v>-2427</v>
      </c>
      <c r="W4373">
        <v>3.17</v>
      </c>
      <c r="X4373" t="s">
        <v>1566</v>
      </c>
      <c r="Y4373" t="s">
        <v>1165</v>
      </c>
      <c r="Z4373">
        <v>0.86</v>
      </c>
      <c r="AA4373">
        <v>122</v>
      </c>
      <c r="AB4373">
        <v>370</v>
      </c>
      <c r="AC4373">
        <v>1.43</v>
      </c>
      <c r="AD4373" t="s">
        <v>1039</v>
      </c>
      <c r="AE4373" t="s">
        <v>2199</v>
      </c>
      <c r="AF4373" t="s">
        <v>20495</v>
      </c>
      <c r="AG4373" t="s">
        <v>20496</v>
      </c>
      <c r="AH4373">
        <v>-1.86</v>
      </c>
      <c r="AI4373">
        <v>-1.86</v>
      </c>
      <c r="AJ4373">
        <v>3.87</v>
      </c>
      <c r="AK4373">
        <v>8.98</v>
      </c>
      <c r="AL4373">
        <v>1</v>
      </c>
      <c r="AM4373">
        <v>0.63</v>
      </c>
      <c r="AN4373">
        <v>5.32</v>
      </c>
      <c r="AO4373">
        <v>3.93</v>
      </c>
      <c r="AP4373">
        <v>-1.55</v>
      </c>
    </row>
    <row r="4374" spans="1:42">
      <c r="A4374">
        <v>4373</v>
      </c>
      <c r="B4374" t="str">
        <f>"300854"</f>
        <v>300854</v>
      </c>
      <c r="C4374" t="s">
        <v>20497</v>
      </c>
      <c r="D4374">
        <v>17.69</v>
      </c>
      <c r="E4374">
        <v>-0.56</v>
      </c>
      <c r="F4374">
        <v>-0.1</v>
      </c>
      <c r="G4374" t="s">
        <v>3130</v>
      </c>
      <c r="H4374">
        <v>116</v>
      </c>
      <c r="I4374">
        <v>17.69</v>
      </c>
      <c r="J4374">
        <v>17.7</v>
      </c>
      <c r="K4374" t="s">
        <v>9732</v>
      </c>
      <c r="L4374">
        <v>3.2</v>
      </c>
      <c r="M4374" t="s">
        <v>46</v>
      </c>
      <c r="N4374" t="s">
        <v>15491</v>
      </c>
      <c r="O4374">
        <v>17.96</v>
      </c>
      <c r="P4374">
        <v>17.62</v>
      </c>
      <c r="Q4374">
        <v>17.81</v>
      </c>
      <c r="R4374">
        <v>17.79</v>
      </c>
      <c r="S4374">
        <v>1.91</v>
      </c>
      <c r="T4374">
        <v>0.76</v>
      </c>
      <c r="U4374">
        <v>-64.77</v>
      </c>
      <c r="V4374">
        <v>-166</v>
      </c>
      <c r="W4374">
        <v>17.76</v>
      </c>
      <c r="X4374">
        <v>7999</v>
      </c>
      <c r="Y4374">
        <v>6682</v>
      </c>
      <c r="Z4374">
        <v>1.2</v>
      </c>
      <c r="AA4374">
        <v>21</v>
      </c>
      <c r="AB4374">
        <v>21</v>
      </c>
      <c r="AC4374">
        <v>1.84</v>
      </c>
      <c r="AD4374" t="s">
        <v>4611</v>
      </c>
      <c r="AE4374" t="s">
        <v>8947</v>
      </c>
      <c r="AF4374" t="s">
        <v>20498</v>
      </c>
      <c r="AG4374" t="s">
        <v>9603</v>
      </c>
      <c r="AH4374">
        <v>-1.5</v>
      </c>
      <c r="AI4374">
        <v>-2.53</v>
      </c>
      <c r="AJ4374">
        <v>9.99</v>
      </c>
      <c r="AK4374">
        <v>24.13</v>
      </c>
      <c r="AL4374">
        <v>-1</v>
      </c>
      <c r="AM4374">
        <v>-0.56</v>
      </c>
      <c r="AN4374">
        <v>16.15</v>
      </c>
      <c r="AO4374">
        <v>0.86</v>
      </c>
      <c r="AP4374">
        <v>2.25</v>
      </c>
    </row>
    <row r="4375" spans="1:42">
      <c r="A4375">
        <v>4374</v>
      </c>
      <c r="B4375" t="str">
        <f>"301320"</f>
        <v>301320</v>
      </c>
      <c r="C4375" t="s">
        <v>20499</v>
      </c>
      <c r="D4375">
        <v>18.96</v>
      </c>
      <c r="E4375">
        <v>-0.11</v>
      </c>
      <c r="F4375">
        <v>-0.02</v>
      </c>
      <c r="G4375" t="s">
        <v>4525</v>
      </c>
      <c r="H4375">
        <v>306</v>
      </c>
      <c r="I4375">
        <v>18.95</v>
      </c>
      <c r="J4375">
        <v>18.96</v>
      </c>
      <c r="K4375" t="s">
        <v>20500</v>
      </c>
      <c r="L4375">
        <v>3.21</v>
      </c>
      <c r="M4375" t="s">
        <v>46</v>
      </c>
      <c r="N4375" t="s">
        <v>2635</v>
      </c>
      <c r="O4375">
        <v>19.15</v>
      </c>
      <c r="P4375">
        <v>18.7</v>
      </c>
      <c r="Q4375">
        <v>19.15</v>
      </c>
      <c r="R4375">
        <v>18.98</v>
      </c>
      <c r="S4375">
        <v>2.37</v>
      </c>
      <c r="T4375">
        <v>0.87</v>
      </c>
      <c r="U4375">
        <v>-12.16</v>
      </c>
      <c r="V4375">
        <v>-36</v>
      </c>
      <c r="W4375">
        <v>18.88</v>
      </c>
      <c r="X4375">
        <v>6987</v>
      </c>
      <c r="Y4375">
        <v>6817</v>
      </c>
      <c r="Z4375">
        <v>1.02</v>
      </c>
      <c r="AA4375">
        <v>20</v>
      </c>
      <c r="AB4375">
        <v>23</v>
      </c>
      <c r="AC4375">
        <v>3.34</v>
      </c>
      <c r="AD4375" t="s">
        <v>19247</v>
      </c>
      <c r="AE4375" t="s">
        <v>20501</v>
      </c>
      <c r="AF4375" t="s">
        <v>17230</v>
      </c>
      <c r="AG4375" t="s">
        <v>10232</v>
      </c>
      <c r="AH4375">
        <v>-2.17</v>
      </c>
      <c r="AI4375">
        <v>-3.66</v>
      </c>
      <c r="AJ4375">
        <v>9.66</v>
      </c>
      <c r="AK4375">
        <v>21.59</v>
      </c>
      <c r="AL4375">
        <v>-3</v>
      </c>
      <c r="AM4375">
        <v>-0.11</v>
      </c>
      <c r="AN4375">
        <v>47.43</v>
      </c>
      <c r="AO4375">
        <v>-0.99</v>
      </c>
      <c r="AP4375">
        <v>47.43</v>
      </c>
    </row>
    <row r="4376" spans="1:42">
      <c r="A4376">
        <v>4375</v>
      </c>
      <c r="B4376" t="str">
        <f>"002596"</f>
        <v>002596</v>
      </c>
      <c r="C4376" t="s">
        <v>20502</v>
      </c>
      <c r="D4376">
        <v>2.84</v>
      </c>
      <c r="E4376">
        <v>1.07</v>
      </c>
      <c r="F4376">
        <v>0.03</v>
      </c>
      <c r="G4376" t="s">
        <v>6175</v>
      </c>
      <c r="H4376">
        <v>1572</v>
      </c>
      <c r="I4376">
        <v>2.83</v>
      </c>
      <c r="J4376">
        <v>2.84</v>
      </c>
      <c r="K4376" t="s">
        <v>20503</v>
      </c>
      <c r="L4376">
        <v>0.87</v>
      </c>
      <c r="M4376" t="s">
        <v>46</v>
      </c>
      <c r="N4376" t="s">
        <v>1190</v>
      </c>
      <c r="O4376">
        <v>2.85</v>
      </c>
      <c r="P4376">
        <v>2.79</v>
      </c>
      <c r="Q4376">
        <v>2.82</v>
      </c>
      <c r="R4376">
        <v>2.81</v>
      </c>
      <c r="S4376">
        <v>2.14</v>
      </c>
      <c r="T4376">
        <v>0.8</v>
      </c>
      <c r="U4376">
        <v>-10.91</v>
      </c>
      <c r="V4376">
        <v>-3164</v>
      </c>
      <c r="W4376">
        <v>2.83</v>
      </c>
      <c r="X4376" t="s">
        <v>3033</v>
      </c>
      <c r="Y4376" t="s">
        <v>8310</v>
      </c>
      <c r="Z4376">
        <v>0.49</v>
      </c>
      <c r="AA4376">
        <v>2540</v>
      </c>
      <c r="AB4376">
        <v>2167</v>
      </c>
      <c r="AC4376">
        <v>2.33</v>
      </c>
      <c r="AD4376" t="s">
        <v>14914</v>
      </c>
      <c r="AE4376" t="s">
        <v>12704</v>
      </c>
      <c r="AF4376" t="s">
        <v>910</v>
      </c>
      <c r="AG4376" t="s">
        <v>12895</v>
      </c>
      <c r="AH4376">
        <v>-0.35</v>
      </c>
      <c r="AI4376">
        <v>-2.07</v>
      </c>
      <c r="AJ4376">
        <v>2.59</v>
      </c>
      <c r="AK4376">
        <v>6.33</v>
      </c>
      <c r="AL4376">
        <v>1</v>
      </c>
      <c r="AM4376">
        <v>1.07</v>
      </c>
      <c r="AN4376">
        <v>-16.47</v>
      </c>
      <c r="AO4376">
        <v>-0.35</v>
      </c>
      <c r="AP4376">
        <v>-6.27</v>
      </c>
    </row>
    <row r="4377" spans="1:42">
      <c r="A4377">
        <v>4376</v>
      </c>
      <c r="B4377" t="str">
        <f>"600283"</f>
        <v>600283</v>
      </c>
      <c r="C4377" t="s">
        <v>20504</v>
      </c>
      <c r="D4377">
        <v>13.13</v>
      </c>
      <c r="E4377">
        <v>0.54</v>
      </c>
      <c r="F4377">
        <v>0.07</v>
      </c>
      <c r="G4377" t="s">
        <v>1590</v>
      </c>
      <c r="H4377">
        <v>151</v>
      </c>
      <c r="I4377">
        <v>13.12</v>
      </c>
      <c r="J4377">
        <v>13.13</v>
      </c>
      <c r="K4377" t="s">
        <v>15521</v>
      </c>
      <c r="L4377">
        <v>0.56</v>
      </c>
      <c r="M4377" t="s">
        <v>46</v>
      </c>
      <c r="N4377" t="s">
        <v>2591</v>
      </c>
      <c r="O4377">
        <v>13.15</v>
      </c>
      <c r="P4377">
        <v>13.02</v>
      </c>
      <c r="Q4377">
        <v>13.07</v>
      </c>
      <c r="R4377">
        <v>13.06</v>
      </c>
      <c r="S4377">
        <v>1</v>
      </c>
      <c r="T4377">
        <v>0.68</v>
      </c>
      <c r="U4377">
        <v>-31.66</v>
      </c>
      <c r="V4377">
        <v>-769</v>
      </c>
      <c r="W4377">
        <v>13.11</v>
      </c>
      <c r="X4377">
        <v>7697</v>
      </c>
      <c r="Y4377" t="s">
        <v>1254</v>
      </c>
      <c r="Z4377">
        <v>0.63</v>
      </c>
      <c r="AA4377">
        <v>169</v>
      </c>
      <c r="AB4377">
        <v>733</v>
      </c>
      <c r="AC4377">
        <v>2.01</v>
      </c>
      <c r="AD4377" t="s">
        <v>20505</v>
      </c>
      <c r="AE4377" t="s">
        <v>20506</v>
      </c>
      <c r="AF4377" t="s">
        <v>20505</v>
      </c>
      <c r="AG4377" t="s">
        <v>20506</v>
      </c>
      <c r="AH4377">
        <v>-0.83</v>
      </c>
      <c r="AI4377">
        <v>-1.72</v>
      </c>
      <c r="AJ4377">
        <v>1.87</v>
      </c>
      <c r="AK4377">
        <v>4.73</v>
      </c>
      <c r="AL4377">
        <v>1</v>
      </c>
      <c r="AM4377">
        <v>0.54</v>
      </c>
      <c r="AN4377">
        <v>8.24</v>
      </c>
      <c r="AO4377">
        <v>-1.35</v>
      </c>
      <c r="AP4377">
        <v>3.79</v>
      </c>
    </row>
    <row r="4378" spans="1:42">
      <c r="A4378">
        <v>4377</v>
      </c>
      <c r="B4378" t="str">
        <f>"300918"</f>
        <v>300918</v>
      </c>
      <c r="C4378" t="s">
        <v>20507</v>
      </c>
      <c r="D4378">
        <v>10.75</v>
      </c>
      <c r="E4378">
        <v>0.84</v>
      </c>
      <c r="F4378">
        <v>0.09</v>
      </c>
      <c r="G4378" t="s">
        <v>4037</v>
      </c>
      <c r="H4378">
        <v>201</v>
      </c>
      <c r="I4378">
        <v>10.74</v>
      </c>
      <c r="J4378">
        <v>10.75</v>
      </c>
      <c r="K4378" t="s">
        <v>15521</v>
      </c>
      <c r="L4378">
        <v>2.23</v>
      </c>
      <c r="M4378" t="s">
        <v>46</v>
      </c>
      <c r="N4378" t="s">
        <v>1645</v>
      </c>
      <c r="O4378">
        <v>10.85</v>
      </c>
      <c r="P4378">
        <v>10.62</v>
      </c>
      <c r="Q4378">
        <v>10.62</v>
      </c>
      <c r="R4378">
        <v>10.66</v>
      </c>
      <c r="S4378">
        <v>2.16</v>
      </c>
      <c r="T4378">
        <v>0.96</v>
      </c>
      <c r="U4378">
        <v>37.87</v>
      </c>
      <c r="V4378">
        <v>384</v>
      </c>
      <c r="W4378">
        <v>10.76</v>
      </c>
      <c r="X4378" t="s">
        <v>189</v>
      </c>
      <c r="Y4378" t="s">
        <v>2547</v>
      </c>
      <c r="Z4378">
        <v>0.94</v>
      </c>
      <c r="AA4378">
        <v>43</v>
      </c>
      <c r="AB4378">
        <v>5</v>
      </c>
      <c r="AC4378">
        <v>2.07</v>
      </c>
      <c r="AD4378" t="s">
        <v>11740</v>
      </c>
      <c r="AE4378" t="s">
        <v>14301</v>
      </c>
      <c r="AF4378" t="s">
        <v>12950</v>
      </c>
      <c r="AG4378" t="s">
        <v>14074</v>
      </c>
      <c r="AH4378">
        <v>-1.1</v>
      </c>
      <c r="AI4378">
        <v>-2.98</v>
      </c>
      <c r="AJ4378">
        <v>6.51</v>
      </c>
      <c r="AK4378">
        <v>13.9</v>
      </c>
      <c r="AL4378">
        <v>1</v>
      </c>
      <c r="AM4378">
        <v>0.84</v>
      </c>
      <c r="AN4378">
        <v>6.23</v>
      </c>
      <c r="AO4378">
        <v>-5.04</v>
      </c>
      <c r="AP4378">
        <v>17.23</v>
      </c>
    </row>
    <row r="4379" spans="1:42">
      <c r="A4379">
        <v>4378</v>
      </c>
      <c r="B4379" t="str">
        <f>"603717"</f>
        <v>603717</v>
      </c>
      <c r="C4379" t="s">
        <v>20508</v>
      </c>
      <c r="D4379">
        <v>7.47</v>
      </c>
      <c r="E4379">
        <v>-0.13</v>
      </c>
      <c r="F4379">
        <v>-0.01</v>
      </c>
      <c r="G4379" t="s">
        <v>7177</v>
      </c>
      <c r="H4379">
        <v>1134</v>
      </c>
      <c r="I4379">
        <v>7.46</v>
      </c>
      <c r="J4379">
        <v>7.47</v>
      </c>
      <c r="K4379" t="s">
        <v>20509</v>
      </c>
      <c r="L4379">
        <v>1.2</v>
      </c>
      <c r="M4379" t="s">
        <v>46</v>
      </c>
      <c r="N4379" t="s">
        <v>2656</v>
      </c>
      <c r="O4379">
        <v>7.55</v>
      </c>
      <c r="P4379">
        <v>7.42</v>
      </c>
      <c r="Q4379">
        <v>7.52</v>
      </c>
      <c r="R4379">
        <v>7.48</v>
      </c>
      <c r="S4379">
        <v>1.74</v>
      </c>
      <c r="T4379">
        <v>0.53</v>
      </c>
      <c r="U4379">
        <v>-7.89</v>
      </c>
      <c r="V4379">
        <v>-240</v>
      </c>
      <c r="W4379">
        <v>7.45</v>
      </c>
      <c r="X4379" t="s">
        <v>3165</v>
      </c>
      <c r="Y4379" t="s">
        <v>1456</v>
      </c>
      <c r="Z4379">
        <v>1.03</v>
      </c>
      <c r="AA4379">
        <v>94</v>
      </c>
      <c r="AB4379">
        <v>183</v>
      </c>
      <c r="AC4379">
        <v>2.11</v>
      </c>
      <c r="AD4379" t="s">
        <v>20510</v>
      </c>
      <c r="AE4379" t="s">
        <v>17881</v>
      </c>
      <c r="AF4379" t="s">
        <v>20510</v>
      </c>
      <c r="AG4379" t="s">
        <v>17881</v>
      </c>
      <c r="AH4379">
        <v>-0.13</v>
      </c>
      <c r="AI4379">
        <v>-2.35</v>
      </c>
      <c r="AJ4379">
        <v>4.11</v>
      </c>
      <c r="AK4379">
        <v>12.56</v>
      </c>
      <c r="AL4379">
        <v>-1</v>
      </c>
      <c r="AM4379">
        <v>-0.13</v>
      </c>
      <c r="AN4379">
        <v>8.58</v>
      </c>
      <c r="AO4379">
        <v>8.73</v>
      </c>
      <c r="AP4379">
        <v>-1.45</v>
      </c>
    </row>
    <row r="4380" spans="1:42">
      <c r="A4380">
        <v>4379</v>
      </c>
      <c r="B4380" t="str">
        <f>"000731"</f>
        <v>000731</v>
      </c>
      <c r="C4380" t="s">
        <v>20511</v>
      </c>
      <c r="D4380">
        <v>7.31</v>
      </c>
      <c r="E4380">
        <v>0.14</v>
      </c>
      <c r="F4380">
        <v>0.01</v>
      </c>
      <c r="G4380" t="s">
        <v>4148</v>
      </c>
      <c r="H4380">
        <v>673</v>
      </c>
      <c r="I4380">
        <v>7.3</v>
      </c>
      <c r="J4380">
        <v>7.31</v>
      </c>
      <c r="K4380" t="s">
        <v>20512</v>
      </c>
      <c r="L4380">
        <v>0.62</v>
      </c>
      <c r="M4380" t="s">
        <v>46</v>
      </c>
      <c r="N4380" t="s">
        <v>4011</v>
      </c>
      <c r="O4380">
        <v>7.34</v>
      </c>
      <c r="P4380">
        <v>7.26</v>
      </c>
      <c r="Q4380">
        <v>7.29</v>
      </c>
      <c r="R4380">
        <v>7.3</v>
      </c>
      <c r="S4380">
        <v>1.1</v>
      </c>
      <c r="T4380">
        <v>0.84</v>
      </c>
      <c r="U4380">
        <v>-25.73</v>
      </c>
      <c r="V4380">
        <v>-1843</v>
      </c>
      <c r="W4380">
        <v>7.29</v>
      </c>
      <c r="X4380" t="s">
        <v>2397</v>
      </c>
      <c r="Y4380" t="s">
        <v>2723</v>
      </c>
      <c r="Z4380">
        <v>0.92</v>
      </c>
      <c r="AA4380">
        <v>336</v>
      </c>
      <c r="AB4380">
        <v>90</v>
      </c>
      <c r="AC4380">
        <v>1.02</v>
      </c>
      <c r="AD4380" t="s">
        <v>6784</v>
      </c>
      <c r="AE4380" t="s">
        <v>20513</v>
      </c>
      <c r="AF4380" t="s">
        <v>6784</v>
      </c>
      <c r="AG4380" t="s">
        <v>20513</v>
      </c>
      <c r="AH4380">
        <v>-1.48</v>
      </c>
      <c r="AI4380">
        <v>-1.62</v>
      </c>
      <c r="AJ4380">
        <v>2.25</v>
      </c>
      <c r="AK4380">
        <v>4.34</v>
      </c>
      <c r="AL4380">
        <v>1</v>
      </c>
      <c r="AM4380">
        <v>0.14</v>
      </c>
      <c r="AN4380">
        <v>-5.8</v>
      </c>
      <c r="AO4380">
        <v>-0.41</v>
      </c>
      <c r="AP4380">
        <v>-8.51</v>
      </c>
    </row>
    <row r="4381" spans="1:42">
      <c r="A4381">
        <v>4380</v>
      </c>
      <c r="B4381" t="str">
        <f>"002333"</f>
        <v>002333</v>
      </c>
      <c r="C4381" t="s">
        <v>20514</v>
      </c>
      <c r="D4381">
        <v>6.21</v>
      </c>
      <c r="E4381">
        <v>0.81</v>
      </c>
      <c r="F4381">
        <v>0.05</v>
      </c>
      <c r="G4381" t="s">
        <v>7877</v>
      </c>
      <c r="H4381">
        <v>341</v>
      </c>
      <c r="I4381">
        <v>6.21</v>
      </c>
      <c r="J4381">
        <v>6.22</v>
      </c>
      <c r="K4381" t="s">
        <v>20515</v>
      </c>
      <c r="L4381">
        <v>1.04</v>
      </c>
      <c r="M4381" t="s">
        <v>46</v>
      </c>
      <c r="N4381" t="s">
        <v>5105</v>
      </c>
      <c r="O4381">
        <v>6.23</v>
      </c>
      <c r="P4381">
        <v>6.13</v>
      </c>
      <c r="Q4381">
        <v>6.18</v>
      </c>
      <c r="R4381">
        <v>6.16</v>
      </c>
      <c r="S4381">
        <v>1.62</v>
      </c>
      <c r="T4381">
        <v>0.81</v>
      </c>
      <c r="U4381">
        <v>-48.01</v>
      </c>
      <c r="V4381">
        <v>-3562</v>
      </c>
      <c r="W4381">
        <v>6.2</v>
      </c>
      <c r="X4381" t="s">
        <v>325</v>
      </c>
      <c r="Y4381" t="s">
        <v>2818</v>
      </c>
      <c r="Z4381">
        <v>0.78</v>
      </c>
      <c r="AA4381">
        <v>134</v>
      </c>
      <c r="AB4381">
        <v>1149</v>
      </c>
      <c r="AC4381">
        <v>2.23</v>
      </c>
      <c r="AD4381" t="s">
        <v>1859</v>
      </c>
      <c r="AE4381" t="s">
        <v>20516</v>
      </c>
      <c r="AF4381" t="s">
        <v>20517</v>
      </c>
      <c r="AG4381" t="s">
        <v>20518</v>
      </c>
      <c r="AH4381">
        <v>-0.16</v>
      </c>
      <c r="AI4381">
        <v>-1.27</v>
      </c>
      <c r="AJ4381">
        <v>3.63</v>
      </c>
      <c r="AK4381">
        <v>7.48</v>
      </c>
      <c r="AL4381">
        <v>1</v>
      </c>
      <c r="AM4381">
        <v>0.81</v>
      </c>
      <c r="AN4381">
        <v>14.15</v>
      </c>
      <c r="AO4381">
        <v>3.33</v>
      </c>
      <c r="AP4381">
        <v>8.57</v>
      </c>
    </row>
    <row r="4382" spans="1:42">
      <c r="A4382">
        <v>4381</v>
      </c>
      <c r="B4382" t="str">
        <f>"837212"</f>
        <v>837212</v>
      </c>
      <c r="C4382" t="s">
        <v>20519</v>
      </c>
      <c r="D4382">
        <v>7.16</v>
      </c>
      <c r="E4382">
        <v>-7.73</v>
      </c>
      <c r="F4382">
        <v>-0.6</v>
      </c>
      <c r="G4382" t="s">
        <v>6025</v>
      </c>
      <c r="H4382">
        <v>447</v>
      </c>
      <c r="I4382">
        <v>7.15</v>
      </c>
      <c r="J4382">
        <v>7.16</v>
      </c>
      <c r="K4382" t="s">
        <v>20520</v>
      </c>
      <c r="L4382">
        <v>6.67</v>
      </c>
      <c r="M4382" t="s">
        <v>46</v>
      </c>
      <c r="N4382" t="s">
        <v>4887</v>
      </c>
      <c r="O4382">
        <v>7.99</v>
      </c>
      <c r="P4382">
        <v>7.1</v>
      </c>
      <c r="Q4382">
        <v>7.85</v>
      </c>
      <c r="R4382">
        <v>7.76</v>
      </c>
      <c r="S4382">
        <v>11.47</v>
      </c>
      <c r="T4382">
        <v>0.4</v>
      </c>
      <c r="U4382">
        <v>52.86</v>
      </c>
      <c r="V4382">
        <v>399</v>
      </c>
      <c r="W4382">
        <v>7.46</v>
      </c>
      <c r="X4382" t="s">
        <v>587</v>
      </c>
      <c r="Y4382" t="s">
        <v>8636</v>
      </c>
      <c r="Z4382">
        <v>1.91</v>
      </c>
      <c r="AA4382">
        <v>54</v>
      </c>
      <c r="AB4382">
        <v>73</v>
      </c>
      <c r="AC4382">
        <v>1.9</v>
      </c>
      <c r="AD4382" t="s">
        <v>5384</v>
      </c>
      <c r="AE4382" t="s">
        <v>20521</v>
      </c>
      <c r="AF4382" t="s">
        <v>20522</v>
      </c>
      <c r="AG4382" t="s">
        <v>20523</v>
      </c>
      <c r="AH4382">
        <v>-27.31</v>
      </c>
      <c r="AI4382">
        <v>9.15</v>
      </c>
      <c r="AJ4382">
        <v>32.91</v>
      </c>
      <c r="AK4382">
        <v>89.5</v>
      </c>
      <c r="AL4382">
        <v>-3</v>
      </c>
      <c r="AM4382">
        <v>-7.73</v>
      </c>
      <c r="AN4382">
        <v>5.45</v>
      </c>
      <c r="AO4382">
        <v>65.74</v>
      </c>
      <c r="AP4382">
        <v>-3.63</v>
      </c>
    </row>
    <row r="4383" spans="1:42">
      <c r="A4383">
        <v>4382</v>
      </c>
      <c r="B4383" t="str">
        <f>"002431"</f>
        <v>002431</v>
      </c>
      <c r="C4383" t="s">
        <v>20524</v>
      </c>
      <c r="D4383">
        <v>2.5</v>
      </c>
      <c r="E4383">
        <v>1.63</v>
      </c>
      <c r="F4383">
        <v>0.04</v>
      </c>
      <c r="G4383" t="s">
        <v>740</v>
      </c>
      <c r="H4383">
        <v>2714</v>
      </c>
      <c r="I4383">
        <v>2.49</v>
      </c>
      <c r="J4383">
        <v>2.5</v>
      </c>
      <c r="K4383" t="s">
        <v>20525</v>
      </c>
      <c r="L4383">
        <v>0.72</v>
      </c>
      <c r="M4383" t="s">
        <v>46</v>
      </c>
      <c r="N4383" t="s">
        <v>3772</v>
      </c>
      <c r="O4383">
        <v>2.5</v>
      </c>
      <c r="P4383">
        <v>2.44</v>
      </c>
      <c r="Q4383">
        <v>2.46</v>
      </c>
      <c r="R4383">
        <v>2.46</v>
      </c>
      <c r="S4383">
        <v>2.44</v>
      </c>
      <c r="T4383">
        <v>0.96</v>
      </c>
      <c r="U4383">
        <v>-12.88</v>
      </c>
      <c r="V4383">
        <v>-4235</v>
      </c>
      <c r="W4383">
        <v>2.48</v>
      </c>
      <c r="X4383" t="s">
        <v>1320</v>
      </c>
      <c r="Y4383" t="s">
        <v>7628</v>
      </c>
      <c r="Z4383">
        <v>0.64</v>
      </c>
      <c r="AA4383">
        <v>1817</v>
      </c>
      <c r="AB4383">
        <v>1769</v>
      </c>
      <c r="AC4383">
        <v>1.16</v>
      </c>
      <c r="AD4383" t="s">
        <v>9739</v>
      </c>
      <c r="AE4383" t="s">
        <v>20526</v>
      </c>
      <c r="AF4383" t="s">
        <v>2679</v>
      </c>
      <c r="AG4383" t="s">
        <v>20527</v>
      </c>
      <c r="AH4383">
        <v>-0.4</v>
      </c>
      <c r="AI4383">
        <v>-1.96</v>
      </c>
      <c r="AJ4383">
        <v>2.16</v>
      </c>
      <c r="AK4383">
        <v>4.47</v>
      </c>
      <c r="AL4383">
        <v>1</v>
      </c>
      <c r="AM4383">
        <v>1.63</v>
      </c>
      <c r="AN4383">
        <v>-14.38</v>
      </c>
      <c r="AO4383">
        <v>0.4</v>
      </c>
      <c r="AP4383">
        <v>-17.22</v>
      </c>
    </row>
    <row r="4384" spans="1:42">
      <c r="A4384">
        <v>4383</v>
      </c>
      <c r="B4384" t="str">
        <f>"605318"</f>
        <v>605318</v>
      </c>
      <c r="C4384" t="s">
        <v>20528</v>
      </c>
      <c r="D4384">
        <v>17.5</v>
      </c>
      <c r="E4384">
        <v>-0.51</v>
      </c>
      <c r="F4384">
        <v>-0.09</v>
      </c>
      <c r="G4384" t="s">
        <v>3130</v>
      </c>
      <c r="H4384">
        <v>116</v>
      </c>
      <c r="I4384">
        <v>17.49</v>
      </c>
      <c r="J4384">
        <v>17.5</v>
      </c>
      <c r="K4384" t="s">
        <v>20529</v>
      </c>
      <c r="L4384">
        <v>1.14</v>
      </c>
      <c r="M4384" t="s">
        <v>46</v>
      </c>
      <c r="N4384" t="s">
        <v>11396</v>
      </c>
      <c r="O4384">
        <v>17.83</v>
      </c>
      <c r="P4384">
        <v>17.48</v>
      </c>
      <c r="Q4384">
        <v>17.62</v>
      </c>
      <c r="R4384">
        <v>17.59</v>
      </c>
      <c r="S4384">
        <v>1.99</v>
      </c>
      <c r="T4384">
        <v>0.77</v>
      </c>
      <c r="U4384">
        <v>17.24</v>
      </c>
      <c r="V4384">
        <v>45</v>
      </c>
      <c r="W4384">
        <v>17.62</v>
      </c>
      <c r="X4384">
        <v>7916</v>
      </c>
      <c r="Y4384">
        <v>6807</v>
      </c>
      <c r="Z4384">
        <v>1.16</v>
      </c>
      <c r="AA4384">
        <v>29</v>
      </c>
      <c r="AB4384">
        <v>2</v>
      </c>
      <c r="AC4384">
        <v>2.81</v>
      </c>
      <c r="AD4384" t="s">
        <v>16868</v>
      </c>
      <c r="AE4384" t="s">
        <v>2163</v>
      </c>
      <c r="AF4384" t="s">
        <v>16868</v>
      </c>
      <c r="AG4384" t="s">
        <v>2163</v>
      </c>
      <c r="AH4384">
        <v>-2.4</v>
      </c>
      <c r="AI4384">
        <v>-4.84</v>
      </c>
      <c r="AJ4384">
        <v>4.33</v>
      </c>
      <c r="AK4384">
        <v>8.53</v>
      </c>
      <c r="AL4384">
        <v>-1</v>
      </c>
      <c r="AM4384">
        <v>-0.51</v>
      </c>
      <c r="AN4384">
        <v>30.11</v>
      </c>
      <c r="AO4384">
        <v>-2.78</v>
      </c>
      <c r="AP4384">
        <v>17.06</v>
      </c>
    </row>
    <row r="4385" spans="1:42">
      <c r="A4385">
        <v>4384</v>
      </c>
      <c r="B4385" t="str">
        <f>"605377"</f>
        <v>605377</v>
      </c>
      <c r="C4385" t="s">
        <v>20530</v>
      </c>
      <c r="D4385">
        <v>19.21</v>
      </c>
      <c r="E4385">
        <v>-0.57</v>
      </c>
      <c r="F4385">
        <v>-0.11</v>
      </c>
      <c r="G4385" t="s">
        <v>1384</v>
      </c>
      <c r="H4385">
        <v>42</v>
      </c>
      <c r="I4385">
        <v>19.19</v>
      </c>
      <c r="J4385">
        <v>19.21</v>
      </c>
      <c r="K4385" t="s">
        <v>20531</v>
      </c>
      <c r="L4385">
        <v>0.75</v>
      </c>
      <c r="M4385" t="s">
        <v>46</v>
      </c>
      <c r="N4385" t="s">
        <v>9783</v>
      </c>
      <c r="O4385">
        <v>19.43</v>
      </c>
      <c r="P4385">
        <v>19.1</v>
      </c>
      <c r="Q4385">
        <v>19.31</v>
      </c>
      <c r="R4385">
        <v>19.32</v>
      </c>
      <c r="S4385">
        <v>1.71</v>
      </c>
      <c r="T4385">
        <v>0.77</v>
      </c>
      <c r="U4385">
        <v>34.7</v>
      </c>
      <c r="V4385">
        <v>169</v>
      </c>
      <c r="W4385">
        <v>19.25</v>
      </c>
      <c r="X4385">
        <v>7094</v>
      </c>
      <c r="Y4385">
        <v>6372</v>
      </c>
      <c r="Z4385">
        <v>1.11</v>
      </c>
      <c r="AA4385">
        <v>26</v>
      </c>
      <c r="AB4385">
        <v>33</v>
      </c>
      <c r="AC4385">
        <v>1.66</v>
      </c>
      <c r="AD4385" t="s">
        <v>20532</v>
      </c>
      <c r="AE4385" t="s">
        <v>17068</v>
      </c>
      <c r="AF4385" t="s">
        <v>8722</v>
      </c>
      <c r="AG4385" t="s">
        <v>20533</v>
      </c>
      <c r="AH4385">
        <v>-3.13</v>
      </c>
      <c r="AI4385">
        <v>-5.14</v>
      </c>
      <c r="AJ4385">
        <v>2.95</v>
      </c>
      <c r="AK4385">
        <v>5.64</v>
      </c>
      <c r="AL4385">
        <v>-1</v>
      </c>
      <c r="AM4385">
        <v>-0.57</v>
      </c>
      <c r="AN4385">
        <v>-20.02</v>
      </c>
      <c r="AO4385">
        <v>-9.51</v>
      </c>
      <c r="AP4385">
        <v>-13.66</v>
      </c>
    </row>
    <row r="4386" spans="1:42">
      <c r="A4386">
        <v>4385</v>
      </c>
      <c r="B4386" t="str">
        <f>"002743"</f>
        <v>002743</v>
      </c>
      <c r="C4386" t="s">
        <v>20534</v>
      </c>
      <c r="D4386">
        <v>5.88</v>
      </c>
      <c r="E4386">
        <v>0.34</v>
      </c>
      <c r="F4386">
        <v>0.02</v>
      </c>
      <c r="G4386" t="s">
        <v>1578</v>
      </c>
      <c r="H4386">
        <v>312</v>
      </c>
      <c r="I4386">
        <v>5.88</v>
      </c>
      <c r="J4386">
        <v>5.89</v>
      </c>
      <c r="K4386" t="s">
        <v>20535</v>
      </c>
      <c r="L4386">
        <v>1.01</v>
      </c>
      <c r="M4386" t="s">
        <v>46</v>
      </c>
      <c r="N4386" t="s">
        <v>11632</v>
      </c>
      <c r="O4386">
        <v>5.92</v>
      </c>
      <c r="P4386">
        <v>5.83</v>
      </c>
      <c r="Q4386">
        <v>5.9</v>
      </c>
      <c r="R4386">
        <v>5.86</v>
      </c>
      <c r="S4386">
        <v>1.54</v>
      </c>
      <c r="T4386">
        <v>1.09</v>
      </c>
      <c r="U4386">
        <v>-24.05</v>
      </c>
      <c r="V4386">
        <v>-1088</v>
      </c>
      <c r="W4386">
        <v>5.88</v>
      </c>
      <c r="X4386" t="s">
        <v>1769</v>
      </c>
      <c r="Y4386" t="s">
        <v>7649</v>
      </c>
      <c r="Z4386">
        <v>0.49</v>
      </c>
      <c r="AA4386">
        <v>140</v>
      </c>
      <c r="AB4386">
        <v>170</v>
      </c>
      <c r="AC4386">
        <v>0.8</v>
      </c>
      <c r="AD4386" t="s">
        <v>6926</v>
      </c>
      <c r="AE4386" t="s">
        <v>20536</v>
      </c>
      <c r="AF4386" t="s">
        <v>20537</v>
      </c>
      <c r="AG4386" t="s">
        <v>20538</v>
      </c>
      <c r="AH4386">
        <v>-0.84</v>
      </c>
      <c r="AI4386">
        <v>-0.51</v>
      </c>
      <c r="AJ4386">
        <v>2.69</v>
      </c>
      <c r="AK4386">
        <v>5.68</v>
      </c>
      <c r="AL4386">
        <v>1</v>
      </c>
      <c r="AM4386">
        <v>0.34</v>
      </c>
      <c r="AN4386">
        <v>11.15</v>
      </c>
      <c r="AO4386">
        <v>2.98</v>
      </c>
      <c r="AP4386">
        <v>3.52</v>
      </c>
    </row>
    <row r="4387" spans="1:42">
      <c r="A4387">
        <v>4386</v>
      </c>
      <c r="B4387" t="str">
        <f>"000718"</f>
        <v>000718</v>
      </c>
      <c r="C4387" t="s">
        <v>20539</v>
      </c>
      <c r="D4387">
        <v>2.8</v>
      </c>
      <c r="E4387">
        <v>1.45</v>
      </c>
      <c r="F4387">
        <v>0.04</v>
      </c>
      <c r="G4387" t="s">
        <v>8630</v>
      </c>
      <c r="H4387">
        <v>655</v>
      </c>
      <c r="I4387">
        <v>2.79</v>
      </c>
      <c r="J4387">
        <v>2.8</v>
      </c>
      <c r="K4387" t="s">
        <v>20540</v>
      </c>
      <c r="L4387">
        <v>0.41</v>
      </c>
      <c r="M4387" t="s">
        <v>46</v>
      </c>
      <c r="N4387" t="s">
        <v>5078</v>
      </c>
      <c r="O4387">
        <v>2.81</v>
      </c>
      <c r="P4387">
        <v>2.74</v>
      </c>
      <c r="Q4387">
        <v>2.75</v>
      </c>
      <c r="R4387">
        <v>2.76</v>
      </c>
      <c r="S4387">
        <v>2.54</v>
      </c>
      <c r="T4387">
        <v>0.53</v>
      </c>
      <c r="U4387">
        <v>29.64</v>
      </c>
      <c r="V4387">
        <v>9419</v>
      </c>
      <c r="W4387">
        <v>2.79</v>
      </c>
      <c r="X4387" t="s">
        <v>8663</v>
      </c>
      <c r="Y4387" t="s">
        <v>4929</v>
      </c>
      <c r="Z4387">
        <v>0.65</v>
      </c>
      <c r="AA4387">
        <v>1689</v>
      </c>
      <c r="AB4387">
        <v>980</v>
      </c>
      <c r="AC4387">
        <v>0.89</v>
      </c>
      <c r="AD4387" t="s">
        <v>8520</v>
      </c>
      <c r="AE4387" t="s">
        <v>6220</v>
      </c>
      <c r="AF4387" t="s">
        <v>19856</v>
      </c>
      <c r="AG4387" t="s">
        <v>20541</v>
      </c>
      <c r="AH4387">
        <v>-0.71</v>
      </c>
      <c r="AI4387">
        <v>-5.72</v>
      </c>
      <c r="AJ4387">
        <v>1.6</v>
      </c>
      <c r="AK4387">
        <v>4.26</v>
      </c>
      <c r="AL4387">
        <v>1</v>
      </c>
      <c r="AM4387">
        <v>1.45</v>
      </c>
      <c r="AN4387">
        <v>-11.95</v>
      </c>
      <c r="AO4387">
        <v>4.09</v>
      </c>
      <c r="AP4387">
        <v>-9.39</v>
      </c>
    </row>
    <row r="4388" spans="1:42">
      <c r="A4388">
        <v>4387</v>
      </c>
      <c r="B4388" t="str">
        <f>"688197"</f>
        <v>688197</v>
      </c>
      <c r="C4388" t="s">
        <v>20542</v>
      </c>
      <c r="D4388">
        <v>57.93</v>
      </c>
      <c r="E4388">
        <v>-1.86</v>
      </c>
      <c r="F4388">
        <v>-1.1</v>
      </c>
      <c r="G4388">
        <v>4415</v>
      </c>
      <c r="H4388">
        <v>34</v>
      </c>
      <c r="I4388">
        <v>57.93</v>
      </c>
      <c r="J4388">
        <v>57.99</v>
      </c>
      <c r="K4388" t="s">
        <v>20543</v>
      </c>
      <c r="L4388">
        <v>0.81</v>
      </c>
      <c r="M4388" t="s">
        <v>46</v>
      </c>
      <c r="N4388" t="s">
        <v>20544</v>
      </c>
      <c r="O4388">
        <v>59.98</v>
      </c>
      <c r="P4388">
        <v>57.9</v>
      </c>
      <c r="Q4388">
        <v>58.5</v>
      </c>
      <c r="R4388">
        <v>59.03</v>
      </c>
      <c r="S4388">
        <v>3.52</v>
      </c>
      <c r="T4388">
        <v>0.83</v>
      </c>
      <c r="U4388">
        <v>-58.5</v>
      </c>
      <c r="V4388">
        <v>-144</v>
      </c>
      <c r="W4388">
        <v>58.58</v>
      </c>
      <c r="X4388">
        <v>2272</v>
      </c>
      <c r="Y4388">
        <v>2143</v>
      </c>
      <c r="Z4388">
        <v>1.06</v>
      </c>
      <c r="AA4388">
        <v>22</v>
      </c>
      <c r="AB4388">
        <v>70</v>
      </c>
      <c r="AC4388">
        <v>8.05</v>
      </c>
      <c r="AD4388" t="s">
        <v>8331</v>
      </c>
      <c r="AE4388" t="s">
        <v>20545</v>
      </c>
      <c r="AF4388" t="s">
        <v>20546</v>
      </c>
      <c r="AG4388" t="s">
        <v>20547</v>
      </c>
      <c r="AH4388">
        <v>2.53</v>
      </c>
      <c r="AI4388">
        <v>1.15</v>
      </c>
      <c r="AJ4388">
        <v>3.35</v>
      </c>
      <c r="AK4388">
        <v>5.68</v>
      </c>
      <c r="AL4388">
        <v>-1</v>
      </c>
      <c r="AM4388">
        <v>-1.86</v>
      </c>
      <c r="AN4388">
        <v>138.59</v>
      </c>
      <c r="AO4388">
        <v>30.47</v>
      </c>
      <c r="AP4388">
        <v>119.68</v>
      </c>
    </row>
    <row r="4389" spans="1:42">
      <c r="A4389">
        <v>4388</v>
      </c>
      <c r="B4389" t="str">
        <f>"834058"</f>
        <v>834058</v>
      </c>
      <c r="C4389" t="s">
        <v>20548</v>
      </c>
      <c r="D4389">
        <v>15.2</v>
      </c>
      <c r="E4389">
        <v>-6.69</v>
      </c>
      <c r="F4389">
        <v>-1.09</v>
      </c>
      <c r="G4389" t="s">
        <v>1692</v>
      </c>
      <c r="H4389">
        <v>241</v>
      </c>
      <c r="I4389">
        <v>15.2</v>
      </c>
      <c r="J4389">
        <v>15.23</v>
      </c>
      <c r="K4389" t="s">
        <v>20549</v>
      </c>
      <c r="L4389">
        <v>14.6</v>
      </c>
      <c r="M4389" t="s">
        <v>46</v>
      </c>
      <c r="N4389" t="s">
        <v>4795</v>
      </c>
      <c r="O4389">
        <v>16.72</v>
      </c>
      <c r="P4389">
        <v>15.05</v>
      </c>
      <c r="Q4389">
        <v>16.69</v>
      </c>
      <c r="R4389">
        <v>16.29</v>
      </c>
      <c r="S4389">
        <v>10.25</v>
      </c>
      <c r="T4389">
        <v>0.47</v>
      </c>
      <c r="U4389">
        <v>14.52</v>
      </c>
      <c r="V4389">
        <v>21</v>
      </c>
      <c r="W4389">
        <v>15.75</v>
      </c>
      <c r="X4389" t="s">
        <v>1646</v>
      </c>
      <c r="Y4389">
        <v>6208</v>
      </c>
      <c r="Z4389">
        <v>1.64</v>
      </c>
      <c r="AA4389">
        <v>51</v>
      </c>
      <c r="AB4389">
        <v>10</v>
      </c>
      <c r="AC4389">
        <v>2.49</v>
      </c>
      <c r="AD4389" t="s">
        <v>16984</v>
      </c>
      <c r="AE4389" t="s">
        <v>20550</v>
      </c>
      <c r="AF4389" t="s">
        <v>20551</v>
      </c>
      <c r="AG4389" t="s">
        <v>5109</v>
      </c>
      <c r="AH4389">
        <v>-24.38</v>
      </c>
      <c r="AI4389">
        <v>-6.81</v>
      </c>
      <c r="AJ4389">
        <v>55.42</v>
      </c>
      <c r="AK4389">
        <v>169.08</v>
      </c>
      <c r="AL4389">
        <v>-4</v>
      </c>
      <c r="AM4389">
        <v>-6.69</v>
      </c>
      <c r="AN4389">
        <v>-46.78</v>
      </c>
      <c r="AO4389">
        <v>50.94</v>
      </c>
      <c r="AP4389">
        <v>-46.78</v>
      </c>
    </row>
    <row r="4390" spans="1:42">
      <c r="A4390">
        <v>4389</v>
      </c>
      <c r="B4390" t="str">
        <f>"688393"</f>
        <v>688393</v>
      </c>
      <c r="C4390" t="s">
        <v>20552</v>
      </c>
      <c r="D4390">
        <v>26.69</v>
      </c>
      <c r="E4390">
        <v>0.04</v>
      </c>
      <c r="F4390">
        <v>0.01</v>
      </c>
      <c r="G4390">
        <v>9685</v>
      </c>
      <c r="H4390">
        <v>100</v>
      </c>
      <c r="I4390">
        <v>26.69</v>
      </c>
      <c r="J4390">
        <v>26.78</v>
      </c>
      <c r="K4390" t="s">
        <v>20549</v>
      </c>
      <c r="L4390">
        <v>1.04</v>
      </c>
      <c r="M4390" t="s">
        <v>46</v>
      </c>
      <c r="N4390" t="s">
        <v>4102</v>
      </c>
      <c r="O4390">
        <v>26.94</v>
      </c>
      <c r="P4390">
        <v>26.28</v>
      </c>
      <c r="Q4390">
        <v>26.8</v>
      </c>
      <c r="R4390">
        <v>26.68</v>
      </c>
      <c r="S4390">
        <v>2.47</v>
      </c>
      <c r="T4390">
        <v>0.6</v>
      </c>
      <c r="U4390">
        <v>-50.07</v>
      </c>
      <c r="V4390">
        <v>-144</v>
      </c>
      <c r="W4390">
        <v>26.68</v>
      </c>
      <c r="X4390">
        <v>5374</v>
      </c>
      <c r="Y4390">
        <v>4311</v>
      </c>
      <c r="Z4390">
        <v>1.25</v>
      </c>
      <c r="AA4390">
        <v>8</v>
      </c>
      <c r="AB4390">
        <v>43</v>
      </c>
      <c r="AC4390">
        <v>1.98</v>
      </c>
      <c r="AD4390" t="s">
        <v>20553</v>
      </c>
      <c r="AE4390" t="s">
        <v>196</v>
      </c>
      <c r="AF4390" t="s">
        <v>20553</v>
      </c>
      <c r="AG4390" t="s">
        <v>196</v>
      </c>
      <c r="AH4390">
        <v>-0.15</v>
      </c>
      <c r="AI4390">
        <v>-1.77</v>
      </c>
      <c r="AJ4390">
        <v>5.22</v>
      </c>
      <c r="AK4390">
        <v>9.62</v>
      </c>
      <c r="AL4390">
        <v>2</v>
      </c>
      <c r="AM4390">
        <v>0.04</v>
      </c>
      <c r="AN4390">
        <v>22.1</v>
      </c>
      <c r="AO4390">
        <v>4.46</v>
      </c>
      <c r="AP4390">
        <v>13.82</v>
      </c>
    </row>
    <row r="4391" spans="1:42">
      <c r="A4391">
        <v>4390</v>
      </c>
      <c r="B4391" t="str">
        <f>"830964"</f>
        <v>830964</v>
      </c>
      <c r="C4391" t="s">
        <v>20554</v>
      </c>
      <c r="D4391">
        <v>3.39</v>
      </c>
      <c r="E4391">
        <v>-5.57</v>
      </c>
      <c r="F4391">
        <v>-0.2</v>
      </c>
      <c r="G4391" t="s">
        <v>7380</v>
      </c>
      <c r="H4391">
        <v>1416</v>
      </c>
      <c r="I4391">
        <v>3.39</v>
      </c>
      <c r="J4391">
        <v>3.41</v>
      </c>
      <c r="K4391" t="s">
        <v>20555</v>
      </c>
      <c r="L4391">
        <v>4.13</v>
      </c>
      <c r="M4391" t="s">
        <v>46</v>
      </c>
      <c r="N4391" t="s">
        <v>17480</v>
      </c>
      <c r="O4391">
        <v>3.67</v>
      </c>
      <c r="P4391">
        <v>3.37</v>
      </c>
      <c r="Q4391">
        <v>3.59</v>
      </c>
      <c r="R4391">
        <v>3.59</v>
      </c>
      <c r="S4391">
        <v>8.36</v>
      </c>
      <c r="T4391">
        <v>0.44</v>
      </c>
      <c r="U4391">
        <v>59.79</v>
      </c>
      <c r="V4391">
        <v>3888</v>
      </c>
      <c r="W4391">
        <v>3.49</v>
      </c>
      <c r="X4391" t="s">
        <v>4096</v>
      </c>
      <c r="Y4391" t="s">
        <v>4037</v>
      </c>
      <c r="Z4391">
        <v>2.07</v>
      </c>
      <c r="AA4391">
        <v>446</v>
      </c>
      <c r="AB4391">
        <v>10</v>
      </c>
      <c r="AC4391">
        <v>1</v>
      </c>
      <c r="AD4391" t="s">
        <v>4074</v>
      </c>
      <c r="AE4391" t="s">
        <v>20556</v>
      </c>
      <c r="AF4391" t="s">
        <v>17130</v>
      </c>
      <c r="AG4391" t="s">
        <v>20557</v>
      </c>
      <c r="AH4391">
        <v>-16.3</v>
      </c>
      <c r="AI4391">
        <v>-2.02</v>
      </c>
      <c r="AJ4391">
        <v>16</v>
      </c>
      <c r="AK4391">
        <v>51.39</v>
      </c>
      <c r="AL4391">
        <v>-4</v>
      </c>
      <c r="AM4391">
        <v>-5.57</v>
      </c>
      <c r="AN4391">
        <v>5.94</v>
      </c>
      <c r="AO4391">
        <v>21.07</v>
      </c>
      <c r="AP4391">
        <v>3.35</v>
      </c>
    </row>
    <row r="4392" spans="1:42">
      <c r="A4392">
        <v>4391</v>
      </c>
      <c r="B4392" t="str">
        <f>"688678"</f>
        <v>688678</v>
      </c>
      <c r="C4392" t="s">
        <v>20558</v>
      </c>
      <c r="D4392">
        <v>17.98</v>
      </c>
      <c r="E4392">
        <v>-0.5</v>
      </c>
      <c r="F4392">
        <v>-0.09</v>
      </c>
      <c r="G4392" t="s">
        <v>6867</v>
      </c>
      <c r="H4392">
        <v>318</v>
      </c>
      <c r="I4392">
        <v>17.98</v>
      </c>
      <c r="J4392">
        <v>18.02</v>
      </c>
      <c r="K4392" t="s">
        <v>20559</v>
      </c>
      <c r="L4392">
        <v>1.58</v>
      </c>
      <c r="M4392" t="s">
        <v>46</v>
      </c>
      <c r="N4392" t="s">
        <v>10673</v>
      </c>
      <c r="O4392">
        <v>18.12</v>
      </c>
      <c r="P4392">
        <v>17.72</v>
      </c>
      <c r="Q4392">
        <v>18.03</v>
      </c>
      <c r="R4392">
        <v>18.07</v>
      </c>
      <c r="S4392">
        <v>2.21</v>
      </c>
      <c r="T4392">
        <v>0.87</v>
      </c>
      <c r="U4392">
        <v>23.8</v>
      </c>
      <c r="V4392">
        <v>60</v>
      </c>
      <c r="W4392">
        <v>17.95</v>
      </c>
      <c r="X4392">
        <v>6933</v>
      </c>
      <c r="Y4392">
        <v>7450</v>
      </c>
      <c r="Z4392">
        <v>0.93</v>
      </c>
      <c r="AA4392">
        <v>12</v>
      </c>
      <c r="AB4392">
        <v>6</v>
      </c>
      <c r="AC4392">
        <v>2.13</v>
      </c>
      <c r="AD4392" t="s">
        <v>13826</v>
      </c>
      <c r="AE4392" t="s">
        <v>20560</v>
      </c>
      <c r="AF4392" t="s">
        <v>11595</v>
      </c>
      <c r="AG4392" t="s">
        <v>3766</v>
      </c>
      <c r="AH4392">
        <v>-3.7</v>
      </c>
      <c r="AI4392">
        <v>-3.8</v>
      </c>
      <c r="AJ4392">
        <v>5.61</v>
      </c>
      <c r="AK4392">
        <v>10.71</v>
      </c>
      <c r="AL4392">
        <v>-3</v>
      </c>
      <c r="AM4392">
        <v>-0.5</v>
      </c>
      <c r="AN4392">
        <v>-4.82</v>
      </c>
      <c r="AO4392">
        <v>1.64</v>
      </c>
      <c r="AP4392">
        <v>-24.96</v>
      </c>
    </row>
    <row r="4393" spans="1:42">
      <c r="A4393">
        <v>4392</v>
      </c>
      <c r="B4393" t="str">
        <f>"300943"</f>
        <v>300943</v>
      </c>
      <c r="C4393" t="s">
        <v>20561</v>
      </c>
      <c r="D4393">
        <v>14.4</v>
      </c>
      <c r="E4393">
        <v>-1.44</v>
      </c>
      <c r="F4393">
        <v>-0.21</v>
      </c>
      <c r="G4393" t="s">
        <v>1255</v>
      </c>
      <c r="H4393">
        <v>384</v>
      </c>
      <c r="I4393">
        <v>14.4</v>
      </c>
      <c r="J4393">
        <v>14.41</v>
      </c>
      <c r="K4393" t="s">
        <v>20559</v>
      </c>
      <c r="L4393">
        <v>1.77</v>
      </c>
      <c r="M4393" t="s">
        <v>46</v>
      </c>
      <c r="N4393" t="s">
        <v>4313</v>
      </c>
      <c r="O4393">
        <v>14.61</v>
      </c>
      <c r="P4393">
        <v>14.34</v>
      </c>
      <c r="Q4393">
        <v>14.57</v>
      </c>
      <c r="R4393">
        <v>14.61</v>
      </c>
      <c r="S4393">
        <v>1.85</v>
      </c>
      <c r="T4393">
        <v>0.86</v>
      </c>
      <c r="U4393">
        <v>53.58</v>
      </c>
      <c r="V4393">
        <v>491</v>
      </c>
      <c r="W4393">
        <v>14.43</v>
      </c>
      <c r="X4393">
        <v>9926</v>
      </c>
      <c r="Y4393">
        <v>7967</v>
      </c>
      <c r="Z4393">
        <v>1.25</v>
      </c>
      <c r="AA4393">
        <v>12</v>
      </c>
      <c r="AB4393">
        <v>14</v>
      </c>
      <c r="AC4393">
        <v>3.16</v>
      </c>
      <c r="AD4393" t="s">
        <v>16772</v>
      </c>
      <c r="AE4393" t="s">
        <v>15021</v>
      </c>
      <c r="AF4393" t="s">
        <v>20562</v>
      </c>
      <c r="AG4393" t="s">
        <v>3831</v>
      </c>
      <c r="AH4393">
        <v>-3.16</v>
      </c>
      <c r="AI4393">
        <v>-1.03</v>
      </c>
      <c r="AJ4393">
        <v>5.44</v>
      </c>
      <c r="AK4393">
        <v>12.16</v>
      </c>
      <c r="AL4393">
        <v>-3</v>
      </c>
      <c r="AM4393">
        <v>-1.44</v>
      </c>
      <c r="AN4393">
        <v>20.81</v>
      </c>
      <c r="AO4393">
        <v>0.56</v>
      </c>
      <c r="AP4393">
        <v>5.11</v>
      </c>
    </row>
    <row r="4394" spans="1:42">
      <c r="A4394">
        <v>4393</v>
      </c>
      <c r="B4394" t="str">
        <f>"300022"</f>
        <v>300022</v>
      </c>
      <c r="C4394" t="s">
        <v>20563</v>
      </c>
      <c r="D4394">
        <v>4.86</v>
      </c>
      <c r="E4394">
        <v>-0.21</v>
      </c>
      <c r="F4394">
        <v>-0.01</v>
      </c>
      <c r="G4394" t="s">
        <v>1985</v>
      </c>
      <c r="H4394">
        <v>91</v>
      </c>
      <c r="I4394">
        <v>4.86</v>
      </c>
      <c r="J4394">
        <v>4.87</v>
      </c>
      <c r="K4394" t="s">
        <v>20564</v>
      </c>
      <c r="L4394">
        <v>1.64</v>
      </c>
      <c r="M4394" t="s">
        <v>46</v>
      </c>
      <c r="N4394" t="s">
        <v>2474</v>
      </c>
      <c r="O4394">
        <v>4.9</v>
      </c>
      <c r="P4394">
        <v>4.83</v>
      </c>
      <c r="Q4394">
        <v>4.87</v>
      </c>
      <c r="R4394">
        <v>4.87</v>
      </c>
      <c r="S4394">
        <v>1.44</v>
      </c>
      <c r="T4394">
        <v>0.93</v>
      </c>
      <c r="U4394">
        <v>-16.35</v>
      </c>
      <c r="V4394">
        <v>-664</v>
      </c>
      <c r="W4394">
        <v>4.87</v>
      </c>
      <c r="X4394" t="s">
        <v>48</v>
      </c>
      <c r="Y4394" t="s">
        <v>7993</v>
      </c>
      <c r="Z4394">
        <v>0.89</v>
      </c>
      <c r="AA4394">
        <v>262</v>
      </c>
      <c r="AB4394">
        <v>120</v>
      </c>
      <c r="AC4394">
        <v>4.73</v>
      </c>
      <c r="AD4394" t="s">
        <v>20565</v>
      </c>
      <c r="AE4394" t="s">
        <v>20566</v>
      </c>
      <c r="AF4394" t="s">
        <v>20567</v>
      </c>
      <c r="AG4394" t="s">
        <v>10492</v>
      </c>
      <c r="AH4394">
        <v>-1.22</v>
      </c>
      <c r="AI4394">
        <v>-0.21</v>
      </c>
      <c r="AJ4394">
        <v>4.82</v>
      </c>
      <c r="AK4394">
        <v>10.44</v>
      </c>
      <c r="AL4394">
        <v>-1</v>
      </c>
      <c r="AM4394">
        <v>-0.21</v>
      </c>
      <c r="AN4394">
        <v>1.89</v>
      </c>
      <c r="AO4394">
        <v>3.18</v>
      </c>
      <c r="AP4394">
        <v>-3.38</v>
      </c>
    </row>
    <row r="4395" spans="1:42">
      <c r="A4395">
        <v>4394</v>
      </c>
      <c r="B4395" t="str">
        <f>"688291"</f>
        <v>688291</v>
      </c>
      <c r="C4395" t="s">
        <v>20568</v>
      </c>
      <c r="D4395">
        <v>30.4</v>
      </c>
      <c r="E4395">
        <v>-0.65</v>
      </c>
      <c r="F4395">
        <v>-0.2</v>
      </c>
      <c r="G4395">
        <v>8509</v>
      </c>
      <c r="H4395">
        <v>76</v>
      </c>
      <c r="I4395">
        <v>30.4</v>
      </c>
      <c r="J4395">
        <v>30.44</v>
      </c>
      <c r="K4395" t="s">
        <v>20564</v>
      </c>
      <c r="L4395">
        <v>2.59</v>
      </c>
      <c r="M4395" t="s">
        <v>46</v>
      </c>
      <c r="N4395" t="s">
        <v>8409</v>
      </c>
      <c r="O4395">
        <v>30.65</v>
      </c>
      <c r="P4395">
        <v>30</v>
      </c>
      <c r="Q4395">
        <v>30.65</v>
      </c>
      <c r="R4395">
        <v>30.6</v>
      </c>
      <c r="S4395">
        <v>2.12</v>
      </c>
      <c r="T4395">
        <v>0.64</v>
      </c>
      <c r="U4395">
        <v>40.8</v>
      </c>
      <c r="V4395">
        <v>102</v>
      </c>
      <c r="W4395">
        <v>30.33</v>
      </c>
      <c r="X4395">
        <v>4316</v>
      </c>
      <c r="Y4395">
        <v>4193</v>
      </c>
      <c r="Z4395">
        <v>1.03</v>
      </c>
      <c r="AA4395">
        <v>28</v>
      </c>
      <c r="AB4395">
        <v>10</v>
      </c>
      <c r="AC4395">
        <v>3.36</v>
      </c>
      <c r="AD4395" t="s">
        <v>18339</v>
      </c>
      <c r="AE4395" t="s">
        <v>14302</v>
      </c>
      <c r="AF4395" t="s">
        <v>19091</v>
      </c>
      <c r="AG4395" t="s">
        <v>20569</v>
      </c>
      <c r="AH4395">
        <v>-1.65</v>
      </c>
      <c r="AI4395">
        <v>-0.82</v>
      </c>
      <c r="AJ4395">
        <v>10.61</v>
      </c>
      <c r="AK4395">
        <v>22.9</v>
      </c>
      <c r="AL4395">
        <v>-2</v>
      </c>
      <c r="AM4395">
        <v>-0.65</v>
      </c>
      <c r="AN4395">
        <v>17.1</v>
      </c>
      <c r="AO4395">
        <v>0.96</v>
      </c>
      <c r="AP4395">
        <v>4.11</v>
      </c>
    </row>
    <row r="4396" spans="1:42">
      <c r="A4396">
        <v>4395</v>
      </c>
      <c r="B4396" t="str">
        <f>"600665"</f>
        <v>600665</v>
      </c>
      <c r="C4396" t="s">
        <v>20570</v>
      </c>
      <c r="D4396">
        <v>3.98</v>
      </c>
      <c r="E4396">
        <v>0.51</v>
      </c>
      <c r="F4396">
        <v>0.02</v>
      </c>
      <c r="G4396" t="s">
        <v>3958</v>
      </c>
      <c r="H4396">
        <v>760</v>
      </c>
      <c r="I4396">
        <v>3.98</v>
      </c>
      <c r="J4396">
        <v>3.99</v>
      </c>
      <c r="K4396" t="s">
        <v>20571</v>
      </c>
      <c r="L4396">
        <v>0.75</v>
      </c>
      <c r="M4396" t="s">
        <v>46</v>
      </c>
      <c r="N4396" t="s">
        <v>20572</v>
      </c>
      <c r="O4396">
        <v>4.02</v>
      </c>
      <c r="P4396">
        <v>3.95</v>
      </c>
      <c r="Q4396">
        <v>3.96</v>
      </c>
      <c r="R4396">
        <v>3.96</v>
      </c>
      <c r="S4396">
        <v>1.77</v>
      </c>
      <c r="T4396">
        <v>0.67</v>
      </c>
      <c r="U4396">
        <v>-52.51</v>
      </c>
      <c r="V4396">
        <v>-7399</v>
      </c>
      <c r="W4396">
        <v>3.99</v>
      </c>
      <c r="X4396" t="s">
        <v>4761</v>
      </c>
      <c r="Y4396" t="s">
        <v>8329</v>
      </c>
      <c r="Z4396">
        <v>1.01</v>
      </c>
      <c r="AA4396">
        <v>214</v>
      </c>
      <c r="AB4396">
        <v>173</v>
      </c>
      <c r="AC4396">
        <v>0.8</v>
      </c>
      <c r="AD4396" t="s">
        <v>20573</v>
      </c>
      <c r="AE4396" t="s">
        <v>20574</v>
      </c>
      <c r="AF4396" t="s">
        <v>20573</v>
      </c>
      <c r="AG4396" t="s">
        <v>20574</v>
      </c>
      <c r="AH4396">
        <v>-1.73</v>
      </c>
      <c r="AI4396">
        <v>-3.4</v>
      </c>
      <c r="AJ4396">
        <v>2.37</v>
      </c>
      <c r="AK4396">
        <v>6.34</v>
      </c>
      <c r="AL4396">
        <v>1</v>
      </c>
      <c r="AM4396">
        <v>0.51</v>
      </c>
      <c r="AN4396">
        <v>11.48</v>
      </c>
      <c r="AO4396">
        <v>3.11</v>
      </c>
      <c r="AP4396">
        <v>8.15</v>
      </c>
    </row>
    <row r="4397" spans="1:42">
      <c r="A4397">
        <v>4396</v>
      </c>
      <c r="B4397" t="str">
        <f>"002688"</f>
        <v>002688</v>
      </c>
      <c r="C4397" t="s">
        <v>20575</v>
      </c>
      <c r="D4397">
        <v>5.04</v>
      </c>
      <c r="E4397">
        <v>0.6</v>
      </c>
      <c r="F4397">
        <v>0.03</v>
      </c>
      <c r="G4397" t="s">
        <v>7430</v>
      </c>
      <c r="H4397">
        <v>385</v>
      </c>
      <c r="I4397">
        <v>5.03</v>
      </c>
      <c r="J4397">
        <v>5.04</v>
      </c>
      <c r="K4397" t="s">
        <v>20576</v>
      </c>
      <c r="L4397">
        <v>0.69</v>
      </c>
      <c r="M4397" t="s">
        <v>46</v>
      </c>
      <c r="N4397" t="s">
        <v>4531</v>
      </c>
      <c r="O4397">
        <v>5.07</v>
      </c>
      <c r="P4397">
        <v>5.01</v>
      </c>
      <c r="Q4397">
        <v>5.03</v>
      </c>
      <c r="R4397">
        <v>5.01</v>
      </c>
      <c r="S4397">
        <v>1.2</v>
      </c>
      <c r="T4397">
        <v>0.58</v>
      </c>
      <c r="U4397">
        <v>-25.73</v>
      </c>
      <c r="V4397">
        <v>-1625</v>
      </c>
      <c r="W4397">
        <v>5.03</v>
      </c>
      <c r="X4397" t="s">
        <v>1639</v>
      </c>
      <c r="Y4397" t="s">
        <v>8396</v>
      </c>
      <c r="Z4397">
        <v>1.05</v>
      </c>
      <c r="AA4397">
        <v>117</v>
      </c>
      <c r="AB4397">
        <v>40</v>
      </c>
      <c r="AC4397">
        <v>1.73</v>
      </c>
      <c r="AD4397" t="s">
        <v>19484</v>
      </c>
      <c r="AE4397" t="s">
        <v>16970</v>
      </c>
      <c r="AF4397" t="s">
        <v>1765</v>
      </c>
      <c r="AG4397" t="s">
        <v>4254</v>
      </c>
      <c r="AH4397">
        <v>-0.4</v>
      </c>
      <c r="AI4397">
        <v>0.6</v>
      </c>
      <c r="AJ4397">
        <v>2.47</v>
      </c>
      <c r="AK4397">
        <v>6.62</v>
      </c>
      <c r="AL4397">
        <v>1</v>
      </c>
      <c r="AM4397">
        <v>0.6</v>
      </c>
      <c r="AN4397">
        <v>0</v>
      </c>
      <c r="AO4397">
        <v>3.07</v>
      </c>
      <c r="AP4397">
        <v>-2.51</v>
      </c>
    </row>
    <row r="4398" spans="1:42">
      <c r="A4398">
        <v>4397</v>
      </c>
      <c r="B4398" t="str">
        <f>"002986"</f>
        <v>002986</v>
      </c>
      <c r="C4398" t="s">
        <v>20577</v>
      </c>
      <c r="D4398">
        <v>17.25</v>
      </c>
      <c r="E4398">
        <v>-2.1</v>
      </c>
      <c r="F4398">
        <v>-0.37</v>
      </c>
      <c r="G4398" t="s">
        <v>7656</v>
      </c>
      <c r="H4398">
        <v>91</v>
      </c>
      <c r="I4398">
        <v>17.25</v>
      </c>
      <c r="J4398">
        <v>17.26</v>
      </c>
      <c r="K4398" t="s">
        <v>20578</v>
      </c>
      <c r="L4398">
        <v>0.63</v>
      </c>
      <c r="M4398" t="s">
        <v>46</v>
      </c>
      <c r="N4398" t="s">
        <v>20579</v>
      </c>
      <c r="O4398">
        <v>17.69</v>
      </c>
      <c r="P4398">
        <v>17.18</v>
      </c>
      <c r="Q4398">
        <v>17.61</v>
      </c>
      <c r="R4398">
        <v>17.62</v>
      </c>
      <c r="S4398">
        <v>2.89</v>
      </c>
      <c r="T4398">
        <v>2.15</v>
      </c>
      <c r="U4398">
        <v>-42.31</v>
      </c>
      <c r="V4398">
        <v>-163</v>
      </c>
      <c r="W4398">
        <v>17.41</v>
      </c>
      <c r="X4398">
        <v>6969</v>
      </c>
      <c r="Y4398">
        <v>7843</v>
      </c>
      <c r="Z4398">
        <v>0.89</v>
      </c>
      <c r="AA4398">
        <v>22</v>
      </c>
      <c r="AB4398">
        <v>51</v>
      </c>
      <c r="AC4398">
        <v>2.01</v>
      </c>
      <c r="AD4398" t="s">
        <v>20580</v>
      </c>
      <c r="AE4398" t="s">
        <v>16390</v>
      </c>
      <c r="AF4398" t="s">
        <v>17441</v>
      </c>
      <c r="AG4398" t="s">
        <v>20581</v>
      </c>
      <c r="AH4398">
        <v>-2.54</v>
      </c>
      <c r="AI4398">
        <v>-2.54</v>
      </c>
      <c r="AJ4398">
        <v>1.24</v>
      </c>
      <c r="AK4398">
        <v>2.11</v>
      </c>
      <c r="AL4398">
        <v>-2</v>
      </c>
      <c r="AM4398">
        <v>-2.1</v>
      </c>
      <c r="AN4398">
        <v>13.71</v>
      </c>
      <c r="AO4398">
        <v>-4.85</v>
      </c>
      <c r="AP4398">
        <v>0.52</v>
      </c>
    </row>
    <row r="4399" spans="1:42">
      <c r="A4399">
        <v>4398</v>
      </c>
      <c r="B4399" t="str">
        <f>"300948"</f>
        <v>300948</v>
      </c>
      <c r="C4399" t="s">
        <v>20582</v>
      </c>
      <c r="D4399">
        <v>15.35</v>
      </c>
      <c r="E4399">
        <v>0.72</v>
      </c>
      <c r="F4399">
        <v>0.11</v>
      </c>
      <c r="G4399" t="s">
        <v>1110</v>
      </c>
      <c r="H4399">
        <v>310</v>
      </c>
      <c r="I4399">
        <v>15.34</v>
      </c>
      <c r="J4399">
        <v>15.35</v>
      </c>
      <c r="K4399" t="s">
        <v>20578</v>
      </c>
      <c r="L4399">
        <v>2.42</v>
      </c>
      <c r="M4399" t="s">
        <v>46</v>
      </c>
      <c r="N4399" t="s">
        <v>897</v>
      </c>
      <c r="O4399">
        <v>15.55</v>
      </c>
      <c r="P4399">
        <v>15.13</v>
      </c>
      <c r="Q4399">
        <v>15.54</v>
      </c>
      <c r="R4399">
        <v>15.24</v>
      </c>
      <c r="S4399">
        <v>2.76</v>
      </c>
      <c r="T4399">
        <v>0.87</v>
      </c>
      <c r="U4399">
        <v>-23.19</v>
      </c>
      <c r="V4399">
        <v>-195</v>
      </c>
      <c r="W4399">
        <v>15.27</v>
      </c>
      <c r="X4399">
        <v>8114</v>
      </c>
      <c r="Y4399">
        <v>8765</v>
      </c>
      <c r="Z4399">
        <v>0.93</v>
      </c>
      <c r="AA4399">
        <v>97</v>
      </c>
      <c r="AB4399">
        <v>124</v>
      </c>
      <c r="AC4399">
        <v>2.45</v>
      </c>
      <c r="AD4399" t="s">
        <v>16649</v>
      </c>
      <c r="AE4399" t="s">
        <v>7921</v>
      </c>
      <c r="AF4399" t="s">
        <v>20583</v>
      </c>
      <c r="AG4399" t="s">
        <v>908</v>
      </c>
      <c r="AH4399">
        <v>-2.48</v>
      </c>
      <c r="AI4399">
        <v>-3.28</v>
      </c>
      <c r="AJ4399">
        <v>7.7</v>
      </c>
      <c r="AK4399">
        <v>16.42</v>
      </c>
      <c r="AL4399">
        <v>1</v>
      </c>
      <c r="AM4399">
        <v>0.72</v>
      </c>
      <c r="AN4399">
        <v>25.1</v>
      </c>
      <c r="AO4399">
        <v>0.46</v>
      </c>
      <c r="AP4399">
        <v>12.54</v>
      </c>
    </row>
    <row r="4400" spans="1:42">
      <c r="A4400">
        <v>4399</v>
      </c>
      <c r="B4400" t="str">
        <f>"301129"</f>
        <v>301129</v>
      </c>
      <c r="C4400" t="s">
        <v>20584</v>
      </c>
      <c r="D4400">
        <v>28.52</v>
      </c>
      <c r="E4400">
        <v>0.96</v>
      </c>
      <c r="F4400">
        <v>0.27</v>
      </c>
      <c r="G4400">
        <v>9125</v>
      </c>
      <c r="H4400">
        <v>68</v>
      </c>
      <c r="I4400">
        <v>28.51</v>
      </c>
      <c r="J4400">
        <v>28.52</v>
      </c>
      <c r="K4400" t="s">
        <v>20585</v>
      </c>
      <c r="L4400">
        <v>2.52</v>
      </c>
      <c r="M4400" t="s">
        <v>46</v>
      </c>
      <c r="N4400" t="s">
        <v>7511</v>
      </c>
      <c r="O4400">
        <v>28.62</v>
      </c>
      <c r="P4400">
        <v>27.81</v>
      </c>
      <c r="Q4400">
        <v>28.31</v>
      </c>
      <c r="R4400">
        <v>28.25</v>
      </c>
      <c r="S4400">
        <v>2.87</v>
      </c>
      <c r="T4400">
        <v>1.05</v>
      </c>
      <c r="U4400">
        <v>-10.4</v>
      </c>
      <c r="V4400">
        <v>-13</v>
      </c>
      <c r="W4400">
        <v>28.23</v>
      </c>
      <c r="X4400">
        <v>4306</v>
      </c>
      <c r="Y4400">
        <v>4819</v>
      </c>
      <c r="Z4400">
        <v>0.89</v>
      </c>
      <c r="AA4400">
        <v>22</v>
      </c>
      <c r="AB4400">
        <v>8</v>
      </c>
      <c r="AC4400">
        <v>2.37</v>
      </c>
      <c r="AD4400" t="s">
        <v>11306</v>
      </c>
      <c r="AE4400" t="s">
        <v>13386</v>
      </c>
      <c r="AF4400" t="s">
        <v>18446</v>
      </c>
      <c r="AG4400" t="s">
        <v>1061</v>
      </c>
      <c r="AH4400">
        <v>-1.82</v>
      </c>
      <c r="AI4400">
        <v>-1.93</v>
      </c>
      <c r="AJ4400">
        <v>7.1</v>
      </c>
      <c r="AK4400">
        <v>14.57</v>
      </c>
      <c r="AL4400">
        <v>1</v>
      </c>
      <c r="AM4400">
        <v>0.96</v>
      </c>
      <c r="AN4400">
        <v>-27.67</v>
      </c>
      <c r="AO4400">
        <v>3.22</v>
      </c>
      <c r="AP4400">
        <v>-28.09</v>
      </c>
    </row>
    <row r="4401" spans="1:42">
      <c r="A4401">
        <v>4400</v>
      </c>
      <c r="B4401" t="str">
        <f>"300575"</f>
        <v>300575</v>
      </c>
      <c r="C4401" t="s">
        <v>20586</v>
      </c>
      <c r="D4401">
        <v>8.16</v>
      </c>
      <c r="E4401">
        <v>-0.61</v>
      </c>
      <c r="F4401">
        <v>-0.05</v>
      </c>
      <c r="G4401" t="s">
        <v>4733</v>
      </c>
      <c r="H4401">
        <v>189</v>
      </c>
      <c r="I4401">
        <v>8.16</v>
      </c>
      <c r="J4401">
        <v>8.17</v>
      </c>
      <c r="K4401" t="s">
        <v>20587</v>
      </c>
      <c r="L4401">
        <v>0.92</v>
      </c>
      <c r="M4401" t="s">
        <v>46</v>
      </c>
      <c r="N4401" t="s">
        <v>3547</v>
      </c>
      <c r="O4401">
        <v>8.25</v>
      </c>
      <c r="P4401">
        <v>8.12</v>
      </c>
      <c r="Q4401">
        <v>8.19</v>
      </c>
      <c r="R4401">
        <v>8.21</v>
      </c>
      <c r="S4401">
        <v>1.58</v>
      </c>
      <c r="T4401">
        <v>1.01</v>
      </c>
      <c r="U4401">
        <v>0.95</v>
      </c>
      <c r="V4401">
        <v>15</v>
      </c>
      <c r="W4401">
        <v>8.16</v>
      </c>
      <c r="X4401" t="s">
        <v>1280</v>
      </c>
      <c r="Y4401" t="s">
        <v>1743</v>
      </c>
      <c r="Z4401">
        <v>1.73</v>
      </c>
      <c r="AA4401">
        <v>187</v>
      </c>
      <c r="AB4401">
        <v>73</v>
      </c>
      <c r="AC4401">
        <v>1.74</v>
      </c>
      <c r="AD4401" t="s">
        <v>4042</v>
      </c>
      <c r="AE4401" t="s">
        <v>12753</v>
      </c>
      <c r="AF4401" t="s">
        <v>20588</v>
      </c>
      <c r="AG4401" t="s">
        <v>19900</v>
      </c>
      <c r="AH4401">
        <v>-2.97</v>
      </c>
      <c r="AI4401">
        <v>-3.66</v>
      </c>
      <c r="AJ4401">
        <v>2.79</v>
      </c>
      <c r="AK4401">
        <v>5.44</v>
      </c>
      <c r="AL4401">
        <v>-3</v>
      </c>
      <c r="AM4401">
        <v>-0.61</v>
      </c>
      <c r="AN4401">
        <v>-43.18</v>
      </c>
      <c r="AO4401">
        <v>-1.69</v>
      </c>
      <c r="AP4401">
        <v>-44.38</v>
      </c>
    </row>
    <row r="4402" spans="1:42">
      <c r="A4402">
        <v>4401</v>
      </c>
      <c r="B4402" t="str">
        <f>"300965"</f>
        <v>300965</v>
      </c>
      <c r="C4402" t="s">
        <v>20589</v>
      </c>
      <c r="D4402">
        <v>55.3</v>
      </c>
      <c r="E4402">
        <v>0.56</v>
      </c>
      <c r="F4402">
        <v>0.31</v>
      </c>
      <c r="G4402">
        <v>4683</v>
      </c>
      <c r="H4402">
        <v>89</v>
      </c>
      <c r="I4402">
        <v>55.28</v>
      </c>
      <c r="J4402">
        <v>55.3</v>
      </c>
      <c r="K4402" t="s">
        <v>20590</v>
      </c>
      <c r="L4402">
        <v>2.85</v>
      </c>
      <c r="M4402" t="s">
        <v>46</v>
      </c>
      <c r="N4402" t="s">
        <v>7524</v>
      </c>
      <c r="O4402">
        <v>55.48</v>
      </c>
      <c r="P4402">
        <v>54.5</v>
      </c>
      <c r="Q4402">
        <v>54.97</v>
      </c>
      <c r="R4402">
        <v>54.99</v>
      </c>
      <c r="S4402">
        <v>1.78</v>
      </c>
      <c r="T4402">
        <v>0.79</v>
      </c>
      <c r="U4402">
        <v>12.82</v>
      </c>
      <c r="V4402">
        <v>10</v>
      </c>
      <c r="W4402">
        <v>54.96</v>
      </c>
      <c r="X4402">
        <v>2089</v>
      </c>
      <c r="Y4402">
        <v>2594</v>
      </c>
      <c r="Z4402">
        <v>0.81</v>
      </c>
      <c r="AA4402">
        <v>14</v>
      </c>
      <c r="AB4402">
        <v>23</v>
      </c>
      <c r="AC4402">
        <v>2.41</v>
      </c>
      <c r="AD4402" t="s">
        <v>7827</v>
      </c>
      <c r="AE4402" t="s">
        <v>18565</v>
      </c>
      <c r="AF4402" t="s">
        <v>20591</v>
      </c>
      <c r="AG4402" t="s">
        <v>20592</v>
      </c>
      <c r="AH4402">
        <v>-1.92</v>
      </c>
      <c r="AI4402">
        <v>-3.61</v>
      </c>
      <c r="AJ4402">
        <v>10.34</v>
      </c>
      <c r="AK4402">
        <v>20.82</v>
      </c>
      <c r="AL4402">
        <v>1</v>
      </c>
      <c r="AM4402">
        <v>0.56</v>
      </c>
      <c r="AN4402">
        <v>28.07</v>
      </c>
      <c r="AO4402">
        <v>1.62</v>
      </c>
      <c r="AP4402">
        <v>30.58</v>
      </c>
    </row>
    <row r="4403" spans="1:42">
      <c r="A4403">
        <v>4402</v>
      </c>
      <c r="B4403" t="str">
        <f>"301122"</f>
        <v>301122</v>
      </c>
      <c r="C4403" t="s">
        <v>20593</v>
      </c>
      <c r="D4403">
        <v>42.66</v>
      </c>
      <c r="E4403">
        <v>-1.55</v>
      </c>
      <c r="F4403">
        <v>-0.67</v>
      </c>
      <c r="G4403">
        <v>6009</v>
      </c>
      <c r="H4403">
        <v>159</v>
      </c>
      <c r="I4403">
        <v>42.64</v>
      </c>
      <c r="J4403">
        <v>42.66</v>
      </c>
      <c r="K4403" t="s">
        <v>20590</v>
      </c>
      <c r="L4403">
        <v>1.36</v>
      </c>
      <c r="M4403" t="s">
        <v>46</v>
      </c>
      <c r="N4403" t="s">
        <v>4894</v>
      </c>
      <c r="O4403">
        <v>43.3</v>
      </c>
      <c r="P4403">
        <v>42.5</v>
      </c>
      <c r="Q4403">
        <v>43.01</v>
      </c>
      <c r="R4403">
        <v>43.33</v>
      </c>
      <c r="S4403">
        <v>1.85</v>
      </c>
      <c r="T4403">
        <v>0.7</v>
      </c>
      <c r="U4403">
        <v>-92.04</v>
      </c>
      <c r="V4403">
        <v>-393</v>
      </c>
      <c r="W4403">
        <v>42.83</v>
      </c>
      <c r="X4403">
        <v>2869</v>
      </c>
      <c r="Y4403">
        <v>3141</v>
      </c>
      <c r="Z4403">
        <v>0.91</v>
      </c>
      <c r="AA4403">
        <v>5</v>
      </c>
      <c r="AB4403">
        <v>346</v>
      </c>
      <c r="AC4403">
        <v>2.92</v>
      </c>
      <c r="AD4403" t="s">
        <v>12471</v>
      </c>
      <c r="AE4403" t="s">
        <v>20594</v>
      </c>
      <c r="AF4403" t="s">
        <v>17008</v>
      </c>
      <c r="AG4403" t="s">
        <v>16361</v>
      </c>
      <c r="AH4403">
        <v>-1.36</v>
      </c>
      <c r="AI4403">
        <v>2.13</v>
      </c>
      <c r="AJ4403">
        <v>5.75</v>
      </c>
      <c r="AK4403">
        <v>11.12</v>
      </c>
      <c r="AL4403">
        <v>-1</v>
      </c>
      <c r="AM4403">
        <v>-1.55</v>
      </c>
      <c r="AN4403">
        <v>8.25</v>
      </c>
      <c r="AO4403">
        <v>8.08</v>
      </c>
      <c r="AP4403">
        <v>-9.54</v>
      </c>
    </row>
    <row r="4404" spans="1:42">
      <c r="A4404">
        <v>4403</v>
      </c>
      <c r="B4404" t="str">
        <f>"605180"</f>
        <v>605180</v>
      </c>
      <c r="C4404" t="s">
        <v>20595</v>
      </c>
      <c r="D4404">
        <v>14.33</v>
      </c>
      <c r="E4404">
        <v>0.92</v>
      </c>
      <c r="F4404">
        <v>0.13</v>
      </c>
      <c r="G4404" t="s">
        <v>1255</v>
      </c>
      <c r="H4404">
        <v>162</v>
      </c>
      <c r="I4404">
        <v>14.33</v>
      </c>
      <c r="J4404">
        <v>14.34</v>
      </c>
      <c r="K4404" t="s">
        <v>20596</v>
      </c>
      <c r="L4404">
        <v>3.68</v>
      </c>
      <c r="M4404" t="s">
        <v>46</v>
      </c>
      <c r="N4404" t="s">
        <v>3811</v>
      </c>
      <c r="O4404">
        <v>14.42</v>
      </c>
      <c r="P4404">
        <v>14.16</v>
      </c>
      <c r="Q4404">
        <v>14.27</v>
      </c>
      <c r="R4404">
        <v>14.2</v>
      </c>
      <c r="S4404">
        <v>1.83</v>
      </c>
      <c r="T4404">
        <v>0.91</v>
      </c>
      <c r="U4404">
        <v>4.46</v>
      </c>
      <c r="V4404">
        <v>31</v>
      </c>
      <c r="W4404">
        <v>14.34</v>
      </c>
      <c r="X4404">
        <v>7145</v>
      </c>
      <c r="Y4404" t="s">
        <v>7974</v>
      </c>
      <c r="Z4404">
        <v>0.66</v>
      </c>
      <c r="AA4404">
        <v>19</v>
      </c>
      <c r="AB4404">
        <v>23</v>
      </c>
      <c r="AC4404">
        <v>2.19</v>
      </c>
      <c r="AD4404" t="s">
        <v>6378</v>
      </c>
      <c r="AE4404" t="s">
        <v>20489</v>
      </c>
      <c r="AF4404" t="s">
        <v>20597</v>
      </c>
      <c r="AG4404" t="s">
        <v>20598</v>
      </c>
      <c r="AH4404">
        <v>-0.35</v>
      </c>
      <c r="AI4404">
        <v>0.21</v>
      </c>
      <c r="AJ4404">
        <v>9.72</v>
      </c>
      <c r="AK4404">
        <v>23.94</v>
      </c>
      <c r="AL4404">
        <v>1</v>
      </c>
      <c r="AM4404">
        <v>0.92</v>
      </c>
      <c r="AN4404">
        <v>20.93</v>
      </c>
      <c r="AO4404">
        <v>4.22</v>
      </c>
      <c r="AP4404">
        <v>9.81</v>
      </c>
    </row>
    <row r="4405" spans="1:42">
      <c r="A4405">
        <v>4404</v>
      </c>
      <c r="B4405" t="str">
        <f>"605336"</f>
        <v>605336</v>
      </c>
      <c r="C4405" t="s">
        <v>20599</v>
      </c>
      <c r="D4405">
        <v>15.34</v>
      </c>
      <c r="E4405">
        <v>-0.9</v>
      </c>
      <c r="F4405">
        <v>-0.14</v>
      </c>
      <c r="G4405" t="s">
        <v>1112</v>
      </c>
      <c r="H4405">
        <v>125</v>
      </c>
      <c r="I4405">
        <v>15.33</v>
      </c>
      <c r="J4405">
        <v>15.34</v>
      </c>
      <c r="K4405" t="s">
        <v>20596</v>
      </c>
      <c r="L4405">
        <v>0.91</v>
      </c>
      <c r="M4405" t="s">
        <v>46</v>
      </c>
      <c r="N4405" t="s">
        <v>1788</v>
      </c>
      <c r="O4405">
        <v>15.49</v>
      </c>
      <c r="P4405">
        <v>15.28</v>
      </c>
      <c r="Q4405">
        <v>15.48</v>
      </c>
      <c r="R4405">
        <v>15.48</v>
      </c>
      <c r="S4405">
        <v>1.36</v>
      </c>
      <c r="T4405">
        <v>1.68</v>
      </c>
      <c r="U4405">
        <v>49.43</v>
      </c>
      <c r="V4405">
        <v>262</v>
      </c>
      <c r="W4405">
        <v>15.34</v>
      </c>
      <c r="X4405" t="s">
        <v>2615</v>
      </c>
      <c r="Y4405">
        <v>6690</v>
      </c>
      <c r="Z4405">
        <v>1.5</v>
      </c>
      <c r="AA4405">
        <v>28</v>
      </c>
      <c r="AB4405">
        <v>12</v>
      </c>
      <c r="AC4405">
        <v>1.46</v>
      </c>
      <c r="AD4405" t="s">
        <v>14478</v>
      </c>
      <c r="AE4405" t="s">
        <v>20600</v>
      </c>
      <c r="AF4405" t="s">
        <v>11652</v>
      </c>
      <c r="AG4405" t="s">
        <v>20601</v>
      </c>
      <c r="AH4405">
        <v>-1.79</v>
      </c>
      <c r="AI4405">
        <v>-2.29</v>
      </c>
      <c r="AJ4405">
        <v>1.95</v>
      </c>
      <c r="AK4405">
        <v>3.62</v>
      </c>
      <c r="AL4405">
        <v>-3</v>
      </c>
      <c r="AM4405">
        <v>-0.9</v>
      </c>
      <c r="AN4405">
        <v>8.64</v>
      </c>
      <c r="AO4405">
        <v>1.66</v>
      </c>
      <c r="AP4405">
        <v>1.93</v>
      </c>
    </row>
    <row r="4406" spans="1:42">
      <c r="A4406">
        <v>4405</v>
      </c>
      <c r="B4406" t="str">
        <f>"300664"</f>
        <v>300664</v>
      </c>
      <c r="C4406" t="s">
        <v>20602</v>
      </c>
      <c r="D4406">
        <v>5.65</v>
      </c>
      <c r="E4406">
        <v>0.53</v>
      </c>
      <c r="F4406">
        <v>0.03</v>
      </c>
      <c r="G4406" t="s">
        <v>7035</v>
      </c>
      <c r="H4406">
        <v>827</v>
      </c>
      <c r="I4406">
        <v>5.65</v>
      </c>
      <c r="J4406">
        <v>5.66</v>
      </c>
      <c r="K4406" t="s">
        <v>20596</v>
      </c>
      <c r="L4406">
        <v>0.59</v>
      </c>
      <c r="M4406" t="s">
        <v>46</v>
      </c>
      <c r="N4406" t="s">
        <v>5535</v>
      </c>
      <c r="O4406">
        <v>5.66</v>
      </c>
      <c r="P4406">
        <v>5.6</v>
      </c>
      <c r="Q4406">
        <v>5.61</v>
      </c>
      <c r="R4406">
        <v>5.62</v>
      </c>
      <c r="S4406">
        <v>1.07</v>
      </c>
      <c r="T4406">
        <v>0.64</v>
      </c>
      <c r="U4406">
        <v>-3.69</v>
      </c>
      <c r="V4406">
        <v>-484</v>
      </c>
      <c r="W4406">
        <v>5.63</v>
      </c>
      <c r="X4406" t="s">
        <v>9024</v>
      </c>
      <c r="Y4406" t="s">
        <v>48</v>
      </c>
      <c r="Z4406">
        <v>0.83</v>
      </c>
      <c r="AA4406">
        <v>26</v>
      </c>
      <c r="AB4406">
        <v>2803</v>
      </c>
      <c r="AC4406">
        <v>1.04</v>
      </c>
      <c r="AD4406" t="s">
        <v>20603</v>
      </c>
      <c r="AE4406" t="s">
        <v>14967</v>
      </c>
      <c r="AF4406" t="s">
        <v>20604</v>
      </c>
      <c r="AG4406" t="s">
        <v>20605</v>
      </c>
      <c r="AH4406">
        <v>-0.53</v>
      </c>
      <c r="AI4406">
        <v>-2.08</v>
      </c>
      <c r="AJ4406">
        <v>1.99</v>
      </c>
      <c r="AK4406">
        <v>5.25</v>
      </c>
      <c r="AL4406">
        <v>1</v>
      </c>
      <c r="AM4406">
        <v>0.53</v>
      </c>
      <c r="AN4406">
        <v>13</v>
      </c>
      <c r="AO4406">
        <v>0.53</v>
      </c>
      <c r="AP4406">
        <v>8.45</v>
      </c>
    </row>
    <row r="4407" spans="1:42">
      <c r="A4407">
        <v>4406</v>
      </c>
      <c r="B4407" t="str">
        <f>"300427"</f>
        <v>300427</v>
      </c>
      <c r="C4407" t="s">
        <v>20606</v>
      </c>
      <c r="D4407">
        <v>7.13</v>
      </c>
      <c r="E4407">
        <v>1.86</v>
      </c>
      <c r="F4407">
        <v>0.13</v>
      </c>
      <c r="G4407" t="s">
        <v>2464</v>
      </c>
      <c r="H4407">
        <v>2376</v>
      </c>
      <c r="I4407">
        <v>7.12</v>
      </c>
      <c r="J4407">
        <v>7.13</v>
      </c>
      <c r="K4407" t="s">
        <v>20596</v>
      </c>
      <c r="L4407">
        <v>1.13</v>
      </c>
      <c r="M4407" t="s">
        <v>46</v>
      </c>
      <c r="N4407" t="s">
        <v>1213</v>
      </c>
      <c r="O4407">
        <v>7.14</v>
      </c>
      <c r="P4407">
        <v>7.02</v>
      </c>
      <c r="Q4407">
        <v>7.02</v>
      </c>
      <c r="R4407">
        <v>7</v>
      </c>
      <c r="S4407">
        <v>1.71</v>
      </c>
      <c r="T4407">
        <v>0.55</v>
      </c>
      <c r="U4407">
        <v>30</v>
      </c>
      <c r="V4407">
        <v>543</v>
      </c>
      <c r="W4407">
        <v>7.08</v>
      </c>
      <c r="X4407" t="s">
        <v>2877</v>
      </c>
      <c r="Y4407" t="s">
        <v>1692</v>
      </c>
      <c r="Z4407">
        <v>1.21</v>
      </c>
      <c r="AA4407">
        <v>10</v>
      </c>
      <c r="AB4407">
        <v>57</v>
      </c>
      <c r="AC4407">
        <v>1.66</v>
      </c>
      <c r="AD4407" t="s">
        <v>19356</v>
      </c>
      <c r="AE4407" t="s">
        <v>5753</v>
      </c>
      <c r="AF4407" t="s">
        <v>20607</v>
      </c>
      <c r="AG4407" t="s">
        <v>20608</v>
      </c>
      <c r="AH4407">
        <v>-2.19</v>
      </c>
      <c r="AI4407">
        <v>-5.31</v>
      </c>
      <c r="AJ4407">
        <v>4.35</v>
      </c>
      <c r="AK4407">
        <v>11.42</v>
      </c>
      <c r="AL4407">
        <v>2</v>
      </c>
      <c r="AM4407">
        <v>1.86</v>
      </c>
      <c r="AN4407">
        <v>-57.61</v>
      </c>
      <c r="AO4407">
        <v>12.28</v>
      </c>
      <c r="AP4407">
        <v>-59.67</v>
      </c>
    </row>
    <row r="4408" spans="1:42">
      <c r="A4408">
        <v>4407</v>
      </c>
      <c r="B4408" t="str">
        <f>"600876"</f>
        <v>600876</v>
      </c>
      <c r="C4408" t="s">
        <v>20609</v>
      </c>
      <c r="D4408">
        <v>13.77</v>
      </c>
      <c r="E4408">
        <v>1.18</v>
      </c>
      <c r="F4408">
        <v>0.16</v>
      </c>
      <c r="G4408" t="s">
        <v>1072</v>
      </c>
      <c r="H4408">
        <v>236</v>
      </c>
      <c r="I4408">
        <v>13.77</v>
      </c>
      <c r="J4408">
        <v>13.78</v>
      </c>
      <c r="K4408" t="s">
        <v>20610</v>
      </c>
      <c r="L4408">
        <v>0.49</v>
      </c>
      <c r="M4408" t="s">
        <v>46</v>
      </c>
      <c r="N4408" t="s">
        <v>1485</v>
      </c>
      <c r="O4408">
        <v>13.82</v>
      </c>
      <c r="P4408">
        <v>13.55</v>
      </c>
      <c r="Q4408">
        <v>13.7</v>
      </c>
      <c r="R4408">
        <v>13.61</v>
      </c>
      <c r="S4408">
        <v>1.98</v>
      </c>
      <c r="T4408">
        <v>1.16</v>
      </c>
      <c r="U4408">
        <v>23.67</v>
      </c>
      <c r="V4408">
        <v>111</v>
      </c>
      <c r="W4408">
        <v>13.67</v>
      </c>
      <c r="X4408">
        <v>8607</v>
      </c>
      <c r="Y4408" t="s">
        <v>2074</v>
      </c>
      <c r="Z4408">
        <v>0.85</v>
      </c>
      <c r="AA4408">
        <v>96</v>
      </c>
      <c r="AB4408">
        <v>37</v>
      </c>
      <c r="AC4408">
        <v>2.01</v>
      </c>
      <c r="AD4408" t="s">
        <v>20611</v>
      </c>
      <c r="AE4408" t="s">
        <v>20612</v>
      </c>
      <c r="AF4408" t="s">
        <v>20613</v>
      </c>
      <c r="AG4408" t="s">
        <v>17868</v>
      </c>
      <c r="AH4408">
        <v>-1.22</v>
      </c>
      <c r="AI4408">
        <v>-1.85</v>
      </c>
      <c r="AJ4408">
        <v>1.38</v>
      </c>
      <c r="AK4408">
        <v>2.61</v>
      </c>
      <c r="AL4408">
        <v>1</v>
      </c>
      <c r="AM4408">
        <v>1.18</v>
      </c>
      <c r="AN4408">
        <v>-31.29</v>
      </c>
      <c r="AO4408">
        <v>0.07</v>
      </c>
      <c r="AP4408">
        <v>-34.15</v>
      </c>
    </row>
    <row r="4409" spans="1:42">
      <c r="A4409">
        <v>4408</v>
      </c>
      <c r="B4409" t="str">
        <f>"688419"</f>
        <v>688419</v>
      </c>
      <c r="C4409" t="s">
        <v>20614</v>
      </c>
      <c r="D4409">
        <v>38.22</v>
      </c>
      <c r="E4409">
        <v>-0.44</v>
      </c>
      <c r="F4409">
        <v>-0.17</v>
      </c>
      <c r="G4409">
        <v>6744</v>
      </c>
      <c r="H4409">
        <v>92</v>
      </c>
      <c r="I4409">
        <v>38.22</v>
      </c>
      <c r="J4409">
        <v>38.24</v>
      </c>
      <c r="K4409" t="s">
        <v>20610</v>
      </c>
      <c r="L4409">
        <v>3.37</v>
      </c>
      <c r="M4409" t="s">
        <v>46</v>
      </c>
      <c r="N4409" t="s">
        <v>9102</v>
      </c>
      <c r="O4409">
        <v>38.5</v>
      </c>
      <c r="P4409">
        <v>37.4</v>
      </c>
      <c r="Q4409">
        <v>38.37</v>
      </c>
      <c r="R4409">
        <v>38.39</v>
      </c>
      <c r="S4409">
        <v>2.87</v>
      </c>
      <c r="T4409">
        <v>0.8</v>
      </c>
      <c r="U4409">
        <v>56.27</v>
      </c>
      <c r="V4409">
        <v>85</v>
      </c>
      <c r="W4409">
        <v>38</v>
      </c>
      <c r="X4409">
        <v>4186</v>
      </c>
      <c r="Y4409">
        <v>2558</v>
      </c>
      <c r="Z4409">
        <v>1.64</v>
      </c>
      <c r="AA4409">
        <v>3</v>
      </c>
      <c r="AB4409">
        <v>7</v>
      </c>
      <c r="AC4409">
        <v>3.3</v>
      </c>
      <c r="AD4409" t="s">
        <v>20615</v>
      </c>
      <c r="AE4409" t="s">
        <v>20616</v>
      </c>
      <c r="AF4409" t="s">
        <v>20617</v>
      </c>
      <c r="AG4409" t="s">
        <v>18938</v>
      </c>
      <c r="AH4409">
        <v>-2.99</v>
      </c>
      <c r="AI4409">
        <v>-3.44</v>
      </c>
      <c r="AJ4409">
        <v>9.85</v>
      </c>
      <c r="AK4409">
        <v>24.49</v>
      </c>
      <c r="AL4409">
        <v>-4</v>
      </c>
      <c r="AM4409">
        <v>-0.44</v>
      </c>
      <c r="AN4409">
        <v>21.99</v>
      </c>
      <c r="AO4409">
        <v>0.1</v>
      </c>
      <c r="AP4409">
        <v>-5.82</v>
      </c>
    </row>
    <row r="4410" spans="1:42">
      <c r="A4410">
        <v>4409</v>
      </c>
      <c r="B4410" t="str">
        <f>"300125"</f>
        <v>300125</v>
      </c>
      <c r="C4410" t="s">
        <v>20618</v>
      </c>
      <c r="D4410">
        <v>13.77</v>
      </c>
      <c r="E4410">
        <v>-0.43</v>
      </c>
      <c r="F4410">
        <v>-0.06</v>
      </c>
      <c r="G4410" t="s">
        <v>128</v>
      </c>
      <c r="H4410">
        <v>82</v>
      </c>
      <c r="I4410">
        <v>13.77</v>
      </c>
      <c r="J4410">
        <v>13.8</v>
      </c>
      <c r="K4410" t="s">
        <v>13311</v>
      </c>
      <c r="L4410">
        <v>0.71</v>
      </c>
      <c r="M4410" t="s">
        <v>46</v>
      </c>
      <c r="N4410" t="s">
        <v>11855</v>
      </c>
      <c r="O4410">
        <v>13.91</v>
      </c>
      <c r="P4410">
        <v>13.71</v>
      </c>
      <c r="Q4410">
        <v>13.91</v>
      </c>
      <c r="R4410">
        <v>13.83</v>
      </c>
      <c r="S4410">
        <v>1.45</v>
      </c>
      <c r="T4410">
        <v>0.71</v>
      </c>
      <c r="U4410">
        <v>70.32</v>
      </c>
      <c r="V4410">
        <v>507</v>
      </c>
      <c r="W4410">
        <v>13.81</v>
      </c>
      <c r="X4410" t="s">
        <v>1400</v>
      </c>
      <c r="Y4410">
        <v>8046</v>
      </c>
      <c r="Z4410">
        <v>1.3</v>
      </c>
      <c r="AA4410">
        <v>205</v>
      </c>
      <c r="AB4410">
        <v>42</v>
      </c>
      <c r="AC4410">
        <v>5.27</v>
      </c>
      <c r="AD4410" t="s">
        <v>20619</v>
      </c>
      <c r="AE4410" t="s">
        <v>8856</v>
      </c>
      <c r="AF4410" t="s">
        <v>20620</v>
      </c>
      <c r="AG4410" t="s">
        <v>20621</v>
      </c>
      <c r="AH4410">
        <v>-1.64</v>
      </c>
      <c r="AI4410">
        <v>-4.9</v>
      </c>
      <c r="AJ4410">
        <v>2.52</v>
      </c>
      <c r="AK4410">
        <v>5.71</v>
      </c>
      <c r="AL4410">
        <v>-3</v>
      </c>
      <c r="AM4410">
        <v>-0.43</v>
      </c>
      <c r="AN4410">
        <v>-30.59</v>
      </c>
      <c r="AO4410">
        <v>-6.01</v>
      </c>
      <c r="AP4410">
        <v>-44.25</v>
      </c>
    </row>
    <row r="4411" spans="1:42">
      <c r="A4411">
        <v>4410</v>
      </c>
      <c r="B4411" t="str">
        <f>"301258"</f>
        <v>301258</v>
      </c>
      <c r="C4411" t="s">
        <v>20622</v>
      </c>
      <c r="D4411">
        <v>34.5</v>
      </c>
      <c r="E4411">
        <v>-0.23</v>
      </c>
      <c r="F4411">
        <v>-0.08</v>
      </c>
      <c r="G4411">
        <v>7408</v>
      </c>
      <c r="H4411">
        <v>73</v>
      </c>
      <c r="I4411">
        <v>34.48</v>
      </c>
      <c r="J4411">
        <v>34.5</v>
      </c>
      <c r="K4411" t="s">
        <v>20623</v>
      </c>
      <c r="L4411">
        <v>2.23</v>
      </c>
      <c r="M4411" t="s">
        <v>46</v>
      </c>
      <c r="N4411" t="s">
        <v>3728</v>
      </c>
      <c r="O4411">
        <v>34.77</v>
      </c>
      <c r="P4411">
        <v>34.3</v>
      </c>
      <c r="Q4411">
        <v>34.72</v>
      </c>
      <c r="R4411">
        <v>34.58</v>
      </c>
      <c r="S4411">
        <v>1.36</v>
      </c>
      <c r="T4411">
        <v>0.76</v>
      </c>
      <c r="U4411">
        <v>81.61</v>
      </c>
      <c r="V4411">
        <v>213</v>
      </c>
      <c r="W4411">
        <v>34.49</v>
      </c>
      <c r="X4411">
        <v>4147</v>
      </c>
      <c r="Y4411">
        <v>3261</v>
      </c>
      <c r="Z4411">
        <v>1.27</v>
      </c>
      <c r="AA4411">
        <v>140</v>
      </c>
      <c r="AB4411">
        <v>7</v>
      </c>
      <c r="AC4411">
        <v>1.63</v>
      </c>
      <c r="AD4411" t="s">
        <v>11497</v>
      </c>
      <c r="AE4411" t="s">
        <v>20624</v>
      </c>
      <c r="AF4411" t="s">
        <v>15672</v>
      </c>
      <c r="AG4411" t="s">
        <v>926</v>
      </c>
      <c r="AH4411">
        <v>-2.62</v>
      </c>
      <c r="AI4411">
        <v>-3.44</v>
      </c>
      <c r="AJ4411">
        <v>7.48</v>
      </c>
      <c r="AK4411">
        <v>16.92</v>
      </c>
      <c r="AL4411">
        <v>-3</v>
      </c>
      <c r="AM4411">
        <v>-0.23</v>
      </c>
      <c r="AN4411">
        <v>-10.78</v>
      </c>
      <c r="AO4411">
        <v>-0.03</v>
      </c>
      <c r="AP4411">
        <v>-20.85</v>
      </c>
    </row>
    <row r="4412" spans="1:42">
      <c r="A4412">
        <v>4411</v>
      </c>
      <c r="B4412" t="str">
        <f>"600361"</f>
        <v>600361</v>
      </c>
      <c r="C4412" t="s">
        <v>20625</v>
      </c>
      <c r="D4412">
        <v>4.98</v>
      </c>
      <c r="E4412">
        <v>0.4</v>
      </c>
      <c r="F4412">
        <v>0.02</v>
      </c>
      <c r="G4412" t="s">
        <v>7642</v>
      </c>
      <c r="H4412">
        <v>391</v>
      </c>
      <c r="I4412">
        <v>4.97</v>
      </c>
      <c r="J4412">
        <v>4.98</v>
      </c>
      <c r="K4412" t="s">
        <v>20626</v>
      </c>
      <c r="L4412">
        <v>1.1</v>
      </c>
      <c r="M4412" t="s">
        <v>46</v>
      </c>
      <c r="N4412" t="s">
        <v>20627</v>
      </c>
      <c r="O4412">
        <v>4.99</v>
      </c>
      <c r="P4412">
        <v>4.93</v>
      </c>
      <c r="Q4412">
        <v>4.95</v>
      </c>
      <c r="R4412">
        <v>4.96</v>
      </c>
      <c r="S4412">
        <v>1.21</v>
      </c>
      <c r="T4412">
        <v>0.79</v>
      </c>
      <c r="U4412">
        <v>1.5</v>
      </c>
      <c r="V4412">
        <v>118</v>
      </c>
      <c r="W4412">
        <v>4.96</v>
      </c>
      <c r="X4412" t="s">
        <v>48</v>
      </c>
      <c r="Y4412" t="s">
        <v>914</v>
      </c>
      <c r="Z4412">
        <v>0.93</v>
      </c>
      <c r="AA4412">
        <v>1478</v>
      </c>
      <c r="AB4412">
        <v>500</v>
      </c>
      <c r="AC4412">
        <v>2.18</v>
      </c>
      <c r="AD4412" t="s">
        <v>20628</v>
      </c>
      <c r="AE4412" t="s">
        <v>20629</v>
      </c>
      <c r="AF4412" t="s">
        <v>16605</v>
      </c>
      <c r="AG4412" t="s">
        <v>17665</v>
      </c>
      <c r="AH4412">
        <v>-0.99</v>
      </c>
      <c r="AI4412">
        <v>-0.6</v>
      </c>
      <c r="AJ4412">
        <v>3.3</v>
      </c>
      <c r="AK4412">
        <v>8.02</v>
      </c>
      <c r="AL4412">
        <v>1</v>
      </c>
      <c r="AM4412">
        <v>0.4</v>
      </c>
      <c r="AN4412">
        <v>-17</v>
      </c>
      <c r="AO4412">
        <v>-1.78</v>
      </c>
      <c r="AP4412">
        <v>-22.19</v>
      </c>
    </row>
    <row r="4413" spans="1:42">
      <c r="A4413">
        <v>4412</v>
      </c>
      <c r="B4413" t="str">
        <f>"603988"</f>
        <v>603988</v>
      </c>
      <c r="C4413" t="s">
        <v>20630</v>
      </c>
      <c r="D4413">
        <v>11.04</v>
      </c>
      <c r="E4413">
        <v>-0.54</v>
      </c>
      <c r="F4413">
        <v>-0.06</v>
      </c>
      <c r="G4413" t="s">
        <v>5620</v>
      </c>
      <c r="H4413">
        <v>69</v>
      </c>
      <c r="I4413">
        <v>11.03</v>
      </c>
      <c r="J4413">
        <v>11.04</v>
      </c>
      <c r="K4413" t="s">
        <v>20626</v>
      </c>
      <c r="L4413">
        <v>0.99</v>
      </c>
      <c r="M4413" t="s">
        <v>46</v>
      </c>
      <c r="N4413" t="s">
        <v>7011</v>
      </c>
      <c r="O4413">
        <v>11.11</v>
      </c>
      <c r="P4413">
        <v>10.91</v>
      </c>
      <c r="Q4413">
        <v>11.11</v>
      </c>
      <c r="R4413">
        <v>11.1</v>
      </c>
      <c r="S4413">
        <v>1.8</v>
      </c>
      <c r="T4413">
        <v>0.56</v>
      </c>
      <c r="U4413">
        <v>15.77</v>
      </c>
      <c r="V4413">
        <v>210</v>
      </c>
      <c r="W4413">
        <v>11.01</v>
      </c>
      <c r="X4413" t="s">
        <v>734</v>
      </c>
      <c r="Y4413" t="s">
        <v>8636</v>
      </c>
      <c r="Z4413">
        <v>0.94</v>
      </c>
      <c r="AA4413">
        <v>207</v>
      </c>
      <c r="AB4413">
        <v>34</v>
      </c>
      <c r="AC4413">
        <v>4.08</v>
      </c>
      <c r="AD4413" t="s">
        <v>8227</v>
      </c>
      <c r="AE4413" t="s">
        <v>8546</v>
      </c>
      <c r="AF4413" t="s">
        <v>8227</v>
      </c>
      <c r="AG4413" t="s">
        <v>8546</v>
      </c>
      <c r="AH4413">
        <v>-1.08</v>
      </c>
      <c r="AI4413">
        <v>-0.09</v>
      </c>
      <c r="AJ4413">
        <v>3.85</v>
      </c>
      <c r="AK4413">
        <v>9.85</v>
      </c>
      <c r="AL4413">
        <v>-3</v>
      </c>
      <c r="AM4413">
        <v>-0.54</v>
      </c>
      <c r="AN4413">
        <v>19.74</v>
      </c>
      <c r="AO4413">
        <v>4.55</v>
      </c>
      <c r="AP4413">
        <v>11.07</v>
      </c>
    </row>
    <row r="4414" spans="1:42">
      <c r="A4414">
        <v>4413</v>
      </c>
      <c r="B4414" t="str">
        <f>"301016"</f>
        <v>301016</v>
      </c>
      <c r="C4414" t="s">
        <v>20631</v>
      </c>
      <c r="D4414">
        <v>22.8</v>
      </c>
      <c r="E4414">
        <v>0.09</v>
      </c>
      <c r="F4414">
        <v>0.02</v>
      </c>
      <c r="G4414" t="s">
        <v>734</v>
      </c>
      <c r="H4414">
        <v>31</v>
      </c>
      <c r="I4414">
        <v>22.8</v>
      </c>
      <c r="J4414">
        <v>22.82</v>
      </c>
      <c r="K4414" t="s">
        <v>20626</v>
      </c>
      <c r="L4414">
        <v>3.75</v>
      </c>
      <c r="M4414" t="s">
        <v>46</v>
      </c>
      <c r="N4414" t="s">
        <v>4655</v>
      </c>
      <c r="O4414">
        <v>22.99</v>
      </c>
      <c r="P4414">
        <v>22.38</v>
      </c>
      <c r="Q4414">
        <v>22.79</v>
      </c>
      <c r="R4414">
        <v>22.78</v>
      </c>
      <c r="S4414">
        <v>2.68</v>
      </c>
      <c r="T4414">
        <v>0.88</v>
      </c>
      <c r="U4414">
        <v>57.63</v>
      </c>
      <c r="V4414">
        <v>457</v>
      </c>
      <c r="W4414">
        <v>22.72</v>
      </c>
      <c r="X4414">
        <v>6099</v>
      </c>
      <c r="Y4414">
        <v>5141</v>
      </c>
      <c r="Z4414">
        <v>1.19</v>
      </c>
      <c r="AA4414">
        <v>74</v>
      </c>
      <c r="AB4414">
        <v>100</v>
      </c>
      <c r="AC4414">
        <v>2.76</v>
      </c>
      <c r="AD4414" t="s">
        <v>5210</v>
      </c>
      <c r="AE4414" t="s">
        <v>20632</v>
      </c>
      <c r="AF4414" t="s">
        <v>7769</v>
      </c>
      <c r="AG4414" t="s">
        <v>15245</v>
      </c>
      <c r="AH4414">
        <v>-2.65</v>
      </c>
      <c r="AI4414">
        <v>-1.94</v>
      </c>
      <c r="AJ4414">
        <v>11.09</v>
      </c>
      <c r="AK4414">
        <v>24.97</v>
      </c>
      <c r="AL4414">
        <v>1</v>
      </c>
      <c r="AM4414">
        <v>0.09</v>
      </c>
      <c r="AN4414">
        <v>16.92</v>
      </c>
      <c r="AO4414">
        <v>0.66</v>
      </c>
      <c r="AP4414">
        <v>16.45</v>
      </c>
    </row>
    <row r="4415" spans="1:42">
      <c r="A4415">
        <v>4414</v>
      </c>
      <c r="B4415" t="str">
        <f>"603337"</f>
        <v>603337</v>
      </c>
      <c r="C4415" t="s">
        <v>20633</v>
      </c>
      <c r="D4415">
        <v>21.24</v>
      </c>
      <c r="E4415">
        <v>-1.71</v>
      </c>
      <c r="F4415">
        <v>-0.37</v>
      </c>
      <c r="G4415" t="s">
        <v>8636</v>
      </c>
      <c r="H4415">
        <v>182</v>
      </c>
      <c r="I4415">
        <v>21.2</v>
      </c>
      <c r="J4415">
        <v>21.24</v>
      </c>
      <c r="K4415" t="s">
        <v>20626</v>
      </c>
      <c r="L4415">
        <v>0.25</v>
      </c>
      <c r="M4415" t="s">
        <v>46</v>
      </c>
      <c r="N4415" t="s">
        <v>12348</v>
      </c>
      <c r="O4415">
        <v>21.61</v>
      </c>
      <c r="P4415">
        <v>21.12</v>
      </c>
      <c r="Q4415">
        <v>21.41</v>
      </c>
      <c r="R4415">
        <v>21.61</v>
      </c>
      <c r="S4415">
        <v>2.27</v>
      </c>
      <c r="T4415">
        <v>0.83</v>
      </c>
      <c r="U4415">
        <v>-1.85</v>
      </c>
      <c r="V4415">
        <v>-4</v>
      </c>
      <c r="W4415">
        <v>21.3</v>
      </c>
      <c r="X4415">
        <v>5404</v>
      </c>
      <c r="Y4415">
        <v>6582</v>
      </c>
      <c r="Z4415">
        <v>0.82</v>
      </c>
      <c r="AA4415">
        <v>36</v>
      </c>
      <c r="AB4415">
        <v>53</v>
      </c>
      <c r="AC4415">
        <v>2.36</v>
      </c>
      <c r="AD4415" t="s">
        <v>20634</v>
      </c>
      <c r="AE4415" t="s">
        <v>16723</v>
      </c>
      <c r="AF4415" t="s">
        <v>20635</v>
      </c>
      <c r="AG4415" t="s">
        <v>6556</v>
      </c>
      <c r="AH4415">
        <v>-2.3</v>
      </c>
      <c r="AI4415">
        <v>1.29</v>
      </c>
      <c r="AJ4415">
        <v>0.77</v>
      </c>
      <c r="AK4415">
        <v>1.77</v>
      </c>
      <c r="AL4415">
        <v>-1</v>
      </c>
      <c r="AM4415">
        <v>-1.71</v>
      </c>
      <c r="AN4415">
        <v>13.46</v>
      </c>
      <c r="AO4415">
        <v>-0.61</v>
      </c>
      <c r="AP4415">
        <v>9.82</v>
      </c>
    </row>
    <row r="4416" spans="1:42">
      <c r="A4416">
        <v>4415</v>
      </c>
      <c r="B4416" t="str">
        <f>"301233"</f>
        <v>301233</v>
      </c>
      <c r="C4416" t="s">
        <v>20636</v>
      </c>
      <c r="D4416">
        <v>44.36</v>
      </c>
      <c r="E4416">
        <v>-0.54</v>
      </c>
      <c r="F4416">
        <v>-0.24</v>
      </c>
      <c r="G4416">
        <v>5763</v>
      </c>
      <c r="H4416">
        <v>62</v>
      </c>
      <c r="I4416">
        <v>44.35</v>
      </c>
      <c r="J4416">
        <v>44.36</v>
      </c>
      <c r="K4416" t="s">
        <v>20637</v>
      </c>
      <c r="L4416">
        <v>3.12</v>
      </c>
      <c r="M4416" t="s">
        <v>46</v>
      </c>
      <c r="N4416" t="s">
        <v>5940</v>
      </c>
      <c r="O4416">
        <v>44.74</v>
      </c>
      <c r="P4416">
        <v>43.91</v>
      </c>
      <c r="Q4416">
        <v>44.61</v>
      </c>
      <c r="R4416">
        <v>44.6</v>
      </c>
      <c r="S4416">
        <v>1.86</v>
      </c>
      <c r="T4416">
        <v>0.74</v>
      </c>
      <c r="U4416">
        <v>-10.45</v>
      </c>
      <c r="V4416">
        <v>-7</v>
      </c>
      <c r="W4416">
        <v>44.25</v>
      </c>
      <c r="X4416">
        <v>3348</v>
      </c>
      <c r="Y4416">
        <v>2415</v>
      </c>
      <c r="Z4416">
        <v>1.39</v>
      </c>
      <c r="AA4416">
        <v>2</v>
      </c>
      <c r="AB4416">
        <v>6</v>
      </c>
      <c r="AC4416">
        <v>2.63</v>
      </c>
      <c r="AD4416" t="s">
        <v>20638</v>
      </c>
      <c r="AE4416" t="s">
        <v>12749</v>
      </c>
      <c r="AF4416" t="s">
        <v>20639</v>
      </c>
      <c r="AG4416" t="s">
        <v>20640</v>
      </c>
      <c r="AH4416">
        <v>-1.25</v>
      </c>
      <c r="AI4416">
        <v>-1.38</v>
      </c>
      <c r="AJ4416">
        <v>11.8</v>
      </c>
      <c r="AK4416">
        <v>24.3</v>
      </c>
      <c r="AL4416">
        <v>-1</v>
      </c>
      <c r="AM4416">
        <v>-0.54</v>
      </c>
      <c r="AN4416">
        <v>31.51</v>
      </c>
      <c r="AO4416">
        <v>1.7</v>
      </c>
      <c r="AP4416">
        <v>17.73</v>
      </c>
    </row>
    <row r="4417" spans="1:42">
      <c r="A4417">
        <v>4416</v>
      </c>
      <c r="B4417" t="str">
        <f>"300243"</f>
        <v>300243</v>
      </c>
      <c r="C4417" t="s">
        <v>20641</v>
      </c>
      <c r="D4417">
        <v>9.85</v>
      </c>
      <c r="E4417">
        <v>-0.4</v>
      </c>
      <c r="F4417">
        <v>-0.04</v>
      </c>
      <c r="G4417" t="s">
        <v>1077</v>
      </c>
      <c r="H4417">
        <v>308</v>
      </c>
      <c r="I4417">
        <v>9.85</v>
      </c>
      <c r="J4417">
        <v>9.88</v>
      </c>
      <c r="K4417" t="s">
        <v>20637</v>
      </c>
      <c r="L4417">
        <v>1.35</v>
      </c>
      <c r="M4417" t="s">
        <v>46</v>
      </c>
      <c r="N4417" t="s">
        <v>3538</v>
      </c>
      <c r="O4417">
        <v>9.95</v>
      </c>
      <c r="P4417">
        <v>9.81</v>
      </c>
      <c r="Q4417">
        <v>9.86</v>
      </c>
      <c r="R4417">
        <v>9.89</v>
      </c>
      <c r="S4417">
        <v>1.42</v>
      </c>
      <c r="T4417">
        <v>1.08</v>
      </c>
      <c r="U4417">
        <v>4.02</v>
      </c>
      <c r="V4417">
        <v>52</v>
      </c>
      <c r="W4417">
        <v>9.87</v>
      </c>
      <c r="X4417" t="s">
        <v>6212</v>
      </c>
      <c r="Y4417" t="s">
        <v>1967</v>
      </c>
      <c r="Z4417">
        <v>0.96</v>
      </c>
      <c r="AA4417">
        <v>170</v>
      </c>
      <c r="AB4417">
        <v>126</v>
      </c>
      <c r="AC4417">
        <v>2.44</v>
      </c>
      <c r="AD4417" t="s">
        <v>6289</v>
      </c>
      <c r="AE4417" t="s">
        <v>17115</v>
      </c>
      <c r="AF4417" t="s">
        <v>14607</v>
      </c>
      <c r="AG4417" t="s">
        <v>17100</v>
      </c>
      <c r="AH4417">
        <v>-1.4</v>
      </c>
      <c r="AI4417">
        <v>-0.81</v>
      </c>
      <c r="AJ4417">
        <v>3.89</v>
      </c>
      <c r="AK4417">
        <v>7.63</v>
      </c>
      <c r="AL4417">
        <v>-3</v>
      </c>
      <c r="AM4417">
        <v>-0.4</v>
      </c>
      <c r="AN4417">
        <v>27.43</v>
      </c>
      <c r="AO4417">
        <v>1.23</v>
      </c>
      <c r="AP4417">
        <v>12.83</v>
      </c>
    </row>
    <row r="4418" spans="1:42">
      <c r="A4418">
        <v>4417</v>
      </c>
      <c r="B4418" t="str">
        <f>"600810"</f>
        <v>600810</v>
      </c>
      <c r="C4418" t="s">
        <v>20642</v>
      </c>
      <c r="D4418">
        <v>7.83</v>
      </c>
      <c r="E4418">
        <v>0.64</v>
      </c>
      <c r="F4418">
        <v>0.05</v>
      </c>
      <c r="G4418" t="s">
        <v>4761</v>
      </c>
      <c r="H4418">
        <v>183</v>
      </c>
      <c r="I4418">
        <v>7.83</v>
      </c>
      <c r="J4418">
        <v>7.85</v>
      </c>
      <c r="K4418" t="s">
        <v>20643</v>
      </c>
      <c r="L4418">
        <v>0.31</v>
      </c>
      <c r="M4418" t="s">
        <v>46</v>
      </c>
      <c r="N4418" t="s">
        <v>20644</v>
      </c>
      <c r="O4418">
        <v>7.87</v>
      </c>
      <c r="P4418">
        <v>7.72</v>
      </c>
      <c r="Q4418">
        <v>7.79</v>
      </c>
      <c r="R4418">
        <v>7.78</v>
      </c>
      <c r="S4418">
        <v>1.93</v>
      </c>
      <c r="T4418">
        <v>0.64</v>
      </c>
      <c r="U4418">
        <v>-52.32</v>
      </c>
      <c r="V4418">
        <v>-1332</v>
      </c>
      <c r="W4418">
        <v>7.83</v>
      </c>
      <c r="X4418" t="s">
        <v>3793</v>
      </c>
      <c r="Y4418" t="s">
        <v>2575</v>
      </c>
      <c r="Z4418">
        <v>0.85</v>
      </c>
      <c r="AA4418">
        <v>40</v>
      </c>
      <c r="AB4418">
        <v>175</v>
      </c>
      <c r="AC4418">
        <v>1.11</v>
      </c>
      <c r="AD4418" t="s">
        <v>11205</v>
      </c>
      <c r="AE4418" t="s">
        <v>20645</v>
      </c>
      <c r="AF4418" t="s">
        <v>11205</v>
      </c>
      <c r="AG4418" t="s">
        <v>20645</v>
      </c>
      <c r="AH4418">
        <v>-1.14</v>
      </c>
      <c r="AI4418">
        <v>-1.14</v>
      </c>
      <c r="AJ4418">
        <v>0.96</v>
      </c>
      <c r="AK4418">
        <v>2.74</v>
      </c>
      <c r="AL4418">
        <v>1</v>
      </c>
      <c r="AM4418">
        <v>0.64</v>
      </c>
      <c r="AN4418">
        <v>2.49</v>
      </c>
      <c r="AO4418">
        <v>-0.76</v>
      </c>
      <c r="AP4418">
        <v>2.35</v>
      </c>
    </row>
    <row r="4419" spans="1:42">
      <c r="A4419">
        <v>4418</v>
      </c>
      <c r="B4419" t="str">
        <f>"300902"</f>
        <v>300902</v>
      </c>
      <c r="C4419" t="s">
        <v>20646</v>
      </c>
      <c r="D4419">
        <v>34.18</v>
      </c>
      <c r="E4419">
        <v>0.62</v>
      </c>
      <c r="F4419">
        <v>0.21</v>
      </c>
      <c r="G4419">
        <v>7471</v>
      </c>
      <c r="H4419">
        <v>45</v>
      </c>
      <c r="I4419">
        <v>34.12</v>
      </c>
      <c r="J4419">
        <v>34.18</v>
      </c>
      <c r="K4419" t="s">
        <v>20647</v>
      </c>
      <c r="L4419">
        <v>0.93</v>
      </c>
      <c r="M4419" t="s">
        <v>46</v>
      </c>
      <c r="N4419" t="s">
        <v>5496</v>
      </c>
      <c r="O4419">
        <v>34.46</v>
      </c>
      <c r="P4419">
        <v>33.77</v>
      </c>
      <c r="Q4419">
        <v>34.19</v>
      </c>
      <c r="R4419">
        <v>33.97</v>
      </c>
      <c r="S4419">
        <v>2.03</v>
      </c>
      <c r="T4419">
        <v>0.61</v>
      </c>
      <c r="U4419">
        <v>-41.46</v>
      </c>
      <c r="V4419">
        <v>-85</v>
      </c>
      <c r="W4419">
        <v>34.05</v>
      </c>
      <c r="X4419">
        <v>3133</v>
      </c>
      <c r="Y4419">
        <v>4338</v>
      </c>
      <c r="Z4419">
        <v>0.72</v>
      </c>
      <c r="AA4419">
        <v>3</v>
      </c>
      <c r="AB4419">
        <v>21</v>
      </c>
      <c r="AC4419">
        <v>4.98</v>
      </c>
      <c r="AD4419" t="s">
        <v>4465</v>
      </c>
      <c r="AE4419" t="s">
        <v>4045</v>
      </c>
      <c r="AF4419" t="s">
        <v>17114</v>
      </c>
      <c r="AG4419" t="s">
        <v>16767</v>
      </c>
      <c r="AH4419">
        <v>-1.81</v>
      </c>
      <c r="AI4419">
        <v>0.29</v>
      </c>
      <c r="AJ4419">
        <v>3.62</v>
      </c>
      <c r="AK4419">
        <v>8.51</v>
      </c>
      <c r="AL4419">
        <v>1</v>
      </c>
      <c r="AM4419">
        <v>0.62</v>
      </c>
      <c r="AN4419">
        <v>24.02</v>
      </c>
      <c r="AO4419">
        <v>-0.26</v>
      </c>
      <c r="AP4419">
        <v>6.98</v>
      </c>
    </row>
    <row r="4420" spans="1:42">
      <c r="A4420">
        <v>4419</v>
      </c>
      <c r="B4420" t="str">
        <f>"002893"</f>
        <v>002893</v>
      </c>
      <c r="C4420" t="s">
        <v>20648</v>
      </c>
      <c r="D4420">
        <v>11.11</v>
      </c>
      <c r="E4420">
        <v>-0.36</v>
      </c>
      <c r="F4420">
        <v>-0.04</v>
      </c>
      <c r="G4420" t="s">
        <v>3611</v>
      </c>
      <c r="H4420">
        <v>275</v>
      </c>
      <c r="I4420">
        <v>11.11</v>
      </c>
      <c r="J4420">
        <v>11.12</v>
      </c>
      <c r="K4420" t="s">
        <v>20647</v>
      </c>
      <c r="L4420">
        <v>1.13</v>
      </c>
      <c r="M4420" t="s">
        <v>46</v>
      </c>
      <c r="N4420" t="s">
        <v>9724</v>
      </c>
      <c r="O4420">
        <v>11.2</v>
      </c>
      <c r="P4420">
        <v>11.1</v>
      </c>
      <c r="Q4420">
        <v>11.2</v>
      </c>
      <c r="R4420">
        <v>11.15</v>
      </c>
      <c r="S4420">
        <v>0.9</v>
      </c>
      <c r="T4420">
        <v>0.76</v>
      </c>
      <c r="U4420">
        <v>39.31</v>
      </c>
      <c r="V4420">
        <v>929</v>
      </c>
      <c r="W4420">
        <v>11.13</v>
      </c>
      <c r="X4420" t="s">
        <v>218</v>
      </c>
      <c r="Y4420" t="s">
        <v>4792</v>
      </c>
      <c r="Z4420">
        <v>0.86</v>
      </c>
      <c r="AA4420">
        <v>508</v>
      </c>
      <c r="AB4420">
        <v>36</v>
      </c>
      <c r="AC4420">
        <v>2.64</v>
      </c>
      <c r="AD4420" t="s">
        <v>20649</v>
      </c>
      <c r="AE4420" t="s">
        <v>20340</v>
      </c>
      <c r="AF4420" t="s">
        <v>19395</v>
      </c>
      <c r="AG4420" t="s">
        <v>7457</v>
      </c>
      <c r="AH4420">
        <v>-1.77</v>
      </c>
      <c r="AI4420">
        <v>-2.8</v>
      </c>
      <c r="AJ4420">
        <v>3.58</v>
      </c>
      <c r="AK4420">
        <v>8.63</v>
      </c>
      <c r="AL4420">
        <v>-3</v>
      </c>
      <c r="AM4420">
        <v>-0.36</v>
      </c>
      <c r="AN4420">
        <v>32.1</v>
      </c>
      <c r="AO4420">
        <v>0.45</v>
      </c>
      <c r="AP4420">
        <v>25.82</v>
      </c>
    </row>
    <row r="4421" spans="1:42">
      <c r="A4421">
        <v>4420</v>
      </c>
      <c r="B4421" t="str">
        <f>"688479"</f>
        <v>688479</v>
      </c>
      <c r="C4421" t="s">
        <v>20650</v>
      </c>
      <c r="D4421">
        <v>25.23</v>
      </c>
      <c r="E4421">
        <v>1.45</v>
      </c>
      <c r="F4421">
        <v>0.36</v>
      </c>
      <c r="G4421" t="s">
        <v>1646</v>
      </c>
      <c r="H4421">
        <v>40</v>
      </c>
      <c r="I4421">
        <v>25.23</v>
      </c>
      <c r="J4421">
        <v>25.26</v>
      </c>
      <c r="K4421" t="s">
        <v>20651</v>
      </c>
      <c r="L4421">
        <v>2.86</v>
      </c>
      <c r="M4421" t="s">
        <v>46</v>
      </c>
      <c r="N4421" t="s">
        <v>2724</v>
      </c>
      <c r="O4421">
        <v>25.31</v>
      </c>
      <c r="P4421">
        <v>24.69</v>
      </c>
      <c r="Q4421">
        <v>24.97</v>
      </c>
      <c r="R4421">
        <v>24.87</v>
      </c>
      <c r="S4421">
        <v>2.49</v>
      </c>
      <c r="T4421">
        <v>1.52</v>
      </c>
      <c r="U4421">
        <v>-19.33</v>
      </c>
      <c r="V4421">
        <v>-75</v>
      </c>
      <c r="W4421">
        <v>25.02</v>
      </c>
      <c r="X4421">
        <v>5252</v>
      </c>
      <c r="Y4421">
        <v>4911</v>
      </c>
      <c r="Z4421">
        <v>1.07</v>
      </c>
      <c r="AA4421">
        <v>47</v>
      </c>
      <c r="AB4421">
        <v>34</v>
      </c>
      <c r="AC4421">
        <v>1.94</v>
      </c>
      <c r="AD4421" t="s">
        <v>20652</v>
      </c>
      <c r="AE4421" t="s">
        <v>18399</v>
      </c>
      <c r="AF4421" t="s">
        <v>20653</v>
      </c>
      <c r="AG4421" t="s">
        <v>20654</v>
      </c>
      <c r="AH4421">
        <v>-1.18</v>
      </c>
      <c r="AI4421">
        <v>-2.89</v>
      </c>
      <c r="AJ4421">
        <v>7.16</v>
      </c>
      <c r="AK4421">
        <v>12.25</v>
      </c>
      <c r="AL4421">
        <v>1</v>
      </c>
      <c r="AM4421">
        <v>1.45</v>
      </c>
      <c r="AN4421">
        <v>-25.77</v>
      </c>
      <c r="AO4421">
        <v>2.31</v>
      </c>
      <c r="AP4421">
        <v>-25.77</v>
      </c>
    </row>
    <row r="4422" spans="1:42">
      <c r="A4422">
        <v>4421</v>
      </c>
      <c r="B4422" t="str">
        <f>"301048"</f>
        <v>301048</v>
      </c>
      <c r="C4422" t="s">
        <v>20655</v>
      </c>
      <c r="D4422">
        <v>10.74</v>
      </c>
      <c r="E4422">
        <v>1.03</v>
      </c>
      <c r="F4422">
        <v>0.11</v>
      </c>
      <c r="G4422" t="s">
        <v>6419</v>
      </c>
      <c r="H4422">
        <v>210</v>
      </c>
      <c r="I4422">
        <v>10.73</v>
      </c>
      <c r="J4422">
        <v>10.74</v>
      </c>
      <c r="K4422" t="s">
        <v>20656</v>
      </c>
      <c r="L4422">
        <v>1.78</v>
      </c>
      <c r="M4422" t="s">
        <v>46</v>
      </c>
      <c r="N4422" t="s">
        <v>4428</v>
      </c>
      <c r="O4422">
        <v>10.78</v>
      </c>
      <c r="P4422">
        <v>10.51</v>
      </c>
      <c r="Q4422">
        <v>10.61</v>
      </c>
      <c r="R4422">
        <v>10.63</v>
      </c>
      <c r="S4422">
        <v>2.54</v>
      </c>
      <c r="T4422">
        <v>0.96</v>
      </c>
      <c r="U4422">
        <v>-3.99</v>
      </c>
      <c r="V4422">
        <v>-106</v>
      </c>
      <c r="W4422">
        <v>10.67</v>
      </c>
      <c r="X4422">
        <v>9694</v>
      </c>
      <c r="Y4422" t="s">
        <v>5446</v>
      </c>
      <c r="Z4422">
        <v>0.69</v>
      </c>
      <c r="AA4422">
        <v>20</v>
      </c>
      <c r="AB4422">
        <v>209</v>
      </c>
      <c r="AC4422">
        <v>2.43</v>
      </c>
      <c r="AD4422" t="s">
        <v>20657</v>
      </c>
      <c r="AE4422" t="s">
        <v>20658</v>
      </c>
      <c r="AF4422" t="s">
        <v>9334</v>
      </c>
      <c r="AG4422" t="s">
        <v>20659</v>
      </c>
      <c r="AH4422">
        <v>-0.37</v>
      </c>
      <c r="AI4422">
        <v>-1.47</v>
      </c>
      <c r="AJ4422">
        <v>5.29</v>
      </c>
      <c r="AK4422">
        <v>11.06</v>
      </c>
      <c r="AL4422">
        <v>1</v>
      </c>
      <c r="AM4422">
        <v>1.03</v>
      </c>
      <c r="AN4422">
        <v>26.8</v>
      </c>
      <c r="AO4422">
        <v>2.78</v>
      </c>
      <c r="AP4422">
        <v>13.65</v>
      </c>
    </row>
    <row r="4423" spans="1:42">
      <c r="A4423">
        <v>4422</v>
      </c>
      <c r="B4423" t="str">
        <f>"300897"</f>
        <v>300897</v>
      </c>
      <c r="C4423" t="s">
        <v>20660</v>
      </c>
      <c r="D4423">
        <v>35.44</v>
      </c>
      <c r="E4423">
        <v>0.06</v>
      </c>
      <c r="F4423">
        <v>0.02</v>
      </c>
      <c r="G4423">
        <v>7180</v>
      </c>
      <c r="H4423">
        <v>146</v>
      </c>
      <c r="I4423">
        <v>35.44</v>
      </c>
      <c r="J4423">
        <v>35.45</v>
      </c>
      <c r="K4423" t="s">
        <v>20656</v>
      </c>
      <c r="L4423">
        <v>1.68</v>
      </c>
      <c r="M4423" t="s">
        <v>46</v>
      </c>
      <c r="N4423" t="s">
        <v>3156</v>
      </c>
      <c r="O4423">
        <v>35.57</v>
      </c>
      <c r="P4423">
        <v>34.95</v>
      </c>
      <c r="Q4423">
        <v>35.42</v>
      </c>
      <c r="R4423">
        <v>35.42</v>
      </c>
      <c r="S4423">
        <v>1.75</v>
      </c>
      <c r="T4423">
        <v>0.93</v>
      </c>
      <c r="U4423">
        <v>80.72</v>
      </c>
      <c r="V4423">
        <v>293</v>
      </c>
      <c r="W4423">
        <v>35.28</v>
      </c>
      <c r="X4423">
        <v>3602</v>
      </c>
      <c r="Y4423">
        <v>3578</v>
      </c>
      <c r="Z4423">
        <v>1.01</v>
      </c>
      <c r="AA4423">
        <v>138</v>
      </c>
      <c r="AB4423">
        <v>21</v>
      </c>
      <c r="AC4423">
        <v>2.54</v>
      </c>
      <c r="AD4423" t="s">
        <v>8052</v>
      </c>
      <c r="AE4423" t="s">
        <v>18629</v>
      </c>
      <c r="AF4423" t="s">
        <v>20661</v>
      </c>
      <c r="AG4423" t="s">
        <v>14172</v>
      </c>
      <c r="AH4423">
        <v>0.2</v>
      </c>
      <c r="AI4423">
        <v>1.87</v>
      </c>
      <c r="AJ4423">
        <v>5</v>
      </c>
      <c r="AK4423">
        <v>10.72</v>
      </c>
      <c r="AL4423">
        <v>1</v>
      </c>
      <c r="AM4423">
        <v>0.06</v>
      </c>
      <c r="AN4423">
        <v>37.52</v>
      </c>
      <c r="AO4423">
        <v>4.73</v>
      </c>
      <c r="AP4423">
        <v>26.66</v>
      </c>
    </row>
    <row r="4424" spans="1:42">
      <c r="A4424">
        <v>4423</v>
      </c>
      <c r="B4424" t="str">
        <f>"002800"</f>
        <v>002800</v>
      </c>
      <c r="C4424" t="s">
        <v>20662</v>
      </c>
      <c r="D4424">
        <v>18.57</v>
      </c>
      <c r="E4424">
        <v>-0.7</v>
      </c>
      <c r="F4424">
        <v>-0.13</v>
      </c>
      <c r="G4424" t="s">
        <v>5183</v>
      </c>
      <c r="H4424">
        <v>154</v>
      </c>
      <c r="I4424">
        <v>18.57</v>
      </c>
      <c r="J4424">
        <v>18.58</v>
      </c>
      <c r="K4424" t="s">
        <v>20663</v>
      </c>
      <c r="L4424">
        <v>1.35</v>
      </c>
      <c r="M4424" t="s">
        <v>46</v>
      </c>
      <c r="N4424" t="s">
        <v>8713</v>
      </c>
      <c r="O4424">
        <v>18.87</v>
      </c>
      <c r="P4424">
        <v>18.34</v>
      </c>
      <c r="Q4424">
        <v>18.58</v>
      </c>
      <c r="R4424">
        <v>18.7</v>
      </c>
      <c r="S4424">
        <v>2.83</v>
      </c>
      <c r="T4424">
        <v>1.17</v>
      </c>
      <c r="U4424">
        <v>81.35</v>
      </c>
      <c r="V4424">
        <v>1439</v>
      </c>
      <c r="W4424">
        <v>18.56</v>
      </c>
      <c r="X4424">
        <v>9086</v>
      </c>
      <c r="Y4424">
        <v>4558</v>
      </c>
      <c r="Z4424">
        <v>1.99</v>
      </c>
      <c r="AA4424">
        <v>1358</v>
      </c>
      <c r="AB4424">
        <v>60</v>
      </c>
      <c r="AC4424">
        <v>3.52</v>
      </c>
      <c r="AD4424" t="s">
        <v>5747</v>
      </c>
      <c r="AE4424" t="s">
        <v>297</v>
      </c>
      <c r="AF4424" t="s">
        <v>11882</v>
      </c>
      <c r="AG4424" t="s">
        <v>20664</v>
      </c>
      <c r="AH4424">
        <v>4.86</v>
      </c>
      <c r="AI4424">
        <v>5.33</v>
      </c>
      <c r="AJ4424">
        <v>5.08</v>
      </c>
      <c r="AK4424">
        <v>7.13</v>
      </c>
      <c r="AL4424">
        <v>-1</v>
      </c>
      <c r="AM4424">
        <v>-0.7</v>
      </c>
      <c r="AN4424">
        <v>-26.37</v>
      </c>
      <c r="AO4424">
        <v>11.06</v>
      </c>
      <c r="AP4424">
        <v>-10.2</v>
      </c>
    </row>
    <row r="4425" spans="1:42">
      <c r="A4425">
        <v>4424</v>
      </c>
      <c r="B4425" t="str">
        <f>"002809"</f>
        <v>002809</v>
      </c>
      <c r="C4425" t="s">
        <v>20665</v>
      </c>
      <c r="D4425">
        <v>10.79</v>
      </c>
      <c r="E4425">
        <v>0.37</v>
      </c>
      <c r="F4425">
        <v>0.04</v>
      </c>
      <c r="G4425" t="s">
        <v>3151</v>
      </c>
      <c r="H4425">
        <v>128</v>
      </c>
      <c r="I4425">
        <v>10.79</v>
      </c>
      <c r="J4425">
        <v>10.8</v>
      </c>
      <c r="K4425" t="s">
        <v>20666</v>
      </c>
      <c r="L4425">
        <v>1.71</v>
      </c>
      <c r="M4425" t="s">
        <v>46</v>
      </c>
      <c r="N4425" t="s">
        <v>14869</v>
      </c>
      <c r="O4425">
        <v>10.86</v>
      </c>
      <c r="P4425">
        <v>10.68</v>
      </c>
      <c r="Q4425">
        <v>10.76</v>
      </c>
      <c r="R4425">
        <v>10.75</v>
      </c>
      <c r="S4425">
        <v>1.67</v>
      </c>
      <c r="T4425">
        <v>1.12</v>
      </c>
      <c r="U4425">
        <v>71.24</v>
      </c>
      <c r="V4425">
        <v>1992</v>
      </c>
      <c r="W4425">
        <v>10.79</v>
      </c>
      <c r="X4425" t="s">
        <v>7974</v>
      </c>
      <c r="Y4425" t="s">
        <v>6212</v>
      </c>
      <c r="Z4425">
        <v>0.85</v>
      </c>
      <c r="AA4425">
        <v>51</v>
      </c>
      <c r="AB4425">
        <v>127</v>
      </c>
      <c r="AC4425">
        <v>1.44</v>
      </c>
      <c r="AD4425" t="s">
        <v>16454</v>
      </c>
      <c r="AE4425" t="s">
        <v>9656</v>
      </c>
      <c r="AF4425" t="s">
        <v>15783</v>
      </c>
      <c r="AG4425" t="s">
        <v>7807</v>
      </c>
      <c r="AH4425">
        <v>-0.92</v>
      </c>
      <c r="AI4425">
        <v>-0.46</v>
      </c>
      <c r="AJ4425">
        <v>5.06</v>
      </c>
      <c r="AK4425">
        <v>9.32</v>
      </c>
      <c r="AL4425">
        <v>1</v>
      </c>
      <c r="AM4425">
        <v>0.37</v>
      </c>
      <c r="AN4425">
        <v>14.42</v>
      </c>
      <c r="AO4425">
        <v>0.94</v>
      </c>
      <c r="AP4425">
        <v>5.06</v>
      </c>
    </row>
    <row r="4426" spans="1:42">
      <c r="A4426">
        <v>4425</v>
      </c>
      <c r="B4426" t="str">
        <f>"002574"</f>
        <v>002574</v>
      </c>
      <c r="C4426" t="s">
        <v>20667</v>
      </c>
      <c r="D4426">
        <v>6.2</v>
      </c>
      <c r="E4426">
        <v>0.98</v>
      </c>
      <c r="F4426">
        <v>0.06</v>
      </c>
      <c r="G4426" t="s">
        <v>2752</v>
      </c>
      <c r="H4426">
        <v>81</v>
      </c>
      <c r="I4426">
        <v>6.19</v>
      </c>
      <c r="J4426">
        <v>6.2</v>
      </c>
      <c r="K4426" t="s">
        <v>20668</v>
      </c>
      <c r="L4426">
        <v>0.77</v>
      </c>
      <c r="M4426" t="s">
        <v>46</v>
      </c>
      <c r="N4426" t="s">
        <v>10862</v>
      </c>
      <c r="O4426">
        <v>6.21</v>
      </c>
      <c r="P4426">
        <v>6.1</v>
      </c>
      <c r="Q4426">
        <v>6.18</v>
      </c>
      <c r="R4426">
        <v>6.14</v>
      </c>
      <c r="S4426">
        <v>1.79</v>
      </c>
      <c r="T4426">
        <v>1.24</v>
      </c>
      <c r="U4426">
        <v>-28.27</v>
      </c>
      <c r="V4426">
        <v>-2271</v>
      </c>
      <c r="W4426">
        <v>6.18</v>
      </c>
      <c r="X4426" t="s">
        <v>5951</v>
      </c>
      <c r="Y4426" t="s">
        <v>7946</v>
      </c>
      <c r="Z4426">
        <v>0.61</v>
      </c>
      <c r="AA4426">
        <v>574</v>
      </c>
      <c r="AB4426">
        <v>133</v>
      </c>
      <c r="AC4426">
        <v>1.07</v>
      </c>
      <c r="AD4426" t="s">
        <v>13348</v>
      </c>
      <c r="AE4426" t="s">
        <v>19720</v>
      </c>
      <c r="AF4426" t="s">
        <v>13348</v>
      </c>
      <c r="AG4426" t="s">
        <v>19720</v>
      </c>
      <c r="AH4426">
        <v>0.32</v>
      </c>
      <c r="AI4426">
        <v>-0.48</v>
      </c>
      <c r="AJ4426">
        <v>2.02</v>
      </c>
      <c r="AK4426">
        <v>3.89</v>
      </c>
      <c r="AL4426">
        <v>1</v>
      </c>
      <c r="AM4426">
        <v>0.98</v>
      </c>
      <c r="AN4426">
        <v>1.97</v>
      </c>
      <c r="AO4426">
        <v>1.64</v>
      </c>
      <c r="AP4426">
        <v>21.57</v>
      </c>
    </row>
    <row r="4427" spans="1:42">
      <c r="A4427">
        <v>4426</v>
      </c>
      <c r="B4427" t="str">
        <f>"603398"</f>
        <v>603398</v>
      </c>
      <c r="C4427" t="s">
        <v>20669</v>
      </c>
      <c r="D4427">
        <v>16.65</v>
      </c>
      <c r="E4427">
        <v>-0.6</v>
      </c>
      <c r="F4427">
        <v>-0.1</v>
      </c>
      <c r="G4427" t="s">
        <v>61</v>
      </c>
      <c r="H4427">
        <v>60</v>
      </c>
      <c r="I4427">
        <v>16.65</v>
      </c>
      <c r="J4427">
        <v>16.66</v>
      </c>
      <c r="K4427" t="s">
        <v>20670</v>
      </c>
      <c r="L4427">
        <v>0.44</v>
      </c>
      <c r="M4427" t="s">
        <v>46</v>
      </c>
      <c r="N4427" t="s">
        <v>119</v>
      </c>
      <c r="O4427">
        <v>16.78</v>
      </c>
      <c r="P4427">
        <v>16.5</v>
      </c>
      <c r="Q4427">
        <v>16.75</v>
      </c>
      <c r="R4427">
        <v>16.75</v>
      </c>
      <c r="S4427">
        <v>1.67</v>
      </c>
      <c r="T4427">
        <v>0.79</v>
      </c>
      <c r="U4427">
        <v>1.2</v>
      </c>
      <c r="V4427">
        <v>3</v>
      </c>
      <c r="W4427">
        <v>16.65</v>
      </c>
      <c r="X4427">
        <v>7224</v>
      </c>
      <c r="Y4427">
        <v>7940</v>
      </c>
      <c r="Z4427">
        <v>0.91</v>
      </c>
      <c r="AA4427">
        <v>8</v>
      </c>
      <c r="AB4427">
        <v>1</v>
      </c>
      <c r="AC4427">
        <v>7.79</v>
      </c>
      <c r="AD4427" t="s">
        <v>20671</v>
      </c>
      <c r="AE4427" t="s">
        <v>16508</v>
      </c>
      <c r="AF4427" t="s">
        <v>20671</v>
      </c>
      <c r="AG4427" t="s">
        <v>16508</v>
      </c>
      <c r="AH4427">
        <v>-1.01</v>
      </c>
      <c r="AI4427">
        <v>-4.58</v>
      </c>
      <c r="AJ4427">
        <v>1.36</v>
      </c>
      <c r="AK4427">
        <v>3.23</v>
      </c>
      <c r="AL4427">
        <v>-1</v>
      </c>
      <c r="AM4427">
        <v>-0.6</v>
      </c>
      <c r="AN4427">
        <v>-40.87</v>
      </c>
      <c r="AO4427">
        <v>-6.57</v>
      </c>
      <c r="AP4427">
        <v>-53.97</v>
      </c>
    </row>
    <row r="4428" spans="1:42">
      <c r="A4428">
        <v>4427</v>
      </c>
      <c r="B4428" t="str">
        <f>"300923"</f>
        <v>300923</v>
      </c>
      <c r="C4428" t="s">
        <v>20672</v>
      </c>
      <c r="D4428">
        <v>24.58</v>
      </c>
      <c r="E4428">
        <v>-1.36</v>
      </c>
      <c r="F4428">
        <v>-0.34</v>
      </c>
      <c r="G4428" t="s">
        <v>1154</v>
      </c>
      <c r="H4428">
        <v>220</v>
      </c>
      <c r="I4428">
        <v>24.57</v>
      </c>
      <c r="J4428">
        <v>24.58</v>
      </c>
      <c r="K4428" t="s">
        <v>20084</v>
      </c>
      <c r="L4428">
        <v>2.95</v>
      </c>
      <c r="M4428" t="s">
        <v>46</v>
      </c>
      <c r="N4428" t="s">
        <v>5418</v>
      </c>
      <c r="O4428">
        <v>24.9</v>
      </c>
      <c r="P4428">
        <v>24.42</v>
      </c>
      <c r="Q4428">
        <v>24.81</v>
      </c>
      <c r="R4428">
        <v>24.92</v>
      </c>
      <c r="S4428">
        <v>1.93</v>
      </c>
      <c r="T4428">
        <v>0.59</v>
      </c>
      <c r="U4428">
        <v>-18.01</v>
      </c>
      <c r="V4428">
        <v>-58</v>
      </c>
      <c r="W4428">
        <v>24.59</v>
      </c>
      <c r="X4428">
        <v>5713</v>
      </c>
      <c r="Y4428">
        <v>4552</v>
      </c>
      <c r="Z4428">
        <v>1.26</v>
      </c>
      <c r="AA4428">
        <v>5</v>
      </c>
      <c r="AB4428">
        <v>32</v>
      </c>
      <c r="AC4428">
        <v>1.67</v>
      </c>
      <c r="AD4428" t="s">
        <v>20673</v>
      </c>
      <c r="AE4428" t="s">
        <v>8992</v>
      </c>
      <c r="AF4428" t="s">
        <v>18755</v>
      </c>
      <c r="AG4428" t="s">
        <v>19132</v>
      </c>
      <c r="AH4428">
        <v>-4.17</v>
      </c>
      <c r="AI4428">
        <v>-1.13</v>
      </c>
      <c r="AJ4428">
        <v>13.83</v>
      </c>
      <c r="AK4428">
        <v>27.82</v>
      </c>
      <c r="AL4428">
        <v>-3</v>
      </c>
      <c r="AM4428">
        <v>-1.36</v>
      </c>
      <c r="AN4428">
        <v>25.28</v>
      </c>
      <c r="AO4428">
        <v>0.74</v>
      </c>
      <c r="AP4428">
        <v>16.27</v>
      </c>
    </row>
    <row r="4429" spans="1:42">
      <c r="A4429">
        <v>4428</v>
      </c>
      <c r="B4429" t="str">
        <f>"300501"</f>
        <v>300501</v>
      </c>
      <c r="C4429" t="s">
        <v>20674</v>
      </c>
      <c r="D4429">
        <v>14.94</v>
      </c>
      <c r="E4429">
        <v>0.67</v>
      </c>
      <c r="F4429">
        <v>0.1</v>
      </c>
      <c r="G4429" t="s">
        <v>1110</v>
      </c>
      <c r="H4429">
        <v>235</v>
      </c>
      <c r="I4429">
        <v>14.94</v>
      </c>
      <c r="J4429">
        <v>14.95</v>
      </c>
      <c r="K4429" t="s">
        <v>20675</v>
      </c>
      <c r="L4429">
        <v>1.35</v>
      </c>
      <c r="M4429" t="s">
        <v>46</v>
      </c>
      <c r="N4429" t="s">
        <v>5162</v>
      </c>
      <c r="O4429">
        <v>15.03</v>
      </c>
      <c r="P4429">
        <v>14.78</v>
      </c>
      <c r="Q4429">
        <v>14.9</v>
      </c>
      <c r="R4429">
        <v>14.84</v>
      </c>
      <c r="S4429">
        <v>1.68</v>
      </c>
      <c r="T4429">
        <v>0.99</v>
      </c>
      <c r="U4429">
        <v>-47.91</v>
      </c>
      <c r="V4429">
        <v>-447</v>
      </c>
      <c r="W4429">
        <v>14.89</v>
      </c>
      <c r="X4429">
        <v>8896</v>
      </c>
      <c r="Y4429">
        <v>8045</v>
      </c>
      <c r="Z4429">
        <v>1.11</v>
      </c>
      <c r="AA4429">
        <v>84</v>
      </c>
      <c r="AB4429">
        <v>158</v>
      </c>
      <c r="AC4429">
        <v>1.72</v>
      </c>
      <c r="AD4429" t="s">
        <v>20676</v>
      </c>
      <c r="AE4429" t="s">
        <v>10758</v>
      </c>
      <c r="AF4429" t="s">
        <v>20677</v>
      </c>
      <c r="AG4429" t="s">
        <v>20678</v>
      </c>
      <c r="AH4429">
        <v>-0.33</v>
      </c>
      <c r="AI4429">
        <v>-1.19</v>
      </c>
      <c r="AJ4429">
        <v>3.58</v>
      </c>
      <c r="AK4429">
        <v>8.23</v>
      </c>
      <c r="AL4429">
        <v>1</v>
      </c>
      <c r="AM4429">
        <v>0.67</v>
      </c>
      <c r="AN4429">
        <v>3.89</v>
      </c>
      <c r="AO4429">
        <v>2.33</v>
      </c>
      <c r="AP4429">
        <v>-2.35</v>
      </c>
    </row>
    <row r="4430" spans="1:42">
      <c r="A4430">
        <v>4429</v>
      </c>
      <c r="B4430" t="str">
        <f>"002365"</f>
        <v>002365</v>
      </c>
      <c r="C4430" t="s">
        <v>20679</v>
      </c>
      <c r="D4430">
        <v>10.33</v>
      </c>
      <c r="E4430">
        <v>0.39</v>
      </c>
      <c r="F4430">
        <v>0.04</v>
      </c>
      <c r="G4430" t="s">
        <v>9272</v>
      </c>
      <c r="H4430">
        <v>211</v>
      </c>
      <c r="I4430">
        <v>10.33</v>
      </c>
      <c r="J4430">
        <v>10.34</v>
      </c>
      <c r="K4430" t="s">
        <v>20680</v>
      </c>
      <c r="L4430">
        <v>1</v>
      </c>
      <c r="M4430" t="s">
        <v>46</v>
      </c>
      <c r="N4430" t="s">
        <v>4182</v>
      </c>
      <c r="O4430">
        <v>10.36</v>
      </c>
      <c r="P4430">
        <v>10.21</v>
      </c>
      <c r="Q4430">
        <v>10.29</v>
      </c>
      <c r="R4430">
        <v>10.29</v>
      </c>
      <c r="S4430">
        <v>1.46</v>
      </c>
      <c r="T4430">
        <v>0.77</v>
      </c>
      <c r="U4430">
        <v>-19.35</v>
      </c>
      <c r="V4430">
        <v>-346</v>
      </c>
      <c r="W4430">
        <v>10.32</v>
      </c>
      <c r="X4430" t="s">
        <v>4443</v>
      </c>
      <c r="Y4430" t="s">
        <v>1777</v>
      </c>
      <c r="Z4430">
        <v>0.82</v>
      </c>
      <c r="AA4430">
        <v>312</v>
      </c>
      <c r="AB4430">
        <v>1</v>
      </c>
      <c r="AC4430">
        <v>1.49</v>
      </c>
      <c r="AD4430" t="s">
        <v>13475</v>
      </c>
      <c r="AE4430" t="s">
        <v>13246</v>
      </c>
      <c r="AF4430" t="s">
        <v>20681</v>
      </c>
      <c r="AG4430" t="s">
        <v>18698</v>
      </c>
      <c r="AH4430">
        <v>-0.48</v>
      </c>
      <c r="AI4430">
        <v>-0.48</v>
      </c>
      <c r="AJ4430">
        <v>2.92</v>
      </c>
      <c r="AK4430">
        <v>7.51</v>
      </c>
      <c r="AL4430">
        <v>2</v>
      </c>
      <c r="AM4430">
        <v>0.39</v>
      </c>
      <c r="AN4430">
        <v>-0.67</v>
      </c>
      <c r="AO4430">
        <v>3.4</v>
      </c>
      <c r="AP4430">
        <v>-11.33</v>
      </c>
    </row>
    <row r="4431" spans="1:42">
      <c r="A4431">
        <v>4430</v>
      </c>
      <c r="B4431" t="str">
        <f>"688398"</f>
        <v>688398</v>
      </c>
      <c r="C4431" t="s">
        <v>20682</v>
      </c>
      <c r="D4431">
        <v>31.99</v>
      </c>
      <c r="E4431">
        <v>0.31</v>
      </c>
      <c r="F4431">
        <v>0.1</v>
      </c>
      <c r="G4431">
        <v>7926</v>
      </c>
      <c r="H4431">
        <v>148</v>
      </c>
      <c r="I4431">
        <v>31.99</v>
      </c>
      <c r="J4431">
        <v>32</v>
      </c>
      <c r="K4431" t="s">
        <v>20683</v>
      </c>
      <c r="L4431">
        <v>0.68</v>
      </c>
      <c r="M4431" t="s">
        <v>46</v>
      </c>
      <c r="N4431" t="s">
        <v>20684</v>
      </c>
      <c r="O4431">
        <v>32.16</v>
      </c>
      <c r="P4431">
        <v>31.32</v>
      </c>
      <c r="Q4431">
        <v>31.86</v>
      </c>
      <c r="R4431">
        <v>31.89</v>
      </c>
      <c r="S4431">
        <v>2.63</v>
      </c>
      <c r="T4431">
        <v>1.2</v>
      </c>
      <c r="U4431">
        <v>-19.14</v>
      </c>
      <c r="V4431">
        <v>-21</v>
      </c>
      <c r="W4431">
        <v>31.81</v>
      </c>
      <c r="X4431">
        <v>3824</v>
      </c>
      <c r="Y4431">
        <v>4103</v>
      </c>
      <c r="Z4431">
        <v>0.93</v>
      </c>
      <c r="AA4431">
        <v>6</v>
      </c>
      <c r="AB4431">
        <v>20</v>
      </c>
      <c r="AC4431">
        <v>3.7</v>
      </c>
      <c r="AD4431" t="s">
        <v>15400</v>
      </c>
      <c r="AE4431" t="s">
        <v>19157</v>
      </c>
      <c r="AF4431" t="s">
        <v>15400</v>
      </c>
      <c r="AG4431" t="s">
        <v>19157</v>
      </c>
      <c r="AH4431">
        <v>-2.02</v>
      </c>
      <c r="AI4431">
        <v>-2.68</v>
      </c>
      <c r="AJ4431">
        <v>2.1</v>
      </c>
      <c r="AK4431">
        <v>3.53</v>
      </c>
      <c r="AL4431">
        <v>1</v>
      </c>
      <c r="AM4431">
        <v>0.31</v>
      </c>
      <c r="AN4431">
        <v>34.81</v>
      </c>
      <c r="AO4431">
        <v>3.19</v>
      </c>
      <c r="AP4431">
        <v>10.04</v>
      </c>
    </row>
    <row r="4432" spans="1:42">
      <c r="A4432">
        <v>4431</v>
      </c>
      <c r="B4432" t="str">
        <f>"600984"</f>
        <v>600984</v>
      </c>
      <c r="C4432" t="s">
        <v>20685</v>
      </c>
      <c r="D4432">
        <v>4.15</v>
      </c>
      <c r="E4432">
        <v>0.97</v>
      </c>
      <c r="F4432">
        <v>0.04</v>
      </c>
      <c r="G4432" t="s">
        <v>5124</v>
      </c>
      <c r="H4432">
        <v>856</v>
      </c>
      <c r="I4432">
        <v>4.14</v>
      </c>
      <c r="J4432">
        <v>4.15</v>
      </c>
      <c r="K4432" t="s">
        <v>20686</v>
      </c>
      <c r="L4432">
        <v>0.49</v>
      </c>
      <c r="M4432" t="s">
        <v>46</v>
      </c>
      <c r="N4432" t="s">
        <v>20687</v>
      </c>
      <c r="O4432">
        <v>4.18</v>
      </c>
      <c r="P4432">
        <v>4.09</v>
      </c>
      <c r="Q4432">
        <v>4.15</v>
      </c>
      <c r="R4432">
        <v>4.11</v>
      </c>
      <c r="S4432">
        <v>2.19</v>
      </c>
      <c r="T4432">
        <v>0.8</v>
      </c>
      <c r="U4432">
        <v>-47.89</v>
      </c>
      <c r="V4432">
        <v>-4608</v>
      </c>
      <c r="W4432">
        <v>4.13</v>
      </c>
      <c r="X4432" t="s">
        <v>4036</v>
      </c>
      <c r="Y4432" t="s">
        <v>5831</v>
      </c>
      <c r="Z4432">
        <v>0.74</v>
      </c>
      <c r="AA4432">
        <v>171</v>
      </c>
      <c r="AB4432">
        <v>1185</v>
      </c>
      <c r="AC4432">
        <v>0.92</v>
      </c>
      <c r="AD4432" t="s">
        <v>13977</v>
      </c>
      <c r="AE4432" t="s">
        <v>9165</v>
      </c>
      <c r="AF4432" t="s">
        <v>13977</v>
      </c>
      <c r="AG4432" t="s">
        <v>9165</v>
      </c>
      <c r="AH4432">
        <v>-0.72</v>
      </c>
      <c r="AI4432">
        <v>-2.35</v>
      </c>
      <c r="AJ4432">
        <v>1.43</v>
      </c>
      <c r="AK4432">
        <v>3.51</v>
      </c>
      <c r="AL4432">
        <v>1</v>
      </c>
      <c r="AM4432">
        <v>0.97</v>
      </c>
      <c r="AN4432">
        <v>-23.99</v>
      </c>
      <c r="AO4432">
        <v>2.22</v>
      </c>
      <c r="AP4432">
        <v>-20.04</v>
      </c>
    </row>
    <row r="4433" spans="1:42">
      <c r="A4433">
        <v>4432</v>
      </c>
      <c r="B4433" t="str">
        <f>"300889"</f>
        <v>300889</v>
      </c>
      <c r="C4433" t="s">
        <v>20688</v>
      </c>
      <c r="D4433">
        <v>16.48</v>
      </c>
      <c r="E4433">
        <v>0</v>
      </c>
      <c r="F4433">
        <v>0</v>
      </c>
      <c r="G4433" t="s">
        <v>578</v>
      </c>
      <c r="H4433">
        <v>138</v>
      </c>
      <c r="I4433">
        <v>16.47</v>
      </c>
      <c r="J4433">
        <v>16.48</v>
      </c>
      <c r="K4433" t="s">
        <v>20686</v>
      </c>
      <c r="L4433">
        <v>1.72</v>
      </c>
      <c r="M4433" t="s">
        <v>46</v>
      </c>
      <c r="N4433" t="s">
        <v>11091</v>
      </c>
      <c r="O4433">
        <v>16.61</v>
      </c>
      <c r="P4433">
        <v>16.34</v>
      </c>
      <c r="Q4433">
        <v>16.4</v>
      </c>
      <c r="R4433">
        <v>16.48</v>
      </c>
      <c r="S4433">
        <v>1.64</v>
      </c>
      <c r="T4433">
        <v>0.64</v>
      </c>
      <c r="U4433">
        <v>11.39</v>
      </c>
      <c r="V4433">
        <v>46</v>
      </c>
      <c r="W4433">
        <v>16.45</v>
      </c>
      <c r="X4433">
        <v>7911</v>
      </c>
      <c r="Y4433">
        <v>7405</v>
      </c>
      <c r="Z4433">
        <v>1.07</v>
      </c>
      <c r="AA4433">
        <v>1</v>
      </c>
      <c r="AB4433">
        <v>80</v>
      </c>
      <c r="AC4433">
        <v>1.63</v>
      </c>
      <c r="AD4433" t="s">
        <v>14866</v>
      </c>
      <c r="AE4433" t="s">
        <v>14778</v>
      </c>
      <c r="AF4433" t="s">
        <v>20689</v>
      </c>
      <c r="AG4433" t="s">
        <v>619</v>
      </c>
      <c r="AH4433">
        <v>-1.32</v>
      </c>
      <c r="AI4433">
        <v>-0.42</v>
      </c>
      <c r="AJ4433">
        <v>6.26</v>
      </c>
      <c r="AK4433">
        <v>15.25</v>
      </c>
      <c r="AL4433">
        <v>0</v>
      </c>
      <c r="AM4433">
        <v>0</v>
      </c>
      <c r="AN4433">
        <v>29.36</v>
      </c>
      <c r="AO4433">
        <v>3.65</v>
      </c>
      <c r="AP4433">
        <v>15.65</v>
      </c>
    </row>
    <row r="4434" spans="1:42">
      <c r="A4434">
        <v>4433</v>
      </c>
      <c r="B4434" t="str">
        <f>"688310"</f>
        <v>688310</v>
      </c>
      <c r="C4434" t="s">
        <v>20690</v>
      </c>
      <c r="D4434">
        <v>36.93</v>
      </c>
      <c r="E4434">
        <v>0.49</v>
      </c>
      <c r="F4434">
        <v>0.18</v>
      </c>
      <c r="G4434">
        <v>6841</v>
      </c>
      <c r="H4434">
        <v>56</v>
      </c>
      <c r="I4434">
        <v>36.88</v>
      </c>
      <c r="J4434">
        <v>36.93</v>
      </c>
      <c r="K4434" t="s">
        <v>20691</v>
      </c>
      <c r="L4434">
        <v>0.58</v>
      </c>
      <c r="M4434" t="s">
        <v>46</v>
      </c>
      <c r="N4434" t="s">
        <v>4344</v>
      </c>
      <c r="O4434">
        <v>37.26</v>
      </c>
      <c r="P4434">
        <v>36.01</v>
      </c>
      <c r="Q4434">
        <v>36.98</v>
      </c>
      <c r="R4434">
        <v>36.75</v>
      </c>
      <c r="S4434">
        <v>3.4</v>
      </c>
      <c r="T4434">
        <v>0.95</v>
      </c>
      <c r="U4434">
        <v>-79.04</v>
      </c>
      <c r="V4434">
        <v>-117</v>
      </c>
      <c r="W4434">
        <v>36.8</v>
      </c>
      <c r="X4434">
        <v>3149</v>
      </c>
      <c r="Y4434">
        <v>3692</v>
      </c>
      <c r="Z4434">
        <v>0.85</v>
      </c>
      <c r="AA4434">
        <v>4</v>
      </c>
      <c r="AB4434">
        <v>30</v>
      </c>
      <c r="AC4434">
        <v>5.07</v>
      </c>
      <c r="AD4434" t="s">
        <v>8563</v>
      </c>
      <c r="AE4434" t="s">
        <v>20692</v>
      </c>
      <c r="AF4434" t="s">
        <v>8563</v>
      </c>
      <c r="AG4434" t="s">
        <v>20692</v>
      </c>
      <c r="AH4434">
        <v>0.08</v>
      </c>
      <c r="AI4434">
        <v>0.35</v>
      </c>
      <c r="AJ4434">
        <v>1.5</v>
      </c>
      <c r="AK4434">
        <v>3.63</v>
      </c>
      <c r="AL4434">
        <v>1</v>
      </c>
      <c r="AM4434">
        <v>0.49</v>
      </c>
      <c r="AN4434">
        <v>110.43</v>
      </c>
      <c r="AO4434">
        <v>-0.19</v>
      </c>
      <c r="AP4434">
        <v>99.3</v>
      </c>
    </row>
    <row r="4435" spans="1:42">
      <c r="A4435">
        <v>4434</v>
      </c>
      <c r="B4435" t="str">
        <f>"603223"</f>
        <v>603223</v>
      </c>
      <c r="C4435" t="s">
        <v>20693</v>
      </c>
      <c r="D4435">
        <v>9.7</v>
      </c>
      <c r="E4435">
        <v>0.1</v>
      </c>
      <c r="F4435">
        <v>0.01</v>
      </c>
      <c r="G4435" t="s">
        <v>4012</v>
      </c>
      <c r="H4435">
        <v>778</v>
      </c>
      <c r="I4435">
        <v>9.69</v>
      </c>
      <c r="J4435">
        <v>9.7</v>
      </c>
      <c r="K4435" t="s">
        <v>20694</v>
      </c>
      <c r="L4435">
        <v>0.47</v>
      </c>
      <c r="M4435" t="s">
        <v>46</v>
      </c>
      <c r="N4435" t="s">
        <v>20695</v>
      </c>
      <c r="O4435">
        <v>9.72</v>
      </c>
      <c r="P4435">
        <v>9.57</v>
      </c>
      <c r="Q4435">
        <v>9.68</v>
      </c>
      <c r="R4435">
        <v>9.69</v>
      </c>
      <c r="S4435">
        <v>1.55</v>
      </c>
      <c r="T4435">
        <v>0.61</v>
      </c>
      <c r="U4435">
        <v>18.78</v>
      </c>
      <c r="V4435">
        <v>579</v>
      </c>
      <c r="W4435">
        <v>9.65</v>
      </c>
      <c r="X4435" t="s">
        <v>144</v>
      </c>
      <c r="Y4435" t="s">
        <v>239</v>
      </c>
      <c r="Z4435">
        <v>1.51</v>
      </c>
      <c r="AA4435">
        <v>162</v>
      </c>
      <c r="AB4435">
        <v>490</v>
      </c>
      <c r="AC4435">
        <v>1.84</v>
      </c>
      <c r="AD4435" t="s">
        <v>16570</v>
      </c>
      <c r="AE4435" t="s">
        <v>20696</v>
      </c>
      <c r="AF4435" t="s">
        <v>20697</v>
      </c>
      <c r="AG4435" t="s">
        <v>4573</v>
      </c>
      <c r="AH4435">
        <v>-1.92</v>
      </c>
      <c r="AI4435">
        <v>-4.9</v>
      </c>
      <c r="AJ4435">
        <v>1.93</v>
      </c>
      <c r="AK4435">
        <v>4.33</v>
      </c>
      <c r="AL4435">
        <v>1</v>
      </c>
      <c r="AM4435">
        <v>0.1</v>
      </c>
      <c r="AN4435">
        <v>-34.77</v>
      </c>
      <c r="AO4435">
        <v>-2.32</v>
      </c>
      <c r="AP4435">
        <v>-35.33</v>
      </c>
    </row>
    <row r="4436" spans="1:42">
      <c r="A4436">
        <v>4435</v>
      </c>
      <c r="B4436" t="str">
        <f>"600638"</f>
        <v>600638</v>
      </c>
      <c r="C4436" t="s">
        <v>20698</v>
      </c>
      <c r="D4436">
        <v>5.9</v>
      </c>
      <c r="E4436">
        <v>1.37</v>
      </c>
      <c r="F4436">
        <v>0.08</v>
      </c>
      <c r="G4436" t="s">
        <v>777</v>
      </c>
      <c r="H4436">
        <v>257</v>
      </c>
      <c r="I4436">
        <v>5.89</v>
      </c>
      <c r="J4436">
        <v>5.9</v>
      </c>
      <c r="K4436" t="s">
        <v>20699</v>
      </c>
      <c r="L4436">
        <v>0.64</v>
      </c>
      <c r="M4436" t="s">
        <v>46</v>
      </c>
      <c r="N4436" t="s">
        <v>14076</v>
      </c>
      <c r="O4436">
        <v>5.9</v>
      </c>
      <c r="P4436">
        <v>5.77</v>
      </c>
      <c r="Q4436">
        <v>5.8</v>
      </c>
      <c r="R4436">
        <v>5.82</v>
      </c>
      <c r="S4436">
        <v>2.23</v>
      </c>
      <c r="T4436">
        <v>0.96</v>
      </c>
      <c r="U4436">
        <v>-26.62</v>
      </c>
      <c r="V4436">
        <v>-983</v>
      </c>
      <c r="W4436">
        <v>5.86</v>
      </c>
      <c r="X4436" t="s">
        <v>5592</v>
      </c>
      <c r="Y4436" t="s">
        <v>2102</v>
      </c>
      <c r="Z4436">
        <v>0.96</v>
      </c>
      <c r="AA4436">
        <v>296</v>
      </c>
      <c r="AB4436">
        <v>546</v>
      </c>
      <c r="AC4436">
        <v>0.89</v>
      </c>
      <c r="AD4436" t="s">
        <v>20700</v>
      </c>
      <c r="AE4436" t="s">
        <v>8463</v>
      </c>
      <c r="AF4436" t="s">
        <v>20700</v>
      </c>
      <c r="AG4436" t="s">
        <v>8463</v>
      </c>
      <c r="AH4436">
        <v>-0.51</v>
      </c>
      <c r="AI4436">
        <v>-3.59</v>
      </c>
      <c r="AJ4436">
        <v>1.68</v>
      </c>
      <c r="AK4436">
        <v>3.97</v>
      </c>
      <c r="AL4436">
        <v>1</v>
      </c>
      <c r="AM4436">
        <v>1.37</v>
      </c>
      <c r="AN4436">
        <v>4.98</v>
      </c>
      <c r="AO4436">
        <v>5.36</v>
      </c>
      <c r="AP4436">
        <v>8.46</v>
      </c>
    </row>
    <row r="4437" spans="1:42">
      <c r="A4437">
        <v>4436</v>
      </c>
      <c r="B4437" t="str">
        <f>"430718"</f>
        <v>430718</v>
      </c>
      <c r="C4437" t="s">
        <v>20701</v>
      </c>
      <c r="D4437">
        <v>9.23</v>
      </c>
      <c r="E4437">
        <v>-0.75</v>
      </c>
      <c r="F4437">
        <v>-0.07</v>
      </c>
      <c r="G4437" t="s">
        <v>10910</v>
      </c>
      <c r="H4437">
        <v>205</v>
      </c>
      <c r="I4437">
        <v>9.22</v>
      </c>
      <c r="J4437">
        <v>9.23</v>
      </c>
      <c r="K4437" t="s">
        <v>20702</v>
      </c>
      <c r="L4437">
        <v>10.98</v>
      </c>
      <c r="M4437" t="s">
        <v>46</v>
      </c>
      <c r="N4437" t="s">
        <v>4622</v>
      </c>
      <c r="O4437">
        <v>9.8</v>
      </c>
      <c r="P4437">
        <v>9.11</v>
      </c>
      <c r="Q4437">
        <v>9.49</v>
      </c>
      <c r="R4437">
        <v>9.3</v>
      </c>
      <c r="S4437">
        <v>7.42</v>
      </c>
      <c r="T4437">
        <v>0.36</v>
      </c>
      <c r="U4437">
        <v>20.71</v>
      </c>
      <c r="V4437">
        <v>136</v>
      </c>
      <c r="W4437">
        <v>9.38</v>
      </c>
      <c r="X4437" t="s">
        <v>144</v>
      </c>
      <c r="Y4437" t="s">
        <v>2807</v>
      </c>
      <c r="Z4437">
        <v>1.41</v>
      </c>
      <c r="AA4437">
        <v>47</v>
      </c>
      <c r="AB4437">
        <v>94</v>
      </c>
      <c r="AC4437">
        <v>1.7</v>
      </c>
      <c r="AD4437" t="s">
        <v>20703</v>
      </c>
      <c r="AE4437" t="s">
        <v>19373</v>
      </c>
      <c r="AF4437" t="s">
        <v>20704</v>
      </c>
      <c r="AG4437" t="s">
        <v>20705</v>
      </c>
      <c r="AH4437">
        <v>-16.85</v>
      </c>
      <c r="AI4437">
        <v>15.52</v>
      </c>
      <c r="AJ4437">
        <v>44.09</v>
      </c>
      <c r="AK4437">
        <v>165.11</v>
      </c>
      <c r="AL4437">
        <v>-4</v>
      </c>
      <c r="AM4437">
        <v>-0.75</v>
      </c>
      <c r="AN4437">
        <v>84.23</v>
      </c>
      <c r="AO4437">
        <v>62.5</v>
      </c>
      <c r="AP4437">
        <v>44.9</v>
      </c>
    </row>
    <row r="4438" spans="1:42">
      <c r="A4438">
        <v>4437</v>
      </c>
      <c r="B4438" t="str">
        <f>"600230"</f>
        <v>600230</v>
      </c>
      <c r="C4438" t="s">
        <v>20706</v>
      </c>
      <c r="D4438">
        <v>13.58</v>
      </c>
      <c r="E4438">
        <v>0.82</v>
      </c>
      <c r="F4438">
        <v>0.11</v>
      </c>
      <c r="G4438" t="s">
        <v>128</v>
      </c>
      <c r="H4438">
        <v>187</v>
      </c>
      <c r="I4438">
        <v>13.58</v>
      </c>
      <c r="J4438">
        <v>13.59</v>
      </c>
      <c r="K4438" t="s">
        <v>20702</v>
      </c>
      <c r="L4438">
        <v>0.45</v>
      </c>
      <c r="M4438" t="s">
        <v>46</v>
      </c>
      <c r="N4438" t="s">
        <v>7924</v>
      </c>
      <c r="O4438">
        <v>13.62</v>
      </c>
      <c r="P4438">
        <v>13.45</v>
      </c>
      <c r="Q4438">
        <v>13.45</v>
      </c>
      <c r="R4438">
        <v>13.47</v>
      </c>
      <c r="S4438">
        <v>1.26</v>
      </c>
      <c r="T4438">
        <v>0.65</v>
      </c>
      <c r="U4438">
        <v>-20.05</v>
      </c>
      <c r="V4438">
        <v>-317</v>
      </c>
      <c r="W4438">
        <v>13.56</v>
      </c>
      <c r="X4438">
        <v>8160</v>
      </c>
      <c r="Y4438" t="s">
        <v>239</v>
      </c>
      <c r="Z4438">
        <v>0.79</v>
      </c>
      <c r="AA4438">
        <v>132</v>
      </c>
      <c r="AB4438">
        <v>246</v>
      </c>
      <c r="AC4438">
        <v>1.4</v>
      </c>
      <c r="AD4438" t="s">
        <v>20707</v>
      </c>
      <c r="AE4438" t="s">
        <v>20708</v>
      </c>
      <c r="AF4438" t="s">
        <v>20709</v>
      </c>
      <c r="AG4438" t="s">
        <v>18937</v>
      </c>
      <c r="AH4438">
        <v>-2.09</v>
      </c>
      <c r="AI4438">
        <v>-4.57</v>
      </c>
      <c r="AJ4438">
        <v>1.56</v>
      </c>
      <c r="AK4438">
        <v>3.92</v>
      </c>
      <c r="AL4438">
        <v>1</v>
      </c>
      <c r="AM4438">
        <v>0.82</v>
      </c>
      <c r="AN4438">
        <v>-16.12</v>
      </c>
      <c r="AO4438">
        <v>-3.55</v>
      </c>
      <c r="AP4438">
        <v>-17.35</v>
      </c>
    </row>
    <row r="4439" spans="1:42">
      <c r="A4439">
        <v>4438</v>
      </c>
      <c r="B4439" t="str">
        <f>"300695"</f>
        <v>300695</v>
      </c>
      <c r="C4439" t="s">
        <v>20710</v>
      </c>
      <c r="D4439">
        <v>54.99</v>
      </c>
      <c r="E4439">
        <v>-0.4</v>
      </c>
      <c r="F4439">
        <v>-0.22</v>
      </c>
      <c r="G4439">
        <v>4574</v>
      </c>
      <c r="H4439">
        <v>45</v>
      </c>
      <c r="I4439">
        <v>54.93</v>
      </c>
      <c r="J4439">
        <v>55</v>
      </c>
      <c r="K4439" t="s">
        <v>20711</v>
      </c>
      <c r="L4439">
        <v>0.64</v>
      </c>
      <c r="M4439" t="s">
        <v>46</v>
      </c>
      <c r="N4439" t="s">
        <v>2493</v>
      </c>
      <c r="O4439">
        <v>55.44</v>
      </c>
      <c r="P4439">
        <v>54.31</v>
      </c>
      <c r="Q4439">
        <v>55.2</v>
      </c>
      <c r="R4439">
        <v>55.21</v>
      </c>
      <c r="S4439">
        <v>2.05</v>
      </c>
      <c r="T4439">
        <v>0.87</v>
      </c>
      <c r="U4439">
        <v>-48.08</v>
      </c>
      <c r="V4439">
        <v>-50</v>
      </c>
      <c r="W4439">
        <v>54.81</v>
      </c>
      <c r="X4439">
        <v>2245</v>
      </c>
      <c r="Y4439">
        <v>2329</v>
      </c>
      <c r="Z4439">
        <v>0.96</v>
      </c>
      <c r="AA4439">
        <v>2</v>
      </c>
      <c r="AB4439">
        <v>52</v>
      </c>
      <c r="AC4439">
        <v>1.58</v>
      </c>
      <c r="AD4439" t="s">
        <v>20712</v>
      </c>
      <c r="AE4439" t="s">
        <v>4274</v>
      </c>
      <c r="AF4439" t="s">
        <v>20712</v>
      </c>
      <c r="AG4439" t="s">
        <v>4274</v>
      </c>
      <c r="AH4439">
        <v>-0.9</v>
      </c>
      <c r="AI4439">
        <v>-0.24</v>
      </c>
      <c r="AJ4439">
        <v>2.03</v>
      </c>
      <c r="AK4439">
        <v>4.36</v>
      </c>
      <c r="AL4439">
        <v>-2</v>
      </c>
      <c r="AM4439">
        <v>-0.4</v>
      </c>
      <c r="AN4439">
        <v>27.23</v>
      </c>
      <c r="AO4439">
        <v>5.99</v>
      </c>
      <c r="AP4439">
        <v>22.99</v>
      </c>
    </row>
    <row r="4440" spans="1:42">
      <c r="A4440">
        <v>4439</v>
      </c>
      <c r="B4440" t="str">
        <f>"300191"</f>
        <v>300191</v>
      </c>
      <c r="C4440" t="s">
        <v>20713</v>
      </c>
      <c r="D4440">
        <v>17.1</v>
      </c>
      <c r="E4440">
        <v>-0.23</v>
      </c>
      <c r="F4440">
        <v>-0.04</v>
      </c>
      <c r="G4440" t="s">
        <v>3130</v>
      </c>
      <c r="H4440">
        <v>234</v>
      </c>
      <c r="I4440">
        <v>17.1</v>
      </c>
      <c r="J4440">
        <v>17.13</v>
      </c>
      <c r="K4440" t="s">
        <v>20714</v>
      </c>
      <c r="L4440">
        <v>0.67</v>
      </c>
      <c r="M4440" t="s">
        <v>46</v>
      </c>
      <c r="N4440" t="s">
        <v>5745</v>
      </c>
      <c r="O4440">
        <v>17.18</v>
      </c>
      <c r="P4440">
        <v>16.96</v>
      </c>
      <c r="Q4440">
        <v>17.15</v>
      </c>
      <c r="R4440">
        <v>17.14</v>
      </c>
      <c r="S4440">
        <v>1.28</v>
      </c>
      <c r="T4440">
        <v>1.05</v>
      </c>
      <c r="U4440">
        <v>-12.02</v>
      </c>
      <c r="V4440">
        <v>-62</v>
      </c>
      <c r="W4440">
        <v>17.05</v>
      </c>
      <c r="X4440">
        <v>6962</v>
      </c>
      <c r="Y4440">
        <v>7739</v>
      </c>
      <c r="Z4440">
        <v>0.9</v>
      </c>
      <c r="AA4440">
        <v>13</v>
      </c>
      <c r="AB4440">
        <v>87</v>
      </c>
      <c r="AC4440">
        <v>4.71</v>
      </c>
      <c r="AD4440" t="s">
        <v>10577</v>
      </c>
      <c r="AE4440" t="s">
        <v>20715</v>
      </c>
      <c r="AF4440" t="s">
        <v>20716</v>
      </c>
      <c r="AG4440" t="s">
        <v>20717</v>
      </c>
      <c r="AH4440">
        <v>-1.16</v>
      </c>
      <c r="AI4440">
        <v>-2.62</v>
      </c>
      <c r="AJ4440">
        <v>1.78</v>
      </c>
      <c r="AK4440">
        <v>3.85</v>
      </c>
      <c r="AL4440">
        <v>-1</v>
      </c>
      <c r="AM4440">
        <v>-0.23</v>
      </c>
      <c r="AN4440">
        <v>-0.18</v>
      </c>
      <c r="AO4440">
        <v>-1.67</v>
      </c>
      <c r="AP4440">
        <v>-8.02</v>
      </c>
    </row>
    <row r="4441" spans="1:42">
      <c r="A4441">
        <v>4440</v>
      </c>
      <c r="B4441" t="str">
        <f>"832876"</f>
        <v>832876</v>
      </c>
      <c r="C4441" t="s">
        <v>20718</v>
      </c>
      <c r="D4441">
        <v>10.3</v>
      </c>
      <c r="E4441">
        <v>-2.55</v>
      </c>
      <c r="F4441">
        <v>-0.27</v>
      </c>
      <c r="G4441" t="s">
        <v>4017</v>
      </c>
      <c r="H4441">
        <v>199</v>
      </c>
      <c r="I4441">
        <v>10.3</v>
      </c>
      <c r="J4441">
        <v>10.31</v>
      </c>
      <c r="K4441" t="s">
        <v>20719</v>
      </c>
      <c r="L4441">
        <v>11.24</v>
      </c>
      <c r="M4441" t="s">
        <v>46</v>
      </c>
      <c r="N4441" t="s">
        <v>4220</v>
      </c>
      <c r="O4441">
        <v>10.99</v>
      </c>
      <c r="P4441">
        <v>9.89</v>
      </c>
      <c r="Q4441">
        <v>10.31</v>
      </c>
      <c r="R4441">
        <v>10.57</v>
      </c>
      <c r="S4441">
        <v>10.41</v>
      </c>
      <c r="T4441">
        <v>0.38</v>
      </c>
      <c r="U4441">
        <v>63.92</v>
      </c>
      <c r="V4441">
        <v>227</v>
      </c>
      <c r="W4441">
        <v>10.5</v>
      </c>
      <c r="X4441" t="s">
        <v>10542</v>
      </c>
      <c r="Y4441">
        <v>9931</v>
      </c>
      <c r="Z4441">
        <v>1.4</v>
      </c>
      <c r="AA4441">
        <v>161</v>
      </c>
      <c r="AB4441">
        <v>42</v>
      </c>
      <c r="AC4441">
        <v>2.6</v>
      </c>
      <c r="AD4441" t="s">
        <v>20720</v>
      </c>
      <c r="AE4441" t="s">
        <v>20721</v>
      </c>
      <c r="AF4441" t="s">
        <v>20722</v>
      </c>
      <c r="AG4441" t="s">
        <v>20723</v>
      </c>
      <c r="AH4441">
        <v>-6.53</v>
      </c>
      <c r="AI4441">
        <v>25.15</v>
      </c>
      <c r="AJ4441">
        <v>49.83</v>
      </c>
      <c r="AK4441">
        <v>158.64</v>
      </c>
      <c r="AL4441">
        <v>-1</v>
      </c>
      <c r="AM4441">
        <v>-2.55</v>
      </c>
      <c r="AN4441">
        <v>60.69</v>
      </c>
      <c r="AO4441">
        <v>68.03</v>
      </c>
      <c r="AP4441">
        <v>32.39</v>
      </c>
    </row>
    <row r="4442" spans="1:42">
      <c r="A4442">
        <v>4441</v>
      </c>
      <c r="B4442" t="str">
        <f>"300430"</f>
        <v>300430</v>
      </c>
      <c r="C4442" t="s">
        <v>20724</v>
      </c>
      <c r="D4442">
        <v>15.39</v>
      </c>
      <c r="E4442">
        <v>-0.71</v>
      </c>
      <c r="F4442">
        <v>-0.11</v>
      </c>
      <c r="G4442" t="s">
        <v>4943</v>
      </c>
      <c r="H4442">
        <v>80</v>
      </c>
      <c r="I4442">
        <v>15.39</v>
      </c>
      <c r="J4442">
        <v>15.41</v>
      </c>
      <c r="K4442" t="s">
        <v>20719</v>
      </c>
      <c r="L4442">
        <v>0.63</v>
      </c>
      <c r="M4442" t="s">
        <v>46</v>
      </c>
      <c r="N4442" t="s">
        <v>1252</v>
      </c>
      <c r="O4442">
        <v>15.52</v>
      </c>
      <c r="P4442">
        <v>15.32</v>
      </c>
      <c r="Q4442">
        <v>15.48</v>
      </c>
      <c r="R4442">
        <v>15.5</v>
      </c>
      <c r="S4442">
        <v>1.29</v>
      </c>
      <c r="T4442">
        <v>0.64</v>
      </c>
      <c r="U4442">
        <v>3.59</v>
      </c>
      <c r="V4442">
        <v>17</v>
      </c>
      <c r="W4442">
        <v>15.4</v>
      </c>
      <c r="X4442">
        <v>8373</v>
      </c>
      <c r="Y4442">
        <v>7887</v>
      </c>
      <c r="Z4442">
        <v>1.06</v>
      </c>
      <c r="AA4442">
        <v>76</v>
      </c>
      <c r="AB4442">
        <v>24</v>
      </c>
      <c r="AC4442">
        <v>2</v>
      </c>
      <c r="AD4442" t="s">
        <v>20725</v>
      </c>
      <c r="AE4442" t="s">
        <v>20726</v>
      </c>
      <c r="AF4442" t="s">
        <v>20727</v>
      </c>
      <c r="AG4442" t="s">
        <v>7292</v>
      </c>
      <c r="AH4442">
        <v>-1.66</v>
      </c>
      <c r="AI4442">
        <v>-0.26</v>
      </c>
      <c r="AJ4442">
        <v>2.37</v>
      </c>
      <c r="AK4442">
        <v>5.56</v>
      </c>
      <c r="AL4442">
        <v>-4</v>
      </c>
      <c r="AM4442">
        <v>-0.71</v>
      </c>
      <c r="AN4442">
        <v>33.36</v>
      </c>
      <c r="AO4442">
        <v>-3.51</v>
      </c>
      <c r="AP4442">
        <v>10.24</v>
      </c>
    </row>
    <row r="4443" spans="1:42">
      <c r="A4443">
        <v>4442</v>
      </c>
      <c r="B4443" t="str">
        <f>"603683"</f>
        <v>603683</v>
      </c>
      <c r="C4443" t="s">
        <v>20728</v>
      </c>
      <c r="D4443">
        <v>11.44</v>
      </c>
      <c r="E4443">
        <v>-0.52</v>
      </c>
      <c r="F4443">
        <v>-0.06</v>
      </c>
      <c r="G4443" t="s">
        <v>6827</v>
      </c>
      <c r="H4443">
        <v>434</v>
      </c>
      <c r="I4443">
        <v>11.44</v>
      </c>
      <c r="J4443">
        <v>11.45</v>
      </c>
      <c r="K4443" t="s">
        <v>20729</v>
      </c>
      <c r="L4443">
        <v>1.01</v>
      </c>
      <c r="M4443" t="s">
        <v>46</v>
      </c>
      <c r="N4443" t="s">
        <v>261</v>
      </c>
      <c r="O4443">
        <v>11.6</v>
      </c>
      <c r="P4443">
        <v>11.41</v>
      </c>
      <c r="Q4443">
        <v>11.48</v>
      </c>
      <c r="R4443">
        <v>11.5</v>
      </c>
      <c r="S4443">
        <v>1.65</v>
      </c>
      <c r="T4443">
        <v>0.88</v>
      </c>
      <c r="U4443">
        <v>61.17</v>
      </c>
      <c r="V4443">
        <v>441</v>
      </c>
      <c r="W4443">
        <v>11.49</v>
      </c>
      <c r="X4443" t="s">
        <v>2667</v>
      </c>
      <c r="Y4443" t="s">
        <v>239</v>
      </c>
      <c r="Z4443">
        <v>1.1</v>
      </c>
      <c r="AA4443">
        <v>60</v>
      </c>
      <c r="AB4443">
        <v>87</v>
      </c>
      <c r="AC4443">
        <v>2.35</v>
      </c>
      <c r="AD4443" t="s">
        <v>12176</v>
      </c>
      <c r="AE4443" t="s">
        <v>20730</v>
      </c>
      <c r="AF4443" t="s">
        <v>19118</v>
      </c>
      <c r="AG4443" t="s">
        <v>12012</v>
      </c>
      <c r="AH4443">
        <v>0</v>
      </c>
      <c r="AI4443">
        <v>-0.78</v>
      </c>
      <c r="AJ4443">
        <v>3.76</v>
      </c>
      <c r="AK4443">
        <v>6.76</v>
      </c>
      <c r="AL4443">
        <v>-2</v>
      </c>
      <c r="AM4443">
        <v>-0.52</v>
      </c>
      <c r="AN4443">
        <v>45.73</v>
      </c>
      <c r="AO4443">
        <v>5.34</v>
      </c>
      <c r="AP4443">
        <v>24.21</v>
      </c>
    </row>
    <row r="4444" spans="1:42">
      <c r="A4444">
        <v>4443</v>
      </c>
      <c r="B4444" t="str">
        <f>"300453"</f>
        <v>300453</v>
      </c>
      <c r="C4444" t="s">
        <v>20731</v>
      </c>
      <c r="D4444">
        <v>8</v>
      </c>
      <c r="E4444">
        <v>-0.25</v>
      </c>
      <c r="F4444">
        <v>-0.02</v>
      </c>
      <c r="G4444" t="s">
        <v>3260</v>
      </c>
      <c r="H4444">
        <v>129</v>
      </c>
      <c r="I4444">
        <v>7.99</v>
      </c>
      <c r="J4444">
        <v>8</v>
      </c>
      <c r="K4444" t="s">
        <v>20732</v>
      </c>
      <c r="L4444">
        <v>0.87</v>
      </c>
      <c r="M4444" t="s">
        <v>46</v>
      </c>
      <c r="N4444" t="s">
        <v>1054</v>
      </c>
      <c r="O4444">
        <v>8.09</v>
      </c>
      <c r="P4444">
        <v>7.95</v>
      </c>
      <c r="Q4444">
        <v>8.03</v>
      </c>
      <c r="R4444">
        <v>8.02</v>
      </c>
      <c r="S4444">
        <v>1.75</v>
      </c>
      <c r="T4444">
        <v>0.67</v>
      </c>
      <c r="U4444">
        <v>-0.43</v>
      </c>
      <c r="V4444">
        <v>-7</v>
      </c>
      <c r="W4444">
        <v>8</v>
      </c>
      <c r="X4444" t="s">
        <v>390</v>
      </c>
      <c r="Y4444" t="s">
        <v>3130</v>
      </c>
      <c r="Z4444">
        <v>1.13</v>
      </c>
      <c r="AA4444">
        <v>93</v>
      </c>
      <c r="AB4444">
        <v>24</v>
      </c>
      <c r="AC4444">
        <v>3.56</v>
      </c>
      <c r="AD4444" t="s">
        <v>20733</v>
      </c>
      <c r="AE4444" t="s">
        <v>20734</v>
      </c>
      <c r="AF4444" t="s">
        <v>20735</v>
      </c>
      <c r="AG4444" t="s">
        <v>13491</v>
      </c>
      <c r="AH4444">
        <v>-1.23</v>
      </c>
      <c r="AI4444">
        <v>-1.6</v>
      </c>
      <c r="AJ4444">
        <v>2.75</v>
      </c>
      <c r="AK4444">
        <v>7.33</v>
      </c>
      <c r="AL4444">
        <v>-1</v>
      </c>
      <c r="AM4444">
        <v>-0.25</v>
      </c>
      <c r="AN4444">
        <v>22.7</v>
      </c>
      <c r="AO4444">
        <v>5.4</v>
      </c>
      <c r="AP4444">
        <v>12.99</v>
      </c>
    </row>
    <row r="4445" spans="1:42">
      <c r="A4445">
        <v>4444</v>
      </c>
      <c r="B4445" t="str">
        <f>"603610"</f>
        <v>603610</v>
      </c>
      <c r="C4445" t="s">
        <v>20736</v>
      </c>
      <c r="D4445">
        <v>12.26</v>
      </c>
      <c r="E4445">
        <v>0.25</v>
      </c>
      <c r="F4445">
        <v>0.03</v>
      </c>
      <c r="G4445" t="s">
        <v>5237</v>
      </c>
      <c r="H4445">
        <v>122</v>
      </c>
      <c r="I4445">
        <v>12.25</v>
      </c>
      <c r="J4445">
        <v>12.26</v>
      </c>
      <c r="K4445" t="s">
        <v>20737</v>
      </c>
      <c r="L4445">
        <v>0.57</v>
      </c>
      <c r="M4445" t="s">
        <v>46</v>
      </c>
      <c r="N4445" t="s">
        <v>8146</v>
      </c>
      <c r="O4445">
        <v>12.31</v>
      </c>
      <c r="P4445">
        <v>12.12</v>
      </c>
      <c r="Q4445">
        <v>12.22</v>
      </c>
      <c r="R4445">
        <v>12.23</v>
      </c>
      <c r="S4445">
        <v>1.55</v>
      </c>
      <c r="T4445">
        <v>0.94</v>
      </c>
      <c r="U4445">
        <v>-14.77</v>
      </c>
      <c r="V4445">
        <v>-131</v>
      </c>
      <c r="W4445">
        <v>12.22</v>
      </c>
      <c r="X4445" t="s">
        <v>2074</v>
      </c>
      <c r="Y4445" t="s">
        <v>1154</v>
      </c>
      <c r="Z4445">
        <v>0.99</v>
      </c>
      <c r="AA4445">
        <v>84</v>
      </c>
      <c r="AB4445">
        <v>71</v>
      </c>
      <c r="AC4445">
        <v>1.35</v>
      </c>
      <c r="AD4445" t="s">
        <v>11931</v>
      </c>
      <c r="AE4445" t="s">
        <v>20738</v>
      </c>
      <c r="AF4445" t="s">
        <v>11931</v>
      </c>
      <c r="AG4445" t="s">
        <v>20738</v>
      </c>
      <c r="AH4445">
        <v>-1.37</v>
      </c>
      <c r="AI4445">
        <v>-1.13</v>
      </c>
      <c r="AJ4445">
        <v>1.64</v>
      </c>
      <c r="AK4445">
        <v>3.61</v>
      </c>
      <c r="AL4445">
        <v>1</v>
      </c>
      <c r="AM4445">
        <v>0.25</v>
      </c>
      <c r="AN4445">
        <v>1.74</v>
      </c>
      <c r="AO4445">
        <v>5.15</v>
      </c>
      <c r="AP4445">
        <v>-8.3</v>
      </c>
    </row>
    <row r="4446" spans="1:42">
      <c r="A4446">
        <v>4445</v>
      </c>
      <c r="B4446" t="str">
        <f>"002307"</f>
        <v>002307</v>
      </c>
      <c r="C4446" t="s">
        <v>20739</v>
      </c>
      <c r="D4446">
        <v>4.53</v>
      </c>
      <c r="E4446">
        <v>0.89</v>
      </c>
      <c r="F4446">
        <v>0.04</v>
      </c>
      <c r="G4446" t="s">
        <v>4968</v>
      </c>
      <c r="H4446">
        <v>594</v>
      </c>
      <c r="I4446">
        <v>4.52</v>
      </c>
      <c r="J4446">
        <v>4.53</v>
      </c>
      <c r="K4446" t="s">
        <v>20740</v>
      </c>
      <c r="L4446">
        <v>0.51</v>
      </c>
      <c r="M4446" t="s">
        <v>46</v>
      </c>
      <c r="N4446" t="s">
        <v>6261</v>
      </c>
      <c r="O4446">
        <v>4.54</v>
      </c>
      <c r="P4446">
        <v>4.49</v>
      </c>
      <c r="Q4446">
        <v>4.51</v>
      </c>
      <c r="R4446">
        <v>4.49</v>
      </c>
      <c r="S4446">
        <v>1.11</v>
      </c>
      <c r="T4446">
        <v>0.76</v>
      </c>
      <c r="U4446">
        <v>-28.74</v>
      </c>
      <c r="V4446">
        <v>-5569</v>
      </c>
      <c r="W4446">
        <v>4.52</v>
      </c>
      <c r="X4446" t="s">
        <v>9251</v>
      </c>
      <c r="Y4446" t="s">
        <v>8072</v>
      </c>
      <c r="Z4446">
        <v>0.85</v>
      </c>
      <c r="AA4446">
        <v>2632</v>
      </c>
      <c r="AB4446">
        <v>1624</v>
      </c>
      <c r="AC4446">
        <v>1.68</v>
      </c>
      <c r="AD4446" t="s">
        <v>794</v>
      </c>
      <c r="AE4446" t="s">
        <v>20741</v>
      </c>
      <c r="AF4446" t="s">
        <v>12512</v>
      </c>
      <c r="AG4446" t="s">
        <v>1472</v>
      </c>
      <c r="AH4446">
        <v>-0.44</v>
      </c>
      <c r="AI4446">
        <v>-1.52</v>
      </c>
      <c r="AJ4446">
        <v>1.76</v>
      </c>
      <c r="AK4446">
        <v>3.83</v>
      </c>
      <c r="AL4446">
        <v>1</v>
      </c>
      <c r="AM4446">
        <v>0.89</v>
      </c>
      <c r="AN4446">
        <v>-12.04</v>
      </c>
      <c r="AO4446">
        <v>-0.88</v>
      </c>
      <c r="AP4446">
        <v>-10.65</v>
      </c>
    </row>
    <row r="4447" spans="1:42">
      <c r="A4447">
        <v>4446</v>
      </c>
      <c r="B4447" t="str">
        <f>"872925"</f>
        <v>872925</v>
      </c>
      <c r="C4447" t="s">
        <v>20742</v>
      </c>
      <c r="D4447">
        <v>11.77</v>
      </c>
      <c r="E4447">
        <v>-2.32</v>
      </c>
      <c r="F4447">
        <v>-0.28</v>
      </c>
      <c r="G4447" t="s">
        <v>2716</v>
      </c>
      <c r="H4447">
        <v>2800</v>
      </c>
      <c r="I4447">
        <v>11.74</v>
      </c>
      <c r="J4447">
        <v>11.77</v>
      </c>
      <c r="K4447" t="s">
        <v>20740</v>
      </c>
      <c r="L4447">
        <v>3.88</v>
      </c>
      <c r="M4447" t="s">
        <v>46</v>
      </c>
      <c r="N4447" t="s">
        <v>6281</v>
      </c>
      <c r="O4447">
        <v>12.25</v>
      </c>
      <c r="P4447">
        <v>11.15</v>
      </c>
      <c r="Q4447">
        <v>12.03</v>
      </c>
      <c r="R4447">
        <v>12.05</v>
      </c>
      <c r="S4447">
        <v>9.13</v>
      </c>
      <c r="T4447">
        <v>0.35</v>
      </c>
      <c r="U4447">
        <v>-67.29</v>
      </c>
      <c r="V4447">
        <v>-774</v>
      </c>
      <c r="W4447">
        <v>11.64</v>
      </c>
      <c r="X4447" t="s">
        <v>209</v>
      </c>
      <c r="Y4447">
        <v>8628</v>
      </c>
      <c r="Z4447">
        <v>1.49</v>
      </c>
      <c r="AA4447">
        <v>30</v>
      </c>
      <c r="AB4447">
        <v>549</v>
      </c>
      <c r="AC4447">
        <v>3.1</v>
      </c>
      <c r="AD4447" t="s">
        <v>20743</v>
      </c>
      <c r="AE4447" t="s">
        <v>3858</v>
      </c>
      <c r="AF4447" t="s">
        <v>20744</v>
      </c>
      <c r="AG4447" t="s">
        <v>20745</v>
      </c>
      <c r="AH4447">
        <v>-8.05</v>
      </c>
      <c r="AI4447">
        <v>8.58</v>
      </c>
      <c r="AJ4447">
        <v>15.91</v>
      </c>
      <c r="AK4447">
        <v>59.77</v>
      </c>
      <c r="AL4447">
        <v>-1</v>
      </c>
      <c r="AM4447">
        <v>-2.32</v>
      </c>
      <c r="AN4447">
        <v>64.62</v>
      </c>
      <c r="AO4447">
        <v>18.65</v>
      </c>
      <c r="AP4447">
        <v>55.89</v>
      </c>
    </row>
    <row r="4448" spans="1:42">
      <c r="A4448">
        <v>4447</v>
      </c>
      <c r="B4448" t="str">
        <f>"605198"</f>
        <v>605198</v>
      </c>
      <c r="C4448" t="s">
        <v>20746</v>
      </c>
      <c r="D4448">
        <v>21.52</v>
      </c>
      <c r="E4448">
        <v>0.75</v>
      </c>
      <c r="F4448">
        <v>0.16</v>
      </c>
      <c r="G4448" t="s">
        <v>1743</v>
      </c>
      <c r="H4448">
        <v>88</v>
      </c>
      <c r="I4448">
        <v>21.5</v>
      </c>
      <c r="J4448">
        <v>21.52</v>
      </c>
      <c r="K4448" t="s">
        <v>20740</v>
      </c>
      <c r="L4448">
        <v>0.43</v>
      </c>
      <c r="M4448" t="s">
        <v>46</v>
      </c>
      <c r="N4448" t="s">
        <v>2054</v>
      </c>
      <c r="O4448">
        <v>21.95</v>
      </c>
      <c r="P4448">
        <v>21.16</v>
      </c>
      <c r="Q4448">
        <v>21.23</v>
      </c>
      <c r="R4448">
        <v>21.36</v>
      </c>
      <c r="S4448">
        <v>3.7</v>
      </c>
      <c r="T4448">
        <v>2.11</v>
      </c>
      <c r="U4448">
        <v>-68.54</v>
      </c>
      <c r="V4448">
        <v>-292</v>
      </c>
      <c r="W4448">
        <v>21.55</v>
      </c>
      <c r="X4448">
        <v>5906</v>
      </c>
      <c r="Y4448">
        <v>5669</v>
      </c>
      <c r="Z4448">
        <v>1.04</v>
      </c>
      <c r="AA4448">
        <v>37</v>
      </c>
      <c r="AB4448">
        <v>112</v>
      </c>
      <c r="AC4448">
        <v>3.05</v>
      </c>
      <c r="AD4448" t="s">
        <v>20747</v>
      </c>
      <c r="AE4448" t="s">
        <v>20748</v>
      </c>
      <c r="AF4448" t="s">
        <v>20749</v>
      </c>
      <c r="AG4448" t="s">
        <v>20750</v>
      </c>
      <c r="AH4448">
        <v>2.09</v>
      </c>
      <c r="AI4448">
        <v>2.72</v>
      </c>
      <c r="AJ4448">
        <v>0.86</v>
      </c>
      <c r="AK4448">
        <v>1.44</v>
      </c>
      <c r="AL4448">
        <v>3</v>
      </c>
      <c r="AM4448">
        <v>0.75</v>
      </c>
      <c r="AN4448">
        <v>15.08</v>
      </c>
      <c r="AO4448">
        <v>5.03</v>
      </c>
      <c r="AP4448">
        <v>15.14</v>
      </c>
    </row>
    <row r="4449" spans="1:42">
      <c r="A4449">
        <v>4448</v>
      </c>
      <c r="B4449" t="str">
        <f>"300265"</f>
        <v>300265</v>
      </c>
      <c r="C4449" t="s">
        <v>20751</v>
      </c>
      <c r="D4449">
        <v>9.28</v>
      </c>
      <c r="E4449">
        <v>0.32</v>
      </c>
      <c r="F4449">
        <v>0.03</v>
      </c>
      <c r="G4449" t="s">
        <v>3456</v>
      </c>
      <c r="H4449">
        <v>314</v>
      </c>
      <c r="I4449">
        <v>9.27</v>
      </c>
      <c r="J4449">
        <v>9.28</v>
      </c>
      <c r="K4449" t="s">
        <v>20752</v>
      </c>
      <c r="L4449">
        <v>0.74</v>
      </c>
      <c r="M4449" t="s">
        <v>46</v>
      </c>
      <c r="N4449" t="s">
        <v>3355</v>
      </c>
      <c r="O4449">
        <v>9.33</v>
      </c>
      <c r="P4449">
        <v>9.16</v>
      </c>
      <c r="Q4449">
        <v>9.22</v>
      </c>
      <c r="R4449">
        <v>9.25</v>
      </c>
      <c r="S4449">
        <v>1.84</v>
      </c>
      <c r="T4449">
        <v>0.84</v>
      </c>
      <c r="U4449">
        <v>17.55</v>
      </c>
      <c r="V4449">
        <v>425</v>
      </c>
      <c r="W4449">
        <v>9.25</v>
      </c>
      <c r="X4449" t="s">
        <v>5900</v>
      </c>
      <c r="Y4449" t="s">
        <v>6212</v>
      </c>
      <c r="Z4449">
        <v>1.13</v>
      </c>
      <c r="AA4449">
        <v>105</v>
      </c>
      <c r="AB4449">
        <v>27</v>
      </c>
      <c r="AC4449">
        <v>1.9</v>
      </c>
      <c r="AD4449" t="s">
        <v>20753</v>
      </c>
      <c r="AE4449" t="s">
        <v>5280</v>
      </c>
      <c r="AF4449" t="s">
        <v>20754</v>
      </c>
      <c r="AG4449" t="s">
        <v>20755</v>
      </c>
      <c r="AH4449">
        <v>-1.07</v>
      </c>
      <c r="AI4449">
        <v>-0.32</v>
      </c>
      <c r="AJ4449">
        <v>3.1</v>
      </c>
      <c r="AK4449">
        <v>5.15</v>
      </c>
      <c r="AL4449">
        <v>1</v>
      </c>
      <c r="AM4449">
        <v>0.32</v>
      </c>
      <c r="AN4449">
        <v>15.71</v>
      </c>
      <c r="AO4449">
        <v>1.64</v>
      </c>
      <c r="AP4449">
        <v>4.86</v>
      </c>
    </row>
    <row r="4450" spans="1:42">
      <c r="A4450">
        <v>4449</v>
      </c>
      <c r="B4450" t="str">
        <f>"002282"</f>
        <v>002282</v>
      </c>
      <c r="C4450" t="s">
        <v>20756</v>
      </c>
      <c r="D4450">
        <v>7.74</v>
      </c>
      <c r="E4450">
        <v>-0.26</v>
      </c>
      <c r="F4450">
        <v>-0.02</v>
      </c>
      <c r="G4450" t="s">
        <v>10177</v>
      </c>
      <c r="H4450">
        <v>60</v>
      </c>
      <c r="I4450">
        <v>7.73</v>
      </c>
      <c r="J4450">
        <v>7.74</v>
      </c>
      <c r="K4450" t="s">
        <v>20757</v>
      </c>
      <c r="L4450">
        <v>0.66</v>
      </c>
      <c r="M4450" t="s">
        <v>46</v>
      </c>
      <c r="N4450" t="s">
        <v>4336</v>
      </c>
      <c r="O4450">
        <v>7.82</v>
      </c>
      <c r="P4450">
        <v>7.68</v>
      </c>
      <c r="Q4450">
        <v>7.82</v>
      </c>
      <c r="R4450">
        <v>7.76</v>
      </c>
      <c r="S4450">
        <v>1.8</v>
      </c>
      <c r="T4450">
        <v>1.02</v>
      </c>
      <c r="U4450">
        <v>11.18</v>
      </c>
      <c r="V4450">
        <v>180</v>
      </c>
      <c r="W4450">
        <v>7.74</v>
      </c>
      <c r="X4450" t="s">
        <v>2976</v>
      </c>
      <c r="Y4450" t="s">
        <v>8636</v>
      </c>
      <c r="Z4450">
        <v>1.68</v>
      </c>
      <c r="AA4450">
        <v>74</v>
      </c>
      <c r="AB4450">
        <v>125</v>
      </c>
      <c r="AC4450">
        <v>1.19</v>
      </c>
      <c r="AD4450" t="s">
        <v>20758</v>
      </c>
      <c r="AE4450" t="s">
        <v>20759</v>
      </c>
      <c r="AF4450" t="s">
        <v>20760</v>
      </c>
      <c r="AG4450" t="s">
        <v>20761</v>
      </c>
      <c r="AH4450">
        <v>-1.28</v>
      </c>
      <c r="AI4450">
        <v>-0.26</v>
      </c>
      <c r="AJ4450">
        <v>1.76</v>
      </c>
      <c r="AK4450">
        <v>3.9</v>
      </c>
      <c r="AL4450">
        <v>-2</v>
      </c>
      <c r="AM4450">
        <v>-0.26</v>
      </c>
      <c r="AN4450">
        <v>6.61</v>
      </c>
      <c r="AO4450">
        <v>3.89</v>
      </c>
      <c r="AP4450">
        <v>-1.9</v>
      </c>
    </row>
    <row r="4451" spans="1:42">
      <c r="A4451">
        <v>4450</v>
      </c>
      <c r="B4451" t="str">
        <f>"688084"</f>
        <v>688084</v>
      </c>
      <c r="C4451" t="s">
        <v>20762</v>
      </c>
      <c r="D4451">
        <v>71.15</v>
      </c>
      <c r="E4451">
        <v>1.4</v>
      </c>
      <c r="F4451">
        <v>0.98</v>
      </c>
      <c r="G4451">
        <v>3553</v>
      </c>
      <c r="H4451">
        <v>6</v>
      </c>
      <c r="I4451">
        <v>71.15</v>
      </c>
      <c r="J4451">
        <v>71.17</v>
      </c>
      <c r="K4451" t="s">
        <v>20763</v>
      </c>
      <c r="L4451">
        <v>1.94</v>
      </c>
      <c r="M4451" t="s">
        <v>46</v>
      </c>
      <c r="N4451" t="s">
        <v>20764</v>
      </c>
      <c r="O4451">
        <v>71.51</v>
      </c>
      <c r="P4451">
        <v>69.06</v>
      </c>
      <c r="Q4451">
        <v>70.1</v>
      </c>
      <c r="R4451">
        <v>70.17</v>
      </c>
      <c r="S4451">
        <v>3.49</v>
      </c>
      <c r="T4451">
        <v>1.38</v>
      </c>
      <c r="U4451">
        <v>-21.93</v>
      </c>
      <c r="V4451">
        <v>-13</v>
      </c>
      <c r="W4451">
        <v>70.11</v>
      </c>
      <c r="X4451">
        <v>1934</v>
      </c>
      <c r="Y4451">
        <v>1619</v>
      </c>
      <c r="Z4451">
        <v>1.19</v>
      </c>
      <c r="AA4451">
        <v>1</v>
      </c>
      <c r="AB4451">
        <v>15</v>
      </c>
      <c r="AC4451">
        <v>3.22</v>
      </c>
      <c r="AD4451" t="s">
        <v>20765</v>
      </c>
      <c r="AE4451" t="s">
        <v>19764</v>
      </c>
      <c r="AF4451" t="s">
        <v>20766</v>
      </c>
      <c r="AG4451" t="s">
        <v>6648</v>
      </c>
      <c r="AH4451">
        <v>-4.06</v>
      </c>
      <c r="AI4451">
        <v>-3.03</v>
      </c>
      <c r="AJ4451">
        <v>5.45</v>
      </c>
      <c r="AK4451">
        <v>9</v>
      </c>
      <c r="AL4451">
        <v>1</v>
      </c>
      <c r="AM4451">
        <v>1.4</v>
      </c>
      <c r="AN4451">
        <v>-13.63</v>
      </c>
      <c r="AO4451">
        <v>10.55</v>
      </c>
      <c r="AP4451">
        <v>17.25</v>
      </c>
    </row>
    <row r="4452" spans="1:42">
      <c r="A4452">
        <v>4451</v>
      </c>
      <c r="B4452" t="str">
        <f>"837242"</f>
        <v>837242</v>
      </c>
      <c r="C4452" t="s">
        <v>20767</v>
      </c>
      <c r="D4452">
        <v>14.2</v>
      </c>
      <c r="E4452">
        <v>-4.76</v>
      </c>
      <c r="F4452">
        <v>-0.71</v>
      </c>
      <c r="G4452" t="s">
        <v>2397</v>
      </c>
      <c r="H4452">
        <v>135</v>
      </c>
      <c r="I4452">
        <v>14.2</v>
      </c>
      <c r="J4452">
        <v>14.24</v>
      </c>
      <c r="K4452" t="s">
        <v>20768</v>
      </c>
      <c r="L4452">
        <v>5.04</v>
      </c>
      <c r="M4452" t="s">
        <v>46</v>
      </c>
      <c r="N4452" t="s">
        <v>3660</v>
      </c>
      <c r="O4452">
        <v>15.34</v>
      </c>
      <c r="P4452">
        <v>14.18</v>
      </c>
      <c r="Q4452">
        <v>15.05</v>
      </c>
      <c r="R4452">
        <v>14.91</v>
      </c>
      <c r="S4452">
        <v>7.78</v>
      </c>
      <c r="T4452">
        <v>0.35</v>
      </c>
      <c r="U4452">
        <v>-6.52</v>
      </c>
      <c r="V4452">
        <v>-19</v>
      </c>
      <c r="W4452">
        <v>14.55</v>
      </c>
      <c r="X4452" t="s">
        <v>1743</v>
      </c>
      <c r="Y4452">
        <v>5525</v>
      </c>
      <c r="Z4452">
        <v>2.1</v>
      </c>
      <c r="AA4452">
        <v>4</v>
      </c>
      <c r="AB4452">
        <v>90</v>
      </c>
      <c r="AC4452">
        <v>1.89</v>
      </c>
      <c r="AD4452" t="s">
        <v>14467</v>
      </c>
      <c r="AE4452" t="s">
        <v>9259</v>
      </c>
      <c r="AF4452" t="s">
        <v>20769</v>
      </c>
      <c r="AG4452" t="s">
        <v>20770</v>
      </c>
      <c r="AH4452">
        <v>-15.22</v>
      </c>
      <c r="AI4452">
        <v>17.26</v>
      </c>
      <c r="AJ4452">
        <v>27.01</v>
      </c>
      <c r="AK4452">
        <v>76.92</v>
      </c>
      <c r="AL4452">
        <v>-4</v>
      </c>
      <c r="AM4452">
        <v>-4.76</v>
      </c>
      <c r="AN4452">
        <v>84.66</v>
      </c>
      <c r="AO4452">
        <v>39.9</v>
      </c>
      <c r="AP4452">
        <v>75.31</v>
      </c>
    </row>
    <row r="4453" spans="1:42">
      <c r="A4453">
        <v>4452</v>
      </c>
      <c r="B4453" t="str">
        <f>"688100"</f>
        <v>688100</v>
      </c>
      <c r="C4453" t="s">
        <v>20771</v>
      </c>
      <c r="D4453">
        <v>29.25</v>
      </c>
      <c r="E4453">
        <v>1.07</v>
      </c>
      <c r="F4453">
        <v>0.31</v>
      </c>
      <c r="G4453">
        <v>8601</v>
      </c>
      <c r="H4453">
        <v>51</v>
      </c>
      <c r="I4453">
        <v>29.25</v>
      </c>
      <c r="J4453">
        <v>29.26</v>
      </c>
      <c r="K4453" t="s">
        <v>20772</v>
      </c>
      <c r="L4453">
        <v>0.17</v>
      </c>
      <c r="M4453" t="s">
        <v>46</v>
      </c>
      <c r="N4453" t="s">
        <v>4071</v>
      </c>
      <c r="O4453">
        <v>29.33</v>
      </c>
      <c r="P4453">
        <v>28.61</v>
      </c>
      <c r="Q4453">
        <v>29.04</v>
      </c>
      <c r="R4453">
        <v>28.94</v>
      </c>
      <c r="S4453">
        <v>2.49</v>
      </c>
      <c r="T4453">
        <v>0.76</v>
      </c>
      <c r="U4453">
        <v>-64.81</v>
      </c>
      <c r="V4453">
        <v>-207</v>
      </c>
      <c r="W4453">
        <v>28.92</v>
      </c>
      <c r="X4453">
        <v>3592</v>
      </c>
      <c r="Y4453">
        <v>5008</v>
      </c>
      <c r="Z4453">
        <v>0.72</v>
      </c>
      <c r="AA4453">
        <v>2</v>
      </c>
      <c r="AB4453">
        <v>9</v>
      </c>
      <c r="AC4453">
        <v>5.3</v>
      </c>
      <c r="AD4453" t="s">
        <v>4532</v>
      </c>
      <c r="AE4453" t="s">
        <v>8016</v>
      </c>
      <c r="AF4453" t="s">
        <v>4532</v>
      </c>
      <c r="AG4453" t="s">
        <v>8016</v>
      </c>
      <c r="AH4453">
        <v>1.11</v>
      </c>
      <c r="AI4453">
        <v>-0.31</v>
      </c>
      <c r="AJ4453">
        <v>0.59</v>
      </c>
      <c r="AK4453">
        <v>1.3</v>
      </c>
      <c r="AL4453">
        <v>1</v>
      </c>
      <c r="AM4453">
        <v>1.07</v>
      </c>
      <c r="AN4453">
        <v>28.51</v>
      </c>
      <c r="AO4453">
        <v>5.14</v>
      </c>
      <c r="AP4453">
        <v>19.24</v>
      </c>
    </row>
    <row r="4454" spans="1:42">
      <c r="A4454">
        <v>4453</v>
      </c>
      <c r="B4454" t="str">
        <f>"002053"</f>
        <v>002053</v>
      </c>
      <c r="C4454" t="s">
        <v>20773</v>
      </c>
      <c r="D4454">
        <v>9.73</v>
      </c>
      <c r="E4454">
        <v>-0.21</v>
      </c>
      <c r="F4454">
        <v>-0.02</v>
      </c>
      <c r="G4454" t="s">
        <v>4257</v>
      </c>
      <c r="H4454">
        <v>188</v>
      </c>
      <c r="I4454">
        <v>9.73</v>
      </c>
      <c r="J4454">
        <v>9.74</v>
      </c>
      <c r="K4454" t="s">
        <v>20774</v>
      </c>
      <c r="L4454">
        <v>0.3</v>
      </c>
      <c r="M4454" t="s">
        <v>46</v>
      </c>
      <c r="N4454" t="s">
        <v>2586</v>
      </c>
      <c r="O4454">
        <v>9.79</v>
      </c>
      <c r="P4454">
        <v>9.69</v>
      </c>
      <c r="Q4454">
        <v>9.73</v>
      </c>
      <c r="R4454">
        <v>9.75</v>
      </c>
      <c r="S4454">
        <v>1.03</v>
      </c>
      <c r="T4454">
        <v>0.88</v>
      </c>
      <c r="U4454">
        <v>16.55</v>
      </c>
      <c r="V4454">
        <v>545</v>
      </c>
      <c r="W4454">
        <v>9.73</v>
      </c>
      <c r="X4454" t="s">
        <v>1384</v>
      </c>
      <c r="Y4454" t="s">
        <v>1052</v>
      </c>
      <c r="Z4454">
        <v>1.11</v>
      </c>
      <c r="AA4454">
        <v>170</v>
      </c>
      <c r="AB4454">
        <v>231</v>
      </c>
      <c r="AC4454">
        <v>1.33</v>
      </c>
      <c r="AD4454" t="s">
        <v>20775</v>
      </c>
      <c r="AE4454" t="s">
        <v>20776</v>
      </c>
      <c r="AF4454" t="s">
        <v>6776</v>
      </c>
      <c r="AG4454" t="s">
        <v>20777</v>
      </c>
      <c r="AH4454">
        <v>-1.72</v>
      </c>
      <c r="AI4454">
        <v>-0.61</v>
      </c>
      <c r="AJ4454">
        <v>0.93</v>
      </c>
      <c r="AK4454">
        <v>2.01</v>
      </c>
      <c r="AL4454">
        <v>-3</v>
      </c>
      <c r="AM4454">
        <v>-0.21</v>
      </c>
      <c r="AN4454">
        <v>-11.79</v>
      </c>
      <c r="AO4454">
        <v>-1.42</v>
      </c>
      <c r="AP4454">
        <v>-11.87</v>
      </c>
    </row>
    <row r="4455" spans="1:42">
      <c r="A4455">
        <v>4454</v>
      </c>
      <c r="B4455" t="str">
        <f>"600080"</f>
        <v>600080</v>
      </c>
      <c r="C4455" t="s">
        <v>20778</v>
      </c>
      <c r="D4455">
        <v>7.93</v>
      </c>
      <c r="E4455">
        <v>0.89</v>
      </c>
      <c r="F4455">
        <v>0.07</v>
      </c>
      <c r="G4455" t="s">
        <v>206</v>
      </c>
      <c r="H4455">
        <v>196</v>
      </c>
      <c r="I4455">
        <v>7.92</v>
      </c>
      <c r="J4455">
        <v>7.93</v>
      </c>
      <c r="K4455" t="s">
        <v>20779</v>
      </c>
      <c r="L4455">
        <v>0.84</v>
      </c>
      <c r="M4455" t="s">
        <v>46</v>
      </c>
      <c r="N4455" t="s">
        <v>3575</v>
      </c>
      <c r="O4455">
        <v>7.97</v>
      </c>
      <c r="P4455">
        <v>7.81</v>
      </c>
      <c r="Q4455">
        <v>7.83</v>
      </c>
      <c r="R4455">
        <v>7.86</v>
      </c>
      <c r="S4455">
        <v>2.04</v>
      </c>
      <c r="T4455">
        <v>0.74</v>
      </c>
      <c r="U4455">
        <v>-37.11</v>
      </c>
      <c r="V4455">
        <v>-1518</v>
      </c>
      <c r="W4455">
        <v>7.91</v>
      </c>
      <c r="X4455" t="s">
        <v>2371</v>
      </c>
      <c r="Y4455" t="s">
        <v>4943</v>
      </c>
      <c r="Z4455">
        <v>0.93</v>
      </c>
      <c r="AA4455">
        <v>53</v>
      </c>
      <c r="AB4455">
        <v>30</v>
      </c>
      <c r="AC4455">
        <v>1.75</v>
      </c>
      <c r="AD4455" t="s">
        <v>20164</v>
      </c>
      <c r="AE4455" t="s">
        <v>13774</v>
      </c>
      <c r="AF4455" t="s">
        <v>20164</v>
      </c>
      <c r="AG4455" t="s">
        <v>13774</v>
      </c>
      <c r="AH4455">
        <v>0.51</v>
      </c>
      <c r="AI4455">
        <v>-0.13</v>
      </c>
      <c r="AJ4455">
        <v>2.58</v>
      </c>
      <c r="AK4455">
        <v>6.53</v>
      </c>
      <c r="AL4455">
        <v>2</v>
      </c>
      <c r="AM4455">
        <v>0.89</v>
      </c>
      <c r="AN4455">
        <v>1.54</v>
      </c>
      <c r="AO4455">
        <v>5.03</v>
      </c>
      <c r="AP4455">
        <v>-19.08</v>
      </c>
    </row>
    <row r="4456" spans="1:42">
      <c r="A4456">
        <v>4455</v>
      </c>
      <c r="B4456" t="str">
        <f>"002637"</f>
        <v>002637</v>
      </c>
      <c r="C4456" t="s">
        <v>20780</v>
      </c>
      <c r="D4456">
        <v>10.69</v>
      </c>
      <c r="E4456">
        <v>-1.47</v>
      </c>
      <c r="F4456">
        <v>-0.16</v>
      </c>
      <c r="G4456" t="s">
        <v>5710</v>
      </c>
      <c r="H4456">
        <v>221</v>
      </c>
      <c r="I4456">
        <v>10.68</v>
      </c>
      <c r="J4456">
        <v>10.69</v>
      </c>
      <c r="K4456" t="s">
        <v>20779</v>
      </c>
      <c r="L4456">
        <v>0.59</v>
      </c>
      <c r="M4456" t="s">
        <v>46</v>
      </c>
      <c r="N4456" t="s">
        <v>20781</v>
      </c>
      <c r="O4456">
        <v>10.85</v>
      </c>
      <c r="P4456">
        <v>10.62</v>
      </c>
      <c r="Q4456">
        <v>10.77</v>
      </c>
      <c r="R4456">
        <v>10.85</v>
      </c>
      <c r="S4456">
        <v>2.12</v>
      </c>
      <c r="T4456">
        <v>1.19</v>
      </c>
      <c r="U4456">
        <v>-56.83</v>
      </c>
      <c r="V4456">
        <v>-1211</v>
      </c>
      <c r="W4456">
        <v>10.67</v>
      </c>
      <c r="X4456" t="s">
        <v>6212</v>
      </c>
      <c r="Y4456" t="s">
        <v>218</v>
      </c>
      <c r="Z4456">
        <v>1.19</v>
      </c>
      <c r="AA4456">
        <v>73</v>
      </c>
      <c r="AB4456">
        <v>91</v>
      </c>
      <c r="AC4456">
        <v>1.34</v>
      </c>
      <c r="AD4456" t="s">
        <v>10625</v>
      </c>
      <c r="AE4456" t="s">
        <v>8142</v>
      </c>
      <c r="AF4456" t="s">
        <v>20782</v>
      </c>
      <c r="AG4456" t="s">
        <v>20783</v>
      </c>
      <c r="AH4456">
        <v>-1.11</v>
      </c>
      <c r="AI4456">
        <v>-2.46</v>
      </c>
      <c r="AJ4456">
        <v>1.74</v>
      </c>
      <c r="AK4456">
        <v>3.06</v>
      </c>
      <c r="AL4456">
        <v>-1</v>
      </c>
      <c r="AM4456">
        <v>-1.47</v>
      </c>
      <c r="AN4456">
        <v>-12.23</v>
      </c>
      <c r="AO4456">
        <v>0.56</v>
      </c>
      <c r="AP4456">
        <v>-6.96</v>
      </c>
    </row>
    <row r="4457" spans="1:42">
      <c r="A4457">
        <v>4456</v>
      </c>
      <c r="B4457" t="str">
        <f>"002735"</f>
        <v>002735</v>
      </c>
      <c r="C4457" t="s">
        <v>20784</v>
      </c>
      <c r="D4457">
        <v>12.88</v>
      </c>
      <c r="E4457">
        <v>1.18</v>
      </c>
      <c r="F4457">
        <v>0.15</v>
      </c>
      <c r="G4457" t="s">
        <v>6425</v>
      </c>
      <c r="H4457">
        <v>278</v>
      </c>
      <c r="I4457">
        <v>12.86</v>
      </c>
      <c r="J4457">
        <v>12.88</v>
      </c>
      <c r="K4457" t="s">
        <v>20779</v>
      </c>
      <c r="L4457">
        <v>1.01</v>
      </c>
      <c r="M4457" t="s">
        <v>46</v>
      </c>
      <c r="N4457" t="s">
        <v>1568</v>
      </c>
      <c r="O4457">
        <v>12.93</v>
      </c>
      <c r="P4457">
        <v>12.64</v>
      </c>
      <c r="Q4457">
        <v>12.82</v>
      </c>
      <c r="R4457">
        <v>12.73</v>
      </c>
      <c r="S4457">
        <v>2.28</v>
      </c>
      <c r="T4457">
        <v>0.82</v>
      </c>
      <c r="U4457">
        <v>-56.94</v>
      </c>
      <c r="V4457">
        <v>-357</v>
      </c>
      <c r="W4457">
        <v>12.82</v>
      </c>
      <c r="X4457">
        <v>9339</v>
      </c>
      <c r="Y4457" t="s">
        <v>2615</v>
      </c>
      <c r="Z4457">
        <v>0.93</v>
      </c>
      <c r="AA4457">
        <v>2</v>
      </c>
      <c r="AB4457">
        <v>38</v>
      </c>
      <c r="AC4457">
        <v>4.57</v>
      </c>
      <c r="AD4457" t="s">
        <v>20785</v>
      </c>
      <c r="AE4457" t="s">
        <v>13177</v>
      </c>
      <c r="AF4457" t="s">
        <v>20786</v>
      </c>
      <c r="AG4457" t="s">
        <v>10513</v>
      </c>
      <c r="AH4457">
        <v>0</v>
      </c>
      <c r="AI4457">
        <v>-1.68</v>
      </c>
      <c r="AJ4457">
        <v>3.06</v>
      </c>
      <c r="AK4457">
        <v>7.18</v>
      </c>
      <c r="AL4457">
        <v>1</v>
      </c>
      <c r="AM4457">
        <v>1.18</v>
      </c>
      <c r="AN4457">
        <v>-13.56</v>
      </c>
      <c r="AO4457">
        <v>3.95</v>
      </c>
      <c r="AP4457">
        <v>-21.18</v>
      </c>
    </row>
    <row r="4458" spans="1:42">
      <c r="A4458">
        <v>4457</v>
      </c>
      <c r="B4458" t="str">
        <f>"301260"</f>
        <v>301260</v>
      </c>
      <c r="C4458" t="s">
        <v>20787</v>
      </c>
      <c r="D4458">
        <v>17.22</v>
      </c>
      <c r="E4458">
        <v>0.41</v>
      </c>
      <c r="F4458">
        <v>0.07</v>
      </c>
      <c r="G4458" t="s">
        <v>1769</v>
      </c>
      <c r="H4458">
        <v>174</v>
      </c>
      <c r="I4458">
        <v>17.22</v>
      </c>
      <c r="J4458">
        <v>17.23</v>
      </c>
      <c r="K4458" t="s">
        <v>20788</v>
      </c>
      <c r="L4458">
        <v>1.19</v>
      </c>
      <c r="M4458" t="s">
        <v>46</v>
      </c>
      <c r="N4458" t="s">
        <v>17741</v>
      </c>
      <c r="O4458">
        <v>17.3</v>
      </c>
      <c r="P4458">
        <v>16.98</v>
      </c>
      <c r="Q4458">
        <v>17.12</v>
      </c>
      <c r="R4458">
        <v>17.15</v>
      </c>
      <c r="S4458">
        <v>1.87</v>
      </c>
      <c r="T4458">
        <v>0.7</v>
      </c>
      <c r="U4458">
        <v>-0.75</v>
      </c>
      <c r="V4458">
        <v>-6</v>
      </c>
      <c r="W4458">
        <v>17.13</v>
      </c>
      <c r="X4458">
        <v>6958</v>
      </c>
      <c r="Y4458">
        <v>7542</v>
      </c>
      <c r="Z4458">
        <v>0.92</v>
      </c>
      <c r="AA4458">
        <v>87</v>
      </c>
      <c r="AB4458">
        <v>112</v>
      </c>
      <c r="AC4458">
        <v>1.75</v>
      </c>
      <c r="AD4458" t="s">
        <v>20789</v>
      </c>
      <c r="AE4458" t="s">
        <v>20790</v>
      </c>
      <c r="AF4458" t="s">
        <v>20791</v>
      </c>
      <c r="AG4458" t="s">
        <v>15789</v>
      </c>
      <c r="AH4458">
        <v>-1.94</v>
      </c>
      <c r="AI4458">
        <v>-3.64</v>
      </c>
      <c r="AJ4458">
        <v>3.75</v>
      </c>
      <c r="AK4458">
        <v>9.71</v>
      </c>
      <c r="AL4458">
        <v>1</v>
      </c>
      <c r="AM4458">
        <v>0.41</v>
      </c>
      <c r="AN4458">
        <v>-44.07</v>
      </c>
      <c r="AO4458">
        <v>4.74</v>
      </c>
      <c r="AP4458">
        <v>-44.07</v>
      </c>
    </row>
    <row r="4459" spans="1:42">
      <c r="A4459">
        <v>4458</v>
      </c>
      <c r="B4459" t="str">
        <f>"688293"</f>
        <v>688293</v>
      </c>
      <c r="C4459" t="s">
        <v>20792</v>
      </c>
      <c r="D4459">
        <v>60.1</v>
      </c>
      <c r="E4459">
        <v>-2.56</v>
      </c>
      <c r="F4459">
        <v>-1.58</v>
      </c>
      <c r="G4459">
        <v>4108</v>
      </c>
      <c r="H4459">
        <v>274</v>
      </c>
      <c r="I4459">
        <v>60.1</v>
      </c>
      <c r="J4459">
        <v>60.33</v>
      </c>
      <c r="K4459" t="s">
        <v>20793</v>
      </c>
      <c r="L4459">
        <v>0.54</v>
      </c>
      <c r="M4459" t="s">
        <v>46</v>
      </c>
      <c r="N4459" t="s">
        <v>7785</v>
      </c>
      <c r="O4459">
        <v>61.67</v>
      </c>
      <c r="P4459">
        <v>59.9</v>
      </c>
      <c r="Q4459">
        <v>61.6</v>
      </c>
      <c r="R4459">
        <v>61.68</v>
      </c>
      <c r="S4459">
        <v>2.87</v>
      </c>
      <c r="T4459">
        <v>0.51</v>
      </c>
      <c r="U4459">
        <v>77.58</v>
      </c>
      <c r="V4459">
        <v>318</v>
      </c>
      <c r="W4459">
        <v>60.38</v>
      </c>
      <c r="X4459">
        <v>2521</v>
      </c>
      <c r="Y4459">
        <v>1586</v>
      </c>
      <c r="Z4459">
        <v>1.59</v>
      </c>
      <c r="AA4459">
        <v>84</v>
      </c>
      <c r="AB4459">
        <v>2</v>
      </c>
      <c r="AC4459">
        <v>3.2</v>
      </c>
      <c r="AD4459" t="s">
        <v>10126</v>
      </c>
      <c r="AE4459" t="s">
        <v>529</v>
      </c>
      <c r="AF4459" t="s">
        <v>20794</v>
      </c>
      <c r="AG4459" t="s">
        <v>20795</v>
      </c>
      <c r="AH4459">
        <v>-4.6</v>
      </c>
      <c r="AI4459">
        <v>3.16</v>
      </c>
      <c r="AJ4459">
        <v>2.43</v>
      </c>
      <c r="AK4459">
        <v>5.88</v>
      </c>
      <c r="AL4459">
        <v>-3</v>
      </c>
      <c r="AM4459">
        <v>-2.56</v>
      </c>
      <c r="AN4459">
        <v>-17.76</v>
      </c>
      <c r="AO4459">
        <v>12.57</v>
      </c>
      <c r="AP4459">
        <v>-23.39</v>
      </c>
    </row>
    <row r="4460" spans="1:42">
      <c r="A4460">
        <v>4459</v>
      </c>
      <c r="B4460" t="str">
        <f>"000862"</f>
        <v>000862</v>
      </c>
      <c r="C4460" t="s">
        <v>20796</v>
      </c>
      <c r="D4460">
        <v>6.26</v>
      </c>
      <c r="E4460">
        <v>-0.16</v>
      </c>
      <c r="F4460">
        <v>-0.01</v>
      </c>
      <c r="G4460" t="s">
        <v>3318</v>
      </c>
      <c r="H4460">
        <v>206</v>
      </c>
      <c r="I4460">
        <v>6.26</v>
      </c>
      <c r="J4460">
        <v>6.27</v>
      </c>
      <c r="K4460" t="s">
        <v>20797</v>
      </c>
      <c r="L4460">
        <v>0.79</v>
      </c>
      <c r="M4460" t="s">
        <v>46</v>
      </c>
      <c r="N4460" t="s">
        <v>289</v>
      </c>
      <c r="O4460">
        <v>6.3</v>
      </c>
      <c r="P4460">
        <v>6.22</v>
      </c>
      <c r="Q4460">
        <v>6.27</v>
      </c>
      <c r="R4460">
        <v>6.27</v>
      </c>
      <c r="S4460">
        <v>1.28</v>
      </c>
      <c r="T4460">
        <v>0.77</v>
      </c>
      <c r="U4460">
        <v>17.57</v>
      </c>
      <c r="V4460">
        <v>1027</v>
      </c>
      <c r="W4460">
        <v>6.25</v>
      </c>
      <c r="X4460" t="s">
        <v>2877</v>
      </c>
      <c r="Y4460" t="s">
        <v>1590</v>
      </c>
      <c r="Z4460">
        <v>1</v>
      </c>
      <c r="AA4460">
        <v>672</v>
      </c>
      <c r="AB4460">
        <v>318</v>
      </c>
      <c r="AC4460">
        <v>1.37</v>
      </c>
      <c r="AD4460" t="s">
        <v>5629</v>
      </c>
      <c r="AE4460" t="s">
        <v>16957</v>
      </c>
      <c r="AF4460" t="s">
        <v>20798</v>
      </c>
      <c r="AG4460" t="s">
        <v>4870</v>
      </c>
      <c r="AH4460">
        <v>-1.57</v>
      </c>
      <c r="AI4460">
        <v>0</v>
      </c>
      <c r="AJ4460">
        <v>2.96</v>
      </c>
      <c r="AK4460">
        <v>5.96</v>
      </c>
      <c r="AL4460">
        <v>-3</v>
      </c>
      <c r="AM4460">
        <v>-0.16</v>
      </c>
      <c r="AN4460">
        <v>-1.73</v>
      </c>
      <c r="AO4460">
        <v>3.99</v>
      </c>
      <c r="AP4460">
        <v>2.62</v>
      </c>
    </row>
    <row r="4461" spans="1:42">
      <c r="A4461">
        <v>4460</v>
      </c>
      <c r="B4461" t="str">
        <f>"300577"</f>
        <v>300577</v>
      </c>
      <c r="C4461" t="s">
        <v>20799</v>
      </c>
      <c r="D4461">
        <v>15.36</v>
      </c>
      <c r="E4461">
        <v>-1.16</v>
      </c>
      <c r="F4461">
        <v>-0.18</v>
      </c>
      <c r="G4461" t="s">
        <v>7487</v>
      </c>
      <c r="H4461">
        <v>171</v>
      </c>
      <c r="I4461">
        <v>15.36</v>
      </c>
      <c r="J4461">
        <v>15.37</v>
      </c>
      <c r="K4461" t="s">
        <v>20797</v>
      </c>
      <c r="L4461">
        <v>1.2</v>
      </c>
      <c r="M4461" t="s">
        <v>46</v>
      </c>
      <c r="N4461" t="s">
        <v>7267</v>
      </c>
      <c r="O4461">
        <v>15.63</v>
      </c>
      <c r="P4461">
        <v>15.25</v>
      </c>
      <c r="Q4461">
        <v>15.61</v>
      </c>
      <c r="R4461">
        <v>15.54</v>
      </c>
      <c r="S4461">
        <v>2.45</v>
      </c>
      <c r="T4461">
        <v>1.06</v>
      </c>
      <c r="U4461">
        <v>91.26</v>
      </c>
      <c r="V4461">
        <v>1065</v>
      </c>
      <c r="W4461">
        <v>15.38</v>
      </c>
      <c r="X4461">
        <v>7979</v>
      </c>
      <c r="Y4461">
        <v>8137</v>
      </c>
      <c r="Z4461">
        <v>0.98</v>
      </c>
      <c r="AA4461">
        <v>22</v>
      </c>
      <c r="AB4461">
        <v>3</v>
      </c>
      <c r="AC4461">
        <v>2.05</v>
      </c>
      <c r="AD4461" t="s">
        <v>20800</v>
      </c>
      <c r="AE4461" t="s">
        <v>13599</v>
      </c>
      <c r="AF4461" t="s">
        <v>11306</v>
      </c>
      <c r="AG4461" t="s">
        <v>20801</v>
      </c>
      <c r="AH4461">
        <v>-0.58</v>
      </c>
      <c r="AI4461">
        <v>-1.6</v>
      </c>
      <c r="AJ4461">
        <v>4.14</v>
      </c>
      <c r="AK4461">
        <v>6.88</v>
      </c>
      <c r="AL4461">
        <v>-1</v>
      </c>
      <c r="AM4461">
        <v>-1.16</v>
      </c>
      <c r="AN4461">
        <v>-3.09</v>
      </c>
      <c r="AO4461">
        <v>-0.26</v>
      </c>
      <c r="AP4461">
        <v>-3.88</v>
      </c>
    </row>
    <row r="4462" spans="1:42">
      <c r="A4462">
        <v>4461</v>
      </c>
      <c r="B4462" t="str">
        <f>"002211"</f>
        <v>002211</v>
      </c>
      <c r="C4462" t="s">
        <v>20802</v>
      </c>
      <c r="D4462">
        <v>4.02</v>
      </c>
      <c r="E4462">
        <v>0.5</v>
      </c>
      <c r="F4462">
        <v>0.02</v>
      </c>
      <c r="G4462" t="s">
        <v>8310</v>
      </c>
      <c r="H4462">
        <v>135</v>
      </c>
      <c r="I4462">
        <v>4.02</v>
      </c>
      <c r="J4462">
        <v>4.03</v>
      </c>
      <c r="K4462" t="s">
        <v>20803</v>
      </c>
      <c r="L4462">
        <v>1.43</v>
      </c>
      <c r="M4462" t="s">
        <v>46</v>
      </c>
      <c r="N4462" t="s">
        <v>7605</v>
      </c>
      <c r="O4462">
        <v>4.05</v>
      </c>
      <c r="P4462">
        <v>3.97</v>
      </c>
      <c r="Q4462">
        <v>4</v>
      </c>
      <c r="R4462">
        <v>4</v>
      </c>
      <c r="S4462">
        <v>2</v>
      </c>
      <c r="T4462">
        <v>1.03</v>
      </c>
      <c r="U4462">
        <v>-10.88</v>
      </c>
      <c r="V4462">
        <v>-891</v>
      </c>
      <c r="W4462">
        <v>4.01</v>
      </c>
      <c r="X4462" t="s">
        <v>6803</v>
      </c>
      <c r="Y4462" t="s">
        <v>4733</v>
      </c>
      <c r="Z4462">
        <v>0.96</v>
      </c>
      <c r="AA4462">
        <v>143</v>
      </c>
      <c r="AB4462">
        <v>950</v>
      </c>
      <c r="AC4462">
        <v>22.52</v>
      </c>
      <c r="AD4462" t="s">
        <v>1150</v>
      </c>
      <c r="AE4462" t="s">
        <v>2804</v>
      </c>
      <c r="AF4462" t="s">
        <v>20350</v>
      </c>
      <c r="AG4462" t="s">
        <v>5491</v>
      </c>
      <c r="AH4462">
        <v>-0.5</v>
      </c>
      <c r="AI4462">
        <v>-0.5</v>
      </c>
      <c r="AJ4462">
        <v>4.19</v>
      </c>
      <c r="AK4462">
        <v>8.4</v>
      </c>
      <c r="AL4462">
        <v>1</v>
      </c>
      <c r="AM4462">
        <v>0.5</v>
      </c>
      <c r="AN4462">
        <v>62.75</v>
      </c>
      <c r="AO4462">
        <v>3.61</v>
      </c>
      <c r="AP4462">
        <v>43.06</v>
      </c>
    </row>
    <row r="4463" spans="1:42">
      <c r="A4463">
        <v>4462</v>
      </c>
      <c r="B4463" t="str">
        <f>"002501"</f>
        <v>002501</v>
      </c>
      <c r="C4463" t="s">
        <v>20804</v>
      </c>
      <c r="D4463">
        <v>1.52</v>
      </c>
      <c r="E4463">
        <v>0.66</v>
      </c>
      <c r="F4463">
        <v>0.01</v>
      </c>
      <c r="G4463" t="s">
        <v>665</v>
      </c>
      <c r="H4463">
        <v>1914</v>
      </c>
      <c r="I4463">
        <v>1.52</v>
      </c>
      <c r="J4463">
        <v>1.53</v>
      </c>
      <c r="K4463" t="s">
        <v>20805</v>
      </c>
      <c r="L4463">
        <v>0.46</v>
      </c>
      <c r="M4463" t="s">
        <v>46</v>
      </c>
      <c r="N4463" t="s">
        <v>17754</v>
      </c>
      <c r="O4463">
        <v>1.54</v>
      </c>
      <c r="P4463">
        <v>1.51</v>
      </c>
      <c r="Q4463">
        <v>1.52</v>
      </c>
      <c r="R4463">
        <v>1.51</v>
      </c>
      <c r="S4463">
        <v>1.99</v>
      </c>
      <c r="T4463">
        <v>0.82</v>
      </c>
      <c r="U4463">
        <v>-19.57</v>
      </c>
      <c r="V4463" t="s">
        <v>10684</v>
      </c>
      <c r="W4463">
        <v>1.53</v>
      </c>
      <c r="X4463" t="s">
        <v>1232</v>
      </c>
      <c r="Y4463" t="s">
        <v>7279</v>
      </c>
      <c r="Z4463">
        <v>1.63</v>
      </c>
      <c r="AA4463">
        <v>3624</v>
      </c>
      <c r="AB4463">
        <v>5146</v>
      </c>
      <c r="AC4463">
        <v>4.74</v>
      </c>
      <c r="AD4463" t="s">
        <v>16173</v>
      </c>
      <c r="AE4463" t="s">
        <v>12904</v>
      </c>
      <c r="AF4463" t="s">
        <v>5130</v>
      </c>
      <c r="AG4463" t="s">
        <v>19764</v>
      </c>
      <c r="AH4463">
        <v>-1.3</v>
      </c>
      <c r="AI4463">
        <v>-1.3</v>
      </c>
      <c r="AJ4463">
        <v>1.52</v>
      </c>
      <c r="AK4463">
        <v>3.26</v>
      </c>
      <c r="AL4463">
        <v>1</v>
      </c>
      <c r="AM4463">
        <v>0.66</v>
      </c>
      <c r="AN4463">
        <v>-18.28</v>
      </c>
      <c r="AO4463">
        <v>3.4</v>
      </c>
      <c r="AP4463">
        <v>-27.62</v>
      </c>
    </row>
    <row r="4464" spans="1:42">
      <c r="A4464">
        <v>4463</v>
      </c>
      <c r="B4464" t="str">
        <f>"300239"</f>
        <v>300239</v>
      </c>
      <c r="C4464" t="s">
        <v>20806</v>
      </c>
      <c r="D4464">
        <v>6.57</v>
      </c>
      <c r="E4464">
        <v>0</v>
      </c>
      <c r="F4464">
        <v>0</v>
      </c>
      <c r="G4464" t="s">
        <v>8156</v>
      </c>
      <c r="H4464">
        <v>298</v>
      </c>
      <c r="I4464">
        <v>6.57</v>
      </c>
      <c r="J4464">
        <v>6.58</v>
      </c>
      <c r="K4464" t="s">
        <v>20807</v>
      </c>
      <c r="L4464">
        <v>0.73</v>
      </c>
      <c r="M4464" t="s">
        <v>46</v>
      </c>
      <c r="N4464" t="s">
        <v>12602</v>
      </c>
      <c r="O4464">
        <v>6.6</v>
      </c>
      <c r="P4464">
        <v>6.53</v>
      </c>
      <c r="Q4464">
        <v>6.56</v>
      </c>
      <c r="R4464">
        <v>6.57</v>
      </c>
      <c r="S4464">
        <v>1.07</v>
      </c>
      <c r="T4464">
        <v>0.66</v>
      </c>
      <c r="U4464">
        <v>-33.4</v>
      </c>
      <c r="V4464">
        <v>-1668</v>
      </c>
      <c r="W4464">
        <v>6.57</v>
      </c>
      <c r="X4464" t="s">
        <v>1280</v>
      </c>
      <c r="Y4464" t="s">
        <v>3165</v>
      </c>
      <c r="Z4464">
        <v>1.13</v>
      </c>
      <c r="AA4464">
        <v>817</v>
      </c>
      <c r="AB4464">
        <v>638</v>
      </c>
      <c r="AC4464">
        <v>2.42</v>
      </c>
      <c r="AD4464" t="s">
        <v>10303</v>
      </c>
      <c r="AE4464" t="s">
        <v>4274</v>
      </c>
      <c r="AF4464" t="s">
        <v>20808</v>
      </c>
      <c r="AG4464" t="s">
        <v>10573</v>
      </c>
      <c r="AH4464">
        <v>-1.2</v>
      </c>
      <c r="AI4464">
        <v>-1.2</v>
      </c>
      <c r="AJ4464">
        <v>2.27</v>
      </c>
      <c r="AK4464">
        <v>6.25</v>
      </c>
      <c r="AL4464">
        <v>0</v>
      </c>
      <c r="AM4464">
        <v>0</v>
      </c>
      <c r="AN4464">
        <v>-12.05</v>
      </c>
      <c r="AO4464">
        <v>1.55</v>
      </c>
      <c r="AP4464">
        <v>-20.46</v>
      </c>
    </row>
    <row r="4465" spans="1:42">
      <c r="A4465">
        <v>4464</v>
      </c>
      <c r="B4465" t="str">
        <f>"002699"</f>
        <v>002699</v>
      </c>
      <c r="C4465" t="s">
        <v>20809</v>
      </c>
      <c r="D4465">
        <v>1.73</v>
      </c>
      <c r="E4465">
        <v>1.76</v>
      </c>
      <c r="F4465">
        <v>0.03</v>
      </c>
      <c r="G4465" t="s">
        <v>44</v>
      </c>
      <c r="H4465">
        <v>4421</v>
      </c>
      <c r="I4465">
        <v>1.72</v>
      </c>
      <c r="J4465">
        <v>1.73</v>
      </c>
      <c r="K4465" t="s">
        <v>20807</v>
      </c>
      <c r="L4465">
        <v>1.59</v>
      </c>
      <c r="M4465" t="s">
        <v>46</v>
      </c>
      <c r="N4465" t="s">
        <v>5768</v>
      </c>
      <c r="O4465">
        <v>1.73</v>
      </c>
      <c r="P4465">
        <v>1.69</v>
      </c>
      <c r="Q4465">
        <v>1.7</v>
      </c>
      <c r="R4465">
        <v>1.7</v>
      </c>
      <c r="S4465">
        <v>2.35</v>
      </c>
      <c r="T4465">
        <v>0.55</v>
      </c>
      <c r="U4465">
        <v>-29.19</v>
      </c>
      <c r="V4465" t="s">
        <v>20810</v>
      </c>
      <c r="W4465">
        <v>1.71</v>
      </c>
      <c r="X4465" t="s">
        <v>5128</v>
      </c>
      <c r="Y4465" t="s">
        <v>4740</v>
      </c>
      <c r="Z4465">
        <v>0.88</v>
      </c>
      <c r="AA4465">
        <v>8297</v>
      </c>
      <c r="AB4465" t="s">
        <v>4959</v>
      </c>
      <c r="AC4465">
        <v>1.24</v>
      </c>
      <c r="AD4465" t="s">
        <v>20811</v>
      </c>
      <c r="AE4465" t="s">
        <v>579</v>
      </c>
      <c r="AF4465" t="s">
        <v>20812</v>
      </c>
      <c r="AG4465" t="s">
        <v>8101</v>
      </c>
      <c r="AH4465">
        <v>0.58</v>
      </c>
      <c r="AI4465">
        <v>-7.49</v>
      </c>
      <c r="AJ4465">
        <v>5.74</v>
      </c>
      <c r="AK4465">
        <v>15.96</v>
      </c>
      <c r="AL4465">
        <v>1</v>
      </c>
      <c r="AM4465">
        <v>1.76</v>
      </c>
      <c r="AN4465">
        <v>-47.73</v>
      </c>
      <c r="AO4465">
        <v>-3.89</v>
      </c>
      <c r="AP4465">
        <v>-51.94</v>
      </c>
    </row>
    <row r="4466" spans="1:42">
      <c r="A4466">
        <v>4465</v>
      </c>
      <c r="B4466" t="str">
        <f>"601686"</f>
        <v>601686</v>
      </c>
      <c r="C4466" t="s">
        <v>20813</v>
      </c>
      <c r="D4466">
        <v>6.2</v>
      </c>
      <c r="E4466">
        <v>0.32</v>
      </c>
      <c r="F4466">
        <v>0.02</v>
      </c>
      <c r="G4466" t="s">
        <v>534</v>
      </c>
      <c r="H4466">
        <v>818</v>
      </c>
      <c r="I4466">
        <v>6.19</v>
      </c>
      <c r="J4466">
        <v>6.2</v>
      </c>
      <c r="K4466" t="s">
        <v>20814</v>
      </c>
      <c r="L4466">
        <v>0.7</v>
      </c>
      <c r="M4466" t="s">
        <v>46</v>
      </c>
      <c r="N4466" t="s">
        <v>6313</v>
      </c>
      <c r="O4466">
        <v>6.24</v>
      </c>
      <c r="P4466">
        <v>6.14</v>
      </c>
      <c r="Q4466">
        <v>6.17</v>
      </c>
      <c r="R4466">
        <v>6.18</v>
      </c>
      <c r="S4466">
        <v>1.62</v>
      </c>
      <c r="T4466">
        <v>1.41</v>
      </c>
      <c r="U4466">
        <v>-28.95</v>
      </c>
      <c r="V4466">
        <v>-1347</v>
      </c>
      <c r="W4466">
        <v>6.21</v>
      </c>
      <c r="X4466" t="s">
        <v>1769</v>
      </c>
      <c r="Y4466" t="s">
        <v>9251</v>
      </c>
      <c r="Z4466">
        <v>0.57</v>
      </c>
      <c r="AA4466">
        <v>58</v>
      </c>
      <c r="AB4466">
        <v>623</v>
      </c>
      <c r="AC4466">
        <v>1.41</v>
      </c>
      <c r="AD4466" t="s">
        <v>16878</v>
      </c>
      <c r="AE4466" t="s">
        <v>20815</v>
      </c>
      <c r="AF4466" t="s">
        <v>5164</v>
      </c>
      <c r="AG4466" t="s">
        <v>18291</v>
      </c>
      <c r="AH4466">
        <v>-0.16</v>
      </c>
      <c r="AI4466">
        <v>-0.48</v>
      </c>
      <c r="AJ4466">
        <v>1.56</v>
      </c>
      <c r="AK4466">
        <v>3.17</v>
      </c>
      <c r="AL4466">
        <v>2</v>
      </c>
      <c r="AM4466">
        <v>0.32</v>
      </c>
      <c r="AN4466">
        <v>7.08</v>
      </c>
      <c r="AO4466">
        <v>-0.8</v>
      </c>
      <c r="AP4466">
        <v>6.9</v>
      </c>
    </row>
    <row r="4467" spans="1:42">
      <c r="A4467">
        <v>4466</v>
      </c>
      <c r="B4467" t="str">
        <f>"600868"</f>
        <v>600868</v>
      </c>
      <c r="C4467" t="s">
        <v>20816</v>
      </c>
      <c r="D4467">
        <v>2.63</v>
      </c>
      <c r="E4467">
        <v>1.15</v>
      </c>
      <c r="F4467">
        <v>0.03</v>
      </c>
      <c r="G4467" t="s">
        <v>643</v>
      </c>
      <c r="H4467">
        <v>2913</v>
      </c>
      <c r="I4467">
        <v>2.62</v>
      </c>
      <c r="J4467">
        <v>2.63</v>
      </c>
      <c r="K4467" t="s">
        <v>20814</v>
      </c>
      <c r="L4467">
        <v>0.5</v>
      </c>
      <c r="M4467" t="s">
        <v>46</v>
      </c>
      <c r="N4467" t="s">
        <v>6235</v>
      </c>
      <c r="O4467">
        <v>2.63</v>
      </c>
      <c r="P4467">
        <v>2.59</v>
      </c>
      <c r="Q4467">
        <v>2.6</v>
      </c>
      <c r="R4467">
        <v>2.6</v>
      </c>
      <c r="S4467">
        <v>1.54</v>
      </c>
      <c r="T4467">
        <v>0.95</v>
      </c>
      <c r="U4467">
        <v>-15.45</v>
      </c>
      <c r="V4467" t="s">
        <v>5348</v>
      </c>
      <c r="W4467">
        <v>2.62</v>
      </c>
      <c r="X4467" t="s">
        <v>4839</v>
      </c>
      <c r="Y4467" t="s">
        <v>8192</v>
      </c>
      <c r="Z4467">
        <v>0.58</v>
      </c>
      <c r="AA4467">
        <v>3343</v>
      </c>
      <c r="AB4467" t="s">
        <v>2807</v>
      </c>
      <c r="AC4467">
        <v>2.06</v>
      </c>
      <c r="AD4467" t="s">
        <v>20817</v>
      </c>
      <c r="AE4467" t="s">
        <v>20818</v>
      </c>
      <c r="AF4467" t="s">
        <v>20817</v>
      </c>
      <c r="AG4467" t="s">
        <v>20818</v>
      </c>
      <c r="AH4467">
        <v>-0.38</v>
      </c>
      <c r="AI4467">
        <v>-1.5</v>
      </c>
      <c r="AJ4467">
        <v>1.48</v>
      </c>
      <c r="AK4467">
        <v>3.11</v>
      </c>
      <c r="AL4467">
        <v>1</v>
      </c>
      <c r="AM4467">
        <v>1.15</v>
      </c>
      <c r="AN4467">
        <v>-1.13</v>
      </c>
      <c r="AO4467">
        <v>0.38</v>
      </c>
      <c r="AP4467">
        <v>-3.31</v>
      </c>
    </row>
    <row r="4468" spans="1:42">
      <c r="A4468">
        <v>4467</v>
      </c>
      <c r="B4468" t="str">
        <f>"688181"</f>
        <v>688181</v>
      </c>
      <c r="C4468" t="s">
        <v>20819</v>
      </c>
      <c r="D4468">
        <v>28.45</v>
      </c>
      <c r="E4468">
        <v>0.14</v>
      </c>
      <c r="F4468">
        <v>0.04</v>
      </c>
      <c r="G4468">
        <v>8748</v>
      </c>
      <c r="H4468">
        <v>55</v>
      </c>
      <c r="I4468">
        <v>28.45</v>
      </c>
      <c r="J4468">
        <v>28.46</v>
      </c>
      <c r="K4468" t="s">
        <v>20820</v>
      </c>
      <c r="L4468">
        <v>0.65</v>
      </c>
      <c r="M4468" t="s">
        <v>46</v>
      </c>
      <c r="N4468" t="s">
        <v>2203</v>
      </c>
      <c r="O4468">
        <v>28.55</v>
      </c>
      <c r="P4468">
        <v>27.83</v>
      </c>
      <c r="Q4468">
        <v>28.34</v>
      </c>
      <c r="R4468">
        <v>28.41</v>
      </c>
      <c r="S4468">
        <v>2.53</v>
      </c>
      <c r="T4468">
        <v>0.78</v>
      </c>
      <c r="U4468">
        <v>-95.87</v>
      </c>
      <c r="V4468">
        <v>-3529</v>
      </c>
      <c r="W4468">
        <v>28.24</v>
      </c>
      <c r="X4468">
        <v>3768</v>
      </c>
      <c r="Y4468">
        <v>4980</v>
      </c>
      <c r="Z4468">
        <v>0.76</v>
      </c>
      <c r="AA4468">
        <v>5</v>
      </c>
      <c r="AB4468">
        <v>11</v>
      </c>
      <c r="AC4468">
        <v>1.86</v>
      </c>
      <c r="AD4468" t="s">
        <v>11452</v>
      </c>
      <c r="AE4468" t="s">
        <v>6328</v>
      </c>
      <c r="AF4468" t="s">
        <v>11452</v>
      </c>
      <c r="AG4468" t="s">
        <v>6328</v>
      </c>
      <c r="AH4468">
        <v>-1.52</v>
      </c>
      <c r="AI4468">
        <v>-0.73</v>
      </c>
      <c r="AJ4468">
        <v>2.24</v>
      </c>
      <c r="AK4468">
        <v>4.81</v>
      </c>
      <c r="AL4468">
        <v>1</v>
      </c>
      <c r="AM4468">
        <v>0.14</v>
      </c>
      <c r="AN4468">
        <v>9.8</v>
      </c>
      <c r="AO4468">
        <v>0.89</v>
      </c>
      <c r="AP4468">
        <v>-1.08</v>
      </c>
    </row>
    <row r="4469" spans="1:42">
      <c r="A4469">
        <v>4468</v>
      </c>
      <c r="B4469" t="str">
        <f>"002379"</f>
        <v>002379</v>
      </c>
      <c r="C4469" t="s">
        <v>20821</v>
      </c>
      <c r="D4469">
        <v>4.58</v>
      </c>
      <c r="E4469">
        <v>0</v>
      </c>
      <c r="F4469">
        <v>0</v>
      </c>
      <c r="G4469" t="s">
        <v>6890</v>
      </c>
      <c r="H4469">
        <v>112</v>
      </c>
      <c r="I4469">
        <v>4.57</v>
      </c>
      <c r="J4469">
        <v>4.58</v>
      </c>
      <c r="K4469" t="s">
        <v>20820</v>
      </c>
      <c r="L4469">
        <v>0.58</v>
      </c>
      <c r="M4469" t="s">
        <v>46</v>
      </c>
      <c r="N4469" t="s">
        <v>322</v>
      </c>
      <c r="O4469">
        <v>4.6</v>
      </c>
      <c r="P4469">
        <v>4.56</v>
      </c>
      <c r="Q4469">
        <v>4.6</v>
      </c>
      <c r="R4469">
        <v>4.58</v>
      </c>
      <c r="S4469">
        <v>0.87</v>
      </c>
      <c r="T4469">
        <v>0.74</v>
      </c>
      <c r="U4469">
        <v>35.06</v>
      </c>
      <c r="V4469">
        <v>3437</v>
      </c>
      <c r="W4469">
        <v>4.57</v>
      </c>
      <c r="X4469" t="s">
        <v>2628</v>
      </c>
      <c r="Y4469" t="s">
        <v>1335</v>
      </c>
      <c r="Z4469">
        <v>1.38</v>
      </c>
      <c r="AA4469">
        <v>834</v>
      </c>
      <c r="AB4469">
        <v>1226</v>
      </c>
      <c r="AC4469">
        <v>2.49</v>
      </c>
      <c r="AD4469" t="s">
        <v>15038</v>
      </c>
      <c r="AE4469" t="s">
        <v>20822</v>
      </c>
      <c r="AF4469" t="s">
        <v>20823</v>
      </c>
      <c r="AG4469" t="s">
        <v>19112</v>
      </c>
      <c r="AH4469">
        <v>-1.72</v>
      </c>
      <c r="AI4469">
        <v>-2.35</v>
      </c>
      <c r="AJ4469">
        <v>2.56</v>
      </c>
      <c r="AK4469">
        <v>4.5</v>
      </c>
      <c r="AL4469">
        <v>0</v>
      </c>
      <c r="AM4469">
        <v>0</v>
      </c>
      <c r="AN4469">
        <v>9.05</v>
      </c>
      <c r="AO4469">
        <v>1.55</v>
      </c>
      <c r="AP4469">
        <v>12.53</v>
      </c>
    </row>
    <row r="4470" spans="1:42">
      <c r="A4470">
        <v>4469</v>
      </c>
      <c r="B4470" t="str">
        <f>"600982"</f>
        <v>600982</v>
      </c>
      <c r="C4470" t="s">
        <v>20824</v>
      </c>
      <c r="D4470">
        <v>4.22</v>
      </c>
      <c r="E4470">
        <v>0.72</v>
      </c>
      <c r="F4470">
        <v>0.03</v>
      </c>
      <c r="G4470" t="s">
        <v>6226</v>
      </c>
      <c r="H4470">
        <v>522</v>
      </c>
      <c r="I4470">
        <v>4.22</v>
      </c>
      <c r="J4470">
        <v>4.23</v>
      </c>
      <c r="K4470" t="s">
        <v>6421</v>
      </c>
      <c r="L4470">
        <v>0.53</v>
      </c>
      <c r="M4470" t="s">
        <v>46</v>
      </c>
      <c r="N4470" t="s">
        <v>9122</v>
      </c>
      <c r="O4470">
        <v>4.23</v>
      </c>
      <c r="P4470">
        <v>4.16</v>
      </c>
      <c r="Q4470">
        <v>4.18</v>
      </c>
      <c r="R4470">
        <v>4.19</v>
      </c>
      <c r="S4470">
        <v>1.67</v>
      </c>
      <c r="T4470">
        <v>1.02</v>
      </c>
      <c r="U4470">
        <v>-36.38</v>
      </c>
      <c r="V4470">
        <v>-6685</v>
      </c>
      <c r="W4470">
        <v>4.2</v>
      </c>
      <c r="X4470" t="s">
        <v>1335</v>
      </c>
      <c r="Y4470" t="s">
        <v>4974</v>
      </c>
      <c r="Z4470">
        <v>0.63</v>
      </c>
      <c r="AA4470">
        <v>710</v>
      </c>
      <c r="AB4470">
        <v>4454</v>
      </c>
      <c r="AC4470">
        <v>1.14</v>
      </c>
      <c r="AD4470" t="s">
        <v>976</v>
      </c>
      <c r="AE4470" t="s">
        <v>6006</v>
      </c>
      <c r="AF4470" t="s">
        <v>9161</v>
      </c>
      <c r="AG4470" t="s">
        <v>20825</v>
      </c>
      <c r="AH4470">
        <v>0.96</v>
      </c>
      <c r="AI4470">
        <v>0.24</v>
      </c>
      <c r="AJ4470">
        <v>1.61</v>
      </c>
      <c r="AK4470">
        <v>3.13</v>
      </c>
      <c r="AL4470">
        <v>2</v>
      </c>
      <c r="AM4470">
        <v>0.72</v>
      </c>
      <c r="AN4470">
        <v>1.93</v>
      </c>
      <c r="AO4470">
        <v>2.18</v>
      </c>
      <c r="AP4470">
        <v>-1.63</v>
      </c>
    </row>
    <row r="4471" spans="1:42">
      <c r="A4471">
        <v>4470</v>
      </c>
      <c r="B4471" t="str">
        <f>"301027"</f>
        <v>301027</v>
      </c>
      <c r="C4471" t="s">
        <v>20826</v>
      </c>
      <c r="D4471">
        <v>12.42</v>
      </c>
      <c r="E4471">
        <v>0.73</v>
      </c>
      <c r="F4471">
        <v>0.09</v>
      </c>
      <c r="G4471" t="s">
        <v>1590</v>
      </c>
      <c r="H4471">
        <v>45</v>
      </c>
      <c r="I4471">
        <v>12.41</v>
      </c>
      <c r="J4471">
        <v>12.42</v>
      </c>
      <c r="K4471" t="s">
        <v>6421</v>
      </c>
      <c r="L4471">
        <v>1.98</v>
      </c>
      <c r="M4471" t="s">
        <v>46</v>
      </c>
      <c r="N4471" t="s">
        <v>3575</v>
      </c>
      <c r="O4471">
        <v>12.5</v>
      </c>
      <c r="P4471">
        <v>12.2</v>
      </c>
      <c r="Q4471">
        <v>12.37</v>
      </c>
      <c r="R4471">
        <v>12.33</v>
      </c>
      <c r="S4471">
        <v>2.43</v>
      </c>
      <c r="T4471">
        <v>1.21</v>
      </c>
      <c r="U4471">
        <v>33.72</v>
      </c>
      <c r="V4471">
        <v>174</v>
      </c>
      <c r="W4471">
        <v>12.41</v>
      </c>
      <c r="X4471">
        <v>9861</v>
      </c>
      <c r="Y4471" t="s">
        <v>2615</v>
      </c>
      <c r="Z4471">
        <v>0.98</v>
      </c>
      <c r="AA4471">
        <v>15</v>
      </c>
      <c r="AB4471">
        <v>5</v>
      </c>
      <c r="AC4471">
        <v>1.96</v>
      </c>
      <c r="AD4471" t="s">
        <v>17365</v>
      </c>
      <c r="AE4471" t="s">
        <v>12434</v>
      </c>
      <c r="AF4471" t="s">
        <v>20827</v>
      </c>
      <c r="AG4471" t="s">
        <v>12779</v>
      </c>
      <c r="AH4471">
        <v>-1.19</v>
      </c>
      <c r="AI4471">
        <v>-2.28</v>
      </c>
      <c r="AJ4471">
        <v>5.24</v>
      </c>
      <c r="AK4471">
        <v>10.13</v>
      </c>
      <c r="AL4471">
        <v>1</v>
      </c>
      <c r="AM4471">
        <v>0.73</v>
      </c>
      <c r="AN4471">
        <v>-7.8</v>
      </c>
      <c r="AO4471">
        <v>0.89</v>
      </c>
      <c r="AP4471">
        <v>-21.19</v>
      </c>
    </row>
    <row r="4472" spans="1:42">
      <c r="A4472">
        <v>4471</v>
      </c>
      <c r="B4472" t="str">
        <f>"688103"</f>
        <v>688103</v>
      </c>
      <c r="C4472" t="s">
        <v>20828</v>
      </c>
      <c r="D4472">
        <v>52.44</v>
      </c>
      <c r="E4472">
        <v>-0.55</v>
      </c>
      <c r="F4472">
        <v>-0.29</v>
      </c>
      <c r="G4472">
        <v>4731</v>
      </c>
      <c r="H4472">
        <v>18</v>
      </c>
      <c r="I4472">
        <v>52.44</v>
      </c>
      <c r="J4472">
        <v>52.5</v>
      </c>
      <c r="K4472" t="s">
        <v>7667</v>
      </c>
      <c r="L4472">
        <v>0.75</v>
      </c>
      <c r="M4472" t="s">
        <v>46</v>
      </c>
      <c r="N4472" t="s">
        <v>2892</v>
      </c>
      <c r="O4472">
        <v>52.93</v>
      </c>
      <c r="P4472">
        <v>51.85</v>
      </c>
      <c r="Q4472">
        <v>52.56</v>
      </c>
      <c r="R4472">
        <v>52.73</v>
      </c>
      <c r="S4472">
        <v>2.05</v>
      </c>
      <c r="T4472">
        <v>0.55</v>
      </c>
      <c r="U4472">
        <v>-29.36</v>
      </c>
      <c r="V4472">
        <v>-71</v>
      </c>
      <c r="W4472">
        <v>52.15</v>
      </c>
      <c r="X4472">
        <v>2508</v>
      </c>
      <c r="Y4472">
        <v>2223</v>
      </c>
      <c r="Z4472">
        <v>1.13</v>
      </c>
      <c r="AA4472">
        <v>30</v>
      </c>
      <c r="AB4472">
        <v>4</v>
      </c>
      <c r="AC4472">
        <v>4.66</v>
      </c>
      <c r="AD4472" t="s">
        <v>20829</v>
      </c>
      <c r="AE4472" t="s">
        <v>20830</v>
      </c>
      <c r="AF4472" t="s">
        <v>20831</v>
      </c>
      <c r="AG4472" t="s">
        <v>3375</v>
      </c>
      <c r="AH4472">
        <v>-2.33</v>
      </c>
      <c r="AI4472">
        <v>-2.62</v>
      </c>
      <c r="AJ4472">
        <v>2.62</v>
      </c>
      <c r="AK4472">
        <v>7.49</v>
      </c>
      <c r="AL4472">
        <v>-3</v>
      </c>
      <c r="AM4472">
        <v>-0.55</v>
      </c>
      <c r="AN4472">
        <v>-18.14</v>
      </c>
      <c r="AO4472">
        <v>0.08</v>
      </c>
      <c r="AP4472">
        <v>-26.43</v>
      </c>
    </row>
    <row r="4473" spans="1:42">
      <c r="A4473">
        <v>4472</v>
      </c>
      <c r="B4473" t="str">
        <f>"003003"</f>
        <v>003003</v>
      </c>
      <c r="C4473" t="s">
        <v>20832</v>
      </c>
      <c r="D4473">
        <v>11.64</v>
      </c>
      <c r="E4473">
        <v>0.26</v>
      </c>
      <c r="F4473">
        <v>0.03</v>
      </c>
      <c r="G4473" t="s">
        <v>7210</v>
      </c>
      <c r="H4473">
        <v>662</v>
      </c>
      <c r="I4473">
        <v>11.63</v>
      </c>
      <c r="J4473">
        <v>11.64</v>
      </c>
      <c r="K4473" t="s">
        <v>7667</v>
      </c>
      <c r="L4473">
        <v>1.82</v>
      </c>
      <c r="M4473" t="s">
        <v>46</v>
      </c>
      <c r="N4473" t="s">
        <v>1645</v>
      </c>
      <c r="O4473">
        <v>11.7</v>
      </c>
      <c r="P4473">
        <v>11.57</v>
      </c>
      <c r="Q4473">
        <v>11.59</v>
      </c>
      <c r="R4473">
        <v>11.61</v>
      </c>
      <c r="S4473">
        <v>1.12</v>
      </c>
      <c r="T4473">
        <v>0.78</v>
      </c>
      <c r="U4473">
        <v>35.89</v>
      </c>
      <c r="V4473">
        <v>355</v>
      </c>
      <c r="W4473">
        <v>11.64</v>
      </c>
      <c r="X4473" t="s">
        <v>7974</v>
      </c>
      <c r="Y4473" t="s">
        <v>239</v>
      </c>
      <c r="Z4473">
        <v>1.04</v>
      </c>
      <c r="AA4473">
        <v>107</v>
      </c>
      <c r="AB4473">
        <v>26</v>
      </c>
      <c r="AC4473">
        <v>1.67</v>
      </c>
      <c r="AD4473" t="s">
        <v>14668</v>
      </c>
      <c r="AE4473" t="s">
        <v>12390</v>
      </c>
      <c r="AF4473" t="s">
        <v>2803</v>
      </c>
      <c r="AG4473" t="s">
        <v>20833</v>
      </c>
      <c r="AH4473">
        <v>-0.26</v>
      </c>
      <c r="AI4473">
        <v>-0.09</v>
      </c>
      <c r="AJ4473">
        <v>6.03</v>
      </c>
      <c r="AK4473">
        <v>13.51</v>
      </c>
      <c r="AL4473">
        <v>1</v>
      </c>
      <c r="AM4473">
        <v>0.26</v>
      </c>
      <c r="AN4473">
        <v>-1.69</v>
      </c>
      <c r="AO4473">
        <v>3.84</v>
      </c>
      <c r="AP4473">
        <v>13.67</v>
      </c>
    </row>
    <row r="4474" spans="1:42">
      <c r="A4474">
        <v>4473</v>
      </c>
      <c r="B4474" t="str">
        <f>"002228"</f>
        <v>002228</v>
      </c>
      <c r="C4474" t="s">
        <v>20834</v>
      </c>
      <c r="D4474">
        <v>3.52</v>
      </c>
      <c r="E4474">
        <v>0</v>
      </c>
      <c r="F4474">
        <v>0</v>
      </c>
      <c r="G4474" t="s">
        <v>3462</v>
      </c>
      <c r="H4474">
        <v>1592</v>
      </c>
      <c r="I4474">
        <v>3.51</v>
      </c>
      <c r="J4474">
        <v>3.52</v>
      </c>
      <c r="K4474" t="s">
        <v>20835</v>
      </c>
      <c r="L4474">
        <v>0.57</v>
      </c>
      <c r="M4474" t="s">
        <v>46</v>
      </c>
      <c r="N4474" t="s">
        <v>14456</v>
      </c>
      <c r="O4474">
        <v>3.54</v>
      </c>
      <c r="P4474">
        <v>3.5</v>
      </c>
      <c r="Q4474">
        <v>3.52</v>
      </c>
      <c r="R4474">
        <v>3.52</v>
      </c>
      <c r="S4474">
        <v>1.14</v>
      </c>
      <c r="T4474">
        <v>0.87</v>
      </c>
      <c r="U4474">
        <v>-12.45</v>
      </c>
      <c r="V4474">
        <v>-1507</v>
      </c>
      <c r="W4474">
        <v>3.52</v>
      </c>
      <c r="X4474" t="s">
        <v>7338</v>
      </c>
      <c r="Y4474" t="s">
        <v>8663</v>
      </c>
      <c r="Z4474">
        <v>0.91</v>
      </c>
      <c r="AA4474">
        <v>185</v>
      </c>
      <c r="AB4474">
        <v>582</v>
      </c>
      <c r="AC4474">
        <v>1.33</v>
      </c>
      <c r="AD4474" t="s">
        <v>5894</v>
      </c>
      <c r="AE4474" t="s">
        <v>20692</v>
      </c>
      <c r="AF4474" t="s">
        <v>11373</v>
      </c>
      <c r="AG4474" t="s">
        <v>19074</v>
      </c>
      <c r="AH4474">
        <v>-0.28</v>
      </c>
      <c r="AI4474">
        <v>-0.28</v>
      </c>
      <c r="AJ4474">
        <v>1.72</v>
      </c>
      <c r="AK4474">
        <v>3.82</v>
      </c>
      <c r="AL4474">
        <v>0</v>
      </c>
      <c r="AM4474">
        <v>0</v>
      </c>
      <c r="AN4474">
        <v>13.92</v>
      </c>
      <c r="AO4474">
        <v>2.62</v>
      </c>
      <c r="AP4474">
        <v>11.04</v>
      </c>
    </row>
    <row r="4475" spans="1:42">
      <c r="A4475">
        <v>4474</v>
      </c>
      <c r="B4475" t="str">
        <f>"605177"</f>
        <v>605177</v>
      </c>
      <c r="C4475" t="s">
        <v>20836</v>
      </c>
      <c r="D4475">
        <v>28.34</v>
      </c>
      <c r="E4475">
        <v>-0.35</v>
      </c>
      <c r="F4475">
        <v>-0.1</v>
      </c>
      <c r="G4475">
        <v>8678</v>
      </c>
      <c r="H4475">
        <v>113</v>
      </c>
      <c r="I4475">
        <v>28.34</v>
      </c>
      <c r="J4475">
        <v>28.35</v>
      </c>
      <c r="K4475" t="s">
        <v>10935</v>
      </c>
      <c r="L4475">
        <v>0.76</v>
      </c>
      <c r="M4475" t="s">
        <v>46</v>
      </c>
      <c r="N4475" t="s">
        <v>6876</v>
      </c>
      <c r="O4475">
        <v>28.65</v>
      </c>
      <c r="P4475">
        <v>28.27</v>
      </c>
      <c r="Q4475">
        <v>28.5</v>
      </c>
      <c r="R4475">
        <v>28.44</v>
      </c>
      <c r="S4475">
        <v>1.34</v>
      </c>
      <c r="T4475">
        <v>0.57</v>
      </c>
      <c r="U4475">
        <v>33.04</v>
      </c>
      <c r="V4475">
        <v>151</v>
      </c>
      <c r="W4475">
        <v>28.4</v>
      </c>
      <c r="X4475">
        <v>4385</v>
      </c>
      <c r="Y4475">
        <v>4293</v>
      </c>
      <c r="Z4475">
        <v>1.02</v>
      </c>
      <c r="AA4475">
        <v>18</v>
      </c>
      <c r="AB4475">
        <v>34</v>
      </c>
      <c r="AC4475">
        <v>1.72</v>
      </c>
      <c r="AD4475" t="s">
        <v>20837</v>
      </c>
      <c r="AE4475" t="s">
        <v>20838</v>
      </c>
      <c r="AF4475" t="s">
        <v>20837</v>
      </c>
      <c r="AG4475" t="s">
        <v>20838</v>
      </c>
      <c r="AH4475">
        <v>-2.01</v>
      </c>
      <c r="AI4475">
        <v>-3.77</v>
      </c>
      <c r="AJ4475">
        <v>3.11</v>
      </c>
      <c r="AK4475">
        <v>7.48</v>
      </c>
      <c r="AL4475">
        <v>-3</v>
      </c>
      <c r="AM4475">
        <v>-0.35</v>
      </c>
      <c r="AN4475">
        <v>43.64</v>
      </c>
      <c r="AO4475">
        <v>-4.58</v>
      </c>
      <c r="AP4475">
        <v>22.9</v>
      </c>
    </row>
    <row r="4476" spans="1:42">
      <c r="A4476">
        <v>4475</v>
      </c>
      <c r="B4476" t="str">
        <f>"301081"</f>
        <v>301081</v>
      </c>
      <c r="C4476" t="s">
        <v>20839</v>
      </c>
      <c r="D4476">
        <v>11.36</v>
      </c>
      <c r="E4476">
        <v>1.34</v>
      </c>
      <c r="F4476">
        <v>0.15</v>
      </c>
      <c r="G4476" t="s">
        <v>6827</v>
      </c>
      <c r="H4476">
        <v>370</v>
      </c>
      <c r="I4476">
        <v>11.35</v>
      </c>
      <c r="J4476">
        <v>11.36</v>
      </c>
      <c r="K4476" t="s">
        <v>10935</v>
      </c>
      <c r="L4476">
        <v>2.58</v>
      </c>
      <c r="M4476" t="s">
        <v>46</v>
      </c>
      <c r="N4476" t="s">
        <v>6382</v>
      </c>
      <c r="O4476">
        <v>11.39</v>
      </c>
      <c r="P4476">
        <v>11.13</v>
      </c>
      <c r="Q4476">
        <v>11.16</v>
      </c>
      <c r="R4476">
        <v>11.21</v>
      </c>
      <c r="S4476">
        <v>2.32</v>
      </c>
      <c r="T4476">
        <v>1.48</v>
      </c>
      <c r="U4476">
        <v>-49.58</v>
      </c>
      <c r="V4476">
        <v>-1219</v>
      </c>
      <c r="W4476">
        <v>11.3</v>
      </c>
      <c r="X4476" t="s">
        <v>2147</v>
      </c>
      <c r="Y4476" t="s">
        <v>2807</v>
      </c>
      <c r="Z4476">
        <v>0.96</v>
      </c>
      <c r="AA4476">
        <v>59</v>
      </c>
      <c r="AB4476">
        <v>348</v>
      </c>
      <c r="AC4476">
        <v>2.43</v>
      </c>
      <c r="AD4476" t="s">
        <v>20840</v>
      </c>
      <c r="AE4476" t="s">
        <v>20841</v>
      </c>
      <c r="AF4476" t="s">
        <v>20842</v>
      </c>
      <c r="AG4476" t="s">
        <v>20843</v>
      </c>
      <c r="AH4476">
        <v>0.62</v>
      </c>
      <c r="AI4476">
        <v>1.07</v>
      </c>
      <c r="AJ4476">
        <v>5.59</v>
      </c>
      <c r="AK4476">
        <v>11.34</v>
      </c>
      <c r="AL4476">
        <v>1</v>
      </c>
      <c r="AM4476">
        <v>1.34</v>
      </c>
      <c r="AN4476">
        <v>21.24</v>
      </c>
      <c r="AO4476">
        <v>6.17</v>
      </c>
      <c r="AP4476">
        <v>9.02</v>
      </c>
    </row>
    <row r="4477" spans="1:42">
      <c r="A4477">
        <v>4476</v>
      </c>
      <c r="B4477" t="str">
        <f>"301291"</f>
        <v>301291</v>
      </c>
      <c r="C4477" t="s">
        <v>20844</v>
      </c>
      <c r="D4477">
        <v>28.45</v>
      </c>
      <c r="E4477">
        <v>-0.35</v>
      </c>
      <c r="F4477">
        <v>-0.1</v>
      </c>
      <c r="G4477">
        <v>8654</v>
      </c>
      <c r="H4477">
        <v>154</v>
      </c>
      <c r="I4477">
        <v>28.44</v>
      </c>
      <c r="J4477">
        <v>28.45</v>
      </c>
      <c r="K4477" t="s">
        <v>10935</v>
      </c>
      <c r="L4477">
        <v>1.21</v>
      </c>
      <c r="M4477" t="s">
        <v>46</v>
      </c>
      <c r="N4477" t="s">
        <v>9584</v>
      </c>
      <c r="O4477">
        <v>28.75</v>
      </c>
      <c r="P4477">
        <v>28.3</v>
      </c>
      <c r="Q4477">
        <v>28.61</v>
      </c>
      <c r="R4477">
        <v>28.55</v>
      </c>
      <c r="S4477">
        <v>1.58</v>
      </c>
      <c r="T4477">
        <v>0.49</v>
      </c>
      <c r="U4477">
        <v>7.98</v>
      </c>
      <c r="V4477">
        <v>21</v>
      </c>
      <c r="W4477">
        <v>28.47</v>
      </c>
      <c r="X4477">
        <v>5401</v>
      </c>
      <c r="Y4477">
        <v>3253</v>
      </c>
      <c r="Z4477">
        <v>1.66</v>
      </c>
      <c r="AA4477">
        <v>36</v>
      </c>
      <c r="AB4477">
        <v>3</v>
      </c>
      <c r="AC4477">
        <v>2.2</v>
      </c>
      <c r="AD4477" t="s">
        <v>11735</v>
      </c>
      <c r="AE4477" t="s">
        <v>20845</v>
      </c>
      <c r="AF4477" t="s">
        <v>20846</v>
      </c>
      <c r="AG4477" t="s">
        <v>20847</v>
      </c>
      <c r="AH4477">
        <v>-2.33</v>
      </c>
      <c r="AI4477">
        <v>-1.22</v>
      </c>
      <c r="AJ4477">
        <v>4.41</v>
      </c>
      <c r="AK4477">
        <v>13.54</v>
      </c>
      <c r="AL4477">
        <v>-3</v>
      </c>
      <c r="AM4477">
        <v>-0.35</v>
      </c>
      <c r="AN4477">
        <v>-25.23</v>
      </c>
      <c r="AO4477">
        <v>-2.37</v>
      </c>
      <c r="AP4477">
        <v>-25.23</v>
      </c>
    </row>
    <row r="4478" spans="1:42">
      <c r="A4478">
        <v>4477</v>
      </c>
      <c r="B4478" t="str">
        <f>"600579"</f>
        <v>600579</v>
      </c>
      <c r="C4478" t="s">
        <v>20848</v>
      </c>
      <c r="D4478">
        <v>7.39</v>
      </c>
      <c r="E4478">
        <v>0.82</v>
      </c>
      <c r="F4478">
        <v>0.06</v>
      </c>
      <c r="G4478" t="s">
        <v>6365</v>
      </c>
      <c r="H4478">
        <v>189</v>
      </c>
      <c r="I4478">
        <v>7.38</v>
      </c>
      <c r="J4478">
        <v>7.39</v>
      </c>
      <c r="K4478" t="s">
        <v>10935</v>
      </c>
      <c r="L4478">
        <v>0.67</v>
      </c>
      <c r="M4478" t="s">
        <v>46</v>
      </c>
      <c r="N4478" t="s">
        <v>20849</v>
      </c>
      <c r="O4478">
        <v>7.42</v>
      </c>
      <c r="P4478">
        <v>7.29</v>
      </c>
      <c r="Q4478">
        <v>7.3</v>
      </c>
      <c r="R4478">
        <v>7.33</v>
      </c>
      <c r="S4478">
        <v>1.77</v>
      </c>
      <c r="T4478">
        <v>1.14</v>
      </c>
      <c r="U4478">
        <v>5.01</v>
      </c>
      <c r="V4478">
        <v>103</v>
      </c>
      <c r="W4478">
        <v>7.36</v>
      </c>
      <c r="X4478" t="s">
        <v>1110</v>
      </c>
      <c r="Y4478" t="s">
        <v>390</v>
      </c>
      <c r="Z4478">
        <v>1.02</v>
      </c>
      <c r="AA4478">
        <v>54</v>
      </c>
      <c r="AB4478">
        <v>20</v>
      </c>
      <c r="AC4478">
        <v>1.58</v>
      </c>
      <c r="AD4478" t="s">
        <v>20850</v>
      </c>
      <c r="AE4478" t="s">
        <v>17986</v>
      </c>
      <c r="AF4478" t="s">
        <v>20850</v>
      </c>
      <c r="AG4478" t="s">
        <v>17986</v>
      </c>
      <c r="AH4478">
        <v>-1.99</v>
      </c>
      <c r="AI4478">
        <v>-1.73</v>
      </c>
      <c r="AJ4478">
        <v>2.14</v>
      </c>
      <c r="AK4478">
        <v>3.64</v>
      </c>
      <c r="AL4478">
        <v>1</v>
      </c>
      <c r="AM4478">
        <v>0.82</v>
      </c>
      <c r="AN4478">
        <v>16.93</v>
      </c>
      <c r="AO4478">
        <v>2.92</v>
      </c>
      <c r="AP4478">
        <v>4.23</v>
      </c>
    </row>
    <row r="4479" spans="1:42">
      <c r="A4479">
        <v>4478</v>
      </c>
      <c r="B4479" t="str">
        <f>"301319"</f>
        <v>301319</v>
      </c>
      <c r="C4479" t="s">
        <v>20851</v>
      </c>
      <c r="D4479">
        <v>59</v>
      </c>
      <c r="E4479">
        <v>-0.54</v>
      </c>
      <c r="F4479">
        <v>-0.32</v>
      </c>
      <c r="G4479">
        <v>4174</v>
      </c>
      <c r="H4479">
        <v>5</v>
      </c>
      <c r="I4479">
        <v>58.85</v>
      </c>
      <c r="J4479">
        <v>59</v>
      </c>
      <c r="K4479" t="s">
        <v>20852</v>
      </c>
      <c r="L4479">
        <v>1.6</v>
      </c>
      <c r="M4479" t="s">
        <v>46</v>
      </c>
      <c r="N4479" t="s">
        <v>4041</v>
      </c>
      <c r="O4479">
        <v>59.58</v>
      </c>
      <c r="P4479">
        <v>58.24</v>
      </c>
      <c r="Q4479">
        <v>59.33</v>
      </c>
      <c r="R4479">
        <v>59.32</v>
      </c>
      <c r="S4479">
        <v>2.26</v>
      </c>
      <c r="T4479">
        <v>0.76</v>
      </c>
      <c r="U4479">
        <v>27.27</v>
      </c>
      <c r="V4479">
        <v>15</v>
      </c>
      <c r="W4479">
        <v>59.01</v>
      </c>
      <c r="X4479">
        <v>2190</v>
      </c>
      <c r="Y4479">
        <v>1984</v>
      </c>
      <c r="Z4479">
        <v>1.1</v>
      </c>
      <c r="AA4479">
        <v>6</v>
      </c>
      <c r="AB4479">
        <v>2</v>
      </c>
      <c r="AC4479">
        <v>3.12</v>
      </c>
      <c r="AD4479" t="s">
        <v>18346</v>
      </c>
      <c r="AE4479" t="s">
        <v>20853</v>
      </c>
      <c r="AF4479" t="s">
        <v>4736</v>
      </c>
      <c r="AG4479" t="s">
        <v>5493</v>
      </c>
      <c r="AH4479">
        <v>-2.85</v>
      </c>
      <c r="AI4479">
        <v>-5.65</v>
      </c>
      <c r="AJ4479">
        <v>4.82</v>
      </c>
      <c r="AK4479">
        <v>12.12</v>
      </c>
      <c r="AL4479">
        <v>-3</v>
      </c>
      <c r="AM4479">
        <v>-0.54</v>
      </c>
      <c r="AN4479">
        <v>2.7</v>
      </c>
      <c r="AO4479">
        <v>6.46</v>
      </c>
      <c r="AP4479">
        <v>-0.42</v>
      </c>
    </row>
    <row r="4480" spans="1:42">
      <c r="A4480">
        <v>4479</v>
      </c>
      <c r="B4480" t="str">
        <f>"688077"</f>
        <v>688077</v>
      </c>
      <c r="C4480" t="s">
        <v>20854</v>
      </c>
      <c r="D4480">
        <v>24.74</v>
      </c>
      <c r="E4480">
        <v>-1.28</v>
      </c>
      <c r="F4480">
        <v>-0.32</v>
      </c>
      <c r="G4480">
        <v>9938</v>
      </c>
      <c r="H4480">
        <v>135</v>
      </c>
      <c r="I4480">
        <v>24.74</v>
      </c>
      <c r="J4480">
        <v>24.81</v>
      </c>
      <c r="K4480" t="s">
        <v>20855</v>
      </c>
      <c r="L4480">
        <v>0.88</v>
      </c>
      <c r="M4480" t="s">
        <v>46</v>
      </c>
      <c r="N4480" t="s">
        <v>1419</v>
      </c>
      <c r="O4480">
        <v>25.2</v>
      </c>
      <c r="P4480">
        <v>24.52</v>
      </c>
      <c r="Q4480">
        <v>25.07</v>
      </c>
      <c r="R4480">
        <v>25.06</v>
      </c>
      <c r="S4480">
        <v>2.71</v>
      </c>
      <c r="T4480">
        <v>0.93</v>
      </c>
      <c r="U4480">
        <v>51.48</v>
      </c>
      <c r="V4480">
        <v>165</v>
      </c>
      <c r="W4480">
        <v>24.76</v>
      </c>
      <c r="X4480">
        <v>5258</v>
      </c>
      <c r="Y4480">
        <v>4679</v>
      </c>
      <c r="Z4480">
        <v>1.12</v>
      </c>
      <c r="AA4480">
        <v>0</v>
      </c>
      <c r="AB4480">
        <v>18</v>
      </c>
      <c r="AC4480">
        <v>2.54</v>
      </c>
      <c r="AD4480" t="s">
        <v>8536</v>
      </c>
      <c r="AE4480" t="s">
        <v>16023</v>
      </c>
      <c r="AF4480" t="s">
        <v>8536</v>
      </c>
      <c r="AG4480" t="s">
        <v>16023</v>
      </c>
      <c r="AH4480">
        <v>-2.64</v>
      </c>
      <c r="AI4480">
        <v>-2.17</v>
      </c>
      <c r="AJ4480">
        <v>2.49</v>
      </c>
      <c r="AK4480">
        <v>5.58</v>
      </c>
      <c r="AL4480">
        <v>-2</v>
      </c>
      <c r="AM4480">
        <v>-1.28</v>
      </c>
      <c r="AN4480">
        <v>-29.39</v>
      </c>
      <c r="AO4480">
        <v>-4.26</v>
      </c>
      <c r="AP4480">
        <v>-31.2</v>
      </c>
    </row>
    <row r="4481" spans="1:42">
      <c r="A4481">
        <v>4480</v>
      </c>
      <c r="B4481" t="str">
        <f>"837344"</f>
        <v>837344</v>
      </c>
      <c r="C4481" t="s">
        <v>20856</v>
      </c>
      <c r="D4481">
        <v>19.15</v>
      </c>
      <c r="E4481">
        <v>-2.3</v>
      </c>
      <c r="F4481">
        <v>-0.45</v>
      </c>
      <c r="G4481" t="s">
        <v>905</v>
      </c>
      <c r="H4481">
        <v>55</v>
      </c>
      <c r="I4481">
        <v>19.09</v>
      </c>
      <c r="J4481">
        <v>19.15</v>
      </c>
      <c r="K4481" t="s">
        <v>20857</v>
      </c>
      <c r="L4481">
        <v>1.09</v>
      </c>
      <c r="M4481" t="s">
        <v>46</v>
      </c>
      <c r="N4481" t="s">
        <v>8475</v>
      </c>
      <c r="O4481">
        <v>20.65</v>
      </c>
      <c r="P4481">
        <v>19</v>
      </c>
      <c r="Q4481">
        <v>19.8</v>
      </c>
      <c r="R4481">
        <v>19.6</v>
      </c>
      <c r="S4481">
        <v>8.42</v>
      </c>
      <c r="T4481">
        <v>0.37</v>
      </c>
      <c r="U4481">
        <v>35.82</v>
      </c>
      <c r="V4481">
        <v>92</v>
      </c>
      <c r="W4481">
        <v>19.91</v>
      </c>
      <c r="X4481">
        <v>6765</v>
      </c>
      <c r="Y4481">
        <v>5590</v>
      </c>
      <c r="Z4481">
        <v>1.21</v>
      </c>
      <c r="AA4481">
        <v>83</v>
      </c>
      <c r="AB4481">
        <v>3</v>
      </c>
      <c r="AC4481">
        <v>3.96</v>
      </c>
      <c r="AD4481" t="s">
        <v>20858</v>
      </c>
      <c r="AE4481" t="s">
        <v>20859</v>
      </c>
      <c r="AF4481" t="s">
        <v>20837</v>
      </c>
      <c r="AG4481" t="s">
        <v>20860</v>
      </c>
      <c r="AH4481">
        <v>-12.72</v>
      </c>
      <c r="AI4481">
        <v>3.85</v>
      </c>
      <c r="AJ4481">
        <v>4.47</v>
      </c>
      <c r="AK4481">
        <v>15.86</v>
      </c>
      <c r="AL4481">
        <v>-4</v>
      </c>
      <c r="AM4481">
        <v>-2.3</v>
      </c>
      <c r="AN4481">
        <v>12.51</v>
      </c>
      <c r="AO4481">
        <v>24.19</v>
      </c>
      <c r="AP4481">
        <v>6.39</v>
      </c>
    </row>
    <row r="4482" spans="1:42">
      <c r="A4482">
        <v>4481</v>
      </c>
      <c r="B4482" t="str">
        <f>"000659"</f>
        <v>000659</v>
      </c>
      <c r="C4482" t="s">
        <v>20861</v>
      </c>
      <c r="D4482">
        <v>2.72</v>
      </c>
      <c r="E4482">
        <v>0.37</v>
      </c>
      <c r="F4482">
        <v>0.01</v>
      </c>
      <c r="G4482" t="s">
        <v>3159</v>
      </c>
      <c r="H4482">
        <v>616</v>
      </c>
      <c r="I4482">
        <v>2.72</v>
      </c>
      <c r="J4482">
        <v>2.73</v>
      </c>
      <c r="K4482" t="s">
        <v>20862</v>
      </c>
      <c r="L4482">
        <v>0.7</v>
      </c>
      <c r="M4482" t="s">
        <v>46</v>
      </c>
      <c r="N4482" t="s">
        <v>522</v>
      </c>
      <c r="O4482">
        <v>2.75</v>
      </c>
      <c r="P4482">
        <v>2.69</v>
      </c>
      <c r="Q4482">
        <v>2.71</v>
      </c>
      <c r="R4482">
        <v>2.71</v>
      </c>
      <c r="S4482">
        <v>2.21</v>
      </c>
      <c r="T4482">
        <v>0.78</v>
      </c>
      <c r="U4482">
        <v>-26.64</v>
      </c>
      <c r="V4482" t="s">
        <v>4189</v>
      </c>
      <c r="W4482">
        <v>2.72</v>
      </c>
      <c r="X4482" t="s">
        <v>3737</v>
      </c>
      <c r="Y4482" t="s">
        <v>2921</v>
      </c>
      <c r="Z4482">
        <v>1.17</v>
      </c>
      <c r="AA4482">
        <v>1848</v>
      </c>
      <c r="AB4482">
        <v>4939</v>
      </c>
      <c r="AC4482">
        <v>8.27</v>
      </c>
      <c r="AD4482" t="s">
        <v>20863</v>
      </c>
      <c r="AE4482" t="s">
        <v>4080</v>
      </c>
      <c r="AF4482" t="s">
        <v>20863</v>
      </c>
      <c r="AG4482" t="s">
        <v>4080</v>
      </c>
      <c r="AH4482">
        <v>-1.45</v>
      </c>
      <c r="AI4482">
        <v>-1.81</v>
      </c>
      <c r="AJ4482">
        <v>2.61</v>
      </c>
      <c r="AK4482">
        <v>5.24</v>
      </c>
      <c r="AL4482">
        <v>2</v>
      </c>
      <c r="AM4482">
        <v>0.37</v>
      </c>
      <c r="AN4482">
        <v>-13.38</v>
      </c>
      <c r="AO4482">
        <v>-0.37</v>
      </c>
      <c r="AP4482">
        <v>-16.82</v>
      </c>
    </row>
    <row r="4483" spans="1:42">
      <c r="A4483">
        <v>4482</v>
      </c>
      <c r="B4483" t="str">
        <f>"300218"</f>
        <v>300218</v>
      </c>
      <c r="C4483" t="s">
        <v>20864</v>
      </c>
      <c r="D4483">
        <v>13.42</v>
      </c>
      <c r="E4483">
        <v>0.22</v>
      </c>
      <c r="F4483">
        <v>0.03</v>
      </c>
      <c r="G4483" t="s">
        <v>325</v>
      </c>
      <c r="H4483">
        <v>105</v>
      </c>
      <c r="I4483">
        <v>13.4</v>
      </c>
      <c r="J4483">
        <v>13.42</v>
      </c>
      <c r="K4483" t="s">
        <v>20862</v>
      </c>
      <c r="L4483">
        <v>0.85</v>
      </c>
      <c r="M4483" t="s">
        <v>46</v>
      </c>
      <c r="N4483" t="s">
        <v>11419</v>
      </c>
      <c r="O4483">
        <v>13.52</v>
      </c>
      <c r="P4483">
        <v>13.28</v>
      </c>
      <c r="Q4483">
        <v>13.4</v>
      </c>
      <c r="R4483">
        <v>13.39</v>
      </c>
      <c r="S4483">
        <v>1.79</v>
      </c>
      <c r="T4483">
        <v>0.74</v>
      </c>
      <c r="U4483">
        <v>58.35</v>
      </c>
      <c r="V4483">
        <v>762</v>
      </c>
      <c r="W4483">
        <v>13.41</v>
      </c>
      <c r="X4483">
        <v>8446</v>
      </c>
      <c r="Y4483">
        <v>9891</v>
      </c>
      <c r="Z4483">
        <v>0.85</v>
      </c>
      <c r="AA4483">
        <v>529</v>
      </c>
      <c r="AB4483">
        <v>50</v>
      </c>
      <c r="AC4483">
        <v>2.35</v>
      </c>
      <c r="AD4483" t="s">
        <v>15494</v>
      </c>
      <c r="AE4483" t="s">
        <v>16808</v>
      </c>
      <c r="AF4483" t="s">
        <v>19714</v>
      </c>
      <c r="AG4483" t="s">
        <v>20865</v>
      </c>
      <c r="AH4483">
        <v>-0.67</v>
      </c>
      <c r="AI4483">
        <v>-2.4</v>
      </c>
      <c r="AJ4483">
        <v>2.49</v>
      </c>
      <c r="AK4483">
        <v>6.59</v>
      </c>
      <c r="AL4483">
        <v>1</v>
      </c>
      <c r="AM4483">
        <v>0.22</v>
      </c>
      <c r="AN4483">
        <v>37.36</v>
      </c>
      <c r="AO4483">
        <v>7.53</v>
      </c>
      <c r="AP4483">
        <v>24.14</v>
      </c>
    </row>
    <row r="4484" spans="1:42">
      <c r="A4484">
        <v>4483</v>
      </c>
      <c r="B4484" t="str">
        <f>"002381"</f>
        <v>002381</v>
      </c>
      <c r="C4484" t="s">
        <v>20866</v>
      </c>
      <c r="D4484">
        <v>7.75</v>
      </c>
      <c r="E4484">
        <v>-0.13</v>
      </c>
      <c r="F4484">
        <v>-0.01</v>
      </c>
      <c r="G4484" t="s">
        <v>3558</v>
      </c>
      <c r="H4484">
        <v>105</v>
      </c>
      <c r="I4484">
        <v>7.75</v>
      </c>
      <c r="J4484">
        <v>7.77</v>
      </c>
      <c r="K4484" t="s">
        <v>20862</v>
      </c>
      <c r="L4484">
        <v>0.98</v>
      </c>
      <c r="M4484" t="s">
        <v>46</v>
      </c>
      <c r="N4484" t="s">
        <v>5506</v>
      </c>
      <c r="O4484">
        <v>7.82</v>
      </c>
      <c r="P4484">
        <v>7.72</v>
      </c>
      <c r="Q4484">
        <v>7.76</v>
      </c>
      <c r="R4484">
        <v>7.76</v>
      </c>
      <c r="S4484">
        <v>1.29</v>
      </c>
      <c r="T4484">
        <v>0.84</v>
      </c>
      <c r="U4484">
        <v>-8.04</v>
      </c>
      <c r="V4484">
        <v>-125</v>
      </c>
      <c r="W4484">
        <v>7.76</v>
      </c>
      <c r="X4484" t="s">
        <v>1110</v>
      </c>
      <c r="Y4484" t="s">
        <v>7656</v>
      </c>
      <c r="Z4484">
        <v>1.14</v>
      </c>
      <c r="AA4484">
        <v>17</v>
      </c>
      <c r="AB4484">
        <v>173</v>
      </c>
      <c r="AC4484">
        <v>1.58</v>
      </c>
      <c r="AD4484" t="s">
        <v>809</v>
      </c>
      <c r="AE4484" t="s">
        <v>16567</v>
      </c>
      <c r="AF4484" t="s">
        <v>20867</v>
      </c>
      <c r="AG4484" t="s">
        <v>20868</v>
      </c>
      <c r="AH4484">
        <v>-1.02</v>
      </c>
      <c r="AI4484">
        <v>-1.15</v>
      </c>
      <c r="AJ4484">
        <v>3.51</v>
      </c>
      <c r="AK4484">
        <v>6.82</v>
      </c>
      <c r="AL4484">
        <v>-4</v>
      </c>
      <c r="AM4484">
        <v>-0.13</v>
      </c>
      <c r="AN4484">
        <v>25.4</v>
      </c>
      <c r="AO4484">
        <v>-0.13</v>
      </c>
      <c r="AP4484">
        <v>31.13</v>
      </c>
    </row>
    <row r="4485" spans="1:42">
      <c r="A4485">
        <v>4484</v>
      </c>
      <c r="B4485" t="str">
        <f>"600768"</f>
        <v>600768</v>
      </c>
      <c r="C4485" t="s">
        <v>20869</v>
      </c>
      <c r="D4485">
        <v>11.4</v>
      </c>
      <c r="E4485">
        <v>-0.26</v>
      </c>
      <c r="F4485">
        <v>-0.03</v>
      </c>
      <c r="G4485" t="s">
        <v>7053</v>
      </c>
      <c r="H4485">
        <v>540</v>
      </c>
      <c r="I4485">
        <v>11.4</v>
      </c>
      <c r="J4485">
        <v>11.41</v>
      </c>
      <c r="K4485" t="s">
        <v>20870</v>
      </c>
      <c r="L4485">
        <v>1.61</v>
      </c>
      <c r="M4485" t="s">
        <v>46</v>
      </c>
      <c r="N4485" t="s">
        <v>6218</v>
      </c>
      <c r="O4485">
        <v>11.67</v>
      </c>
      <c r="P4485">
        <v>11.32</v>
      </c>
      <c r="Q4485">
        <v>11.43</v>
      </c>
      <c r="R4485">
        <v>11.43</v>
      </c>
      <c r="S4485">
        <v>3.06</v>
      </c>
      <c r="T4485">
        <v>0.64</v>
      </c>
      <c r="U4485">
        <v>8.32</v>
      </c>
      <c r="V4485">
        <v>55</v>
      </c>
      <c r="W4485">
        <v>11.43</v>
      </c>
      <c r="X4485" t="s">
        <v>1646</v>
      </c>
      <c r="Y4485" t="s">
        <v>4959</v>
      </c>
      <c r="Z4485">
        <v>0.91</v>
      </c>
      <c r="AA4485">
        <v>65</v>
      </c>
      <c r="AB4485">
        <v>100</v>
      </c>
      <c r="AC4485">
        <v>3.88</v>
      </c>
      <c r="AD4485" t="s">
        <v>14704</v>
      </c>
      <c r="AE4485" t="s">
        <v>16465</v>
      </c>
      <c r="AF4485" t="s">
        <v>14704</v>
      </c>
      <c r="AG4485" t="s">
        <v>16465</v>
      </c>
      <c r="AH4485">
        <v>-0.7</v>
      </c>
      <c r="AI4485">
        <v>0.44</v>
      </c>
      <c r="AJ4485">
        <v>8.25</v>
      </c>
      <c r="AK4485">
        <v>14.19</v>
      </c>
      <c r="AL4485">
        <v>-2</v>
      </c>
      <c r="AM4485">
        <v>-0.26</v>
      </c>
      <c r="AN4485">
        <v>24.05</v>
      </c>
      <c r="AO4485">
        <v>5.56</v>
      </c>
      <c r="AP4485">
        <v>15.38</v>
      </c>
    </row>
    <row r="4486" spans="1:42">
      <c r="A4486">
        <v>4485</v>
      </c>
      <c r="B4486" t="str">
        <f>"603519"</f>
        <v>603519</v>
      </c>
      <c r="C4486" t="s">
        <v>20871</v>
      </c>
      <c r="D4486">
        <v>13.33</v>
      </c>
      <c r="E4486">
        <v>-0.37</v>
      </c>
      <c r="F4486">
        <v>-0.05</v>
      </c>
      <c r="G4486" t="s">
        <v>128</v>
      </c>
      <c r="H4486">
        <v>276</v>
      </c>
      <c r="I4486">
        <v>13.32</v>
      </c>
      <c r="J4486">
        <v>13.33</v>
      </c>
      <c r="K4486" t="s">
        <v>20872</v>
      </c>
      <c r="L4486">
        <v>0.69</v>
      </c>
      <c r="M4486" t="s">
        <v>46</v>
      </c>
      <c r="N4486" t="s">
        <v>5944</v>
      </c>
      <c r="O4486">
        <v>13.37</v>
      </c>
      <c r="P4486">
        <v>13.19</v>
      </c>
      <c r="Q4486">
        <v>13.36</v>
      </c>
      <c r="R4486">
        <v>13.38</v>
      </c>
      <c r="S4486">
        <v>1.35</v>
      </c>
      <c r="T4486">
        <v>0.69</v>
      </c>
      <c r="U4486">
        <v>-15.96</v>
      </c>
      <c r="V4486">
        <v>-125</v>
      </c>
      <c r="W4486">
        <v>13.28</v>
      </c>
      <c r="X4486">
        <v>9702</v>
      </c>
      <c r="Y4486">
        <v>8803</v>
      </c>
      <c r="Z4486">
        <v>1.1</v>
      </c>
      <c r="AA4486">
        <v>100</v>
      </c>
      <c r="AB4486">
        <v>3</v>
      </c>
      <c r="AC4486">
        <v>2.45</v>
      </c>
      <c r="AD4486" t="s">
        <v>20873</v>
      </c>
      <c r="AE4486" t="s">
        <v>16173</v>
      </c>
      <c r="AF4486" t="s">
        <v>20873</v>
      </c>
      <c r="AG4486" t="s">
        <v>16173</v>
      </c>
      <c r="AH4486">
        <v>-1.99</v>
      </c>
      <c r="AI4486">
        <v>-2.2</v>
      </c>
      <c r="AJ4486">
        <v>3.61</v>
      </c>
      <c r="AK4486">
        <v>5.75</v>
      </c>
      <c r="AL4486">
        <v>-2</v>
      </c>
      <c r="AM4486">
        <v>-0.37</v>
      </c>
      <c r="AN4486">
        <v>42.57</v>
      </c>
      <c r="AO4486">
        <v>0.68</v>
      </c>
      <c r="AP4486">
        <v>23.43</v>
      </c>
    </row>
    <row r="4487" spans="1:42">
      <c r="A4487">
        <v>4486</v>
      </c>
      <c r="B4487" t="str">
        <f>"000505"</f>
        <v>000505</v>
      </c>
      <c r="C4487" t="s">
        <v>20874</v>
      </c>
      <c r="D4487">
        <v>7.27</v>
      </c>
      <c r="E4487">
        <v>-0.41</v>
      </c>
      <c r="F4487">
        <v>-0.03</v>
      </c>
      <c r="G4487" t="s">
        <v>4915</v>
      </c>
      <c r="H4487">
        <v>427</v>
      </c>
      <c r="I4487">
        <v>7.27</v>
      </c>
      <c r="J4487">
        <v>7.28</v>
      </c>
      <c r="K4487" t="s">
        <v>20875</v>
      </c>
      <c r="L4487">
        <v>0.53</v>
      </c>
      <c r="M4487" t="s">
        <v>46</v>
      </c>
      <c r="N4487" t="s">
        <v>7090</v>
      </c>
      <c r="O4487">
        <v>7.33</v>
      </c>
      <c r="P4487">
        <v>7.26</v>
      </c>
      <c r="Q4487">
        <v>7.29</v>
      </c>
      <c r="R4487">
        <v>7.3</v>
      </c>
      <c r="S4487">
        <v>0.96</v>
      </c>
      <c r="T4487">
        <v>0.73</v>
      </c>
      <c r="U4487">
        <v>-1.41</v>
      </c>
      <c r="V4487">
        <v>-66</v>
      </c>
      <c r="W4487">
        <v>7.28</v>
      </c>
      <c r="X4487" t="s">
        <v>5578</v>
      </c>
      <c r="Y4487" t="s">
        <v>6595</v>
      </c>
      <c r="Z4487">
        <v>1.26</v>
      </c>
      <c r="AA4487">
        <v>203</v>
      </c>
      <c r="AB4487">
        <v>530</v>
      </c>
      <c r="AC4487">
        <v>1.68</v>
      </c>
      <c r="AD4487" t="s">
        <v>20876</v>
      </c>
      <c r="AE4487" t="s">
        <v>15252</v>
      </c>
      <c r="AF4487" t="s">
        <v>11421</v>
      </c>
      <c r="AG4487" t="s">
        <v>2378</v>
      </c>
      <c r="AH4487">
        <v>-0.41</v>
      </c>
      <c r="AI4487">
        <v>0.41</v>
      </c>
      <c r="AJ4487">
        <v>2.28</v>
      </c>
      <c r="AK4487">
        <v>4.22</v>
      </c>
      <c r="AL4487">
        <v>-2</v>
      </c>
      <c r="AM4487">
        <v>-0.41</v>
      </c>
      <c r="AN4487">
        <v>-10.25</v>
      </c>
      <c r="AO4487">
        <v>1.82</v>
      </c>
      <c r="AP4487">
        <v>-9.35</v>
      </c>
    </row>
    <row r="4488" spans="1:42">
      <c r="A4488">
        <v>4487</v>
      </c>
      <c r="B4488" t="str">
        <f>"300004"</f>
        <v>300004</v>
      </c>
      <c r="C4488" t="s">
        <v>20877</v>
      </c>
      <c r="D4488">
        <v>6.23</v>
      </c>
      <c r="E4488">
        <v>0.81</v>
      </c>
      <c r="F4488">
        <v>0.05</v>
      </c>
      <c r="G4488" t="s">
        <v>5706</v>
      </c>
      <c r="H4488">
        <v>438</v>
      </c>
      <c r="I4488">
        <v>6.22</v>
      </c>
      <c r="J4488">
        <v>6.23</v>
      </c>
      <c r="K4488" t="s">
        <v>20878</v>
      </c>
      <c r="L4488">
        <v>0.83</v>
      </c>
      <c r="M4488" t="s">
        <v>46</v>
      </c>
      <c r="N4488" t="s">
        <v>5632</v>
      </c>
      <c r="O4488">
        <v>6.27</v>
      </c>
      <c r="P4488">
        <v>6.16</v>
      </c>
      <c r="Q4488">
        <v>6.21</v>
      </c>
      <c r="R4488">
        <v>6.18</v>
      </c>
      <c r="S4488">
        <v>1.78</v>
      </c>
      <c r="T4488">
        <v>0.93</v>
      </c>
      <c r="U4488">
        <v>-24.02</v>
      </c>
      <c r="V4488">
        <v>-1228</v>
      </c>
      <c r="W4488">
        <v>6.22</v>
      </c>
      <c r="X4488" t="s">
        <v>985</v>
      </c>
      <c r="Y4488" t="s">
        <v>882</v>
      </c>
      <c r="Z4488">
        <v>1.06</v>
      </c>
      <c r="AA4488">
        <v>226</v>
      </c>
      <c r="AB4488">
        <v>88</v>
      </c>
      <c r="AC4488">
        <v>1.75</v>
      </c>
      <c r="AD4488" t="s">
        <v>8794</v>
      </c>
      <c r="AE4488" t="s">
        <v>8172</v>
      </c>
      <c r="AF4488" t="s">
        <v>20879</v>
      </c>
      <c r="AG4488" t="s">
        <v>17906</v>
      </c>
      <c r="AH4488">
        <v>0</v>
      </c>
      <c r="AI4488">
        <v>-0.48</v>
      </c>
      <c r="AJ4488">
        <v>2.33</v>
      </c>
      <c r="AK4488">
        <v>5.27</v>
      </c>
      <c r="AL4488">
        <v>1</v>
      </c>
      <c r="AM4488">
        <v>0.81</v>
      </c>
      <c r="AN4488">
        <v>15.8</v>
      </c>
      <c r="AO4488">
        <v>3.83</v>
      </c>
      <c r="AP4488">
        <v>9.3</v>
      </c>
    </row>
    <row r="4489" spans="1:42">
      <c r="A4489">
        <v>4488</v>
      </c>
      <c r="B4489" t="str">
        <f>"688357"</f>
        <v>688357</v>
      </c>
      <c r="C4489" t="s">
        <v>20880</v>
      </c>
      <c r="D4489">
        <v>53.77</v>
      </c>
      <c r="E4489">
        <v>0.22</v>
      </c>
      <c r="F4489">
        <v>0.12</v>
      </c>
      <c r="G4489">
        <v>4584</v>
      </c>
      <c r="H4489">
        <v>11</v>
      </c>
      <c r="I4489">
        <v>53.7</v>
      </c>
      <c r="J4489">
        <v>53.79</v>
      </c>
      <c r="K4489" t="s">
        <v>20881</v>
      </c>
      <c r="L4489">
        <v>0.55</v>
      </c>
      <c r="M4489" t="s">
        <v>46</v>
      </c>
      <c r="N4489" t="s">
        <v>1676</v>
      </c>
      <c r="O4489">
        <v>53.96</v>
      </c>
      <c r="P4489">
        <v>52.95</v>
      </c>
      <c r="Q4489">
        <v>53.79</v>
      </c>
      <c r="R4489">
        <v>53.65</v>
      </c>
      <c r="S4489">
        <v>1.88</v>
      </c>
      <c r="T4489">
        <v>0.91</v>
      </c>
      <c r="U4489">
        <v>-29.93</v>
      </c>
      <c r="V4489">
        <v>-87</v>
      </c>
      <c r="W4489">
        <v>53.54</v>
      </c>
      <c r="X4489">
        <v>2573</v>
      </c>
      <c r="Y4489">
        <v>2012</v>
      </c>
      <c r="Z4489">
        <v>1.28</v>
      </c>
      <c r="AA4489">
        <v>2</v>
      </c>
      <c r="AB4489">
        <v>3</v>
      </c>
      <c r="AC4489">
        <v>2.74</v>
      </c>
      <c r="AD4489" t="s">
        <v>20882</v>
      </c>
      <c r="AE4489" t="s">
        <v>4045</v>
      </c>
      <c r="AF4489" t="s">
        <v>20882</v>
      </c>
      <c r="AG4489" t="s">
        <v>4045</v>
      </c>
      <c r="AH4489">
        <v>1.7</v>
      </c>
      <c r="AI4489">
        <v>1.63</v>
      </c>
      <c r="AJ4489">
        <v>2.06</v>
      </c>
      <c r="AK4489">
        <v>3.59</v>
      </c>
      <c r="AL4489">
        <v>4</v>
      </c>
      <c r="AM4489">
        <v>0.22</v>
      </c>
      <c r="AN4489">
        <v>-31.5</v>
      </c>
      <c r="AO4489">
        <v>0.41</v>
      </c>
      <c r="AP4489">
        <v>-30.25</v>
      </c>
    </row>
    <row r="4490" spans="1:42">
      <c r="A4490">
        <v>4489</v>
      </c>
      <c r="B4490" t="str">
        <f>"300381"</f>
        <v>300381</v>
      </c>
      <c r="C4490" t="s">
        <v>20883</v>
      </c>
      <c r="D4490">
        <v>8.06</v>
      </c>
      <c r="E4490">
        <v>0</v>
      </c>
      <c r="F4490">
        <v>0</v>
      </c>
      <c r="G4490" t="s">
        <v>3033</v>
      </c>
      <c r="H4490">
        <v>158</v>
      </c>
      <c r="I4490">
        <v>8.06</v>
      </c>
      <c r="J4490">
        <v>8.07</v>
      </c>
      <c r="K4490" t="s">
        <v>20884</v>
      </c>
      <c r="L4490">
        <v>0.63</v>
      </c>
      <c r="M4490" t="s">
        <v>46</v>
      </c>
      <c r="N4490" t="s">
        <v>1461</v>
      </c>
      <c r="O4490">
        <v>8.11</v>
      </c>
      <c r="P4490">
        <v>8.02</v>
      </c>
      <c r="Q4490">
        <v>8.08</v>
      </c>
      <c r="R4490">
        <v>8.06</v>
      </c>
      <c r="S4490">
        <v>1.12</v>
      </c>
      <c r="T4490">
        <v>0.7</v>
      </c>
      <c r="U4490">
        <v>-43.39</v>
      </c>
      <c r="V4490">
        <v>-1305</v>
      </c>
      <c r="W4490">
        <v>8.05</v>
      </c>
      <c r="X4490" t="s">
        <v>141</v>
      </c>
      <c r="Y4490" t="s">
        <v>7836</v>
      </c>
      <c r="Z4490">
        <v>1.08</v>
      </c>
      <c r="AA4490">
        <v>3</v>
      </c>
      <c r="AB4490">
        <v>316</v>
      </c>
      <c r="AC4490">
        <v>1.5</v>
      </c>
      <c r="AD4490" t="s">
        <v>20885</v>
      </c>
      <c r="AE4490" t="s">
        <v>5848</v>
      </c>
      <c r="AF4490" t="s">
        <v>20760</v>
      </c>
      <c r="AG4490" t="s">
        <v>20886</v>
      </c>
      <c r="AH4490">
        <v>-1.1</v>
      </c>
      <c r="AI4490">
        <v>-0.74</v>
      </c>
      <c r="AJ4490">
        <v>1.95</v>
      </c>
      <c r="AK4490">
        <v>5.07</v>
      </c>
      <c r="AL4490">
        <v>0</v>
      </c>
      <c r="AM4490">
        <v>0</v>
      </c>
      <c r="AN4490">
        <v>7.18</v>
      </c>
      <c r="AO4490">
        <v>0.88</v>
      </c>
      <c r="AP4490">
        <v>-2.77</v>
      </c>
    </row>
    <row r="4491" spans="1:42">
      <c r="A4491">
        <v>4490</v>
      </c>
      <c r="B4491" t="str">
        <f>"300505"</f>
        <v>300505</v>
      </c>
      <c r="C4491" t="s">
        <v>20887</v>
      </c>
      <c r="D4491">
        <v>14.29</v>
      </c>
      <c r="E4491">
        <v>0.35</v>
      </c>
      <c r="F4491">
        <v>0.05</v>
      </c>
      <c r="G4491" t="s">
        <v>1456</v>
      </c>
      <c r="H4491">
        <v>165</v>
      </c>
      <c r="I4491">
        <v>14.28</v>
      </c>
      <c r="J4491">
        <v>14.29</v>
      </c>
      <c r="K4491" t="s">
        <v>20888</v>
      </c>
      <c r="L4491">
        <v>1.04</v>
      </c>
      <c r="M4491" t="s">
        <v>46</v>
      </c>
      <c r="N4491" t="s">
        <v>2027</v>
      </c>
      <c r="O4491">
        <v>14.45</v>
      </c>
      <c r="P4491">
        <v>14.1</v>
      </c>
      <c r="Q4491">
        <v>14.25</v>
      </c>
      <c r="R4491">
        <v>14.24</v>
      </c>
      <c r="S4491">
        <v>2.46</v>
      </c>
      <c r="T4491">
        <v>0.97</v>
      </c>
      <c r="U4491">
        <v>-36.22</v>
      </c>
      <c r="V4491">
        <v>-276</v>
      </c>
      <c r="W4491">
        <v>14.24</v>
      </c>
      <c r="X4491">
        <v>9177</v>
      </c>
      <c r="Y4491">
        <v>7993</v>
      </c>
      <c r="Z4491">
        <v>1.15</v>
      </c>
      <c r="AA4491">
        <v>29</v>
      </c>
      <c r="AB4491">
        <v>117</v>
      </c>
      <c r="AC4491">
        <v>1.65</v>
      </c>
      <c r="AD4491" t="s">
        <v>10811</v>
      </c>
      <c r="AE4491" t="s">
        <v>17516</v>
      </c>
      <c r="AF4491" t="s">
        <v>20889</v>
      </c>
      <c r="AG4491" t="s">
        <v>20890</v>
      </c>
      <c r="AH4491">
        <v>-2.86</v>
      </c>
      <c r="AI4491">
        <v>-4.16</v>
      </c>
      <c r="AJ4491">
        <v>3.16</v>
      </c>
      <c r="AK4491">
        <v>6.42</v>
      </c>
      <c r="AL4491">
        <v>1</v>
      </c>
      <c r="AM4491">
        <v>0.35</v>
      </c>
      <c r="AN4491">
        <v>-37.16</v>
      </c>
      <c r="AO4491">
        <v>-1.45</v>
      </c>
      <c r="AP4491">
        <v>-33.81</v>
      </c>
    </row>
    <row r="4492" spans="1:42">
      <c r="A4492">
        <v>4491</v>
      </c>
      <c r="B4492" t="str">
        <f>"605100"</f>
        <v>605100</v>
      </c>
      <c r="C4492" t="s">
        <v>20891</v>
      </c>
      <c r="D4492">
        <v>15.77</v>
      </c>
      <c r="E4492">
        <v>-1.19</v>
      </c>
      <c r="F4492">
        <v>-0.19</v>
      </c>
      <c r="G4492" t="s">
        <v>5951</v>
      </c>
      <c r="H4492">
        <v>272</v>
      </c>
      <c r="I4492">
        <v>15.76</v>
      </c>
      <c r="J4492">
        <v>15.77</v>
      </c>
      <c r="K4492" t="s">
        <v>20892</v>
      </c>
      <c r="L4492">
        <v>0.91</v>
      </c>
      <c r="M4492" t="s">
        <v>46</v>
      </c>
      <c r="N4492" t="s">
        <v>241</v>
      </c>
      <c r="O4492">
        <v>15.96</v>
      </c>
      <c r="P4492">
        <v>15.65</v>
      </c>
      <c r="Q4492">
        <v>15.95</v>
      </c>
      <c r="R4492">
        <v>15.96</v>
      </c>
      <c r="S4492">
        <v>1.94</v>
      </c>
      <c r="T4492">
        <v>1.64</v>
      </c>
      <c r="U4492">
        <v>-10.55</v>
      </c>
      <c r="V4492">
        <v>-47</v>
      </c>
      <c r="W4492">
        <v>15.75</v>
      </c>
      <c r="X4492">
        <v>9951</v>
      </c>
      <c r="Y4492">
        <v>5554</v>
      </c>
      <c r="Z4492">
        <v>1.79</v>
      </c>
      <c r="AA4492">
        <v>33</v>
      </c>
      <c r="AB4492">
        <v>39</v>
      </c>
      <c r="AC4492">
        <v>1.47</v>
      </c>
      <c r="AD4492" t="s">
        <v>20893</v>
      </c>
      <c r="AE4492" t="s">
        <v>10894</v>
      </c>
      <c r="AF4492" t="s">
        <v>20893</v>
      </c>
      <c r="AG4492" t="s">
        <v>10894</v>
      </c>
      <c r="AH4492">
        <v>-1.68</v>
      </c>
      <c r="AI4492">
        <v>-0.88</v>
      </c>
      <c r="AJ4492">
        <v>2</v>
      </c>
      <c r="AK4492">
        <v>3.7</v>
      </c>
      <c r="AL4492">
        <v>-3</v>
      </c>
      <c r="AM4492">
        <v>-1.19</v>
      </c>
      <c r="AN4492">
        <v>21.4</v>
      </c>
      <c r="AO4492">
        <v>2.67</v>
      </c>
      <c r="AP4492">
        <v>-3.25</v>
      </c>
    </row>
    <row r="4493" spans="1:42">
      <c r="A4493">
        <v>4492</v>
      </c>
      <c r="B4493" t="str">
        <f>"603102"</f>
        <v>603102</v>
      </c>
      <c r="C4493" t="s">
        <v>20894</v>
      </c>
      <c r="D4493">
        <v>40.26</v>
      </c>
      <c r="E4493">
        <v>0.47</v>
      </c>
      <c r="F4493">
        <v>0.19</v>
      </c>
      <c r="G4493">
        <v>6079</v>
      </c>
      <c r="H4493">
        <v>49</v>
      </c>
      <c r="I4493">
        <v>40.26</v>
      </c>
      <c r="J4493">
        <v>40.28</v>
      </c>
      <c r="K4493" t="s">
        <v>20895</v>
      </c>
      <c r="L4493">
        <v>1.7</v>
      </c>
      <c r="M4493" t="s">
        <v>46</v>
      </c>
      <c r="N4493" t="s">
        <v>12772</v>
      </c>
      <c r="O4493">
        <v>40.32</v>
      </c>
      <c r="P4493">
        <v>39.91</v>
      </c>
      <c r="Q4493">
        <v>40.06</v>
      </c>
      <c r="R4493">
        <v>40.07</v>
      </c>
      <c r="S4493">
        <v>1.02</v>
      </c>
      <c r="T4493">
        <v>0.8</v>
      </c>
      <c r="U4493">
        <v>-60.64</v>
      </c>
      <c r="V4493">
        <v>-151</v>
      </c>
      <c r="W4493">
        <v>40.15</v>
      </c>
      <c r="X4493">
        <v>3033</v>
      </c>
      <c r="Y4493">
        <v>3046</v>
      </c>
      <c r="Z4493">
        <v>1</v>
      </c>
      <c r="AA4493">
        <v>1</v>
      </c>
      <c r="AB4493">
        <v>21</v>
      </c>
      <c r="AC4493">
        <v>1.7</v>
      </c>
      <c r="AD4493" t="s">
        <v>15909</v>
      </c>
      <c r="AE4493" t="s">
        <v>20896</v>
      </c>
      <c r="AF4493" t="s">
        <v>20897</v>
      </c>
      <c r="AG4493" t="s">
        <v>20898</v>
      </c>
      <c r="AH4493">
        <v>-0.52</v>
      </c>
      <c r="AI4493">
        <v>-0.64</v>
      </c>
      <c r="AJ4493">
        <v>5.27</v>
      </c>
      <c r="AK4493">
        <v>12.3</v>
      </c>
      <c r="AL4493">
        <v>1</v>
      </c>
      <c r="AM4493">
        <v>0.47</v>
      </c>
      <c r="AN4493">
        <v>0.68</v>
      </c>
      <c r="AO4493">
        <v>1.8</v>
      </c>
      <c r="AP4493">
        <v>2.16</v>
      </c>
    </row>
    <row r="4494" spans="1:42">
      <c r="A4494">
        <v>4493</v>
      </c>
      <c r="B4494" t="str">
        <f>"301040"</f>
        <v>301040</v>
      </c>
      <c r="C4494" t="s">
        <v>20899</v>
      </c>
      <c r="D4494">
        <v>19.02</v>
      </c>
      <c r="E4494">
        <v>0.69</v>
      </c>
      <c r="F4494">
        <v>0.13</v>
      </c>
      <c r="G4494" t="s">
        <v>1427</v>
      </c>
      <c r="H4494">
        <v>311</v>
      </c>
      <c r="I4494">
        <v>19</v>
      </c>
      <c r="J4494">
        <v>19.02</v>
      </c>
      <c r="K4494" t="s">
        <v>20900</v>
      </c>
      <c r="L4494">
        <v>1.85</v>
      </c>
      <c r="M4494" t="s">
        <v>46</v>
      </c>
      <c r="N4494" t="s">
        <v>20901</v>
      </c>
      <c r="O4494">
        <v>19.02</v>
      </c>
      <c r="P4494">
        <v>18.72</v>
      </c>
      <c r="Q4494">
        <v>18.9</v>
      </c>
      <c r="R4494">
        <v>18.89</v>
      </c>
      <c r="S4494">
        <v>1.59</v>
      </c>
      <c r="T4494">
        <v>1.16</v>
      </c>
      <c r="U4494">
        <v>-20.41</v>
      </c>
      <c r="V4494">
        <v>-60</v>
      </c>
      <c r="W4494">
        <v>18.89</v>
      </c>
      <c r="X4494">
        <v>6391</v>
      </c>
      <c r="Y4494">
        <v>6509</v>
      </c>
      <c r="Z4494">
        <v>0.98</v>
      </c>
      <c r="AA4494">
        <v>2</v>
      </c>
      <c r="AB4494">
        <v>83</v>
      </c>
      <c r="AC4494">
        <v>1.93</v>
      </c>
      <c r="AD4494" t="s">
        <v>5976</v>
      </c>
      <c r="AE4494" t="s">
        <v>20902</v>
      </c>
      <c r="AF4494" t="s">
        <v>20903</v>
      </c>
      <c r="AG4494" t="s">
        <v>20904</v>
      </c>
      <c r="AH4494">
        <v>-0.73</v>
      </c>
      <c r="AI4494">
        <v>-1.86</v>
      </c>
      <c r="AJ4494">
        <v>5.03</v>
      </c>
      <c r="AK4494">
        <v>9.86</v>
      </c>
      <c r="AL4494">
        <v>1</v>
      </c>
      <c r="AM4494">
        <v>0.69</v>
      </c>
      <c r="AN4494">
        <v>-0.31</v>
      </c>
      <c r="AO4494">
        <v>0.74</v>
      </c>
      <c r="AP4494">
        <v>-14.78</v>
      </c>
    </row>
    <row r="4495" spans="1:42">
      <c r="A4495">
        <v>4494</v>
      </c>
      <c r="B4495" t="str">
        <f>"600192"</f>
        <v>600192</v>
      </c>
      <c r="C4495" t="s">
        <v>20905</v>
      </c>
      <c r="D4495">
        <v>5.65</v>
      </c>
      <c r="E4495">
        <v>-0.7</v>
      </c>
      <c r="F4495">
        <v>-0.04</v>
      </c>
      <c r="G4495" t="s">
        <v>5235</v>
      </c>
      <c r="H4495">
        <v>967</v>
      </c>
      <c r="I4495">
        <v>5.65</v>
      </c>
      <c r="J4495">
        <v>5.66</v>
      </c>
      <c r="K4495" t="s">
        <v>20906</v>
      </c>
      <c r="L4495">
        <v>0.97</v>
      </c>
      <c r="M4495" t="s">
        <v>46</v>
      </c>
      <c r="N4495" t="s">
        <v>2751</v>
      </c>
      <c r="O4495">
        <v>5.7</v>
      </c>
      <c r="P4495">
        <v>5.62</v>
      </c>
      <c r="Q4495">
        <v>5.69</v>
      </c>
      <c r="R4495">
        <v>5.69</v>
      </c>
      <c r="S4495">
        <v>1.41</v>
      </c>
      <c r="T4495">
        <v>0.62</v>
      </c>
      <c r="U4495">
        <v>-30.81</v>
      </c>
      <c r="V4495">
        <v>-3107</v>
      </c>
      <c r="W4495">
        <v>5.66</v>
      </c>
      <c r="X4495" t="s">
        <v>4013</v>
      </c>
      <c r="Y4495" t="s">
        <v>2878</v>
      </c>
      <c r="Z4495">
        <v>1.36</v>
      </c>
      <c r="AA4495">
        <v>59</v>
      </c>
      <c r="AB4495">
        <v>244</v>
      </c>
      <c r="AC4495">
        <v>1.66</v>
      </c>
      <c r="AD4495" t="s">
        <v>20907</v>
      </c>
      <c r="AE4495" t="s">
        <v>20868</v>
      </c>
      <c r="AF4495" t="s">
        <v>20907</v>
      </c>
      <c r="AG4495" t="s">
        <v>20868</v>
      </c>
      <c r="AH4495">
        <v>-2.25</v>
      </c>
      <c r="AI4495">
        <v>-1.4</v>
      </c>
      <c r="AJ4495">
        <v>4.46</v>
      </c>
      <c r="AK4495">
        <v>8.84</v>
      </c>
      <c r="AL4495">
        <v>-3</v>
      </c>
      <c r="AM4495">
        <v>-0.7</v>
      </c>
      <c r="AN4495">
        <v>-1.05</v>
      </c>
      <c r="AO4495">
        <v>-0.88</v>
      </c>
      <c r="AP4495">
        <v>-10.46</v>
      </c>
    </row>
    <row r="4496" spans="1:42">
      <c r="A4496">
        <v>4495</v>
      </c>
      <c r="B4496" t="str">
        <f>"688132"</f>
        <v>688132</v>
      </c>
      <c r="C4496" t="s">
        <v>20908</v>
      </c>
      <c r="D4496">
        <v>22.79</v>
      </c>
      <c r="E4496">
        <v>0.35</v>
      </c>
      <c r="F4496">
        <v>0.08</v>
      </c>
      <c r="G4496" t="s">
        <v>7974</v>
      </c>
      <c r="H4496">
        <v>18</v>
      </c>
      <c r="I4496">
        <v>22.79</v>
      </c>
      <c r="J4496">
        <v>22.81</v>
      </c>
      <c r="K4496" t="s">
        <v>20909</v>
      </c>
      <c r="L4496">
        <v>1.01</v>
      </c>
      <c r="M4496" t="s">
        <v>46</v>
      </c>
      <c r="N4496" t="s">
        <v>6883</v>
      </c>
      <c r="O4496">
        <v>22.88</v>
      </c>
      <c r="P4496">
        <v>22.3</v>
      </c>
      <c r="Q4496">
        <v>22.59</v>
      </c>
      <c r="R4496">
        <v>22.71</v>
      </c>
      <c r="S4496">
        <v>2.55</v>
      </c>
      <c r="T4496">
        <v>1.4</v>
      </c>
      <c r="U4496">
        <v>-32.52</v>
      </c>
      <c r="V4496">
        <v>-105</v>
      </c>
      <c r="W4496">
        <v>22.58</v>
      </c>
      <c r="X4496">
        <v>4615</v>
      </c>
      <c r="Y4496">
        <v>6162</v>
      </c>
      <c r="Z4496">
        <v>0.75</v>
      </c>
      <c r="AA4496">
        <v>1</v>
      </c>
      <c r="AB4496">
        <v>8</v>
      </c>
      <c r="AC4496">
        <v>2.17</v>
      </c>
      <c r="AD4496" t="s">
        <v>5129</v>
      </c>
      <c r="AE4496" t="s">
        <v>6253</v>
      </c>
      <c r="AF4496" t="s">
        <v>20910</v>
      </c>
      <c r="AG4496" t="s">
        <v>11802</v>
      </c>
      <c r="AH4496">
        <v>-2.1</v>
      </c>
      <c r="AI4496">
        <v>-3.88</v>
      </c>
      <c r="AJ4496">
        <v>2.52</v>
      </c>
      <c r="AK4496">
        <v>4.61</v>
      </c>
      <c r="AL4496">
        <v>1</v>
      </c>
      <c r="AM4496">
        <v>0.35</v>
      </c>
      <c r="AN4496">
        <v>-6.6</v>
      </c>
      <c r="AO4496">
        <v>5.85</v>
      </c>
      <c r="AP4496">
        <v>-21.03</v>
      </c>
    </row>
    <row r="4497" spans="1:42">
      <c r="A4497">
        <v>4496</v>
      </c>
      <c r="B4497" t="str">
        <f>"301101"</f>
        <v>301101</v>
      </c>
      <c r="C4497" t="s">
        <v>20911</v>
      </c>
      <c r="D4497">
        <v>39.18</v>
      </c>
      <c r="E4497">
        <v>0.23</v>
      </c>
      <c r="F4497">
        <v>0.09</v>
      </c>
      <c r="G4497">
        <v>6228</v>
      </c>
      <c r="H4497">
        <v>103</v>
      </c>
      <c r="I4497">
        <v>39.17</v>
      </c>
      <c r="J4497">
        <v>39.18</v>
      </c>
      <c r="K4497" t="s">
        <v>20912</v>
      </c>
      <c r="L4497">
        <v>0.87</v>
      </c>
      <c r="M4497" t="s">
        <v>46</v>
      </c>
      <c r="N4497" t="s">
        <v>10571</v>
      </c>
      <c r="O4497">
        <v>39.32</v>
      </c>
      <c r="P4497">
        <v>38.69</v>
      </c>
      <c r="Q4497">
        <v>39.1</v>
      </c>
      <c r="R4497">
        <v>39.09</v>
      </c>
      <c r="S4497">
        <v>1.61</v>
      </c>
      <c r="T4497">
        <v>0.77</v>
      </c>
      <c r="U4497">
        <v>3.18</v>
      </c>
      <c r="V4497">
        <v>5</v>
      </c>
      <c r="W4497">
        <v>39.04</v>
      </c>
      <c r="X4497">
        <v>3111</v>
      </c>
      <c r="Y4497">
        <v>3116</v>
      </c>
      <c r="Z4497">
        <v>1</v>
      </c>
      <c r="AA4497">
        <v>4</v>
      </c>
      <c r="AB4497">
        <v>22</v>
      </c>
      <c r="AC4497">
        <v>5.09</v>
      </c>
      <c r="AD4497" t="s">
        <v>20913</v>
      </c>
      <c r="AE4497" t="s">
        <v>20914</v>
      </c>
      <c r="AF4497" t="s">
        <v>20915</v>
      </c>
      <c r="AG4497" t="s">
        <v>19357</v>
      </c>
      <c r="AH4497">
        <v>3.3</v>
      </c>
      <c r="AI4497">
        <v>4.29</v>
      </c>
      <c r="AJ4497">
        <v>3.97</v>
      </c>
      <c r="AK4497">
        <v>6.5</v>
      </c>
      <c r="AL4497">
        <v>5</v>
      </c>
      <c r="AM4497">
        <v>0.23</v>
      </c>
      <c r="AN4497">
        <v>-6.29</v>
      </c>
      <c r="AO4497">
        <v>11.21</v>
      </c>
      <c r="AP4497">
        <v>-5.06</v>
      </c>
    </row>
    <row r="4498" spans="1:42">
      <c r="A4498">
        <v>4497</v>
      </c>
      <c r="B4498" t="str">
        <f>"603041"</f>
        <v>603041</v>
      </c>
      <c r="C4498" t="s">
        <v>20916</v>
      </c>
      <c r="D4498">
        <v>13.12</v>
      </c>
      <c r="E4498">
        <v>-0.76</v>
      </c>
      <c r="F4498">
        <v>-0.1</v>
      </c>
      <c r="G4498" t="s">
        <v>128</v>
      </c>
      <c r="H4498">
        <v>106</v>
      </c>
      <c r="I4498">
        <v>13.12</v>
      </c>
      <c r="J4498">
        <v>13.13</v>
      </c>
      <c r="K4498" t="s">
        <v>20912</v>
      </c>
      <c r="L4498">
        <v>1.01</v>
      </c>
      <c r="M4498" t="s">
        <v>46</v>
      </c>
      <c r="N4498" t="s">
        <v>3910</v>
      </c>
      <c r="O4498">
        <v>13.26</v>
      </c>
      <c r="P4498">
        <v>13.08</v>
      </c>
      <c r="Q4498">
        <v>13.18</v>
      </c>
      <c r="R4498">
        <v>13.22</v>
      </c>
      <c r="S4498">
        <v>1.36</v>
      </c>
      <c r="T4498">
        <v>1.26</v>
      </c>
      <c r="U4498">
        <v>35.03</v>
      </c>
      <c r="V4498">
        <v>138</v>
      </c>
      <c r="W4498">
        <v>13.17</v>
      </c>
      <c r="X4498">
        <v>9741</v>
      </c>
      <c r="Y4498">
        <v>8721</v>
      </c>
      <c r="Z4498">
        <v>1.12</v>
      </c>
      <c r="AA4498">
        <v>24</v>
      </c>
      <c r="AB4498">
        <v>68</v>
      </c>
      <c r="AC4498">
        <v>1.68</v>
      </c>
      <c r="AD4498" t="s">
        <v>5307</v>
      </c>
      <c r="AE4498" t="s">
        <v>6582</v>
      </c>
      <c r="AF4498" t="s">
        <v>5307</v>
      </c>
      <c r="AG4498" t="s">
        <v>6582</v>
      </c>
      <c r="AH4498">
        <v>-1.58</v>
      </c>
      <c r="AI4498">
        <v>-1.06</v>
      </c>
      <c r="AJ4498">
        <v>2.41</v>
      </c>
      <c r="AK4498">
        <v>5</v>
      </c>
      <c r="AL4498">
        <v>-3</v>
      </c>
      <c r="AM4498">
        <v>-0.76</v>
      </c>
      <c r="AN4498">
        <v>18.41</v>
      </c>
      <c r="AO4498">
        <v>3.96</v>
      </c>
      <c r="AP4498">
        <v>9.15</v>
      </c>
    </row>
    <row r="4499" spans="1:42">
      <c r="A4499">
        <v>4498</v>
      </c>
      <c r="B4499" t="str">
        <f>"000702"</f>
        <v>000702</v>
      </c>
      <c r="C4499" t="s">
        <v>20917</v>
      </c>
      <c r="D4499">
        <v>6.03</v>
      </c>
      <c r="E4499">
        <v>-0.82</v>
      </c>
      <c r="F4499">
        <v>-0.05</v>
      </c>
      <c r="G4499" t="s">
        <v>6748</v>
      </c>
      <c r="H4499">
        <v>269</v>
      </c>
      <c r="I4499">
        <v>6.03</v>
      </c>
      <c r="J4499">
        <v>6.04</v>
      </c>
      <c r="K4499" t="s">
        <v>20918</v>
      </c>
      <c r="L4499">
        <v>1.5</v>
      </c>
      <c r="M4499" t="s">
        <v>46</v>
      </c>
      <c r="N4499" t="s">
        <v>1243</v>
      </c>
      <c r="O4499">
        <v>6.14</v>
      </c>
      <c r="P4499">
        <v>6</v>
      </c>
      <c r="Q4499">
        <v>6.08</v>
      </c>
      <c r="R4499">
        <v>6.08</v>
      </c>
      <c r="S4499">
        <v>2.3</v>
      </c>
      <c r="T4499">
        <v>0.95</v>
      </c>
      <c r="U4499">
        <v>-27.27</v>
      </c>
      <c r="V4499">
        <v>-687</v>
      </c>
      <c r="W4499">
        <v>6.06</v>
      </c>
      <c r="X4499" t="s">
        <v>1590</v>
      </c>
      <c r="Y4499" t="s">
        <v>2976</v>
      </c>
      <c r="Z4499">
        <v>0.99</v>
      </c>
      <c r="AA4499">
        <v>46</v>
      </c>
      <c r="AB4499">
        <v>552</v>
      </c>
      <c r="AC4499">
        <v>4.09</v>
      </c>
      <c r="AD4499" t="s">
        <v>20919</v>
      </c>
      <c r="AE4499" t="s">
        <v>8610</v>
      </c>
      <c r="AF4499" t="s">
        <v>20920</v>
      </c>
      <c r="AG4499" t="s">
        <v>678</v>
      </c>
      <c r="AH4499">
        <v>-0.99</v>
      </c>
      <c r="AI4499">
        <v>-0.33</v>
      </c>
      <c r="AJ4499">
        <v>4.17</v>
      </c>
      <c r="AK4499">
        <v>9.4</v>
      </c>
      <c r="AL4499">
        <v>-1</v>
      </c>
      <c r="AM4499">
        <v>-0.82</v>
      </c>
      <c r="AN4499">
        <v>6.16</v>
      </c>
      <c r="AO4499">
        <v>2.73</v>
      </c>
      <c r="AP4499">
        <v>-1.63</v>
      </c>
    </row>
    <row r="4500" spans="1:42">
      <c r="A4500">
        <v>4499</v>
      </c>
      <c r="B4500" t="str">
        <f>"605155"</f>
        <v>605155</v>
      </c>
      <c r="C4500" t="s">
        <v>20921</v>
      </c>
      <c r="D4500">
        <v>15.98</v>
      </c>
      <c r="E4500">
        <v>-0.13</v>
      </c>
      <c r="F4500">
        <v>-0.02</v>
      </c>
      <c r="G4500" t="s">
        <v>61</v>
      </c>
      <c r="H4500">
        <v>162</v>
      </c>
      <c r="I4500">
        <v>15.98</v>
      </c>
      <c r="J4500">
        <v>15.99</v>
      </c>
      <c r="K4500" t="s">
        <v>20922</v>
      </c>
      <c r="L4500">
        <v>3.24</v>
      </c>
      <c r="M4500" t="s">
        <v>46</v>
      </c>
      <c r="N4500" t="s">
        <v>17480</v>
      </c>
      <c r="O4500">
        <v>16.23</v>
      </c>
      <c r="P4500">
        <v>15.85</v>
      </c>
      <c r="Q4500">
        <v>15.89</v>
      </c>
      <c r="R4500">
        <v>16</v>
      </c>
      <c r="S4500">
        <v>2.37</v>
      </c>
      <c r="T4500">
        <v>0.7</v>
      </c>
      <c r="U4500">
        <v>-12.79</v>
      </c>
      <c r="V4500">
        <v>-29</v>
      </c>
      <c r="W4500">
        <v>16</v>
      </c>
      <c r="X4500">
        <v>6904</v>
      </c>
      <c r="Y4500">
        <v>8274</v>
      </c>
      <c r="Z4500">
        <v>0.83</v>
      </c>
      <c r="AA4500">
        <v>28</v>
      </c>
      <c r="AB4500">
        <v>34</v>
      </c>
      <c r="AC4500">
        <v>1.82</v>
      </c>
      <c r="AD4500" t="s">
        <v>8710</v>
      </c>
      <c r="AE4500" t="s">
        <v>20923</v>
      </c>
      <c r="AF4500" t="s">
        <v>20924</v>
      </c>
      <c r="AG4500" t="s">
        <v>18193</v>
      </c>
      <c r="AH4500">
        <v>-2.56</v>
      </c>
      <c r="AI4500">
        <v>-4.48</v>
      </c>
      <c r="AJ4500">
        <v>13.14</v>
      </c>
      <c r="AK4500">
        <v>26.49</v>
      </c>
      <c r="AL4500">
        <v>-3</v>
      </c>
      <c r="AM4500">
        <v>-0.13</v>
      </c>
      <c r="AN4500">
        <v>24.75</v>
      </c>
      <c r="AO4500">
        <v>0.06</v>
      </c>
      <c r="AP4500">
        <v>15.88</v>
      </c>
    </row>
    <row r="4501" spans="1:42">
      <c r="A4501">
        <v>4500</v>
      </c>
      <c r="B4501" t="str">
        <f>"600644"</f>
        <v>600644</v>
      </c>
      <c r="C4501" t="s">
        <v>20925</v>
      </c>
      <c r="D4501">
        <v>7.01</v>
      </c>
      <c r="E4501">
        <v>-0.14</v>
      </c>
      <c r="F4501">
        <v>-0.01</v>
      </c>
      <c r="G4501" t="s">
        <v>837</v>
      </c>
      <c r="H4501">
        <v>82</v>
      </c>
      <c r="I4501">
        <v>7.01</v>
      </c>
      <c r="J4501">
        <v>7.02</v>
      </c>
      <c r="K4501" t="s">
        <v>20926</v>
      </c>
      <c r="L4501">
        <v>0.64</v>
      </c>
      <c r="M4501" t="s">
        <v>46</v>
      </c>
      <c r="N4501" t="s">
        <v>3326</v>
      </c>
      <c r="O4501">
        <v>7.05</v>
      </c>
      <c r="P4501">
        <v>6.97</v>
      </c>
      <c r="Q4501">
        <v>7</v>
      </c>
      <c r="R4501">
        <v>7.02</v>
      </c>
      <c r="S4501">
        <v>1.14</v>
      </c>
      <c r="T4501">
        <v>1.35</v>
      </c>
      <c r="U4501">
        <v>-4.4</v>
      </c>
      <c r="V4501">
        <v>-282</v>
      </c>
      <c r="W4501">
        <v>7.02</v>
      </c>
      <c r="X4501" t="s">
        <v>3165</v>
      </c>
      <c r="Y4501" t="s">
        <v>1110</v>
      </c>
      <c r="Z4501">
        <v>1.04</v>
      </c>
      <c r="AA4501">
        <v>318</v>
      </c>
      <c r="AB4501">
        <v>324</v>
      </c>
      <c r="AC4501">
        <v>2.02</v>
      </c>
      <c r="AD4501" t="s">
        <v>12421</v>
      </c>
      <c r="AE4501" t="s">
        <v>3791</v>
      </c>
      <c r="AF4501" t="s">
        <v>12421</v>
      </c>
      <c r="AG4501" t="s">
        <v>3791</v>
      </c>
      <c r="AH4501">
        <v>-0.57</v>
      </c>
      <c r="AI4501">
        <v>0.29</v>
      </c>
      <c r="AJ4501">
        <v>1.49</v>
      </c>
      <c r="AK4501">
        <v>3.02</v>
      </c>
      <c r="AL4501">
        <v>-1</v>
      </c>
      <c r="AM4501">
        <v>-0.14</v>
      </c>
      <c r="AN4501">
        <v>-10.01</v>
      </c>
      <c r="AO4501">
        <v>2.79</v>
      </c>
      <c r="AP4501">
        <v>-14.41</v>
      </c>
    </row>
    <row r="4502" spans="1:42">
      <c r="A4502">
        <v>4501</v>
      </c>
      <c r="B4502" t="str">
        <f>"301012"</f>
        <v>301012</v>
      </c>
      <c r="C4502" t="s">
        <v>20927</v>
      </c>
      <c r="D4502">
        <v>20.11</v>
      </c>
      <c r="E4502">
        <v>-0.45</v>
      </c>
      <c r="F4502">
        <v>-0.09</v>
      </c>
      <c r="G4502" t="s">
        <v>1052</v>
      </c>
      <c r="H4502">
        <v>403</v>
      </c>
      <c r="I4502">
        <v>20.1</v>
      </c>
      <c r="J4502">
        <v>20.11</v>
      </c>
      <c r="K4502" t="s">
        <v>17840</v>
      </c>
      <c r="L4502">
        <v>1.61</v>
      </c>
      <c r="M4502" t="s">
        <v>46</v>
      </c>
      <c r="N4502" t="s">
        <v>4723</v>
      </c>
      <c r="O4502">
        <v>20.46</v>
      </c>
      <c r="P4502">
        <v>19.89</v>
      </c>
      <c r="Q4502">
        <v>20.2</v>
      </c>
      <c r="R4502">
        <v>20.2</v>
      </c>
      <c r="S4502">
        <v>2.82</v>
      </c>
      <c r="T4502">
        <v>0.37</v>
      </c>
      <c r="U4502">
        <v>-61.46</v>
      </c>
      <c r="V4502">
        <v>-265</v>
      </c>
      <c r="W4502">
        <v>20.09</v>
      </c>
      <c r="X4502">
        <v>7163</v>
      </c>
      <c r="Y4502">
        <v>4918</v>
      </c>
      <c r="Z4502">
        <v>1.46</v>
      </c>
      <c r="AA4502">
        <v>35</v>
      </c>
      <c r="AB4502">
        <v>73</v>
      </c>
      <c r="AC4502">
        <v>2.56</v>
      </c>
      <c r="AD4502" t="s">
        <v>6877</v>
      </c>
      <c r="AE4502" t="s">
        <v>17792</v>
      </c>
      <c r="AF4502" t="s">
        <v>20928</v>
      </c>
      <c r="AG4502" t="s">
        <v>20929</v>
      </c>
      <c r="AH4502">
        <v>-5.14</v>
      </c>
      <c r="AI4502">
        <v>-4.24</v>
      </c>
      <c r="AJ4502">
        <v>6.97</v>
      </c>
      <c r="AK4502">
        <v>23.2</v>
      </c>
      <c r="AL4502">
        <v>-4</v>
      </c>
      <c r="AM4502">
        <v>-0.45</v>
      </c>
      <c r="AN4502">
        <v>-19.11</v>
      </c>
      <c r="AO4502">
        <v>-6.86</v>
      </c>
      <c r="AP4502">
        <v>-28.76</v>
      </c>
    </row>
    <row r="4503" spans="1:42">
      <c r="A4503">
        <v>4502</v>
      </c>
      <c r="B4503" t="str">
        <f>"600075"</f>
        <v>600075</v>
      </c>
      <c r="C4503" t="s">
        <v>20930</v>
      </c>
      <c r="D4503">
        <v>4.44</v>
      </c>
      <c r="E4503">
        <v>0</v>
      </c>
      <c r="F4503">
        <v>0</v>
      </c>
      <c r="G4503" t="s">
        <v>5734</v>
      </c>
      <c r="H4503">
        <v>608</v>
      </c>
      <c r="I4503">
        <v>4.43</v>
      </c>
      <c r="J4503">
        <v>4.44</v>
      </c>
      <c r="K4503" t="s">
        <v>17840</v>
      </c>
      <c r="L4503">
        <v>0.32</v>
      </c>
      <c r="M4503" t="s">
        <v>46</v>
      </c>
      <c r="N4503" t="s">
        <v>20931</v>
      </c>
      <c r="O4503">
        <v>4.46</v>
      </c>
      <c r="P4503">
        <v>4.42</v>
      </c>
      <c r="Q4503">
        <v>4.44</v>
      </c>
      <c r="R4503">
        <v>4.44</v>
      </c>
      <c r="S4503">
        <v>0.9</v>
      </c>
      <c r="T4503">
        <v>0.99</v>
      </c>
      <c r="U4503">
        <v>40.86</v>
      </c>
      <c r="V4503">
        <v>3674</v>
      </c>
      <c r="W4503">
        <v>4.44</v>
      </c>
      <c r="X4503" t="s">
        <v>8050</v>
      </c>
      <c r="Y4503" t="s">
        <v>48</v>
      </c>
      <c r="Z4503">
        <v>1.19</v>
      </c>
      <c r="AA4503">
        <v>2065</v>
      </c>
      <c r="AB4503">
        <v>210</v>
      </c>
      <c r="AC4503">
        <v>0.84</v>
      </c>
      <c r="AD4503" t="s">
        <v>20932</v>
      </c>
      <c r="AE4503" t="s">
        <v>20933</v>
      </c>
      <c r="AF4503" t="s">
        <v>20932</v>
      </c>
      <c r="AG4503" t="s">
        <v>20933</v>
      </c>
      <c r="AH4503">
        <v>-1.11</v>
      </c>
      <c r="AI4503">
        <v>-1.77</v>
      </c>
      <c r="AJ4503">
        <v>0.91</v>
      </c>
      <c r="AK4503">
        <v>1.94</v>
      </c>
      <c r="AL4503">
        <v>0</v>
      </c>
      <c r="AM4503">
        <v>0</v>
      </c>
      <c r="AN4503">
        <v>-17.32</v>
      </c>
      <c r="AO4503">
        <v>-2.84</v>
      </c>
      <c r="AP4503">
        <v>-17.63</v>
      </c>
    </row>
    <row r="4504" spans="1:42">
      <c r="A4504">
        <v>4503</v>
      </c>
      <c r="B4504" t="str">
        <f>"000816"</f>
        <v>000816</v>
      </c>
      <c r="C4504" t="s">
        <v>20934</v>
      </c>
      <c r="D4504">
        <v>3.08</v>
      </c>
      <c r="E4504">
        <v>0.33</v>
      </c>
      <c r="F4504">
        <v>0.01</v>
      </c>
      <c r="G4504" t="s">
        <v>7241</v>
      </c>
      <c r="H4504">
        <v>682</v>
      </c>
      <c r="I4504">
        <v>3.07</v>
      </c>
      <c r="J4504">
        <v>3.08</v>
      </c>
      <c r="K4504" t="s">
        <v>20935</v>
      </c>
      <c r="L4504">
        <v>0.55</v>
      </c>
      <c r="M4504" t="s">
        <v>46</v>
      </c>
      <c r="N4504" t="s">
        <v>261</v>
      </c>
      <c r="O4504">
        <v>3.1</v>
      </c>
      <c r="P4504">
        <v>3.05</v>
      </c>
      <c r="Q4504">
        <v>3.06</v>
      </c>
      <c r="R4504">
        <v>3.07</v>
      </c>
      <c r="S4504">
        <v>1.63</v>
      </c>
      <c r="T4504">
        <v>0.65</v>
      </c>
      <c r="U4504">
        <v>-20.08</v>
      </c>
      <c r="V4504">
        <v>-7082</v>
      </c>
      <c r="W4504">
        <v>3.07</v>
      </c>
      <c r="X4504" t="s">
        <v>534</v>
      </c>
      <c r="Y4504" t="s">
        <v>5774</v>
      </c>
      <c r="Z4504">
        <v>1.02</v>
      </c>
      <c r="AA4504">
        <v>4546</v>
      </c>
      <c r="AB4504">
        <v>429</v>
      </c>
      <c r="AC4504">
        <v>2.05</v>
      </c>
      <c r="AD4504" t="s">
        <v>641</v>
      </c>
      <c r="AE4504" t="s">
        <v>810</v>
      </c>
      <c r="AF4504" t="s">
        <v>20936</v>
      </c>
      <c r="AG4504" t="s">
        <v>8763</v>
      </c>
      <c r="AH4504">
        <v>-1.28</v>
      </c>
      <c r="AI4504">
        <v>-1.6</v>
      </c>
      <c r="AJ4504">
        <v>2.18</v>
      </c>
      <c r="AK4504">
        <v>4.74</v>
      </c>
      <c r="AL4504">
        <v>1</v>
      </c>
      <c r="AM4504">
        <v>0.33</v>
      </c>
      <c r="AN4504">
        <v>-15.62</v>
      </c>
      <c r="AO4504">
        <v>0.65</v>
      </c>
      <c r="AP4504">
        <v>-24.88</v>
      </c>
    </row>
    <row r="4505" spans="1:42">
      <c r="A4505">
        <v>4504</v>
      </c>
      <c r="B4505" t="str">
        <f>"000407"</f>
        <v>000407</v>
      </c>
      <c r="C4505" t="s">
        <v>20937</v>
      </c>
      <c r="D4505">
        <v>3.75</v>
      </c>
      <c r="E4505">
        <v>0.27</v>
      </c>
      <c r="F4505">
        <v>0.01</v>
      </c>
      <c r="G4505" t="s">
        <v>6058</v>
      </c>
      <c r="H4505">
        <v>1024</v>
      </c>
      <c r="I4505">
        <v>3.74</v>
      </c>
      <c r="J4505">
        <v>3.75</v>
      </c>
      <c r="K4505" t="s">
        <v>20938</v>
      </c>
      <c r="L4505">
        <v>0.74</v>
      </c>
      <c r="M4505" t="s">
        <v>46</v>
      </c>
      <c r="N4505" t="s">
        <v>20939</v>
      </c>
      <c r="O4505">
        <v>3.76</v>
      </c>
      <c r="P4505">
        <v>3.73</v>
      </c>
      <c r="Q4505">
        <v>3.75</v>
      </c>
      <c r="R4505">
        <v>3.74</v>
      </c>
      <c r="S4505">
        <v>0.8</v>
      </c>
      <c r="T4505">
        <v>0.91</v>
      </c>
      <c r="U4505">
        <v>-32.65</v>
      </c>
      <c r="V4505" t="s">
        <v>1548</v>
      </c>
      <c r="W4505">
        <v>3.75</v>
      </c>
      <c r="X4505" t="s">
        <v>7946</v>
      </c>
      <c r="Y4505" t="s">
        <v>6645</v>
      </c>
      <c r="Z4505">
        <v>0.65</v>
      </c>
      <c r="AA4505">
        <v>2557</v>
      </c>
      <c r="AB4505">
        <v>506</v>
      </c>
      <c r="AC4505">
        <v>1.17</v>
      </c>
      <c r="AD4505" t="s">
        <v>20940</v>
      </c>
      <c r="AE4505" t="s">
        <v>20941</v>
      </c>
      <c r="AF4505" t="s">
        <v>20942</v>
      </c>
      <c r="AG4505" t="s">
        <v>5096</v>
      </c>
      <c r="AH4505">
        <v>-0.53</v>
      </c>
      <c r="AI4505">
        <v>0</v>
      </c>
      <c r="AJ4505">
        <v>2.36</v>
      </c>
      <c r="AK4505">
        <v>4.78</v>
      </c>
      <c r="AL4505">
        <v>2</v>
      </c>
      <c r="AM4505">
        <v>0.27</v>
      </c>
      <c r="AN4505">
        <v>-2.09</v>
      </c>
      <c r="AO4505">
        <v>3.31</v>
      </c>
      <c r="AP4505">
        <v>-7.18</v>
      </c>
    </row>
    <row r="4506" spans="1:42">
      <c r="A4506">
        <v>4505</v>
      </c>
      <c r="B4506" t="str">
        <f>"300929"</f>
        <v>300929</v>
      </c>
      <c r="C4506" t="s">
        <v>20943</v>
      </c>
      <c r="D4506">
        <v>12.12</v>
      </c>
      <c r="E4506">
        <v>-0.08</v>
      </c>
      <c r="F4506">
        <v>-0.01</v>
      </c>
      <c r="G4506" t="s">
        <v>1590</v>
      </c>
      <c r="H4506">
        <v>122</v>
      </c>
      <c r="I4506">
        <v>12.12</v>
      </c>
      <c r="J4506">
        <v>12.13</v>
      </c>
      <c r="K4506" t="s">
        <v>20938</v>
      </c>
      <c r="L4506">
        <v>2.09</v>
      </c>
      <c r="M4506" t="s">
        <v>46</v>
      </c>
      <c r="N4506" t="s">
        <v>5189</v>
      </c>
      <c r="O4506">
        <v>12.21</v>
      </c>
      <c r="P4506">
        <v>12.07</v>
      </c>
      <c r="Q4506">
        <v>12.16</v>
      </c>
      <c r="R4506">
        <v>12.13</v>
      </c>
      <c r="S4506">
        <v>1.15</v>
      </c>
      <c r="T4506">
        <v>1.05</v>
      </c>
      <c r="U4506">
        <v>49.83</v>
      </c>
      <c r="V4506">
        <v>296</v>
      </c>
      <c r="W4506">
        <v>12.15</v>
      </c>
      <c r="X4506" t="s">
        <v>2074</v>
      </c>
      <c r="Y4506">
        <v>9835</v>
      </c>
      <c r="Z4506">
        <v>1.03</v>
      </c>
      <c r="AA4506">
        <v>3</v>
      </c>
      <c r="AB4506">
        <v>27</v>
      </c>
      <c r="AC4506">
        <v>1.87</v>
      </c>
      <c r="AD4506" t="s">
        <v>7342</v>
      </c>
      <c r="AE4506" t="s">
        <v>10450</v>
      </c>
      <c r="AF4506" t="s">
        <v>8252</v>
      </c>
      <c r="AG4506" t="s">
        <v>15991</v>
      </c>
      <c r="AH4506">
        <v>-1.06</v>
      </c>
      <c r="AI4506">
        <v>-0.16</v>
      </c>
      <c r="AJ4506">
        <v>6.4</v>
      </c>
      <c r="AK4506">
        <v>12.04</v>
      </c>
      <c r="AL4506">
        <v>-2</v>
      </c>
      <c r="AM4506">
        <v>-0.08</v>
      </c>
      <c r="AN4506">
        <v>7.16</v>
      </c>
      <c r="AO4506">
        <v>2.28</v>
      </c>
      <c r="AP4506">
        <v>-0.41</v>
      </c>
    </row>
    <row r="4507" spans="1:42">
      <c r="A4507">
        <v>4506</v>
      </c>
      <c r="B4507" t="str">
        <f>"301327"</f>
        <v>301327</v>
      </c>
      <c r="C4507" t="s">
        <v>20944</v>
      </c>
      <c r="D4507">
        <v>67.07</v>
      </c>
      <c r="E4507">
        <v>-0.19</v>
      </c>
      <c r="F4507">
        <v>-0.13</v>
      </c>
      <c r="G4507">
        <v>3613</v>
      </c>
      <c r="H4507">
        <v>26</v>
      </c>
      <c r="I4507">
        <v>67.07</v>
      </c>
      <c r="J4507">
        <v>67.11</v>
      </c>
      <c r="K4507" t="s">
        <v>20938</v>
      </c>
      <c r="L4507">
        <v>1.04</v>
      </c>
      <c r="M4507" t="s">
        <v>46</v>
      </c>
      <c r="N4507" t="s">
        <v>720</v>
      </c>
      <c r="O4507">
        <v>67.65</v>
      </c>
      <c r="P4507">
        <v>66.6</v>
      </c>
      <c r="Q4507">
        <v>66.88</v>
      </c>
      <c r="R4507">
        <v>67.2</v>
      </c>
      <c r="S4507">
        <v>1.56</v>
      </c>
      <c r="T4507">
        <v>0.6</v>
      </c>
      <c r="U4507">
        <v>75.28</v>
      </c>
      <c r="V4507">
        <v>67</v>
      </c>
      <c r="W4507">
        <v>67</v>
      </c>
      <c r="X4507">
        <v>1798</v>
      </c>
      <c r="Y4507">
        <v>1815</v>
      </c>
      <c r="Z4507">
        <v>0.99</v>
      </c>
      <c r="AA4507">
        <v>3</v>
      </c>
      <c r="AB4507">
        <v>3</v>
      </c>
      <c r="AC4507">
        <v>1.36</v>
      </c>
      <c r="AD4507" t="s">
        <v>4377</v>
      </c>
      <c r="AE4507" t="s">
        <v>20945</v>
      </c>
      <c r="AF4507" t="s">
        <v>20946</v>
      </c>
      <c r="AG4507" t="s">
        <v>16365</v>
      </c>
      <c r="AH4507">
        <v>-3.68</v>
      </c>
      <c r="AI4507">
        <v>-2.63</v>
      </c>
      <c r="AJ4507">
        <v>3.54</v>
      </c>
      <c r="AK4507">
        <v>9.75</v>
      </c>
      <c r="AL4507">
        <v>-3</v>
      </c>
      <c r="AM4507">
        <v>-0.19</v>
      </c>
      <c r="AN4507">
        <v>-53.17</v>
      </c>
      <c r="AO4507">
        <v>6.17</v>
      </c>
      <c r="AP4507">
        <v>-57.89</v>
      </c>
    </row>
    <row r="4508" spans="1:42">
      <c r="A4508">
        <v>4507</v>
      </c>
      <c r="B4508" t="str">
        <f>"301046"</f>
        <v>301046</v>
      </c>
      <c r="C4508" t="s">
        <v>20947</v>
      </c>
      <c r="D4508">
        <v>26.78</v>
      </c>
      <c r="E4508">
        <v>0.45</v>
      </c>
      <c r="F4508">
        <v>0.12</v>
      </c>
      <c r="G4508">
        <v>9053</v>
      </c>
      <c r="H4508">
        <v>192</v>
      </c>
      <c r="I4508">
        <v>26.78</v>
      </c>
      <c r="J4508">
        <v>26.79</v>
      </c>
      <c r="K4508" t="s">
        <v>20948</v>
      </c>
      <c r="L4508">
        <v>1.53</v>
      </c>
      <c r="M4508" t="s">
        <v>46</v>
      </c>
      <c r="N4508" t="s">
        <v>3383</v>
      </c>
      <c r="O4508">
        <v>26.98</v>
      </c>
      <c r="P4508">
        <v>26.41</v>
      </c>
      <c r="Q4508">
        <v>26.66</v>
      </c>
      <c r="R4508">
        <v>26.66</v>
      </c>
      <c r="S4508">
        <v>2.14</v>
      </c>
      <c r="T4508">
        <v>0.96</v>
      </c>
      <c r="U4508">
        <v>-25.97</v>
      </c>
      <c r="V4508">
        <v>-80</v>
      </c>
      <c r="W4508">
        <v>26.72</v>
      </c>
      <c r="X4508">
        <v>4318</v>
      </c>
      <c r="Y4508">
        <v>4735</v>
      </c>
      <c r="Z4508">
        <v>0.91</v>
      </c>
      <c r="AA4508">
        <v>7</v>
      </c>
      <c r="AB4508">
        <v>56</v>
      </c>
      <c r="AC4508">
        <v>4.98</v>
      </c>
      <c r="AD4508" t="s">
        <v>20949</v>
      </c>
      <c r="AE4508" t="s">
        <v>19024</v>
      </c>
      <c r="AF4508" t="s">
        <v>20950</v>
      </c>
      <c r="AG4508" t="s">
        <v>7242</v>
      </c>
      <c r="AH4508">
        <v>-1.03</v>
      </c>
      <c r="AI4508">
        <v>-1.58</v>
      </c>
      <c r="AJ4508">
        <v>4.44</v>
      </c>
      <c r="AK4508">
        <v>9.56</v>
      </c>
      <c r="AL4508">
        <v>1</v>
      </c>
      <c r="AM4508">
        <v>0.45</v>
      </c>
      <c r="AN4508">
        <v>-22.71</v>
      </c>
      <c r="AO4508">
        <v>-0.04</v>
      </c>
      <c r="AP4508">
        <v>-12.83</v>
      </c>
    </row>
    <row r="4509" spans="1:42">
      <c r="A4509">
        <v>4508</v>
      </c>
      <c r="B4509" t="str">
        <f>"300905"</f>
        <v>300905</v>
      </c>
      <c r="C4509" t="s">
        <v>20951</v>
      </c>
      <c r="D4509">
        <v>19.91</v>
      </c>
      <c r="E4509">
        <v>-1.48</v>
      </c>
      <c r="F4509">
        <v>-0.3</v>
      </c>
      <c r="G4509" t="s">
        <v>1052</v>
      </c>
      <c r="H4509">
        <v>303</v>
      </c>
      <c r="I4509">
        <v>19.91</v>
      </c>
      <c r="J4509">
        <v>19.92</v>
      </c>
      <c r="K4509" t="s">
        <v>20948</v>
      </c>
      <c r="L4509">
        <v>1.18</v>
      </c>
      <c r="M4509" t="s">
        <v>46</v>
      </c>
      <c r="N4509" t="s">
        <v>5558</v>
      </c>
      <c r="O4509">
        <v>20.3</v>
      </c>
      <c r="P4509">
        <v>19.88</v>
      </c>
      <c r="Q4509">
        <v>20.26</v>
      </c>
      <c r="R4509">
        <v>20.21</v>
      </c>
      <c r="S4509">
        <v>2.08</v>
      </c>
      <c r="T4509">
        <v>1.05</v>
      </c>
      <c r="U4509">
        <v>-4</v>
      </c>
      <c r="V4509">
        <v>-5</v>
      </c>
      <c r="W4509">
        <v>19.98</v>
      </c>
      <c r="X4509">
        <v>5852</v>
      </c>
      <c r="Y4509">
        <v>6252</v>
      </c>
      <c r="Z4509">
        <v>0.94</v>
      </c>
      <c r="AA4509">
        <v>8</v>
      </c>
      <c r="AB4509">
        <v>16</v>
      </c>
      <c r="AC4509">
        <v>1.98</v>
      </c>
      <c r="AD4509" t="s">
        <v>6432</v>
      </c>
      <c r="AE4509" t="s">
        <v>20952</v>
      </c>
      <c r="AF4509" t="s">
        <v>7454</v>
      </c>
      <c r="AG4509" t="s">
        <v>17508</v>
      </c>
      <c r="AH4509">
        <v>-2.88</v>
      </c>
      <c r="AI4509">
        <v>-4.96</v>
      </c>
      <c r="AJ4509">
        <v>3.37</v>
      </c>
      <c r="AK4509">
        <v>6.8</v>
      </c>
      <c r="AL4509">
        <v>-3</v>
      </c>
      <c r="AM4509">
        <v>-1.48</v>
      </c>
      <c r="AN4509">
        <v>34.25</v>
      </c>
      <c r="AO4509">
        <v>-2.55</v>
      </c>
      <c r="AP4509">
        <v>22.15</v>
      </c>
    </row>
    <row r="4510" spans="1:42">
      <c r="A4510">
        <v>4509</v>
      </c>
      <c r="B4510" t="str">
        <f>"600299"</f>
        <v>600299</v>
      </c>
      <c r="C4510" t="s">
        <v>20953</v>
      </c>
      <c r="D4510">
        <v>7.84</v>
      </c>
      <c r="E4510">
        <v>-0.38</v>
      </c>
      <c r="F4510">
        <v>-0.03</v>
      </c>
      <c r="G4510" t="s">
        <v>6657</v>
      </c>
      <c r="H4510">
        <v>486</v>
      </c>
      <c r="I4510">
        <v>7.83</v>
      </c>
      <c r="J4510">
        <v>7.84</v>
      </c>
      <c r="K4510" t="s">
        <v>20948</v>
      </c>
      <c r="L4510">
        <v>0.12</v>
      </c>
      <c r="M4510" t="s">
        <v>46</v>
      </c>
      <c r="N4510" t="s">
        <v>20954</v>
      </c>
      <c r="O4510">
        <v>7.9</v>
      </c>
      <c r="P4510">
        <v>7.79</v>
      </c>
      <c r="Q4510">
        <v>7.87</v>
      </c>
      <c r="R4510">
        <v>7.87</v>
      </c>
      <c r="S4510">
        <v>1.4</v>
      </c>
      <c r="T4510">
        <v>1.31</v>
      </c>
      <c r="U4510">
        <v>-47.16</v>
      </c>
      <c r="V4510">
        <v>-826</v>
      </c>
      <c r="W4510">
        <v>7.84</v>
      </c>
      <c r="X4510" t="s">
        <v>1112</v>
      </c>
      <c r="Y4510" t="s">
        <v>4717</v>
      </c>
      <c r="Z4510">
        <v>1.18</v>
      </c>
      <c r="AA4510">
        <v>103</v>
      </c>
      <c r="AB4510">
        <v>554</v>
      </c>
      <c r="AC4510">
        <v>1.43</v>
      </c>
      <c r="AD4510" t="s">
        <v>7359</v>
      </c>
      <c r="AE4510" t="s">
        <v>20955</v>
      </c>
      <c r="AF4510" t="s">
        <v>7359</v>
      </c>
      <c r="AG4510" t="s">
        <v>20955</v>
      </c>
      <c r="AH4510">
        <v>-0.51</v>
      </c>
      <c r="AI4510">
        <v>-0.51</v>
      </c>
      <c r="AJ4510">
        <v>0.28</v>
      </c>
      <c r="AK4510">
        <v>0.56</v>
      </c>
      <c r="AL4510">
        <v>-2</v>
      </c>
      <c r="AM4510">
        <v>-0.38</v>
      </c>
      <c r="AN4510">
        <v>-3.33</v>
      </c>
      <c r="AO4510">
        <v>1.03</v>
      </c>
      <c r="AP4510">
        <v>-11.61</v>
      </c>
    </row>
    <row r="4511" spans="1:42">
      <c r="A4511">
        <v>4510</v>
      </c>
      <c r="B4511" t="str">
        <f>"300836"</f>
        <v>300836</v>
      </c>
      <c r="C4511" t="s">
        <v>20956</v>
      </c>
      <c r="D4511">
        <v>28.45</v>
      </c>
      <c r="E4511">
        <v>-0.14</v>
      </c>
      <c r="F4511">
        <v>-0.04</v>
      </c>
      <c r="G4511">
        <v>8585</v>
      </c>
      <c r="H4511">
        <v>450</v>
      </c>
      <c r="I4511">
        <v>28.38</v>
      </c>
      <c r="J4511">
        <v>28.45</v>
      </c>
      <c r="K4511" t="s">
        <v>14692</v>
      </c>
      <c r="L4511">
        <v>2.01</v>
      </c>
      <c r="M4511" t="s">
        <v>46</v>
      </c>
      <c r="N4511" t="s">
        <v>2373</v>
      </c>
      <c r="O4511">
        <v>28.45</v>
      </c>
      <c r="P4511">
        <v>27.88</v>
      </c>
      <c r="Q4511">
        <v>28.43</v>
      </c>
      <c r="R4511">
        <v>28.49</v>
      </c>
      <c r="S4511">
        <v>2</v>
      </c>
      <c r="T4511">
        <v>0.88</v>
      </c>
      <c r="U4511">
        <v>-11.46</v>
      </c>
      <c r="V4511">
        <v>-58</v>
      </c>
      <c r="W4511">
        <v>28.16</v>
      </c>
      <c r="X4511">
        <v>4471</v>
      </c>
      <c r="Y4511">
        <v>4113</v>
      </c>
      <c r="Z4511">
        <v>1.09</v>
      </c>
      <c r="AA4511">
        <v>5</v>
      </c>
      <c r="AB4511">
        <v>14</v>
      </c>
      <c r="AC4511">
        <v>3.34</v>
      </c>
      <c r="AD4511" t="s">
        <v>20957</v>
      </c>
      <c r="AE4511" t="s">
        <v>16213</v>
      </c>
      <c r="AF4511" t="s">
        <v>17305</v>
      </c>
      <c r="AG4511" t="s">
        <v>1324</v>
      </c>
      <c r="AH4511">
        <v>-1.01</v>
      </c>
      <c r="AI4511">
        <v>0.25</v>
      </c>
      <c r="AJ4511">
        <v>6.45</v>
      </c>
      <c r="AK4511">
        <v>13.51</v>
      </c>
      <c r="AL4511">
        <v>-2</v>
      </c>
      <c r="AM4511">
        <v>-0.14</v>
      </c>
      <c r="AN4511">
        <v>41.75</v>
      </c>
      <c r="AO4511">
        <v>0.6</v>
      </c>
      <c r="AP4511">
        <v>24.56</v>
      </c>
    </row>
    <row r="4512" spans="1:42">
      <c r="A4512">
        <v>4511</v>
      </c>
      <c r="B4512" t="str">
        <f>"603983"</f>
        <v>603983</v>
      </c>
      <c r="C4512" t="s">
        <v>20958</v>
      </c>
      <c r="D4512">
        <v>26.3</v>
      </c>
      <c r="E4512">
        <v>-0.75</v>
      </c>
      <c r="F4512">
        <v>-0.2</v>
      </c>
      <c r="G4512">
        <v>9164</v>
      </c>
      <c r="H4512">
        <v>183</v>
      </c>
      <c r="I4512">
        <v>26.3</v>
      </c>
      <c r="J4512">
        <v>26.34</v>
      </c>
      <c r="K4512" t="s">
        <v>20959</v>
      </c>
      <c r="L4512">
        <v>0.23</v>
      </c>
      <c r="M4512" t="s">
        <v>46</v>
      </c>
      <c r="N4512" t="s">
        <v>3409</v>
      </c>
      <c r="O4512">
        <v>26.66</v>
      </c>
      <c r="P4512">
        <v>26.12</v>
      </c>
      <c r="Q4512">
        <v>26.42</v>
      </c>
      <c r="R4512">
        <v>26.5</v>
      </c>
      <c r="S4512">
        <v>2.04</v>
      </c>
      <c r="T4512">
        <v>0.81</v>
      </c>
      <c r="U4512">
        <v>16.88</v>
      </c>
      <c r="V4512">
        <v>39</v>
      </c>
      <c r="W4512">
        <v>26.38</v>
      </c>
      <c r="X4512">
        <v>4418</v>
      </c>
      <c r="Y4512">
        <v>4746</v>
      </c>
      <c r="Z4512">
        <v>0.93</v>
      </c>
      <c r="AA4512">
        <v>74</v>
      </c>
      <c r="AB4512">
        <v>3</v>
      </c>
      <c r="AC4512">
        <v>3.23</v>
      </c>
      <c r="AD4512" t="s">
        <v>945</v>
      </c>
      <c r="AE4512" t="s">
        <v>1159</v>
      </c>
      <c r="AF4512" t="s">
        <v>945</v>
      </c>
      <c r="AG4512" t="s">
        <v>1159</v>
      </c>
      <c r="AH4512">
        <v>-0.53</v>
      </c>
      <c r="AI4512">
        <v>-1.5</v>
      </c>
      <c r="AJ4512">
        <v>0.79</v>
      </c>
      <c r="AK4512">
        <v>1.63</v>
      </c>
      <c r="AL4512">
        <v>-2</v>
      </c>
      <c r="AM4512">
        <v>-0.75</v>
      </c>
      <c r="AN4512">
        <v>-21.47</v>
      </c>
      <c r="AO4512">
        <v>-0.15</v>
      </c>
      <c r="AP4512">
        <v>-27.59</v>
      </c>
    </row>
    <row r="4513" spans="1:42">
      <c r="A4513">
        <v>4512</v>
      </c>
      <c r="B4513" t="str">
        <f>"688600"</f>
        <v>688600</v>
      </c>
      <c r="C4513" t="s">
        <v>20960</v>
      </c>
      <c r="D4513">
        <v>21.69</v>
      </c>
      <c r="E4513">
        <v>0.56</v>
      </c>
      <c r="F4513">
        <v>0.12</v>
      </c>
      <c r="G4513" t="s">
        <v>734</v>
      </c>
      <c r="H4513">
        <v>15</v>
      </c>
      <c r="I4513">
        <v>21.69</v>
      </c>
      <c r="J4513">
        <v>21.75</v>
      </c>
      <c r="K4513" t="s">
        <v>20959</v>
      </c>
      <c r="L4513">
        <v>0.83</v>
      </c>
      <c r="M4513" t="s">
        <v>46</v>
      </c>
      <c r="N4513" t="s">
        <v>2733</v>
      </c>
      <c r="O4513">
        <v>21.89</v>
      </c>
      <c r="P4513">
        <v>21.26</v>
      </c>
      <c r="Q4513">
        <v>21.87</v>
      </c>
      <c r="R4513">
        <v>21.57</v>
      </c>
      <c r="S4513">
        <v>2.92</v>
      </c>
      <c r="T4513">
        <v>0.7</v>
      </c>
      <c r="U4513">
        <v>-84.08</v>
      </c>
      <c r="V4513">
        <v>-860</v>
      </c>
      <c r="W4513">
        <v>21.59</v>
      </c>
      <c r="X4513">
        <v>5827</v>
      </c>
      <c r="Y4513">
        <v>5369</v>
      </c>
      <c r="Z4513">
        <v>1.09</v>
      </c>
      <c r="AA4513">
        <v>1</v>
      </c>
      <c r="AB4513">
        <v>16</v>
      </c>
      <c r="AC4513">
        <v>3.31</v>
      </c>
      <c r="AD4513" t="s">
        <v>20961</v>
      </c>
      <c r="AE4513" t="s">
        <v>111</v>
      </c>
      <c r="AF4513" t="s">
        <v>20961</v>
      </c>
      <c r="AG4513" t="s">
        <v>111</v>
      </c>
      <c r="AH4513">
        <v>0.28</v>
      </c>
      <c r="AI4513">
        <v>-4.83</v>
      </c>
      <c r="AJ4513">
        <v>3.06</v>
      </c>
      <c r="AK4513">
        <v>6.84</v>
      </c>
      <c r="AL4513">
        <v>1</v>
      </c>
      <c r="AM4513">
        <v>0.56</v>
      </c>
      <c r="AN4513">
        <v>-12.47</v>
      </c>
      <c r="AO4513">
        <v>17.05</v>
      </c>
      <c r="AP4513">
        <v>-21.41</v>
      </c>
    </row>
    <row r="4514" spans="1:42">
      <c r="A4514">
        <v>4513</v>
      </c>
      <c r="B4514" t="str">
        <f>"003001"</f>
        <v>003001</v>
      </c>
      <c r="C4514" t="s">
        <v>20962</v>
      </c>
      <c r="D4514">
        <v>17.99</v>
      </c>
      <c r="E4514">
        <v>1.12</v>
      </c>
      <c r="F4514">
        <v>0.2</v>
      </c>
      <c r="G4514" t="s">
        <v>1384</v>
      </c>
      <c r="H4514">
        <v>79</v>
      </c>
      <c r="I4514">
        <v>17.98</v>
      </c>
      <c r="J4514">
        <v>17.99</v>
      </c>
      <c r="K4514" t="s">
        <v>20963</v>
      </c>
      <c r="L4514">
        <v>2.72</v>
      </c>
      <c r="M4514" t="s">
        <v>46</v>
      </c>
      <c r="N4514" t="s">
        <v>20349</v>
      </c>
      <c r="O4514">
        <v>18.05</v>
      </c>
      <c r="P4514">
        <v>17.72</v>
      </c>
      <c r="Q4514">
        <v>17.76</v>
      </c>
      <c r="R4514">
        <v>17.79</v>
      </c>
      <c r="S4514">
        <v>1.85</v>
      </c>
      <c r="T4514">
        <v>1.29</v>
      </c>
      <c r="U4514">
        <v>32.4</v>
      </c>
      <c r="V4514">
        <v>93</v>
      </c>
      <c r="W4514">
        <v>17.95</v>
      </c>
      <c r="X4514">
        <v>5725</v>
      </c>
      <c r="Y4514">
        <v>7727</v>
      </c>
      <c r="Z4514">
        <v>0.74</v>
      </c>
      <c r="AA4514">
        <v>16</v>
      </c>
      <c r="AB4514">
        <v>2</v>
      </c>
      <c r="AC4514">
        <v>1.96</v>
      </c>
      <c r="AD4514" t="s">
        <v>17915</v>
      </c>
      <c r="AE4514" t="s">
        <v>18043</v>
      </c>
      <c r="AF4514" t="s">
        <v>20964</v>
      </c>
      <c r="AG4514" t="s">
        <v>14191</v>
      </c>
      <c r="AH4514">
        <v>0.22</v>
      </c>
      <c r="AI4514">
        <v>-0.11</v>
      </c>
      <c r="AJ4514">
        <v>7.12</v>
      </c>
      <c r="AK4514">
        <v>13.3</v>
      </c>
      <c r="AL4514">
        <v>1</v>
      </c>
      <c r="AM4514">
        <v>1.12</v>
      </c>
      <c r="AN4514">
        <v>22.8</v>
      </c>
      <c r="AO4514">
        <v>3.39</v>
      </c>
      <c r="AP4514">
        <v>12.16</v>
      </c>
    </row>
    <row r="4515" spans="1:42">
      <c r="A4515">
        <v>4514</v>
      </c>
      <c r="B4515" t="str">
        <f>"688210"</f>
        <v>688210</v>
      </c>
      <c r="C4515" t="s">
        <v>20965</v>
      </c>
      <c r="D4515">
        <v>26.63</v>
      </c>
      <c r="E4515">
        <v>-0.34</v>
      </c>
      <c r="F4515">
        <v>-0.09</v>
      </c>
      <c r="G4515">
        <v>9036</v>
      </c>
      <c r="H4515">
        <v>88</v>
      </c>
      <c r="I4515">
        <v>26.63</v>
      </c>
      <c r="J4515">
        <v>26.64</v>
      </c>
      <c r="K4515" t="s">
        <v>20966</v>
      </c>
      <c r="L4515">
        <v>0.87</v>
      </c>
      <c r="M4515" t="s">
        <v>46</v>
      </c>
      <c r="N4515" t="s">
        <v>3977</v>
      </c>
      <c r="O4515">
        <v>26.98</v>
      </c>
      <c r="P4515">
        <v>26.13</v>
      </c>
      <c r="Q4515">
        <v>26.71</v>
      </c>
      <c r="R4515">
        <v>26.72</v>
      </c>
      <c r="S4515">
        <v>3.18</v>
      </c>
      <c r="T4515">
        <v>0.54</v>
      </c>
      <c r="U4515">
        <v>37.44</v>
      </c>
      <c r="V4515">
        <v>124</v>
      </c>
      <c r="W4515">
        <v>26.72</v>
      </c>
      <c r="X4515">
        <v>4549</v>
      </c>
      <c r="Y4515">
        <v>4487</v>
      </c>
      <c r="Z4515">
        <v>1.01</v>
      </c>
      <c r="AA4515">
        <v>1</v>
      </c>
      <c r="AB4515">
        <v>7</v>
      </c>
      <c r="AC4515">
        <v>3.49</v>
      </c>
      <c r="AD4515" t="s">
        <v>7837</v>
      </c>
      <c r="AE4515" t="s">
        <v>15898</v>
      </c>
      <c r="AF4515" t="s">
        <v>15519</v>
      </c>
      <c r="AG4515" t="s">
        <v>20967</v>
      </c>
      <c r="AH4515">
        <v>-1.37</v>
      </c>
      <c r="AI4515">
        <v>0</v>
      </c>
      <c r="AJ4515">
        <v>3.42</v>
      </c>
      <c r="AK4515">
        <v>8.93</v>
      </c>
      <c r="AL4515">
        <v>-3</v>
      </c>
      <c r="AM4515">
        <v>-0.34</v>
      </c>
      <c r="AN4515">
        <v>70.92</v>
      </c>
      <c r="AO4515">
        <v>-1.08</v>
      </c>
      <c r="AP4515">
        <v>49.02</v>
      </c>
    </row>
    <row r="4516" spans="1:42">
      <c r="A4516">
        <v>4515</v>
      </c>
      <c r="B4516" t="str">
        <f>"300829"</f>
        <v>300829</v>
      </c>
      <c r="C4516" t="s">
        <v>20968</v>
      </c>
      <c r="D4516">
        <v>21.16</v>
      </c>
      <c r="E4516">
        <v>-0.89</v>
      </c>
      <c r="F4516">
        <v>-0.19</v>
      </c>
      <c r="G4516" t="s">
        <v>2667</v>
      </c>
      <c r="H4516">
        <v>47</v>
      </c>
      <c r="I4516">
        <v>21.16</v>
      </c>
      <c r="J4516">
        <v>21.17</v>
      </c>
      <c r="K4516" t="s">
        <v>20966</v>
      </c>
      <c r="L4516">
        <v>0.97</v>
      </c>
      <c r="M4516" t="s">
        <v>46</v>
      </c>
      <c r="N4516" t="s">
        <v>7120</v>
      </c>
      <c r="O4516">
        <v>21.6</v>
      </c>
      <c r="P4516">
        <v>21.1</v>
      </c>
      <c r="Q4516">
        <v>21.35</v>
      </c>
      <c r="R4516">
        <v>21.35</v>
      </c>
      <c r="S4516">
        <v>2.34</v>
      </c>
      <c r="T4516">
        <v>1.31</v>
      </c>
      <c r="U4516">
        <v>50.5</v>
      </c>
      <c r="V4516">
        <v>131</v>
      </c>
      <c r="W4516">
        <v>21.23</v>
      </c>
      <c r="X4516">
        <v>7173</v>
      </c>
      <c r="Y4516">
        <v>4197</v>
      </c>
      <c r="Z4516">
        <v>1.71</v>
      </c>
      <c r="AA4516">
        <v>91</v>
      </c>
      <c r="AB4516">
        <v>12</v>
      </c>
      <c r="AC4516">
        <v>2.39</v>
      </c>
      <c r="AD4516" t="s">
        <v>9984</v>
      </c>
      <c r="AE4516" t="s">
        <v>20969</v>
      </c>
      <c r="AF4516" t="s">
        <v>20970</v>
      </c>
      <c r="AG4516" t="s">
        <v>13739</v>
      </c>
      <c r="AH4516">
        <v>-1.95</v>
      </c>
      <c r="AI4516">
        <v>-1.54</v>
      </c>
      <c r="AJ4516">
        <v>2.24</v>
      </c>
      <c r="AK4516">
        <v>4.67</v>
      </c>
      <c r="AL4516">
        <v>-3</v>
      </c>
      <c r="AM4516">
        <v>-0.89</v>
      </c>
      <c r="AN4516">
        <v>-2.49</v>
      </c>
      <c r="AO4516">
        <v>1.73</v>
      </c>
      <c r="AP4516">
        <v>-9.46</v>
      </c>
    </row>
    <row r="4517" spans="1:42">
      <c r="A4517">
        <v>4516</v>
      </c>
      <c r="B4517" t="str">
        <f>"300822"</f>
        <v>300822</v>
      </c>
      <c r="C4517" t="s">
        <v>20971</v>
      </c>
      <c r="D4517">
        <v>14.01</v>
      </c>
      <c r="E4517">
        <v>0.43</v>
      </c>
      <c r="F4517">
        <v>0.06</v>
      </c>
      <c r="G4517" t="s">
        <v>6656</v>
      </c>
      <c r="H4517">
        <v>113</v>
      </c>
      <c r="I4517">
        <v>14.01</v>
      </c>
      <c r="J4517">
        <v>14.02</v>
      </c>
      <c r="K4517" t="s">
        <v>20972</v>
      </c>
      <c r="L4517">
        <v>0.78</v>
      </c>
      <c r="M4517" t="s">
        <v>46</v>
      </c>
      <c r="N4517" t="s">
        <v>14761</v>
      </c>
      <c r="O4517">
        <v>14.1</v>
      </c>
      <c r="P4517">
        <v>13.8</v>
      </c>
      <c r="Q4517">
        <v>13.95</v>
      </c>
      <c r="R4517">
        <v>13.95</v>
      </c>
      <c r="S4517">
        <v>2.15</v>
      </c>
      <c r="T4517">
        <v>0.49</v>
      </c>
      <c r="U4517">
        <v>36.71</v>
      </c>
      <c r="V4517">
        <v>290</v>
      </c>
      <c r="W4517">
        <v>13.95</v>
      </c>
      <c r="X4517">
        <v>8511</v>
      </c>
      <c r="Y4517">
        <v>8780</v>
      </c>
      <c r="Z4517">
        <v>0.97</v>
      </c>
      <c r="AA4517">
        <v>22</v>
      </c>
      <c r="AB4517">
        <v>133</v>
      </c>
      <c r="AC4517">
        <v>2.69</v>
      </c>
      <c r="AD4517" t="s">
        <v>4237</v>
      </c>
      <c r="AE4517" t="s">
        <v>20973</v>
      </c>
      <c r="AF4517" t="s">
        <v>12108</v>
      </c>
      <c r="AG4517" t="s">
        <v>19667</v>
      </c>
      <c r="AH4517">
        <v>-3.11</v>
      </c>
      <c r="AI4517">
        <v>-0.71</v>
      </c>
      <c r="AJ4517">
        <v>3.58</v>
      </c>
      <c r="AK4517">
        <v>8.79</v>
      </c>
      <c r="AL4517">
        <v>1</v>
      </c>
      <c r="AM4517">
        <v>0.43</v>
      </c>
      <c r="AN4517">
        <v>47.16</v>
      </c>
      <c r="AO4517">
        <v>7.27</v>
      </c>
      <c r="AP4517">
        <v>28.41</v>
      </c>
    </row>
    <row r="4518" spans="1:42">
      <c r="A4518">
        <v>4517</v>
      </c>
      <c r="B4518" t="str">
        <f>"003016"</f>
        <v>003016</v>
      </c>
      <c r="C4518" t="s">
        <v>20974</v>
      </c>
      <c r="D4518">
        <v>8.79</v>
      </c>
      <c r="E4518">
        <v>1.15</v>
      </c>
      <c r="F4518">
        <v>0.1</v>
      </c>
      <c r="G4518" t="s">
        <v>8952</v>
      </c>
      <c r="H4518">
        <v>287</v>
      </c>
      <c r="I4518">
        <v>8.79</v>
      </c>
      <c r="J4518">
        <v>8.8</v>
      </c>
      <c r="K4518" t="s">
        <v>20975</v>
      </c>
      <c r="L4518">
        <v>0.64</v>
      </c>
      <c r="M4518" t="s">
        <v>46</v>
      </c>
      <c r="N4518" t="s">
        <v>1638</v>
      </c>
      <c r="O4518">
        <v>8.83</v>
      </c>
      <c r="P4518">
        <v>8.67</v>
      </c>
      <c r="Q4518">
        <v>8.7</v>
      </c>
      <c r="R4518">
        <v>8.69</v>
      </c>
      <c r="S4518">
        <v>1.84</v>
      </c>
      <c r="T4518">
        <v>0.86</v>
      </c>
      <c r="U4518">
        <v>1.04</v>
      </c>
      <c r="V4518">
        <v>34</v>
      </c>
      <c r="W4518">
        <v>8.77</v>
      </c>
      <c r="X4518" t="s">
        <v>2667</v>
      </c>
      <c r="Y4518" t="s">
        <v>919</v>
      </c>
      <c r="Z4518">
        <v>0.71</v>
      </c>
      <c r="AA4518">
        <v>152</v>
      </c>
      <c r="AB4518">
        <v>338</v>
      </c>
      <c r="AC4518">
        <v>1.33</v>
      </c>
      <c r="AD4518" t="s">
        <v>8850</v>
      </c>
      <c r="AE4518" t="s">
        <v>18993</v>
      </c>
      <c r="AF4518" t="s">
        <v>7080</v>
      </c>
      <c r="AG4518" t="s">
        <v>20976</v>
      </c>
      <c r="AH4518">
        <v>-0.23</v>
      </c>
      <c r="AI4518">
        <v>-1.01</v>
      </c>
      <c r="AJ4518">
        <v>2.06</v>
      </c>
      <c r="AK4518">
        <v>4.38</v>
      </c>
      <c r="AL4518">
        <v>1</v>
      </c>
      <c r="AM4518">
        <v>1.15</v>
      </c>
      <c r="AN4518">
        <v>-1.01</v>
      </c>
      <c r="AO4518">
        <v>1.97</v>
      </c>
      <c r="AP4518">
        <v>8.79</v>
      </c>
    </row>
    <row r="4519" spans="1:42">
      <c r="A4519">
        <v>4518</v>
      </c>
      <c r="B4519" t="str">
        <f>"688193"</f>
        <v>688193</v>
      </c>
      <c r="C4519" t="s">
        <v>20977</v>
      </c>
      <c r="D4519">
        <v>47.95</v>
      </c>
      <c r="E4519">
        <v>-0.5</v>
      </c>
      <c r="F4519">
        <v>-0.24</v>
      </c>
      <c r="G4519">
        <v>5043</v>
      </c>
      <c r="H4519">
        <v>31</v>
      </c>
      <c r="I4519">
        <v>47.55</v>
      </c>
      <c r="J4519">
        <v>47.95</v>
      </c>
      <c r="K4519" t="s">
        <v>20975</v>
      </c>
      <c r="L4519">
        <v>1.69</v>
      </c>
      <c r="M4519" t="s">
        <v>46</v>
      </c>
      <c r="N4519" t="s">
        <v>9994</v>
      </c>
      <c r="O4519">
        <v>48.92</v>
      </c>
      <c r="P4519">
        <v>47.47</v>
      </c>
      <c r="Q4519">
        <v>47.71</v>
      </c>
      <c r="R4519">
        <v>48.19</v>
      </c>
      <c r="S4519">
        <v>3.01</v>
      </c>
      <c r="T4519">
        <v>2.01</v>
      </c>
      <c r="U4519">
        <v>84.19</v>
      </c>
      <c r="V4519">
        <v>360</v>
      </c>
      <c r="W4519">
        <v>47.8</v>
      </c>
      <c r="X4519">
        <v>3219</v>
      </c>
      <c r="Y4519">
        <v>1824</v>
      </c>
      <c r="Z4519">
        <v>1.77</v>
      </c>
      <c r="AA4519">
        <v>54</v>
      </c>
      <c r="AB4519">
        <v>13</v>
      </c>
      <c r="AC4519">
        <v>2.02</v>
      </c>
      <c r="AD4519" t="s">
        <v>6569</v>
      </c>
      <c r="AE4519" t="s">
        <v>20978</v>
      </c>
      <c r="AF4519" t="s">
        <v>19684</v>
      </c>
      <c r="AG4519" t="s">
        <v>20979</v>
      </c>
      <c r="AH4519">
        <v>-1.34</v>
      </c>
      <c r="AI4519">
        <v>-1.6</v>
      </c>
      <c r="AJ4519">
        <v>3.1</v>
      </c>
      <c r="AK4519">
        <v>5.92</v>
      </c>
      <c r="AL4519">
        <v>-3</v>
      </c>
      <c r="AM4519">
        <v>-0.5</v>
      </c>
      <c r="AN4519">
        <v>2.9</v>
      </c>
      <c r="AO4519">
        <v>-2.94</v>
      </c>
      <c r="AP4519">
        <v>-5.12</v>
      </c>
    </row>
    <row r="4520" spans="1:42">
      <c r="A4520">
        <v>4519</v>
      </c>
      <c r="B4520" t="str">
        <f>"300117"</f>
        <v>300117</v>
      </c>
      <c r="C4520" t="s">
        <v>20980</v>
      </c>
      <c r="D4520">
        <v>2.89</v>
      </c>
      <c r="E4520">
        <v>1.05</v>
      </c>
      <c r="F4520">
        <v>0.03</v>
      </c>
      <c r="G4520" t="s">
        <v>3743</v>
      </c>
      <c r="H4520">
        <v>1960</v>
      </c>
      <c r="I4520">
        <v>2.88</v>
      </c>
      <c r="J4520">
        <v>2.89</v>
      </c>
      <c r="K4520" t="s">
        <v>20981</v>
      </c>
      <c r="L4520">
        <v>1.17</v>
      </c>
      <c r="M4520" t="s">
        <v>46</v>
      </c>
      <c r="N4520" t="s">
        <v>1374</v>
      </c>
      <c r="O4520">
        <v>2.9</v>
      </c>
      <c r="P4520">
        <v>2.85</v>
      </c>
      <c r="Q4520">
        <v>2.87</v>
      </c>
      <c r="R4520">
        <v>2.86</v>
      </c>
      <c r="S4520">
        <v>1.75</v>
      </c>
      <c r="T4520">
        <v>1.24</v>
      </c>
      <c r="U4520">
        <v>-47.37</v>
      </c>
      <c r="V4520">
        <v>-7541</v>
      </c>
      <c r="W4520">
        <v>2.88</v>
      </c>
      <c r="X4520" t="s">
        <v>3226</v>
      </c>
      <c r="Y4520" t="s">
        <v>3915</v>
      </c>
      <c r="Z4520">
        <v>0.61</v>
      </c>
      <c r="AA4520">
        <v>501</v>
      </c>
      <c r="AB4520">
        <v>739</v>
      </c>
      <c r="AC4520">
        <v>-21.11</v>
      </c>
      <c r="AD4520" t="s">
        <v>20982</v>
      </c>
      <c r="AE4520" t="s">
        <v>17646</v>
      </c>
      <c r="AF4520" t="s">
        <v>20982</v>
      </c>
      <c r="AG4520" t="s">
        <v>17646</v>
      </c>
      <c r="AH4520">
        <v>-1.03</v>
      </c>
      <c r="AI4520">
        <v>-1.7</v>
      </c>
      <c r="AJ4520">
        <v>3.23</v>
      </c>
      <c r="AK4520">
        <v>5.86</v>
      </c>
      <c r="AL4520">
        <v>1</v>
      </c>
      <c r="AM4520">
        <v>1.05</v>
      </c>
      <c r="AN4520">
        <v>-17.9</v>
      </c>
      <c r="AO4520">
        <v>2.12</v>
      </c>
      <c r="AP4520">
        <v>-26.28</v>
      </c>
    </row>
    <row r="4521" spans="1:42">
      <c r="A4521">
        <v>4520</v>
      </c>
      <c r="B4521" t="str">
        <f>"300837"</f>
        <v>300837</v>
      </c>
      <c r="C4521" t="s">
        <v>20983</v>
      </c>
      <c r="D4521">
        <v>27.84</v>
      </c>
      <c r="E4521">
        <v>-0.07</v>
      </c>
      <c r="F4521">
        <v>-0.02</v>
      </c>
      <c r="G4521">
        <v>8672</v>
      </c>
      <c r="H4521">
        <v>167</v>
      </c>
      <c r="I4521">
        <v>27.83</v>
      </c>
      <c r="J4521">
        <v>27.84</v>
      </c>
      <c r="K4521" t="s">
        <v>20984</v>
      </c>
      <c r="L4521">
        <v>1.23</v>
      </c>
      <c r="M4521" t="s">
        <v>46</v>
      </c>
      <c r="N4521" t="s">
        <v>5889</v>
      </c>
      <c r="O4521">
        <v>28.12</v>
      </c>
      <c r="P4521">
        <v>27.33</v>
      </c>
      <c r="Q4521">
        <v>27.96</v>
      </c>
      <c r="R4521">
        <v>27.86</v>
      </c>
      <c r="S4521">
        <v>2.84</v>
      </c>
      <c r="T4521">
        <v>1.09</v>
      </c>
      <c r="U4521">
        <v>-57.65</v>
      </c>
      <c r="V4521">
        <v>-177</v>
      </c>
      <c r="W4521">
        <v>27.7</v>
      </c>
      <c r="X4521">
        <v>4711</v>
      </c>
      <c r="Y4521">
        <v>3961</v>
      </c>
      <c r="Z4521">
        <v>1.19</v>
      </c>
      <c r="AA4521">
        <v>45</v>
      </c>
      <c r="AB4521">
        <v>167</v>
      </c>
      <c r="AC4521">
        <v>2.1</v>
      </c>
      <c r="AD4521" t="s">
        <v>5976</v>
      </c>
      <c r="AE4521" t="s">
        <v>14351</v>
      </c>
      <c r="AF4521" t="s">
        <v>20985</v>
      </c>
      <c r="AG4521" t="s">
        <v>19663</v>
      </c>
      <c r="AH4521">
        <v>-3.17</v>
      </c>
      <c r="AI4521">
        <v>-2.59</v>
      </c>
      <c r="AJ4521">
        <v>3.24</v>
      </c>
      <c r="AK4521">
        <v>6.87</v>
      </c>
      <c r="AL4521">
        <v>-3</v>
      </c>
      <c r="AM4521">
        <v>-0.07</v>
      </c>
      <c r="AN4521">
        <v>-30.66</v>
      </c>
      <c r="AO4521">
        <v>-1.94</v>
      </c>
      <c r="AP4521">
        <v>-42.07</v>
      </c>
    </row>
    <row r="4522" spans="1:42">
      <c r="A4522">
        <v>4521</v>
      </c>
      <c r="B4522" t="str">
        <f>"872374"</f>
        <v>872374</v>
      </c>
      <c r="C4522" t="s">
        <v>20986</v>
      </c>
      <c r="D4522">
        <v>9.88</v>
      </c>
      <c r="E4522">
        <v>-6.35</v>
      </c>
      <c r="F4522">
        <v>-0.67</v>
      </c>
      <c r="G4522" t="s">
        <v>3151</v>
      </c>
      <c r="H4522">
        <v>257</v>
      </c>
      <c r="I4522">
        <v>9.88</v>
      </c>
      <c r="J4522">
        <v>9.93</v>
      </c>
      <c r="K4522" t="s">
        <v>20987</v>
      </c>
      <c r="L4522">
        <v>7.77</v>
      </c>
      <c r="M4522" t="s">
        <v>46</v>
      </c>
      <c r="N4522" t="s">
        <v>8967</v>
      </c>
      <c r="O4522">
        <v>10.76</v>
      </c>
      <c r="P4522">
        <v>9.87</v>
      </c>
      <c r="Q4522">
        <v>10.76</v>
      </c>
      <c r="R4522">
        <v>10.55</v>
      </c>
      <c r="S4522">
        <v>8.44</v>
      </c>
      <c r="T4522">
        <v>0.39</v>
      </c>
      <c r="U4522">
        <v>22.01</v>
      </c>
      <c r="V4522">
        <v>95</v>
      </c>
      <c r="W4522">
        <v>10.2</v>
      </c>
      <c r="X4522" t="s">
        <v>61</v>
      </c>
      <c r="Y4522">
        <v>8302</v>
      </c>
      <c r="Z4522">
        <v>1.84</v>
      </c>
      <c r="AA4522">
        <v>105</v>
      </c>
      <c r="AB4522">
        <v>10</v>
      </c>
      <c r="AC4522">
        <v>3.24</v>
      </c>
      <c r="AD4522" t="s">
        <v>20988</v>
      </c>
      <c r="AE4522" t="s">
        <v>20989</v>
      </c>
      <c r="AF4522" t="s">
        <v>19567</v>
      </c>
      <c r="AG4522" t="s">
        <v>2812</v>
      </c>
      <c r="AH4522">
        <v>-23.94</v>
      </c>
      <c r="AI4522">
        <v>4</v>
      </c>
      <c r="AJ4522">
        <v>35.6</v>
      </c>
      <c r="AK4522">
        <v>106.42</v>
      </c>
      <c r="AL4522">
        <v>-3</v>
      </c>
      <c r="AM4522">
        <v>-6.35</v>
      </c>
      <c r="AN4522">
        <v>13.04</v>
      </c>
      <c r="AO4522">
        <v>37.99</v>
      </c>
      <c r="AP4522">
        <v>-29.78</v>
      </c>
    </row>
    <row r="4523" spans="1:42">
      <c r="A4523">
        <v>4522</v>
      </c>
      <c r="B4523" t="str">
        <f>"002003"</f>
        <v>002003</v>
      </c>
      <c r="C4523" t="s">
        <v>20990</v>
      </c>
      <c r="D4523">
        <v>10.4</v>
      </c>
      <c r="E4523">
        <v>-0.57</v>
      </c>
      <c r="F4523">
        <v>-0.06</v>
      </c>
      <c r="G4523" t="s">
        <v>1710</v>
      </c>
      <c r="H4523">
        <v>115</v>
      </c>
      <c r="I4523">
        <v>10.4</v>
      </c>
      <c r="J4523">
        <v>10.41</v>
      </c>
      <c r="K4523" t="s">
        <v>20987</v>
      </c>
      <c r="L4523">
        <v>0.26</v>
      </c>
      <c r="M4523" t="s">
        <v>46</v>
      </c>
      <c r="N4523" t="s">
        <v>15484</v>
      </c>
      <c r="O4523">
        <v>10.5</v>
      </c>
      <c r="P4523">
        <v>10.36</v>
      </c>
      <c r="Q4523">
        <v>10.46</v>
      </c>
      <c r="R4523">
        <v>10.46</v>
      </c>
      <c r="S4523">
        <v>1.34</v>
      </c>
      <c r="T4523">
        <v>0.88</v>
      </c>
      <c r="U4523">
        <v>39.92</v>
      </c>
      <c r="V4523">
        <v>380</v>
      </c>
      <c r="W4523">
        <v>10.43</v>
      </c>
      <c r="X4523" t="s">
        <v>1427</v>
      </c>
      <c r="Y4523" t="s">
        <v>2074</v>
      </c>
      <c r="Z4523">
        <v>1.29</v>
      </c>
      <c r="AA4523">
        <v>46</v>
      </c>
      <c r="AB4523">
        <v>28</v>
      </c>
      <c r="AC4523">
        <v>2.82</v>
      </c>
      <c r="AD4523" t="s">
        <v>877</v>
      </c>
      <c r="AE4523" t="s">
        <v>11226</v>
      </c>
      <c r="AF4523" t="s">
        <v>20991</v>
      </c>
      <c r="AG4523" t="s">
        <v>20992</v>
      </c>
      <c r="AH4523">
        <v>-1.61</v>
      </c>
      <c r="AI4523">
        <v>0.78</v>
      </c>
      <c r="AJ4523">
        <v>0.85</v>
      </c>
      <c r="AK4523">
        <v>1.77</v>
      </c>
      <c r="AL4523">
        <v>-3</v>
      </c>
      <c r="AM4523">
        <v>-0.57</v>
      </c>
      <c r="AN4523">
        <v>6.45</v>
      </c>
      <c r="AO4523">
        <v>0.87</v>
      </c>
      <c r="AP4523">
        <v>8.11</v>
      </c>
    </row>
    <row r="4524" spans="1:42">
      <c r="A4524">
        <v>4523</v>
      </c>
      <c r="B4524" t="str">
        <f>"301292"</f>
        <v>301292</v>
      </c>
      <c r="C4524" t="s">
        <v>20993</v>
      </c>
      <c r="D4524">
        <v>20.06</v>
      </c>
      <c r="E4524">
        <v>0</v>
      </c>
      <c r="F4524">
        <v>0</v>
      </c>
      <c r="G4524" t="s">
        <v>8636</v>
      </c>
      <c r="H4524">
        <v>236</v>
      </c>
      <c r="I4524">
        <v>20.06</v>
      </c>
      <c r="J4524">
        <v>20.07</v>
      </c>
      <c r="K4524" t="s">
        <v>20994</v>
      </c>
      <c r="L4524">
        <v>2.79</v>
      </c>
      <c r="M4524" t="s">
        <v>46</v>
      </c>
      <c r="N4524" t="s">
        <v>3334</v>
      </c>
      <c r="O4524">
        <v>20.2</v>
      </c>
      <c r="P4524">
        <v>19.91</v>
      </c>
      <c r="Q4524">
        <v>20.13</v>
      </c>
      <c r="R4524">
        <v>20.06</v>
      </c>
      <c r="S4524">
        <v>1.45</v>
      </c>
      <c r="T4524">
        <v>0.9</v>
      </c>
      <c r="U4524">
        <v>58.71</v>
      </c>
      <c r="V4524">
        <v>327</v>
      </c>
      <c r="W4524">
        <v>20.05</v>
      </c>
      <c r="X4524">
        <v>5663</v>
      </c>
      <c r="Y4524">
        <v>6309</v>
      </c>
      <c r="Z4524">
        <v>0.9</v>
      </c>
      <c r="AA4524">
        <v>58</v>
      </c>
      <c r="AB4524">
        <v>10</v>
      </c>
      <c r="AC4524">
        <v>1.41</v>
      </c>
      <c r="AD4524" t="s">
        <v>9074</v>
      </c>
      <c r="AE4524" t="s">
        <v>4321</v>
      </c>
      <c r="AF4524" t="s">
        <v>20995</v>
      </c>
      <c r="AG4524" t="s">
        <v>20996</v>
      </c>
      <c r="AH4524">
        <v>-2.53</v>
      </c>
      <c r="AI4524">
        <v>-3.97</v>
      </c>
      <c r="AJ4524">
        <v>9.25</v>
      </c>
      <c r="AK4524">
        <v>18.37</v>
      </c>
      <c r="AL4524">
        <v>0</v>
      </c>
      <c r="AM4524">
        <v>0</v>
      </c>
      <c r="AN4524">
        <v>0.35</v>
      </c>
      <c r="AO4524">
        <v>-2.53</v>
      </c>
      <c r="AP4524">
        <v>0.35</v>
      </c>
    </row>
    <row r="4525" spans="1:42">
      <c r="A4525">
        <v>4524</v>
      </c>
      <c r="B4525" t="str">
        <f>"300716"</f>
        <v>300716</v>
      </c>
      <c r="C4525" t="s">
        <v>20997</v>
      </c>
      <c r="D4525">
        <v>11.72</v>
      </c>
      <c r="E4525">
        <v>-0.42</v>
      </c>
      <c r="F4525">
        <v>-0.05</v>
      </c>
      <c r="G4525" t="s">
        <v>985</v>
      </c>
      <c r="H4525">
        <v>518</v>
      </c>
      <c r="I4525">
        <v>11.72</v>
      </c>
      <c r="J4525">
        <v>11.74</v>
      </c>
      <c r="K4525" t="s">
        <v>20998</v>
      </c>
      <c r="L4525">
        <v>1.27</v>
      </c>
      <c r="M4525" t="s">
        <v>46</v>
      </c>
      <c r="N4525" t="s">
        <v>20999</v>
      </c>
      <c r="O4525">
        <v>11.89</v>
      </c>
      <c r="P4525">
        <v>11.53</v>
      </c>
      <c r="Q4525">
        <v>11.79</v>
      </c>
      <c r="R4525">
        <v>11.77</v>
      </c>
      <c r="S4525">
        <v>3.06</v>
      </c>
      <c r="T4525">
        <v>0.59</v>
      </c>
      <c r="U4525">
        <v>74.57</v>
      </c>
      <c r="V4525">
        <v>962</v>
      </c>
      <c r="W4525">
        <v>11.77</v>
      </c>
      <c r="X4525" t="s">
        <v>218</v>
      </c>
      <c r="Y4525">
        <v>9733</v>
      </c>
      <c r="Z4525">
        <v>1.09</v>
      </c>
      <c r="AA4525">
        <v>676</v>
      </c>
      <c r="AB4525">
        <v>50</v>
      </c>
      <c r="AC4525">
        <v>10.3</v>
      </c>
      <c r="AD4525" t="s">
        <v>2521</v>
      </c>
      <c r="AE4525" t="s">
        <v>17762</v>
      </c>
      <c r="AF4525" t="s">
        <v>2521</v>
      </c>
      <c r="AG4525" t="s">
        <v>17762</v>
      </c>
      <c r="AH4525">
        <v>-5.79</v>
      </c>
      <c r="AI4525">
        <v>-4.01</v>
      </c>
      <c r="AJ4525">
        <v>5.28</v>
      </c>
      <c r="AK4525">
        <v>12.08</v>
      </c>
      <c r="AL4525">
        <v>-3</v>
      </c>
      <c r="AM4525">
        <v>-0.42</v>
      </c>
      <c r="AN4525">
        <v>-14.76</v>
      </c>
      <c r="AO4525">
        <v>-1.92</v>
      </c>
      <c r="AP4525">
        <v>-25.21</v>
      </c>
    </row>
    <row r="4526" spans="1:42">
      <c r="A4526">
        <v>4525</v>
      </c>
      <c r="B4526" t="str">
        <f>"603010"</f>
        <v>603010</v>
      </c>
      <c r="C4526" t="s">
        <v>21000</v>
      </c>
      <c r="D4526">
        <v>11.15</v>
      </c>
      <c r="E4526">
        <v>0</v>
      </c>
      <c r="F4526">
        <v>0</v>
      </c>
      <c r="G4526" t="s">
        <v>7053</v>
      </c>
      <c r="H4526">
        <v>92</v>
      </c>
      <c r="I4526">
        <v>11.14</v>
      </c>
      <c r="J4526">
        <v>11.15</v>
      </c>
      <c r="K4526" t="s">
        <v>21001</v>
      </c>
      <c r="L4526">
        <v>0.44</v>
      </c>
      <c r="M4526" t="s">
        <v>46</v>
      </c>
      <c r="N4526" t="s">
        <v>220</v>
      </c>
      <c r="O4526">
        <v>11.22</v>
      </c>
      <c r="P4526">
        <v>11.03</v>
      </c>
      <c r="Q4526">
        <v>11.16</v>
      </c>
      <c r="R4526">
        <v>11.15</v>
      </c>
      <c r="S4526">
        <v>1.7</v>
      </c>
      <c r="T4526">
        <v>0.96</v>
      </c>
      <c r="U4526">
        <v>-16.43</v>
      </c>
      <c r="V4526">
        <v>-116</v>
      </c>
      <c r="W4526">
        <v>11.11</v>
      </c>
      <c r="X4526" t="s">
        <v>1170</v>
      </c>
      <c r="Y4526">
        <v>8415</v>
      </c>
      <c r="Z4526">
        <v>1.56</v>
      </c>
      <c r="AA4526">
        <v>16</v>
      </c>
      <c r="AB4526">
        <v>58</v>
      </c>
      <c r="AC4526">
        <v>1.62</v>
      </c>
      <c r="AD4526" t="s">
        <v>21002</v>
      </c>
      <c r="AE4526" t="s">
        <v>21003</v>
      </c>
      <c r="AF4526" t="s">
        <v>18587</v>
      </c>
      <c r="AG4526" t="s">
        <v>14474</v>
      </c>
      <c r="AH4526">
        <v>-1.59</v>
      </c>
      <c r="AI4526">
        <v>-1.59</v>
      </c>
      <c r="AJ4526">
        <v>1.25</v>
      </c>
      <c r="AK4526">
        <v>2.76</v>
      </c>
      <c r="AL4526">
        <v>0</v>
      </c>
      <c r="AM4526">
        <v>0</v>
      </c>
      <c r="AN4526">
        <v>-4.13</v>
      </c>
      <c r="AO4526">
        <v>-2.62</v>
      </c>
      <c r="AP4526">
        <v>-10.37</v>
      </c>
    </row>
    <row r="4527" spans="1:42">
      <c r="A4527">
        <v>4526</v>
      </c>
      <c r="B4527" t="str">
        <f>"301130"</f>
        <v>301130</v>
      </c>
      <c r="C4527" t="s">
        <v>21004</v>
      </c>
      <c r="D4527">
        <v>30.46</v>
      </c>
      <c r="E4527">
        <v>0.07</v>
      </c>
      <c r="F4527">
        <v>0.02</v>
      </c>
      <c r="G4527">
        <v>7818</v>
      </c>
      <c r="H4527">
        <v>107</v>
      </c>
      <c r="I4527">
        <v>30.45</v>
      </c>
      <c r="J4527">
        <v>30.47</v>
      </c>
      <c r="K4527" t="s">
        <v>21005</v>
      </c>
      <c r="L4527">
        <v>1.35</v>
      </c>
      <c r="M4527" t="s">
        <v>46</v>
      </c>
      <c r="N4527" t="s">
        <v>7870</v>
      </c>
      <c r="O4527">
        <v>30.93</v>
      </c>
      <c r="P4527">
        <v>30.15</v>
      </c>
      <c r="Q4527">
        <v>30.44</v>
      </c>
      <c r="R4527">
        <v>30.44</v>
      </c>
      <c r="S4527">
        <v>2.56</v>
      </c>
      <c r="T4527">
        <v>0.54</v>
      </c>
      <c r="U4527">
        <v>23.47</v>
      </c>
      <c r="V4527">
        <v>46</v>
      </c>
      <c r="W4527">
        <v>30.57</v>
      </c>
      <c r="X4527">
        <v>4178</v>
      </c>
      <c r="Y4527">
        <v>3640</v>
      </c>
      <c r="Z4527">
        <v>1.15</v>
      </c>
      <c r="AA4527">
        <v>16</v>
      </c>
      <c r="AB4527">
        <v>7</v>
      </c>
      <c r="AC4527">
        <v>2.53</v>
      </c>
      <c r="AD4527" t="s">
        <v>21006</v>
      </c>
      <c r="AE4527" t="s">
        <v>16359</v>
      </c>
      <c r="AF4527" t="s">
        <v>21007</v>
      </c>
      <c r="AG4527" t="s">
        <v>11211</v>
      </c>
      <c r="AH4527">
        <v>-1.9</v>
      </c>
      <c r="AI4527">
        <v>-3.85</v>
      </c>
      <c r="AJ4527">
        <v>4.89</v>
      </c>
      <c r="AK4527">
        <v>13.9</v>
      </c>
      <c r="AL4527">
        <v>1</v>
      </c>
      <c r="AM4527">
        <v>0.07</v>
      </c>
      <c r="AN4527">
        <v>6.1</v>
      </c>
      <c r="AO4527">
        <v>-0.94</v>
      </c>
      <c r="AP4527">
        <v>-11.27</v>
      </c>
    </row>
    <row r="4528" spans="1:42">
      <c r="A4528">
        <v>4527</v>
      </c>
      <c r="B4528" t="str">
        <f>"832225"</f>
        <v>832225</v>
      </c>
      <c r="C4528" t="s">
        <v>21008</v>
      </c>
      <c r="D4528">
        <v>16.07</v>
      </c>
      <c r="E4528">
        <v>-2.61</v>
      </c>
      <c r="F4528">
        <v>-0.43</v>
      </c>
      <c r="G4528" t="s">
        <v>3130</v>
      </c>
      <c r="H4528">
        <v>76</v>
      </c>
      <c r="I4528">
        <v>16.07</v>
      </c>
      <c r="J4528">
        <v>16.09</v>
      </c>
      <c r="K4528" t="s">
        <v>21009</v>
      </c>
      <c r="L4528">
        <v>2.55</v>
      </c>
      <c r="M4528" t="s">
        <v>46</v>
      </c>
      <c r="N4528" t="s">
        <v>4094</v>
      </c>
      <c r="O4528">
        <v>16.78</v>
      </c>
      <c r="P4528">
        <v>15.9</v>
      </c>
      <c r="Q4528">
        <v>16.58</v>
      </c>
      <c r="R4528">
        <v>16.5</v>
      </c>
      <c r="S4528">
        <v>5.33</v>
      </c>
      <c r="T4528">
        <v>0.39</v>
      </c>
      <c r="U4528">
        <v>-14.15</v>
      </c>
      <c r="V4528">
        <v>-38</v>
      </c>
      <c r="W4528">
        <v>16.28</v>
      </c>
      <c r="X4528">
        <v>9209</v>
      </c>
      <c r="Y4528">
        <v>5460</v>
      </c>
      <c r="Z4528">
        <v>1.69</v>
      </c>
      <c r="AA4528">
        <v>17</v>
      </c>
      <c r="AB4528">
        <v>4</v>
      </c>
      <c r="AC4528">
        <v>3.07</v>
      </c>
      <c r="AD4528" t="s">
        <v>21010</v>
      </c>
      <c r="AE4528" t="s">
        <v>5031</v>
      </c>
      <c r="AF4528" t="s">
        <v>21011</v>
      </c>
      <c r="AG4528" t="s">
        <v>21012</v>
      </c>
      <c r="AH4528">
        <v>-11.56</v>
      </c>
      <c r="AI4528">
        <v>4.69</v>
      </c>
      <c r="AJ4528">
        <v>11.81</v>
      </c>
      <c r="AK4528">
        <v>34.83</v>
      </c>
      <c r="AL4528">
        <v>-1</v>
      </c>
      <c r="AM4528">
        <v>-2.61</v>
      </c>
      <c r="AN4528">
        <v>182.43</v>
      </c>
      <c r="AO4528">
        <v>14.79</v>
      </c>
      <c r="AP4528">
        <v>155.08</v>
      </c>
    </row>
    <row r="4529" spans="1:42">
      <c r="A4529">
        <v>4528</v>
      </c>
      <c r="B4529" t="str">
        <f>"301125"</f>
        <v>301125</v>
      </c>
      <c r="C4529" t="s">
        <v>21013</v>
      </c>
      <c r="D4529">
        <v>18.98</v>
      </c>
      <c r="E4529">
        <v>-1.2</v>
      </c>
      <c r="F4529">
        <v>-0.23</v>
      </c>
      <c r="G4529" t="s">
        <v>2547</v>
      </c>
      <c r="H4529">
        <v>113</v>
      </c>
      <c r="I4529">
        <v>18.98</v>
      </c>
      <c r="J4529">
        <v>18.99</v>
      </c>
      <c r="K4529" t="s">
        <v>21014</v>
      </c>
      <c r="L4529">
        <v>2.97</v>
      </c>
      <c r="M4529" t="s">
        <v>46</v>
      </c>
      <c r="N4529" t="s">
        <v>1993</v>
      </c>
      <c r="O4529">
        <v>19.26</v>
      </c>
      <c r="P4529">
        <v>18.85</v>
      </c>
      <c r="Q4529">
        <v>19.26</v>
      </c>
      <c r="R4529">
        <v>19.21</v>
      </c>
      <c r="S4529">
        <v>2.13</v>
      </c>
      <c r="T4529">
        <v>1.05</v>
      </c>
      <c r="U4529">
        <v>49.5</v>
      </c>
      <c r="V4529">
        <v>198</v>
      </c>
      <c r="W4529">
        <v>19.02</v>
      </c>
      <c r="X4529">
        <v>5929</v>
      </c>
      <c r="Y4529">
        <v>6618</v>
      </c>
      <c r="Z4529">
        <v>0.9</v>
      </c>
      <c r="AA4529">
        <v>64</v>
      </c>
      <c r="AB4529">
        <v>56</v>
      </c>
      <c r="AC4529">
        <v>3.18</v>
      </c>
      <c r="AD4529" t="s">
        <v>21015</v>
      </c>
      <c r="AE4529" t="s">
        <v>4834</v>
      </c>
      <c r="AF4529" t="s">
        <v>17395</v>
      </c>
      <c r="AG4529" t="s">
        <v>18087</v>
      </c>
      <c r="AH4529">
        <v>-3.21</v>
      </c>
      <c r="AI4529">
        <v>-1.71</v>
      </c>
      <c r="AJ4529">
        <v>7.78</v>
      </c>
      <c r="AK4529">
        <v>17.06</v>
      </c>
      <c r="AL4529">
        <v>-3</v>
      </c>
      <c r="AM4529">
        <v>-1.2</v>
      </c>
      <c r="AN4529">
        <v>14.06</v>
      </c>
      <c r="AO4529">
        <v>-0.89</v>
      </c>
      <c r="AP4529">
        <v>2.43</v>
      </c>
    </row>
    <row r="4530" spans="1:42">
      <c r="A4530">
        <v>4529</v>
      </c>
      <c r="B4530" t="str">
        <f>"688315"</f>
        <v>688315</v>
      </c>
      <c r="C4530" t="s">
        <v>21016</v>
      </c>
      <c r="D4530">
        <v>24.84</v>
      </c>
      <c r="E4530">
        <v>0.08</v>
      </c>
      <c r="F4530">
        <v>0.02</v>
      </c>
      <c r="G4530">
        <v>9636</v>
      </c>
      <c r="H4530">
        <v>49</v>
      </c>
      <c r="I4530">
        <v>24.8</v>
      </c>
      <c r="J4530">
        <v>24.84</v>
      </c>
      <c r="K4530" t="s">
        <v>21017</v>
      </c>
      <c r="L4530">
        <v>0.88</v>
      </c>
      <c r="M4530" t="s">
        <v>46</v>
      </c>
      <c r="N4530" t="s">
        <v>11419</v>
      </c>
      <c r="O4530">
        <v>24.96</v>
      </c>
      <c r="P4530">
        <v>24.4</v>
      </c>
      <c r="Q4530">
        <v>24.79</v>
      </c>
      <c r="R4530">
        <v>24.82</v>
      </c>
      <c r="S4530">
        <v>2.26</v>
      </c>
      <c r="T4530">
        <v>0.71</v>
      </c>
      <c r="U4530">
        <v>31</v>
      </c>
      <c r="V4530">
        <v>74</v>
      </c>
      <c r="W4530">
        <v>24.72</v>
      </c>
      <c r="X4530">
        <v>5249</v>
      </c>
      <c r="Y4530">
        <v>4388</v>
      </c>
      <c r="Z4530">
        <v>1.2</v>
      </c>
      <c r="AA4530">
        <v>95</v>
      </c>
      <c r="AB4530">
        <v>32</v>
      </c>
      <c r="AC4530">
        <v>4.29</v>
      </c>
      <c r="AD4530" t="s">
        <v>4505</v>
      </c>
      <c r="AE4530" t="s">
        <v>2729</v>
      </c>
      <c r="AF4530" t="s">
        <v>5786</v>
      </c>
      <c r="AG4530" t="s">
        <v>18222</v>
      </c>
      <c r="AH4530">
        <v>0.08</v>
      </c>
      <c r="AI4530">
        <v>-0.12</v>
      </c>
      <c r="AJ4530">
        <v>2.35</v>
      </c>
      <c r="AK4530">
        <v>7.01</v>
      </c>
      <c r="AL4530">
        <v>2</v>
      </c>
      <c r="AM4530">
        <v>0.08</v>
      </c>
      <c r="AN4530">
        <v>-5.69</v>
      </c>
      <c r="AO4530">
        <v>11.09</v>
      </c>
      <c r="AP4530">
        <v>-8.84</v>
      </c>
    </row>
    <row r="4531" spans="1:42">
      <c r="A4531">
        <v>4530</v>
      </c>
      <c r="B4531" t="str">
        <f>"000859"</f>
        <v>000859</v>
      </c>
      <c r="C4531" t="s">
        <v>21018</v>
      </c>
      <c r="D4531">
        <v>5.6</v>
      </c>
      <c r="E4531">
        <v>0</v>
      </c>
      <c r="F4531">
        <v>0</v>
      </c>
      <c r="G4531" t="s">
        <v>1321</v>
      </c>
      <c r="H4531">
        <v>108</v>
      </c>
      <c r="I4531">
        <v>5.6</v>
      </c>
      <c r="J4531">
        <v>5.61</v>
      </c>
      <c r="K4531" t="s">
        <v>21019</v>
      </c>
      <c r="L4531">
        <v>0.48</v>
      </c>
      <c r="M4531" t="s">
        <v>46</v>
      </c>
      <c r="N4531" t="s">
        <v>2751</v>
      </c>
      <c r="O4531">
        <v>5.64</v>
      </c>
      <c r="P4531">
        <v>5.54</v>
      </c>
      <c r="Q4531">
        <v>5.6</v>
      </c>
      <c r="R4531">
        <v>5.6</v>
      </c>
      <c r="S4531">
        <v>1.79</v>
      </c>
      <c r="T4531">
        <v>0.68</v>
      </c>
      <c r="U4531">
        <v>29.57</v>
      </c>
      <c r="V4531">
        <v>1961</v>
      </c>
      <c r="W4531">
        <v>5.59</v>
      </c>
      <c r="X4531" t="s">
        <v>153</v>
      </c>
      <c r="Y4531" t="s">
        <v>7053</v>
      </c>
      <c r="Z4531">
        <v>0.98</v>
      </c>
      <c r="AA4531">
        <v>137</v>
      </c>
      <c r="AB4531">
        <v>172</v>
      </c>
      <c r="AC4531">
        <v>1.75</v>
      </c>
      <c r="AD4531" t="s">
        <v>4411</v>
      </c>
      <c r="AE4531" t="s">
        <v>12591</v>
      </c>
      <c r="AF4531" t="s">
        <v>2610</v>
      </c>
      <c r="AG4531" t="s">
        <v>12591</v>
      </c>
      <c r="AH4531">
        <v>-1.75</v>
      </c>
      <c r="AI4531">
        <v>-1.75</v>
      </c>
      <c r="AJ4531">
        <v>1.84</v>
      </c>
      <c r="AK4531">
        <v>3.97</v>
      </c>
      <c r="AL4531">
        <v>0</v>
      </c>
      <c r="AM4531">
        <v>0</v>
      </c>
      <c r="AN4531">
        <v>5.66</v>
      </c>
      <c r="AO4531">
        <v>2.75</v>
      </c>
      <c r="AP4531">
        <v>-3.61</v>
      </c>
    </row>
    <row r="4532" spans="1:42">
      <c r="A4532">
        <v>4531</v>
      </c>
      <c r="B4532" t="str">
        <f>"688558"</f>
        <v>688558</v>
      </c>
      <c r="C4532" t="s">
        <v>21020</v>
      </c>
      <c r="D4532">
        <v>29.32</v>
      </c>
      <c r="E4532">
        <v>0.17</v>
      </c>
      <c r="F4532">
        <v>0.05</v>
      </c>
      <c r="G4532">
        <v>8158</v>
      </c>
      <c r="H4532">
        <v>66</v>
      </c>
      <c r="I4532">
        <v>29.32</v>
      </c>
      <c r="J4532">
        <v>29.33</v>
      </c>
      <c r="K4532" t="s">
        <v>21019</v>
      </c>
      <c r="L4532">
        <v>0.62</v>
      </c>
      <c r="M4532" t="s">
        <v>46</v>
      </c>
      <c r="N4532" t="s">
        <v>6889</v>
      </c>
      <c r="O4532">
        <v>29.5</v>
      </c>
      <c r="P4532">
        <v>28.84</v>
      </c>
      <c r="Q4532">
        <v>29.12</v>
      </c>
      <c r="R4532">
        <v>29.27</v>
      </c>
      <c r="S4532">
        <v>2.25</v>
      </c>
      <c r="T4532">
        <v>0.75</v>
      </c>
      <c r="U4532">
        <v>16.15</v>
      </c>
      <c r="V4532">
        <v>22</v>
      </c>
      <c r="W4532">
        <v>29.18</v>
      </c>
      <c r="X4532">
        <v>4426</v>
      </c>
      <c r="Y4532">
        <v>3732</v>
      </c>
      <c r="Z4532">
        <v>1.19</v>
      </c>
      <c r="AA4532">
        <v>8</v>
      </c>
      <c r="AB4532">
        <v>9</v>
      </c>
      <c r="AC4532">
        <v>2.48</v>
      </c>
      <c r="AD4532" t="s">
        <v>3221</v>
      </c>
      <c r="AE4532" t="s">
        <v>14301</v>
      </c>
      <c r="AF4532" t="s">
        <v>3221</v>
      </c>
      <c r="AG4532" t="s">
        <v>14301</v>
      </c>
      <c r="AH4532">
        <v>-3.99</v>
      </c>
      <c r="AI4532">
        <v>-1.87</v>
      </c>
      <c r="AJ4532">
        <v>1.88</v>
      </c>
      <c r="AK4532">
        <v>4.72</v>
      </c>
      <c r="AL4532">
        <v>1</v>
      </c>
      <c r="AM4532">
        <v>0.17</v>
      </c>
      <c r="AN4532">
        <v>-15.19</v>
      </c>
      <c r="AO4532">
        <v>5.73</v>
      </c>
      <c r="AP4532">
        <v>-28.19</v>
      </c>
    </row>
    <row r="4533" spans="1:42">
      <c r="A4533">
        <v>4532</v>
      </c>
      <c r="B4533" t="str">
        <f>"605016"</f>
        <v>605016</v>
      </c>
      <c r="C4533" t="s">
        <v>21021</v>
      </c>
      <c r="D4533">
        <v>27.69</v>
      </c>
      <c r="E4533">
        <v>-1.14</v>
      </c>
      <c r="F4533">
        <v>-0.32</v>
      </c>
      <c r="G4533">
        <v>8604</v>
      </c>
      <c r="H4533">
        <v>65</v>
      </c>
      <c r="I4533">
        <v>27.68</v>
      </c>
      <c r="J4533">
        <v>27.69</v>
      </c>
      <c r="K4533" t="s">
        <v>21019</v>
      </c>
      <c r="L4533">
        <v>0.69</v>
      </c>
      <c r="M4533" t="s">
        <v>46</v>
      </c>
      <c r="N4533" t="s">
        <v>4116</v>
      </c>
      <c r="O4533">
        <v>28.15</v>
      </c>
      <c r="P4533">
        <v>27.49</v>
      </c>
      <c r="Q4533">
        <v>27.94</v>
      </c>
      <c r="R4533">
        <v>28.01</v>
      </c>
      <c r="S4533">
        <v>2.36</v>
      </c>
      <c r="T4533">
        <v>0.54</v>
      </c>
      <c r="U4533">
        <v>41.78</v>
      </c>
      <c r="V4533">
        <v>122</v>
      </c>
      <c r="W4533">
        <v>27.66</v>
      </c>
      <c r="X4533">
        <v>4856</v>
      </c>
      <c r="Y4533">
        <v>3748</v>
      </c>
      <c r="Z4533">
        <v>1.3</v>
      </c>
      <c r="AA4533">
        <v>133</v>
      </c>
      <c r="AB4533">
        <v>18</v>
      </c>
      <c r="AC4533">
        <v>4.73</v>
      </c>
      <c r="AD4533" t="s">
        <v>3214</v>
      </c>
      <c r="AE4533" t="s">
        <v>21022</v>
      </c>
      <c r="AF4533" t="s">
        <v>21023</v>
      </c>
      <c r="AG4533" t="s">
        <v>20533</v>
      </c>
      <c r="AH4533">
        <v>-1.18</v>
      </c>
      <c r="AI4533">
        <v>2.21</v>
      </c>
      <c r="AJ4533">
        <v>3.02</v>
      </c>
      <c r="AK4533">
        <v>7.01</v>
      </c>
      <c r="AL4533">
        <v>-2</v>
      </c>
      <c r="AM4533">
        <v>-1.14</v>
      </c>
      <c r="AN4533">
        <v>80.27</v>
      </c>
      <c r="AO4533">
        <v>1.61</v>
      </c>
      <c r="AP4533">
        <v>70.4</v>
      </c>
    </row>
    <row r="4534" spans="1:42">
      <c r="A4534">
        <v>4533</v>
      </c>
      <c r="B4534" t="str">
        <f>"600618"</f>
        <v>600618</v>
      </c>
      <c r="C4534" t="s">
        <v>21024</v>
      </c>
      <c r="D4534">
        <v>9.11</v>
      </c>
      <c r="E4534">
        <v>0.44</v>
      </c>
      <c r="F4534">
        <v>0.04</v>
      </c>
      <c r="G4534" t="s">
        <v>4012</v>
      </c>
      <c r="H4534">
        <v>314</v>
      </c>
      <c r="I4534">
        <v>9.1</v>
      </c>
      <c r="J4534">
        <v>9.11</v>
      </c>
      <c r="K4534" t="s">
        <v>21019</v>
      </c>
      <c r="L4534">
        <v>0.35</v>
      </c>
      <c r="M4534" t="s">
        <v>46</v>
      </c>
      <c r="N4534" t="s">
        <v>21025</v>
      </c>
      <c r="O4534">
        <v>9.18</v>
      </c>
      <c r="P4534">
        <v>9.03</v>
      </c>
      <c r="Q4534">
        <v>9.16</v>
      </c>
      <c r="R4534">
        <v>9.07</v>
      </c>
      <c r="S4534">
        <v>1.65</v>
      </c>
      <c r="T4534">
        <v>0.91</v>
      </c>
      <c r="U4534">
        <v>-20.78</v>
      </c>
      <c r="V4534">
        <v>-384</v>
      </c>
      <c r="W4534">
        <v>9.12</v>
      </c>
      <c r="X4534" t="s">
        <v>1777</v>
      </c>
      <c r="Y4534" t="s">
        <v>6212</v>
      </c>
      <c r="Z4534">
        <v>1.06</v>
      </c>
      <c r="AA4534">
        <v>2</v>
      </c>
      <c r="AB4534">
        <v>388</v>
      </c>
      <c r="AC4534">
        <v>1.35</v>
      </c>
      <c r="AD4534" t="s">
        <v>15991</v>
      </c>
      <c r="AE4534" t="s">
        <v>4728</v>
      </c>
      <c r="AF4534" t="s">
        <v>21026</v>
      </c>
      <c r="AG4534" t="s">
        <v>4757</v>
      </c>
      <c r="AH4534">
        <v>-0.33</v>
      </c>
      <c r="AI4534">
        <v>-0.76</v>
      </c>
      <c r="AJ4534">
        <v>1.05</v>
      </c>
      <c r="AK4534">
        <v>2.26</v>
      </c>
      <c r="AL4534">
        <v>1</v>
      </c>
      <c r="AM4534">
        <v>0.44</v>
      </c>
      <c r="AN4534">
        <v>-3.8</v>
      </c>
      <c r="AO4534">
        <v>2.59</v>
      </c>
      <c r="AP4534">
        <v>-5.4</v>
      </c>
    </row>
    <row r="4535" spans="1:42">
      <c r="A4535">
        <v>4534</v>
      </c>
      <c r="B4535" t="str">
        <f>"002404"</f>
        <v>002404</v>
      </c>
      <c r="C4535" t="s">
        <v>21027</v>
      </c>
      <c r="D4535">
        <v>6.35</v>
      </c>
      <c r="E4535">
        <v>1.28</v>
      </c>
      <c r="F4535">
        <v>0.08</v>
      </c>
      <c r="G4535" t="s">
        <v>3210</v>
      </c>
      <c r="H4535">
        <v>208</v>
      </c>
      <c r="I4535">
        <v>6.35</v>
      </c>
      <c r="J4535">
        <v>6.36</v>
      </c>
      <c r="K4535" t="s">
        <v>21028</v>
      </c>
      <c r="L4535">
        <v>0.8</v>
      </c>
      <c r="M4535" t="s">
        <v>46</v>
      </c>
      <c r="N4535" t="s">
        <v>20939</v>
      </c>
      <c r="O4535">
        <v>6.38</v>
      </c>
      <c r="P4535">
        <v>6.23</v>
      </c>
      <c r="Q4535">
        <v>6.26</v>
      </c>
      <c r="R4535">
        <v>6.27</v>
      </c>
      <c r="S4535">
        <v>2.39</v>
      </c>
      <c r="T4535">
        <v>0.52</v>
      </c>
      <c r="U4535">
        <v>-44.95</v>
      </c>
      <c r="V4535">
        <v>-3625</v>
      </c>
      <c r="W4535">
        <v>6.34</v>
      </c>
      <c r="X4535" t="s">
        <v>3793</v>
      </c>
      <c r="Y4535" t="s">
        <v>3327</v>
      </c>
      <c r="Z4535">
        <v>0.66</v>
      </c>
      <c r="AA4535">
        <v>435</v>
      </c>
      <c r="AB4535">
        <v>602</v>
      </c>
      <c r="AC4535">
        <v>1.83</v>
      </c>
      <c r="AD4535" t="s">
        <v>21029</v>
      </c>
      <c r="AE4535" t="s">
        <v>21030</v>
      </c>
      <c r="AF4535" t="s">
        <v>21031</v>
      </c>
      <c r="AG4535" t="s">
        <v>21032</v>
      </c>
      <c r="AH4535">
        <v>-1.85</v>
      </c>
      <c r="AI4535">
        <v>-0.31</v>
      </c>
      <c r="AJ4535">
        <v>4.09</v>
      </c>
      <c r="AK4535">
        <v>8.46</v>
      </c>
      <c r="AL4535">
        <v>1</v>
      </c>
      <c r="AM4535">
        <v>1.28</v>
      </c>
      <c r="AN4535">
        <v>3.76</v>
      </c>
      <c r="AO4535">
        <v>2.75</v>
      </c>
      <c r="AP4535">
        <v>4.61</v>
      </c>
    </row>
    <row r="4536" spans="1:42">
      <c r="A4536">
        <v>4535</v>
      </c>
      <c r="B4536" t="str">
        <f>"600217"</f>
        <v>600217</v>
      </c>
      <c r="C4536" t="s">
        <v>21033</v>
      </c>
      <c r="D4536">
        <v>4.68</v>
      </c>
      <c r="E4536">
        <v>0.86</v>
      </c>
      <c r="F4536">
        <v>0.04</v>
      </c>
      <c r="G4536" t="s">
        <v>4009</v>
      </c>
      <c r="H4536">
        <v>378</v>
      </c>
      <c r="I4536">
        <v>4.67</v>
      </c>
      <c r="J4536">
        <v>4.68</v>
      </c>
      <c r="K4536" t="s">
        <v>14389</v>
      </c>
      <c r="L4536">
        <v>0.37</v>
      </c>
      <c r="M4536" t="s">
        <v>46</v>
      </c>
      <c r="N4536" t="s">
        <v>10772</v>
      </c>
      <c r="O4536">
        <v>4.7</v>
      </c>
      <c r="P4536">
        <v>4.64</v>
      </c>
      <c r="Q4536">
        <v>4.65</v>
      </c>
      <c r="R4536">
        <v>4.64</v>
      </c>
      <c r="S4536">
        <v>1.29</v>
      </c>
      <c r="T4536">
        <v>0.76</v>
      </c>
      <c r="U4536">
        <v>4.61</v>
      </c>
      <c r="V4536">
        <v>788</v>
      </c>
      <c r="W4536">
        <v>4.67</v>
      </c>
      <c r="X4536" t="s">
        <v>153</v>
      </c>
      <c r="Y4536" t="s">
        <v>2125</v>
      </c>
      <c r="Z4536">
        <v>0.71</v>
      </c>
      <c r="AA4536">
        <v>1871</v>
      </c>
      <c r="AB4536">
        <v>14</v>
      </c>
      <c r="AC4536">
        <v>2.51</v>
      </c>
      <c r="AD4536" t="s">
        <v>7172</v>
      </c>
      <c r="AE4536" t="s">
        <v>13869</v>
      </c>
      <c r="AF4536" t="s">
        <v>7172</v>
      </c>
      <c r="AG4536" t="s">
        <v>13869</v>
      </c>
      <c r="AH4536">
        <v>-0.64</v>
      </c>
      <c r="AI4536">
        <v>0.21</v>
      </c>
      <c r="AJ4536">
        <v>1.11</v>
      </c>
      <c r="AK4536">
        <v>2.78</v>
      </c>
      <c r="AL4536">
        <v>1</v>
      </c>
      <c r="AM4536">
        <v>0.86</v>
      </c>
      <c r="AN4536">
        <v>-4.88</v>
      </c>
      <c r="AO4536">
        <v>0.65</v>
      </c>
      <c r="AP4536">
        <v>-8.24</v>
      </c>
    </row>
    <row r="4537" spans="1:42">
      <c r="A4537">
        <v>4536</v>
      </c>
      <c r="B4537" t="str">
        <f>"301182"</f>
        <v>301182</v>
      </c>
      <c r="C4537" t="s">
        <v>21034</v>
      </c>
      <c r="D4537">
        <v>24.76</v>
      </c>
      <c r="E4537">
        <v>-0.32</v>
      </c>
      <c r="F4537">
        <v>-0.08</v>
      </c>
      <c r="G4537">
        <v>9595</v>
      </c>
      <c r="H4537">
        <v>63</v>
      </c>
      <c r="I4537">
        <v>24.75</v>
      </c>
      <c r="J4537">
        <v>24.76</v>
      </c>
      <c r="K4537" t="s">
        <v>9082</v>
      </c>
      <c r="L4537">
        <v>2.67</v>
      </c>
      <c r="M4537" t="s">
        <v>46</v>
      </c>
      <c r="N4537" t="s">
        <v>17754</v>
      </c>
      <c r="O4537">
        <v>24.98</v>
      </c>
      <c r="P4537">
        <v>24.49</v>
      </c>
      <c r="Q4537">
        <v>24.81</v>
      </c>
      <c r="R4537">
        <v>24.84</v>
      </c>
      <c r="S4537">
        <v>1.97</v>
      </c>
      <c r="T4537">
        <v>0.74</v>
      </c>
      <c r="U4537">
        <v>-26.44</v>
      </c>
      <c r="V4537">
        <v>-23</v>
      </c>
      <c r="W4537">
        <v>24.72</v>
      </c>
      <c r="X4537">
        <v>5190</v>
      </c>
      <c r="Y4537">
        <v>4406</v>
      </c>
      <c r="Z4537">
        <v>1.18</v>
      </c>
      <c r="AA4537">
        <v>5</v>
      </c>
      <c r="AB4537">
        <v>6</v>
      </c>
      <c r="AC4537">
        <v>2.54</v>
      </c>
      <c r="AD4537" t="s">
        <v>21035</v>
      </c>
      <c r="AE4537" t="s">
        <v>21036</v>
      </c>
      <c r="AF4537" t="s">
        <v>21037</v>
      </c>
      <c r="AG4537" t="s">
        <v>21038</v>
      </c>
      <c r="AH4537">
        <v>-2.1</v>
      </c>
      <c r="AI4537">
        <v>-0.48</v>
      </c>
      <c r="AJ4537">
        <v>9.12</v>
      </c>
      <c r="AK4537">
        <v>20.81</v>
      </c>
      <c r="AL4537">
        <v>-2</v>
      </c>
      <c r="AM4537">
        <v>-0.32</v>
      </c>
      <c r="AN4537">
        <v>32.26</v>
      </c>
      <c r="AO4537">
        <v>1.48</v>
      </c>
      <c r="AP4537">
        <v>17.74</v>
      </c>
    </row>
    <row r="4538" spans="1:42">
      <c r="A4538">
        <v>4537</v>
      </c>
      <c r="B4538" t="str">
        <f>"002973"</f>
        <v>002973</v>
      </c>
      <c r="C4538" t="s">
        <v>21039</v>
      </c>
      <c r="D4538">
        <v>11.1</v>
      </c>
      <c r="E4538">
        <v>-1.33</v>
      </c>
      <c r="F4538">
        <v>-0.15</v>
      </c>
      <c r="G4538" t="s">
        <v>2716</v>
      </c>
      <c r="H4538">
        <v>226</v>
      </c>
      <c r="I4538">
        <v>11.09</v>
      </c>
      <c r="J4538">
        <v>11.1</v>
      </c>
      <c r="K4538" t="s">
        <v>14838</v>
      </c>
      <c r="L4538">
        <v>1.04</v>
      </c>
      <c r="M4538" t="s">
        <v>46</v>
      </c>
      <c r="N4538" t="s">
        <v>20695</v>
      </c>
      <c r="O4538">
        <v>11.3</v>
      </c>
      <c r="P4538">
        <v>11.03</v>
      </c>
      <c r="Q4538">
        <v>11.3</v>
      </c>
      <c r="R4538">
        <v>11.25</v>
      </c>
      <c r="S4538">
        <v>2.4</v>
      </c>
      <c r="T4538">
        <v>1.59</v>
      </c>
      <c r="U4538">
        <v>25.82</v>
      </c>
      <c r="V4538">
        <v>323</v>
      </c>
      <c r="W4538">
        <v>11.09</v>
      </c>
      <c r="X4538" t="s">
        <v>734</v>
      </c>
      <c r="Y4538" t="s">
        <v>1646</v>
      </c>
      <c r="Z4538">
        <v>1.09</v>
      </c>
      <c r="AA4538">
        <v>396</v>
      </c>
      <c r="AB4538">
        <v>74</v>
      </c>
      <c r="AC4538">
        <v>2.14</v>
      </c>
      <c r="AD4538" t="s">
        <v>21040</v>
      </c>
      <c r="AE4538" t="s">
        <v>21041</v>
      </c>
      <c r="AF4538" t="s">
        <v>1131</v>
      </c>
      <c r="AG4538" t="s">
        <v>4776</v>
      </c>
      <c r="AH4538">
        <v>-1.68</v>
      </c>
      <c r="AI4538">
        <v>-1.94</v>
      </c>
      <c r="AJ4538">
        <v>2.44</v>
      </c>
      <c r="AK4538">
        <v>4.33</v>
      </c>
      <c r="AL4538">
        <v>-1</v>
      </c>
      <c r="AM4538">
        <v>-1.33</v>
      </c>
      <c r="AN4538">
        <v>5.11</v>
      </c>
      <c r="AO4538">
        <v>-0.63</v>
      </c>
      <c r="AP4538">
        <v>-6.88</v>
      </c>
    </row>
    <row r="4539" spans="1:42">
      <c r="A4539">
        <v>4538</v>
      </c>
      <c r="B4539" t="str">
        <f>"688092"</f>
        <v>688092</v>
      </c>
      <c r="C4539" t="s">
        <v>21042</v>
      </c>
      <c r="D4539">
        <v>31.17</v>
      </c>
      <c r="E4539">
        <v>-0.35</v>
      </c>
      <c r="F4539">
        <v>-0.11</v>
      </c>
      <c r="G4539">
        <v>7614</v>
      </c>
      <c r="H4539">
        <v>82</v>
      </c>
      <c r="I4539">
        <v>31.17</v>
      </c>
      <c r="J4539">
        <v>31.22</v>
      </c>
      <c r="K4539" t="s">
        <v>21043</v>
      </c>
      <c r="L4539">
        <v>2.82</v>
      </c>
      <c r="M4539" t="s">
        <v>46</v>
      </c>
      <c r="N4539" t="s">
        <v>936</v>
      </c>
      <c r="O4539">
        <v>31.48</v>
      </c>
      <c r="P4539">
        <v>30.77</v>
      </c>
      <c r="Q4539">
        <v>31.12</v>
      </c>
      <c r="R4539">
        <v>31.28</v>
      </c>
      <c r="S4539">
        <v>2.27</v>
      </c>
      <c r="T4539">
        <v>0.95</v>
      </c>
      <c r="U4539">
        <v>20.55</v>
      </c>
      <c r="V4539">
        <v>31</v>
      </c>
      <c r="W4539">
        <v>31.13</v>
      </c>
      <c r="X4539">
        <v>3743</v>
      </c>
      <c r="Y4539">
        <v>3871</v>
      </c>
      <c r="Z4539">
        <v>0.97</v>
      </c>
      <c r="AA4539">
        <v>3</v>
      </c>
      <c r="AB4539">
        <v>4</v>
      </c>
      <c r="AC4539">
        <v>3.21</v>
      </c>
      <c r="AD4539" t="s">
        <v>21044</v>
      </c>
      <c r="AE4539" t="s">
        <v>13439</v>
      </c>
      <c r="AF4539" t="s">
        <v>21045</v>
      </c>
      <c r="AG4539" t="s">
        <v>21046</v>
      </c>
      <c r="AH4539">
        <v>-2.59</v>
      </c>
      <c r="AI4539">
        <v>-1.98</v>
      </c>
      <c r="AJ4539">
        <v>8.59</v>
      </c>
      <c r="AK4539">
        <v>17.7</v>
      </c>
      <c r="AL4539">
        <v>-3</v>
      </c>
      <c r="AM4539">
        <v>-0.35</v>
      </c>
      <c r="AN4539">
        <v>35.64</v>
      </c>
      <c r="AO4539">
        <v>5.09</v>
      </c>
      <c r="AP4539">
        <v>16.57</v>
      </c>
    </row>
    <row r="4540" spans="1:42">
      <c r="A4540">
        <v>4539</v>
      </c>
      <c r="B4540" t="str">
        <f>"603112"</f>
        <v>603112</v>
      </c>
      <c r="C4540" t="s">
        <v>21047</v>
      </c>
      <c r="D4540">
        <v>12.67</v>
      </c>
      <c r="E4540">
        <v>-0.94</v>
      </c>
      <c r="F4540">
        <v>-0.12</v>
      </c>
      <c r="G4540" t="s">
        <v>1072</v>
      </c>
      <c r="H4540">
        <v>89</v>
      </c>
      <c r="I4540">
        <v>12.67</v>
      </c>
      <c r="J4540">
        <v>12.68</v>
      </c>
      <c r="K4540" t="s">
        <v>21048</v>
      </c>
      <c r="L4540">
        <v>0.44</v>
      </c>
      <c r="M4540" t="s">
        <v>46</v>
      </c>
      <c r="N4540" t="s">
        <v>10760</v>
      </c>
      <c r="O4540">
        <v>12.79</v>
      </c>
      <c r="P4540">
        <v>12.5</v>
      </c>
      <c r="Q4540">
        <v>12.79</v>
      </c>
      <c r="R4540">
        <v>12.79</v>
      </c>
      <c r="S4540">
        <v>2.27</v>
      </c>
      <c r="T4540">
        <v>0.72</v>
      </c>
      <c r="U4540">
        <v>35.82</v>
      </c>
      <c r="V4540">
        <v>278</v>
      </c>
      <c r="W4540">
        <v>12.66</v>
      </c>
      <c r="X4540">
        <v>9976</v>
      </c>
      <c r="Y4540">
        <v>8705</v>
      </c>
      <c r="Z4540">
        <v>1.15</v>
      </c>
      <c r="AA4540">
        <v>30</v>
      </c>
      <c r="AB4540">
        <v>1</v>
      </c>
      <c r="AC4540">
        <v>2.23</v>
      </c>
      <c r="AD4540" t="s">
        <v>21049</v>
      </c>
      <c r="AE4540" t="s">
        <v>21050</v>
      </c>
      <c r="AF4540" t="s">
        <v>17429</v>
      </c>
      <c r="AG4540" t="s">
        <v>21051</v>
      </c>
      <c r="AH4540">
        <v>0</v>
      </c>
      <c r="AI4540">
        <v>0.16</v>
      </c>
      <c r="AJ4540">
        <v>1.96</v>
      </c>
      <c r="AK4540">
        <v>3.46</v>
      </c>
      <c r="AL4540">
        <v>-2</v>
      </c>
      <c r="AM4540">
        <v>-0.94</v>
      </c>
      <c r="AN4540">
        <v>10.46</v>
      </c>
      <c r="AO4540">
        <v>4.54</v>
      </c>
      <c r="AP4540">
        <v>-0.16</v>
      </c>
    </row>
    <row r="4541" spans="1:42">
      <c r="A4541">
        <v>4540</v>
      </c>
      <c r="B4541" t="str">
        <f>"300405"</f>
        <v>300405</v>
      </c>
      <c r="C4541" t="s">
        <v>21052</v>
      </c>
      <c r="D4541">
        <v>6.21</v>
      </c>
      <c r="E4541">
        <v>0.49</v>
      </c>
      <c r="F4541">
        <v>0.03</v>
      </c>
      <c r="G4541" t="s">
        <v>5975</v>
      </c>
      <c r="H4541">
        <v>936</v>
      </c>
      <c r="I4541">
        <v>6.21</v>
      </c>
      <c r="J4541">
        <v>6.22</v>
      </c>
      <c r="K4541" t="s">
        <v>21053</v>
      </c>
      <c r="L4541">
        <v>1.74</v>
      </c>
      <c r="M4541" t="s">
        <v>46</v>
      </c>
      <c r="N4541" t="s">
        <v>18551</v>
      </c>
      <c r="O4541">
        <v>6.26</v>
      </c>
      <c r="P4541">
        <v>6.12</v>
      </c>
      <c r="Q4541">
        <v>6.23</v>
      </c>
      <c r="R4541">
        <v>6.18</v>
      </c>
      <c r="S4541">
        <v>2.27</v>
      </c>
      <c r="T4541">
        <v>1.12</v>
      </c>
      <c r="U4541">
        <v>-29.5</v>
      </c>
      <c r="V4541">
        <v>-810</v>
      </c>
      <c r="W4541">
        <v>6.2</v>
      </c>
      <c r="X4541" t="s">
        <v>325</v>
      </c>
      <c r="Y4541" t="s">
        <v>2877</v>
      </c>
      <c r="Z4541">
        <v>0.92</v>
      </c>
      <c r="AA4541">
        <v>179</v>
      </c>
      <c r="AB4541">
        <v>788</v>
      </c>
      <c r="AC4541">
        <v>3.03</v>
      </c>
      <c r="AD4541" t="s">
        <v>21054</v>
      </c>
      <c r="AE4541" t="s">
        <v>21055</v>
      </c>
      <c r="AF4541" t="s">
        <v>21056</v>
      </c>
      <c r="AG4541" t="s">
        <v>10587</v>
      </c>
      <c r="AH4541">
        <v>-1.43</v>
      </c>
      <c r="AI4541">
        <v>-0.64</v>
      </c>
      <c r="AJ4541">
        <v>4.71</v>
      </c>
      <c r="AK4541">
        <v>9.49</v>
      </c>
      <c r="AL4541">
        <v>1</v>
      </c>
      <c r="AM4541">
        <v>0.49</v>
      </c>
      <c r="AN4541">
        <v>16.07</v>
      </c>
      <c r="AO4541">
        <v>2.64</v>
      </c>
      <c r="AP4541">
        <v>9.72</v>
      </c>
    </row>
    <row r="4542" spans="1:42">
      <c r="A4542">
        <v>4541</v>
      </c>
      <c r="B4542" t="str">
        <f>"688221"</f>
        <v>688221</v>
      </c>
      <c r="C4542" t="s">
        <v>21057</v>
      </c>
      <c r="D4542">
        <v>10.86</v>
      </c>
      <c r="E4542">
        <v>-0.09</v>
      </c>
      <c r="F4542">
        <v>-0.01</v>
      </c>
      <c r="G4542" t="s">
        <v>4963</v>
      </c>
      <c r="H4542">
        <v>116</v>
      </c>
      <c r="I4542">
        <v>10.86</v>
      </c>
      <c r="J4542">
        <v>10.87</v>
      </c>
      <c r="K4542" t="s">
        <v>21058</v>
      </c>
      <c r="L4542">
        <v>1.01</v>
      </c>
      <c r="M4542" t="s">
        <v>46</v>
      </c>
      <c r="N4542" t="s">
        <v>13305</v>
      </c>
      <c r="O4542">
        <v>10.99</v>
      </c>
      <c r="P4542">
        <v>10.78</v>
      </c>
      <c r="Q4542">
        <v>10.86</v>
      </c>
      <c r="R4542">
        <v>10.87</v>
      </c>
      <c r="S4542">
        <v>1.93</v>
      </c>
      <c r="T4542">
        <v>0.69</v>
      </c>
      <c r="U4542">
        <v>4.29</v>
      </c>
      <c r="V4542">
        <v>49</v>
      </c>
      <c r="W4542">
        <v>10.87</v>
      </c>
      <c r="X4542">
        <v>9987</v>
      </c>
      <c r="Y4542" t="s">
        <v>189</v>
      </c>
      <c r="Z4542">
        <v>0.85</v>
      </c>
      <c r="AA4542">
        <v>101</v>
      </c>
      <c r="AB4542">
        <v>19</v>
      </c>
      <c r="AC4542">
        <v>2.85</v>
      </c>
      <c r="AD4542" t="s">
        <v>21059</v>
      </c>
      <c r="AE4542" t="s">
        <v>16634</v>
      </c>
      <c r="AF4542" t="s">
        <v>21060</v>
      </c>
      <c r="AG4542" t="s">
        <v>17665</v>
      </c>
      <c r="AH4542">
        <v>-2.78</v>
      </c>
      <c r="AI4542">
        <v>-3.55</v>
      </c>
      <c r="AJ4542">
        <v>3.5</v>
      </c>
      <c r="AK4542">
        <v>8.31</v>
      </c>
      <c r="AL4542">
        <v>-3</v>
      </c>
      <c r="AM4542">
        <v>-0.09</v>
      </c>
      <c r="AN4542">
        <v>-37.08</v>
      </c>
      <c r="AO4542">
        <v>0.18</v>
      </c>
      <c r="AP4542">
        <v>-39.67</v>
      </c>
    </row>
    <row r="4543" spans="1:42">
      <c r="A4543">
        <v>4542</v>
      </c>
      <c r="B4543" t="str">
        <f>"600744"</f>
        <v>600744</v>
      </c>
      <c r="C4543" t="s">
        <v>21061</v>
      </c>
      <c r="D4543">
        <v>3.39</v>
      </c>
      <c r="E4543">
        <v>0</v>
      </c>
      <c r="F4543">
        <v>0</v>
      </c>
      <c r="G4543" t="s">
        <v>3462</v>
      </c>
      <c r="H4543">
        <v>654</v>
      </c>
      <c r="I4543">
        <v>3.39</v>
      </c>
      <c r="J4543">
        <v>3.4</v>
      </c>
      <c r="K4543" t="s">
        <v>21062</v>
      </c>
      <c r="L4543">
        <v>0.34</v>
      </c>
      <c r="M4543" t="s">
        <v>46</v>
      </c>
      <c r="N4543" t="s">
        <v>21063</v>
      </c>
      <c r="O4543">
        <v>3.4</v>
      </c>
      <c r="P4543">
        <v>3.36</v>
      </c>
      <c r="Q4543">
        <v>3.37</v>
      </c>
      <c r="R4543">
        <v>3.39</v>
      </c>
      <c r="S4543">
        <v>1.18</v>
      </c>
      <c r="T4543">
        <v>0.69</v>
      </c>
      <c r="U4543">
        <v>-35.42</v>
      </c>
      <c r="V4543" t="s">
        <v>3836</v>
      </c>
      <c r="W4543">
        <v>3.38</v>
      </c>
      <c r="X4543" t="s">
        <v>3226</v>
      </c>
      <c r="Y4543" t="s">
        <v>6302</v>
      </c>
      <c r="Z4543">
        <v>0.82</v>
      </c>
      <c r="AA4543">
        <v>81</v>
      </c>
      <c r="AB4543">
        <v>7134</v>
      </c>
      <c r="AC4543">
        <v>4.87</v>
      </c>
      <c r="AD4543" t="s">
        <v>21064</v>
      </c>
      <c r="AE4543" t="s">
        <v>21065</v>
      </c>
      <c r="AF4543" t="s">
        <v>21064</v>
      </c>
      <c r="AG4543" t="s">
        <v>21065</v>
      </c>
      <c r="AH4543">
        <v>0</v>
      </c>
      <c r="AI4543">
        <v>-0.88</v>
      </c>
      <c r="AJ4543">
        <v>1.38</v>
      </c>
      <c r="AK4543">
        <v>2.83</v>
      </c>
      <c r="AL4543">
        <v>0</v>
      </c>
      <c r="AM4543">
        <v>0</v>
      </c>
      <c r="AN4543">
        <v>-19.09</v>
      </c>
      <c r="AO4543">
        <v>-0.29</v>
      </c>
      <c r="AP4543">
        <v>-22.25</v>
      </c>
    </row>
    <row r="4544" spans="1:42">
      <c r="A4544">
        <v>4543</v>
      </c>
      <c r="B4544" t="str">
        <f>"003028"</f>
        <v>003028</v>
      </c>
      <c r="C4544" t="s">
        <v>21066</v>
      </c>
      <c r="D4544">
        <v>40.7</v>
      </c>
      <c r="E4544">
        <v>0.32</v>
      </c>
      <c r="F4544">
        <v>0.13</v>
      </c>
      <c r="G4544">
        <v>5849</v>
      </c>
      <c r="H4544">
        <v>33</v>
      </c>
      <c r="I4544">
        <v>40.69</v>
      </c>
      <c r="J4544">
        <v>40.7</v>
      </c>
      <c r="K4544" t="s">
        <v>21067</v>
      </c>
      <c r="L4544">
        <v>2.09</v>
      </c>
      <c r="M4544" t="s">
        <v>46</v>
      </c>
      <c r="N4544" t="s">
        <v>18688</v>
      </c>
      <c r="O4544">
        <v>40.89</v>
      </c>
      <c r="P4544">
        <v>39.59</v>
      </c>
      <c r="Q4544">
        <v>40.52</v>
      </c>
      <c r="R4544">
        <v>40.57</v>
      </c>
      <c r="S4544">
        <v>3.2</v>
      </c>
      <c r="T4544">
        <v>0.77</v>
      </c>
      <c r="U4544">
        <v>-56.15</v>
      </c>
      <c r="V4544">
        <v>-105</v>
      </c>
      <c r="W4544">
        <v>40.35</v>
      </c>
      <c r="X4544">
        <v>2740</v>
      </c>
      <c r="Y4544">
        <v>3109</v>
      </c>
      <c r="Z4544">
        <v>0.88</v>
      </c>
      <c r="AA4544">
        <v>10</v>
      </c>
      <c r="AB4544">
        <v>111</v>
      </c>
      <c r="AC4544">
        <v>2.95</v>
      </c>
      <c r="AD4544" t="s">
        <v>17649</v>
      </c>
      <c r="AE4544" t="s">
        <v>21068</v>
      </c>
      <c r="AF4544" t="s">
        <v>21069</v>
      </c>
      <c r="AG4544" t="s">
        <v>7503</v>
      </c>
      <c r="AH4544">
        <v>-0.39</v>
      </c>
      <c r="AI4544">
        <v>-1.12</v>
      </c>
      <c r="AJ4544">
        <v>6.93</v>
      </c>
      <c r="AK4544">
        <v>15.59</v>
      </c>
      <c r="AL4544">
        <v>1</v>
      </c>
      <c r="AM4544">
        <v>0.32</v>
      </c>
      <c r="AN4544">
        <v>-2.89</v>
      </c>
      <c r="AO4544">
        <v>1.83</v>
      </c>
      <c r="AP4544">
        <v>13.69</v>
      </c>
    </row>
    <row r="4545" spans="1:42">
      <c r="A4545">
        <v>4544</v>
      </c>
      <c r="B4545" t="str">
        <f>"600083"</f>
        <v>600083</v>
      </c>
      <c r="C4545" t="s">
        <v>21070</v>
      </c>
      <c r="D4545">
        <v>7.47</v>
      </c>
      <c r="E4545">
        <v>0.4</v>
      </c>
      <c r="F4545">
        <v>0.03</v>
      </c>
      <c r="G4545" t="s">
        <v>3226</v>
      </c>
      <c r="H4545">
        <v>132</v>
      </c>
      <c r="I4545">
        <v>7.47</v>
      </c>
      <c r="J4545">
        <v>7.48</v>
      </c>
      <c r="K4545" t="s">
        <v>21067</v>
      </c>
      <c r="L4545">
        <v>1.39</v>
      </c>
      <c r="M4545" t="s">
        <v>46</v>
      </c>
      <c r="N4545" t="s">
        <v>6165</v>
      </c>
      <c r="O4545">
        <v>7.52</v>
      </c>
      <c r="P4545">
        <v>7.36</v>
      </c>
      <c r="Q4545">
        <v>7.41</v>
      </c>
      <c r="R4545">
        <v>7.44</v>
      </c>
      <c r="S4545">
        <v>2.15</v>
      </c>
      <c r="T4545">
        <v>1.03</v>
      </c>
      <c r="U4545">
        <v>12.21</v>
      </c>
      <c r="V4545">
        <v>285</v>
      </c>
      <c r="W4545">
        <v>7.47</v>
      </c>
      <c r="X4545" t="s">
        <v>383</v>
      </c>
      <c r="Y4545" t="s">
        <v>325</v>
      </c>
      <c r="Z4545">
        <v>0.73</v>
      </c>
      <c r="AA4545">
        <v>280</v>
      </c>
      <c r="AB4545">
        <v>1</v>
      </c>
      <c r="AC4545">
        <v>24.73</v>
      </c>
      <c r="AD4545" t="s">
        <v>1791</v>
      </c>
      <c r="AE4545" t="s">
        <v>506</v>
      </c>
      <c r="AF4545" t="s">
        <v>21071</v>
      </c>
      <c r="AG4545" t="s">
        <v>18496</v>
      </c>
      <c r="AH4545">
        <v>-0.4</v>
      </c>
      <c r="AI4545">
        <v>-1.58</v>
      </c>
      <c r="AJ4545">
        <v>4.44</v>
      </c>
      <c r="AK4545">
        <v>8.12</v>
      </c>
      <c r="AL4545">
        <v>1</v>
      </c>
      <c r="AM4545">
        <v>0.4</v>
      </c>
      <c r="AN4545">
        <v>2.89</v>
      </c>
      <c r="AO4545">
        <v>3.75</v>
      </c>
      <c r="AP4545">
        <v>-8.12</v>
      </c>
    </row>
    <row r="4546" spans="1:42">
      <c r="A4546">
        <v>4545</v>
      </c>
      <c r="B4546" t="str">
        <f>"600651"</f>
        <v>600651</v>
      </c>
      <c r="C4546" t="s">
        <v>21072</v>
      </c>
      <c r="D4546">
        <v>3.56</v>
      </c>
      <c r="E4546">
        <v>1.42</v>
      </c>
      <c r="F4546">
        <v>0.05</v>
      </c>
      <c r="G4546" t="s">
        <v>426</v>
      </c>
      <c r="H4546">
        <v>387</v>
      </c>
      <c r="I4546">
        <v>3.56</v>
      </c>
      <c r="J4546">
        <v>3.57</v>
      </c>
      <c r="K4546" t="s">
        <v>21073</v>
      </c>
      <c r="L4546">
        <v>0.48</v>
      </c>
      <c r="M4546" t="s">
        <v>46</v>
      </c>
      <c r="N4546" t="s">
        <v>5049</v>
      </c>
      <c r="O4546">
        <v>3.58</v>
      </c>
      <c r="P4546">
        <v>3.49</v>
      </c>
      <c r="Q4546">
        <v>3.51</v>
      </c>
      <c r="R4546">
        <v>3.51</v>
      </c>
      <c r="S4546">
        <v>2.56</v>
      </c>
      <c r="T4546">
        <v>0.94</v>
      </c>
      <c r="U4546">
        <v>-34.39</v>
      </c>
      <c r="V4546">
        <v>-4680</v>
      </c>
      <c r="W4546">
        <v>3.54</v>
      </c>
      <c r="X4546" t="s">
        <v>7485</v>
      </c>
      <c r="Y4546" t="s">
        <v>3291</v>
      </c>
      <c r="Z4546">
        <v>0.72</v>
      </c>
      <c r="AA4546">
        <v>263</v>
      </c>
      <c r="AB4546">
        <v>1093</v>
      </c>
      <c r="AC4546">
        <v>3.73</v>
      </c>
      <c r="AD4546" t="s">
        <v>21074</v>
      </c>
      <c r="AE4546" t="s">
        <v>21075</v>
      </c>
      <c r="AF4546" t="s">
        <v>11131</v>
      </c>
      <c r="AG4546" t="s">
        <v>12455</v>
      </c>
      <c r="AH4546">
        <v>-0.84</v>
      </c>
      <c r="AI4546">
        <v>-1.39</v>
      </c>
      <c r="AJ4546">
        <v>1.51</v>
      </c>
      <c r="AK4546">
        <v>3.01</v>
      </c>
      <c r="AL4546">
        <v>1</v>
      </c>
      <c r="AM4546">
        <v>1.42</v>
      </c>
      <c r="AN4546">
        <v>10.22</v>
      </c>
      <c r="AO4546">
        <v>2.3</v>
      </c>
      <c r="AP4546">
        <v>3.79</v>
      </c>
    </row>
    <row r="4547" spans="1:42">
      <c r="A4547">
        <v>4546</v>
      </c>
      <c r="B4547" t="str">
        <f>"000507"</f>
        <v>000507</v>
      </c>
      <c r="C4547" t="s">
        <v>21076</v>
      </c>
      <c r="D4547">
        <v>5.56</v>
      </c>
      <c r="E4547">
        <v>0.54</v>
      </c>
      <c r="F4547">
        <v>0.03</v>
      </c>
      <c r="G4547" t="s">
        <v>6408</v>
      </c>
      <c r="H4547">
        <v>510</v>
      </c>
      <c r="I4547">
        <v>5.55</v>
      </c>
      <c r="J4547">
        <v>5.56</v>
      </c>
      <c r="K4547" t="s">
        <v>21077</v>
      </c>
      <c r="L4547">
        <v>0.47</v>
      </c>
      <c r="M4547" t="s">
        <v>46</v>
      </c>
      <c r="N4547" t="s">
        <v>642</v>
      </c>
      <c r="O4547">
        <v>5.58</v>
      </c>
      <c r="P4547">
        <v>5.52</v>
      </c>
      <c r="Q4547">
        <v>5.53</v>
      </c>
      <c r="R4547">
        <v>5.53</v>
      </c>
      <c r="S4547">
        <v>1.08</v>
      </c>
      <c r="T4547">
        <v>0.79</v>
      </c>
      <c r="U4547">
        <v>-60.48</v>
      </c>
      <c r="V4547" t="s">
        <v>14284</v>
      </c>
      <c r="W4547">
        <v>5.56</v>
      </c>
      <c r="X4547" t="s">
        <v>2976</v>
      </c>
      <c r="Y4547" t="s">
        <v>4509</v>
      </c>
      <c r="Z4547">
        <v>0.91</v>
      </c>
      <c r="AA4547">
        <v>611</v>
      </c>
      <c r="AB4547">
        <v>1810</v>
      </c>
      <c r="AC4547">
        <v>1.03</v>
      </c>
      <c r="AD4547" t="s">
        <v>21078</v>
      </c>
      <c r="AE4547" t="s">
        <v>12331</v>
      </c>
      <c r="AF4547" t="s">
        <v>21079</v>
      </c>
      <c r="AG4547" t="s">
        <v>12591</v>
      </c>
      <c r="AH4547">
        <v>0.54</v>
      </c>
      <c r="AI4547">
        <v>0.91</v>
      </c>
      <c r="AJ4547">
        <v>1.53</v>
      </c>
      <c r="AK4547">
        <v>3.44</v>
      </c>
      <c r="AL4547">
        <v>1</v>
      </c>
      <c r="AM4547">
        <v>0.54</v>
      </c>
      <c r="AN4547">
        <v>0.36</v>
      </c>
      <c r="AO4547">
        <v>5.1</v>
      </c>
      <c r="AP4547">
        <v>-2.8</v>
      </c>
    </row>
    <row r="4548" spans="1:42">
      <c r="A4548">
        <v>4547</v>
      </c>
      <c r="B4548" t="str">
        <f>"605222"</f>
        <v>605222</v>
      </c>
      <c r="C4548" t="s">
        <v>21080</v>
      </c>
      <c r="D4548">
        <v>19.16</v>
      </c>
      <c r="E4548">
        <v>0.37</v>
      </c>
      <c r="F4548">
        <v>0.07</v>
      </c>
      <c r="G4548" t="s">
        <v>905</v>
      </c>
      <c r="H4548">
        <v>94</v>
      </c>
      <c r="I4548">
        <v>19.16</v>
      </c>
      <c r="J4548">
        <v>19.18</v>
      </c>
      <c r="K4548" t="s">
        <v>21081</v>
      </c>
      <c r="L4548">
        <v>0.3</v>
      </c>
      <c r="M4548" t="s">
        <v>46</v>
      </c>
      <c r="N4548" t="s">
        <v>21082</v>
      </c>
      <c r="O4548">
        <v>19.29</v>
      </c>
      <c r="P4548">
        <v>18.84</v>
      </c>
      <c r="Q4548">
        <v>19.02</v>
      </c>
      <c r="R4548">
        <v>19.09</v>
      </c>
      <c r="S4548">
        <v>2.36</v>
      </c>
      <c r="T4548">
        <v>0.7</v>
      </c>
      <c r="U4548">
        <v>-11.11</v>
      </c>
      <c r="V4548">
        <v>-36</v>
      </c>
      <c r="W4548">
        <v>19.05</v>
      </c>
      <c r="X4548">
        <v>6323</v>
      </c>
      <c r="Y4548">
        <v>6032</v>
      </c>
      <c r="Z4548">
        <v>1.05</v>
      </c>
      <c r="AA4548">
        <v>4</v>
      </c>
      <c r="AB4548">
        <v>15</v>
      </c>
      <c r="AC4548">
        <v>1.81</v>
      </c>
      <c r="AD4548" t="s">
        <v>21083</v>
      </c>
      <c r="AE4548" t="s">
        <v>21084</v>
      </c>
      <c r="AF4548" t="s">
        <v>4213</v>
      </c>
      <c r="AG4548" t="s">
        <v>15825</v>
      </c>
      <c r="AH4548">
        <v>-1.19</v>
      </c>
      <c r="AI4548">
        <v>0.21</v>
      </c>
      <c r="AJ4548">
        <v>1.16</v>
      </c>
      <c r="AK4548">
        <v>2.44</v>
      </c>
      <c r="AL4548">
        <v>1</v>
      </c>
      <c r="AM4548">
        <v>0.37</v>
      </c>
      <c r="AN4548">
        <v>-29.38</v>
      </c>
      <c r="AO4548">
        <v>-4.44</v>
      </c>
      <c r="AP4548">
        <v>-29.17</v>
      </c>
    </row>
    <row r="4549" spans="1:42">
      <c r="A4549">
        <v>4548</v>
      </c>
      <c r="B4549" t="str">
        <f>"603698"</f>
        <v>603698</v>
      </c>
      <c r="C4549" t="s">
        <v>21085</v>
      </c>
      <c r="D4549">
        <v>14.63</v>
      </c>
      <c r="E4549">
        <v>0.34</v>
      </c>
      <c r="F4549">
        <v>0.05</v>
      </c>
      <c r="G4549" t="s">
        <v>7487</v>
      </c>
      <c r="H4549">
        <v>127</v>
      </c>
      <c r="I4549">
        <v>14.63</v>
      </c>
      <c r="J4549">
        <v>14.65</v>
      </c>
      <c r="K4549" t="s">
        <v>21086</v>
      </c>
      <c r="L4549">
        <v>0.3</v>
      </c>
      <c r="M4549" t="s">
        <v>46</v>
      </c>
      <c r="N4549" t="s">
        <v>2959</v>
      </c>
      <c r="O4549">
        <v>14.69</v>
      </c>
      <c r="P4549">
        <v>14.48</v>
      </c>
      <c r="Q4549">
        <v>14.54</v>
      </c>
      <c r="R4549">
        <v>14.58</v>
      </c>
      <c r="S4549">
        <v>1.44</v>
      </c>
      <c r="T4549">
        <v>0.88</v>
      </c>
      <c r="U4549">
        <v>-48.17</v>
      </c>
      <c r="V4549">
        <v>-407</v>
      </c>
      <c r="W4549">
        <v>14.59</v>
      </c>
      <c r="X4549">
        <v>7815</v>
      </c>
      <c r="Y4549">
        <v>8307</v>
      </c>
      <c r="Z4549">
        <v>0.94</v>
      </c>
      <c r="AA4549">
        <v>136</v>
      </c>
      <c r="AB4549">
        <v>29</v>
      </c>
      <c r="AC4549">
        <v>2.46</v>
      </c>
      <c r="AD4549" t="s">
        <v>21087</v>
      </c>
      <c r="AE4549" t="s">
        <v>21088</v>
      </c>
      <c r="AF4549" t="s">
        <v>21087</v>
      </c>
      <c r="AG4549" t="s">
        <v>21088</v>
      </c>
      <c r="AH4549">
        <v>-0.68</v>
      </c>
      <c r="AI4549">
        <v>-0.41</v>
      </c>
      <c r="AJ4549">
        <v>1</v>
      </c>
      <c r="AK4549">
        <v>2.01</v>
      </c>
      <c r="AL4549">
        <v>1</v>
      </c>
      <c r="AM4549">
        <v>0.34</v>
      </c>
      <c r="AN4549">
        <v>23.36</v>
      </c>
      <c r="AO4549">
        <v>1.6</v>
      </c>
      <c r="AP4549">
        <v>14.12</v>
      </c>
    </row>
    <row r="4550" spans="1:42">
      <c r="A4550">
        <v>4549</v>
      </c>
      <c r="B4550" t="str">
        <f>"600149"</f>
        <v>600149</v>
      </c>
      <c r="C4550" t="s">
        <v>21089</v>
      </c>
      <c r="D4550">
        <v>5.54</v>
      </c>
      <c r="E4550">
        <v>1.65</v>
      </c>
      <c r="F4550">
        <v>0.09</v>
      </c>
      <c r="G4550" t="s">
        <v>1321</v>
      </c>
      <c r="H4550">
        <v>246</v>
      </c>
      <c r="I4550">
        <v>5.53</v>
      </c>
      <c r="J4550">
        <v>5.54</v>
      </c>
      <c r="K4550" t="s">
        <v>21090</v>
      </c>
      <c r="L4550">
        <v>1.12</v>
      </c>
      <c r="M4550" t="s">
        <v>46</v>
      </c>
      <c r="N4550" t="s">
        <v>10362</v>
      </c>
      <c r="O4550">
        <v>5.55</v>
      </c>
      <c r="P4550">
        <v>5.44</v>
      </c>
      <c r="Q4550">
        <v>5.48</v>
      </c>
      <c r="R4550">
        <v>5.45</v>
      </c>
      <c r="S4550">
        <v>2.02</v>
      </c>
      <c r="T4550">
        <v>1.19</v>
      </c>
      <c r="U4550">
        <v>-6.57</v>
      </c>
      <c r="V4550">
        <v>-321</v>
      </c>
      <c r="W4550">
        <v>5.51</v>
      </c>
      <c r="X4550" t="s">
        <v>3165</v>
      </c>
      <c r="Y4550" t="s">
        <v>48</v>
      </c>
      <c r="Z4550">
        <v>0.71</v>
      </c>
      <c r="AA4550">
        <v>100</v>
      </c>
      <c r="AB4550">
        <v>672</v>
      </c>
      <c r="AC4550">
        <v>14.04</v>
      </c>
      <c r="AD4550" t="s">
        <v>21091</v>
      </c>
      <c r="AE4550" t="s">
        <v>2234</v>
      </c>
      <c r="AF4550" t="s">
        <v>21091</v>
      </c>
      <c r="AG4550" t="s">
        <v>2234</v>
      </c>
      <c r="AH4550">
        <v>0.54</v>
      </c>
      <c r="AI4550">
        <v>0.18</v>
      </c>
      <c r="AJ4550">
        <v>2.83</v>
      </c>
      <c r="AK4550">
        <v>5.82</v>
      </c>
      <c r="AL4550">
        <v>1</v>
      </c>
      <c r="AM4550">
        <v>1.65</v>
      </c>
      <c r="AN4550">
        <v>-10.65</v>
      </c>
      <c r="AO4550">
        <v>4.14</v>
      </c>
      <c r="AP4550">
        <v>-15.16</v>
      </c>
    </row>
    <row r="4551" spans="1:42">
      <c r="A4551">
        <v>4550</v>
      </c>
      <c r="B4551" t="str">
        <f>"002442"</f>
        <v>002442</v>
      </c>
      <c r="C4551" t="s">
        <v>21092</v>
      </c>
      <c r="D4551">
        <v>5.6</v>
      </c>
      <c r="E4551">
        <v>0.36</v>
      </c>
      <c r="F4551">
        <v>0.02</v>
      </c>
      <c r="G4551" t="s">
        <v>7877</v>
      </c>
      <c r="H4551">
        <v>222</v>
      </c>
      <c r="I4551">
        <v>5.59</v>
      </c>
      <c r="J4551">
        <v>5.6</v>
      </c>
      <c r="K4551" t="s">
        <v>21090</v>
      </c>
      <c r="L4551">
        <v>0.86</v>
      </c>
      <c r="M4551" t="s">
        <v>46</v>
      </c>
      <c r="N4551" t="s">
        <v>4011</v>
      </c>
      <c r="O4551">
        <v>5.63</v>
      </c>
      <c r="P4551">
        <v>5.54</v>
      </c>
      <c r="Q4551">
        <v>5.58</v>
      </c>
      <c r="R4551">
        <v>5.58</v>
      </c>
      <c r="S4551">
        <v>1.61</v>
      </c>
      <c r="T4551">
        <v>0.81</v>
      </c>
      <c r="U4551">
        <v>12.76</v>
      </c>
      <c r="V4551">
        <v>565</v>
      </c>
      <c r="W4551">
        <v>5.59</v>
      </c>
      <c r="X4551" t="s">
        <v>5585</v>
      </c>
      <c r="Y4551" t="s">
        <v>1212</v>
      </c>
      <c r="Z4551">
        <v>0.86</v>
      </c>
      <c r="AA4551">
        <v>260</v>
      </c>
      <c r="AB4551">
        <v>359</v>
      </c>
      <c r="AC4551">
        <v>1.62</v>
      </c>
      <c r="AD4551" t="s">
        <v>6178</v>
      </c>
      <c r="AE4551" t="s">
        <v>18467</v>
      </c>
      <c r="AF4551" t="s">
        <v>21093</v>
      </c>
      <c r="AG4551" t="s">
        <v>8148</v>
      </c>
      <c r="AH4551">
        <v>-1.23</v>
      </c>
      <c r="AI4551">
        <v>-1.06</v>
      </c>
      <c r="AJ4551">
        <v>3.2</v>
      </c>
      <c r="AK4551">
        <v>6.18</v>
      </c>
      <c r="AL4551">
        <v>1</v>
      </c>
      <c r="AM4551">
        <v>0.36</v>
      </c>
      <c r="AN4551">
        <v>10.67</v>
      </c>
      <c r="AO4551">
        <v>2.38</v>
      </c>
      <c r="AP4551">
        <v>3.32</v>
      </c>
    </row>
    <row r="4552" spans="1:42">
      <c r="A4552">
        <v>4551</v>
      </c>
      <c r="B4552" t="str">
        <f>"835179"</f>
        <v>835179</v>
      </c>
      <c r="C4552" t="s">
        <v>21094</v>
      </c>
      <c r="D4552">
        <v>18.49</v>
      </c>
      <c r="E4552">
        <v>-5.81</v>
      </c>
      <c r="F4552">
        <v>-1.14</v>
      </c>
      <c r="G4552" t="s">
        <v>2547</v>
      </c>
      <c r="H4552">
        <v>50</v>
      </c>
      <c r="I4552">
        <v>18.49</v>
      </c>
      <c r="J4552">
        <v>18.53</v>
      </c>
      <c r="K4552" t="s">
        <v>21095</v>
      </c>
      <c r="L4552">
        <v>2.04</v>
      </c>
      <c r="M4552" t="s">
        <v>46</v>
      </c>
      <c r="N4552" t="s">
        <v>7362</v>
      </c>
      <c r="O4552">
        <v>20.02</v>
      </c>
      <c r="P4552">
        <v>18.29</v>
      </c>
      <c r="Q4552">
        <v>19.87</v>
      </c>
      <c r="R4552">
        <v>19.63</v>
      </c>
      <c r="S4552">
        <v>8.81</v>
      </c>
      <c r="T4552">
        <v>0.44</v>
      </c>
      <c r="U4552">
        <v>31.32</v>
      </c>
      <c r="V4552">
        <v>133</v>
      </c>
      <c r="W4552">
        <v>18.85</v>
      </c>
      <c r="X4552">
        <v>7188</v>
      </c>
      <c r="Y4552">
        <v>5263</v>
      </c>
      <c r="Z4552">
        <v>1.37</v>
      </c>
      <c r="AA4552">
        <v>171</v>
      </c>
      <c r="AB4552">
        <v>1</v>
      </c>
      <c r="AC4552">
        <v>2.01</v>
      </c>
      <c r="AD4552" t="s">
        <v>12995</v>
      </c>
      <c r="AE4552" t="s">
        <v>21096</v>
      </c>
      <c r="AF4552" t="s">
        <v>5030</v>
      </c>
      <c r="AG4552" t="s">
        <v>7350</v>
      </c>
      <c r="AH4552">
        <v>-15.84</v>
      </c>
      <c r="AI4552">
        <v>-3.95</v>
      </c>
      <c r="AJ4552">
        <v>6.97</v>
      </c>
      <c r="AK4552">
        <v>25.08</v>
      </c>
      <c r="AL4552">
        <v>-4</v>
      </c>
      <c r="AM4552">
        <v>-5.81</v>
      </c>
      <c r="AN4552">
        <v>-0.7</v>
      </c>
      <c r="AO4552">
        <v>14.92</v>
      </c>
      <c r="AP4552">
        <v>-1.7</v>
      </c>
    </row>
    <row r="4553" spans="1:42">
      <c r="A4553">
        <v>4552</v>
      </c>
      <c r="B4553" t="str">
        <f>"688030"</f>
        <v>688030</v>
      </c>
      <c r="C4553" t="s">
        <v>21097</v>
      </c>
      <c r="D4553">
        <v>20.77</v>
      </c>
      <c r="E4553">
        <v>1.27</v>
      </c>
      <c r="F4553">
        <v>0.26</v>
      </c>
      <c r="G4553" t="s">
        <v>2667</v>
      </c>
      <c r="H4553">
        <v>163</v>
      </c>
      <c r="I4553">
        <v>20.77</v>
      </c>
      <c r="J4553">
        <v>20.78</v>
      </c>
      <c r="K4553" t="s">
        <v>21095</v>
      </c>
      <c r="L4553">
        <v>0.63</v>
      </c>
      <c r="M4553" t="s">
        <v>46</v>
      </c>
      <c r="N4553" t="s">
        <v>10673</v>
      </c>
      <c r="O4553">
        <v>21.29</v>
      </c>
      <c r="P4553">
        <v>20.09</v>
      </c>
      <c r="Q4553">
        <v>20.52</v>
      </c>
      <c r="R4553">
        <v>20.51</v>
      </c>
      <c r="S4553">
        <v>5.85</v>
      </c>
      <c r="T4553">
        <v>1.05</v>
      </c>
      <c r="U4553">
        <v>46.22</v>
      </c>
      <c r="V4553">
        <v>53</v>
      </c>
      <c r="W4553">
        <v>20.59</v>
      </c>
      <c r="X4553">
        <v>5200</v>
      </c>
      <c r="Y4553">
        <v>6201</v>
      </c>
      <c r="Z4553">
        <v>0.84</v>
      </c>
      <c r="AA4553">
        <v>3</v>
      </c>
      <c r="AB4553">
        <v>5</v>
      </c>
      <c r="AC4553">
        <v>3.31</v>
      </c>
      <c r="AD4553" t="s">
        <v>21098</v>
      </c>
      <c r="AE4553" t="s">
        <v>1220</v>
      </c>
      <c r="AF4553" t="s">
        <v>21098</v>
      </c>
      <c r="AG4553" t="s">
        <v>1220</v>
      </c>
      <c r="AH4553">
        <v>0.1</v>
      </c>
      <c r="AI4553">
        <v>-1.52</v>
      </c>
      <c r="AJ4553">
        <v>1.8</v>
      </c>
      <c r="AK4553">
        <v>3.64</v>
      </c>
      <c r="AL4553">
        <v>1</v>
      </c>
      <c r="AM4553">
        <v>1.27</v>
      </c>
      <c r="AN4553">
        <v>6.73</v>
      </c>
      <c r="AO4553">
        <v>6.19</v>
      </c>
      <c r="AP4553">
        <v>-5.98</v>
      </c>
    </row>
    <row r="4554" spans="1:42">
      <c r="A4554">
        <v>4553</v>
      </c>
      <c r="B4554" t="str">
        <f>"834014"</f>
        <v>834014</v>
      </c>
      <c r="C4554" t="s">
        <v>21099</v>
      </c>
      <c r="D4554">
        <v>9.06</v>
      </c>
      <c r="E4554">
        <v>-5.43</v>
      </c>
      <c r="F4554">
        <v>-0.52</v>
      </c>
      <c r="G4554" t="s">
        <v>4257</v>
      </c>
      <c r="H4554">
        <v>194</v>
      </c>
      <c r="I4554">
        <v>9.06</v>
      </c>
      <c r="J4554">
        <v>9.07</v>
      </c>
      <c r="K4554" t="s">
        <v>21095</v>
      </c>
      <c r="L4554">
        <v>5.9</v>
      </c>
      <c r="M4554" t="s">
        <v>46</v>
      </c>
      <c r="N4554" t="s">
        <v>3272</v>
      </c>
      <c r="O4554">
        <v>9.73</v>
      </c>
      <c r="P4554">
        <v>8.9</v>
      </c>
      <c r="Q4554">
        <v>9.36</v>
      </c>
      <c r="R4554">
        <v>9.58</v>
      </c>
      <c r="S4554">
        <v>8.66</v>
      </c>
      <c r="T4554">
        <v>0.65</v>
      </c>
      <c r="U4554">
        <v>-23.23</v>
      </c>
      <c r="V4554">
        <v>-205</v>
      </c>
      <c r="W4554">
        <v>9.22</v>
      </c>
      <c r="X4554" t="s">
        <v>4977</v>
      </c>
      <c r="Y4554">
        <v>9563</v>
      </c>
      <c r="Z4554">
        <v>1.66</v>
      </c>
      <c r="AA4554">
        <v>91</v>
      </c>
      <c r="AB4554">
        <v>53</v>
      </c>
      <c r="AC4554">
        <v>1.48</v>
      </c>
      <c r="AD4554" t="s">
        <v>21100</v>
      </c>
      <c r="AE4554" t="s">
        <v>11350</v>
      </c>
      <c r="AF4554" t="s">
        <v>17200</v>
      </c>
      <c r="AG4554" t="s">
        <v>21101</v>
      </c>
      <c r="AH4554">
        <v>-16.11</v>
      </c>
      <c r="AI4554">
        <v>-1.41</v>
      </c>
      <c r="AJ4554">
        <v>19.28</v>
      </c>
      <c r="AK4554">
        <v>51.06</v>
      </c>
      <c r="AL4554">
        <v>-4</v>
      </c>
      <c r="AM4554">
        <v>-5.43</v>
      </c>
      <c r="AN4554">
        <v>-2.37</v>
      </c>
      <c r="AO4554">
        <v>9.69</v>
      </c>
      <c r="AP4554">
        <v>-27.35</v>
      </c>
    </row>
    <row r="4555" spans="1:42">
      <c r="A4555">
        <v>4554</v>
      </c>
      <c r="B4555" t="str">
        <f>"430556"</f>
        <v>430556</v>
      </c>
      <c r="C4555" t="s">
        <v>21102</v>
      </c>
      <c r="D4555">
        <v>4.81</v>
      </c>
      <c r="E4555">
        <v>-0.21</v>
      </c>
      <c r="F4555">
        <v>-0.01</v>
      </c>
      <c r="G4555" t="s">
        <v>6833</v>
      </c>
      <c r="H4555">
        <v>986</v>
      </c>
      <c r="I4555">
        <v>4.8</v>
      </c>
      <c r="J4555">
        <v>4.81</v>
      </c>
      <c r="K4555" t="s">
        <v>21095</v>
      </c>
      <c r="L4555">
        <v>6.04</v>
      </c>
      <c r="M4555" t="s">
        <v>46</v>
      </c>
      <c r="N4555" t="s">
        <v>6070</v>
      </c>
      <c r="O4555">
        <v>5.06</v>
      </c>
      <c r="P4555">
        <v>4.71</v>
      </c>
      <c r="Q4555">
        <v>4.82</v>
      </c>
      <c r="R4555">
        <v>4.82</v>
      </c>
      <c r="S4555">
        <v>7.26</v>
      </c>
      <c r="T4555">
        <v>0.41</v>
      </c>
      <c r="U4555">
        <v>23.6</v>
      </c>
      <c r="V4555">
        <v>731</v>
      </c>
      <c r="W4555">
        <v>4.9</v>
      </c>
      <c r="X4555" t="s">
        <v>5420</v>
      </c>
      <c r="Y4555" t="s">
        <v>8073</v>
      </c>
      <c r="Z4555">
        <v>1.32</v>
      </c>
      <c r="AA4555">
        <v>1635</v>
      </c>
      <c r="AB4555">
        <v>288</v>
      </c>
      <c r="AC4555">
        <v>1.53</v>
      </c>
      <c r="AD4555" t="s">
        <v>21103</v>
      </c>
      <c r="AE4555" t="s">
        <v>15693</v>
      </c>
      <c r="AF4555" t="s">
        <v>21104</v>
      </c>
      <c r="AG4555" t="s">
        <v>21105</v>
      </c>
      <c r="AH4555">
        <v>-15.02</v>
      </c>
      <c r="AI4555">
        <v>7.37</v>
      </c>
      <c r="AJ4555">
        <v>25.88</v>
      </c>
      <c r="AK4555">
        <v>79.27</v>
      </c>
      <c r="AL4555">
        <v>-4</v>
      </c>
      <c r="AM4555">
        <v>-0.21</v>
      </c>
      <c r="AN4555">
        <v>-13.64</v>
      </c>
      <c r="AO4555">
        <v>48</v>
      </c>
      <c r="AP4555">
        <v>-13.64</v>
      </c>
    </row>
    <row r="4556" spans="1:42">
      <c r="A4556">
        <v>4555</v>
      </c>
      <c r="B4556" t="str">
        <f>"605066"</f>
        <v>605066</v>
      </c>
      <c r="C4556" t="s">
        <v>21106</v>
      </c>
      <c r="D4556">
        <v>9.06</v>
      </c>
      <c r="E4556">
        <v>-0.22</v>
      </c>
      <c r="F4556">
        <v>-0.02</v>
      </c>
      <c r="G4556" t="s">
        <v>4036</v>
      </c>
      <c r="H4556">
        <v>383</v>
      </c>
      <c r="I4556">
        <v>9.06</v>
      </c>
      <c r="J4556">
        <v>9.07</v>
      </c>
      <c r="K4556" t="s">
        <v>21095</v>
      </c>
      <c r="L4556">
        <v>0.65</v>
      </c>
      <c r="M4556" t="s">
        <v>46</v>
      </c>
      <c r="N4556" t="s">
        <v>690</v>
      </c>
      <c r="O4556">
        <v>9.15</v>
      </c>
      <c r="P4556">
        <v>9.01</v>
      </c>
      <c r="Q4556">
        <v>9.07</v>
      </c>
      <c r="R4556">
        <v>9.08</v>
      </c>
      <c r="S4556">
        <v>1.54</v>
      </c>
      <c r="T4556">
        <v>0.9</v>
      </c>
      <c r="U4556">
        <v>-53.72</v>
      </c>
      <c r="V4556">
        <v>-1307</v>
      </c>
      <c r="W4556">
        <v>9.05</v>
      </c>
      <c r="X4556" t="s">
        <v>1427</v>
      </c>
      <c r="Y4556" t="s">
        <v>9445</v>
      </c>
      <c r="Z4556">
        <v>0.99</v>
      </c>
      <c r="AA4556">
        <v>24</v>
      </c>
      <c r="AB4556">
        <v>358</v>
      </c>
      <c r="AC4556">
        <v>2.02</v>
      </c>
      <c r="AD4556" t="s">
        <v>21107</v>
      </c>
      <c r="AE4556" t="s">
        <v>21108</v>
      </c>
      <c r="AF4556" t="s">
        <v>945</v>
      </c>
      <c r="AG4556" t="s">
        <v>21109</v>
      </c>
      <c r="AH4556">
        <v>-0.88</v>
      </c>
      <c r="AI4556">
        <v>-0.22</v>
      </c>
      <c r="AJ4556">
        <v>1.79</v>
      </c>
      <c r="AK4556">
        <v>4.22</v>
      </c>
      <c r="AL4556">
        <v>-3</v>
      </c>
      <c r="AM4556">
        <v>-0.22</v>
      </c>
      <c r="AN4556">
        <v>25.66</v>
      </c>
      <c r="AO4556">
        <v>3.19</v>
      </c>
      <c r="AP4556">
        <v>16.6</v>
      </c>
    </row>
    <row r="4557" spans="1:42">
      <c r="A4557">
        <v>4556</v>
      </c>
      <c r="B4557" t="str">
        <f>"600293"</f>
        <v>600293</v>
      </c>
      <c r="C4557" t="s">
        <v>21110</v>
      </c>
      <c r="D4557">
        <v>3.29</v>
      </c>
      <c r="E4557">
        <v>0.92</v>
      </c>
      <c r="F4557">
        <v>0.03</v>
      </c>
      <c r="G4557" t="s">
        <v>12160</v>
      </c>
      <c r="H4557">
        <v>1916</v>
      </c>
      <c r="I4557">
        <v>3.28</v>
      </c>
      <c r="J4557">
        <v>3.29</v>
      </c>
      <c r="K4557" t="s">
        <v>21111</v>
      </c>
      <c r="L4557">
        <v>0.62</v>
      </c>
      <c r="M4557" t="s">
        <v>46</v>
      </c>
      <c r="N4557" t="s">
        <v>3590</v>
      </c>
      <c r="O4557">
        <v>3.29</v>
      </c>
      <c r="P4557">
        <v>3.24</v>
      </c>
      <c r="Q4557">
        <v>3.27</v>
      </c>
      <c r="R4557">
        <v>3.26</v>
      </c>
      <c r="S4557">
        <v>1.53</v>
      </c>
      <c r="T4557">
        <v>0.73</v>
      </c>
      <c r="U4557">
        <v>-13.75</v>
      </c>
      <c r="V4557">
        <v>-3482</v>
      </c>
      <c r="W4557">
        <v>3.28</v>
      </c>
      <c r="X4557" t="s">
        <v>6657</v>
      </c>
      <c r="Y4557" t="s">
        <v>5355</v>
      </c>
      <c r="Z4557">
        <v>0.76</v>
      </c>
      <c r="AA4557">
        <v>1485</v>
      </c>
      <c r="AB4557">
        <v>3630</v>
      </c>
      <c r="AC4557">
        <v>2.24</v>
      </c>
      <c r="AD4557" t="s">
        <v>10762</v>
      </c>
      <c r="AE4557" t="s">
        <v>21112</v>
      </c>
      <c r="AF4557" t="s">
        <v>10762</v>
      </c>
      <c r="AG4557" t="s">
        <v>21112</v>
      </c>
      <c r="AH4557">
        <v>0.3</v>
      </c>
      <c r="AI4557">
        <v>-0.3</v>
      </c>
      <c r="AJ4557">
        <v>2.08</v>
      </c>
      <c r="AK4557">
        <v>4.86</v>
      </c>
      <c r="AL4557">
        <v>1</v>
      </c>
      <c r="AM4557">
        <v>0.92</v>
      </c>
      <c r="AN4557">
        <v>29.53</v>
      </c>
      <c r="AO4557">
        <v>3.79</v>
      </c>
      <c r="AP4557">
        <v>18.77</v>
      </c>
    </row>
    <row r="4558" spans="1:42">
      <c r="A4558">
        <v>4557</v>
      </c>
      <c r="B4558" t="str">
        <f>"600847"</f>
        <v>600847</v>
      </c>
      <c r="C4558" t="s">
        <v>21113</v>
      </c>
      <c r="D4558">
        <v>11.91</v>
      </c>
      <c r="E4558">
        <v>0.93</v>
      </c>
      <c r="F4558">
        <v>0.11</v>
      </c>
      <c r="G4558" t="s">
        <v>2924</v>
      </c>
      <c r="H4558">
        <v>96</v>
      </c>
      <c r="I4558">
        <v>11.91</v>
      </c>
      <c r="J4558">
        <v>11.92</v>
      </c>
      <c r="K4558" t="s">
        <v>21111</v>
      </c>
      <c r="L4558">
        <v>1.29</v>
      </c>
      <c r="M4558" t="s">
        <v>46</v>
      </c>
      <c r="N4558" t="s">
        <v>3605</v>
      </c>
      <c r="O4558">
        <v>12</v>
      </c>
      <c r="P4558">
        <v>11.7</v>
      </c>
      <c r="Q4558">
        <v>11.83</v>
      </c>
      <c r="R4558">
        <v>11.8</v>
      </c>
      <c r="S4558">
        <v>2.54</v>
      </c>
      <c r="T4558">
        <v>1.57</v>
      </c>
      <c r="U4558">
        <v>-25.09</v>
      </c>
      <c r="V4558">
        <v>-142</v>
      </c>
      <c r="W4558">
        <v>11.88</v>
      </c>
      <c r="X4558">
        <v>9911</v>
      </c>
      <c r="Y4558">
        <v>9806</v>
      </c>
      <c r="Z4558">
        <v>1.01</v>
      </c>
      <c r="AA4558">
        <v>3</v>
      </c>
      <c r="AB4558">
        <v>124</v>
      </c>
      <c r="AC4558">
        <v>2.66</v>
      </c>
      <c r="AD4558" t="s">
        <v>7520</v>
      </c>
      <c r="AE4558" t="s">
        <v>21114</v>
      </c>
      <c r="AF4558" t="s">
        <v>7520</v>
      </c>
      <c r="AG4558" t="s">
        <v>21114</v>
      </c>
      <c r="AH4558">
        <v>-0.58</v>
      </c>
      <c r="AI4558">
        <v>-0.92</v>
      </c>
      <c r="AJ4558">
        <v>2.74</v>
      </c>
      <c r="AK4558">
        <v>5.39</v>
      </c>
      <c r="AL4558">
        <v>1</v>
      </c>
      <c r="AM4558">
        <v>0.93</v>
      </c>
      <c r="AN4558">
        <v>-22.26</v>
      </c>
      <c r="AO4558">
        <v>2.94</v>
      </c>
      <c r="AP4558">
        <v>-30.47</v>
      </c>
    </row>
    <row r="4559" spans="1:42">
      <c r="A4559">
        <v>4558</v>
      </c>
      <c r="B4559" t="str">
        <f>"300140"</f>
        <v>300140</v>
      </c>
      <c r="C4559" t="s">
        <v>21115</v>
      </c>
      <c r="D4559">
        <v>7.45</v>
      </c>
      <c r="E4559">
        <v>0</v>
      </c>
      <c r="F4559">
        <v>0</v>
      </c>
      <c r="G4559" t="s">
        <v>3226</v>
      </c>
      <c r="H4559">
        <v>388</v>
      </c>
      <c r="I4559">
        <v>7.45</v>
      </c>
      <c r="J4559">
        <v>7.46</v>
      </c>
      <c r="K4559" t="s">
        <v>12908</v>
      </c>
      <c r="L4559">
        <v>0.75</v>
      </c>
      <c r="M4559" t="s">
        <v>46</v>
      </c>
      <c r="N4559" t="s">
        <v>9108</v>
      </c>
      <c r="O4559">
        <v>7.49</v>
      </c>
      <c r="P4559">
        <v>7.36</v>
      </c>
      <c r="Q4559">
        <v>7.48</v>
      </c>
      <c r="R4559">
        <v>7.45</v>
      </c>
      <c r="S4559">
        <v>1.74</v>
      </c>
      <c r="T4559">
        <v>0.88</v>
      </c>
      <c r="U4559">
        <v>-34.22</v>
      </c>
      <c r="V4559">
        <v>-1034</v>
      </c>
      <c r="W4559">
        <v>7.41</v>
      </c>
      <c r="X4559" t="s">
        <v>1769</v>
      </c>
      <c r="Y4559" t="s">
        <v>2111</v>
      </c>
      <c r="Z4559">
        <v>0.85</v>
      </c>
      <c r="AA4559">
        <v>90</v>
      </c>
      <c r="AB4559">
        <v>331</v>
      </c>
      <c r="AC4559">
        <v>1.92</v>
      </c>
      <c r="AD4559" t="s">
        <v>6906</v>
      </c>
      <c r="AE4559" t="s">
        <v>17463</v>
      </c>
      <c r="AF4559" t="s">
        <v>2510</v>
      </c>
      <c r="AG4559" t="s">
        <v>18302</v>
      </c>
      <c r="AH4559">
        <v>-1.46</v>
      </c>
      <c r="AI4559">
        <v>-1.59</v>
      </c>
      <c r="AJ4559">
        <v>2.12</v>
      </c>
      <c r="AK4559">
        <v>4.96</v>
      </c>
      <c r="AL4559">
        <v>0</v>
      </c>
      <c r="AM4559">
        <v>0</v>
      </c>
      <c r="AN4559">
        <v>1.92</v>
      </c>
      <c r="AO4559">
        <v>-1.97</v>
      </c>
      <c r="AP4559">
        <v>0</v>
      </c>
    </row>
    <row r="4560" spans="1:42">
      <c r="A4560">
        <v>4559</v>
      </c>
      <c r="B4560" t="str">
        <f>"600828"</f>
        <v>600828</v>
      </c>
      <c r="C4560" t="s">
        <v>21116</v>
      </c>
      <c r="D4560">
        <v>3.94</v>
      </c>
      <c r="E4560">
        <v>1.55</v>
      </c>
      <c r="F4560">
        <v>0.06</v>
      </c>
      <c r="G4560" t="s">
        <v>3520</v>
      </c>
      <c r="H4560">
        <v>358</v>
      </c>
      <c r="I4560">
        <v>3.94</v>
      </c>
      <c r="J4560">
        <v>3.95</v>
      </c>
      <c r="K4560" t="s">
        <v>12908</v>
      </c>
      <c r="L4560">
        <v>0.34</v>
      </c>
      <c r="M4560" t="s">
        <v>46</v>
      </c>
      <c r="N4560" t="s">
        <v>20687</v>
      </c>
      <c r="O4560">
        <v>3.98</v>
      </c>
      <c r="P4560">
        <v>3.86</v>
      </c>
      <c r="Q4560">
        <v>3.86</v>
      </c>
      <c r="R4560">
        <v>3.88</v>
      </c>
      <c r="S4560">
        <v>3.09</v>
      </c>
      <c r="T4560">
        <v>0.84</v>
      </c>
      <c r="U4560">
        <v>-28.23</v>
      </c>
      <c r="V4560">
        <v>-2236</v>
      </c>
      <c r="W4560">
        <v>3.94</v>
      </c>
      <c r="X4560" t="s">
        <v>3121</v>
      </c>
      <c r="Y4560" t="s">
        <v>5675</v>
      </c>
      <c r="Z4560">
        <v>0.86</v>
      </c>
      <c r="AA4560">
        <v>27</v>
      </c>
      <c r="AB4560">
        <v>857</v>
      </c>
      <c r="AC4560">
        <v>0.95</v>
      </c>
      <c r="AD4560" t="s">
        <v>484</v>
      </c>
      <c r="AE4560" t="s">
        <v>21117</v>
      </c>
      <c r="AF4560" t="s">
        <v>18056</v>
      </c>
      <c r="AG4560" t="s">
        <v>20431</v>
      </c>
      <c r="AH4560">
        <v>2.34</v>
      </c>
      <c r="AI4560">
        <v>2.34</v>
      </c>
      <c r="AJ4560">
        <v>1.04</v>
      </c>
      <c r="AK4560">
        <v>2.4</v>
      </c>
      <c r="AL4560">
        <v>2</v>
      </c>
      <c r="AM4560">
        <v>1.55</v>
      </c>
      <c r="AN4560">
        <v>4.51</v>
      </c>
      <c r="AO4560">
        <v>5.91</v>
      </c>
      <c r="AP4560">
        <v>18.32</v>
      </c>
    </row>
    <row r="4561" spans="1:42">
      <c r="A4561">
        <v>4560</v>
      </c>
      <c r="B4561" t="str">
        <f>"600897"</f>
        <v>600897</v>
      </c>
      <c r="C4561" t="s">
        <v>21118</v>
      </c>
      <c r="D4561">
        <v>13.03</v>
      </c>
      <c r="E4561">
        <v>-0.23</v>
      </c>
      <c r="F4561">
        <v>-0.03</v>
      </c>
      <c r="G4561" t="s">
        <v>1255</v>
      </c>
      <c r="H4561">
        <v>134</v>
      </c>
      <c r="I4561">
        <v>13.03</v>
      </c>
      <c r="J4561">
        <v>13.04</v>
      </c>
      <c r="K4561" t="s">
        <v>12908</v>
      </c>
      <c r="L4561">
        <v>0.43</v>
      </c>
      <c r="M4561" t="s">
        <v>46</v>
      </c>
      <c r="N4561" t="s">
        <v>958</v>
      </c>
      <c r="O4561">
        <v>13.15</v>
      </c>
      <c r="P4561">
        <v>13</v>
      </c>
      <c r="Q4561">
        <v>13.06</v>
      </c>
      <c r="R4561">
        <v>13.06</v>
      </c>
      <c r="S4561">
        <v>1.15</v>
      </c>
      <c r="T4561">
        <v>1.38</v>
      </c>
      <c r="U4561">
        <v>-12.13</v>
      </c>
      <c r="V4561">
        <v>-164</v>
      </c>
      <c r="W4561">
        <v>13.06</v>
      </c>
      <c r="X4561" t="s">
        <v>2074</v>
      </c>
      <c r="Y4561">
        <v>7785</v>
      </c>
      <c r="Z4561">
        <v>1.3</v>
      </c>
      <c r="AA4561">
        <v>113</v>
      </c>
      <c r="AB4561">
        <v>7</v>
      </c>
      <c r="AC4561">
        <v>1.34</v>
      </c>
      <c r="AD4561" t="s">
        <v>9113</v>
      </c>
      <c r="AE4561" t="s">
        <v>4636</v>
      </c>
      <c r="AF4561" t="s">
        <v>9113</v>
      </c>
      <c r="AG4561" t="s">
        <v>4636</v>
      </c>
      <c r="AH4561">
        <v>-1.14</v>
      </c>
      <c r="AI4561">
        <v>-0.91</v>
      </c>
      <c r="AJ4561">
        <v>1.02</v>
      </c>
      <c r="AK4561">
        <v>1.98</v>
      </c>
      <c r="AL4561">
        <v>-1</v>
      </c>
      <c r="AM4561">
        <v>-0.23</v>
      </c>
      <c r="AN4561">
        <v>9.5</v>
      </c>
      <c r="AO4561">
        <v>3.66</v>
      </c>
      <c r="AP4561">
        <v>20.65</v>
      </c>
    </row>
    <row r="4562" spans="1:42">
      <c r="A4562">
        <v>4561</v>
      </c>
      <c r="B4562" t="str">
        <f>"603811"</f>
        <v>603811</v>
      </c>
      <c r="C4562" t="s">
        <v>21119</v>
      </c>
      <c r="D4562">
        <v>10.97</v>
      </c>
      <c r="E4562">
        <v>-0.72</v>
      </c>
      <c r="F4562">
        <v>-0.08</v>
      </c>
      <c r="G4562" t="s">
        <v>3116</v>
      </c>
      <c r="H4562">
        <v>207</v>
      </c>
      <c r="I4562">
        <v>10.97</v>
      </c>
      <c r="J4562">
        <v>10.98</v>
      </c>
      <c r="K4562" t="s">
        <v>21120</v>
      </c>
      <c r="L4562">
        <v>0.65</v>
      </c>
      <c r="M4562" t="s">
        <v>46</v>
      </c>
      <c r="N4562" t="s">
        <v>3124</v>
      </c>
      <c r="O4562">
        <v>11.1</v>
      </c>
      <c r="P4562">
        <v>10.91</v>
      </c>
      <c r="Q4562">
        <v>11.05</v>
      </c>
      <c r="R4562">
        <v>11.05</v>
      </c>
      <c r="S4562">
        <v>1.72</v>
      </c>
      <c r="T4562">
        <v>0.49</v>
      </c>
      <c r="U4562">
        <v>18.08</v>
      </c>
      <c r="V4562">
        <v>344</v>
      </c>
      <c r="W4562">
        <v>10.98</v>
      </c>
      <c r="X4562" t="s">
        <v>905</v>
      </c>
      <c r="Y4562">
        <v>8865</v>
      </c>
      <c r="Z4562">
        <v>1.4</v>
      </c>
      <c r="AA4562">
        <v>207</v>
      </c>
      <c r="AB4562">
        <v>166</v>
      </c>
      <c r="AC4562">
        <v>3.14</v>
      </c>
      <c r="AD4562" t="s">
        <v>19759</v>
      </c>
      <c r="AE4562" t="s">
        <v>9159</v>
      </c>
      <c r="AF4562" t="s">
        <v>19759</v>
      </c>
      <c r="AG4562" t="s">
        <v>9159</v>
      </c>
      <c r="AH4562">
        <v>-1.35</v>
      </c>
      <c r="AI4562">
        <v>-0.9</v>
      </c>
      <c r="AJ4562">
        <v>2.17</v>
      </c>
      <c r="AK4562">
        <v>7.28</v>
      </c>
      <c r="AL4562">
        <v>-1</v>
      </c>
      <c r="AM4562">
        <v>-0.72</v>
      </c>
      <c r="AN4562">
        <v>11.82</v>
      </c>
      <c r="AO4562">
        <v>1.67</v>
      </c>
      <c r="AP4562">
        <v>-7.11</v>
      </c>
    </row>
    <row r="4563" spans="1:42">
      <c r="A4563">
        <v>4562</v>
      </c>
      <c r="B4563" t="str">
        <f>"600696"</f>
        <v>600696</v>
      </c>
      <c r="C4563" t="s">
        <v>21121</v>
      </c>
      <c r="D4563">
        <v>23</v>
      </c>
      <c r="E4563">
        <v>0</v>
      </c>
      <c r="F4563">
        <v>0</v>
      </c>
      <c r="G4563" t="s">
        <v>1646</v>
      </c>
      <c r="H4563">
        <v>20</v>
      </c>
      <c r="I4563">
        <v>22.99</v>
      </c>
      <c r="J4563">
        <v>23</v>
      </c>
      <c r="K4563" t="s">
        <v>21120</v>
      </c>
      <c r="L4563">
        <v>0.3</v>
      </c>
      <c r="M4563" t="s">
        <v>46</v>
      </c>
      <c r="N4563" t="s">
        <v>2900</v>
      </c>
      <c r="O4563">
        <v>23.18</v>
      </c>
      <c r="P4563">
        <v>22.89</v>
      </c>
      <c r="Q4563">
        <v>23.13</v>
      </c>
      <c r="R4563">
        <v>23</v>
      </c>
      <c r="S4563">
        <v>1.26</v>
      </c>
      <c r="T4563">
        <v>0.72</v>
      </c>
      <c r="U4563">
        <v>-46.78</v>
      </c>
      <c r="V4563">
        <v>-109</v>
      </c>
      <c r="W4563">
        <v>23.02</v>
      </c>
      <c r="X4563">
        <v>5545</v>
      </c>
      <c r="Y4563">
        <v>4610</v>
      </c>
      <c r="Z4563">
        <v>1.2</v>
      </c>
      <c r="AA4563">
        <v>9</v>
      </c>
      <c r="AB4563">
        <v>30</v>
      </c>
      <c r="AC4563">
        <v>12.08</v>
      </c>
      <c r="AD4563" t="s">
        <v>21122</v>
      </c>
      <c r="AE4563" t="s">
        <v>21123</v>
      </c>
      <c r="AF4563" t="s">
        <v>21122</v>
      </c>
      <c r="AG4563" t="s">
        <v>21123</v>
      </c>
      <c r="AH4563">
        <v>-0.09</v>
      </c>
      <c r="AI4563">
        <v>-1.75</v>
      </c>
      <c r="AJ4563">
        <v>0.87</v>
      </c>
      <c r="AK4563">
        <v>2.4</v>
      </c>
      <c r="AL4563">
        <v>0</v>
      </c>
      <c r="AM4563">
        <v>0</v>
      </c>
      <c r="AN4563">
        <v>-7.56</v>
      </c>
      <c r="AO4563">
        <v>-1.63</v>
      </c>
      <c r="AP4563">
        <v>-2.13</v>
      </c>
    </row>
    <row r="4564" spans="1:42">
      <c r="A4564">
        <v>4563</v>
      </c>
      <c r="B4564" t="str">
        <f>"301323"</f>
        <v>301323</v>
      </c>
      <c r="C4564" t="s">
        <v>21124</v>
      </c>
      <c r="D4564">
        <v>38.84</v>
      </c>
      <c r="E4564">
        <v>0.41</v>
      </c>
      <c r="F4564">
        <v>0.16</v>
      </c>
      <c r="G4564">
        <v>6038</v>
      </c>
      <c r="H4564">
        <v>96</v>
      </c>
      <c r="I4564">
        <v>38.84</v>
      </c>
      <c r="J4564">
        <v>38.85</v>
      </c>
      <c r="K4564" t="s">
        <v>21120</v>
      </c>
      <c r="L4564">
        <v>2.58</v>
      </c>
      <c r="M4564" t="s">
        <v>46</v>
      </c>
      <c r="N4564" t="s">
        <v>8320</v>
      </c>
      <c r="O4564">
        <v>39.2</v>
      </c>
      <c r="P4564">
        <v>38</v>
      </c>
      <c r="Q4564">
        <v>38.72</v>
      </c>
      <c r="R4564">
        <v>38.68</v>
      </c>
      <c r="S4564">
        <v>3.1</v>
      </c>
      <c r="T4564">
        <v>0.78</v>
      </c>
      <c r="U4564">
        <v>0</v>
      </c>
      <c r="V4564">
        <v>0</v>
      </c>
      <c r="W4564">
        <v>38.72</v>
      </c>
      <c r="X4564">
        <v>3319</v>
      </c>
      <c r="Y4564">
        <v>2719</v>
      </c>
      <c r="Z4564">
        <v>1.22</v>
      </c>
      <c r="AA4564">
        <v>13</v>
      </c>
      <c r="AB4564">
        <v>1</v>
      </c>
      <c r="AC4564">
        <v>2.08</v>
      </c>
      <c r="AD4564" t="s">
        <v>20177</v>
      </c>
      <c r="AE4564" t="s">
        <v>7468</v>
      </c>
      <c r="AF4564" t="s">
        <v>12908</v>
      </c>
      <c r="AG4564" t="s">
        <v>20419</v>
      </c>
      <c r="AH4564">
        <v>-1.97</v>
      </c>
      <c r="AI4564">
        <v>-3.02</v>
      </c>
      <c r="AJ4564">
        <v>8.01</v>
      </c>
      <c r="AK4564">
        <v>19.07</v>
      </c>
      <c r="AL4564">
        <v>1</v>
      </c>
      <c r="AM4564">
        <v>0.41</v>
      </c>
      <c r="AN4564">
        <v>-0.56</v>
      </c>
      <c r="AO4564">
        <v>-3.02</v>
      </c>
      <c r="AP4564">
        <v>-0.56</v>
      </c>
    </row>
    <row r="4565" spans="1:42">
      <c r="A4565">
        <v>4564</v>
      </c>
      <c r="B4565" t="str">
        <f>"600231"</f>
        <v>600231</v>
      </c>
      <c r="C4565" t="s">
        <v>21125</v>
      </c>
      <c r="D4565">
        <v>2.31</v>
      </c>
      <c r="E4565">
        <v>0</v>
      </c>
      <c r="F4565">
        <v>0</v>
      </c>
      <c r="G4565" t="s">
        <v>110</v>
      </c>
      <c r="H4565">
        <v>4257</v>
      </c>
      <c r="I4565">
        <v>2.31</v>
      </c>
      <c r="J4565">
        <v>2.32</v>
      </c>
      <c r="K4565" t="s">
        <v>21126</v>
      </c>
      <c r="L4565">
        <v>0.35</v>
      </c>
      <c r="M4565" t="s">
        <v>46</v>
      </c>
      <c r="N4565" t="s">
        <v>21127</v>
      </c>
      <c r="O4565">
        <v>2.34</v>
      </c>
      <c r="P4565">
        <v>2.29</v>
      </c>
      <c r="Q4565">
        <v>2.3</v>
      </c>
      <c r="R4565">
        <v>2.31</v>
      </c>
      <c r="S4565">
        <v>2.16</v>
      </c>
      <c r="T4565">
        <v>0.88</v>
      </c>
      <c r="U4565">
        <v>-56.07</v>
      </c>
      <c r="V4565" t="s">
        <v>21128</v>
      </c>
      <c r="W4565">
        <v>2.32</v>
      </c>
      <c r="X4565" t="s">
        <v>6912</v>
      </c>
      <c r="Y4565" t="s">
        <v>753</v>
      </c>
      <c r="Z4565">
        <v>0.57</v>
      </c>
      <c r="AA4565">
        <v>1184</v>
      </c>
      <c r="AB4565" t="s">
        <v>8212</v>
      </c>
      <c r="AC4565">
        <v>0.84</v>
      </c>
      <c r="AD4565" t="s">
        <v>13096</v>
      </c>
      <c r="AE4565" t="s">
        <v>21129</v>
      </c>
      <c r="AF4565" t="s">
        <v>13096</v>
      </c>
      <c r="AG4565" t="s">
        <v>21129</v>
      </c>
      <c r="AH4565">
        <v>0</v>
      </c>
      <c r="AI4565">
        <v>-1.28</v>
      </c>
      <c r="AJ4565">
        <v>1.05</v>
      </c>
      <c r="AK4565">
        <v>2.36</v>
      </c>
      <c r="AL4565">
        <v>0</v>
      </c>
      <c r="AM4565">
        <v>0</v>
      </c>
      <c r="AN4565">
        <v>7.44</v>
      </c>
      <c r="AO4565">
        <v>2.21</v>
      </c>
      <c r="AP4565">
        <v>5</v>
      </c>
    </row>
    <row r="4566" spans="1:42">
      <c r="A4566">
        <v>4565</v>
      </c>
      <c r="B4566" t="str">
        <f>"688603"</f>
        <v>688603</v>
      </c>
      <c r="C4566" t="s">
        <v>21130</v>
      </c>
      <c r="D4566">
        <v>89.16</v>
      </c>
      <c r="E4566">
        <v>3.24</v>
      </c>
      <c r="F4566">
        <v>2.8</v>
      </c>
      <c r="G4566">
        <v>2637</v>
      </c>
      <c r="H4566">
        <v>39</v>
      </c>
      <c r="I4566">
        <v>89.16</v>
      </c>
      <c r="J4566">
        <v>89.48</v>
      </c>
      <c r="K4566" t="s">
        <v>21126</v>
      </c>
      <c r="L4566">
        <v>2.19</v>
      </c>
      <c r="M4566" t="s">
        <v>46</v>
      </c>
      <c r="N4566" t="s">
        <v>5820</v>
      </c>
      <c r="O4566">
        <v>91.3</v>
      </c>
      <c r="P4566">
        <v>84.5</v>
      </c>
      <c r="Q4566">
        <v>85.99</v>
      </c>
      <c r="R4566">
        <v>86.36</v>
      </c>
      <c r="S4566">
        <v>7.87</v>
      </c>
      <c r="T4566">
        <v>0.85</v>
      </c>
      <c r="U4566">
        <v>12.42</v>
      </c>
      <c r="V4566">
        <v>6</v>
      </c>
      <c r="W4566">
        <v>88.49</v>
      </c>
      <c r="X4566">
        <v>997</v>
      </c>
      <c r="Y4566">
        <v>1640</v>
      </c>
      <c r="Z4566">
        <v>0.61</v>
      </c>
      <c r="AA4566">
        <v>1</v>
      </c>
      <c r="AB4566">
        <v>2</v>
      </c>
      <c r="AC4566">
        <v>4.81</v>
      </c>
      <c r="AD4566" t="s">
        <v>21131</v>
      </c>
      <c r="AE4566" t="s">
        <v>8295</v>
      </c>
      <c r="AF4566" t="s">
        <v>21132</v>
      </c>
      <c r="AG4566" t="s">
        <v>12166</v>
      </c>
      <c r="AH4566">
        <v>1.83</v>
      </c>
      <c r="AI4566">
        <v>3.22</v>
      </c>
      <c r="AJ4566">
        <v>7.09</v>
      </c>
      <c r="AK4566">
        <v>15.15</v>
      </c>
      <c r="AL4566">
        <v>1</v>
      </c>
      <c r="AM4566">
        <v>3.24</v>
      </c>
      <c r="AN4566">
        <v>62.11</v>
      </c>
      <c r="AO4566">
        <v>17.75</v>
      </c>
      <c r="AP4566">
        <v>62.11</v>
      </c>
    </row>
    <row r="4567" spans="1:42">
      <c r="A4567">
        <v>4566</v>
      </c>
      <c r="B4567" t="str">
        <f>"603221"</f>
        <v>603221</v>
      </c>
      <c r="C4567" t="s">
        <v>21133</v>
      </c>
      <c r="D4567">
        <v>9.97</v>
      </c>
      <c r="E4567">
        <v>-0.4</v>
      </c>
      <c r="F4567">
        <v>-0.04</v>
      </c>
      <c r="G4567" t="s">
        <v>5620</v>
      </c>
      <c r="H4567">
        <v>124</v>
      </c>
      <c r="I4567">
        <v>9.97</v>
      </c>
      <c r="J4567">
        <v>9.99</v>
      </c>
      <c r="K4567" t="s">
        <v>11992</v>
      </c>
      <c r="L4567">
        <v>0.97</v>
      </c>
      <c r="M4567" t="s">
        <v>46</v>
      </c>
      <c r="N4567" t="s">
        <v>21134</v>
      </c>
      <c r="O4567">
        <v>10.15</v>
      </c>
      <c r="P4567">
        <v>9.95</v>
      </c>
      <c r="Q4567">
        <v>10.02</v>
      </c>
      <c r="R4567">
        <v>10.01</v>
      </c>
      <c r="S4567">
        <v>2</v>
      </c>
      <c r="T4567">
        <v>0.8</v>
      </c>
      <c r="U4567">
        <v>31.4</v>
      </c>
      <c r="V4567">
        <v>293</v>
      </c>
      <c r="W4567">
        <v>10.03</v>
      </c>
      <c r="X4567" t="s">
        <v>905</v>
      </c>
      <c r="Y4567" t="s">
        <v>7974</v>
      </c>
      <c r="Z4567">
        <v>1.15</v>
      </c>
      <c r="AA4567">
        <v>227</v>
      </c>
      <c r="AB4567">
        <v>34</v>
      </c>
      <c r="AC4567">
        <v>1.67</v>
      </c>
      <c r="AD4567" t="s">
        <v>4237</v>
      </c>
      <c r="AE4567" t="s">
        <v>8758</v>
      </c>
      <c r="AF4567" t="s">
        <v>4237</v>
      </c>
      <c r="AG4567" t="s">
        <v>8758</v>
      </c>
      <c r="AH4567">
        <v>-0.2</v>
      </c>
      <c r="AI4567">
        <v>-1.77</v>
      </c>
      <c r="AJ4567">
        <v>3.15</v>
      </c>
      <c r="AK4567">
        <v>7.02</v>
      </c>
      <c r="AL4567">
        <v>-1</v>
      </c>
      <c r="AM4567">
        <v>-0.4</v>
      </c>
      <c r="AN4567">
        <v>23.7</v>
      </c>
      <c r="AO4567">
        <v>3.85</v>
      </c>
      <c r="AP4567">
        <v>17.02</v>
      </c>
    </row>
    <row r="4568" spans="1:42">
      <c r="A4568">
        <v>4567</v>
      </c>
      <c r="B4568" t="str">
        <f>"603637"</f>
        <v>603637</v>
      </c>
      <c r="C4568" t="s">
        <v>21135</v>
      </c>
      <c r="D4568">
        <v>8.75</v>
      </c>
      <c r="E4568">
        <v>1.04</v>
      </c>
      <c r="F4568">
        <v>0.09</v>
      </c>
      <c r="G4568" t="s">
        <v>7472</v>
      </c>
      <c r="H4568">
        <v>391</v>
      </c>
      <c r="I4568">
        <v>8.75</v>
      </c>
      <c r="J4568">
        <v>8.76</v>
      </c>
      <c r="K4568" t="s">
        <v>11992</v>
      </c>
      <c r="L4568">
        <v>1.09</v>
      </c>
      <c r="M4568" t="s">
        <v>46</v>
      </c>
      <c r="N4568" t="s">
        <v>8585</v>
      </c>
      <c r="O4568">
        <v>8.78</v>
      </c>
      <c r="P4568">
        <v>8.66</v>
      </c>
      <c r="Q4568">
        <v>8.66</v>
      </c>
      <c r="R4568">
        <v>8.66</v>
      </c>
      <c r="S4568">
        <v>1.39</v>
      </c>
      <c r="T4568">
        <v>0.83</v>
      </c>
      <c r="U4568">
        <v>-47.41</v>
      </c>
      <c r="V4568">
        <v>-1464</v>
      </c>
      <c r="W4568">
        <v>8.74</v>
      </c>
      <c r="X4568" t="s">
        <v>1170</v>
      </c>
      <c r="Y4568" t="s">
        <v>5183</v>
      </c>
      <c r="Z4568">
        <v>0.96</v>
      </c>
      <c r="AA4568">
        <v>191</v>
      </c>
      <c r="AB4568">
        <v>69</v>
      </c>
      <c r="AC4568">
        <v>2.33</v>
      </c>
      <c r="AD4568" t="s">
        <v>21136</v>
      </c>
      <c r="AE4568" t="s">
        <v>21137</v>
      </c>
      <c r="AF4568" t="s">
        <v>21136</v>
      </c>
      <c r="AG4568" t="s">
        <v>21137</v>
      </c>
      <c r="AH4568">
        <v>-0.23</v>
      </c>
      <c r="AI4568">
        <v>0.57</v>
      </c>
      <c r="AJ4568">
        <v>3.54</v>
      </c>
      <c r="AK4568">
        <v>7.7</v>
      </c>
      <c r="AL4568">
        <v>1</v>
      </c>
      <c r="AM4568">
        <v>1.04</v>
      </c>
      <c r="AN4568">
        <v>16.67</v>
      </c>
      <c r="AO4568">
        <v>3.67</v>
      </c>
      <c r="AP4568">
        <v>3.43</v>
      </c>
    </row>
    <row r="4569" spans="1:42">
      <c r="A4569">
        <v>4568</v>
      </c>
      <c r="B4569" t="str">
        <f>"000698"</f>
        <v>000698</v>
      </c>
      <c r="C4569" t="s">
        <v>21138</v>
      </c>
      <c r="D4569">
        <v>4.25</v>
      </c>
      <c r="E4569">
        <v>0.95</v>
      </c>
      <c r="F4569">
        <v>0.04</v>
      </c>
      <c r="G4569" t="s">
        <v>5466</v>
      </c>
      <c r="H4569">
        <v>463</v>
      </c>
      <c r="I4569">
        <v>4.24</v>
      </c>
      <c r="J4569">
        <v>4.25</v>
      </c>
      <c r="K4569" t="s">
        <v>21139</v>
      </c>
      <c r="L4569">
        <v>0.7</v>
      </c>
      <c r="M4569" t="s">
        <v>46</v>
      </c>
      <c r="N4569" t="s">
        <v>9562</v>
      </c>
      <c r="O4569">
        <v>4.27</v>
      </c>
      <c r="P4569">
        <v>4.22</v>
      </c>
      <c r="Q4569">
        <v>4.22</v>
      </c>
      <c r="R4569">
        <v>4.21</v>
      </c>
      <c r="S4569">
        <v>1.19</v>
      </c>
      <c r="T4569">
        <v>1.18</v>
      </c>
      <c r="U4569">
        <v>-40</v>
      </c>
      <c r="V4569">
        <v>-3501</v>
      </c>
      <c r="W4569">
        <v>4.25</v>
      </c>
      <c r="X4569" t="s">
        <v>4017</v>
      </c>
      <c r="Y4569" t="s">
        <v>4914</v>
      </c>
      <c r="Z4569">
        <v>0.77</v>
      </c>
      <c r="AA4569">
        <v>157</v>
      </c>
      <c r="AB4569">
        <v>760</v>
      </c>
      <c r="AC4569">
        <v>2.06</v>
      </c>
      <c r="AD4569" t="s">
        <v>8551</v>
      </c>
      <c r="AE4569" t="s">
        <v>21140</v>
      </c>
      <c r="AF4569" t="s">
        <v>4510</v>
      </c>
      <c r="AG4569" t="s">
        <v>15971</v>
      </c>
      <c r="AH4569">
        <v>-0.93</v>
      </c>
      <c r="AI4569">
        <v>-0.93</v>
      </c>
      <c r="AJ4569">
        <v>1.87</v>
      </c>
      <c r="AK4569">
        <v>3.66</v>
      </c>
      <c r="AL4569">
        <v>1</v>
      </c>
      <c r="AM4569">
        <v>0.95</v>
      </c>
      <c r="AN4569">
        <v>-23.29</v>
      </c>
      <c r="AO4569">
        <v>0.47</v>
      </c>
      <c r="AP4569">
        <v>-3.63</v>
      </c>
    </row>
    <row r="4570" spans="1:42">
      <c r="A4570">
        <v>4569</v>
      </c>
      <c r="B4570" t="str">
        <f>"301136"</f>
        <v>301136</v>
      </c>
      <c r="C4570" t="s">
        <v>21141</v>
      </c>
      <c r="D4570">
        <v>13.34</v>
      </c>
      <c r="E4570">
        <v>1.44</v>
      </c>
      <c r="F4570">
        <v>0.19</v>
      </c>
      <c r="G4570" t="s">
        <v>1177</v>
      </c>
      <c r="H4570">
        <v>401</v>
      </c>
      <c r="I4570">
        <v>13.33</v>
      </c>
      <c r="J4570">
        <v>13.34</v>
      </c>
      <c r="K4570" t="s">
        <v>21142</v>
      </c>
      <c r="L4570">
        <v>1.69</v>
      </c>
      <c r="M4570" t="s">
        <v>46</v>
      </c>
      <c r="N4570" t="s">
        <v>3649</v>
      </c>
      <c r="O4570">
        <v>13.36</v>
      </c>
      <c r="P4570">
        <v>13.04</v>
      </c>
      <c r="Q4570">
        <v>13.18</v>
      </c>
      <c r="R4570">
        <v>13.15</v>
      </c>
      <c r="S4570">
        <v>2.43</v>
      </c>
      <c r="T4570">
        <v>0.62</v>
      </c>
      <c r="U4570">
        <v>-34.94</v>
      </c>
      <c r="V4570">
        <v>-362</v>
      </c>
      <c r="W4570">
        <v>13.25</v>
      </c>
      <c r="X4570">
        <v>8173</v>
      </c>
      <c r="Y4570">
        <v>9398</v>
      </c>
      <c r="Z4570">
        <v>0.87</v>
      </c>
      <c r="AA4570">
        <v>36</v>
      </c>
      <c r="AB4570">
        <v>242</v>
      </c>
      <c r="AC4570">
        <v>2.51</v>
      </c>
      <c r="AD4570" t="s">
        <v>21143</v>
      </c>
      <c r="AE4570" t="s">
        <v>21144</v>
      </c>
      <c r="AF4570" t="s">
        <v>10228</v>
      </c>
      <c r="AG4570" t="s">
        <v>21145</v>
      </c>
      <c r="AH4570">
        <v>-2.34</v>
      </c>
      <c r="AI4570">
        <v>-4.44</v>
      </c>
      <c r="AJ4570">
        <v>7.02</v>
      </c>
      <c r="AK4570">
        <v>15.4</v>
      </c>
      <c r="AL4570">
        <v>1</v>
      </c>
      <c r="AM4570">
        <v>1.44</v>
      </c>
      <c r="AN4570">
        <v>8.19</v>
      </c>
      <c r="AO4570">
        <v>0.68</v>
      </c>
      <c r="AP4570">
        <v>-9.93</v>
      </c>
    </row>
    <row r="4571" spans="1:42">
      <c r="A4571">
        <v>4570</v>
      </c>
      <c r="B4571" t="str">
        <f>"600232"</f>
        <v>600232</v>
      </c>
      <c r="C4571" t="s">
        <v>21146</v>
      </c>
      <c r="D4571">
        <v>6.12</v>
      </c>
      <c r="E4571">
        <v>1.66</v>
      </c>
      <c r="F4571">
        <v>0.1</v>
      </c>
      <c r="G4571" t="s">
        <v>5975</v>
      </c>
      <c r="H4571">
        <v>267</v>
      </c>
      <c r="I4571">
        <v>6.11</v>
      </c>
      <c r="J4571">
        <v>6.12</v>
      </c>
      <c r="K4571" t="s">
        <v>21147</v>
      </c>
      <c r="L4571">
        <v>1.05</v>
      </c>
      <c r="M4571" t="s">
        <v>46</v>
      </c>
      <c r="N4571" t="s">
        <v>1100</v>
      </c>
      <c r="O4571">
        <v>6.16</v>
      </c>
      <c r="P4571">
        <v>5.97</v>
      </c>
      <c r="Q4571">
        <v>6</v>
      </c>
      <c r="R4571">
        <v>6.02</v>
      </c>
      <c r="S4571">
        <v>3.16</v>
      </c>
      <c r="T4571">
        <v>1.07</v>
      </c>
      <c r="U4571">
        <v>-55.17</v>
      </c>
      <c r="V4571">
        <v>-1937</v>
      </c>
      <c r="W4571">
        <v>6.1</v>
      </c>
      <c r="X4571" t="s">
        <v>1177</v>
      </c>
      <c r="Y4571" t="s">
        <v>3372</v>
      </c>
      <c r="Z4571">
        <v>0.86</v>
      </c>
      <c r="AA4571">
        <v>123</v>
      </c>
      <c r="AB4571">
        <v>182</v>
      </c>
      <c r="AC4571">
        <v>2.17</v>
      </c>
      <c r="AD4571" t="s">
        <v>20754</v>
      </c>
      <c r="AE4571" t="s">
        <v>21148</v>
      </c>
      <c r="AF4571" t="s">
        <v>20754</v>
      </c>
      <c r="AG4571" t="s">
        <v>21148</v>
      </c>
      <c r="AH4571">
        <v>0.66</v>
      </c>
      <c r="AI4571">
        <v>1.32</v>
      </c>
      <c r="AJ4571">
        <v>2.4</v>
      </c>
      <c r="AK4571">
        <v>5.94</v>
      </c>
      <c r="AL4571">
        <v>1</v>
      </c>
      <c r="AM4571">
        <v>1.66</v>
      </c>
      <c r="AN4571">
        <v>16.35</v>
      </c>
      <c r="AO4571">
        <v>5.88</v>
      </c>
      <c r="AP4571">
        <v>10.27</v>
      </c>
    </row>
    <row r="4572" spans="1:42">
      <c r="A4572">
        <v>4571</v>
      </c>
      <c r="B4572" t="str">
        <f>"301469"</f>
        <v>301469</v>
      </c>
      <c r="C4572" t="s">
        <v>21149</v>
      </c>
      <c r="D4572">
        <v>36.9</v>
      </c>
      <c r="E4572">
        <v>-0.59</v>
      </c>
      <c r="F4572">
        <v>-0.22</v>
      </c>
      <c r="G4572">
        <v>6307</v>
      </c>
      <c r="H4572">
        <v>150</v>
      </c>
      <c r="I4572">
        <v>36.86</v>
      </c>
      <c r="J4572">
        <v>36.9</v>
      </c>
      <c r="K4572" t="s">
        <v>21150</v>
      </c>
      <c r="L4572">
        <v>3.04</v>
      </c>
      <c r="M4572" t="s">
        <v>46</v>
      </c>
      <c r="N4572" t="s">
        <v>21151</v>
      </c>
      <c r="O4572">
        <v>37.19</v>
      </c>
      <c r="P4572">
        <v>36.6</v>
      </c>
      <c r="Q4572">
        <v>37.12</v>
      </c>
      <c r="R4572">
        <v>37.12</v>
      </c>
      <c r="S4572">
        <v>1.59</v>
      </c>
      <c r="T4572">
        <v>0.63</v>
      </c>
      <c r="U4572">
        <v>20.31</v>
      </c>
      <c r="V4572">
        <v>26</v>
      </c>
      <c r="W4572">
        <v>36.87</v>
      </c>
      <c r="X4572">
        <v>3527</v>
      </c>
      <c r="Y4572">
        <v>2780</v>
      </c>
      <c r="Z4572">
        <v>1.27</v>
      </c>
      <c r="AA4572">
        <v>5</v>
      </c>
      <c r="AB4572">
        <v>15</v>
      </c>
      <c r="AC4572">
        <v>2.45</v>
      </c>
      <c r="AD4572" t="s">
        <v>21152</v>
      </c>
      <c r="AE4572" t="s">
        <v>21153</v>
      </c>
      <c r="AF4572" t="s">
        <v>21154</v>
      </c>
      <c r="AG4572" t="s">
        <v>21155</v>
      </c>
      <c r="AH4572">
        <v>-3.33</v>
      </c>
      <c r="AI4572">
        <v>-6.39</v>
      </c>
      <c r="AJ4572">
        <v>10.33</v>
      </c>
      <c r="AK4572">
        <v>27.32</v>
      </c>
      <c r="AL4572">
        <v>-3</v>
      </c>
      <c r="AM4572">
        <v>-0.59</v>
      </c>
      <c r="AN4572">
        <v>0.87</v>
      </c>
      <c r="AO4572">
        <v>-5.51</v>
      </c>
      <c r="AP4572">
        <v>0.87</v>
      </c>
    </row>
    <row r="4573" spans="1:42">
      <c r="A4573">
        <v>4572</v>
      </c>
      <c r="B4573" t="str">
        <f>"601886"</f>
        <v>601886</v>
      </c>
      <c r="C4573" t="s">
        <v>21156</v>
      </c>
      <c r="D4573">
        <v>6.75</v>
      </c>
      <c r="E4573">
        <v>-0.15</v>
      </c>
      <c r="F4573">
        <v>-0.01</v>
      </c>
      <c r="G4573" t="s">
        <v>837</v>
      </c>
      <c r="H4573">
        <v>65</v>
      </c>
      <c r="I4573">
        <v>6.75</v>
      </c>
      <c r="J4573">
        <v>6.76</v>
      </c>
      <c r="K4573" t="s">
        <v>21157</v>
      </c>
      <c r="L4573">
        <v>0.31</v>
      </c>
      <c r="M4573" t="s">
        <v>46</v>
      </c>
      <c r="N4573" t="s">
        <v>2055</v>
      </c>
      <c r="O4573">
        <v>6.78</v>
      </c>
      <c r="P4573">
        <v>6.67</v>
      </c>
      <c r="Q4573">
        <v>6.75</v>
      </c>
      <c r="R4573">
        <v>6.76</v>
      </c>
      <c r="S4573">
        <v>1.63</v>
      </c>
      <c r="T4573">
        <v>0.91</v>
      </c>
      <c r="U4573">
        <v>-37.14</v>
      </c>
      <c r="V4573">
        <v>-1034</v>
      </c>
      <c r="W4573">
        <v>6.72</v>
      </c>
      <c r="X4573" t="s">
        <v>2878</v>
      </c>
      <c r="Y4573" t="s">
        <v>1692</v>
      </c>
      <c r="Z4573">
        <v>1.11</v>
      </c>
      <c r="AA4573">
        <v>42</v>
      </c>
      <c r="AB4573">
        <v>73</v>
      </c>
      <c r="AC4573">
        <v>1.12</v>
      </c>
      <c r="AD4573" t="s">
        <v>17712</v>
      </c>
      <c r="AE4573" t="s">
        <v>21158</v>
      </c>
      <c r="AF4573" t="s">
        <v>17712</v>
      </c>
      <c r="AG4573" t="s">
        <v>21158</v>
      </c>
      <c r="AH4573">
        <v>-2.32</v>
      </c>
      <c r="AI4573">
        <v>-3.3</v>
      </c>
      <c r="AJ4573">
        <v>0.99</v>
      </c>
      <c r="AK4573">
        <v>1.98</v>
      </c>
      <c r="AL4573">
        <v>-3</v>
      </c>
      <c r="AM4573">
        <v>-0.15</v>
      </c>
      <c r="AN4573">
        <v>-12.56</v>
      </c>
      <c r="AO4573">
        <v>-0.3</v>
      </c>
      <c r="AP4573">
        <v>-22.15</v>
      </c>
    </row>
    <row r="4574" spans="1:42">
      <c r="A4574">
        <v>4573</v>
      </c>
      <c r="B4574" t="str">
        <f>"603356"</f>
        <v>603356</v>
      </c>
      <c r="C4574" t="s">
        <v>21159</v>
      </c>
      <c r="D4574">
        <v>13.44</v>
      </c>
      <c r="E4574">
        <v>-0.59</v>
      </c>
      <c r="F4574">
        <v>-0.08</v>
      </c>
      <c r="G4574" t="s">
        <v>6656</v>
      </c>
      <c r="H4574">
        <v>131</v>
      </c>
      <c r="I4574">
        <v>13.41</v>
      </c>
      <c r="J4574">
        <v>13.45</v>
      </c>
      <c r="K4574" t="s">
        <v>21157</v>
      </c>
      <c r="L4574">
        <v>1.3</v>
      </c>
      <c r="M4574" t="s">
        <v>46</v>
      </c>
      <c r="N4574" t="s">
        <v>1729</v>
      </c>
      <c r="O4574">
        <v>13.65</v>
      </c>
      <c r="P4574">
        <v>13.36</v>
      </c>
      <c r="Q4574">
        <v>13.45</v>
      </c>
      <c r="R4574">
        <v>13.52</v>
      </c>
      <c r="S4574">
        <v>2.14</v>
      </c>
      <c r="T4574">
        <v>0.99</v>
      </c>
      <c r="U4574">
        <v>-41.58</v>
      </c>
      <c r="V4574">
        <v>-306</v>
      </c>
      <c r="W4574">
        <v>13.44</v>
      </c>
      <c r="X4574">
        <v>7732</v>
      </c>
      <c r="Y4574">
        <v>9556</v>
      </c>
      <c r="Z4574">
        <v>0.81</v>
      </c>
      <c r="AA4574">
        <v>45</v>
      </c>
      <c r="AB4574">
        <v>41</v>
      </c>
      <c r="AC4574">
        <v>2.43</v>
      </c>
      <c r="AD4574" t="s">
        <v>9334</v>
      </c>
      <c r="AE4574" t="s">
        <v>17301</v>
      </c>
      <c r="AF4574" t="s">
        <v>9334</v>
      </c>
      <c r="AG4574" t="s">
        <v>17301</v>
      </c>
      <c r="AH4574">
        <v>-2.25</v>
      </c>
      <c r="AI4574">
        <v>-2.54</v>
      </c>
      <c r="AJ4574">
        <v>3.93</v>
      </c>
      <c r="AK4574">
        <v>7.82</v>
      </c>
      <c r="AL4574">
        <v>-3</v>
      </c>
      <c r="AM4574">
        <v>-0.59</v>
      </c>
      <c r="AN4574">
        <v>0.3</v>
      </c>
      <c r="AO4574">
        <v>0.52</v>
      </c>
      <c r="AP4574">
        <v>-9.68</v>
      </c>
    </row>
    <row r="4575" spans="1:42">
      <c r="A4575">
        <v>4574</v>
      </c>
      <c r="B4575" t="str">
        <f>"002868"</f>
        <v>002868</v>
      </c>
      <c r="C4575" t="s">
        <v>21160</v>
      </c>
      <c r="D4575">
        <v>22.32</v>
      </c>
      <c r="E4575">
        <v>-0.93</v>
      </c>
      <c r="F4575">
        <v>-0.21</v>
      </c>
      <c r="G4575" t="s">
        <v>239</v>
      </c>
      <c r="H4575">
        <v>167</v>
      </c>
      <c r="I4575">
        <v>22.32</v>
      </c>
      <c r="J4575">
        <v>22.33</v>
      </c>
      <c r="K4575" t="s">
        <v>21161</v>
      </c>
      <c r="L4575">
        <v>0.68</v>
      </c>
      <c r="M4575" t="s">
        <v>46</v>
      </c>
      <c r="N4575" t="s">
        <v>3624</v>
      </c>
      <c r="O4575">
        <v>22.71</v>
      </c>
      <c r="P4575">
        <v>22.18</v>
      </c>
      <c r="Q4575">
        <v>22.57</v>
      </c>
      <c r="R4575">
        <v>22.53</v>
      </c>
      <c r="S4575">
        <v>2.35</v>
      </c>
      <c r="T4575">
        <v>0.92</v>
      </c>
      <c r="U4575">
        <v>32.22</v>
      </c>
      <c r="V4575">
        <v>116</v>
      </c>
      <c r="W4575">
        <v>22.43</v>
      </c>
      <c r="X4575">
        <v>5669</v>
      </c>
      <c r="Y4575">
        <v>4690</v>
      </c>
      <c r="Z4575">
        <v>1.21</v>
      </c>
      <c r="AA4575">
        <v>31</v>
      </c>
      <c r="AB4575">
        <v>41</v>
      </c>
      <c r="AC4575">
        <v>6.78</v>
      </c>
      <c r="AD4575" t="s">
        <v>18632</v>
      </c>
      <c r="AE4575" t="s">
        <v>6253</v>
      </c>
      <c r="AF4575" t="s">
        <v>10604</v>
      </c>
      <c r="AG4575" t="s">
        <v>6290</v>
      </c>
      <c r="AH4575">
        <v>-5.5</v>
      </c>
      <c r="AI4575">
        <v>-9.05</v>
      </c>
      <c r="AJ4575">
        <v>2.34</v>
      </c>
      <c r="AK4575">
        <v>4.35</v>
      </c>
      <c r="AL4575">
        <v>-8</v>
      </c>
      <c r="AM4575">
        <v>-0.93</v>
      </c>
      <c r="AN4575">
        <v>-57.96</v>
      </c>
      <c r="AO4575">
        <v>-11.08</v>
      </c>
      <c r="AP4575">
        <v>-49.53</v>
      </c>
    </row>
    <row r="4576" spans="1:42">
      <c r="A4576">
        <v>4575</v>
      </c>
      <c r="B4576" t="str">
        <f>"601579"</f>
        <v>601579</v>
      </c>
      <c r="C4576" t="s">
        <v>21162</v>
      </c>
      <c r="D4576">
        <v>11.38</v>
      </c>
      <c r="E4576">
        <v>0</v>
      </c>
      <c r="F4576">
        <v>0</v>
      </c>
      <c r="G4576" t="s">
        <v>5237</v>
      </c>
      <c r="H4576">
        <v>85</v>
      </c>
      <c r="I4576">
        <v>11.37</v>
      </c>
      <c r="J4576">
        <v>11.38</v>
      </c>
      <c r="K4576" t="s">
        <v>21163</v>
      </c>
      <c r="L4576">
        <v>0.43</v>
      </c>
      <c r="M4576" t="s">
        <v>46</v>
      </c>
      <c r="N4576" t="s">
        <v>21164</v>
      </c>
      <c r="O4576">
        <v>11.43</v>
      </c>
      <c r="P4576">
        <v>11.3</v>
      </c>
      <c r="Q4576">
        <v>11.37</v>
      </c>
      <c r="R4576">
        <v>11.38</v>
      </c>
      <c r="S4576">
        <v>1.14</v>
      </c>
      <c r="T4576">
        <v>0.8</v>
      </c>
      <c r="U4576">
        <v>-17.17</v>
      </c>
      <c r="V4576">
        <v>-367</v>
      </c>
      <c r="W4576">
        <v>11.36</v>
      </c>
      <c r="X4576" t="s">
        <v>2074</v>
      </c>
      <c r="Y4576" t="s">
        <v>1154</v>
      </c>
      <c r="Z4576">
        <v>0.98</v>
      </c>
      <c r="AA4576">
        <v>185</v>
      </c>
      <c r="AB4576">
        <v>200</v>
      </c>
      <c r="AC4576">
        <v>1.5</v>
      </c>
      <c r="AD4576" t="s">
        <v>21165</v>
      </c>
      <c r="AE4576" t="s">
        <v>21166</v>
      </c>
      <c r="AF4576" t="s">
        <v>21165</v>
      </c>
      <c r="AG4576" t="s">
        <v>21166</v>
      </c>
      <c r="AH4576">
        <v>0.71</v>
      </c>
      <c r="AI4576">
        <v>-0.52</v>
      </c>
      <c r="AJ4576">
        <v>1.35</v>
      </c>
      <c r="AK4576">
        <v>3.1</v>
      </c>
      <c r="AL4576">
        <v>0</v>
      </c>
      <c r="AM4576">
        <v>0</v>
      </c>
      <c r="AN4576">
        <v>-16.99</v>
      </c>
      <c r="AO4576">
        <v>1.43</v>
      </c>
      <c r="AP4576">
        <v>1.25</v>
      </c>
    </row>
    <row r="4577" spans="1:42">
      <c r="A4577">
        <v>4576</v>
      </c>
      <c r="B4577" t="str">
        <f>"600874"</f>
        <v>600874</v>
      </c>
      <c r="C4577" t="s">
        <v>21167</v>
      </c>
      <c r="D4577">
        <v>5.67</v>
      </c>
      <c r="E4577">
        <v>0.35</v>
      </c>
      <c r="F4577">
        <v>0.02</v>
      </c>
      <c r="G4577" t="s">
        <v>2752</v>
      </c>
      <c r="H4577">
        <v>314</v>
      </c>
      <c r="I4577">
        <v>5.66</v>
      </c>
      <c r="J4577">
        <v>5.67</v>
      </c>
      <c r="K4577" t="s">
        <v>21168</v>
      </c>
      <c r="L4577">
        <v>0.33</v>
      </c>
      <c r="M4577" t="s">
        <v>46</v>
      </c>
      <c r="N4577" t="s">
        <v>20939</v>
      </c>
      <c r="O4577">
        <v>5.69</v>
      </c>
      <c r="P4577">
        <v>5.63</v>
      </c>
      <c r="Q4577">
        <v>5.65</v>
      </c>
      <c r="R4577">
        <v>5.65</v>
      </c>
      <c r="S4577">
        <v>1.06</v>
      </c>
      <c r="T4577">
        <v>0.79</v>
      </c>
      <c r="U4577">
        <v>-8.5</v>
      </c>
      <c r="V4577">
        <v>-833</v>
      </c>
      <c r="W4577">
        <v>5.67</v>
      </c>
      <c r="X4577" t="s">
        <v>5578</v>
      </c>
      <c r="Y4577" t="s">
        <v>8267</v>
      </c>
      <c r="Z4577">
        <v>0.85</v>
      </c>
      <c r="AA4577">
        <v>914</v>
      </c>
      <c r="AB4577">
        <v>702</v>
      </c>
      <c r="AC4577">
        <v>1</v>
      </c>
      <c r="AD4577" t="s">
        <v>12323</v>
      </c>
      <c r="AE4577" t="s">
        <v>21169</v>
      </c>
      <c r="AF4577" t="s">
        <v>13872</v>
      </c>
      <c r="AG4577" t="s">
        <v>21170</v>
      </c>
      <c r="AH4577">
        <v>-0.7</v>
      </c>
      <c r="AI4577">
        <v>-1.22</v>
      </c>
      <c r="AJ4577">
        <v>1.18</v>
      </c>
      <c r="AK4577">
        <v>2.43</v>
      </c>
      <c r="AL4577">
        <v>1</v>
      </c>
      <c r="AM4577">
        <v>0.35</v>
      </c>
      <c r="AN4577">
        <v>-4.71</v>
      </c>
      <c r="AO4577">
        <v>-0.7</v>
      </c>
      <c r="AP4577">
        <v>-7.95</v>
      </c>
    </row>
    <row r="4578" spans="1:42">
      <c r="A4578">
        <v>4577</v>
      </c>
      <c r="B4578" t="str">
        <f>"600955"</f>
        <v>600955</v>
      </c>
      <c r="C4578" t="s">
        <v>21171</v>
      </c>
      <c r="D4578">
        <v>18.9</v>
      </c>
      <c r="E4578">
        <v>-0.94</v>
      </c>
      <c r="F4578">
        <v>-0.18</v>
      </c>
      <c r="G4578" t="s">
        <v>4792</v>
      </c>
      <c r="H4578">
        <v>266</v>
      </c>
      <c r="I4578">
        <v>18.9</v>
      </c>
      <c r="J4578">
        <v>18.91</v>
      </c>
      <c r="K4578" t="s">
        <v>21172</v>
      </c>
      <c r="L4578">
        <v>0.34</v>
      </c>
      <c r="M4578" t="s">
        <v>46</v>
      </c>
      <c r="N4578" t="s">
        <v>4752</v>
      </c>
      <c r="O4578">
        <v>19.09</v>
      </c>
      <c r="P4578">
        <v>18.78</v>
      </c>
      <c r="Q4578">
        <v>19.09</v>
      </c>
      <c r="R4578">
        <v>19.08</v>
      </c>
      <c r="S4578">
        <v>1.62</v>
      </c>
      <c r="T4578">
        <v>1.45</v>
      </c>
      <c r="U4578">
        <v>-13.84</v>
      </c>
      <c r="V4578">
        <v>-53</v>
      </c>
      <c r="W4578">
        <v>18.89</v>
      </c>
      <c r="X4578">
        <v>7709</v>
      </c>
      <c r="Y4578">
        <v>4570</v>
      </c>
      <c r="Z4578">
        <v>1.69</v>
      </c>
      <c r="AA4578">
        <v>47</v>
      </c>
      <c r="AB4578">
        <v>61</v>
      </c>
      <c r="AC4578">
        <v>1.2</v>
      </c>
      <c r="AD4578" t="s">
        <v>3607</v>
      </c>
      <c r="AE4578" t="s">
        <v>17800</v>
      </c>
      <c r="AF4578" t="s">
        <v>21173</v>
      </c>
      <c r="AG4578" t="s">
        <v>16307</v>
      </c>
      <c r="AH4578">
        <v>-2.33</v>
      </c>
      <c r="AI4578">
        <v>-2.58</v>
      </c>
      <c r="AJ4578">
        <v>0.84</v>
      </c>
      <c r="AK4578">
        <v>1.49</v>
      </c>
      <c r="AL4578">
        <v>-3</v>
      </c>
      <c r="AM4578">
        <v>-0.94</v>
      </c>
      <c r="AN4578">
        <v>-8.25</v>
      </c>
      <c r="AO4578">
        <v>-4.06</v>
      </c>
      <c r="AP4578">
        <v>-13.3</v>
      </c>
    </row>
    <row r="4579" spans="1:42">
      <c r="A4579">
        <v>4578</v>
      </c>
      <c r="B4579" t="str">
        <f>"601177"</f>
        <v>601177</v>
      </c>
      <c r="C4579" t="s">
        <v>21174</v>
      </c>
      <c r="D4579">
        <v>9.26</v>
      </c>
      <c r="E4579">
        <v>-0.11</v>
      </c>
      <c r="F4579">
        <v>-0.01</v>
      </c>
      <c r="G4579" t="s">
        <v>3110</v>
      </c>
      <c r="H4579">
        <v>270</v>
      </c>
      <c r="I4579">
        <v>9.25</v>
      </c>
      <c r="J4579">
        <v>9.26</v>
      </c>
      <c r="K4579" t="s">
        <v>21172</v>
      </c>
      <c r="L4579">
        <v>0.63</v>
      </c>
      <c r="M4579" t="s">
        <v>46</v>
      </c>
      <c r="N4579" t="s">
        <v>11419</v>
      </c>
      <c r="O4579">
        <v>9.31</v>
      </c>
      <c r="P4579">
        <v>9.17</v>
      </c>
      <c r="Q4579">
        <v>9.25</v>
      </c>
      <c r="R4579">
        <v>9.27</v>
      </c>
      <c r="S4579">
        <v>1.51</v>
      </c>
      <c r="T4579">
        <v>0.81</v>
      </c>
      <c r="U4579">
        <v>-3.96</v>
      </c>
      <c r="V4579">
        <v>-57</v>
      </c>
      <c r="W4579">
        <v>9.24</v>
      </c>
      <c r="X4579" t="s">
        <v>682</v>
      </c>
      <c r="Y4579" t="s">
        <v>2547</v>
      </c>
      <c r="Z4579">
        <v>1</v>
      </c>
      <c r="AA4579">
        <v>257</v>
      </c>
      <c r="AB4579">
        <v>258</v>
      </c>
      <c r="AC4579">
        <v>1.63</v>
      </c>
      <c r="AD4579" t="s">
        <v>5024</v>
      </c>
      <c r="AE4579" t="s">
        <v>15659</v>
      </c>
      <c r="AF4579" t="s">
        <v>5024</v>
      </c>
      <c r="AG4579" t="s">
        <v>15659</v>
      </c>
      <c r="AH4579">
        <v>-1.49</v>
      </c>
      <c r="AI4579">
        <v>-1.49</v>
      </c>
      <c r="AJ4579">
        <v>2.27</v>
      </c>
      <c r="AK4579">
        <v>4.51</v>
      </c>
      <c r="AL4579">
        <v>-3</v>
      </c>
      <c r="AM4579">
        <v>-0.11</v>
      </c>
      <c r="AN4579">
        <v>14.32</v>
      </c>
      <c r="AO4579">
        <v>0.33</v>
      </c>
      <c r="AP4579">
        <v>8.43</v>
      </c>
    </row>
    <row r="4580" spans="1:42">
      <c r="A4580">
        <v>4579</v>
      </c>
      <c r="B4580" t="str">
        <f>"603978"</f>
        <v>603978</v>
      </c>
      <c r="C4580" t="s">
        <v>21175</v>
      </c>
      <c r="D4580">
        <v>16.63</v>
      </c>
      <c r="E4580">
        <v>-0.83</v>
      </c>
      <c r="F4580">
        <v>-0.14</v>
      </c>
      <c r="G4580" t="s">
        <v>5446</v>
      </c>
      <c r="H4580">
        <v>121</v>
      </c>
      <c r="I4580">
        <v>16.62</v>
      </c>
      <c r="J4580">
        <v>16.63</v>
      </c>
      <c r="K4580" t="s">
        <v>21176</v>
      </c>
      <c r="L4580">
        <v>0.84</v>
      </c>
      <c r="M4580" t="s">
        <v>46</v>
      </c>
      <c r="N4580" t="s">
        <v>261</v>
      </c>
      <c r="O4580">
        <v>16.76</v>
      </c>
      <c r="P4580">
        <v>16.4</v>
      </c>
      <c r="Q4580">
        <v>16.76</v>
      </c>
      <c r="R4580">
        <v>16.77</v>
      </c>
      <c r="S4580">
        <v>2.15</v>
      </c>
      <c r="T4580">
        <v>1.5</v>
      </c>
      <c r="U4580">
        <v>43.33</v>
      </c>
      <c r="V4580">
        <v>208</v>
      </c>
      <c r="W4580">
        <v>16.59</v>
      </c>
      <c r="X4580">
        <v>7128</v>
      </c>
      <c r="Y4580">
        <v>6841</v>
      </c>
      <c r="Z4580">
        <v>1.04</v>
      </c>
      <c r="AA4580">
        <v>86</v>
      </c>
      <c r="AB4580">
        <v>26</v>
      </c>
      <c r="AC4580">
        <v>1.78</v>
      </c>
      <c r="AD4580" t="s">
        <v>15275</v>
      </c>
      <c r="AE4580" t="s">
        <v>18065</v>
      </c>
      <c r="AF4580" t="s">
        <v>15275</v>
      </c>
      <c r="AG4580" t="s">
        <v>18065</v>
      </c>
      <c r="AH4580">
        <v>-2.75</v>
      </c>
      <c r="AI4580">
        <v>-2.46</v>
      </c>
      <c r="AJ4580">
        <v>1.86</v>
      </c>
      <c r="AK4580">
        <v>3.65</v>
      </c>
      <c r="AL4580">
        <v>-2</v>
      </c>
      <c r="AM4580">
        <v>-0.83</v>
      </c>
      <c r="AN4580">
        <v>-10.25</v>
      </c>
      <c r="AO4580">
        <v>-0.72</v>
      </c>
      <c r="AP4580">
        <v>-20.16</v>
      </c>
    </row>
    <row r="4581" spans="1:42">
      <c r="A4581">
        <v>4580</v>
      </c>
      <c r="B4581" t="str">
        <f>"688456"</f>
        <v>688456</v>
      </c>
      <c r="C4581" t="s">
        <v>21177</v>
      </c>
      <c r="D4581">
        <v>30.99</v>
      </c>
      <c r="E4581">
        <v>0.68</v>
      </c>
      <c r="F4581">
        <v>0.21</v>
      </c>
      <c r="G4581">
        <v>7530</v>
      </c>
      <c r="H4581">
        <v>203</v>
      </c>
      <c r="I4581">
        <v>30.99</v>
      </c>
      <c r="J4581">
        <v>31</v>
      </c>
      <c r="K4581" t="s">
        <v>21178</v>
      </c>
      <c r="L4581">
        <v>1.17</v>
      </c>
      <c r="M4581" t="s">
        <v>46</v>
      </c>
      <c r="N4581" t="s">
        <v>322</v>
      </c>
      <c r="O4581">
        <v>31.08</v>
      </c>
      <c r="P4581">
        <v>30.39</v>
      </c>
      <c r="Q4581">
        <v>30.78</v>
      </c>
      <c r="R4581">
        <v>30.78</v>
      </c>
      <c r="S4581">
        <v>2.24</v>
      </c>
      <c r="T4581">
        <v>0.78</v>
      </c>
      <c r="U4581">
        <v>8.29</v>
      </c>
      <c r="V4581">
        <v>54</v>
      </c>
      <c r="W4581">
        <v>30.77</v>
      </c>
      <c r="X4581">
        <v>2509</v>
      </c>
      <c r="Y4581">
        <v>5020</v>
      </c>
      <c r="Z4581">
        <v>0.5</v>
      </c>
      <c r="AA4581">
        <v>208</v>
      </c>
      <c r="AB4581">
        <v>240</v>
      </c>
      <c r="AC4581">
        <v>2.8</v>
      </c>
      <c r="AD4581" t="s">
        <v>21179</v>
      </c>
      <c r="AE4581" t="s">
        <v>21180</v>
      </c>
      <c r="AF4581" t="s">
        <v>14189</v>
      </c>
      <c r="AG4581" t="s">
        <v>3515</v>
      </c>
      <c r="AH4581">
        <v>0.88</v>
      </c>
      <c r="AI4581">
        <v>-0.64</v>
      </c>
      <c r="AJ4581">
        <v>4.52</v>
      </c>
      <c r="AK4581">
        <v>8.7</v>
      </c>
      <c r="AL4581">
        <v>1</v>
      </c>
      <c r="AM4581">
        <v>0.68</v>
      </c>
      <c r="AN4581">
        <v>-8.31</v>
      </c>
      <c r="AO4581">
        <v>13.56</v>
      </c>
      <c r="AP4581">
        <v>-1.24</v>
      </c>
    </row>
    <row r="4582" spans="1:42">
      <c r="A4582">
        <v>4581</v>
      </c>
      <c r="B4582" t="str">
        <f>"836699"</f>
        <v>836699</v>
      </c>
      <c r="C4582" t="s">
        <v>21181</v>
      </c>
      <c r="D4582">
        <v>12.28</v>
      </c>
      <c r="E4582">
        <v>-7.53</v>
      </c>
      <c r="F4582">
        <v>-1</v>
      </c>
      <c r="G4582" t="s">
        <v>432</v>
      </c>
      <c r="H4582">
        <v>33</v>
      </c>
      <c r="I4582">
        <v>12.28</v>
      </c>
      <c r="J4582">
        <v>12.3</v>
      </c>
      <c r="K4582" t="s">
        <v>21178</v>
      </c>
      <c r="L4582">
        <v>14.29</v>
      </c>
      <c r="M4582" t="s">
        <v>46</v>
      </c>
      <c r="N4582" t="s">
        <v>7285</v>
      </c>
      <c r="O4582">
        <v>13.8</v>
      </c>
      <c r="P4582">
        <v>12.18</v>
      </c>
      <c r="Q4582">
        <v>13.5</v>
      </c>
      <c r="R4582">
        <v>13.28</v>
      </c>
      <c r="S4582">
        <v>12.2</v>
      </c>
      <c r="T4582">
        <v>0.41</v>
      </c>
      <c r="U4582">
        <v>0.19</v>
      </c>
      <c r="V4582">
        <v>2</v>
      </c>
      <c r="W4582">
        <v>12.84</v>
      </c>
      <c r="X4582" t="s">
        <v>51</v>
      </c>
      <c r="Y4582">
        <v>7182</v>
      </c>
      <c r="Z4582">
        <v>1.51</v>
      </c>
      <c r="AA4582">
        <v>4</v>
      </c>
      <c r="AB4582">
        <v>423</v>
      </c>
      <c r="AC4582">
        <v>2.33</v>
      </c>
      <c r="AD4582" t="s">
        <v>21182</v>
      </c>
      <c r="AE4582" t="s">
        <v>21183</v>
      </c>
      <c r="AF4582" t="s">
        <v>21184</v>
      </c>
      <c r="AG4582" t="s">
        <v>10899</v>
      </c>
      <c r="AH4582">
        <v>-24.29</v>
      </c>
      <c r="AI4582">
        <v>4.51</v>
      </c>
      <c r="AJ4582">
        <v>55.37</v>
      </c>
      <c r="AK4582">
        <v>188.04</v>
      </c>
      <c r="AL4582">
        <v>-4</v>
      </c>
      <c r="AM4582">
        <v>-7.53</v>
      </c>
      <c r="AN4582">
        <v>-18.68</v>
      </c>
      <c r="AO4582">
        <v>48.49</v>
      </c>
      <c r="AP4582">
        <v>-18.68</v>
      </c>
    </row>
    <row r="4583" spans="1:42">
      <c r="A4583">
        <v>4582</v>
      </c>
      <c r="B4583" t="str">
        <f>"301098"</f>
        <v>301098</v>
      </c>
      <c r="C4583" t="s">
        <v>21185</v>
      </c>
      <c r="D4583">
        <v>11.8</v>
      </c>
      <c r="E4583">
        <v>1.11</v>
      </c>
      <c r="F4583">
        <v>0.13</v>
      </c>
      <c r="G4583" t="s">
        <v>2924</v>
      </c>
      <c r="H4583">
        <v>204</v>
      </c>
      <c r="I4583">
        <v>11.79</v>
      </c>
      <c r="J4583">
        <v>11.8</v>
      </c>
      <c r="K4583" t="s">
        <v>21186</v>
      </c>
      <c r="L4583">
        <v>1.82</v>
      </c>
      <c r="M4583" t="s">
        <v>46</v>
      </c>
      <c r="N4583" t="s">
        <v>2350</v>
      </c>
      <c r="O4583">
        <v>11.86</v>
      </c>
      <c r="P4583">
        <v>11.67</v>
      </c>
      <c r="Q4583">
        <v>11.73</v>
      </c>
      <c r="R4583">
        <v>11.67</v>
      </c>
      <c r="S4583">
        <v>1.63</v>
      </c>
      <c r="T4583">
        <v>1.19</v>
      </c>
      <c r="U4583">
        <v>-9.25</v>
      </c>
      <c r="V4583">
        <v>-96</v>
      </c>
      <c r="W4583">
        <v>11.77</v>
      </c>
      <c r="X4583">
        <v>7542</v>
      </c>
      <c r="Y4583" t="s">
        <v>1052</v>
      </c>
      <c r="Z4583">
        <v>0.62</v>
      </c>
      <c r="AA4583">
        <v>179</v>
      </c>
      <c r="AB4583">
        <v>115</v>
      </c>
      <c r="AC4583">
        <v>1.65</v>
      </c>
      <c r="AD4583" t="s">
        <v>938</v>
      </c>
      <c r="AE4583" t="s">
        <v>11691</v>
      </c>
      <c r="AF4583" t="s">
        <v>8391</v>
      </c>
      <c r="AG4583" t="s">
        <v>21187</v>
      </c>
      <c r="AH4583">
        <v>-0.08</v>
      </c>
      <c r="AI4583">
        <v>-0.76</v>
      </c>
      <c r="AJ4583">
        <v>4.72</v>
      </c>
      <c r="AK4583">
        <v>9.48</v>
      </c>
      <c r="AL4583">
        <v>1</v>
      </c>
      <c r="AM4583">
        <v>1.11</v>
      </c>
      <c r="AN4583">
        <v>13.14</v>
      </c>
      <c r="AO4583">
        <v>2.52</v>
      </c>
      <c r="AP4583">
        <v>-2.88</v>
      </c>
    </row>
    <row r="4584" spans="1:42">
      <c r="A4584">
        <v>4583</v>
      </c>
      <c r="B4584" t="str">
        <f>"603289"</f>
        <v>603289</v>
      </c>
      <c r="C4584" t="s">
        <v>21188</v>
      </c>
      <c r="D4584">
        <v>10.13</v>
      </c>
      <c r="E4584">
        <v>-0.69</v>
      </c>
      <c r="F4584">
        <v>-0.07</v>
      </c>
      <c r="G4584" t="s">
        <v>587</v>
      </c>
      <c r="H4584">
        <v>205</v>
      </c>
      <c r="I4584">
        <v>10.13</v>
      </c>
      <c r="J4584">
        <v>10.14</v>
      </c>
      <c r="K4584" t="s">
        <v>21189</v>
      </c>
      <c r="L4584">
        <v>0.87</v>
      </c>
      <c r="M4584" t="s">
        <v>46</v>
      </c>
      <c r="N4584" t="s">
        <v>1760</v>
      </c>
      <c r="O4584">
        <v>10.21</v>
      </c>
      <c r="P4584">
        <v>10.05</v>
      </c>
      <c r="Q4584">
        <v>10.2</v>
      </c>
      <c r="R4584">
        <v>10.2</v>
      </c>
      <c r="S4584">
        <v>1.57</v>
      </c>
      <c r="T4584">
        <v>0.89</v>
      </c>
      <c r="U4584">
        <v>-49.04</v>
      </c>
      <c r="V4584">
        <v>-493</v>
      </c>
      <c r="W4584">
        <v>10.12</v>
      </c>
      <c r="X4584" t="s">
        <v>189</v>
      </c>
      <c r="Y4584" t="s">
        <v>2807</v>
      </c>
      <c r="Z4584">
        <v>1.05</v>
      </c>
      <c r="AA4584">
        <v>27</v>
      </c>
      <c r="AB4584">
        <v>19</v>
      </c>
      <c r="AC4584">
        <v>2.15</v>
      </c>
      <c r="AD4584" t="s">
        <v>21190</v>
      </c>
      <c r="AE4584" t="s">
        <v>12383</v>
      </c>
      <c r="AF4584" t="s">
        <v>12809</v>
      </c>
      <c r="AG4584" t="s">
        <v>6098</v>
      </c>
      <c r="AH4584">
        <v>-0.88</v>
      </c>
      <c r="AI4584">
        <v>-1.27</v>
      </c>
      <c r="AJ4584">
        <v>2.46</v>
      </c>
      <c r="AK4584">
        <v>5.77</v>
      </c>
      <c r="AL4584">
        <v>-2</v>
      </c>
      <c r="AM4584">
        <v>-0.69</v>
      </c>
      <c r="AN4584">
        <v>14.72</v>
      </c>
      <c r="AO4584">
        <v>5.52</v>
      </c>
      <c r="AP4584">
        <v>-2.41</v>
      </c>
    </row>
    <row r="4585" spans="1:42">
      <c r="A4585">
        <v>4584</v>
      </c>
      <c r="B4585" t="str">
        <f>"000779"</f>
        <v>000779</v>
      </c>
      <c r="C4585" t="s">
        <v>21191</v>
      </c>
      <c r="D4585">
        <v>10.34</v>
      </c>
      <c r="E4585">
        <v>0</v>
      </c>
      <c r="F4585">
        <v>0</v>
      </c>
      <c r="G4585" t="s">
        <v>1212</v>
      </c>
      <c r="H4585">
        <v>254</v>
      </c>
      <c r="I4585">
        <v>10.34</v>
      </c>
      <c r="J4585">
        <v>10.35</v>
      </c>
      <c r="K4585" t="s">
        <v>21192</v>
      </c>
      <c r="L4585">
        <v>0.6</v>
      </c>
      <c r="M4585" t="s">
        <v>46</v>
      </c>
      <c r="N4585" t="s">
        <v>3167</v>
      </c>
      <c r="O4585">
        <v>10.37</v>
      </c>
      <c r="P4585">
        <v>10.24</v>
      </c>
      <c r="Q4585">
        <v>10.33</v>
      </c>
      <c r="R4585">
        <v>10.34</v>
      </c>
      <c r="S4585">
        <v>1.26</v>
      </c>
      <c r="T4585">
        <v>1.07</v>
      </c>
      <c r="U4585">
        <v>0.43</v>
      </c>
      <c r="V4585">
        <v>6</v>
      </c>
      <c r="W4585">
        <v>10.31</v>
      </c>
      <c r="X4585" t="s">
        <v>1052</v>
      </c>
      <c r="Y4585" t="s">
        <v>239</v>
      </c>
      <c r="Z4585">
        <v>1.16</v>
      </c>
      <c r="AA4585">
        <v>156</v>
      </c>
      <c r="AB4585">
        <v>54</v>
      </c>
      <c r="AC4585">
        <v>1.36</v>
      </c>
      <c r="AD4585" t="s">
        <v>21193</v>
      </c>
      <c r="AE4585" t="s">
        <v>21194</v>
      </c>
      <c r="AF4585" t="s">
        <v>21195</v>
      </c>
      <c r="AG4585" t="s">
        <v>21196</v>
      </c>
      <c r="AH4585">
        <v>-2.18</v>
      </c>
      <c r="AI4585">
        <v>-3.54</v>
      </c>
      <c r="AJ4585">
        <v>1.77</v>
      </c>
      <c r="AK4585">
        <v>3.38</v>
      </c>
      <c r="AL4585">
        <v>0</v>
      </c>
      <c r="AM4585">
        <v>0</v>
      </c>
      <c r="AN4585">
        <v>5.3</v>
      </c>
      <c r="AO4585">
        <v>-0.67</v>
      </c>
      <c r="AP4585">
        <v>-14.4</v>
      </c>
    </row>
    <row r="4586" spans="1:42">
      <c r="A4586">
        <v>4585</v>
      </c>
      <c r="B4586" t="str">
        <f>"002398"</f>
        <v>002398</v>
      </c>
      <c r="C4586" t="s">
        <v>21197</v>
      </c>
      <c r="D4586">
        <v>5.02</v>
      </c>
      <c r="E4586">
        <v>1.62</v>
      </c>
      <c r="F4586">
        <v>0.08</v>
      </c>
      <c r="G4586" t="s">
        <v>944</v>
      </c>
      <c r="H4586">
        <v>259</v>
      </c>
      <c r="I4586">
        <v>5.02</v>
      </c>
      <c r="J4586">
        <v>5.03</v>
      </c>
      <c r="K4586" t="s">
        <v>21198</v>
      </c>
      <c r="L4586">
        <v>0.8</v>
      </c>
      <c r="M4586" t="s">
        <v>46</v>
      </c>
      <c r="N4586" t="s">
        <v>20078</v>
      </c>
      <c r="O4586">
        <v>5.03</v>
      </c>
      <c r="P4586">
        <v>4.93</v>
      </c>
      <c r="Q4586">
        <v>4.95</v>
      </c>
      <c r="R4586">
        <v>4.94</v>
      </c>
      <c r="S4586">
        <v>2.02</v>
      </c>
      <c r="T4586">
        <v>0.95</v>
      </c>
      <c r="U4586">
        <v>33.38</v>
      </c>
      <c r="V4586">
        <v>5469</v>
      </c>
      <c r="W4586">
        <v>4.99</v>
      </c>
      <c r="X4586" t="s">
        <v>3116</v>
      </c>
      <c r="Y4586" t="s">
        <v>8396</v>
      </c>
      <c r="Z4586">
        <v>0.85</v>
      </c>
      <c r="AA4586">
        <v>2133</v>
      </c>
      <c r="AB4586">
        <v>946</v>
      </c>
      <c r="AC4586">
        <v>0.98</v>
      </c>
      <c r="AD4586" t="s">
        <v>10841</v>
      </c>
      <c r="AE4586" t="s">
        <v>21199</v>
      </c>
      <c r="AF4586" t="s">
        <v>10180</v>
      </c>
      <c r="AG4586" t="s">
        <v>16942</v>
      </c>
      <c r="AH4586">
        <v>-0.59</v>
      </c>
      <c r="AI4586">
        <v>-1.76</v>
      </c>
      <c r="AJ4586">
        <v>2.3</v>
      </c>
      <c r="AK4586">
        <v>4.97</v>
      </c>
      <c r="AL4586">
        <v>1</v>
      </c>
      <c r="AM4586">
        <v>1.62</v>
      </c>
      <c r="AN4586">
        <v>-11.46</v>
      </c>
      <c r="AO4586">
        <v>1.21</v>
      </c>
      <c r="AP4586">
        <v>-15.77</v>
      </c>
    </row>
    <row r="4587" spans="1:42">
      <c r="A4587">
        <v>4586</v>
      </c>
      <c r="B4587" t="str">
        <f>"600836"</f>
        <v>600836</v>
      </c>
      <c r="C4587" t="s">
        <v>21200</v>
      </c>
      <c r="D4587">
        <v>3.95</v>
      </c>
      <c r="E4587">
        <v>1.28</v>
      </c>
      <c r="F4587">
        <v>0.05</v>
      </c>
      <c r="G4587" t="s">
        <v>4900</v>
      </c>
      <c r="H4587">
        <v>436</v>
      </c>
      <c r="I4587">
        <v>3.94</v>
      </c>
      <c r="J4587">
        <v>3.95</v>
      </c>
      <c r="K4587" t="s">
        <v>21201</v>
      </c>
      <c r="L4587">
        <v>0.89</v>
      </c>
      <c r="M4587" t="s">
        <v>46</v>
      </c>
      <c r="N4587" t="s">
        <v>3850</v>
      </c>
      <c r="O4587">
        <v>3.95</v>
      </c>
      <c r="P4587">
        <v>3.89</v>
      </c>
      <c r="Q4587">
        <v>3.9</v>
      </c>
      <c r="R4587">
        <v>3.9</v>
      </c>
      <c r="S4587">
        <v>1.54</v>
      </c>
      <c r="T4587">
        <v>0.92</v>
      </c>
      <c r="U4587">
        <v>44.17</v>
      </c>
      <c r="V4587">
        <v>4536</v>
      </c>
      <c r="W4587">
        <v>3.92</v>
      </c>
      <c r="X4587" t="s">
        <v>377</v>
      </c>
      <c r="Y4587" t="s">
        <v>2189</v>
      </c>
      <c r="Z4587">
        <v>0.6</v>
      </c>
      <c r="AA4587">
        <v>935</v>
      </c>
      <c r="AB4587">
        <v>555</v>
      </c>
      <c r="AC4587">
        <v>2.33</v>
      </c>
      <c r="AD4587" t="s">
        <v>17490</v>
      </c>
      <c r="AE4587" t="s">
        <v>11848</v>
      </c>
      <c r="AF4587" t="s">
        <v>18546</v>
      </c>
      <c r="AG4587" t="s">
        <v>18210</v>
      </c>
      <c r="AH4587">
        <v>-1.25</v>
      </c>
      <c r="AI4587">
        <v>-2.71</v>
      </c>
      <c r="AJ4587">
        <v>2.64</v>
      </c>
      <c r="AK4587">
        <v>5.71</v>
      </c>
      <c r="AL4587">
        <v>1</v>
      </c>
      <c r="AM4587">
        <v>1.28</v>
      </c>
      <c r="AN4587">
        <v>-37.7</v>
      </c>
      <c r="AO4587">
        <v>-0.25</v>
      </c>
      <c r="AP4587">
        <v>-38.38</v>
      </c>
    </row>
    <row r="4588" spans="1:42">
      <c r="A4588">
        <v>4587</v>
      </c>
      <c r="B4588" t="str">
        <f>"300152"</f>
        <v>300152</v>
      </c>
      <c r="C4588" t="s">
        <v>21202</v>
      </c>
      <c r="D4588">
        <v>3.01</v>
      </c>
      <c r="E4588">
        <v>0</v>
      </c>
      <c r="F4588">
        <v>0</v>
      </c>
      <c r="G4588" t="s">
        <v>8008</v>
      </c>
      <c r="H4588">
        <v>914</v>
      </c>
      <c r="I4588">
        <v>3.01</v>
      </c>
      <c r="J4588">
        <v>3.02</v>
      </c>
      <c r="K4588" t="s">
        <v>21201</v>
      </c>
      <c r="L4588">
        <v>1.08</v>
      </c>
      <c r="M4588" t="s">
        <v>46</v>
      </c>
      <c r="N4588" t="s">
        <v>7524</v>
      </c>
      <c r="O4588">
        <v>3.03</v>
      </c>
      <c r="P4588">
        <v>2.98</v>
      </c>
      <c r="Q4588">
        <v>3.03</v>
      </c>
      <c r="R4588">
        <v>3.01</v>
      </c>
      <c r="S4588">
        <v>1.66</v>
      </c>
      <c r="T4588">
        <v>0.71</v>
      </c>
      <c r="U4588">
        <v>8.07</v>
      </c>
      <c r="V4588">
        <v>1068</v>
      </c>
      <c r="W4588">
        <v>3.01</v>
      </c>
      <c r="X4588" t="s">
        <v>1687</v>
      </c>
      <c r="Y4588" t="s">
        <v>3235</v>
      </c>
      <c r="Z4588">
        <v>0.77</v>
      </c>
      <c r="AA4588">
        <v>2112</v>
      </c>
      <c r="AB4588">
        <v>682</v>
      </c>
      <c r="AC4588">
        <v>5.79</v>
      </c>
      <c r="AD4588" t="s">
        <v>21203</v>
      </c>
      <c r="AE4588" t="s">
        <v>15091</v>
      </c>
      <c r="AF4588" t="s">
        <v>10747</v>
      </c>
      <c r="AG4588" t="s">
        <v>7926</v>
      </c>
      <c r="AH4588">
        <v>-1.63</v>
      </c>
      <c r="AI4588">
        <v>-0.99</v>
      </c>
      <c r="AJ4588">
        <v>3.76</v>
      </c>
      <c r="AK4588">
        <v>8.65</v>
      </c>
      <c r="AL4588">
        <v>0</v>
      </c>
      <c r="AM4588">
        <v>0</v>
      </c>
      <c r="AN4588">
        <v>-10.42</v>
      </c>
      <c r="AO4588">
        <v>3.44</v>
      </c>
      <c r="AP4588">
        <v>-11.21</v>
      </c>
    </row>
    <row r="4589" spans="1:42">
      <c r="A4589">
        <v>4588</v>
      </c>
      <c r="B4589" t="str">
        <f>"002775"</f>
        <v>002775</v>
      </c>
      <c r="C4589" t="s">
        <v>21204</v>
      </c>
      <c r="D4589">
        <v>4.06</v>
      </c>
      <c r="E4589">
        <v>0.5</v>
      </c>
      <c r="F4589">
        <v>0.02</v>
      </c>
      <c r="G4589" t="s">
        <v>425</v>
      </c>
      <c r="H4589">
        <v>191</v>
      </c>
      <c r="I4589">
        <v>4.06</v>
      </c>
      <c r="J4589">
        <v>4.07</v>
      </c>
      <c r="K4589" t="s">
        <v>10735</v>
      </c>
      <c r="L4589">
        <v>1.27</v>
      </c>
      <c r="M4589" t="s">
        <v>46</v>
      </c>
      <c r="N4589" t="s">
        <v>6437</v>
      </c>
      <c r="O4589">
        <v>4.12</v>
      </c>
      <c r="P4589">
        <v>4.01</v>
      </c>
      <c r="Q4589">
        <v>4.07</v>
      </c>
      <c r="R4589">
        <v>4.04</v>
      </c>
      <c r="S4589">
        <v>2.72</v>
      </c>
      <c r="T4589">
        <v>1.17</v>
      </c>
      <c r="U4589">
        <v>20.68</v>
      </c>
      <c r="V4589">
        <v>853</v>
      </c>
      <c r="W4589">
        <v>4.07</v>
      </c>
      <c r="X4589" t="s">
        <v>6418</v>
      </c>
      <c r="Y4589" t="s">
        <v>6768</v>
      </c>
      <c r="Z4589">
        <v>0.99</v>
      </c>
      <c r="AA4589">
        <v>31</v>
      </c>
      <c r="AB4589">
        <v>568</v>
      </c>
      <c r="AC4589">
        <v>7.67</v>
      </c>
      <c r="AD4589" t="s">
        <v>21205</v>
      </c>
      <c r="AE4589" t="s">
        <v>407</v>
      </c>
      <c r="AF4589" t="s">
        <v>21206</v>
      </c>
      <c r="AG4589" t="s">
        <v>21207</v>
      </c>
      <c r="AH4589">
        <v>-0.98</v>
      </c>
      <c r="AI4589">
        <v>-1.46</v>
      </c>
      <c r="AJ4589">
        <v>3.36</v>
      </c>
      <c r="AK4589">
        <v>6.71</v>
      </c>
      <c r="AL4589">
        <v>1</v>
      </c>
      <c r="AM4589">
        <v>0.5</v>
      </c>
      <c r="AN4589">
        <v>-0.73</v>
      </c>
      <c r="AO4589">
        <v>2.78</v>
      </c>
      <c r="AP4589">
        <v>2.78</v>
      </c>
    </row>
    <row r="4590" spans="1:42">
      <c r="A4590">
        <v>4589</v>
      </c>
      <c r="B4590" t="str">
        <f>"601827"</f>
        <v>601827</v>
      </c>
      <c r="C4590" t="s">
        <v>21208</v>
      </c>
      <c r="D4590">
        <v>7.61</v>
      </c>
      <c r="E4590">
        <v>0.13</v>
      </c>
      <c r="F4590">
        <v>0.01</v>
      </c>
      <c r="G4590" t="s">
        <v>6803</v>
      </c>
      <c r="H4590">
        <v>120</v>
      </c>
      <c r="I4590">
        <v>7.61</v>
      </c>
      <c r="J4590">
        <v>7.62</v>
      </c>
      <c r="K4590" t="s">
        <v>16668</v>
      </c>
      <c r="L4590">
        <v>0.18</v>
      </c>
      <c r="M4590" t="s">
        <v>46</v>
      </c>
      <c r="N4590" t="s">
        <v>7846</v>
      </c>
      <c r="O4590">
        <v>7.65</v>
      </c>
      <c r="P4590">
        <v>7.56</v>
      </c>
      <c r="Q4590">
        <v>7.58</v>
      </c>
      <c r="R4590">
        <v>7.6</v>
      </c>
      <c r="S4590">
        <v>1.18</v>
      </c>
      <c r="T4590">
        <v>0.86</v>
      </c>
      <c r="U4590">
        <v>7.09</v>
      </c>
      <c r="V4590">
        <v>261</v>
      </c>
      <c r="W4590">
        <v>7.61</v>
      </c>
      <c r="X4590" t="s">
        <v>7178</v>
      </c>
      <c r="Y4590" t="s">
        <v>6595</v>
      </c>
      <c r="Z4590">
        <v>1.03</v>
      </c>
      <c r="AA4590">
        <v>110</v>
      </c>
      <c r="AB4590">
        <v>31</v>
      </c>
      <c r="AC4590">
        <v>1.24</v>
      </c>
      <c r="AD4590" t="s">
        <v>7330</v>
      </c>
      <c r="AE4590" t="s">
        <v>7253</v>
      </c>
      <c r="AF4590" t="s">
        <v>7330</v>
      </c>
      <c r="AG4590" t="s">
        <v>7253</v>
      </c>
      <c r="AH4590">
        <v>0</v>
      </c>
      <c r="AI4590">
        <v>1.2</v>
      </c>
      <c r="AJ4590">
        <v>0.64</v>
      </c>
      <c r="AK4590">
        <v>1.23</v>
      </c>
      <c r="AL4590">
        <v>1</v>
      </c>
      <c r="AM4590">
        <v>0.13</v>
      </c>
      <c r="AN4590">
        <v>22.54</v>
      </c>
      <c r="AO4590">
        <v>-1.04</v>
      </c>
      <c r="AP4590">
        <v>14.44</v>
      </c>
    </row>
    <row r="4591" spans="1:42">
      <c r="A4591">
        <v>4590</v>
      </c>
      <c r="B4591" t="str">
        <f>"300509"</f>
        <v>300509</v>
      </c>
      <c r="C4591" t="s">
        <v>21209</v>
      </c>
      <c r="D4591">
        <v>7.22</v>
      </c>
      <c r="E4591">
        <v>0</v>
      </c>
      <c r="F4591">
        <v>0</v>
      </c>
      <c r="G4591" t="s">
        <v>5675</v>
      </c>
      <c r="H4591">
        <v>174</v>
      </c>
      <c r="I4591">
        <v>7.21</v>
      </c>
      <c r="J4591">
        <v>7.22</v>
      </c>
      <c r="K4591" t="s">
        <v>21210</v>
      </c>
      <c r="L4591">
        <v>1.3</v>
      </c>
      <c r="M4591" t="s">
        <v>46</v>
      </c>
      <c r="N4591" t="s">
        <v>2026</v>
      </c>
      <c r="O4591">
        <v>7.25</v>
      </c>
      <c r="P4591">
        <v>7.14</v>
      </c>
      <c r="Q4591">
        <v>7.23</v>
      </c>
      <c r="R4591">
        <v>7.22</v>
      </c>
      <c r="S4591">
        <v>1.52</v>
      </c>
      <c r="T4591">
        <v>0.78</v>
      </c>
      <c r="U4591">
        <v>-5.13</v>
      </c>
      <c r="V4591">
        <v>-105</v>
      </c>
      <c r="W4591">
        <v>7.2</v>
      </c>
      <c r="X4591" t="s">
        <v>390</v>
      </c>
      <c r="Y4591" t="s">
        <v>7178</v>
      </c>
      <c r="Z4591">
        <v>1.08</v>
      </c>
      <c r="AA4591">
        <v>1</v>
      </c>
      <c r="AB4591">
        <v>135</v>
      </c>
      <c r="AC4591">
        <v>3.51</v>
      </c>
      <c r="AD4591" t="s">
        <v>1754</v>
      </c>
      <c r="AE4591" t="s">
        <v>11540</v>
      </c>
      <c r="AF4591" t="s">
        <v>21211</v>
      </c>
      <c r="AG4591" t="s">
        <v>5816</v>
      </c>
      <c r="AH4591">
        <v>-1.5</v>
      </c>
      <c r="AI4591">
        <v>-0.41</v>
      </c>
      <c r="AJ4591">
        <v>4.44</v>
      </c>
      <c r="AK4591">
        <v>9.61</v>
      </c>
      <c r="AL4591">
        <v>0</v>
      </c>
      <c r="AM4591">
        <v>0</v>
      </c>
      <c r="AN4591">
        <v>34.2</v>
      </c>
      <c r="AO4591">
        <v>3.74</v>
      </c>
      <c r="AP4591">
        <v>22.58</v>
      </c>
    </row>
    <row r="4592" spans="1:42">
      <c r="A4592">
        <v>4591</v>
      </c>
      <c r="B4592" t="str">
        <f>"600167"</f>
        <v>600167</v>
      </c>
      <c r="C4592" t="s">
        <v>21212</v>
      </c>
      <c r="D4592">
        <v>5.95</v>
      </c>
      <c r="E4592">
        <v>0.51</v>
      </c>
      <c r="F4592">
        <v>0.03</v>
      </c>
      <c r="G4592" t="s">
        <v>4811</v>
      </c>
      <c r="H4592">
        <v>422</v>
      </c>
      <c r="I4592">
        <v>5.95</v>
      </c>
      <c r="J4592">
        <v>5.96</v>
      </c>
      <c r="K4592" t="s">
        <v>21213</v>
      </c>
      <c r="L4592">
        <v>0.17</v>
      </c>
      <c r="M4592" t="s">
        <v>46</v>
      </c>
      <c r="N4592" t="s">
        <v>4975</v>
      </c>
      <c r="O4592">
        <v>5.99</v>
      </c>
      <c r="P4592">
        <v>5.91</v>
      </c>
      <c r="Q4592">
        <v>5.94</v>
      </c>
      <c r="R4592">
        <v>5.92</v>
      </c>
      <c r="S4592">
        <v>1.35</v>
      </c>
      <c r="T4592">
        <v>1.09</v>
      </c>
      <c r="U4592">
        <v>-33.31</v>
      </c>
      <c r="V4592">
        <v>-2941</v>
      </c>
      <c r="W4592">
        <v>5.96</v>
      </c>
      <c r="X4592" t="s">
        <v>1177</v>
      </c>
      <c r="Y4592" t="s">
        <v>153</v>
      </c>
      <c r="Z4592">
        <v>0.84</v>
      </c>
      <c r="AA4592">
        <v>481</v>
      </c>
      <c r="AB4592">
        <v>556</v>
      </c>
      <c r="AC4592">
        <v>1.27</v>
      </c>
      <c r="AD4592" t="s">
        <v>10355</v>
      </c>
      <c r="AE4592" t="s">
        <v>11160</v>
      </c>
      <c r="AF4592" t="s">
        <v>219</v>
      </c>
      <c r="AG4592" t="s">
        <v>12181</v>
      </c>
      <c r="AH4592">
        <v>-0.17</v>
      </c>
      <c r="AI4592">
        <v>0</v>
      </c>
      <c r="AJ4592">
        <v>0.46</v>
      </c>
      <c r="AK4592">
        <v>0.96</v>
      </c>
      <c r="AL4592">
        <v>1</v>
      </c>
      <c r="AM4592">
        <v>0.51</v>
      </c>
      <c r="AN4592">
        <v>-2.62</v>
      </c>
      <c r="AO4592">
        <v>0.85</v>
      </c>
      <c r="AP4592">
        <v>-7.18</v>
      </c>
    </row>
    <row r="4593" spans="1:42">
      <c r="A4593">
        <v>4592</v>
      </c>
      <c r="B4593" t="str">
        <f>"002915"</f>
        <v>002915</v>
      </c>
      <c r="C4593" t="s">
        <v>21214</v>
      </c>
      <c r="D4593">
        <v>12.38</v>
      </c>
      <c r="E4593">
        <v>0</v>
      </c>
      <c r="F4593">
        <v>0</v>
      </c>
      <c r="G4593" t="s">
        <v>1072</v>
      </c>
      <c r="H4593">
        <v>40</v>
      </c>
      <c r="I4593">
        <v>12.37</v>
      </c>
      <c r="J4593">
        <v>12.38</v>
      </c>
      <c r="K4593" t="s">
        <v>21215</v>
      </c>
      <c r="L4593">
        <v>0.65</v>
      </c>
      <c r="M4593" t="s">
        <v>46</v>
      </c>
      <c r="N4593" t="s">
        <v>21216</v>
      </c>
      <c r="O4593">
        <v>12.48</v>
      </c>
      <c r="P4593">
        <v>12.25</v>
      </c>
      <c r="Q4593">
        <v>12.48</v>
      </c>
      <c r="R4593">
        <v>12.38</v>
      </c>
      <c r="S4593">
        <v>1.86</v>
      </c>
      <c r="T4593">
        <v>0.73</v>
      </c>
      <c r="U4593">
        <v>15.43</v>
      </c>
      <c r="V4593">
        <v>247</v>
      </c>
      <c r="W4593">
        <v>12.33</v>
      </c>
      <c r="X4593">
        <v>9709</v>
      </c>
      <c r="Y4593">
        <v>8955</v>
      </c>
      <c r="Z4593">
        <v>1.08</v>
      </c>
      <c r="AA4593">
        <v>92</v>
      </c>
      <c r="AB4593">
        <v>103</v>
      </c>
      <c r="AC4593">
        <v>2.47</v>
      </c>
      <c r="AD4593" t="s">
        <v>21217</v>
      </c>
      <c r="AE4593" t="s">
        <v>5775</v>
      </c>
      <c r="AF4593" t="s">
        <v>21218</v>
      </c>
      <c r="AG4593" t="s">
        <v>8626</v>
      </c>
      <c r="AH4593">
        <v>-3.13</v>
      </c>
      <c r="AI4593">
        <v>-4.77</v>
      </c>
      <c r="AJ4593">
        <v>2.24</v>
      </c>
      <c r="AK4593">
        <v>5.09</v>
      </c>
      <c r="AL4593">
        <v>0</v>
      </c>
      <c r="AM4593">
        <v>0</v>
      </c>
      <c r="AN4593">
        <v>-38.07</v>
      </c>
      <c r="AO4593">
        <v>-4.11</v>
      </c>
      <c r="AP4593">
        <v>-39.07</v>
      </c>
    </row>
    <row r="4594" spans="1:42">
      <c r="A4594">
        <v>4593</v>
      </c>
      <c r="B4594" t="str">
        <f>"002024"</f>
        <v>002024</v>
      </c>
      <c r="C4594" t="s">
        <v>21219</v>
      </c>
      <c r="D4594">
        <v>1.86</v>
      </c>
      <c r="E4594">
        <v>0.54</v>
      </c>
      <c r="F4594">
        <v>0.01</v>
      </c>
      <c r="G4594" t="s">
        <v>1261</v>
      </c>
      <c r="H4594">
        <v>3825</v>
      </c>
      <c r="I4594">
        <v>1.85</v>
      </c>
      <c r="J4594">
        <v>1.86</v>
      </c>
      <c r="K4594" t="s">
        <v>15930</v>
      </c>
      <c r="L4594">
        <v>0.16</v>
      </c>
      <c r="M4594" t="s">
        <v>46</v>
      </c>
      <c r="N4594" t="s">
        <v>1303</v>
      </c>
      <c r="O4594">
        <v>1.87</v>
      </c>
      <c r="P4594">
        <v>1.84</v>
      </c>
      <c r="Q4594">
        <v>1.85</v>
      </c>
      <c r="R4594">
        <v>1.85</v>
      </c>
      <c r="S4594">
        <v>1.62</v>
      </c>
      <c r="T4594">
        <v>0.77</v>
      </c>
      <c r="U4594">
        <v>-12.47</v>
      </c>
      <c r="V4594" t="s">
        <v>21220</v>
      </c>
      <c r="W4594">
        <v>1.86</v>
      </c>
      <c r="X4594" t="s">
        <v>5962</v>
      </c>
      <c r="Y4594" t="s">
        <v>11712</v>
      </c>
      <c r="Z4594">
        <v>0.95</v>
      </c>
      <c r="AA4594" t="s">
        <v>314</v>
      </c>
      <c r="AB4594">
        <v>2555</v>
      </c>
      <c r="AC4594">
        <v>1.31</v>
      </c>
      <c r="AD4594" t="s">
        <v>21221</v>
      </c>
      <c r="AE4594" t="s">
        <v>21222</v>
      </c>
      <c r="AF4594" t="s">
        <v>6060</v>
      </c>
      <c r="AG4594" t="s">
        <v>12686</v>
      </c>
      <c r="AH4594">
        <v>-1.59</v>
      </c>
      <c r="AI4594">
        <v>-3.12</v>
      </c>
      <c r="AJ4594">
        <v>0.56</v>
      </c>
      <c r="AK4594">
        <v>1.18</v>
      </c>
      <c r="AL4594">
        <v>1</v>
      </c>
      <c r="AM4594">
        <v>0.54</v>
      </c>
      <c r="AN4594">
        <v>-17.7</v>
      </c>
      <c r="AO4594">
        <v>-0.53</v>
      </c>
      <c r="AP4594">
        <v>-13.49</v>
      </c>
    </row>
    <row r="4595" spans="1:42">
      <c r="A4595">
        <v>4594</v>
      </c>
      <c r="B4595" t="str">
        <f>"603680"</f>
        <v>603680</v>
      </c>
      <c r="C4595" t="s">
        <v>21223</v>
      </c>
      <c r="D4595">
        <v>9.73</v>
      </c>
      <c r="E4595">
        <v>-1.12</v>
      </c>
      <c r="F4595">
        <v>-0.11</v>
      </c>
      <c r="G4595" t="s">
        <v>6419</v>
      </c>
      <c r="H4595">
        <v>132</v>
      </c>
      <c r="I4595">
        <v>9.73</v>
      </c>
      <c r="J4595">
        <v>9.75</v>
      </c>
      <c r="K4595" t="s">
        <v>21224</v>
      </c>
      <c r="L4595">
        <v>0.3</v>
      </c>
      <c r="M4595" t="s">
        <v>46</v>
      </c>
      <c r="N4595" t="s">
        <v>7209</v>
      </c>
      <c r="O4595">
        <v>9.87</v>
      </c>
      <c r="P4595">
        <v>9.59</v>
      </c>
      <c r="Q4595">
        <v>9.84</v>
      </c>
      <c r="R4595">
        <v>9.84</v>
      </c>
      <c r="S4595">
        <v>2.85</v>
      </c>
      <c r="T4595">
        <v>1.36</v>
      </c>
      <c r="U4595">
        <v>-38.21</v>
      </c>
      <c r="V4595">
        <v>-608</v>
      </c>
      <c r="W4595">
        <v>9.69</v>
      </c>
      <c r="X4595" t="s">
        <v>1254</v>
      </c>
      <c r="Y4595" t="s">
        <v>2284</v>
      </c>
      <c r="Z4595">
        <v>1.07</v>
      </c>
      <c r="AA4595">
        <v>10</v>
      </c>
      <c r="AB4595">
        <v>128</v>
      </c>
      <c r="AC4595">
        <v>1.53</v>
      </c>
      <c r="AD4595" t="s">
        <v>21225</v>
      </c>
      <c r="AE4595" t="s">
        <v>21226</v>
      </c>
      <c r="AF4595" t="s">
        <v>21225</v>
      </c>
      <c r="AG4595" t="s">
        <v>21226</v>
      </c>
      <c r="AH4595">
        <v>-1.12</v>
      </c>
      <c r="AI4595">
        <v>-0.71</v>
      </c>
      <c r="AJ4595">
        <v>0.8</v>
      </c>
      <c r="AK4595">
        <v>1.41</v>
      </c>
      <c r="AL4595">
        <v>-2</v>
      </c>
      <c r="AM4595">
        <v>-1.12</v>
      </c>
      <c r="AN4595">
        <v>23.32</v>
      </c>
      <c r="AO4595">
        <v>3.07</v>
      </c>
      <c r="AP4595">
        <v>13.93</v>
      </c>
    </row>
    <row r="4596" spans="1:42">
      <c r="A4596">
        <v>4595</v>
      </c>
      <c r="B4596" t="str">
        <f>"300132"</f>
        <v>300132</v>
      </c>
      <c r="C4596" t="s">
        <v>21227</v>
      </c>
      <c r="D4596">
        <v>5.57</v>
      </c>
      <c r="E4596">
        <v>0</v>
      </c>
      <c r="F4596">
        <v>0</v>
      </c>
      <c r="G4596" t="s">
        <v>6256</v>
      </c>
      <c r="H4596">
        <v>1849</v>
      </c>
      <c r="I4596">
        <v>5.57</v>
      </c>
      <c r="J4596">
        <v>5.58</v>
      </c>
      <c r="K4596" t="s">
        <v>21228</v>
      </c>
      <c r="L4596">
        <v>0.81</v>
      </c>
      <c r="M4596" t="s">
        <v>46</v>
      </c>
      <c r="N4596" t="s">
        <v>2533</v>
      </c>
      <c r="O4596">
        <v>5.61</v>
      </c>
      <c r="P4596">
        <v>5.51</v>
      </c>
      <c r="Q4596">
        <v>5.61</v>
      </c>
      <c r="R4596">
        <v>5.57</v>
      </c>
      <c r="S4596">
        <v>1.8</v>
      </c>
      <c r="T4596">
        <v>0.83</v>
      </c>
      <c r="U4596">
        <v>-15.99</v>
      </c>
      <c r="V4596">
        <v>-706</v>
      </c>
      <c r="W4596">
        <v>5.57</v>
      </c>
      <c r="X4596" t="s">
        <v>6425</v>
      </c>
      <c r="Y4596" t="s">
        <v>6827</v>
      </c>
      <c r="Z4596">
        <v>0.89</v>
      </c>
      <c r="AA4596">
        <v>806</v>
      </c>
      <c r="AB4596">
        <v>500</v>
      </c>
      <c r="AC4596">
        <v>2.19</v>
      </c>
      <c r="AD4596" t="s">
        <v>21229</v>
      </c>
      <c r="AE4596" t="s">
        <v>15193</v>
      </c>
      <c r="AF4596" t="s">
        <v>17556</v>
      </c>
      <c r="AG4596" t="s">
        <v>6275</v>
      </c>
      <c r="AH4596">
        <v>-0.36</v>
      </c>
      <c r="AI4596">
        <v>-1.24</v>
      </c>
      <c r="AJ4596">
        <v>2.68</v>
      </c>
      <c r="AK4596">
        <v>5.69</v>
      </c>
      <c r="AL4596">
        <v>0</v>
      </c>
      <c r="AM4596">
        <v>0</v>
      </c>
      <c r="AN4596">
        <v>-20.09</v>
      </c>
      <c r="AO4596">
        <v>5.89</v>
      </c>
      <c r="AP4596">
        <v>-28.86</v>
      </c>
    </row>
    <row r="4597" spans="1:42">
      <c r="A4597">
        <v>4596</v>
      </c>
      <c r="B4597" t="str">
        <f>"300995"</f>
        <v>300995</v>
      </c>
      <c r="C4597" t="s">
        <v>21230</v>
      </c>
      <c r="D4597">
        <v>21.87</v>
      </c>
      <c r="E4597">
        <v>-0.5</v>
      </c>
      <c r="F4597">
        <v>-0.11</v>
      </c>
      <c r="G4597" t="s">
        <v>1400</v>
      </c>
      <c r="H4597">
        <v>89</v>
      </c>
      <c r="I4597">
        <v>21.86</v>
      </c>
      <c r="J4597">
        <v>21.88</v>
      </c>
      <c r="K4597" t="s">
        <v>21231</v>
      </c>
      <c r="L4597">
        <v>3.59</v>
      </c>
      <c r="M4597" t="s">
        <v>46</v>
      </c>
      <c r="N4597" t="s">
        <v>5793</v>
      </c>
      <c r="O4597">
        <v>22.22</v>
      </c>
      <c r="P4597">
        <v>21.73</v>
      </c>
      <c r="Q4597">
        <v>22.07</v>
      </c>
      <c r="R4597">
        <v>21.98</v>
      </c>
      <c r="S4597">
        <v>2.23</v>
      </c>
      <c r="T4597">
        <v>1.16</v>
      </c>
      <c r="U4597">
        <v>30.91</v>
      </c>
      <c r="V4597">
        <v>51</v>
      </c>
      <c r="W4597">
        <v>21.91</v>
      </c>
      <c r="X4597">
        <v>5239</v>
      </c>
      <c r="Y4597">
        <v>5214</v>
      </c>
      <c r="Z4597">
        <v>1</v>
      </c>
      <c r="AA4597">
        <v>10</v>
      </c>
      <c r="AB4597">
        <v>4</v>
      </c>
      <c r="AC4597">
        <v>2.91</v>
      </c>
      <c r="AD4597" t="s">
        <v>17776</v>
      </c>
      <c r="AE4597" t="s">
        <v>21232</v>
      </c>
      <c r="AF4597" t="s">
        <v>19852</v>
      </c>
      <c r="AG4597" t="s">
        <v>21233</v>
      </c>
      <c r="AH4597">
        <v>-2.41</v>
      </c>
      <c r="AI4597">
        <v>-2.58</v>
      </c>
      <c r="AJ4597">
        <v>8.82</v>
      </c>
      <c r="AK4597">
        <v>19.09</v>
      </c>
      <c r="AL4597">
        <v>-3</v>
      </c>
      <c r="AM4597">
        <v>-0.5</v>
      </c>
      <c r="AN4597">
        <v>27.23</v>
      </c>
      <c r="AO4597">
        <v>-2.63</v>
      </c>
      <c r="AP4597">
        <v>11.92</v>
      </c>
    </row>
    <row r="4598" spans="1:42">
      <c r="A4598">
        <v>4597</v>
      </c>
      <c r="B4598" t="str">
        <f>"002989"</f>
        <v>002989</v>
      </c>
      <c r="C4598" t="s">
        <v>21234</v>
      </c>
      <c r="D4598">
        <v>15.14</v>
      </c>
      <c r="E4598">
        <v>2.09</v>
      </c>
      <c r="F4598">
        <v>0.31</v>
      </c>
      <c r="G4598" t="s">
        <v>61</v>
      </c>
      <c r="H4598">
        <v>263</v>
      </c>
      <c r="I4598">
        <v>15.12</v>
      </c>
      <c r="J4598">
        <v>15.14</v>
      </c>
      <c r="K4598" t="s">
        <v>21235</v>
      </c>
      <c r="L4598">
        <v>0.93</v>
      </c>
      <c r="M4598" t="s">
        <v>46</v>
      </c>
      <c r="N4598" t="s">
        <v>15896</v>
      </c>
      <c r="O4598">
        <v>15.17</v>
      </c>
      <c r="P4598">
        <v>14.78</v>
      </c>
      <c r="Q4598">
        <v>14.82</v>
      </c>
      <c r="R4598">
        <v>14.83</v>
      </c>
      <c r="S4598">
        <v>2.63</v>
      </c>
      <c r="T4598">
        <v>0.99</v>
      </c>
      <c r="U4598">
        <v>-41.52</v>
      </c>
      <c r="V4598">
        <v>-612</v>
      </c>
      <c r="W4598">
        <v>15.03</v>
      </c>
      <c r="X4598">
        <v>6057</v>
      </c>
      <c r="Y4598">
        <v>9166</v>
      </c>
      <c r="Z4598">
        <v>0.66</v>
      </c>
      <c r="AA4598">
        <v>56</v>
      </c>
      <c r="AB4598">
        <v>127</v>
      </c>
      <c r="AC4598">
        <v>1.73</v>
      </c>
      <c r="AD4598" t="s">
        <v>21236</v>
      </c>
      <c r="AE4598" t="s">
        <v>16762</v>
      </c>
      <c r="AF4598" t="s">
        <v>8999</v>
      </c>
      <c r="AG4598" t="s">
        <v>7729</v>
      </c>
      <c r="AH4598">
        <v>-0.13</v>
      </c>
      <c r="AI4598">
        <v>1.2</v>
      </c>
      <c r="AJ4598">
        <v>2.3</v>
      </c>
      <c r="AK4598">
        <v>5.59</v>
      </c>
      <c r="AL4598">
        <v>1</v>
      </c>
      <c r="AM4598">
        <v>2.09</v>
      </c>
      <c r="AN4598">
        <v>-9.23</v>
      </c>
      <c r="AO4598">
        <v>5.87</v>
      </c>
      <c r="AP4598">
        <v>-3.51</v>
      </c>
    </row>
    <row r="4599" spans="1:42">
      <c r="A4599">
        <v>4598</v>
      </c>
      <c r="B4599" t="str">
        <f>"002634"</f>
        <v>002634</v>
      </c>
      <c r="C4599" t="s">
        <v>21237</v>
      </c>
      <c r="D4599">
        <v>6.83</v>
      </c>
      <c r="E4599">
        <v>0.89</v>
      </c>
      <c r="F4599">
        <v>0.06</v>
      </c>
      <c r="G4599" t="s">
        <v>5454</v>
      </c>
      <c r="H4599">
        <v>301</v>
      </c>
      <c r="I4599">
        <v>6.82</v>
      </c>
      <c r="J4599">
        <v>6.83</v>
      </c>
      <c r="K4599" t="s">
        <v>21238</v>
      </c>
      <c r="L4599">
        <v>0.88</v>
      </c>
      <c r="M4599" t="s">
        <v>46</v>
      </c>
      <c r="N4599" t="s">
        <v>3156</v>
      </c>
      <c r="O4599">
        <v>6.85</v>
      </c>
      <c r="P4599">
        <v>6.75</v>
      </c>
      <c r="Q4599">
        <v>6.8</v>
      </c>
      <c r="R4599">
        <v>6.77</v>
      </c>
      <c r="S4599">
        <v>1.48</v>
      </c>
      <c r="T4599">
        <v>0.72</v>
      </c>
      <c r="U4599">
        <v>-15.11</v>
      </c>
      <c r="V4599">
        <v>-486</v>
      </c>
      <c r="W4599">
        <v>6.79</v>
      </c>
      <c r="X4599" t="s">
        <v>4943</v>
      </c>
      <c r="Y4599" t="s">
        <v>6656</v>
      </c>
      <c r="Z4599">
        <v>0.94</v>
      </c>
      <c r="AA4599">
        <v>13</v>
      </c>
      <c r="AB4599">
        <v>48</v>
      </c>
      <c r="AC4599">
        <v>3.07</v>
      </c>
      <c r="AD4599" t="s">
        <v>21239</v>
      </c>
      <c r="AE4599" t="s">
        <v>17058</v>
      </c>
      <c r="AF4599" t="s">
        <v>21240</v>
      </c>
      <c r="AG4599" t="s">
        <v>21241</v>
      </c>
      <c r="AH4599">
        <v>-1.3</v>
      </c>
      <c r="AI4599">
        <v>-5.14</v>
      </c>
      <c r="AJ4599">
        <v>3.31</v>
      </c>
      <c r="AK4599">
        <v>7.01</v>
      </c>
      <c r="AL4599">
        <v>1</v>
      </c>
      <c r="AM4599">
        <v>0.89</v>
      </c>
      <c r="AN4599">
        <v>-30.52</v>
      </c>
      <c r="AO4599">
        <v>-12.44</v>
      </c>
      <c r="AP4599">
        <v>-38.47</v>
      </c>
    </row>
    <row r="4600" spans="1:42">
      <c r="A4600">
        <v>4599</v>
      </c>
      <c r="B4600" t="str">
        <f>"002102"</f>
        <v>002102</v>
      </c>
      <c r="C4600" t="s">
        <v>21242</v>
      </c>
      <c r="D4600">
        <v>2.9</v>
      </c>
      <c r="E4600">
        <v>0.35</v>
      </c>
      <c r="F4600">
        <v>0.01</v>
      </c>
      <c r="G4600" t="s">
        <v>7241</v>
      </c>
      <c r="H4600">
        <v>721</v>
      </c>
      <c r="I4600">
        <v>2.9</v>
      </c>
      <c r="J4600">
        <v>2.91</v>
      </c>
      <c r="K4600" t="s">
        <v>21243</v>
      </c>
      <c r="L4600">
        <v>0.34</v>
      </c>
      <c r="M4600" t="s">
        <v>46</v>
      </c>
      <c r="N4600" t="s">
        <v>10566</v>
      </c>
      <c r="O4600">
        <v>2.91</v>
      </c>
      <c r="P4600">
        <v>2.88</v>
      </c>
      <c r="Q4600">
        <v>2.9</v>
      </c>
      <c r="R4600">
        <v>2.89</v>
      </c>
      <c r="S4600">
        <v>1.04</v>
      </c>
      <c r="T4600">
        <v>0.57</v>
      </c>
      <c r="U4600">
        <v>-8.5</v>
      </c>
      <c r="V4600">
        <v>-4521</v>
      </c>
      <c r="W4600">
        <v>2.9</v>
      </c>
      <c r="X4600" t="s">
        <v>5205</v>
      </c>
      <c r="Y4600" t="s">
        <v>1313</v>
      </c>
      <c r="Z4600">
        <v>1.15</v>
      </c>
      <c r="AA4600">
        <v>1112</v>
      </c>
      <c r="AB4600">
        <v>9301</v>
      </c>
      <c r="AC4600">
        <v>1.82</v>
      </c>
      <c r="AD4600" t="s">
        <v>5608</v>
      </c>
      <c r="AE4600" t="s">
        <v>11102</v>
      </c>
      <c r="AF4600" t="s">
        <v>17665</v>
      </c>
      <c r="AG4600" t="s">
        <v>21244</v>
      </c>
      <c r="AH4600">
        <v>-1.02</v>
      </c>
      <c r="AI4600">
        <v>0</v>
      </c>
      <c r="AJ4600">
        <v>1.54</v>
      </c>
      <c r="AK4600">
        <v>3.31</v>
      </c>
      <c r="AL4600">
        <v>1</v>
      </c>
      <c r="AM4600">
        <v>0.35</v>
      </c>
      <c r="AN4600">
        <v>-7.05</v>
      </c>
      <c r="AO4600">
        <v>1.4</v>
      </c>
      <c r="AP4600">
        <v>-6.75</v>
      </c>
    </row>
    <row r="4601" spans="1:42">
      <c r="A4601">
        <v>4600</v>
      </c>
      <c r="B4601" t="str">
        <f>"871694"</f>
        <v>871694</v>
      </c>
      <c r="C4601" t="s">
        <v>21245</v>
      </c>
      <c r="D4601">
        <v>15.02</v>
      </c>
      <c r="E4601">
        <v>-3.28</v>
      </c>
      <c r="F4601">
        <v>-0.51</v>
      </c>
      <c r="G4601" t="s">
        <v>3793</v>
      </c>
      <c r="H4601">
        <v>114</v>
      </c>
      <c r="I4601">
        <v>15.02</v>
      </c>
      <c r="J4601">
        <v>15.1</v>
      </c>
      <c r="K4601" t="s">
        <v>21246</v>
      </c>
      <c r="L4601">
        <v>5.97</v>
      </c>
      <c r="M4601" t="s">
        <v>46</v>
      </c>
      <c r="N4601" t="s">
        <v>3000</v>
      </c>
      <c r="O4601">
        <v>15.84</v>
      </c>
      <c r="P4601">
        <v>14.8</v>
      </c>
      <c r="Q4601">
        <v>15.57</v>
      </c>
      <c r="R4601">
        <v>15.53</v>
      </c>
      <c r="S4601">
        <v>6.7</v>
      </c>
      <c r="T4601">
        <v>0.48</v>
      </c>
      <c r="U4601">
        <v>-27.74</v>
      </c>
      <c r="V4601">
        <v>-45</v>
      </c>
      <c r="W4601">
        <v>15.21</v>
      </c>
      <c r="X4601">
        <v>9988</v>
      </c>
      <c r="Y4601">
        <v>5015</v>
      </c>
      <c r="Z4601">
        <v>1.99</v>
      </c>
      <c r="AA4601">
        <v>31</v>
      </c>
      <c r="AB4601">
        <v>81</v>
      </c>
      <c r="AC4601">
        <v>2.13</v>
      </c>
      <c r="AD4601" t="s">
        <v>20827</v>
      </c>
      <c r="AE4601" t="s">
        <v>21247</v>
      </c>
      <c r="AF4601" t="s">
        <v>21248</v>
      </c>
      <c r="AG4601" t="s">
        <v>21249</v>
      </c>
      <c r="AH4601">
        <v>-15.71</v>
      </c>
      <c r="AI4601">
        <v>0.47</v>
      </c>
      <c r="AJ4601">
        <v>23.91</v>
      </c>
      <c r="AK4601">
        <v>68.53</v>
      </c>
      <c r="AL4601">
        <v>-4</v>
      </c>
      <c r="AM4601">
        <v>-3.28</v>
      </c>
      <c r="AN4601">
        <v>-24.82</v>
      </c>
      <c r="AO4601">
        <v>27.29</v>
      </c>
      <c r="AP4601">
        <v>-24.82</v>
      </c>
    </row>
    <row r="4602" spans="1:42">
      <c r="A4602">
        <v>4601</v>
      </c>
      <c r="B4602" t="str">
        <f>"603879"</f>
        <v>603879</v>
      </c>
      <c r="C4602" t="s">
        <v>21250</v>
      </c>
      <c r="D4602">
        <v>6.63</v>
      </c>
      <c r="E4602">
        <v>1.22</v>
      </c>
      <c r="F4602">
        <v>0.08</v>
      </c>
      <c r="G4602" t="s">
        <v>4839</v>
      </c>
      <c r="H4602">
        <v>285</v>
      </c>
      <c r="I4602">
        <v>6.63</v>
      </c>
      <c r="J4602">
        <v>6.64</v>
      </c>
      <c r="K4602" t="s">
        <v>21251</v>
      </c>
      <c r="L4602">
        <v>0.96</v>
      </c>
      <c r="M4602" t="s">
        <v>46</v>
      </c>
      <c r="N4602" t="s">
        <v>6023</v>
      </c>
      <c r="O4602">
        <v>6.65</v>
      </c>
      <c r="P4602">
        <v>6.47</v>
      </c>
      <c r="Q4602">
        <v>6.54</v>
      </c>
      <c r="R4602">
        <v>6.55</v>
      </c>
      <c r="S4602">
        <v>2.75</v>
      </c>
      <c r="T4602">
        <v>0.87</v>
      </c>
      <c r="U4602">
        <v>27.95</v>
      </c>
      <c r="V4602">
        <v>942</v>
      </c>
      <c r="W4602">
        <v>6.58</v>
      </c>
      <c r="X4602" t="s">
        <v>2575</v>
      </c>
      <c r="Y4602" t="s">
        <v>2397</v>
      </c>
      <c r="Z4602">
        <v>1.03</v>
      </c>
      <c r="AA4602">
        <v>76</v>
      </c>
      <c r="AB4602">
        <v>174</v>
      </c>
      <c r="AC4602">
        <v>5.1</v>
      </c>
      <c r="AD4602" t="s">
        <v>21252</v>
      </c>
      <c r="AE4602" t="s">
        <v>16671</v>
      </c>
      <c r="AF4602" t="s">
        <v>21253</v>
      </c>
      <c r="AG4602" t="s">
        <v>19640</v>
      </c>
      <c r="AH4602">
        <v>-0.9</v>
      </c>
      <c r="AI4602">
        <v>-0.75</v>
      </c>
      <c r="AJ4602">
        <v>2.95</v>
      </c>
      <c r="AK4602">
        <v>6.46</v>
      </c>
      <c r="AL4602">
        <v>1</v>
      </c>
      <c r="AM4602">
        <v>1.22</v>
      </c>
      <c r="AN4602">
        <v>9.23</v>
      </c>
      <c r="AO4602">
        <v>1.69</v>
      </c>
      <c r="AP4602">
        <v>7.63</v>
      </c>
    </row>
    <row r="4603" spans="1:42">
      <c r="A4603">
        <v>4602</v>
      </c>
      <c r="B4603" t="str">
        <f>"605077"</f>
        <v>605077</v>
      </c>
      <c r="C4603" t="s">
        <v>21254</v>
      </c>
      <c r="D4603">
        <v>22.81</v>
      </c>
      <c r="E4603">
        <v>0.18</v>
      </c>
      <c r="F4603">
        <v>0.04</v>
      </c>
      <c r="G4603">
        <v>9961</v>
      </c>
      <c r="H4603">
        <v>55</v>
      </c>
      <c r="I4603">
        <v>22.81</v>
      </c>
      <c r="J4603">
        <v>22.82</v>
      </c>
      <c r="K4603" t="s">
        <v>21255</v>
      </c>
      <c r="L4603">
        <v>0.65</v>
      </c>
      <c r="M4603" t="s">
        <v>46</v>
      </c>
      <c r="N4603" t="s">
        <v>8839</v>
      </c>
      <c r="O4603">
        <v>22.93</v>
      </c>
      <c r="P4603">
        <v>22.61</v>
      </c>
      <c r="Q4603">
        <v>22.73</v>
      </c>
      <c r="R4603">
        <v>22.77</v>
      </c>
      <c r="S4603">
        <v>1.41</v>
      </c>
      <c r="T4603">
        <v>1.27</v>
      </c>
      <c r="U4603">
        <v>62.62</v>
      </c>
      <c r="V4603">
        <v>167</v>
      </c>
      <c r="W4603">
        <v>22.83</v>
      </c>
      <c r="X4603">
        <v>4337</v>
      </c>
      <c r="Y4603">
        <v>5624</v>
      </c>
      <c r="Z4603">
        <v>0.77</v>
      </c>
      <c r="AA4603">
        <v>56</v>
      </c>
      <c r="AB4603">
        <v>10</v>
      </c>
      <c r="AC4603">
        <v>1.87</v>
      </c>
      <c r="AD4603" t="s">
        <v>21256</v>
      </c>
      <c r="AE4603" t="s">
        <v>10869</v>
      </c>
      <c r="AF4603" t="s">
        <v>5129</v>
      </c>
      <c r="AG4603" t="s">
        <v>21257</v>
      </c>
      <c r="AH4603">
        <v>-0.39</v>
      </c>
      <c r="AI4603">
        <v>0.35</v>
      </c>
      <c r="AJ4603">
        <v>1.51</v>
      </c>
      <c r="AK4603">
        <v>3.23</v>
      </c>
      <c r="AL4603">
        <v>1</v>
      </c>
      <c r="AM4603">
        <v>0.18</v>
      </c>
      <c r="AN4603">
        <v>-23.3</v>
      </c>
      <c r="AO4603">
        <v>3.4</v>
      </c>
      <c r="AP4603">
        <v>-22.31</v>
      </c>
    </row>
    <row r="4604" spans="1:42">
      <c r="A4604">
        <v>4603</v>
      </c>
      <c r="B4604" t="str">
        <f>"688020"</f>
        <v>688020</v>
      </c>
      <c r="C4604" t="s">
        <v>21258</v>
      </c>
      <c r="D4604">
        <v>56.66</v>
      </c>
      <c r="E4604">
        <v>0.82</v>
      </c>
      <c r="F4604">
        <v>0.46</v>
      </c>
      <c r="G4604">
        <v>4037</v>
      </c>
      <c r="H4604">
        <v>4</v>
      </c>
      <c r="I4604">
        <v>56.53</v>
      </c>
      <c r="J4604">
        <v>56.66</v>
      </c>
      <c r="K4604" t="s">
        <v>21259</v>
      </c>
      <c r="L4604">
        <v>0.5</v>
      </c>
      <c r="M4604" t="s">
        <v>46</v>
      </c>
      <c r="N4604" t="s">
        <v>5382</v>
      </c>
      <c r="O4604">
        <v>57.4</v>
      </c>
      <c r="P4604">
        <v>55.65</v>
      </c>
      <c r="Q4604">
        <v>56.44</v>
      </c>
      <c r="R4604">
        <v>56.2</v>
      </c>
      <c r="S4604">
        <v>3.11</v>
      </c>
      <c r="T4604">
        <v>0.45</v>
      </c>
      <c r="U4604">
        <v>60.65</v>
      </c>
      <c r="V4604">
        <v>71</v>
      </c>
      <c r="W4604">
        <v>56.29</v>
      </c>
      <c r="X4604">
        <v>2004</v>
      </c>
      <c r="Y4604">
        <v>2032</v>
      </c>
      <c r="Z4604">
        <v>0.99</v>
      </c>
      <c r="AA4604">
        <v>1</v>
      </c>
      <c r="AB4604">
        <v>1</v>
      </c>
      <c r="AC4604">
        <v>3.04</v>
      </c>
      <c r="AD4604" t="s">
        <v>21260</v>
      </c>
      <c r="AE4604" t="s">
        <v>10157</v>
      </c>
      <c r="AF4604" t="s">
        <v>21260</v>
      </c>
      <c r="AG4604" t="s">
        <v>10157</v>
      </c>
      <c r="AH4604">
        <v>1.87</v>
      </c>
      <c r="AI4604">
        <v>-1.8</v>
      </c>
      <c r="AJ4604">
        <v>3.12</v>
      </c>
      <c r="AK4604">
        <v>6.08</v>
      </c>
      <c r="AL4604">
        <v>1</v>
      </c>
      <c r="AM4604">
        <v>0.82</v>
      </c>
      <c r="AN4604">
        <v>7.37</v>
      </c>
      <c r="AO4604">
        <v>-5.57</v>
      </c>
      <c r="AP4604">
        <v>21.28</v>
      </c>
    </row>
    <row r="4605" spans="1:42">
      <c r="A4605">
        <v>4604</v>
      </c>
      <c r="B4605" t="str">
        <f>"300167"</f>
        <v>300167</v>
      </c>
      <c r="C4605" t="s">
        <v>21261</v>
      </c>
      <c r="D4605">
        <v>3.38</v>
      </c>
      <c r="E4605">
        <v>2.74</v>
      </c>
      <c r="F4605">
        <v>0.09</v>
      </c>
      <c r="G4605" t="s">
        <v>2568</v>
      </c>
      <c r="H4605">
        <v>1492</v>
      </c>
      <c r="I4605">
        <v>3.38</v>
      </c>
      <c r="J4605">
        <v>3.39</v>
      </c>
      <c r="K4605" t="s">
        <v>21262</v>
      </c>
      <c r="L4605">
        <v>2.02</v>
      </c>
      <c r="M4605" t="s">
        <v>46</v>
      </c>
      <c r="N4605" t="s">
        <v>7870</v>
      </c>
      <c r="O4605">
        <v>3.41</v>
      </c>
      <c r="P4605">
        <v>3.28</v>
      </c>
      <c r="Q4605">
        <v>3.28</v>
      </c>
      <c r="R4605">
        <v>3.29</v>
      </c>
      <c r="S4605">
        <v>3.95</v>
      </c>
      <c r="T4605">
        <v>0.78</v>
      </c>
      <c r="U4605">
        <v>20.74</v>
      </c>
      <c r="V4605">
        <v>1422</v>
      </c>
      <c r="W4605">
        <v>3.33</v>
      </c>
      <c r="X4605" t="s">
        <v>3033</v>
      </c>
      <c r="Y4605" t="s">
        <v>8156</v>
      </c>
      <c r="Z4605">
        <v>0.81</v>
      </c>
      <c r="AA4605">
        <v>363</v>
      </c>
      <c r="AB4605">
        <v>353</v>
      </c>
      <c r="AC4605">
        <v>18.46</v>
      </c>
      <c r="AD4605" t="s">
        <v>21263</v>
      </c>
      <c r="AE4605" t="s">
        <v>21264</v>
      </c>
      <c r="AF4605" t="s">
        <v>21265</v>
      </c>
      <c r="AG4605" t="s">
        <v>302</v>
      </c>
      <c r="AH4605">
        <v>0</v>
      </c>
      <c r="AI4605">
        <v>-4.25</v>
      </c>
      <c r="AJ4605">
        <v>6.85</v>
      </c>
      <c r="AK4605">
        <v>14.96</v>
      </c>
      <c r="AL4605">
        <v>2</v>
      </c>
      <c r="AM4605">
        <v>2.74</v>
      </c>
      <c r="AN4605">
        <v>-30.17</v>
      </c>
      <c r="AO4605">
        <v>-0.59</v>
      </c>
      <c r="AP4605">
        <v>-41.11</v>
      </c>
    </row>
    <row r="4606" spans="1:42">
      <c r="A4606">
        <v>4605</v>
      </c>
      <c r="B4606" t="str">
        <f>"301156"</f>
        <v>301156</v>
      </c>
      <c r="C4606" t="s">
        <v>21266</v>
      </c>
      <c r="D4606">
        <v>18.76</v>
      </c>
      <c r="E4606">
        <v>-2.19</v>
      </c>
      <c r="F4606">
        <v>-0.42</v>
      </c>
      <c r="G4606" t="s">
        <v>8636</v>
      </c>
      <c r="H4606">
        <v>69</v>
      </c>
      <c r="I4606">
        <v>18.74</v>
      </c>
      <c r="J4606">
        <v>18.76</v>
      </c>
      <c r="K4606" t="s">
        <v>21262</v>
      </c>
      <c r="L4606">
        <v>2.56</v>
      </c>
      <c r="M4606" t="s">
        <v>46</v>
      </c>
      <c r="N4606" t="s">
        <v>3931</v>
      </c>
      <c r="O4606">
        <v>19.3</v>
      </c>
      <c r="P4606">
        <v>18.69</v>
      </c>
      <c r="Q4606">
        <v>19.19</v>
      </c>
      <c r="R4606">
        <v>19.18</v>
      </c>
      <c r="S4606">
        <v>3.18</v>
      </c>
      <c r="T4606">
        <v>1.25</v>
      </c>
      <c r="U4606">
        <v>28.3</v>
      </c>
      <c r="V4606">
        <v>60</v>
      </c>
      <c r="W4606">
        <v>18.89</v>
      </c>
      <c r="X4606">
        <v>5958</v>
      </c>
      <c r="Y4606">
        <v>6062</v>
      </c>
      <c r="Z4606">
        <v>0.98</v>
      </c>
      <c r="AA4606">
        <v>60</v>
      </c>
      <c r="AB4606">
        <v>4</v>
      </c>
      <c r="AC4606">
        <v>2.68</v>
      </c>
      <c r="AD4606" t="s">
        <v>14495</v>
      </c>
      <c r="AE4606" t="s">
        <v>21267</v>
      </c>
      <c r="AF4606" t="s">
        <v>16566</v>
      </c>
      <c r="AG4606" t="s">
        <v>21268</v>
      </c>
      <c r="AH4606">
        <v>-2.75</v>
      </c>
      <c r="AI4606">
        <v>-2.29</v>
      </c>
      <c r="AJ4606">
        <v>7.12</v>
      </c>
      <c r="AK4606">
        <v>12.79</v>
      </c>
      <c r="AL4606">
        <v>-2</v>
      </c>
      <c r="AM4606">
        <v>-2.19</v>
      </c>
      <c r="AN4606">
        <v>23.34</v>
      </c>
      <c r="AO4606">
        <v>1.35</v>
      </c>
      <c r="AP4606">
        <v>14.18</v>
      </c>
    </row>
    <row r="4607" spans="1:42">
      <c r="A4607">
        <v>4606</v>
      </c>
      <c r="B4607" t="str">
        <f>"300306"</f>
        <v>300306</v>
      </c>
      <c r="C4607" t="s">
        <v>21269</v>
      </c>
      <c r="D4607">
        <v>12.43</v>
      </c>
      <c r="E4607">
        <v>1.47</v>
      </c>
      <c r="F4607">
        <v>0.18</v>
      </c>
      <c r="G4607" t="s">
        <v>6012</v>
      </c>
      <c r="H4607">
        <v>206</v>
      </c>
      <c r="I4607">
        <v>12.42</v>
      </c>
      <c r="J4607">
        <v>12.43</v>
      </c>
      <c r="K4607" t="s">
        <v>21270</v>
      </c>
      <c r="L4607">
        <v>1.17</v>
      </c>
      <c r="M4607" t="s">
        <v>46</v>
      </c>
      <c r="N4607" t="s">
        <v>4994</v>
      </c>
      <c r="O4607">
        <v>12.44</v>
      </c>
      <c r="P4607">
        <v>12.21</v>
      </c>
      <c r="Q4607">
        <v>12.28</v>
      </c>
      <c r="R4607">
        <v>12.25</v>
      </c>
      <c r="S4607">
        <v>1.88</v>
      </c>
      <c r="T4607">
        <v>0.62</v>
      </c>
      <c r="U4607">
        <v>-56.42</v>
      </c>
      <c r="V4607">
        <v>-1116</v>
      </c>
      <c r="W4607">
        <v>12.32</v>
      </c>
      <c r="X4607">
        <v>8651</v>
      </c>
      <c r="Y4607">
        <v>9764</v>
      </c>
      <c r="Z4607">
        <v>0.89</v>
      </c>
      <c r="AA4607">
        <v>198</v>
      </c>
      <c r="AB4607">
        <v>175</v>
      </c>
      <c r="AC4607">
        <v>2.25</v>
      </c>
      <c r="AD4607" t="s">
        <v>13896</v>
      </c>
      <c r="AE4607" t="s">
        <v>21271</v>
      </c>
      <c r="AF4607" t="s">
        <v>3162</v>
      </c>
      <c r="AG4607" t="s">
        <v>5148</v>
      </c>
      <c r="AH4607">
        <v>-0.24</v>
      </c>
      <c r="AI4607">
        <v>0.24</v>
      </c>
      <c r="AJ4607">
        <v>4.14</v>
      </c>
      <c r="AK4607">
        <v>10.62</v>
      </c>
      <c r="AL4607">
        <v>1</v>
      </c>
      <c r="AM4607">
        <v>1.47</v>
      </c>
      <c r="AN4607">
        <v>37.8</v>
      </c>
      <c r="AO4607">
        <v>3.58</v>
      </c>
      <c r="AP4607">
        <v>22.7</v>
      </c>
    </row>
    <row r="4608" spans="1:42">
      <c r="A4608">
        <v>4607</v>
      </c>
      <c r="B4608" t="str">
        <f>"001228"</f>
        <v>001228</v>
      </c>
      <c r="C4608" t="s">
        <v>21272</v>
      </c>
      <c r="D4608">
        <v>34.43</v>
      </c>
      <c r="E4608">
        <v>1.44</v>
      </c>
      <c r="F4608">
        <v>0.49</v>
      </c>
      <c r="G4608">
        <v>6607</v>
      </c>
      <c r="H4608">
        <v>68</v>
      </c>
      <c r="I4608">
        <v>34.34</v>
      </c>
      <c r="J4608">
        <v>34.43</v>
      </c>
      <c r="K4608" t="s">
        <v>21270</v>
      </c>
      <c r="L4608">
        <v>1.2</v>
      </c>
      <c r="M4608" t="s">
        <v>46</v>
      </c>
      <c r="N4608" t="s">
        <v>4278</v>
      </c>
      <c r="O4608">
        <v>34.6</v>
      </c>
      <c r="P4608">
        <v>33.94</v>
      </c>
      <c r="Q4608">
        <v>33.96</v>
      </c>
      <c r="R4608">
        <v>33.94</v>
      </c>
      <c r="S4608">
        <v>1.94</v>
      </c>
      <c r="T4608">
        <v>1.05</v>
      </c>
      <c r="U4608">
        <v>15.28</v>
      </c>
      <c r="V4608">
        <v>92</v>
      </c>
      <c r="W4608">
        <v>34.33</v>
      </c>
      <c r="X4608">
        <v>2444</v>
      </c>
      <c r="Y4608">
        <v>4163</v>
      </c>
      <c r="Z4608">
        <v>0.59</v>
      </c>
      <c r="AA4608">
        <v>158</v>
      </c>
      <c r="AB4608">
        <v>20</v>
      </c>
      <c r="AC4608">
        <v>2.06</v>
      </c>
      <c r="AD4608" t="s">
        <v>10228</v>
      </c>
      <c r="AE4608" t="s">
        <v>9253</v>
      </c>
      <c r="AF4608" t="s">
        <v>15410</v>
      </c>
      <c r="AG4608" t="s">
        <v>20261</v>
      </c>
      <c r="AH4608">
        <v>-0.09</v>
      </c>
      <c r="AI4608">
        <v>-1.63</v>
      </c>
      <c r="AJ4608">
        <v>2.99</v>
      </c>
      <c r="AK4608">
        <v>6.96</v>
      </c>
      <c r="AL4608">
        <v>1</v>
      </c>
      <c r="AM4608">
        <v>1.44</v>
      </c>
      <c r="AN4608">
        <v>-30.03</v>
      </c>
      <c r="AO4608">
        <v>-0.55</v>
      </c>
      <c r="AP4608">
        <v>-33.7</v>
      </c>
    </row>
    <row r="4609" spans="1:42">
      <c r="A4609">
        <v>4608</v>
      </c>
      <c r="B4609" t="str">
        <f>"301002"</f>
        <v>301002</v>
      </c>
      <c r="C4609" t="s">
        <v>21273</v>
      </c>
      <c r="D4609">
        <v>20.31</v>
      </c>
      <c r="E4609">
        <v>0.94</v>
      </c>
      <c r="F4609">
        <v>0.19</v>
      </c>
      <c r="G4609" t="s">
        <v>734</v>
      </c>
      <c r="H4609">
        <v>72</v>
      </c>
      <c r="I4609">
        <v>20.31</v>
      </c>
      <c r="J4609">
        <v>20.32</v>
      </c>
      <c r="K4609" t="s">
        <v>21274</v>
      </c>
      <c r="L4609">
        <v>1.92</v>
      </c>
      <c r="M4609" t="s">
        <v>46</v>
      </c>
      <c r="N4609" t="s">
        <v>1244</v>
      </c>
      <c r="O4609">
        <v>20.43</v>
      </c>
      <c r="P4609">
        <v>19.95</v>
      </c>
      <c r="Q4609">
        <v>20.08</v>
      </c>
      <c r="R4609">
        <v>20.12</v>
      </c>
      <c r="S4609">
        <v>2.39</v>
      </c>
      <c r="T4609">
        <v>1.04</v>
      </c>
      <c r="U4609">
        <v>25.15</v>
      </c>
      <c r="V4609">
        <v>41</v>
      </c>
      <c r="W4609">
        <v>20.2</v>
      </c>
      <c r="X4609">
        <v>5535</v>
      </c>
      <c r="Y4609">
        <v>5678</v>
      </c>
      <c r="Z4609">
        <v>0.97</v>
      </c>
      <c r="AA4609">
        <v>5</v>
      </c>
      <c r="AB4609">
        <v>20</v>
      </c>
      <c r="AC4609">
        <v>3.27</v>
      </c>
      <c r="AD4609" t="s">
        <v>9062</v>
      </c>
      <c r="AE4609" t="s">
        <v>20868</v>
      </c>
      <c r="AF4609" t="s">
        <v>14970</v>
      </c>
      <c r="AG4609" t="s">
        <v>14935</v>
      </c>
      <c r="AH4609">
        <v>-2.03</v>
      </c>
      <c r="AI4609">
        <v>-0.64</v>
      </c>
      <c r="AJ4609">
        <v>5.95</v>
      </c>
      <c r="AK4609">
        <v>11.2</v>
      </c>
      <c r="AL4609">
        <v>1</v>
      </c>
      <c r="AM4609">
        <v>0.94</v>
      </c>
      <c r="AN4609">
        <v>-7.68</v>
      </c>
      <c r="AO4609">
        <v>1.4</v>
      </c>
      <c r="AP4609">
        <v>-0.39</v>
      </c>
    </row>
    <row r="4610" spans="1:42">
      <c r="A4610">
        <v>4609</v>
      </c>
      <c r="B4610" t="str">
        <f>"688345"</f>
        <v>688345</v>
      </c>
      <c r="C4610" t="s">
        <v>21275</v>
      </c>
      <c r="D4610">
        <v>31.3</v>
      </c>
      <c r="E4610">
        <v>-1.14</v>
      </c>
      <c r="F4610">
        <v>-0.36</v>
      </c>
      <c r="G4610">
        <v>7277</v>
      </c>
      <c r="H4610">
        <v>90</v>
      </c>
      <c r="I4610">
        <v>31.3</v>
      </c>
      <c r="J4610">
        <v>31.31</v>
      </c>
      <c r="K4610" t="s">
        <v>21276</v>
      </c>
      <c r="L4610">
        <v>2.87</v>
      </c>
      <c r="M4610" t="s">
        <v>46</v>
      </c>
      <c r="N4610" t="s">
        <v>4602</v>
      </c>
      <c r="O4610">
        <v>31.65</v>
      </c>
      <c r="P4610">
        <v>30.76</v>
      </c>
      <c r="Q4610">
        <v>31.64</v>
      </c>
      <c r="R4610">
        <v>31.66</v>
      </c>
      <c r="S4610">
        <v>2.81</v>
      </c>
      <c r="T4610">
        <v>1.41</v>
      </c>
      <c r="U4610">
        <v>44.22</v>
      </c>
      <c r="V4610">
        <v>50</v>
      </c>
      <c r="W4610">
        <v>31.11</v>
      </c>
      <c r="X4610">
        <v>3328</v>
      </c>
      <c r="Y4610">
        <v>3949</v>
      </c>
      <c r="Z4610">
        <v>0.84</v>
      </c>
      <c r="AA4610">
        <v>4</v>
      </c>
      <c r="AB4610">
        <v>6</v>
      </c>
      <c r="AC4610">
        <v>2.55</v>
      </c>
      <c r="AD4610" t="s">
        <v>5976</v>
      </c>
      <c r="AE4610" t="s">
        <v>9209</v>
      </c>
      <c r="AF4610" t="s">
        <v>21277</v>
      </c>
      <c r="AG4610" t="s">
        <v>21278</v>
      </c>
      <c r="AH4610">
        <v>-4.37</v>
      </c>
      <c r="AI4610">
        <v>-4.86</v>
      </c>
      <c r="AJ4610">
        <v>7.48</v>
      </c>
      <c r="AK4610">
        <v>13.03</v>
      </c>
      <c r="AL4610">
        <v>-3</v>
      </c>
      <c r="AM4610">
        <v>-1.14</v>
      </c>
      <c r="AN4610">
        <v>-39.89</v>
      </c>
      <c r="AO4610">
        <v>0.38</v>
      </c>
      <c r="AP4610">
        <v>-38.12</v>
      </c>
    </row>
    <row r="4611" spans="1:42">
      <c r="A4611">
        <v>4610</v>
      </c>
      <c r="B4611" t="str">
        <f>"300535"</f>
        <v>300535</v>
      </c>
      <c r="C4611" t="s">
        <v>21279</v>
      </c>
      <c r="D4611">
        <v>17.28</v>
      </c>
      <c r="E4611">
        <v>-0.63</v>
      </c>
      <c r="F4611">
        <v>-0.11</v>
      </c>
      <c r="G4611" t="s">
        <v>1170</v>
      </c>
      <c r="H4611">
        <v>180</v>
      </c>
      <c r="I4611">
        <v>17.26</v>
      </c>
      <c r="J4611">
        <v>17.28</v>
      </c>
      <c r="K4611" t="s">
        <v>21280</v>
      </c>
      <c r="L4611">
        <v>1.71</v>
      </c>
      <c r="M4611" t="s">
        <v>46</v>
      </c>
      <c r="N4611" t="s">
        <v>4496</v>
      </c>
      <c r="O4611">
        <v>17.47</v>
      </c>
      <c r="P4611">
        <v>17.2</v>
      </c>
      <c r="Q4611">
        <v>17.39</v>
      </c>
      <c r="R4611">
        <v>17.39</v>
      </c>
      <c r="S4611">
        <v>1.55</v>
      </c>
      <c r="T4611">
        <v>0.82</v>
      </c>
      <c r="U4611">
        <v>30.64</v>
      </c>
      <c r="V4611">
        <v>129</v>
      </c>
      <c r="W4611">
        <v>17.32</v>
      </c>
      <c r="X4611">
        <v>6800</v>
      </c>
      <c r="Y4611">
        <v>6259</v>
      </c>
      <c r="Z4611">
        <v>1.09</v>
      </c>
      <c r="AA4611">
        <v>30</v>
      </c>
      <c r="AB4611">
        <v>103</v>
      </c>
      <c r="AC4611">
        <v>1.94</v>
      </c>
      <c r="AD4611" t="s">
        <v>21281</v>
      </c>
      <c r="AE4611" t="s">
        <v>21207</v>
      </c>
      <c r="AF4611" t="s">
        <v>21282</v>
      </c>
      <c r="AG4611" t="s">
        <v>4141</v>
      </c>
      <c r="AH4611">
        <v>-1.99</v>
      </c>
      <c r="AI4611">
        <v>-1.59</v>
      </c>
      <c r="AJ4611">
        <v>5.43</v>
      </c>
      <c r="AK4611">
        <v>12.18</v>
      </c>
      <c r="AL4611">
        <v>-2</v>
      </c>
      <c r="AM4611">
        <v>-0.63</v>
      </c>
      <c r="AN4611">
        <v>34.47</v>
      </c>
      <c r="AO4611">
        <v>0.82</v>
      </c>
      <c r="AP4611">
        <v>26.22</v>
      </c>
    </row>
    <row r="4612" spans="1:42">
      <c r="A4612">
        <v>4611</v>
      </c>
      <c r="B4612" t="str">
        <f>"002529"</f>
        <v>002529</v>
      </c>
      <c r="C4612" t="s">
        <v>21283</v>
      </c>
      <c r="D4612">
        <v>11.59</v>
      </c>
      <c r="E4612">
        <v>0.26</v>
      </c>
      <c r="F4612">
        <v>0.03</v>
      </c>
      <c r="G4612" t="s">
        <v>1455</v>
      </c>
      <c r="H4612">
        <v>112</v>
      </c>
      <c r="I4612">
        <v>11.58</v>
      </c>
      <c r="J4612">
        <v>11.59</v>
      </c>
      <c r="K4612" t="s">
        <v>21284</v>
      </c>
      <c r="L4612">
        <v>0.76</v>
      </c>
      <c r="M4612" t="s">
        <v>46</v>
      </c>
      <c r="N4612" t="s">
        <v>5707</v>
      </c>
      <c r="O4612">
        <v>11.65</v>
      </c>
      <c r="P4612">
        <v>11.39</v>
      </c>
      <c r="Q4612">
        <v>11.55</v>
      </c>
      <c r="R4612">
        <v>11.56</v>
      </c>
      <c r="S4612">
        <v>2.25</v>
      </c>
      <c r="T4612">
        <v>0.89</v>
      </c>
      <c r="U4612">
        <v>8.56</v>
      </c>
      <c r="V4612">
        <v>47</v>
      </c>
      <c r="W4612">
        <v>11.51</v>
      </c>
      <c r="X4612" t="s">
        <v>7974</v>
      </c>
      <c r="Y4612">
        <v>8867</v>
      </c>
      <c r="Z4612">
        <v>1.22</v>
      </c>
      <c r="AA4612">
        <v>36</v>
      </c>
      <c r="AB4612">
        <v>3</v>
      </c>
      <c r="AC4612">
        <v>5.64</v>
      </c>
      <c r="AD4612" t="s">
        <v>18306</v>
      </c>
      <c r="AE4612" t="s">
        <v>1874</v>
      </c>
      <c r="AF4612" t="s">
        <v>18306</v>
      </c>
      <c r="AG4612" t="s">
        <v>1874</v>
      </c>
      <c r="AH4612">
        <v>-2.03</v>
      </c>
      <c r="AI4612">
        <v>-1.95</v>
      </c>
      <c r="AJ4612">
        <v>2.46</v>
      </c>
      <c r="AK4612">
        <v>5</v>
      </c>
      <c r="AL4612">
        <v>1</v>
      </c>
      <c r="AM4612">
        <v>0.26</v>
      </c>
      <c r="AN4612">
        <v>-33.31</v>
      </c>
      <c r="AO4612">
        <v>1.85</v>
      </c>
      <c r="AP4612">
        <v>-33.73</v>
      </c>
    </row>
    <row r="4613" spans="1:42">
      <c r="A4613">
        <v>4612</v>
      </c>
      <c r="B4613" t="str">
        <f>"601068"</f>
        <v>601068</v>
      </c>
      <c r="C4613" t="s">
        <v>21285</v>
      </c>
      <c r="D4613">
        <v>4.73</v>
      </c>
      <c r="E4613">
        <v>1.72</v>
      </c>
      <c r="F4613">
        <v>0.08</v>
      </c>
      <c r="G4613" t="s">
        <v>2650</v>
      </c>
      <c r="H4613">
        <v>412</v>
      </c>
      <c r="I4613">
        <v>4.72</v>
      </c>
      <c r="J4613">
        <v>4.73</v>
      </c>
      <c r="K4613" t="s">
        <v>21284</v>
      </c>
      <c r="L4613">
        <v>0.19</v>
      </c>
      <c r="M4613" t="s">
        <v>46</v>
      </c>
      <c r="N4613" t="s">
        <v>21286</v>
      </c>
      <c r="O4613">
        <v>4.74</v>
      </c>
      <c r="P4613">
        <v>4.63</v>
      </c>
      <c r="Q4613">
        <v>4.68</v>
      </c>
      <c r="R4613">
        <v>4.65</v>
      </c>
      <c r="S4613">
        <v>2.37</v>
      </c>
      <c r="T4613">
        <v>0.91</v>
      </c>
      <c r="U4613">
        <v>-64.76</v>
      </c>
      <c r="V4613">
        <v>-8294</v>
      </c>
      <c r="W4613">
        <v>4.69</v>
      </c>
      <c r="X4613" t="s">
        <v>1212</v>
      </c>
      <c r="Y4613" t="s">
        <v>6954</v>
      </c>
      <c r="Z4613">
        <v>0.88</v>
      </c>
      <c r="AA4613">
        <v>307</v>
      </c>
      <c r="AB4613">
        <v>1255</v>
      </c>
      <c r="AC4613">
        <v>3.27</v>
      </c>
      <c r="AD4613" t="s">
        <v>15461</v>
      </c>
      <c r="AE4613" t="s">
        <v>6932</v>
      </c>
      <c r="AF4613" t="s">
        <v>18592</v>
      </c>
      <c r="AG4613" t="s">
        <v>19781</v>
      </c>
      <c r="AH4613">
        <v>-0.21</v>
      </c>
      <c r="AI4613">
        <v>-0.21</v>
      </c>
      <c r="AJ4613">
        <v>0.58</v>
      </c>
      <c r="AK4613">
        <v>1.22</v>
      </c>
      <c r="AL4613">
        <v>1</v>
      </c>
      <c r="AM4613">
        <v>1.72</v>
      </c>
      <c r="AN4613">
        <v>0.42</v>
      </c>
      <c r="AO4613">
        <v>-1.05</v>
      </c>
      <c r="AP4613">
        <v>-12.24</v>
      </c>
    </row>
    <row r="4614" spans="1:42">
      <c r="A4614">
        <v>4613</v>
      </c>
      <c r="B4614" t="str">
        <f>"605299"</f>
        <v>605299</v>
      </c>
      <c r="C4614" t="s">
        <v>21287</v>
      </c>
      <c r="D4614">
        <v>10.9</v>
      </c>
      <c r="E4614">
        <v>1.58</v>
      </c>
      <c r="F4614">
        <v>0.17</v>
      </c>
      <c r="G4614" t="s">
        <v>6580</v>
      </c>
      <c r="H4614">
        <v>116</v>
      </c>
      <c r="I4614">
        <v>10.89</v>
      </c>
      <c r="J4614">
        <v>10.9</v>
      </c>
      <c r="K4614" t="s">
        <v>21284</v>
      </c>
      <c r="L4614">
        <v>1.85</v>
      </c>
      <c r="M4614" t="s">
        <v>46</v>
      </c>
      <c r="N4614" t="s">
        <v>21216</v>
      </c>
      <c r="O4614">
        <v>10.99</v>
      </c>
      <c r="P4614">
        <v>10.63</v>
      </c>
      <c r="Q4614">
        <v>10.79</v>
      </c>
      <c r="R4614">
        <v>10.73</v>
      </c>
      <c r="S4614">
        <v>3.36</v>
      </c>
      <c r="T4614">
        <v>1.18</v>
      </c>
      <c r="U4614">
        <v>-12.64</v>
      </c>
      <c r="V4614">
        <v>-88</v>
      </c>
      <c r="W4614">
        <v>10.85</v>
      </c>
      <c r="X4614">
        <v>8600</v>
      </c>
      <c r="Y4614" t="s">
        <v>1254</v>
      </c>
      <c r="Z4614">
        <v>0.7</v>
      </c>
      <c r="AA4614">
        <v>160</v>
      </c>
      <c r="AB4614">
        <v>4</v>
      </c>
      <c r="AC4614">
        <v>3.61</v>
      </c>
      <c r="AD4614" t="s">
        <v>3548</v>
      </c>
      <c r="AE4614" t="s">
        <v>4419</v>
      </c>
      <c r="AF4614" t="s">
        <v>21288</v>
      </c>
      <c r="AG4614" t="s">
        <v>5896</v>
      </c>
      <c r="AH4614">
        <v>-0.09</v>
      </c>
      <c r="AI4614">
        <v>-0.55</v>
      </c>
      <c r="AJ4614">
        <v>4.81</v>
      </c>
      <c r="AK4614">
        <v>9.75</v>
      </c>
      <c r="AL4614">
        <v>1</v>
      </c>
      <c r="AM4614">
        <v>1.58</v>
      </c>
      <c r="AN4614">
        <v>-3.96</v>
      </c>
      <c r="AO4614">
        <v>1.68</v>
      </c>
      <c r="AP4614">
        <v>8.24</v>
      </c>
    </row>
    <row r="4615" spans="1:42">
      <c r="A4615">
        <v>4614</v>
      </c>
      <c r="B4615" t="str">
        <f>"688129"</f>
        <v>688129</v>
      </c>
      <c r="C4615" t="s">
        <v>21289</v>
      </c>
      <c r="D4615">
        <v>16.67</v>
      </c>
      <c r="E4615">
        <v>-0.54</v>
      </c>
      <c r="F4615">
        <v>-0.09</v>
      </c>
      <c r="G4615" t="s">
        <v>1384</v>
      </c>
      <c r="H4615">
        <v>114</v>
      </c>
      <c r="I4615">
        <v>16.67</v>
      </c>
      <c r="J4615">
        <v>16.68</v>
      </c>
      <c r="K4615" t="s">
        <v>21290</v>
      </c>
      <c r="L4615">
        <v>1.12</v>
      </c>
      <c r="M4615" t="s">
        <v>46</v>
      </c>
      <c r="N4615" t="s">
        <v>8131</v>
      </c>
      <c r="O4615">
        <v>16.99</v>
      </c>
      <c r="P4615">
        <v>16.5</v>
      </c>
      <c r="Q4615">
        <v>16.99</v>
      </c>
      <c r="R4615">
        <v>16.76</v>
      </c>
      <c r="S4615">
        <v>2.92</v>
      </c>
      <c r="T4615">
        <v>0.81</v>
      </c>
      <c r="U4615">
        <v>28.21</v>
      </c>
      <c r="V4615">
        <v>86</v>
      </c>
      <c r="W4615">
        <v>16.78</v>
      </c>
      <c r="X4615">
        <v>6522</v>
      </c>
      <c r="Y4615">
        <v>6937</v>
      </c>
      <c r="Z4615">
        <v>0.94</v>
      </c>
      <c r="AA4615">
        <v>31</v>
      </c>
      <c r="AB4615">
        <v>52</v>
      </c>
      <c r="AC4615">
        <v>2.37</v>
      </c>
      <c r="AD4615" t="s">
        <v>10159</v>
      </c>
      <c r="AE4615" t="s">
        <v>18320</v>
      </c>
      <c r="AF4615" t="s">
        <v>10159</v>
      </c>
      <c r="AG4615" t="s">
        <v>18320</v>
      </c>
      <c r="AH4615">
        <v>-2.97</v>
      </c>
      <c r="AI4615">
        <v>-1.36</v>
      </c>
      <c r="AJ4615">
        <v>3.36</v>
      </c>
      <c r="AK4615">
        <v>8.03</v>
      </c>
      <c r="AL4615">
        <v>-4</v>
      </c>
      <c r="AM4615">
        <v>-0.54</v>
      </c>
      <c r="AN4615">
        <v>27.15</v>
      </c>
      <c r="AO4615">
        <v>2.21</v>
      </c>
      <c r="AP4615">
        <v>20.36</v>
      </c>
    </row>
    <row r="4616" spans="1:42">
      <c r="A4616">
        <v>4615</v>
      </c>
      <c r="B4616" t="str">
        <f>"603817"</f>
        <v>603817</v>
      </c>
      <c r="C4616" t="s">
        <v>21291</v>
      </c>
      <c r="D4616">
        <v>6.43</v>
      </c>
      <c r="E4616">
        <v>0.16</v>
      </c>
      <c r="F4616">
        <v>0.01</v>
      </c>
      <c r="G4616" t="s">
        <v>5831</v>
      </c>
      <c r="H4616">
        <v>477</v>
      </c>
      <c r="I4616">
        <v>6.43</v>
      </c>
      <c r="J4616">
        <v>6.44</v>
      </c>
      <c r="K4616" t="s">
        <v>21290</v>
      </c>
      <c r="L4616">
        <v>0.68</v>
      </c>
      <c r="M4616" t="s">
        <v>46</v>
      </c>
      <c r="N4616" t="s">
        <v>1668</v>
      </c>
      <c r="O4616">
        <v>6.48</v>
      </c>
      <c r="P4616">
        <v>6.4</v>
      </c>
      <c r="Q4616">
        <v>6.45</v>
      </c>
      <c r="R4616">
        <v>6.42</v>
      </c>
      <c r="S4616">
        <v>1.25</v>
      </c>
      <c r="T4616">
        <v>0.6</v>
      </c>
      <c r="U4616">
        <v>-40.24</v>
      </c>
      <c r="V4616">
        <v>-1906</v>
      </c>
      <c r="W4616">
        <v>6.44</v>
      </c>
      <c r="X4616" t="s">
        <v>10934</v>
      </c>
      <c r="Y4616" t="s">
        <v>141</v>
      </c>
      <c r="Z4616">
        <v>1.22</v>
      </c>
      <c r="AA4616">
        <v>33</v>
      </c>
      <c r="AB4616">
        <v>334</v>
      </c>
      <c r="AC4616">
        <v>1.32</v>
      </c>
      <c r="AD4616" t="s">
        <v>21292</v>
      </c>
      <c r="AE4616" t="s">
        <v>20501</v>
      </c>
      <c r="AF4616" t="s">
        <v>16963</v>
      </c>
      <c r="AG4616" t="s">
        <v>3608</v>
      </c>
      <c r="AH4616">
        <v>-0.46</v>
      </c>
      <c r="AI4616">
        <v>-0.31</v>
      </c>
      <c r="AJ4616">
        <v>2.78</v>
      </c>
      <c r="AK4616">
        <v>6.38</v>
      </c>
      <c r="AL4616">
        <v>1</v>
      </c>
      <c r="AM4616">
        <v>0.16</v>
      </c>
      <c r="AN4616">
        <v>7.35</v>
      </c>
      <c r="AO4616">
        <v>4.21</v>
      </c>
      <c r="AP4616">
        <v>0.63</v>
      </c>
    </row>
    <row r="4617" spans="1:42">
      <c r="A4617">
        <v>4616</v>
      </c>
      <c r="B4617" t="str">
        <f>"000601"</f>
        <v>000601</v>
      </c>
      <c r="C4617" t="s">
        <v>21293</v>
      </c>
      <c r="D4617">
        <v>4.57</v>
      </c>
      <c r="E4617">
        <v>0.22</v>
      </c>
      <c r="F4617">
        <v>0.01</v>
      </c>
      <c r="G4617" t="s">
        <v>743</v>
      </c>
      <c r="H4617">
        <v>187</v>
      </c>
      <c r="I4617">
        <v>4.57</v>
      </c>
      <c r="J4617">
        <v>4.58</v>
      </c>
      <c r="K4617" t="s">
        <v>21294</v>
      </c>
      <c r="L4617">
        <v>0.46</v>
      </c>
      <c r="M4617" t="s">
        <v>46</v>
      </c>
      <c r="N4617" t="s">
        <v>21295</v>
      </c>
      <c r="O4617">
        <v>4.58</v>
      </c>
      <c r="P4617">
        <v>4.52</v>
      </c>
      <c r="Q4617">
        <v>4.54</v>
      </c>
      <c r="R4617">
        <v>4.56</v>
      </c>
      <c r="S4617">
        <v>1.32</v>
      </c>
      <c r="T4617">
        <v>0.89</v>
      </c>
      <c r="U4617">
        <v>-6.25</v>
      </c>
      <c r="V4617">
        <v>-800</v>
      </c>
      <c r="W4617">
        <v>4.55</v>
      </c>
      <c r="X4617" t="s">
        <v>2924</v>
      </c>
      <c r="Y4617" t="s">
        <v>8072</v>
      </c>
      <c r="Z4617">
        <v>0.66</v>
      </c>
      <c r="AA4617">
        <v>1331</v>
      </c>
      <c r="AB4617">
        <v>456</v>
      </c>
      <c r="AC4617">
        <v>1.07</v>
      </c>
      <c r="AD4617" t="s">
        <v>9551</v>
      </c>
      <c r="AE4617" t="s">
        <v>21296</v>
      </c>
      <c r="AF4617" t="s">
        <v>14962</v>
      </c>
      <c r="AG4617" t="s">
        <v>5259</v>
      </c>
      <c r="AH4617">
        <v>0</v>
      </c>
      <c r="AI4617">
        <v>1.33</v>
      </c>
      <c r="AJ4617">
        <v>1.15</v>
      </c>
      <c r="AK4617">
        <v>3.03</v>
      </c>
      <c r="AL4617">
        <v>1</v>
      </c>
      <c r="AM4617">
        <v>0.22</v>
      </c>
      <c r="AN4617">
        <v>-2.77</v>
      </c>
      <c r="AO4617">
        <v>5.3</v>
      </c>
      <c r="AP4617">
        <v>-6.54</v>
      </c>
    </row>
    <row r="4618" spans="1:42">
      <c r="A4618">
        <v>4617</v>
      </c>
      <c r="B4618" t="str">
        <f>"002598"</f>
        <v>002598</v>
      </c>
      <c r="C4618" t="s">
        <v>21297</v>
      </c>
      <c r="D4618">
        <v>10.17</v>
      </c>
      <c r="E4618">
        <v>-0.59</v>
      </c>
      <c r="F4618">
        <v>-0.06</v>
      </c>
      <c r="G4618" t="s">
        <v>8267</v>
      </c>
      <c r="H4618">
        <v>136</v>
      </c>
      <c r="I4618">
        <v>10.16</v>
      </c>
      <c r="J4618">
        <v>10.17</v>
      </c>
      <c r="K4618" t="s">
        <v>21298</v>
      </c>
      <c r="L4618">
        <v>0.79</v>
      </c>
      <c r="M4618" t="s">
        <v>46</v>
      </c>
      <c r="N4618" t="s">
        <v>4927</v>
      </c>
      <c r="O4618">
        <v>10.24</v>
      </c>
      <c r="P4618">
        <v>10.12</v>
      </c>
      <c r="Q4618">
        <v>10.22</v>
      </c>
      <c r="R4618">
        <v>10.23</v>
      </c>
      <c r="S4618">
        <v>1.17</v>
      </c>
      <c r="T4618">
        <v>0.84</v>
      </c>
      <c r="U4618">
        <v>34.02</v>
      </c>
      <c r="V4618">
        <v>498</v>
      </c>
      <c r="W4618">
        <v>10.17</v>
      </c>
      <c r="X4618" t="s">
        <v>1400</v>
      </c>
      <c r="Y4618" t="s">
        <v>189</v>
      </c>
      <c r="Z4618">
        <v>0.89</v>
      </c>
      <c r="AA4618">
        <v>65</v>
      </c>
      <c r="AB4618">
        <v>3</v>
      </c>
      <c r="AC4618">
        <v>2.78</v>
      </c>
      <c r="AD4618" t="s">
        <v>4251</v>
      </c>
      <c r="AE4618" t="s">
        <v>20547</v>
      </c>
      <c r="AF4618" t="s">
        <v>8411</v>
      </c>
      <c r="AG4618" t="s">
        <v>13096</v>
      </c>
      <c r="AH4618">
        <v>-2.02</v>
      </c>
      <c r="AI4618">
        <v>-1.93</v>
      </c>
      <c r="AJ4618">
        <v>2.66</v>
      </c>
      <c r="AK4618">
        <v>5.48</v>
      </c>
      <c r="AL4618">
        <v>-3</v>
      </c>
      <c r="AM4618">
        <v>-0.59</v>
      </c>
      <c r="AN4618">
        <v>-8.38</v>
      </c>
      <c r="AO4618">
        <v>1.19</v>
      </c>
      <c r="AP4618">
        <v>-18.64</v>
      </c>
    </row>
    <row r="4619" spans="1:42">
      <c r="A4619">
        <v>4618</v>
      </c>
      <c r="B4619" t="str">
        <f>"300810"</f>
        <v>300810</v>
      </c>
      <c r="C4619" t="s">
        <v>21299</v>
      </c>
      <c r="D4619">
        <v>21.07</v>
      </c>
      <c r="E4619">
        <v>0.91</v>
      </c>
      <c r="F4619">
        <v>0.19</v>
      </c>
      <c r="G4619" t="s">
        <v>7974</v>
      </c>
      <c r="H4619">
        <v>248</v>
      </c>
      <c r="I4619">
        <v>21.05</v>
      </c>
      <c r="J4619">
        <v>21.07</v>
      </c>
      <c r="K4619" t="s">
        <v>21300</v>
      </c>
      <c r="L4619">
        <v>0.94</v>
      </c>
      <c r="M4619" t="s">
        <v>46</v>
      </c>
      <c r="N4619" t="s">
        <v>6281</v>
      </c>
      <c r="O4619">
        <v>21.13</v>
      </c>
      <c r="P4619">
        <v>20.67</v>
      </c>
      <c r="Q4619">
        <v>20.99</v>
      </c>
      <c r="R4619">
        <v>20.88</v>
      </c>
      <c r="S4619">
        <v>2.2</v>
      </c>
      <c r="T4619">
        <v>0.94</v>
      </c>
      <c r="U4619">
        <v>-22.9</v>
      </c>
      <c r="V4619">
        <v>-79</v>
      </c>
      <c r="W4619">
        <v>20.92</v>
      </c>
      <c r="X4619">
        <v>5599</v>
      </c>
      <c r="Y4619">
        <v>5168</v>
      </c>
      <c r="Z4619">
        <v>1.08</v>
      </c>
      <c r="AA4619">
        <v>3</v>
      </c>
      <c r="AB4619">
        <v>44</v>
      </c>
      <c r="AC4619">
        <v>2.53</v>
      </c>
      <c r="AD4619" t="s">
        <v>9248</v>
      </c>
      <c r="AE4619" t="s">
        <v>3893</v>
      </c>
      <c r="AF4619" t="s">
        <v>8646</v>
      </c>
      <c r="AG4619" t="s">
        <v>19949</v>
      </c>
      <c r="AH4619">
        <v>-0.33</v>
      </c>
      <c r="AI4619">
        <v>-1.13</v>
      </c>
      <c r="AJ4619">
        <v>2.87</v>
      </c>
      <c r="AK4619">
        <v>5.96</v>
      </c>
      <c r="AL4619">
        <v>1</v>
      </c>
      <c r="AM4619">
        <v>0.91</v>
      </c>
      <c r="AN4619">
        <v>21.79</v>
      </c>
      <c r="AO4619">
        <v>2.78</v>
      </c>
      <c r="AP4619">
        <v>14.45</v>
      </c>
    </row>
    <row r="4620" spans="1:42">
      <c r="A4620">
        <v>4619</v>
      </c>
      <c r="B4620" t="str">
        <f>"300670"</f>
        <v>300670</v>
      </c>
      <c r="C4620" t="s">
        <v>21301</v>
      </c>
      <c r="D4620">
        <v>7.94</v>
      </c>
      <c r="E4620">
        <v>-1.12</v>
      </c>
      <c r="F4620">
        <v>-0.09</v>
      </c>
      <c r="G4620" t="s">
        <v>8681</v>
      </c>
      <c r="H4620">
        <v>472</v>
      </c>
      <c r="I4620">
        <v>7.94</v>
      </c>
      <c r="J4620">
        <v>7.95</v>
      </c>
      <c r="K4620" t="s">
        <v>21302</v>
      </c>
      <c r="L4620">
        <v>1.27</v>
      </c>
      <c r="M4620" t="s">
        <v>46</v>
      </c>
      <c r="N4620" t="s">
        <v>4094</v>
      </c>
      <c r="O4620">
        <v>8.09</v>
      </c>
      <c r="P4620">
        <v>7.88</v>
      </c>
      <c r="Q4620">
        <v>8.09</v>
      </c>
      <c r="R4620">
        <v>8.03</v>
      </c>
      <c r="S4620">
        <v>2.62</v>
      </c>
      <c r="T4620">
        <v>0.87</v>
      </c>
      <c r="U4620">
        <v>69.5</v>
      </c>
      <c r="V4620">
        <v>2912</v>
      </c>
      <c r="W4620">
        <v>7.94</v>
      </c>
      <c r="X4620" t="s">
        <v>4105</v>
      </c>
      <c r="Y4620" t="s">
        <v>4717</v>
      </c>
      <c r="Z4620">
        <v>1.01</v>
      </c>
      <c r="AA4620">
        <v>373</v>
      </c>
      <c r="AB4620">
        <v>106</v>
      </c>
      <c r="AC4620">
        <v>3.33</v>
      </c>
      <c r="AD4620" t="s">
        <v>6555</v>
      </c>
      <c r="AE4620" t="s">
        <v>1784</v>
      </c>
      <c r="AF4620" t="s">
        <v>20023</v>
      </c>
      <c r="AG4620" t="s">
        <v>9531</v>
      </c>
      <c r="AH4620">
        <v>-1.98</v>
      </c>
      <c r="AI4620">
        <v>-1.12</v>
      </c>
      <c r="AJ4620">
        <v>4.06</v>
      </c>
      <c r="AK4620">
        <v>8.52</v>
      </c>
      <c r="AL4620">
        <v>-2</v>
      </c>
      <c r="AM4620">
        <v>-1.12</v>
      </c>
      <c r="AN4620">
        <v>5.87</v>
      </c>
      <c r="AO4620">
        <v>0.13</v>
      </c>
      <c r="AP4620">
        <v>3.25</v>
      </c>
    </row>
    <row r="4621" spans="1:42">
      <c r="A4621">
        <v>4620</v>
      </c>
      <c r="B4621" t="str">
        <f>"300858"</f>
        <v>300858</v>
      </c>
      <c r="C4621" t="s">
        <v>21303</v>
      </c>
      <c r="D4621">
        <v>20.27</v>
      </c>
      <c r="E4621">
        <v>-1.84</v>
      </c>
      <c r="F4621">
        <v>-0.38</v>
      </c>
      <c r="G4621" t="s">
        <v>4443</v>
      </c>
      <c r="H4621">
        <v>155</v>
      </c>
      <c r="I4621">
        <v>20.27</v>
      </c>
      <c r="J4621">
        <v>20.28</v>
      </c>
      <c r="K4621" t="s">
        <v>21304</v>
      </c>
      <c r="L4621">
        <v>0.57</v>
      </c>
      <c r="M4621" t="s">
        <v>46</v>
      </c>
      <c r="N4621" t="s">
        <v>6442</v>
      </c>
      <c r="O4621">
        <v>20.76</v>
      </c>
      <c r="P4621">
        <v>20.2</v>
      </c>
      <c r="Q4621">
        <v>20.68</v>
      </c>
      <c r="R4621">
        <v>20.65</v>
      </c>
      <c r="S4621">
        <v>2.71</v>
      </c>
      <c r="T4621">
        <v>0.93</v>
      </c>
      <c r="U4621">
        <v>-21.69</v>
      </c>
      <c r="V4621">
        <v>-277</v>
      </c>
      <c r="W4621">
        <v>20.42</v>
      </c>
      <c r="X4621">
        <v>7457</v>
      </c>
      <c r="Y4621">
        <v>3544</v>
      </c>
      <c r="Z4621">
        <v>2.1</v>
      </c>
      <c r="AA4621">
        <v>65</v>
      </c>
      <c r="AB4621">
        <v>137</v>
      </c>
      <c r="AC4621">
        <v>3.12</v>
      </c>
      <c r="AD4621" t="s">
        <v>21305</v>
      </c>
      <c r="AE4621" t="s">
        <v>16981</v>
      </c>
      <c r="AF4621" t="s">
        <v>21306</v>
      </c>
      <c r="AG4621" t="s">
        <v>21307</v>
      </c>
      <c r="AH4621">
        <v>-0.54</v>
      </c>
      <c r="AI4621">
        <v>-0.83</v>
      </c>
      <c r="AJ4621">
        <v>1.76</v>
      </c>
      <c r="AK4621">
        <v>3.65</v>
      </c>
      <c r="AL4621">
        <v>-1</v>
      </c>
      <c r="AM4621">
        <v>-1.84</v>
      </c>
      <c r="AN4621">
        <v>-0.69</v>
      </c>
      <c r="AO4621">
        <v>3.37</v>
      </c>
      <c r="AP4621">
        <v>6.18</v>
      </c>
    </row>
    <row r="4622" spans="1:42">
      <c r="A4622">
        <v>4621</v>
      </c>
      <c r="B4622" t="str">
        <f>"002884"</f>
        <v>002884</v>
      </c>
      <c r="C4622" t="s">
        <v>21308</v>
      </c>
      <c r="D4622">
        <v>16.6</v>
      </c>
      <c r="E4622">
        <v>-1.95</v>
      </c>
      <c r="F4622">
        <v>-0.33</v>
      </c>
      <c r="G4622" t="s">
        <v>1777</v>
      </c>
      <c r="H4622">
        <v>222</v>
      </c>
      <c r="I4622">
        <v>16.58</v>
      </c>
      <c r="J4622">
        <v>16.6</v>
      </c>
      <c r="K4622" t="s">
        <v>21309</v>
      </c>
      <c r="L4622">
        <v>0.49</v>
      </c>
      <c r="M4622" t="s">
        <v>46</v>
      </c>
      <c r="N4622" t="s">
        <v>13019</v>
      </c>
      <c r="O4622">
        <v>16.96</v>
      </c>
      <c r="P4622">
        <v>16.56</v>
      </c>
      <c r="Q4622">
        <v>16.96</v>
      </c>
      <c r="R4622">
        <v>16.93</v>
      </c>
      <c r="S4622">
        <v>2.36</v>
      </c>
      <c r="T4622">
        <v>1.56</v>
      </c>
      <c r="U4622">
        <v>2.3</v>
      </c>
      <c r="V4622">
        <v>15</v>
      </c>
      <c r="W4622">
        <v>16.75</v>
      </c>
      <c r="X4622">
        <v>8309</v>
      </c>
      <c r="Y4622">
        <v>5093</v>
      </c>
      <c r="Z4622">
        <v>1.63</v>
      </c>
      <c r="AA4622">
        <v>37</v>
      </c>
      <c r="AB4622">
        <v>86</v>
      </c>
      <c r="AC4622">
        <v>2.78</v>
      </c>
      <c r="AD4622" t="s">
        <v>20747</v>
      </c>
      <c r="AE4622" t="s">
        <v>18468</v>
      </c>
      <c r="AF4622" t="s">
        <v>21310</v>
      </c>
      <c r="AG4622" t="s">
        <v>20526</v>
      </c>
      <c r="AH4622">
        <v>-3.32</v>
      </c>
      <c r="AI4622">
        <v>-2.47</v>
      </c>
      <c r="AJ4622">
        <v>1.06</v>
      </c>
      <c r="AK4622">
        <v>2.06</v>
      </c>
      <c r="AL4622">
        <v>-3</v>
      </c>
      <c r="AM4622">
        <v>-1.95</v>
      </c>
      <c r="AN4622">
        <v>6.34</v>
      </c>
      <c r="AO4622">
        <v>-0.66</v>
      </c>
      <c r="AP4622">
        <v>7.37</v>
      </c>
    </row>
    <row r="4623" spans="1:42">
      <c r="A4623">
        <v>4622</v>
      </c>
      <c r="B4623" t="str">
        <f>"002346"</f>
        <v>002346</v>
      </c>
      <c r="C4623" t="s">
        <v>21311</v>
      </c>
      <c r="D4623">
        <v>11.3</v>
      </c>
      <c r="E4623">
        <v>-1.31</v>
      </c>
      <c r="F4623">
        <v>-0.15</v>
      </c>
      <c r="G4623" t="s">
        <v>1590</v>
      </c>
      <c r="H4623">
        <v>514</v>
      </c>
      <c r="I4623">
        <v>11.3</v>
      </c>
      <c r="J4623">
        <v>11.31</v>
      </c>
      <c r="K4623" t="s">
        <v>21309</v>
      </c>
      <c r="L4623">
        <v>0.52</v>
      </c>
      <c r="M4623" t="s">
        <v>46</v>
      </c>
      <c r="N4623" t="s">
        <v>7011</v>
      </c>
      <c r="O4623">
        <v>11.46</v>
      </c>
      <c r="P4623">
        <v>11.21</v>
      </c>
      <c r="Q4623">
        <v>11.43</v>
      </c>
      <c r="R4623">
        <v>11.45</v>
      </c>
      <c r="S4623">
        <v>2.18</v>
      </c>
      <c r="T4623">
        <v>1.34</v>
      </c>
      <c r="U4623">
        <v>50.04</v>
      </c>
      <c r="V4623">
        <v>699</v>
      </c>
      <c r="W4623">
        <v>11.3</v>
      </c>
      <c r="X4623" t="s">
        <v>8636</v>
      </c>
      <c r="Y4623">
        <v>7856</v>
      </c>
      <c r="Z4623">
        <v>1.53</v>
      </c>
      <c r="AA4623">
        <v>344</v>
      </c>
      <c r="AB4623">
        <v>5</v>
      </c>
      <c r="AC4623">
        <v>1.77</v>
      </c>
      <c r="AD4623" t="s">
        <v>21312</v>
      </c>
      <c r="AE4623" t="s">
        <v>77</v>
      </c>
      <c r="AF4623" t="s">
        <v>10077</v>
      </c>
      <c r="AG4623" t="s">
        <v>21313</v>
      </c>
      <c r="AH4623">
        <v>-3.17</v>
      </c>
      <c r="AI4623">
        <v>-2.59</v>
      </c>
      <c r="AJ4623">
        <v>1.31</v>
      </c>
      <c r="AK4623">
        <v>2.48</v>
      </c>
      <c r="AL4623">
        <v>-3</v>
      </c>
      <c r="AM4623">
        <v>-1.31</v>
      </c>
      <c r="AN4623">
        <v>-10.17</v>
      </c>
      <c r="AO4623">
        <v>-0.53</v>
      </c>
      <c r="AP4623">
        <v>-22.12</v>
      </c>
    </row>
    <row r="4624" spans="1:42">
      <c r="A4624">
        <v>4623</v>
      </c>
      <c r="B4624" t="str">
        <f>"301043"</f>
        <v>301043</v>
      </c>
      <c r="C4624" t="s">
        <v>21314</v>
      </c>
      <c r="D4624">
        <v>33.22</v>
      </c>
      <c r="E4624">
        <v>-0.48</v>
      </c>
      <c r="F4624">
        <v>-0.16</v>
      </c>
      <c r="G4624">
        <v>6760</v>
      </c>
      <c r="H4624">
        <v>44</v>
      </c>
      <c r="I4624">
        <v>33.2</v>
      </c>
      <c r="J4624">
        <v>33.23</v>
      </c>
      <c r="K4624" t="s">
        <v>21315</v>
      </c>
      <c r="L4624">
        <v>3.76</v>
      </c>
      <c r="M4624" t="s">
        <v>46</v>
      </c>
      <c r="N4624" t="s">
        <v>3416</v>
      </c>
      <c r="O4624">
        <v>33.65</v>
      </c>
      <c r="P4624">
        <v>32.91</v>
      </c>
      <c r="Q4624">
        <v>33.15</v>
      </c>
      <c r="R4624">
        <v>33.38</v>
      </c>
      <c r="S4624">
        <v>2.22</v>
      </c>
      <c r="T4624">
        <v>0.87</v>
      </c>
      <c r="U4624">
        <v>60.47</v>
      </c>
      <c r="V4624">
        <v>104</v>
      </c>
      <c r="W4624">
        <v>33.16</v>
      </c>
      <c r="X4624">
        <v>3422</v>
      </c>
      <c r="Y4624">
        <v>3338</v>
      </c>
      <c r="Z4624">
        <v>1.03</v>
      </c>
      <c r="AA4624">
        <v>7</v>
      </c>
      <c r="AB4624">
        <v>10</v>
      </c>
      <c r="AC4624">
        <v>2.8</v>
      </c>
      <c r="AD4624" t="s">
        <v>8052</v>
      </c>
      <c r="AE4624" t="s">
        <v>11910</v>
      </c>
      <c r="AF4624" t="s">
        <v>21316</v>
      </c>
      <c r="AG4624" t="s">
        <v>21317</v>
      </c>
      <c r="AH4624">
        <v>-1.51</v>
      </c>
      <c r="AI4624">
        <v>-1.77</v>
      </c>
      <c r="AJ4624">
        <v>15.46</v>
      </c>
      <c r="AK4624">
        <v>25.46</v>
      </c>
      <c r="AL4624">
        <v>-2</v>
      </c>
      <c r="AM4624">
        <v>-0.48</v>
      </c>
      <c r="AN4624">
        <v>45.38</v>
      </c>
      <c r="AO4624">
        <v>1.34</v>
      </c>
      <c r="AP4624">
        <v>27.04</v>
      </c>
    </row>
    <row r="4625" spans="1:42">
      <c r="A4625">
        <v>4624</v>
      </c>
      <c r="B4625" t="str">
        <f>"301061"</f>
        <v>301061</v>
      </c>
      <c r="C4625" t="s">
        <v>21318</v>
      </c>
      <c r="D4625">
        <v>42.88</v>
      </c>
      <c r="E4625">
        <v>2</v>
      </c>
      <c r="F4625">
        <v>0.84</v>
      </c>
      <c r="G4625">
        <v>5255</v>
      </c>
      <c r="H4625">
        <v>22</v>
      </c>
      <c r="I4625">
        <v>42.88</v>
      </c>
      <c r="J4625">
        <v>42.94</v>
      </c>
      <c r="K4625" t="s">
        <v>13414</v>
      </c>
      <c r="L4625">
        <v>1.64</v>
      </c>
      <c r="M4625" t="s">
        <v>46</v>
      </c>
      <c r="N4625" t="s">
        <v>4326</v>
      </c>
      <c r="O4625">
        <v>43.05</v>
      </c>
      <c r="P4625">
        <v>41.7</v>
      </c>
      <c r="Q4625">
        <v>41.83</v>
      </c>
      <c r="R4625">
        <v>42.04</v>
      </c>
      <c r="S4625">
        <v>3.21</v>
      </c>
      <c r="T4625">
        <v>1.21</v>
      </c>
      <c r="U4625">
        <v>11.6</v>
      </c>
      <c r="V4625">
        <v>20</v>
      </c>
      <c r="W4625">
        <v>42.63</v>
      </c>
      <c r="X4625">
        <v>2029</v>
      </c>
      <c r="Y4625">
        <v>3226</v>
      </c>
      <c r="Z4625">
        <v>0.63</v>
      </c>
      <c r="AA4625">
        <v>2</v>
      </c>
      <c r="AB4625">
        <v>4</v>
      </c>
      <c r="AC4625">
        <v>1.89</v>
      </c>
      <c r="AD4625" t="s">
        <v>9252</v>
      </c>
      <c r="AE4625" t="s">
        <v>21319</v>
      </c>
      <c r="AF4625" t="s">
        <v>21320</v>
      </c>
      <c r="AG4625" t="s">
        <v>21321</v>
      </c>
      <c r="AH4625">
        <v>1.42</v>
      </c>
      <c r="AI4625">
        <v>-0.39</v>
      </c>
      <c r="AJ4625">
        <v>5.63</v>
      </c>
      <c r="AK4625">
        <v>8.44</v>
      </c>
      <c r="AL4625">
        <v>2</v>
      </c>
      <c r="AM4625">
        <v>2</v>
      </c>
      <c r="AN4625">
        <v>54.47</v>
      </c>
      <c r="AO4625">
        <v>-3.45</v>
      </c>
      <c r="AP4625">
        <v>47.35</v>
      </c>
    </row>
    <row r="4626" spans="1:42">
      <c r="A4626">
        <v>4625</v>
      </c>
      <c r="B4626" t="str">
        <f>"603828"</f>
        <v>603828</v>
      </c>
      <c r="C4626" t="s">
        <v>21322</v>
      </c>
      <c r="D4626">
        <v>3.76</v>
      </c>
      <c r="E4626">
        <v>1.35</v>
      </c>
      <c r="F4626">
        <v>0.05</v>
      </c>
      <c r="G4626" t="s">
        <v>3520</v>
      </c>
      <c r="H4626">
        <v>980</v>
      </c>
      <c r="I4626">
        <v>3.75</v>
      </c>
      <c r="J4626">
        <v>3.76</v>
      </c>
      <c r="K4626" t="s">
        <v>21323</v>
      </c>
      <c r="L4626">
        <v>1</v>
      </c>
      <c r="M4626" t="s">
        <v>46</v>
      </c>
      <c r="N4626" t="s">
        <v>3167</v>
      </c>
      <c r="O4626">
        <v>3.8</v>
      </c>
      <c r="P4626">
        <v>3.71</v>
      </c>
      <c r="Q4626">
        <v>3.72</v>
      </c>
      <c r="R4626">
        <v>3.71</v>
      </c>
      <c r="S4626">
        <v>2.43</v>
      </c>
      <c r="T4626">
        <v>0.98</v>
      </c>
      <c r="U4626">
        <v>-21.77</v>
      </c>
      <c r="V4626">
        <v>-1267</v>
      </c>
      <c r="W4626">
        <v>3.76</v>
      </c>
      <c r="X4626" t="s">
        <v>8622</v>
      </c>
      <c r="Y4626" t="s">
        <v>1251</v>
      </c>
      <c r="Z4626">
        <v>0.98</v>
      </c>
      <c r="AA4626">
        <v>811</v>
      </c>
      <c r="AB4626">
        <v>104</v>
      </c>
      <c r="AC4626">
        <v>2.55</v>
      </c>
      <c r="AD4626" t="s">
        <v>6913</v>
      </c>
      <c r="AE4626" t="s">
        <v>14382</v>
      </c>
      <c r="AF4626" t="s">
        <v>16580</v>
      </c>
      <c r="AG4626" t="s">
        <v>14382</v>
      </c>
      <c r="AH4626">
        <v>-0.53</v>
      </c>
      <c r="AI4626">
        <v>-1.05</v>
      </c>
      <c r="AJ4626">
        <v>2.97</v>
      </c>
      <c r="AK4626">
        <v>6.11</v>
      </c>
      <c r="AL4626">
        <v>1</v>
      </c>
      <c r="AM4626">
        <v>1.35</v>
      </c>
      <c r="AN4626">
        <v>16.41</v>
      </c>
      <c r="AO4626">
        <v>2.73</v>
      </c>
      <c r="AP4626">
        <v>9.3</v>
      </c>
    </row>
    <row r="4627" spans="1:42">
      <c r="A4627">
        <v>4626</v>
      </c>
      <c r="B4627" t="str">
        <f>"688075"</f>
        <v>688075</v>
      </c>
      <c r="C4627" t="s">
        <v>21324</v>
      </c>
      <c r="D4627">
        <v>43.4</v>
      </c>
      <c r="E4627">
        <v>1.26</v>
      </c>
      <c r="F4627">
        <v>0.54</v>
      </c>
      <c r="G4627">
        <v>5205</v>
      </c>
      <c r="H4627">
        <v>20</v>
      </c>
      <c r="I4627">
        <v>43.4</v>
      </c>
      <c r="J4627">
        <v>43.44</v>
      </c>
      <c r="K4627" t="s">
        <v>21323</v>
      </c>
      <c r="L4627">
        <v>1.64</v>
      </c>
      <c r="M4627" t="s">
        <v>46</v>
      </c>
      <c r="N4627" t="s">
        <v>4554</v>
      </c>
      <c r="O4627">
        <v>43.51</v>
      </c>
      <c r="P4627">
        <v>42.2</v>
      </c>
      <c r="Q4627">
        <v>42.88</v>
      </c>
      <c r="R4627">
        <v>42.86</v>
      </c>
      <c r="S4627">
        <v>3.06</v>
      </c>
      <c r="T4627">
        <v>1.04</v>
      </c>
      <c r="U4627">
        <v>2.28</v>
      </c>
      <c r="V4627">
        <v>5</v>
      </c>
      <c r="W4627">
        <v>42.94</v>
      </c>
      <c r="X4627">
        <v>1819</v>
      </c>
      <c r="Y4627">
        <v>3386</v>
      </c>
      <c r="Z4627">
        <v>0.54</v>
      </c>
      <c r="AA4627">
        <v>38</v>
      </c>
      <c r="AB4627">
        <v>4</v>
      </c>
      <c r="AC4627">
        <v>1.07</v>
      </c>
      <c r="AD4627" t="s">
        <v>21325</v>
      </c>
      <c r="AE4627" t="s">
        <v>21326</v>
      </c>
      <c r="AF4627" t="s">
        <v>21327</v>
      </c>
      <c r="AG4627" t="s">
        <v>5414</v>
      </c>
      <c r="AH4627">
        <v>-0.02</v>
      </c>
      <c r="AI4627">
        <v>-0.57</v>
      </c>
      <c r="AJ4627">
        <v>4.8</v>
      </c>
      <c r="AK4627">
        <v>9.49</v>
      </c>
      <c r="AL4627">
        <v>2</v>
      </c>
      <c r="AM4627">
        <v>1.26</v>
      </c>
      <c r="AN4627">
        <v>-23.38</v>
      </c>
      <c r="AO4627">
        <v>4.6</v>
      </c>
      <c r="AP4627">
        <v>-43.17</v>
      </c>
    </row>
    <row r="4628" spans="1:42">
      <c r="A4628">
        <v>4627</v>
      </c>
      <c r="B4628" t="str">
        <f>"301359"</f>
        <v>301359</v>
      </c>
      <c r="C4628" t="s">
        <v>21328</v>
      </c>
      <c r="D4628">
        <v>26.77</v>
      </c>
      <c r="E4628">
        <v>-0.3</v>
      </c>
      <c r="F4628">
        <v>-0.08</v>
      </c>
      <c r="G4628">
        <v>8369</v>
      </c>
      <c r="H4628">
        <v>14</v>
      </c>
      <c r="I4628">
        <v>26.77</v>
      </c>
      <c r="J4628">
        <v>26.78</v>
      </c>
      <c r="K4628" t="s">
        <v>21323</v>
      </c>
      <c r="L4628">
        <v>3.17</v>
      </c>
      <c r="M4628" t="s">
        <v>46</v>
      </c>
      <c r="N4628" t="s">
        <v>2549</v>
      </c>
      <c r="O4628">
        <v>26.98</v>
      </c>
      <c r="P4628">
        <v>26.45</v>
      </c>
      <c r="Q4628">
        <v>26.85</v>
      </c>
      <c r="R4628">
        <v>26.85</v>
      </c>
      <c r="S4628">
        <v>1.97</v>
      </c>
      <c r="T4628">
        <v>0.83</v>
      </c>
      <c r="U4628">
        <v>64.01</v>
      </c>
      <c r="V4628">
        <v>139</v>
      </c>
      <c r="W4628">
        <v>26.7</v>
      </c>
      <c r="X4628">
        <v>4384</v>
      </c>
      <c r="Y4628">
        <v>3985</v>
      </c>
      <c r="Z4628">
        <v>1.1</v>
      </c>
      <c r="AA4628">
        <v>17</v>
      </c>
      <c r="AB4628">
        <v>10</v>
      </c>
      <c r="AC4628">
        <v>2.73</v>
      </c>
      <c r="AD4628" t="s">
        <v>21329</v>
      </c>
      <c r="AE4628" t="s">
        <v>21330</v>
      </c>
      <c r="AF4628" t="s">
        <v>20436</v>
      </c>
      <c r="AG4628" t="s">
        <v>21331</v>
      </c>
      <c r="AH4628">
        <v>-1.22</v>
      </c>
      <c r="AI4628">
        <v>-0.96</v>
      </c>
      <c r="AJ4628">
        <v>9.17</v>
      </c>
      <c r="AK4628">
        <v>22.2</v>
      </c>
      <c r="AL4628">
        <v>-3</v>
      </c>
      <c r="AM4628">
        <v>-0.3</v>
      </c>
      <c r="AN4628">
        <v>22.97</v>
      </c>
      <c r="AO4628">
        <v>3.64</v>
      </c>
      <c r="AP4628">
        <v>2.76</v>
      </c>
    </row>
    <row r="4629" spans="1:42">
      <c r="A4629">
        <v>4628</v>
      </c>
      <c r="B4629" t="str">
        <f>"002911"</f>
        <v>002911</v>
      </c>
      <c r="C4629" t="s">
        <v>21332</v>
      </c>
      <c r="D4629">
        <v>11.94</v>
      </c>
      <c r="E4629">
        <v>-0.17</v>
      </c>
      <c r="F4629">
        <v>-0.02</v>
      </c>
      <c r="G4629" t="s">
        <v>1072</v>
      </c>
      <c r="H4629">
        <v>53</v>
      </c>
      <c r="I4629">
        <v>11.94</v>
      </c>
      <c r="J4629">
        <v>11.95</v>
      </c>
      <c r="K4629" t="s">
        <v>21333</v>
      </c>
      <c r="L4629">
        <v>0.2</v>
      </c>
      <c r="M4629" t="s">
        <v>46</v>
      </c>
      <c r="N4629" t="s">
        <v>11349</v>
      </c>
      <c r="O4629">
        <v>12.03</v>
      </c>
      <c r="P4629">
        <v>11.87</v>
      </c>
      <c r="Q4629">
        <v>12</v>
      </c>
      <c r="R4629">
        <v>11.96</v>
      </c>
      <c r="S4629">
        <v>1.34</v>
      </c>
      <c r="T4629">
        <v>1.07</v>
      </c>
      <c r="U4629">
        <v>-13.88</v>
      </c>
      <c r="V4629">
        <v>-257</v>
      </c>
      <c r="W4629">
        <v>11.93</v>
      </c>
      <c r="X4629" t="s">
        <v>2807</v>
      </c>
      <c r="Y4629">
        <v>7614</v>
      </c>
      <c r="Z4629">
        <v>1.46</v>
      </c>
      <c r="AA4629">
        <v>12</v>
      </c>
      <c r="AB4629">
        <v>66</v>
      </c>
      <c r="AC4629">
        <v>2.94</v>
      </c>
      <c r="AD4629" t="s">
        <v>21334</v>
      </c>
      <c r="AE4629" t="s">
        <v>8122</v>
      </c>
      <c r="AF4629" t="s">
        <v>21335</v>
      </c>
      <c r="AG4629" t="s">
        <v>7565</v>
      </c>
      <c r="AH4629">
        <v>-0.42</v>
      </c>
      <c r="AI4629">
        <v>-0.91</v>
      </c>
      <c r="AJ4629">
        <v>0.58</v>
      </c>
      <c r="AK4629">
        <v>1.11</v>
      </c>
      <c r="AL4629">
        <v>-1</v>
      </c>
      <c r="AM4629">
        <v>-0.17</v>
      </c>
      <c r="AN4629">
        <v>3.47</v>
      </c>
      <c r="AO4629">
        <v>-0.5</v>
      </c>
      <c r="AP4629">
        <v>8.05</v>
      </c>
    </row>
    <row r="4630" spans="1:42">
      <c r="A4630">
        <v>4629</v>
      </c>
      <c r="B4630" t="str">
        <f>"603900"</f>
        <v>603900</v>
      </c>
      <c r="C4630" t="s">
        <v>21336</v>
      </c>
      <c r="D4630">
        <v>6.8</v>
      </c>
      <c r="E4630">
        <v>1.49</v>
      </c>
      <c r="F4630">
        <v>0.1</v>
      </c>
      <c r="G4630" t="s">
        <v>9871</v>
      </c>
      <c r="H4630">
        <v>265</v>
      </c>
      <c r="I4630">
        <v>6.8</v>
      </c>
      <c r="J4630">
        <v>6.81</v>
      </c>
      <c r="K4630" t="s">
        <v>21337</v>
      </c>
      <c r="L4630">
        <v>0.97</v>
      </c>
      <c r="M4630" t="s">
        <v>46</v>
      </c>
      <c r="N4630" t="s">
        <v>12415</v>
      </c>
      <c r="O4630">
        <v>6.84</v>
      </c>
      <c r="P4630">
        <v>6.67</v>
      </c>
      <c r="Q4630">
        <v>6.68</v>
      </c>
      <c r="R4630">
        <v>6.7</v>
      </c>
      <c r="S4630">
        <v>2.54</v>
      </c>
      <c r="T4630">
        <v>1.34</v>
      </c>
      <c r="U4630">
        <v>-71.58</v>
      </c>
      <c r="V4630">
        <v>-2405</v>
      </c>
      <c r="W4630">
        <v>6.78</v>
      </c>
      <c r="X4630" t="s">
        <v>5900</v>
      </c>
      <c r="Y4630" t="s">
        <v>2723</v>
      </c>
      <c r="Z4630">
        <v>0.77</v>
      </c>
      <c r="AA4630">
        <v>26</v>
      </c>
      <c r="AB4630">
        <v>155</v>
      </c>
      <c r="AC4630">
        <v>1.07</v>
      </c>
      <c r="AD4630" t="s">
        <v>4265</v>
      </c>
      <c r="AE4630" t="s">
        <v>19677</v>
      </c>
      <c r="AF4630" t="s">
        <v>19633</v>
      </c>
      <c r="AG4630" t="s">
        <v>11330</v>
      </c>
      <c r="AH4630">
        <v>1.49</v>
      </c>
      <c r="AI4630">
        <v>2.1</v>
      </c>
      <c r="AJ4630">
        <v>2.19</v>
      </c>
      <c r="AK4630">
        <v>4.57</v>
      </c>
      <c r="AL4630">
        <v>2</v>
      </c>
      <c r="AM4630">
        <v>1.49</v>
      </c>
      <c r="AN4630">
        <v>5.75</v>
      </c>
      <c r="AO4630">
        <v>6.25</v>
      </c>
      <c r="AP4630">
        <v>4.62</v>
      </c>
    </row>
    <row r="4631" spans="1:42">
      <c r="A4631">
        <v>4630</v>
      </c>
      <c r="B4631" t="str">
        <f>"835184"</f>
        <v>835184</v>
      </c>
      <c r="C4631" t="s">
        <v>21338</v>
      </c>
      <c r="D4631">
        <v>6.13</v>
      </c>
      <c r="E4631">
        <v>-5.69</v>
      </c>
      <c r="F4631">
        <v>-0.37</v>
      </c>
      <c r="G4631" t="s">
        <v>4148</v>
      </c>
      <c r="H4631">
        <v>485</v>
      </c>
      <c r="I4631">
        <v>6.13</v>
      </c>
      <c r="J4631">
        <v>6.14</v>
      </c>
      <c r="K4631" t="s">
        <v>21337</v>
      </c>
      <c r="L4631">
        <v>4.04</v>
      </c>
      <c r="M4631" t="s">
        <v>46</v>
      </c>
      <c r="N4631" t="s">
        <v>3811</v>
      </c>
      <c r="O4631">
        <v>6.59</v>
      </c>
      <c r="P4631">
        <v>6.01</v>
      </c>
      <c r="Q4631">
        <v>6.38</v>
      </c>
      <c r="R4631">
        <v>6.5</v>
      </c>
      <c r="S4631">
        <v>8.92</v>
      </c>
      <c r="T4631">
        <v>0.49</v>
      </c>
      <c r="U4631">
        <v>-18.68</v>
      </c>
      <c r="V4631">
        <v>-252</v>
      </c>
      <c r="W4631">
        <v>6.26</v>
      </c>
      <c r="X4631" t="s">
        <v>3116</v>
      </c>
      <c r="Y4631" t="s">
        <v>6867</v>
      </c>
      <c r="Z4631">
        <v>1.48</v>
      </c>
      <c r="AA4631">
        <v>13</v>
      </c>
      <c r="AB4631">
        <v>89</v>
      </c>
      <c r="AC4631">
        <v>1.39</v>
      </c>
      <c r="AD4631" t="s">
        <v>21339</v>
      </c>
      <c r="AE4631" t="s">
        <v>21340</v>
      </c>
      <c r="AF4631" t="s">
        <v>21341</v>
      </c>
      <c r="AG4631" t="s">
        <v>21342</v>
      </c>
      <c r="AH4631">
        <v>-19.02</v>
      </c>
      <c r="AI4631">
        <v>-10.9</v>
      </c>
      <c r="AJ4631">
        <v>14.43</v>
      </c>
      <c r="AK4631">
        <v>45.42</v>
      </c>
      <c r="AL4631">
        <v>-4</v>
      </c>
      <c r="AM4631">
        <v>-5.69</v>
      </c>
      <c r="AN4631">
        <v>27.71</v>
      </c>
      <c r="AO4631">
        <v>44.92</v>
      </c>
      <c r="AP4631">
        <v>21.15</v>
      </c>
    </row>
    <row r="4632" spans="1:42">
      <c r="A4632">
        <v>4631</v>
      </c>
      <c r="B4632" t="str">
        <f>"301135"</f>
        <v>301135</v>
      </c>
      <c r="C4632" t="s">
        <v>21343</v>
      </c>
      <c r="D4632">
        <v>25.03</v>
      </c>
      <c r="E4632">
        <v>-0.6</v>
      </c>
      <c r="F4632">
        <v>-0.15</v>
      </c>
      <c r="G4632">
        <v>8935</v>
      </c>
      <c r="H4632">
        <v>81</v>
      </c>
      <c r="I4632">
        <v>25.03</v>
      </c>
      <c r="J4632">
        <v>25.04</v>
      </c>
      <c r="K4632" t="s">
        <v>21337</v>
      </c>
      <c r="L4632">
        <v>1.81</v>
      </c>
      <c r="M4632" t="s">
        <v>46</v>
      </c>
      <c r="N4632" t="s">
        <v>1839</v>
      </c>
      <c r="O4632">
        <v>25.29</v>
      </c>
      <c r="P4632">
        <v>24.82</v>
      </c>
      <c r="Q4632">
        <v>25.18</v>
      </c>
      <c r="R4632">
        <v>25.18</v>
      </c>
      <c r="S4632">
        <v>1.87</v>
      </c>
      <c r="T4632">
        <v>0.84</v>
      </c>
      <c r="U4632">
        <v>40.47</v>
      </c>
      <c r="V4632">
        <v>121</v>
      </c>
      <c r="W4632">
        <v>24.99</v>
      </c>
      <c r="X4632">
        <v>5091</v>
      </c>
      <c r="Y4632">
        <v>3844</v>
      </c>
      <c r="Z4632">
        <v>1.32</v>
      </c>
      <c r="AA4632">
        <v>37</v>
      </c>
      <c r="AB4632">
        <v>16</v>
      </c>
      <c r="AC4632">
        <v>2</v>
      </c>
      <c r="AD4632" t="s">
        <v>17937</v>
      </c>
      <c r="AE4632" t="s">
        <v>21344</v>
      </c>
      <c r="AF4632" t="s">
        <v>16167</v>
      </c>
      <c r="AG4632" t="s">
        <v>13354</v>
      </c>
      <c r="AH4632">
        <v>-1.8</v>
      </c>
      <c r="AI4632">
        <v>-1.46</v>
      </c>
      <c r="AJ4632">
        <v>5.69</v>
      </c>
      <c r="AK4632">
        <v>12.58</v>
      </c>
      <c r="AL4632">
        <v>-3</v>
      </c>
      <c r="AM4632">
        <v>-0.6</v>
      </c>
      <c r="AN4632">
        <v>10.75</v>
      </c>
      <c r="AO4632">
        <v>1.3</v>
      </c>
      <c r="AP4632">
        <v>-2.19</v>
      </c>
    </row>
    <row r="4633" spans="1:42">
      <c r="A4633">
        <v>4632</v>
      </c>
      <c r="B4633" t="str">
        <f>"301203"</f>
        <v>301203</v>
      </c>
      <c r="C4633" t="s">
        <v>21345</v>
      </c>
      <c r="D4633">
        <v>41.55</v>
      </c>
      <c r="E4633">
        <v>1.05</v>
      </c>
      <c r="F4633">
        <v>0.43</v>
      </c>
      <c r="G4633">
        <v>5415</v>
      </c>
      <c r="H4633">
        <v>90</v>
      </c>
      <c r="I4633">
        <v>41.48</v>
      </c>
      <c r="J4633">
        <v>41.55</v>
      </c>
      <c r="K4633" t="s">
        <v>21346</v>
      </c>
      <c r="L4633">
        <v>2.73</v>
      </c>
      <c r="M4633" t="s">
        <v>46</v>
      </c>
      <c r="N4633" t="s">
        <v>6044</v>
      </c>
      <c r="O4633">
        <v>41.63</v>
      </c>
      <c r="P4633">
        <v>40.75</v>
      </c>
      <c r="Q4633">
        <v>41.21</v>
      </c>
      <c r="R4633">
        <v>41.12</v>
      </c>
      <c r="S4633">
        <v>2.14</v>
      </c>
      <c r="T4633">
        <v>0.8</v>
      </c>
      <c r="U4633">
        <v>-38.59</v>
      </c>
      <c r="V4633">
        <v>-38</v>
      </c>
      <c r="W4633">
        <v>41.22</v>
      </c>
      <c r="X4633">
        <v>2684</v>
      </c>
      <c r="Y4633">
        <v>2731</v>
      </c>
      <c r="Z4633">
        <v>0.98</v>
      </c>
      <c r="AA4633">
        <v>5</v>
      </c>
      <c r="AB4633">
        <v>28</v>
      </c>
      <c r="AC4633">
        <v>2.36</v>
      </c>
      <c r="AD4633" t="s">
        <v>3612</v>
      </c>
      <c r="AE4633" t="s">
        <v>4119</v>
      </c>
      <c r="AF4633" t="s">
        <v>21347</v>
      </c>
      <c r="AG4633" t="s">
        <v>2798</v>
      </c>
      <c r="AH4633">
        <v>0.22</v>
      </c>
      <c r="AI4633">
        <v>-2.35</v>
      </c>
      <c r="AJ4633">
        <v>7.91</v>
      </c>
      <c r="AK4633">
        <v>19.75</v>
      </c>
      <c r="AL4633">
        <v>1</v>
      </c>
      <c r="AM4633">
        <v>1.05</v>
      </c>
      <c r="AN4633">
        <v>-6.9</v>
      </c>
      <c r="AO4633">
        <v>-3.08</v>
      </c>
      <c r="AP4633">
        <v>-6.9</v>
      </c>
    </row>
    <row r="4634" spans="1:42">
      <c r="A4634">
        <v>4633</v>
      </c>
      <c r="B4634" t="str">
        <f>"600865"</f>
        <v>600865</v>
      </c>
      <c r="C4634" t="s">
        <v>21348</v>
      </c>
      <c r="D4634">
        <v>8.7</v>
      </c>
      <c r="E4634">
        <v>1.16</v>
      </c>
      <c r="F4634">
        <v>0.1</v>
      </c>
      <c r="G4634" t="s">
        <v>4422</v>
      </c>
      <c r="H4634">
        <v>295</v>
      </c>
      <c r="I4634">
        <v>8.7</v>
      </c>
      <c r="J4634">
        <v>8.71</v>
      </c>
      <c r="K4634" t="s">
        <v>21349</v>
      </c>
      <c r="L4634">
        <v>0.68</v>
      </c>
      <c r="M4634" t="s">
        <v>46</v>
      </c>
      <c r="N4634" t="s">
        <v>8475</v>
      </c>
      <c r="O4634">
        <v>8.79</v>
      </c>
      <c r="P4634">
        <v>8.59</v>
      </c>
      <c r="Q4634">
        <v>8.59</v>
      </c>
      <c r="R4634">
        <v>8.6</v>
      </c>
      <c r="S4634">
        <v>2.33</v>
      </c>
      <c r="T4634">
        <v>0.68</v>
      </c>
      <c r="U4634">
        <v>50.93</v>
      </c>
      <c r="V4634">
        <v>641</v>
      </c>
      <c r="W4634">
        <v>8.72</v>
      </c>
      <c r="X4634" t="s">
        <v>2147</v>
      </c>
      <c r="Y4634" t="s">
        <v>6595</v>
      </c>
      <c r="Z4634">
        <v>0.72</v>
      </c>
      <c r="AA4634">
        <v>296</v>
      </c>
      <c r="AB4634">
        <v>115</v>
      </c>
      <c r="AC4634">
        <v>1.42</v>
      </c>
      <c r="AD4634" t="s">
        <v>21195</v>
      </c>
      <c r="AE4634" t="s">
        <v>4082</v>
      </c>
      <c r="AF4634" t="s">
        <v>21195</v>
      </c>
      <c r="AG4634" t="s">
        <v>4082</v>
      </c>
      <c r="AH4634">
        <v>0.58</v>
      </c>
      <c r="AI4634">
        <v>1.64</v>
      </c>
      <c r="AJ4634">
        <v>2.15</v>
      </c>
      <c r="AK4634">
        <v>5.7</v>
      </c>
      <c r="AL4634">
        <v>2</v>
      </c>
      <c r="AM4634">
        <v>1.16</v>
      </c>
      <c r="AN4634">
        <v>-6.95</v>
      </c>
      <c r="AO4634">
        <v>5.71</v>
      </c>
      <c r="AP4634">
        <v>0.93</v>
      </c>
    </row>
    <row r="4635" spans="1:42">
      <c r="A4635">
        <v>4634</v>
      </c>
      <c r="B4635" t="str">
        <f>"300107"</f>
        <v>300107</v>
      </c>
      <c r="C4635" t="s">
        <v>21350</v>
      </c>
      <c r="D4635">
        <v>5.23</v>
      </c>
      <c r="E4635">
        <v>1.16</v>
      </c>
      <c r="F4635">
        <v>0.06</v>
      </c>
      <c r="G4635" t="s">
        <v>3959</v>
      </c>
      <c r="H4635">
        <v>58</v>
      </c>
      <c r="I4635">
        <v>5.23</v>
      </c>
      <c r="J4635">
        <v>5.24</v>
      </c>
      <c r="K4635" t="s">
        <v>21351</v>
      </c>
      <c r="L4635">
        <v>1.25</v>
      </c>
      <c r="M4635" t="s">
        <v>46</v>
      </c>
      <c r="N4635" t="s">
        <v>1501</v>
      </c>
      <c r="O4635">
        <v>5.26</v>
      </c>
      <c r="P4635">
        <v>5.13</v>
      </c>
      <c r="Q4635">
        <v>5.13</v>
      </c>
      <c r="R4635">
        <v>5.17</v>
      </c>
      <c r="S4635">
        <v>2.51</v>
      </c>
      <c r="T4635">
        <v>1.29</v>
      </c>
      <c r="U4635">
        <v>-49.77</v>
      </c>
      <c r="V4635">
        <v>-4383</v>
      </c>
      <c r="W4635">
        <v>5.21</v>
      </c>
      <c r="X4635" t="s">
        <v>3165</v>
      </c>
      <c r="Y4635" t="s">
        <v>3110</v>
      </c>
      <c r="Z4635">
        <v>0.7</v>
      </c>
      <c r="AA4635">
        <v>376</v>
      </c>
      <c r="AB4635">
        <v>1004</v>
      </c>
      <c r="AC4635">
        <v>1.99</v>
      </c>
      <c r="AD4635" t="s">
        <v>1781</v>
      </c>
      <c r="AE4635" t="s">
        <v>5462</v>
      </c>
      <c r="AF4635" t="s">
        <v>21352</v>
      </c>
      <c r="AG4635" t="s">
        <v>21353</v>
      </c>
      <c r="AH4635">
        <v>0.19</v>
      </c>
      <c r="AI4635">
        <v>-0.19</v>
      </c>
      <c r="AJ4635">
        <v>3.36</v>
      </c>
      <c r="AK4635">
        <v>6.13</v>
      </c>
      <c r="AL4635">
        <v>1</v>
      </c>
      <c r="AM4635">
        <v>1.16</v>
      </c>
      <c r="AN4635">
        <v>2.95</v>
      </c>
      <c r="AO4635">
        <v>2.35</v>
      </c>
      <c r="AP4635">
        <v>-5.77</v>
      </c>
    </row>
    <row r="4636" spans="1:42">
      <c r="A4636">
        <v>4635</v>
      </c>
      <c r="B4636" t="str">
        <f>"002763"</f>
        <v>002763</v>
      </c>
      <c r="C4636" t="s">
        <v>21354</v>
      </c>
      <c r="D4636">
        <v>8.73</v>
      </c>
      <c r="E4636">
        <v>0.81</v>
      </c>
      <c r="F4636">
        <v>0.07</v>
      </c>
      <c r="G4636" t="s">
        <v>4422</v>
      </c>
      <c r="H4636">
        <v>842</v>
      </c>
      <c r="I4636">
        <v>8.73</v>
      </c>
      <c r="J4636">
        <v>8.74</v>
      </c>
      <c r="K4636" t="s">
        <v>21351</v>
      </c>
      <c r="L4636">
        <v>1.48</v>
      </c>
      <c r="M4636" t="s">
        <v>46</v>
      </c>
      <c r="N4636" t="s">
        <v>220</v>
      </c>
      <c r="O4636">
        <v>8.75</v>
      </c>
      <c r="P4636">
        <v>8.63</v>
      </c>
      <c r="Q4636">
        <v>8.66</v>
      </c>
      <c r="R4636">
        <v>8.66</v>
      </c>
      <c r="S4636">
        <v>1.39</v>
      </c>
      <c r="T4636">
        <v>1.22</v>
      </c>
      <c r="U4636">
        <v>-53.49</v>
      </c>
      <c r="V4636">
        <v>-1543</v>
      </c>
      <c r="W4636">
        <v>8.71</v>
      </c>
      <c r="X4636" t="s">
        <v>1052</v>
      </c>
      <c r="Y4636" t="s">
        <v>1384</v>
      </c>
      <c r="Z4636">
        <v>0.9</v>
      </c>
      <c r="AA4636">
        <v>250</v>
      </c>
      <c r="AB4636">
        <v>473</v>
      </c>
      <c r="AC4636">
        <v>1.74</v>
      </c>
      <c r="AD4636" t="s">
        <v>10519</v>
      </c>
      <c r="AE4636" t="s">
        <v>10350</v>
      </c>
      <c r="AF4636" t="s">
        <v>8116</v>
      </c>
      <c r="AG4636" t="s">
        <v>21247</v>
      </c>
      <c r="AH4636">
        <v>0.69</v>
      </c>
      <c r="AI4636">
        <v>0.92</v>
      </c>
      <c r="AJ4636">
        <v>3.72</v>
      </c>
      <c r="AK4636">
        <v>7.56</v>
      </c>
      <c r="AL4636">
        <v>1</v>
      </c>
      <c r="AM4636">
        <v>0.81</v>
      </c>
      <c r="AN4636">
        <v>22.27</v>
      </c>
      <c r="AO4636">
        <v>4.43</v>
      </c>
      <c r="AP4636">
        <v>21.25</v>
      </c>
    </row>
    <row r="4637" spans="1:42">
      <c r="A4637">
        <v>4636</v>
      </c>
      <c r="B4637" t="str">
        <f>"600784"</f>
        <v>600784</v>
      </c>
      <c r="C4637" t="s">
        <v>21355</v>
      </c>
      <c r="D4637">
        <v>6.11</v>
      </c>
      <c r="E4637">
        <v>0.99</v>
      </c>
      <c r="F4637">
        <v>0.06</v>
      </c>
      <c r="G4637" t="s">
        <v>1313</v>
      </c>
      <c r="H4637">
        <v>263</v>
      </c>
      <c r="I4637">
        <v>6.1</v>
      </c>
      <c r="J4637">
        <v>6.11</v>
      </c>
      <c r="K4637" t="s">
        <v>21351</v>
      </c>
      <c r="L4637">
        <v>0.64</v>
      </c>
      <c r="M4637" t="s">
        <v>46</v>
      </c>
      <c r="N4637" t="s">
        <v>18618</v>
      </c>
      <c r="O4637">
        <v>6.12</v>
      </c>
      <c r="P4637">
        <v>6.05</v>
      </c>
      <c r="Q4637">
        <v>6.07</v>
      </c>
      <c r="R4637">
        <v>6.05</v>
      </c>
      <c r="S4637">
        <v>1.16</v>
      </c>
      <c r="T4637">
        <v>0.52</v>
      </c>
      <c r="U4637">
        <v>-13.29</v>
      </c>
      <c r="V4637">
        <v>-440</v>
      </c>
      <c r="W4637">
        <v>6.08</v>
      </c>
      <c r="X4637" t="s">
        <v>60</v>
      </c>
      <c r="Y4637" t="s">
        <v>5578</v>
      </c>
      <c r="Z4637">
        <v>0.94</v>
      </c>
      <c r="AA4637">
        <v>28</v>
      </c>
      <c r="AB4637">
        <v>233</v>
      </c>
      <c r="AC4637">
        <v>1.44</v>
      </c>
      <c r="AD4637" t="s">
        <v>16010</v>
      </c>
      <c r="AE4637" t="s">
        <v>10460</v>
      </c>
      <c r="AF4637" t="s">
        <v>8676</v>
      </c>
      <c r="AG4637" t="s">
        <v>21356</v>
      </c>
      <c r="AH4637">
        <v>-0.49</v>
      </c>
      <c r="AI4637">
        <v>-1.93</v>
      </c>
      <c r="AJ4637">
        <v>2.07</v>
      </c>
      <c r="AK4637">
        <v>6.81</v>
      </c>
      <c r="AL4637">
        <v>1</v>
      </c>
      <c r="AM4637">
        <v>0.99</v>
      </c>
      <c r="AN4637">
        <v>1.66</v>
      </c>
      <c r="AO4637">
        <v>0.99</v>
      </c>
      <c r="AP4637">
        <v>-8.12</v>
      </c>
    </row>
    <row r="4638" spans="1:42">
      <c r="A4638">
        <v>4637</v>
      </c>
      <c r="B4638" t="str">
        <f>"301023"</f>
        <v>301023</v>
      </c>
      <c r="C4638" t="s">
        <v>21357</v>
      </c>
      <c r="D4638">
        <v>41.21</v>
      </c>
      <c r="E4638">
        <v>-1.48</v>
      </c>
      <c r="F4638">
        <v>-0.62</v>
      </c>
      <c r="G4638">
        <v>5399</v>
      </c>
      <c r="H4638">
        <v>47</v>
      </c>
      <c r="I4638">
        <v>41.21</v>
      </c>
      <c r="J4638">
        <v>41.27</v>
      </c>
      <c r="K4638" t="s">
        <v>21358</v>
      </c>
      <c r="L4638">
        <v>2.27</v>
      </c>
      <c r="M4638" t="s">
        <v>46</v>
      </c>
      <c r="N4638" t="s">
        <v>9436</v>
      </c>
      <c r="O4638">
        <v>41.76</v>
      </c>
      <c r="P4638">
        <v>40.8</v>
      </c>
      <c r="Q4638">
        <v>41.75</v>
      </c>
      <c r="R4638">
        <v>41.83</v>
      </c>
      <c r="S4638">
        <v>2.3</v>
      </c>
      <c r="T4638">
        <v>0.88</v>
      </c>
      <c r="U4638">
        <v>-5.41</v>
      </c>
      <c r="V4638">
        <v>-4</v>
      </c>
      <c r="W4638">
        <v>41.16</v>
      </c>
      <c r="X4638">
        <v>2826</v>
      </c>
      <c r="Y4638">
        <v>2573</v>
      </c>
      <c r="Z4638">
        <v>1.1</v>
      </c>
      <c r="AA4638">
        <v>6</v>
      </c>
      <c r="AB4638">
        <v>1</v>
      </c>
      <c r="AC4638">
        <v>2.89</v>
      </c>
      <c r="AD4638" t="s">
        <v>16984</v>
      </c>
      <c r="AE4638" t="s">
        <v>13058</v>
      </c>
      <c r="AF4638" t="s">
        <v>21017</v>
      </c>
      <c r="AG4638" t="s">
        <v>21359</v>
      </c>
      <c r="AH4638">
        <v>-2.35</v>
      </c>
      <c r="AI4638">
        <v>-1.86</v>
      </c>
      <c r="AJ4638">
        <v>7.63</v>
      </c>
      <c r="AK4638">
        <v>15.11</v>
      </c>
      <c r="AL4638">
        <v>-2</v>
      </c>
      <c r="AM4638">
        <v>-1.48</v>
      </c>
      <c r="AN4638">
        <v>18.05</v>
      </c>
      <c r="AO4638">
        <v>1.93</v>
      </c>
      <c r="AP4638">
        <v>4.38</v>
      </c>
    </row>
    <row r="4639" spans="1:42">
      <c r="A4639">
        <v>4638</v>
      </c>
      <c r="B4639" t="str">
        <f>"600526"</f>
        <v>600526</v>
      </c>
      <c r="C4639" t="s">
        <v>21360</v>
      </c>
      <c r="D4639">
        <v>5.05</v>
      </c>
      <c r="E4639">
        <v>-0.2</v>
      </c>
      <c r="F4639">
        <v>-0.01</v>
      </c>
      <c r="G4639" t="s">
        <v>456</v>
      </c>
      <c r="H4639">
        <v>196</v>
      </c>
      <c r="I4639">
        <v>5.05</v>
      </c>
      <c r="J4639">
        <v>5.06</v>
      </c>
      <c r="K4639" t="s">
        <v>18456</v>
      </c>
      <c r="L4639">
        <v>0.62</v>
      </c>
      <c r="M4639" t="s">
        <v>46</v>
      </c>
      <c r="N4639" t="s">
        <v>9088</v>
      </c>
      <c r="O4639">
        <v>5.1</v>
      </c>
      <c r="P4639">
        <v>5.04</v>
      </c>
      <c r="Q4639">
        <v>5.1</v>
      </c>
      <c r="R4639">
        <v>5.06</v>
      </c>
      <c r="S4639">
        <v>1.19</v>
      </c>
      <c r="T4639">
        <v>0.55</v>
      </c>
      <c r="U4639">
        <v>-45.7</v>
      </c>
      <c r="V4639">
        <v>-4027</v>
      </c>
      <c r="W4639">
        <v>5.06</v>
      </c>
      <c r="X4639" t="s">
        <v>587</v>
      </c>
      <c r="Y4639" t="s">
        <v>156</v>
      </c>
      <c r="Z4639">
        <v>1.09</v>
      </c>
      <c r="AA4639">
        <v>208</v>
      </c>
      <c r="AB4639">
        <v>1589</v>
      </c>
      <c r="AC4639">
        <v>1.12</v>
      </c>
      <c r="AD4639" t="s">
        <v>21361</v>
      </c>
      <c r="AE4639" t="s">
        <v>14055</v>
      </c>
      <c r="AF4639" t="s">
        <v>21362</v>
      </c>
      <c r="AG4639" t="s">
        <v>11035</v>
      </c>
      <c r="AH4639">
        <v>-1.17</v>
      </c>
      <c r="AI4639">
        <v>-1.56</v>
      </c>
      <c r="AJ4639">
        <v>2.12</v>
      </c>
      <c r="AK4639">
        <v>6.23</v>
      </c>
      <c r="AL4639">
        <v>-3</v>
      </c>
      <c r="AM4639">
        <v>-0.2</v>
      </c>
      <c r="AN4639">
        <v>-6.31</v>
      </c>
      <c r="AO4639">
        <v>5.65</v>
      </c>
      <c r="AP4639">
        <v>-10.93</v>
      </c>
    </row>
    <row r="4640" spans="1:42">
      <c r="A4640">
        <v>4639</v>
      </c>
      <c r="B4640" t="str">
        <f>"301028"</f>
        <v>301028</v>
      </c>
      <c r="C4640" t="s">
        <v>21363</v>
      </c>
      <c r="D4640">
        <v>10.9</v>
      </c>
      <c r="E4640">
        <v>-0.91</v>
      </c>
      <c r="F4640">
        <v>-0.1</v>
      </c>
      <c r="G4640" t="s">
        <v>5237</v>
      </c>
      <c r="H4640">
        <v>574</v>
      </c>
      <c r="I4640">
        <v>10.89</v>
      </c>
      <c r="J4640">
        <v>10.9</v>
      </c>
      <c r="K4640" t="s">
        <v>21364</v>
      </c>
      <c r="L4640">
        <v>1.89</v>
      </c>
      <c r="M4640" t="s">
        <v>46</v>
      </c>
      <c r="N4640" t="s">
        <v>1856</v>
      </c>
      <c r="O4640">
        <v>11.03</v>
      </c>
      <c r="P4640">
        <v>10.77</v>
      </c>
      <c r="Q4640">
        <v>10.97</v>
      </c>
      <c r="R4640">
        <v>11</v>
      </c>
      <c r="S4640">
        <v>2.36</v>
      </c>
      <c r="T4640">
        <v>0.97</v>
      </c>
      <c r="U4640">
        <v>37.03</v>
      </c>
      <c r="V4640">
        <v>167</v>
      </c>
      <c r="W4640">
        <v>10.87</v>
      </c>
      <c r="X4640" t="s">
        <v>2074</v>
      </c>
      <c r="Y4640" t="s">
        <v>1154</v>
      </c>
      <c r="Z4640">
        <v>0.97</v>
      </c>
      <c r="AA4640">
        <v>10</v>
      </c>
      <c r="AB4640">
        <v>52</v>
      </c>
      <c r="AC4640">
        <v>3.27</v>
      </c>
      <c r="AD4640" t="s">
        <v>21365</v>
      </c>
      <c r="AE4640" t="s">
        <v>16795</v>
      </c>
      <c r="AF4640" t="s">
        <v>14800</v>
      </c>
      <c r="AG4640" t="s">
        <v>10681</v>
      </c>
      <c r="AH4640">
        <v>-1.36</v>
      </c>
      <c r="AI4640">
        <v>-0.18</v>
      </c>
      <c r="AJ4640">
        <v>6.15</v>
      </c>
      <c r="AK4640">
        <v>11.64</v>
      </c>
      <c r="AL4640">
        <v>-2</v>
      </c>
      <c r="AM4640">
        <v>-0.91</v>
      </c>
      <c r="AN4640">
        <v>24.15</v>
      </c>
      <c r="AO4640">
        <v>1.3</v>
      </c>
      <c r="AP4640">
        <v>12.95</v>
      </c>
    </row>
    <row r="4641" spans="1:42">
      <c r="A4641">
        <v>4640</v>
      </c>
      <c r="B4641" t="str">
        <f>"002076"</f>
        <v>002076</v>
      </c>
      <c r="C4641" t="s">
        <v>21366</v>
      </c>
      <c r="D4641">
        <v>2.4</v>
      </c>
      <c r="E4641">
        <v>0.42</v>
      </c>
      <c r="F4641">
        <v>0.01</v>
      </c>
      <c r="G4641" t="s">
        <v>4502</v>
      </c>
      <c r="H4641">
        <v>558</v>
      </c>
      <c r="I4641">
        <v>2.39</v>
      </c>
      <c r="J4641">
        <v>2.4</v>
      </c>
      <c r="K4641" t="s">
        <v>21367</v>
      </c>
      <c r="L4641">
        <v>0.89</v>
      </c>
      <c r="M4641" t="s">
        <v>46</v>
      </c>
      <c r="N4641" t="s">
        <v>10683</v>
      </c>
      <c r="O4641">
        <v>2.43</v>
      </c>
      <c r="P4641">
        <v>2.38</v>
      </c>
      <c r="Q4641">
        <v>2.4</v>
      </c>
      <c r="R4641">
        <v>2.39</v>
      </c>
      <c r="S4641">
        <v>2.09</v>
      </c>
      <c r="T4641">
        <v>0.98</v>
      </c>
      <c r="U4641">
        <v>-39.9</v>
      </c>
      <c r="V4641" t="s">
        <v>10738</v>
      </c>
      <c r="W4641">
        <v>2.41</v>
      </c>
      <c r="X4641" t="s">
        <v>10547</v>
      </c>
      <c r="Y4641" t="s">
        <v>7022</v>
      </c>
      <c r="Z4641">
        <v>0.81</v>
      </c>
      <c r="AA4641">
        <v>5548</v>
      </c>
      <c r="AB4641">
        <v>2450</v>
      </c>
      <c r="AC4641">
        <v>8.26</v>
      </c>
      <c r="AD4641" t="s">
        <v>6511</v>
      </c>
      <c r="AE4641" t="s">
        <v>4857</v>
      </c>
      <c r="AF4641" t="s">
        <v>1000</v>
      </c>
      <c r="AG4641" t="s">
        <v>407</v>
      </c>
      <c r="AH4641">
        <v>-0.83</v>
      </c>
      <c r="AI4641">
        <v>-1.23</v>
      </c>
      <c r="AJ4641">
        <v>2.44</v>
      </c>
      <c r="AK4641">
        <v>5.43</v>
      </c>
      <c r="AL4641">
        <v>1</v>
      </c>
      <c r="AM4641">
        <v>0.42</v>
      </c>
      <c r="AN4641">
        <v>-1.23</v>
      </c>
      <c r="AO4641">
        <v>0.84</v>
      </c>
      <c r="AP4641">
        <v>30.43</v>
      </c>
    </row>
    <row r="4642" spans="1:42">
      <c r="A4642">
        <v>4641</v>
      </c>
      <c r="B4642" t="str">
        <f>"301362"</f>
        <v>301362</v>
      </c>
      <c r="C4642" t="s">
        <v>21368</v>
      </c>
      <c r="D4642">
        <v>40.01</v>
      </c>
      <c r="E4642">
        <v>-0.45</v>
      </c>
      <c r="F4642">
        <v>-0.18</v>
      </c>
      <c r="G4642">
        <v>5542</v>
      </c>
      <c r="H4642">
        <v>263</v>
      </c>
      <c r="I4642">
        <v>40.01</v>
      </c>
      <c r="J4642">
        <v>40.02</v>
      </c>
      <c r="K4642" t="s">
        <v>21369</v>
      </c>
      <c r="L4642">
        <v>2.31</v>
      </c>
      <c r="M4642" t="s">
        <v>46</v>
      </c>
      <c r="N4642" t="s">
        <v>1729</v>
      </c>
      <c r="O4642">
        <v>40.42</v>
      </c>
      <c r="P4642">
        <v>39.7</v>
      </c>
      <c r="Q4642">
        <v>40.4</v>
      </c>
      <c r="R4642">
        <v>40.19</v>
      </c>
      <c r="S4642">
        <v>1.79</v>
      </c>
      <c r="T4642">
        <v>0.7</v>
      </c>
      <c r="U4642">
        <v>-68.17</v>
      </c>
      <c r="V4642">
        <v>-197</v>
      </c>
      <c r="W4642">
        <v>39.95</v>
      </c>
      <c r="X4642">
        <v>3098</v>
      </c>
      <c r="Y4642">
        <v>2444</v>
      </c>
      <c r="Z4642">
        <v>1.27</v>
      </c>
      <c r="AA4642">
        <v>6</v>
      </c>
      <c r="AB4642">
        <v>97</v>
      </c>
      <c r="AC4642">
        <v>1.66</v>
      </c>
      <c r="AD4642" t="s">
        <v>21370</v>
      </c>
      <c r="AE4642" t="s">
        <v>14823</v>
      </c>
      <c r="AF4642" t="s">
        <v>20984</v>
      </c>
      <c r="AG4642" t="s">
        <v>21371</v>
      </c>
      <c r="AH4642">
        <v>-3.52</v>
      </c>
      <c r="AI4642">
        <v>-5.17</v>
      </c>
      <c r="AJ4642">
        <v>8.2</v>
      </c>
      <c r="AK4642">
        <v>18.71</v>
      </c>
      <c r="AL4642">
        <v>-3</v>
      </c>
      <c r="AM4642">
        <v>-0.45</v>
      </c>
      <c r="AN4642">
        <v>-20.9</v>
      </c>
      <c r="AO4642">
        <v>-3.31</v>
      </c>
      <c r="AP4642">
        <v>-20.9</v>
      </c>
    </row>
    <row r="4643" spans="1:42">
      <c r="A4643">
        <v>4642</v>
      </c>
      <c r="B4643" t="str">
        <f>"603577"</f>
        <v>603577</v>
      </c>
      <c r="C4643" t="s">
        <v>21372</v>
      </c>
      <c r="D4643">
        <v>9.28</v>
      </c>
      <c r="E4643">
        <v>-1.69</v>
      </c>
      <c r="F4643">
        <v>-0.16</v>
      </c>
      <c r="G4643" t="s">
        <v>3328</v>
      </c>
      <c r="H4643">
        <v>113</v>
      </c>
      <c r="I4643">
        <v>9.28</v>
      </c>
      <c r="J4643">
        <v>9.29</v>
      </c>
      <c r="K4643" t="s">
        <v>21369</v>
      </c>
      <c r="L4643">
        <v>0.83</v>
      </c>
      <c r="M4643" t="s">
        <v>46</v>
      </c>
      <c r="N4643" t="s">
        <v>5034</v>
      </c>
      <c r="O4643">
        <v>9.47</v>
      </c>
      <c r="P4643">
        <v>9.25</v>
      </c>
      <c r="Q4643">
        <v>9.4</v>
      </c>
      <c r="R4643">
        <v>9.44</v>
      </c>
      <c r="S4643">
        <v>2.33</v>
      </c>
      <c r="T4643">
        <v>1.61</v>
      </c>
      <c r="U4643">
        <v>-31.88</v>
      </c>
      <c r="V4643">
        <v>-337</v>
      </c>
      <c r="W4643">
        <v>9.3</v>
      </c>
      <c r="X4643" t="s">
        <v>1052</v>
      </c>
      <c r="Y4643" t="s">
        <v>1743</v>
      </c>
      <c r="Z4643">
        <v>1.04</v>
      </c>
      <c r="AA4643">
        <v>5</v>
      </c>
      <c r="AB4643">
        <v>226</v>
      </c>
      <c r="AC4643">
        <v>1.79</v>
      </c>
      <c r="AD4643" t="s">
        <v>8559</v>
      </c>
      <c r="AE4643" t="s">
        <v>2324</v>
      </c>
      <c r="AF4643" t="s">
        <v>21373</v>
      </c>
      <c r="AG4643" t="s">
        <v>4857</v>
      </c>
      <c r="AH4643">
        <v>-2.11</v>
      </c>
      <c r="AI4643">
        <v>-2.32</v>
      </c>
      <c r="AJ4643">
        <v>1.93</v>
      </c>
      <c r="AK4643">
        <v>3.39</v>
      </c>
      <c r="AL4643">
        <v>-2</v>
      </c>
      <c r="AM4643">
        <v>-1.69</v>
      </c>
      <c r="AN4643">
        <v>-9.55</v>
      </c>
      <c r="AO4643">
        <v>0.65</v>
      </c>
      <c r="AP4643">
        <v>-17.95</v>
      </c>
    </row>
    <row r="4644" spans="1:42">
      <c r="A4644">
        <v>4643</v>
      </c>
      <c r="B4644" t="str">
        <f>"603070"</f>
        <v>603070</v>
      </c>
      <c r="C4644" t="s">
        <v>21374</v>
      </c>
      <c r="D4644">
        <v>16.59</v>
      </c>
      <c r="E4644">
        <v>-1.54</v>
      </c>
      <c r="F4644">
        <v>-0.26</v>
      </c>
      <c r="G4644" t="s">
        <v>383</v>
      </c>
      <c r="H4644">
        <v>145</v>
      </c>
      <c r="I4644">
        <v>16.59</v>
      </c>
      <c r="J4644">
        <v>16.6</v>
      </c>
      <c r="K4644" t="s">
        <v>21375</v>
      </c>
      <c r="L4644">
        <v>1.64</v>
      </c>
      <c r="M4644" t="s">
        <v>46</v>
      </c>
      <c r="N4644" t="s">
        <v>3167</v>
      </c>
      <c r="O4644">
        <v>16.87</v>
      </c>
      <c r="P4644">
        <v>16.5</v>
      </c>
      <c r="Q4644">
        <v>16.87</v>
      </c>
      <c r="R4644">
        <v>16.85</v>
      </c>
      <c r="S4644">
        <v>2.2</v>
      </c>
      <c r="T4644">
        <v>0.98</v>
      </c>
      <c r="U4644">
        <v>36.22</v>
      </c>
      <c r="V4644">
        <v>351</v>
      </c>
      <c r="W4644">
        <v>16.6</v>
      </c>
      <c r="X4644">
        <v>8361</v>
      </c>
      <c r="Y4644">
        <v>4946</v>
      </c>
      <c r="Z4644">
        <v>1.69</v>
      </c>
      <c r="AA4644">
        <v>15</v>
      </c>
      <c r="AB4644">
        <v>93</v>
      </c>
      <c r="AC4644">
        <v>3.24</v>
      </c>
      <c r="AD4644" t="s">
        <v>945</v>
      </c>
      <c r="AE4644" t="s">
        <v>1650</v>
      </c>
      <c r="AF4644" t="s">
        <v>21376</v>
      </c>
      <c r="AG4644" t="s">
        <v>4589</v>
      </c>
      <c r="AH4644">
        <v>-2.35</v>
      </c>
      <c r="AI4644">
        <v>-1.66</v>
      </c>
      <c r="AJ4644">
        <v>4.62</v>
      </c>
      <c r="AK4644">
        <v>9.99</v>
      </c>
      <c r="AL4644">
        <v>-3</v>
      </c>
      <c r="AM4644">
        <v>-1.54</v>
      </c>
      <c r="AN4644">
        <v>-5.31</v>
      </c>
      <c r="AO4644">
        <v>0.36</v>
      </c>
      <c r="AP4644">
        <v>-7.16</v>
      </c>
    </row>
    <row r="4645" spans="1:42">
      <c r="A4645">
        <v>4644</v>
      </c>
      <c r="B4645" t="str">
        <f>"603655"</f>
        <v>603655</v>
      </c>
      <c r="C4645" t="s">
        <v>21377</v>
      </c>
      <c r="D4645">
        <v>22.48</v>
      </c>
      <c r="E4645">
        <v>-0.79</v>
      </c>
      <c r="F4645">
        <v>-0.18</v>
      </c>
      <c r="G4645">
        <v>9837</v>
      </c>
      <c r="H4645">
        <v>91</v>
      </c>
      <c r="I4645">
        <v>22.48</v>
      </c>
      <c r="J4645">
        <v>22.49</v>
      </c>
      <c r="K4645" t="s">
        <v>21375</v>
      </c>
      <c r="L4645">
        <v>0.93</v>
      </c>
      <c r="M4645" t="s">
        <v>46</v>
      </c>
      <c r="N4645" t="s">
        <v>9102</v>
      </c>
      <c r="O4645">
        <v>22.8</v>
      </c>
      <c r="P4645">
        <v>22.34</v>
      </c>
      <c r="Q4645">
        <v>22.64</v>
      </c>
      <c r="R4645">
        <v>22.66</v>
      </c>
      <c r="S4645">
        <v>2.03</v>
      </c>
      <c r="T4645">
        <v>0.51</v>
      </c>
      <c r="U4645">
        <v>-51.22</v>
      </c>
      <c r="V4645">
        <v>-84</v>
      </c>
      <c r="W4645">
        <v>22.46</v>
      </c>
      <c r="X4645">
        <v>5853</v>
      </c>
      <c r="Y4645">
        <v>3984</v>
      </c>
      <c r="Z4645">
        <v>1.47</v>
      </c>
      <c r="AA4645">
        <v>10</v>
      </c>
      <c r="AB4645">
        <v>15</v>
      </c>
      <c r="AC4645">
        <v>4.47</v>
      </c>
      <c r="AD4645" t="s">
        <v>21378</v>
      </c>
      <c r="AE4645" t="s">
        <v>4471</v>
      </c>
      <c r="AF4645" t="s">
        <v>21378</v>
      </c>
      <c r="AG4645" t="s">
        <v>4471</v>
      </c>
      <c r="AH4645">
        <v>-3.85</v>
      </c>
      <c r="AI4645">
        <v>-2.89</v>
      </c>
      <c r="AJ4645">
        <v>3.38</v>
      </c>
      <c r="AK4645">
        <v>10.05</v>
      </c>
      <c r="AL4645">
        <v>-4</v>
      </c>
      <c r="AM4645">
        <v>-0.79</v>
      </c>
      <c r="AN4645">
        <v>-9.54</v>
      </c>
      <c r="AO4645">
        <v>8.44</v>
      </c>
      <c r="AP4645">
        <v>-0.57</v>
      </c>
    </row>
    <row r="4646" spans="1:42">
      <c r="A4646">
        <v>4645</v>
      </c>
      <c r="B4646" t="str">
        <f>"300329"</f>
        <v>300329</v>
      </c>
      <c r="C4646" t="s">
        <v>21379</v>
      </c>
      <c r="D4646">
        <v>7.4</v>
      </c>
      <c r="E4646">
        <v>1.37</v>
      </c>
      <c r="F4646">
        <v>0.1</v>
      </c>
      <c r="G4646" t="s">
        <v>8072</v>
      </c>
      <c r="H4646">
        <v>136</v>
      </c>
      <c r="I4646">
        <v>7.39</v>
      </c>
      <c r="J4646">
        <v>7.4</v>
      </c>
      <c r="K4646" t="s">
        <v>21380</v>
      </c>
      <c r="L4646">
        <v>1.19</v>
      </c>
      <c r="M4646" t="s">
        <v>46</v>
      </c>
      <c r="N4646" t="s">
        <v>6165</v>
      </c>
      <c r="O4646">
        <v>7.42</v>
      </c>
      <c r="P4646">
        <v>7.26</v>
      </c>
      <c r="Q4646">
        <v>7.26</v>
      </c>
      <c r="R4646">
        <v>7.3</v>
      </c>
      <c r="S4646">
        <v>2.19</v>
      </c>
      <c r="T4646">
        <v>1.15</v>
      </c>
      <c r="U4646">
        <v>20.44</v>
      </c>
      <c r="V4646">
        <v>591</v>
      </c>
      <c r="W4646">
        <v>7.36</v>
      </c>
      <c r="X4646" t="s">
        <v>4525</v>
      </c>
      <c r="Y4646" t="s">
        <v>1118</v>
      </c>
      <c r="Z4646">
        <v>0.85</v>
      </c>
      <c r="AA4646">
        <v>271</v>
      </c>
      <c r="AB4646">
        <v>100</v>
      </c>
      <c r="AC4646">
        <v>2.02</v>
      </c>
      <c r="AD4646" t="s">
        <v>21381</v>
      </c>
      <c r="AE4646" t="s">
        <v>2173</v>
      </c>
      <c r="AF4646" t="s">
        <v>11950</v>
      </c>
      <c r="AG4646" t="s">
        <v>18804</v>
      </c>
      <c r="AH4646">
        <v>0.41</v>
      </c>
      <c r="AI4646">
        <v>-0.27</v>
      </c>
      <c r="AJ4646">
        <v>3.28</v>
      </c>
      <c r="AK4646">
        <v>6.35</v>
      </c>
      <c r="AL4646">
        <v>1</v>
      </c>
      <c r="AM4646">
        <v>1.37</v>
      </c>
      <c r="AN4646">
        <v>7.4</v>
      </c>
      <c r="AO4646">
        <v>3.35</v>
      </c>
      <c r="AP4646">
        <v>7.87</v>
      </c>
    </row>
    <row r="4647" spans="1:42">
      <c r="A4647">
        <v>4646</v>
      </c>
      <c r="B4647" t="str">
        <f>"688098"</f>
        <v>688098</v>
      </c>
      <c r="C4647" t="s">
        <v>21382</v>
      </c>
      <c r="D4647">
        <v>7.87</v>
      </c>
      <c r="E4647">
        <v>-0.76</v>
      </c>
      <c r="F4647">
        <v>-0.06</v>
      </c>
      <c r="G4647" t="s">
        <v>3032</v>
      </c>
      <c r="H4647">
        <v>326</v>
      </c>
      <c r="I4647">
        <v>7.87</v>
      </c>
      <c r="J4647">
        <v>7.89</v>
      </c>
      <c r="K4647" t="s">
        <v>21383</v>
      </c>
      <c r="L4647">
        <v>0.68</v>
      </c>
      <c r="M4647" t="s">
        <v>46</v>
      </c>
      <c r="N4647" t="s">
        <v>5981</v>
      </c>
      <c r="O4647">
        <v>7.96</v>
      </c>
      <c r="P4647">
        <v>7.83</v>
      </c>
      <c r="Q4647">
        <v>7.93</v>
      </c>
      <c r="R4647">
        <v>7.93</v>
      </c>
      <c r="S4647">
        <v>1.64</v>
      </c>
      <c r="T4647">
        <v>1.12</v>
      </c>
      <c r="U4647">
        <v>51.08</v>
      </c>
      <c r="V4647">
        <v>597</v>
      </c>
      <c r="W4647">
        <v>7.89</v>
      </c>
      <c r="X4647" t="s">
        <v>8636</v>
      </c>
      <c r="Y4647" t="s">
        <v>4977</v>
      </c>
      <c r="Z4647">
        <v>0.76</v>
      </c>
      <c r="AA4647">
        <v>14</v>
      </c>
      <c r="AB4647">
        <v>40</v>
      </c>
      <c r="AC4647">
        <v>2.15</v>
      </c>
      <c r="AD4647" t="s">
        <v>2414</v>
      </c>
      <c r="AE4647" t="s">
        <v>6273</v>
      </c>
      <c r="AF4647" t="s">
        <v>2414</v>
      </c>
      <c r="AG4647" t="s">
        <v>6273</v>
      </c>
      <c r="AH4647">
        <v>-1.99</v>
      </c>
      <c r="AI4647">
        <v>-1.75</v>
      </c>
      <c r="AJ4647">
        <v>2.21</v>
      </c>
      <c r="AK4647">
        <v>3.71</v>
      </c>
      <c r="AL4647">
        <v>-4</v>
      </c>
      <c r="AM4647">
        <v>-0.76</v>
      </c>
      <c r="AN4647">
        <v>0.13</v>
      </c>
      <c r="AO4647">
        <v>6.06</v>
      </c>
      <c r="AP4647">
        <v>-11.07</v>
      </c>
    </row>
    <row r="4648" spans="1:42">
      <c r="A4648">
        <v>4647</v>
      </c>
      <c r="B4648" t="str">
        <f>"601121"</f>
        <v>601121</v>
      </c>
      <c r="C4648" t="s">
        <v>21384</v>
      </c>
      <c r="D4648">
        <v>7.23</v>
      </c>
      <c r="E4648">
        <v>1.12</v>
      </c>
      <c r="F4648">
        <v>0.08</v>
      </c>
      <c r="G4648" t="s">
        <v>401</v>
      </c>
      <c r="H4648">
        <v>279</v>
      </c>
      <c r="I4648">
        <v>7.23</v>
      </c>
      <c r="J4648">
        <v>7.24</v>
      </c>
      <c r="K4648" t="s">
        <v>21385</v>
      </c>
      <c r="L4648">
        <v>1.53</v>
      </c>
      <c r="M4648" t="s">
        <v>46</v>
      </c>
      <c r="N4648" t="s">
        <v>18096</v>
      </c>
      <c r="O4648">
        <v>7.25</v>
      </c>
      <c r="P4648">
        <v>7.12</v>
      </c>
      <c r="Q4648">
        <v>7.15</v>
      </c>
      <c r="R4648">
        <v>7.15</v>
      </c>
      <c r="S4648">
        <v>1.82</v>
      </c>
      <c r="T4648">
        <v>0.75</v>
      </c>
      <c r="U4648">
        <v>-51.37</v>
      </c>
      <c r="V4648">
        <v>-2295</v>
      </c>
      <c r="W4648">
        <v>7.19</v>
      </c>
      <c r="X4648" t="s">
        <v>3130</v>
      </c>
      <c r="Y4648" t="s">
        <v>4977</v>
      </c>
      <c r="Z4648">
        <v>0.93</v>
      </c>
      <c r="AA4648">
        <v>54</v>
      </c>
      <c r="AB4648">
        <v>615</v>
      </c>
      <c r="AC4648">
        <v>1.91</v>
      </c>
      <c r="AD4648" t="s">
        <v>7590</v>
      </c>
      <c r="AE4648" t="s">
        <v>21386</v>
      </c>
      <c r="AF4648" t="s">
        <v>5838</v>
      </c>
      <c r="AG4648" t="s">
        <v>653</v>
      </c>
      <c r="AH4648">
        <v>-1.5</v>
      </c>
      <c r="AI4648">
        <v>-2.56</v>
      </c>
      <c r="AJ4648">
        <v>6.06</v>
      </c>
      <c r="AK4648">
        <v>11.73</v>
      </c>
      <c r="AL4648">
        <v>1</v>
      </c>
      <c r="AM4648">
        <v>1.12</v>
      </c>
      <c r="AN4648">
        <v>70.12</v>
      </c>
      <c r="AO4648">
        <v>0.84</v>
      </c>
      <c r="AP4648">
        <v>70.12</v>
      </c>
    </row>
    <row r="4649" spans="1:42">
      <c r="A4649">
        <v>4648</v>
      </c>
      <c r="B4649" t="str">
        <f>"603159"</f>
        <v>603159</v>
      </c>
      <c r="C4649" t="s">
        <v>21387</v>
      </c>
      <c r="D4649">
        <v>16.58</v>
      </c>
      <c r="E4649">
        <v>-1.43</v>
      </c>
      <c r="F4649">
        <v>-0.24</v>
      </c>
      <c r="G4649" t="s">
        <v>383</v>
      </c>
      <c r="H4649">
        <v>52</v>
      </c>
      <c r="I4649">
        <v>16.57</v>
      </c>
      <c r="J4649">
        <v>16.58</v>
      </c>
      <c r="K4649" t="s">
        <v>21385</v>
      </c>
      <c r="L4649">
        <v>0.95</v>
      </c>
      <c r="M4649" t="s">
        <v>46</v>
      </c>
      <c r="N4649" t="s">
        <v>3649</v>
      </c>
      <c r="O4649">
        <v>16.88</v>
      </c>
      <c r="P4649">
        <v>16.43</v>
      </c>
      <c r="Q4649">
        <v>16.84</v>
      </c>
      <c r="R4649">
        <v>16.82</v>
      </c>
      <c r="S4649">
        <v>2.68</v>
      </c>
      <c r="T4649">
        <v>1.06</v>
      </c>
      <c r="U4649">
        <v>14.06</v>
      </c>
      <c r="V4649">
        <v>46</v>
      </c>
      <c r="W4649">
        <v>16.59</v>
      </c>
      <c r="X4649">
        <v>7558</v>
      </c>
      <c r="Y4649">
        <v>5714</v>
      </c>
      <c r="Z4649">
        <v>1.32</v>
      </c>
      <c r="AA4649">
        <v>1</v>
      </c>
      <c r="AB4649">
        <v>16</v>
      </c>
      <c r="AC4649">
        <v>4.74</v>
      </c>
      <c r="AD4649" t="s">
        <v>16649</v>
      </c>
      <c r="AE4649" t="s">
        <v>21388</v>
      </c>
      <c r="AF4649" t="s">
        <v>16649</v>
      </c>
      <c r="AG4649" t="s">
        <v>21388</v>
      </c>
      <c r="AH4649">
        <v>-0.72</v>
      </c>
      <c r="AI4649">
        <v>0.18</v>
      </c>
      <c r="AJ4649">
        <v>2.77</v>
      </c>
      <c r="AK4649">
        <v>5.41</v>
      </c>
      <c r="AL4649">
        <v>-1</v>
      </c>
      <c r="AM4649">
        <v>-1.43</v>
      </c>
      <c r="AN4649">
        <v>28.13</v>
      </c>
      <c r="AO4649">
        <v>0.85</v>
      </c>
      <c r="AP4649">
        <v>19.19</v>
      </c>
    </row>
    <row r="4650" spans="1:42">
      <c r="A4650">
        <v>4649</v>
      </c>
      <c r="B4650" t="str">
        <f>"300881"</f>
        <v>300881</v>
      </c>
      <c r="C4650" t="s">
        <v>21389</v>
      </c>
      <c r="D4650">
        <v>27.43</v>
      </c>
      <c r="E4650">
        <v>1.55</v>
      </c>
      <c r="F4650">
        <v>0.42</v>
      </c>
      <c r="G4650">
        <v>8086</v>
      </c>
      <c r="H4650">
        <v>280</v>
      </c>
      <c r="I4650">
        <v>27.32</v>
      </c>
      <c r="J4650">
        <v>27.43</v>
      </c>
      <c r="K4650" t="s">
        <v>21390</v>
      </c>
      <c r="L4650">
        <v>0.74</v>
      </c>
      <c r="M4650" t="s">
        <v>46</v>
      </c>
      <c r="N4650" t="s">
        <v>5397</v>
      </c>
      <c r="O4650">
        <v>27.5</v>
      </c>
      <c r="P4650">
        <v>26.9</v>
      </c>
      <c r="Q4650">
        <v>26.98</v>
      </c>
      <c r="R4650">
        <v>27.01</v>
      </c>
      <c r="S4650">
        <v>2.22</v>
      </c>
      <c r="T4650">
        <v>0.75</v>
      </c>
      <c r="U4650">
        <v>-17.37</v>
      </c>
      <c r="V4650">
        <v>-87</v>
      </c>
      <c r="W4650">
        <v>27.22</v>
      </c>
      <c r="X4650">
        <v>3085</v>
      </c>
      <c r="Y4650">
        <v>5001</v>
      </c>
      <c r="Z4650">
        <v>0.62</v>
      </c>
      <c r="AA4650">
        <v>60</v>
      </c>
      <c r="AB4650">
        <v>13</v>
      </c>
      <c r="AC4650">
        <v>3.45</v>
      </c>
      <c r="AD4650" t="s">
        <v>3374</v>
      </c>
      <c r="AE4650" t="s">
        <v>21391</v>
      </c>
      <c r="AF4650" t="s">
        <v>3374</v>
      </c>
      <c r="AG4650" t="s">
        <v>21391</v>
      </c>
      <c r="AH4650">
        <v>-0.62</v>
      </c>
      <c r="AI4650">
        <v>-0.58</v>
      </c>
      <c r="AJ4650">
        <v>2.48</v>
      </c>
      <c r="AK4650">
        <v>5.64</v>
      </c>
      <c r="AL4650">
        <v>1</v>
      </c>
      <c r="AM4650">
        <v>1.55</v>
      </c>
      <c r="AN4650">
        <v>-4.92</v>
      </c>
      <c r="AO4650">
        <v>1.18</v>
      </c>
      <c r="AP4650">
        <v>-25.74</v>
      </c>
    </row>
    <row r="4651" spans="1:42">
      <c r="A4651">
        <v>4650</v>
      </c>
      <c r="B4651" t="str">
        <f>"300838"</f>
        <v>300838</v>
      </c>
      <c r="C4651" t="s">
        <v>21392</v>
      </c>
      <c r="D4651">
        <v>16.67</v>
      </c>
      <c r="E4651">
        <v>-0.54</v>
      </c>
      <c r="F4651">
        <v>-0.09</v>
      </c>
      <c r="G4651" t="s">
        <v>1967</v>
      </c>
      <c r="H4651">
        <v>76</v>
      </c>
      <c r="I4651">
        <v>16.67</v>
      </c>
      <c r="J4651">
        <v>16.68</v>
      </c>
      <c r="K4651" t="s">
        <v>21393</v>
      </c>
      <c r="L4651">
        <v>1.3</v>
      </c>
      <c r="M4651" t="s">
        <v>46</v>
      </c>
      <c r="N4651" t="s">
        <v>1685</v>
      </c>
      <c r="O4651">
        <v>16.85</v>
      </c>
      <c r="P4651">
        <v>16.47</v>
      </c>
      <c r="Q4651">
        <v>16.65</v>
      </c>
      <c r="R4651">
        <v>16.76</v>
      </c>
      <c r="S4651">
        <v>2.27</v>
      </c>
      <c r="T4651">
        <v>1.04</v>
      </c>
      <c r="U4651">
        <v>5.34</v>
      </c>
      <c r="V4651">
        <v>15</v>
      </c>
      <c r="W4651">
        <v>16.6</v>
      </c>
      <c r="X4651">
        <v>7819</v>
      </c>
      <c r="Y4651">
        <v>5417</v>
      </c>
      <c r="Z4651">
        <v>1.44</v>
      </c>
      <c r="AA4651">
        <v>9</v>
      </c>
      <c r="AB4651">
        <v>17</v>
      </c>
      <c r="AC4651">
        <v>2.36</v>
      </c>
      <c r="AD4651" t="s">
        <v>18261</v>
      </c>
      <c r="AE4651" t="s">
        <v>20105</v>
      </c>
      <c r="AF4651" t="s">
        <v>14880</v>
      </c>
      <c r="AG4651" t="s">
        <v>10109</v>
      </c>
      <c r="AH4651">
        <v>-2.11</v>
      </c>
      <c r="AI4651">
        <v>-1.42</v>
      </c>
      <c r="AJ4651">
        <v>3.64</v>
      </c>
      <c r="AK4651">
        <v>7.55</v>
      </c>
      <c r="AL4651">
        <v>-3</v>
      </c>
      <c r="AM4651">
        <v>-0.54</v>
      </c>
      <c r="AN4651">
        <v>2.4</v>
      </c>
      <c r="AO4651">
        <v>0.85</v>
      </c>
      <c r="AP4651">
        <v>-1.54</v>
      </c>
    </row>
    <row r="4652" spans="1:42">
      <c r="A4652">
        <v>4651</v>
      </c>
      <c r="B4652" t="str">
        <f>"603331"</f>
        <v>603331</v>
      </c>
      <c r="C4652" t="s">
        <v>21394</v>
      </c>
      <c r="D4652">
        <v>13.33</v>
      </c>
      <c r="E4652">
        <v>-0.3</v>
      </c>
      <c r="F4652">
        <v>-0.04</v>
      </c>
      <c r="G4652" t="s">
        <v>8137</v>
      </c>
      <c r="H4652">
        <v>118</v>
      </c>
      <c r="I4652">
        <v>13.33</v>
      </c>
      <c r="J4652">
        <v>13.34</v>
      </c>
      <c r="K4652" t="s">
        <v>21395</v>
      </c>
      <c r="L4652">
        <v>0.82</v>
      </c>
      <c r="M4652" t="s">
        <v>46</v>
      </c>
      <c r="N4652" t="s">
        <v>261</v>
      </c>
      <c r="O4652">
        <v>13.44</v>
      </c>
      <c r="P4652">
        <v>13.18</v>
      </c>
      <c r="Q4652">
        <v>13.31</v>
      </c>
      <c r="R4652">
        <v>13.37</v>
      </c>
      <c r="S4652">
        <v>1.94</v>
      </c>
      <c r="T4652">
        <v>0.85</v>
      </c>
      <c r="U4652">
        <v>-35.4</v>
      </c>
      <c r="V4652">
        <v>-286</v>
      </c>
      <c r="W4652">
        <v>13.31</v>
      </c>
      <c r="X4652">
        <v>8371</v>
      </c>
      <c r="Y4652">
        <v>8109</v>
      </c>
      <c r="Z4652">
        <v>1.03</v>
      </c>
      <c r="AA4652">
        <v>28</v>
      </c>
      <c r="AB4652">
        <v>13</v>
      </c>
      <c r="AC4652">
        <v>2.14</v>
      </c>
      <c r="AD4652" t="s">
        <v>9060</v>
      </c>
      <c r="AE4652" t="s">
        <v>9648</v>
      </c>
      <c r="AF4652" t="s">
        <v>12432</v>
      </c>
      <c r="AG4652" t="s">
        <v>17938</v>
      </c>
      <c r="AH4652">
        <v>-2.27</v>
      </c>
      <c r="AI4652">
        <v>-0.97</v>
      </c>
      <c r="AJ4652">
        <v>2.91</v>
      </c>
      <c r="AK4652">
        <v>5.63</v>
      </c>
      <c r="AL4652">
        <v>-3</v>
      </c>
      <c r="AM4652">
        <v>-0.3</v>
      </c>
      <c r="AN4652">
        <v>14.52</v>
      </c>
      <c r="AO4652">
        <v>-1.41</v>
      </c>
      <c r="AP4652">
        <v>-9.44</v>
      </c>
    </row>
    <row r="4653" spans="1:42">
      <c r="A4653">
        <v>4652</v>
      </c>
      <c r="B4653" t="str">
        <f>"603115"</f>
        <v>603115</v>
      </c>
      <c r="C4653" t="s">
        <v>21396</v>
      </c>
      <c r="D4653">
        <v>14.95</v>
      </c>
      <c r="E4653">
        <v>-0.13</v>
      </c>
      <c r="F4653">
        <v>-0.02</v>
      </c>
      <c r="G4653" t="s">
        <v>3130</v>
      </c>
      <c r="H4653">
        <v>34</v>
      </c>
      <c r="I4653">
        <v>14.94</v>
      </c>
      <c r="J4653">
        <v>14.95</v>
      </c>
      <c r="K4653" t="s">
        <v>21397</v>
      </c>
      <c r="L4653">
        <v>0.61</v>
      </c>
      <c r="M4653" t="s">
        <v>46</v>
      </c>
      <c r="N4653" t="s">
        <v>2900</v>
      </c>
      <c r="O4653">
        <v>15.06</v>
      </c>
      <c r="P4653">
        <v>14.79</v>
      </c>
      <c r="Q4653">
        <v>15.06</v>
      </c>
      <c r="R4653">
        <v>14.97</v>
      </c>
      <c r="S4653">
        <v>1.8</v>
      </c>
      <c r="T4653">
        <v>0.74</v>
      </c>
      <c r="U4653">
        <v>-24.32</v>
      </c>
      <c r="V4653">
        <v>-81</v>
      </c>
      <c r="W4653">
        <v>14.92</v>
      </c>
      <c r="X4653">
        <v>6112</v>
      </c>
      <c r="Y4653">
        <v>8571</v>
      </c>
      <c r="Z4653">
        <v>0.71</v>
      </c>
      <c r="AA4653">
        <v>4</v>
      </c>
      <c r="AB4653">
        <v>76</v>
      </c>
      <c r="AC4653">
        <v>1.85</v>
      </c>
      <c r="AD4653" t="s">
        <v>19925</v>
      </c>
      <c r="AE4653" t="s">
        <v>9253</v>
      </c>
      <c r="AF4653" t="s">
        <v>19925</v>
      </c>
      <c r="AG4653" t="s">
        <v>9253</v>
      </c>
      <c r="AH4653">
        <v>0.13</v>
      </c>
      <c r="AI4653">
        <v>0.4</v>
      </c>
      <c r="AJ4653">
        <v>2.01</v>
      </c>
      <c r="AK4653">
        <v>4.75</v>
      </c>
      <c r="AL4653">
        <v>-2</v>
      </c>
      <c r="AM4653">
        <v>-0.13</v>
      </c>
      <c r="AN4653">
        <v>0.07</v>
      </c>
      <c r="AO4653">
        <v>5.65</v>
      </c>
      <c r="AP4653">
        <v>-7.26</v>
      </c>
    </row>
    <row r="4654" spans="1:42">
      <c r="A4654">
        <v>4653</v>
      </c>
      <c r="B4654" t="str">
        <f>"002323"</f>
        <v>002323</v>
      </c>
      <c r="C4654" t="s">
        <v>21398</v>
      </c>
      <c r="D4654">
        <v>2.21</v>
      </c>
      <c r="E4654">
        <v>0.45</v>
      </c>
      <c r="F4654">
        <v>0.01</v>
      </c>
      <c r="G4654" t="s">
        <v>7189</v>
      </c>
      <c r="H4654">
        <v>1270</v>
      </c>
      <c r="I4654">
        <v>2.2</v>
      </c>
      <c r="J4654">
        <v>2.21</v>
      </c>
      <c r="K4654" t="s">
        <v>21399</v>
      </c>
      <c r="L4654">
        <v>0.47</v>
      </c>
      <c r="M4654" t="s">
        <v>46</v>
      </c>
      <c r="N4654" t="s">
        <v>2943</v>
      </c>
      <c r="O4654">
        <v>2.22</v>
      </c>
      <c r="P4654">
        <v>2.18</v>
      </c>
      <c r="Q4654">
        <v>2.2</v>
      </c>
      <c r="R4654">
        <v>2.2</v>
      </c>
      <c r="S4654">
        <v>1.82</v>
      </c>
      <c r="T4654">
        <v>0.66</v>
      </c>
      <c r="U4654">
        <v>12.85</v>
      </c>
      <c r="V4654">
        <v>7686</v>
      </c>
      <c r="W4654">
        <v>2.2</v>
      </c>
      <c r="X4654" t="s">
        <v>3373</v>
      </c>
      <c r="Y4654" t="s">
        <v>6226</v>
      </c>
      <c r="Z4654">
        <v>0.69</v>
      </c>
      <c r="AA4654" t="s">
        <v>61</v>
      </c>
      <c r="AB4654">
        <v>1433</v>
      </c>
      <c r="AC4654">
        <v>7.14</v>
      </c>
      <c r="AD4654" t="s">
        <v>10773</v>
      </c>
      <c r="AE4654" t="s">
        <v>5325</v>
      </c>
      <c r="AF4654" t="s">
        <v>8180</v>
      </c>
      <c r="AG4654" t="s">
        <v>15604</v>
      </c>
      <c r="AH4654">
        <v>-2.21</v>
      </c>
      <c r="AI4654">
        <v>-3.07</v>
      </c>
      <c r="AJ4654">
        <v>1.77</v>
      </c>
      <c r="AK4654">
        <v>4.03</v>
      </c>
      <c r="AL4654">
        <v>1</v>
      </c>
      <c r="AM4654">
        <v>0.45</v>
      </c>
      <c r="AN4654">
        <v>-31.37</v>
      </c>
      <c r="AO4654">
        <v>-3.91</v>
      </c>
      <c r="AP4654">
        <v>-42.6</v>
      </c>
    </row>
    <row r="4655" spans="1:42">
      <c r="A4655">
        <v>4654</v>
      </c>
      <c r="B4655" t="str">
        <f>"688275"</f>
        <v>688275</v>
      </c>
      <c r="C4655" t="s">
        <v>21400</v>
      </c>
      <c r="D4655">
        <v>59.89</v>
      </c>
      <c r="E4655">
        <v>-0.17</v>
      </c>
      <c r="F4655">
        <v>-0.1</v>
      </c>
      <c r="G4655">
        <v>3661</v>
      </c>
      <c r="H4655">
        <v>12</v>
      </c>
      <c r="I4655">
        <v>59.89</v>
      </c>
      <c r="J4655">
        <v>59.92</v>
      </c>
      <c r="K4655" t="s">
        <v>21401</v>
      </c>
      <c r="L4655">
        <v>0.51</v>
      </c>
      <c r="M4655" t="s">
        <v>46</v>
      </c>
      <c r="N4655" t="s">
        <v>8596</v>
      </c>
      <c r="O4655">
        <v>60.22</v>
      </c>
      <c r="P4655">
        <v>59.16</v>
      </c>
      <c r="Q4655">
        <v>59.88</v>
      </c>
      <c r="R4655">
        <v>59.99</v>
      </c>
      <c r="S4655">
        <v>1.77</v>
      </c>
      <c r="T4655">
        <v>0.59</v>
      </c>
      <c r="U4655">
        <v>37.97</v>
      </c>
      <c r="V4655">
        <v>30</v>
      </c>
      <c r="W4655">
        <v>59.62</v>
      </c>
      <c r="X4655">
        <v>1820</v>
      </c>
      <c r="Y4655">
        <v>1841</v>
      </c>
      <c r="Z4655">
        <v>0.99</v>
      </c>
      <c r="AA4655">
        <v>6</v>
      </c>
      <c r="AB4655">
        <v>1</v>
      </c>
      <c r="AC4655">
        <v>1.03</v>
      </c>
      <c r="AD4655" t="s">
        <v>21402</v>
      </c>
      <c r="AE4655" t="s">
        <v>10146</v>
      </c>
      <c r="AF4655" t="s">
        <v>13314</v>
      </c>
      <c r="AG4655" t="s">
        <v>21403</v>
      </c>
      <c r="AH4655">
        <v>-1.71</v>
      </c>
      <c r="AI4655">
        <v>-1.35</v>
      </c>
      <c r="AJ4655">
        <v>1.76</v>
      </c>
      <c r="AK4655">
        <v>4.85</v>
      </c>
      <c r="AL4655">
        <v>-3</v>
      </c>
      <c r="AM4655">
        <v>-0.17</v>
      </c>
      <c r="AN4655">
        <v>-48.36</v>
      </c>
      <c r="AO4655">
        <v>-0.18</v>
      </c>
      <c r="AP4655">
        <v>-55.5</v>
      </c>
    </row>
    <row r="4656" spans="1:42">
      <c r="A4656">
        <v>4655</v>
      </c>
      <c r="B4656" t="str">
        <f>"300849"</f>
        <v>300849</v>
      </c>
      <c r="C4656" t="s">
        <v>21404</v>
      </c>
      <c r="D4656">
        <v>12.11</v>
      </c>
      <c r="E4656">
        <v>0.41</v>
      </c>
      <c r="F4656">
        <v>0.05</v>
      </c>
      <c r="G4656" t="s">
        <v>432</v>
      </c>
      <c r="H4656">
        <v>59</v>
      </c>
      <c r="I4656">
        <v>12.11</v>
      </c>
      <c r="J4656">
        <v>12.13</v>
      </c>
      <c r="K4656" t="s">
        <v>21405</v>
      </c>
      <c r="L4656">
        <v>1.49</v>
      </c>
      <c r="M4656" t="s">
        <v>46</v>
      </c>
      <c r="N4656" t="s">
        <v>2549</v>
      </c>
      <c r="O4656">
        <v>12.15</v>
      </c>
      <c r="P4656">
        <v>12.02</v>
      </c>
      <c r="Q4656">
        <v>12.15</v>
      </c>
      <c r="R4656">
        <v>12.06</v>
      </c>
      <c r="S4656">
        <v>1.08</v>
      </c>
      <c r="T4656">
        <v>1.34</v>
      </c>
      <c r="U4656">
        <v>1.57</v>
      </c>
      <c r="V4656">
        <v>30</v>
      </c>
      <c r="W4656">
        <v>12.09</v>
      </c>
      <c r="X4656">
        <v>8994</v>
      </c>
      <c r="Y4656">
        <v>9045</v>
      </c>
      <c r="Z4656">
        <v>0.99</v>
      </c>
      <c r="AA4656">
        <v>470</v>
      </c>
      <c r="AB4656">
        <v>4</v>
      </c>
      <c r="AC4656">
        <v>2.89</v>
      </c>
      <c r="AD4656" t="s">
        <v>3403</v>
      </c>
      <c r="AE4656" t="s">
        <v>1817</v>
      </c>
      <c r="AF4656" t="s">
        <v>20791</v>
      </c>
      <c r="AG4656" t="s">
        <v>13519</v>
      </c>
      <c r="AH4656">
        <v>-0.33</v>
      </c>
      <c r="AI4656">
        <v>0.41</v>
      </c>
      <c r="AJ4656">
        <v>3.66</v>
      </c>
      <c r="AK4656">
        <v>7.02</v>
      </c>
      <c r="AL4656">
        <v>1</v>
      </c>
      <c r="AM4656">
        <v>0.41</v>
      </c>
      <c r="AN4656">
        <v>0.92</v>
      </c>
      <c r="AO4656">
        <v>4.4</v>
      </c>
      <c r="AP4656">
        <v>-1.54</v>
      </c>
    </row>
    <row r="4657" spans="1:42">
      <c r="A4657">
        <v>4656</v>
      </c>
      <c r="B4657" t="str">
        <f>"301107"</f>
        <v>301107</v>
      </c>
      <c r="C4657" t="s">
        <v>21406</v>
      </c>
      <c r="D4657">
        <v>32.44</v>
      </c>
      <c r="E4657">
        <v>-0.64</v>
      </c>
      <c r="F4657">
        <v>-0.21</v>
      </c>
      <c r="G4657">
        <v>6716</v>
      </c>
      <c r="H4657">
        <v>91</v>
      </c>
      <c r="I4657">
        <v>32.43</v>
      </c>
      <c r="J4657">
        <v>32.44</v>
      </c>
      <c r="K4657" t="s">
        <v>21407</v>
      </c>
      <c r="L4657">
        <v>3.21</v>
      </c>
      <c r="M4657" t="s">
        <v>46</v>
      </c>
      <c r="N4657" t="s">
        <v>3546</v>
      </c>
      <c r="O4657">
        <v>32.77</v>
      </c>
      <c r="P4657">
        <v>32.14</v>
      </c>
      <c r="Q4657">
        <v>32.49</v>
      </c>
      <c r="R4657">
        <v>32.65</v>
      </c>
      <c r="S4657">
        <v>1.93</v>
      </c>
      <c r="T4657">
        <v>0.82</v>
      </c>
      <c r="U4657">
        <v>-42.29</v>
      </c>
      <c r="V4657">
        <v>-107</v>
      </c>
      <c r="W4657">
        <v>32.45</v>
      </c>
      <c r="X4657">
        <v>3652</v>
      </c>
      <c r="Y4657">
        <v>3064</v>
      </c>
      <c r="Z4657">
        <v>1.19</v>
      </c>
      <c r="AA4657">
        <v>20</v>
      </c>
      <c r="AB4657">
        <v>5</v>
      </c>
      <c r="AC4657">
        <v>2.59</v>
      </c>
      <c r="AD4657" t="s">
        <v>13159</v>
      </c>
      <c r="AE4657" t="s">
        <v>16672</v>
      </c>
      <c r="AF4657" t="s">
        <v>21408</v>
      </c>
      <c r="AG4657" t="s">
        <v>13255</v>
      </c>
      <c r="AH4657">
        <v>-1.99</v>
      </c>
      <c r="AI4657">
        <v>-0.8</v>
      </c>
      <c r="AJ4657">
        <v>10.61</v>
      </c>
      <c r="AK4657">
        <v>22.83</v>
      </c>
      <c r="AL4657">
        <v>-2</v>
      </c>
      <c r="AM4657">
        <v>-0.64</v>
      </c>
      <c r="AN4657">
        <v>25.01</v>
      </c>
      <c r="AO4657">
        <v>0.78</v>
      </c>
      <c r="AP4657">
        <v>10.53</v>
      </c>
    </row>
    <row r="4658" spans="1:42">
      <c r="A4658">
        <v>4657</v>
      </c>
      <c r="B4658" t="str">
        <f>"688565"</f>
        <v>688565</v>
      </c>
      <c r="C4658" t="s">
        <v>21409</v>
      </c>
      <c r="D4658">
        <v>8.83</v>
      </c>
      <c r="E4658">
        <v>-1.12</v>
      </c>
      <c r="F4658">
        <v>-0.1</v>
      </c>
      <c r="G4658" t="s">
        <v>9766</v>
      </c>
      <c r="H4658">
        <v>335</v>
      </c>
      <c r="I4658">
        <v>8.8</v>
      </c>
      <c r="J4658">
        <v>8.83</v>
      </c>
      <c r="K4658" t="s">
        <v>21410</v>
      </c>
      <c r="L4658">
        <v>2.51</v>
      </c>
      <c r="M4658" t="s">
        <v>46</v>
      </c>
      <c r="N4658" t="s">
        <v>4095</v>
      </c>
      <c r="O4658">
        <v>8.94</v>
      </c>
      <c r="P4658">
        <v>8.77</v>
      </c>
      <c r="Q4658">
        <v>8.91</v>
      </c>
      <c r="R4658">
        <v>8.93</v>
      </c>
      <c r="S4658">
        <v>1.9</v>
      </c>
      <c r="T4658">
        <v>0.86</v>
      </c>
      <c r="U4658">
        <v>61.3</v>
      </c>
      <c r="V4658">
        <v>727</v>
      </c>
      <c r="W4658">
        <v>8.85</v>
      </c>
      <c r="X4658" t="s">
        <v>51</v>
      </c>
      <c r="Y4658" t="s">
        <v>5183</v>
      </c>
      <c r="Z4658">
        <v>0.8</v>
      </c>
      <c r="AA4658">
        <v>1</v>
      </c>
      <c r="AB4658">
        <v>60</v>
      </c>
      <c r="AC4658">
        <v>2.49</v>
      </c>
      <c r="AD4658" t="s">
        <v>14732</v>
      </c>
      <c r="AE4658" t="s">
        <v>8344</v>
      </c>
      <c r="AF4658" t="s">
        <v>11071</v>
      </c>
      <c r="AG4658" t="s">
        <v>21411</v>
      </c>
      <c r="AH4658">
        <v>-3.29</v>
      </c>
      <c r="AI4658">
        <v>-0.56</v>
      </c>
      <c r="AJ4658">
        <v>8.57</v>
      </c>
      <c r="AK4658">
        <v>17.14</v>
      </c>
      <c r="AL4658">
        <v>-3</v>
      </c>
      <c r="AM4658">
        <v>-1.12</v>
      </c>
      <c r="AN4658">
        <v>-0.34</v>
      </c>
      <c r="AO4658">
        <v>3.03</v>
      </c>
      <c r="AP4658">
        <v>-20.52</v>
      </c>
    </row>
    <row r="4659" spans="1:42">
      <c r="A4659">
        <v>4658</v>
      </c>
      <c r="B4659" t="str">
        <f>"600620"</f>
        <v>600620</v>
      </c>
      <c r="C4659" t="s">
        <v>21412</v>
      </c>
      <c r="D4659">
        <v>10.19</v>
      </c>
      <c r="E4659">
        <v>0.1</v>
      </c>
      <c r="F4659">
        <v>0.01</v>
      </c>
      <c r="G4659" t="s">
        <v>3116</v>
      </c>
      <c r="H4659">
        <v>140</v>
      </c>
      <c r="I4659">
        <v>10.19</v>
      </c>
      <c r="J4659">
        <v>10.2</v>
      </c>
      <c r="K4659" t="s">
        <v>21410</v>
      </c>
      <c r="L4659">
        <v>0.31</v>
      </c>
      <c r="M4659" t="s">
        <v>46</v>
      </c>
      <c r="N4659" t="s">
        <v>6070</v>
      </c>
      <c r="O4659">
        <v>10.23</v>
      </c>
      <c r="P4659">
        <v>10.14</v>
      </c>
      <c r="Q4659">
        <v>10.2</v>
      </c>
      <c r="R4659">
        <v>10.18</v>
      </c>
      <c r="S4659">
        <v>0.88</v>
      </c>
      <c r="T4659">
        <v>1.37</v>
      </c>
      <c r="U4659">
        <v>-19.18</v>
      </c>
      <c r="V4659">
        <v>-386</v>
      </c>
      <c r="W4659">
        <v>10.18</v>
      </c>
      <c r="X4659" t="s">
        <v>734</v>
      </c>
      <c r="Y4659" t="s">
        <v>2074</v>
      </c>
      <c r="Z4659">
        <v>1.1</v>
      </c>
      <c r="AA4659">
        <v>13</v>
      </c>
      <c r="AB4659">
        <v>271</v>
      </c>
      <c r="AC4659">
        <v>3.62</v>
      </c>
      <c r="AD4659" t="s">
        <v>21413</v>
      </c>
      <c r="AE4659" t="s">
        <v>7207</v>
      </c>
      <c r="AF4659" t="s">
        <v>21413</v>
      </c>
      <c r="AG4659" t="s">
        <v>7207</v>
      </c>
      <c r="AH4659">
        <v>-0.78</v>
      </c>
      <c r="AI4659">
        <v>-1.83</v>
      </c>
      <c r="AJ4659">
        <v>0.71</v>
      </c>
      <c r="AK4659">
        <v>1.44</v>
      </c>
      <c r="AL4659">
        <v>1</v>
      </c>
      <c r="AM4659">
        <v>0.1</v>
      </c>
      <c r="AN4659">
        <v>-8.03</v>
      </c>
      <c r="AO4659">
        <v>0.99</v>
      </c>
      <c r="AP4659">
        <v>-6.26</v>
      </c>
    </row>
    <row r="4660" spans="1:42">
      <c r="A4660">
        <v>4659</v>
      </c>
      <c r="B4660" t="str">
        <f>"002930"</f>
        <v>002930</v>
      </c>
      <c r="C4660" t="s">
        <v>21414</v>
      </c>
      <c r="D4660">
        <v>21.95</v>
      </c>
      <c r="E4660">
        <v>0.27</v>
      </c>
      <c r="F4660">
        <v>0.06</v>
      </c>
      <c r="G4660">
        <v>9864</v>
      </c>
      <c r="H4660">
        <v>57</v>
      </c>
      <c r="I4660">
        <v>21.95</v>
      </c>
      <c r="J4660">
        <v>21.96</v>
      </c>
      <c r="K4660" t="s">
        <v>21415</v>
      </c>
      <c r="L4660">
        <v>0.23</v>
      </c>
      <c r="M4660" t="s">
        <v>46</v>
      </c>
      <c r="N4660" t="s">
        <v>4336</v>
      </c>
      <c r="O4660">
        <v>22.23</v>
      </c>
      <c r="P4660">
        <v>21.8</v>
      </c>
      <c r="Q4660">
        <v>21.87</v>
      </c>
      <c r="R4660">
        <v>21.89</v>
      </c>
      <c r="S4660">
        <v>1.96</v>
      </c>
      <c r="T4660">
        <v>0.6</v>
      </c>
      <c r="U4660">
        <v>64.94</v>
      </c>
      <c r="V4660">
        <v>226</v>
      </c>
      <c r="W4660">
        <v>21.98</v>
      </c>
      <c r="X4660">
        <v>5028</v>
      </c>
      <c r="Y4660">
        <v>4836</v>
      </c>
      <c r="Z4660">
        <v>1.04</v>
      </c>
      <c r="AA4660">
        <v>25</v>
      </c>
      <c r="AB4660">
        <v>34</v>
      </c>
      <c r="AC4660">
        <v>4.16</v>
      </c>
      <c r="AD4660" t="s">
        <v>21416</v>
      </c>
      <c r="AE4660" t="s">
        <v>4360</v>
      </c>
      <c r="AF4660" t="s">
        <v>18858</v>
      </c>
      <c r="AG4660" t="s">
        <v>21417</v>
      </c>
      <c r="AH4660">
        <v>-0.41</v>
      </c>
      <c r="AI4660">
        <v>0.6</v>
      </c>
      <c r="AJ4660">
        <v>0.75</v>
      </c>
      <c r="AK4660">
        <v>2.13</v>
      </c>
      <c r="AL4660">
        <v>1</v>
      </c>
      <c r="AM4660">
        <v>0.27</v>
      </c>
      <c r="AN4660">
        <v>16.14</v>
      </c>
      <c r="AO4660">
        <v>1.71</v>
      </c>
      <c r="AP4660">
        <v>10.52</v>
      </c>
    </row>
    <row r="4661" spans="1:42">
      <c r="A4661">
        <v>4660</v>
      </c>
      <c r="B4661" t="str">
        <f>"837174"</f>
        <v>837174</v>
      </c>
      <c r="C4661" t="s">
        <v>21418</v>
      </c>
      <c r="D4661">
        <v>9.83</v>
      </c>
      <c r="E4661">
        <v>0.1</v>
      </c>
      <c r="F4661">
        <v>0.01</v>
      </c>
      <c r="G4661" t="s">
        <v>4963</v>
      </c>
      <c r="H4661">
        <v>267</v>
      </c>
      <c r="I4661">
        <v>9.83</v>
      </c>
      <c r="J4661">
        <v>9.84</v>
      </c>
      <c r="K4661" t="s">
        <v>21419</v>
      </c>
      <c r="L4661">
        <v>13.31</v>
      </c>
      <c r="M4661" t="s">
        <v>46</v>
      </c>
      <c r="N4661" t="s">
        <v>2996</v>
      </c>
      <c r="O4661">
        <v>10.38</v>
      </c>
      <c r="P4661">
        <v>9.5</v>
      </c>
      <c r="Q4661">
        <v>10</v>
      </c>
      <c r="R4661">
        <v>9.82</v>
      </c>
      <c r="S4661">
        <v>8.96</v>
      </c>
      <c r="T4661">
        <v>0.37</v>
      </c>
      <c r="U4661">
        <v>-23.89</v>
      </c>
      <c r="V4661">
        <v>-133</v>
      </c>
      <c r="W4661">
        <v>10.01</v>
      </c>
      <c r="X4661" t="s">
        <v>718</v>
      </c>
      <c r="Y4661">
        <v>9783</v>
      </c>
      <c r="Z4661">
        <v>1.21</v>
      </c>
      <c r="AA4661">
        <v>110</v>
      </c>
      <c r="AB4661">
        <v>136</v>
      </c>
      <c r="AC4661">
        <v>1.54</v>
      </c>
      <c r="AD4661" t="s">
        <v>21420</v>
      </c>
      <c r="AE4661" t="s">
        <v>21421</v>
      </c>
      <c r="AF4661" t="s">
        <v>21422</v>
      </c>
      <c r="AG4661" t="s">
        <v>21423</v>
      </c>
      <c r="AH4661">
        <v>-10.39</v>
      </c>
      <c r="AI4661">
        <v>13.51</v>
      </c>
      <c r="AJ4661">
        <v>56.15</v>
      </c>
      <c r="AK4661">
        <v>191.2</v>
      </c>
      <c r="AL4661">
        <v>2</v>
      </c>
      <c r="AM4661">
        <v>0.1</v>
      </c>
      <c r="AN4661">
        <v>-49.59</v>
      </c>
      <c r="AO4661">
        <v>54.8</v>
      </c>
      <c r="AP4661">
        <v>-49.59</v>
      </c>
    </row>
    <row r="4662" spans="1:42">
      <c r="A4662">
        <v>4661</v>
      </c>
      <c r="B4662" t="str">
        <f>"430564"</f>
        <v>430564</v>
      </c>
      <c r="C4662" t="s">
        <v>21424</v>
      </c>
      <c r="D4662">
        <v>8.21</v>
      </c>
      <c r="E4662">
        <v>-3.41</v>
      </c>
      <c r="F4662">
        <v>-0.29</v>
      </c>
      <c r="G4662" t="s">
        <v>6954</v>
      </c>
      <c r="H4662">
        <v>487</v>
      </c>
      <c r="I4662">
        <v>8.21</v>
      </c>
      <c r="J4662">
        <v>8.22</v>
      </c>
      <c r="K4662" t="s">
        <v>21425</v>
      </c>
      <c r="L4662">
        <v>12.73</v>
      </c>
      <c r="M4662" t="s">
        <v>46</v>
      </c>
      <c r="N4662" t="s">
        <v>12640</v>
      </c>
      <c r="O4662">
        <v>8.88</v>
      </c>
      <c r="P4662">
        <v>8.1</v>
      </c>
      <c r="Q4662">
        <v>8.42</v>
      </c>
      <c r="R4662">
        <v>8.5</v>
      </c>
      <c r="S4662">
        <v>9.18</v>
      </c>
      <c r="T4662">
        <v>0.39</v>
      </c>
      <c r="U4662">
        <v>54.39</v>
      </c>
      <c r="V4662">
        <v>214</v>
      </c>
      <c r="W4662">
        <v>8.42</v>
      </c>
      <c r="X4662" t="s">
        <v>6595</v>
      </c>
      <c r="Y4662" t="s">
        <v>7974</v>
      </c>
      <c r="Z4662">
        <v>1.38</v>
      </c>
      <c r="AA4662">
        <v>28</v>
      </c>
      <c r="AB4662">
        <v>7</v>
      </c>
      <c r="AC4662">
        <v>2.01</v>
      </c>
      <c r="AD4662" t="s">
        <v>21426</v>
      </c>
      <c r="AE4662" t="s">
        <v>21427</v>
      </c>
      <c r="AF4662" t="s">
        <v>21428</v>
      </c>
      <c r="AG4662" t="s">
        <v>7779</v>
      </c>
      <c r="AH4662">
        <v>-18.06</v>
      </c>
      <c r="AI4662">
        <v>12.01</v>
      </c>
      <c r="AJ4662">
        <v>63.01</v>
      </c>
      <c r="AK4662">
        <v>178.02</v>
      </c>
      <c r="AL4662">
        <v>-4</v>
      </c>
      <c r="AM4662">
        <v>-3.41</v>
      </c>
      <c r="AN4662">
        <v>32.63</v>
      </c>
      <c r="AO4662">
        <v>56.08</v>
      </c>
      <c r="AP4662">
        <v>23.83</v>
      </c>
    </row>
    <row r="4663" spans="1:42">
      <c r="A4663">
        <v>4662</v>
      </c>
      <c r="B4663" t="str">
        <f>"002686"</f>
        <v>002686</v>
      </c>
      <c r="C4663" t="s">
        <v>21429</v>
      </c>
      <c r="D4663">
        <v>6.53</v>
      </c>
      <c r="E4663">
        <v>0.46</v>
      </c>
      <c r="F4663">
        <v>0.03</v>
      </c>
      <c r="G4663" t="s">
        <v>3457</v>
      </c>
      <c r="H4663">
        <v>1140</v>
      </c>
      <c r="I4663">
        <v>6.52</v>
      </c>
      <c r="J4663">
        <v>6.53</v>
      </c>
      <c r="K4663" t="s">
        <v>21425</v>
      </c>
      <c r="L4663">
        <v>0.85</v>
      </c>
      <c r="M4663" t="s">
        <v>46</v>
      </c>
      <c r="N4663" t="s">
        <v>5453</v>
      </c>
      <c r="O4663">
        <v>6.56</v>
      </c>
      <c r="P4663">
        <v>6.46</v>
      </c>
      <c r="Q4663">
        <v>6.5</v>
      </c>
      <c r="R4663">
        <v>6.5</v>
      </c>
      <c r="S4663">
        <v>1.54</v>
      </c>
      <c r="T4663">
        <v>0.76</v>
      </c>
      <c r="U4663">
        <v>-21.59</v>
      </c>
      <c r="V4663">
        <v>-634</v>
      </c>
      <c r="W4663">
        <v>6.5</v>
      </c>
      <c r="X4663" t="s">
        <v>1177</v>
      </c>
      <c r="Y4663" t="s">
        <v>144</v>
      </c>
      <c r="Z4663">
        <v>1.12</v>
      </c>
      <c r="AA4663">
        <v>28</v>
      </c>
      <c r="AB4663">
        <v>29</v>
      </c>
      <c r="AC4663">
        <v>2.25</v>
      </c>
      <c r="AD4663" t="s">
        <v>5052</v>
      </c>
      <c r="AE4663" t="s">
        <v>21430</v>
      </c>
      <c r="AF4663" t="s">
        <v>21431</v>
      </c>
      <c r="AG4663" t="s">
        <v>8174</v>
      </c>
      <c r="AH4663">
        <v>-1.21</v>
      </c>
      <c r="AI4663">
        <v>-0.91</v>
      </c>
      <c r="AJ4663">
        <v>2.86</v>
      </c>
      <c r="AK4663">
        <v>6.42</v>
      </c>
      <c r="AL4663">
        <v>1</v>
      </c>
      <c r="AM4663">
        <v>0.46</v>
      </c>
      <c r="AN4663">
        <v>12.39</v>
      </c>
      <c r="AO4663">
        <v>2.35</v>
      </c>
      <c r="AP4663">
        <v>3.98</v>
      </c>
    </row>
    <row r="4664" spans="1:42">
      <c r="A4664">
        <v>4663</v>
      </c>
      <c r="B4664" t="str">
        <f>"831641"</f>
        <v>831641</v>
      </c>
      <c r="C4664" t="s">
        <v>21432</v>
      </c>
      <c r="D4664">
        <v>8.3</v>
      </c>
      <c r="E4664">
        <v>-5.14</v>
      </c>
      <c r="F4664">
        <v>-0.45</v>
      </c>
      <c r="G4664" t="s">
        <v>7946</v>
      </c>
      <c r="H4664">
        <v>360</v>
      </c>
      <c r="I4664">
        <v>8.29</v>
      </c>
      <c r="J4664">
        <v>8.3</v>
      </c>
      <c r="K4664" t="s">
        <v>10752</v>
      </c>
      <c r="L4664">
        <v>9.88</v>
      </c>
      <c r="M4664" t="s">
        <v>46</v>
      </c>
      <c r="N4664" t="s">
        <v>18551</v>
      </c>
      <c r="O4664">
        <v>8.99</v>
      </c>
      <c r="P4664">
        <v>8.16</v>
      </c>
      <c r="Q4664">
        <v>8.75</v>
      </c>
      <c r="R4664">
        <v>8.75</v>
      </c>
      <c r="S4664">
        <v>9.49</v>
      </c>
      <c r="T4664">
        <v>0.39</v>
      </c>
      <c r="U4664">
        <v>34.13</v>
      </c>
      <c r="V4664">
        <v>278</v>
      </c>
      <c r="W4664">
        <v>8.53</v>
      </c>
      <c r="X4664" t="s">
        <v>61</v>
      </c>
      <c r="Y4664" t="s">
        <v>1646</v>
      </c>
      <c r="Z4664">
        <v>1.49</v>
      </c>
      <c r="AA4664">
        <v>22</v>
      </c>
      <c r="AB4664">
        <v>188</v>
      </c>
      <c r="AC4664">
        <v>1.66</v>
      </c>
      <c r="AD4664" t="s">
        <v>21433</v>
      </c>
      <c r="AE4664" t="s">
        <v>19994</v>
      </c>
      <c r="AF4664" t="s">
        <v>21434</v>
      </c>
      <c r="AG4664" t="s">
        <v>11017</v>
      </c>
      <c r="AH4664">
        <v>-17.66</v>
      </c>
      <c r="AI4664">
        <v>5.87</v>
      </c>
      <c r="AJ4664">
        <v>36.55</v>
      </c>
      <c r="AK4664">
        <v>136.18</v>
      </c>
      <c r="AL4664">
        <v>-4</v>
      </c>
      <c r="AM4664">
        <v>-5.14</v>
      </c>
      <c r="AN4664">
        <v>-17.08</v>
      </c>
      <c r="AO4664">
        <v>36.96</v>
      </c>
      <c r="AP4664">
        <v>-4.49</v>
      </c>
    </row>
    <row r="4665" spans="1:42">
      <c r="A4665">
        <v>4664</v>
      </c>
      <c r="B4665" t="str">
        <f>"002325"</f>
        <v>002325</v>
      </c>
      <c r="C4665" t="s">
        <v>21435</v>
      </c>
      <c r="D4665">
        <v>1.63</v>
      </c>
      <c r="E4665">
        <v>1.24</v>
      </c>
      <c r="F4665">
        <v>0.02</v>
      </c>
      <c r="G4665" t="s">
        <v>1759</v>
      </c>
      <c r="H4665">
        <v>3831</v>
      </c>
      <c r="I4665">
        <v>1.63</v>
      </c>
      <c r="J4665">
        <v>1.64</v>
      </c>
      <c r="K4665" t="s">
        <v>21436</v>
      </c>
      <c r="L4665">
        <v>0.92</v>
      </c>
      <c r="M4665" t="s">
        <v>46</v>
      </c>
      <c r="N4665" t="s">
        <v>2682</v>
      </c>
      <c r="O4665">
        <v>1.64</v>
      </c>
      <c r="P4665">
        <v>1.61</v>
      </c>
      <c r="Q4665">
        <v>1.61</v>
      </c>
      <c r="R4665">
        <v>1.61</v>
      </c>
      <c r="S4665">
        <v>1.86</v>
      </c>
      <c r="T4665">
        <v>0.71</v>
      </c>
      <c r="U4665">
        <v>-11.7</v>
      </c>
      <c r="V4665">
        <v>-9878</v>
      </c>
      <c r="W4665">
        <v>1.63</v>
      </c>
      <c r="X4665" t="s">
        <v>7494</v>
      </c>
      <c r="Y4665" t="s">
        <v>8775</v>
      </c>
      <c r="Z4665">
        <v>0.84</v>
      </c>
      <c r="AA4665">
        <v>5868</v>
      </c>
      <c r="AB4665" t="s">
        <v>7178</v>
      </c>
      <c r="AC4665">
        <v>1.03</v>
      </c>
      <c r="AD4665" t="s">
        <v>11912</v>
      </c>
      <c r="AE4665" t="s">
        <v>20058</v>
      </c>
      <c r="AF4665" t="s">
        <v>19703</v>
      </c>
      <c r="AG4665" t="s">
        <v>16158</v>
      </c>
      <c r="AH4665">
        <v>-0.61</v>
      </c>
      <c r="AI4665">
        <v>-0.61</v>
      </c>
      <c r="AJ4665">
        <v>3.53</v>
      </c>
      <c r="AK4665">
        <v>7.44</v>
      </c>
      <c r="AL4665">
        <v>2</v>
      </c>
      <c r="AM4665">
        <v>1.24</v>
      </c>
      <c r="AN4665">
        <v>-16.41</v>
      </c>
      <c r="AO4665">
        <v>4.49</v>
      </c>
      <c r="AP4665">
        <v>-20.87</v>
      </c>
    </row>
    <row r="4666" spans="1:42">
      <c r="A4666">
        <v>4665</v>
      </c>
      <c r="B4666" t="str">
        <f>"002496"</f>
        <v>002496</v>
      </c>
      <c r="C4666" t="s">
        <v>21437</v>
      </c>
      <c r="D4666">
        <v>2.06</v>
      </c>
      <c r="E4666">
        <v>0.98</v>
      </c>
      <c r="F4666">
        <v>0.02</v>
      </c>
      <c r="G4666" t="s">
        <v>881</v>
      </c>
      <c r="H4666">
        <v>1985</v>
      </c>
      <c r="I4666">
        <v>2.05</v>
      </c>
      <c r="J4666">
        <v>2.06</v>
      </c>
      <c r="K4666" t="s">
        <v>21438</v>
      </c>
      <c r="L4666">
        <v>0.9</v>
      </c>
      <c r="M4666" t="s">
        <v>46</v>
      </c>
      <c r="N4666" t="s">
        <v>6218</v>
      </c>
      <c r="O4666">
        <v>2.06</v>
      </c>
      <c r="P4666">
        <v>2.02</v>
      </c>
      <c r="Q4666">
        <v>2.04</v>
      </c>
      <c r="R4666">
        <v>2.04</v>
      </c>
      <c r="S4666">
        <v>1.96</v>
      </c>
      <c r="T4666">
        <v>0.78</v>
      </c>
      <c r="U4666">
        <v>-16.52</v>
      </c>
      <c r="V4666">
        <v>-9491</v>
      </c>
      <c r="W4666">
        <v>2.05</v>
      </c>
      <c r="X4666" t="s">
        <v>5454</v>
      </c>
      <c r="Y4666" t="s">
        <v>7753</v>
      </c>
      <c r="Z4666">
        <v>0.47</v>
      </c>
      <c r="AA4666">
        <v>6295</v>
      </c>
      <c r="AB4666">
        <v>1052</v>
      </c>
      <c r="AC4666">
        <v>1.67</v>
      </c>
      <c r="AD4666" t="s">
        <v>17789</v>
      </c>
      <c r="AE4666" t="s">
        <v>21439</v>
      </c>
      <c r="AF4666" t="s">
        <v>14486</v>
      </c>
      <c r="AG4666" t="s">
        <v>20566</v>
      </c>
      <c r="AH4666">
        <v>-0.48</v>
      </c>
      <c r="AI4666">
        <v>-1.44</v>
      </c>
      <c r="AJ4666">
        <v>3.37</v>
      </c>
      <c r="AK4666">
        <v>6.68</v>
      </c>
      <c r="AL4666">
        <v>1</v>
      </c>
      <c r="AM4666">
        <v>0.98</v>
      </c>
      <c r="AN4666">
        <v>-10.82</v>
      </c>
      <c r="AO4666">
        <v>0.98</v>
      </c>
      <c r="AP4666">
        <v>-13.08</v>
      </c>
    </row>
    <row r="4667" spans="1:42">
      <c r="A4667">
        <v>4666</v>
      </c>
      <c r="B4667" t="str">
        <f>"688112"</f>
        <v>688112</v>
      </c>
      <c r="C4667" t="s">
        <v>21440</v>
      </c>
      <c r="D4667">
        <v>39.63</v>
      </c>
      <c r="E4667">
        <v>-1.1</v>
      </c>
      <c r="F4667">
        <v>-0.44</v>
      </c>
      <c r="G4667">
        <v>5475</v>
      </c>
      <c r="H4667">
        <v>25</v>
      </c>
      <c r="I4667">
        <v>39.52</v>
      </c>
      <c r="J4667">
        <v>39.63</v>
      </c>
      <c r="K4667" t="s">
        <v>21441</v>
      </c>
      <c r="L4667">
        <v>1.19</v>
      </c>
      <c r="M4667" t="s">
        <v>46</v>
      </c>
      <c r="N4667" t="s">
        <v>4149</v>
      </c>
      <c r="O4667">
        <v>40.01</v>
      </c>
      <c r="P4667">
        <v>39</v>
      </c>
      <c r="Q4667">
        <v>39.94</v>
      </c>
      <c r="R4667">
        <v>40.07</v>
      </c>
      <c r="S4667">
        <v>2.52</v>
      </c>
      <c r="T4667">
        <v>0.74</v>
      </c>
      <c r="U4667">
        <v>42.9</v>
      </c>
      <c r="V4667">
        <v>27</v>
      </c>
      <c r="W4667">
        <v>39.44</v>
      </c>
      <c r="X4667">
        <v>2649</v>
      </c>
      <c r="Y4667">
        <v>2826</v>
      </c>
      <c r="Z4667">
        <v>0.94</v>
      </c>
      <c r="AA4667">
        <v>2</v>
      </c>
      <c r="AB4667">
        <v>1</v>
      </c>
      <c r="AC4667">
        <v>4.13</v>
      </c>
      <c r="AD4667" t="s">
        <v>21442</v>
      </c>
      <c r="AE4667" t="s">
        <v>1415</v>
      </c>
      <c r="AF4667" t="s">
        <v>21443</v>
      </c>
      <c r="AG4667" t="s">
        <v>21444</v>
      </c>
      <c r="AH4667">
        <v>-4.6</v>
      </c>
      <c r="AI4667">
        <v>-6.07</v>
      </c>
      <c r="AJ4667">
        <v>6.29</v>
      </c>
      <c r="AK4667">
        <v>9.29</v>
      </c>
      <c r="AL4667">
        <v>-1</v>
      </c>
      <c r="AM4667">
        <v>-1.1</v>
      </c>
      <c r="AN4667">
        <v>-36.09</v>
      </c>
      <c r="AO4667">
        <v>1.43</v>
      </c>
      <c r="AP4667">
        <v>-40.01</v>
      </c>
    </row>
    <row r="4668" spans="1:42">
      <c r="A4668">
        <v>4667</v>
      </c>
      <c r="B4668" t="str">
        <f>"601002"</f>
        <v>601002</v>
      </c>
      <c r="C4668" t="s">
        <v>21445</v>
      </c>
      <c r="D4668">
        <v>4.9</v>
      </c>
      <c r="E4668">
        <v>0.41</v>
      </c>
      <c r="F4668">
        <v>0.02</v>
      </c>
      <c r="G4668" t="s">
        <v>320</v>
      </c>
      <c r="H4668">
        <v>300</v>
      </c>
      <c r="I4668">
        <v>4.9</v>
      </c>
      <c r="J4668">
        <v>4.91</v>
      </c>
      <c r="K4668" t="s">
        <v>21446</v>
      </c>
      <c r="L4668">
        <v>0.46</v>
      </c>
      <c r="M4668" t="s">
        <v>46</v>
      </c>
      <c r="N4668" t="s">
        <v>9029</v>
      </c>
      <c r="O4668">
        <v>4.91</v>
      </c>
      <c r="P4668">
        <v>4.84</v>
      </c>
      <c r="Q4668">
        <v>4.87</v>
      </c>
      <c r="R4668">
        <v>4.88</v>
      </c>
      <c r="S4668">
        <v>1.43</v>
      </c>
      <c r="T4668">
        <v>1.02</v>
      </c>
      <c r="U4668">
        <v>-66.31</v>
      </c>
      <c r="V4668">
        <v>-7634</v>
      </c>
      <c r="W4668">
        <v>4.88</v>
      </c>
      <c r="X4668" t="s">
        <v>8073</v>
      </c>
      <c r="Y4668" t="s">
        <v>2818</v>
      </c>
      <c r="Z4668">
        <v>0.87</v>
      </c>
      <c r="AA4668">
        <v>232</v>
      </c>
      <c r="AB4668">
        <v>1068</v>
      </c>
      <c r="AC4668">
        <v>1.13</v>
      </c>
      <c r="AD4668" t="s">
        <v>7701</v>
      </c>
      <c r="AE4668" t="s">
        <v>21447</v>
      </c>
      <c r="AF4668" t="s">
        <v>9708</v>
      </c>
      <c r="AG4668" t="s">
        <v>21448</v>
      </c>
      <c r="AH4668">
        <v>0</v>
      </c>
      <c r="AI4668">
        <v>0.41</v>
      </c>
      <c r="AJ4668">
        <v>1.51</v>
      </c>
      <c r="AK4668">
        <v>2.73</v>
      </c>
      <c r="AL4668">
        <v>1</v>
      </c>
      <c r="AM4668">
        <v>0.41</v>
      </c>
      <c r="AN4668">
        <v>7.93</v>
      </c>
      <c r="AO4668">
        <v>4.03</v>
      </c>
      <c r="AP4668">
        <v>2.08</v>
      </c>
    </row>
    <row r="4669" spans="1:42">
      <c r="A4669">
        <v>4668</v>
      </c>
      <c r="B4669" t="str">
        <f>"000553"</f>
        <v>000553</v>
      </c>
      <c r="C4669" t="s">
        <v>21449</v>
      </c>
      <c r="D4669">
        <v>7.65</v>
      </c>
      <c r="E4669">
        <v>-0.65</v>
      </c>
      <c r="F4669">
        <v>-0.05</v>
      </c>
      <c r="G4669" t="s">
        <v>7993</v>
      </c>
      <c r="H4669">
        <v>310</v>
      </c>
      <c r="I4669">
        <v>7.65</v>
      </c>
      <c r="J4669">
        <v>7.66</v>
      </c>
      <c r="K4669" t="s">
        <v>21450</v>
      </c>
      <c r="L4669">
        <v>0.13</v>
      </c>
      <c r="M4669" t="s">
        <v>46</v>
      </c>
      <c r="N4669" t="s">
        <v>7255</v>
      </c>
      <c r="O4669">
        <v>7.73</v>
      </c>
      <c r="P4669">
        <v>7.63</v>
      </c>
      <c r="Q4669">
        <v>7.69</v>
      </c>
      <c r="R4669">
        <v>7.7</v>
      </c>
      <c r="S4669">
        <v>1.3</v>
      </c>
      <c r="T4669">
        <v>0.99</v>
      </c>
      <c r="U4669">
        <v>-11.3</v>
      </c>
      <c r="V4669">
        <v>-343</v>
      </c>
      <c r="W4669">
        <v>7.67</v>
      </c>
      <c r="X4669" t="s">
        <v>4525</v>
      </c>
      <c r="Y4669" t="s">
        <v>5900</v>
      </c>
      <c r="Z4669">
        <v>0.96</v>
      </c>
      <c r="AA4669">
        <v>7</v>
      </c>
      <c r="AB4669">
        <v>57</v>
      </c>
      <c r="AC4669">
        <v>0.79</v>
      </c>
      <c r="AD4669" t="s">
        <v>2162</v>
      </c>
      <c r="AE4669" t="s">
        <v>21451</v>
      </c>
      <c r="AF4669" t="s">
        <v>7137</v>
      </c>
      <c r="AG4669" t="s">
        <v>21452</v>
      </c>
      <c r="AH4669">
        <v>-2.05</v>
      </c>
      <c r="AI4669">
        <v>-2.17</v>
      </c>
      <c r="AJ4669">
        <v>0.34</v>
      </c>
      <c r="AK4669">
        <v>0.78</v>
      </c>
      <c r="AL4669">
        <v>-3</v>
      </c>
      <c r="AM4669">
        <v>-0.65</v>
      </c>
      <c r="AN4669">
        <v>-15.19</v>
      </c>
      <c r="AO4669">
        <v>0.53</v>
      </c>
      <c r="AP4669">
        <v>-19.22</v>
      </c>
    </row>
    <row r="4670" spans="1:42">
      <c r="A4670">
        <v>4669</v>
      </c>
      <c r="B4670" t="str">
        <f>"002062"</f>
        <v>002062</v>
      </c>
      <c r="C4670" t="s">
        <v>21453</v>
      </c>
      <c r="D4670">
        <v>4.63</v>
      </c>
      <c r="E4670">
        <v>0.43</v>
      </c>
      <c r="F4670">
        <v>0.02</v>
      </c>
      <c r="G4670" t="s">
        <v>4168</v>
      </c>
      <c r="H4670">
        <v>766</v>
      </c>
      <c r="I4670">
        <v>4.63</v>
      </c>
      <c r="J4670">
        <v>4.65</v>
      </c>
      <c r="K4670" t="s">
        <v>21454</v>
      </c>
      <c r="L4670">
        <v>0.47</v>
      </c>
      <c r="M4670" t="s">
        <v>46</v>
      </c>
      <c r="N4670" t="s">
        <v>21455</v>
      </c>
      <c r="O4670">
        <v>4.65</v>
      </c>
      <c r="P4670">
        <v>4.57</v>
      </c>
      <c r="Q4670">
        <v>4.59</v>
      </c>
      <c r="R4670">
        <v>4.61</v>
      </c>
      <c r="S4670">
        <v>1.74</v>
      </c>
      <c r="T4670">
        <v>0.81</v>
      </c>
      <c r="U4670">
        <v>-3.94</v>
      </c>
      <c r="V4670">
        <v>-267</v>
      </c>
      <c r="W4670">
        <v>4.62</v>
      </c>
      <c r="X4670" t="s">
        <v>3372</v>
      </c>
      <c r="Y4670" t="s">
        <v>1639</v>
      </c>
      <c r="Z4670">
        <v>0.78</v>
      </c>
      <c r="AA4670">
        <v>664</v>
      </c>
      <c r="AB4670">
        <v>809</v>
      </c>
      <c r="AC4670">
        <v>1.2</v>
      </c>
      <c r="AD4670" t="s">
        <v>18403</v>
      </c>
      <c r="AE4670" t="s">
        <v>7046</v>
      </c>
      <c r="AF4670" t="s">
        <v>4157</v>
      </c>
      <c r="AG4670" t="s">
        <v>9295</v>
      </c>
      <c r="AH4670">
        <v>-0.86</v>
      </c>
      <c r="AI4670">
        <v>-1.49</v>
      </c>
      <c r="AJ4670">
        <v>1.51</v>
      </c>
      <c r="AK4670">
        <v>3.38</v>
      </c>
      <c r="AL4670">
        <v>1</v>
      </c>
      <c r="AM4670">
        <v>0.43</v>
      </c>
      <c r="AN4670">
        <v>-9.75</v>
      </c>
      <c r="AO4670">
        <v>2.21</v>
      </c>
      <c r="AP4670">
        <v>-18.77</v>
      </c>
    </row>
    <row r="4671" spans="1:42">
      <c r="A4671">
        <v>4670</v>
      </c>
      <c r="B4671" t="str">
        <f>"002016"</f>
        <v>002016</v>
      </c>
      <c r="C4671" t="s">
        <v>21456</v>
      </c>
      <c r="D4671">
        <v>6.61</v>
      </c>
      <c r="E4671">
        <v>1.38</v>
      </c>
      <c r="F4671">
        <v>0.09</v>
      </c>
      <c r="G4671" t="s">
        <v>5923</v>
      </c>
      <c r="H4671">
        <v>240</v>
      </c>
      <c r="I4671">
        <v>6.61</v>
      </c>
      <c r="J4671">
        <v>6.62</v>
      </c>
      <c r="K4671" t="s">
        <v>17900</v>
      </c>
      <c r="L4671">
        <v>0.4</v>
      </c>
      <c r="M4671" t="s">
        <v>46</v>
      </c>
      <c r="N4671" t="s">
        <v>3125</v>
      </c>
      <c r="O4671">
        <v>6.65</v>
      </c>
      <c r="P4671">
        <v>6.5</v>
      </c>
      <c r="Q4671">
        <v>6.51</v>
      </c>
      <c r="R4671">
        <v>6.52</v>
      </c>
      <c r="S4671">
        <v>2.3</v>
      </c>
      <c r="T4671">
        <v>0.75</v>
      </c>
      <c r="U4671">
        <v>-12.12</v>
      </c>
      <c r="V4671">
        <v>-545</v>
      </c>
      <c r="W4671">
        <v>6.6</v>
      </c>
      <c r="X4671" t="s">
        <v>383</v>
      </c>
      <c r="Y4671" t="s">
        <v>10934</v>
      </c>
      <c r="Z4671">
        <v>0.69</v>
      </c>
      <c r="AA4671">
        <v>448</v>
      </c>
      <c r="AB4671">
        <v>48</v>
      </c>
      <c r="AC4671">
        <v>1.11</v>
      </c>
      <c r="AD4671" t="s">
        <v>21457</v>
      </c>
      <c r="AE4671" t="s">
        <v>1615</v>
      </c>
      <c r="AF4671" t="s">
        <v>21457</v>
      </c>
      <c r="AG4671" t="s">
        <v>1615</v>
      </c>
      <c r="AH4671">
        <v>0.46</v>
      </c>
      <c r="AI4671">
        <v>-2.07</v>
      </c>
      <c r="AJ4671">
        <v>1.29</v>
      </c>
      <c r="AK4671">
        <v>3.09</v>
      </c>
      <c r="AL4671">
        <v>2</v>
      </c>
      <c r="AM4671">
        <v>1.38</v>
      </c>
      <c r="AN4671">
        <v>5.93</v>
      </c>
      <c r="AO4671">
        <v>0.61</v>
      </c>
      <c r="AP4671">
        <v>10.17</v>
      </c>
    </row>
    <row r="4672" spans="1:42">
      <c r="A4672">
        <v>4671</v>
      </c>
      <c r="B4672" t="str">
        <f>"600817"</f>
        <v>600817</v>
      </c>
      <c r="C4672" t="s">
        <v>21458</v>
      </c>
      <c r="D4672">
        <v>9.82</v>
      </c>
      <c r="E4672">
        <v>-1.31</v>
      </c>
      <c r="F4672">
        <v>-0.13</v>
      </c>
      <c r="G4672" t="s">
        <v>2102</v>
      </c>
      <c r="H4672">
        <v>430</v>
      </c>
      <c r="I4672">
        <v>9.82</v>
      </c>
      <c r="J4672">
        <v>9.83</v>
      </c>
      <c r="K4672" t="s">
        <v>17900</v>
      </c>
      <c r="L4672">
        <v>0.41</v>
      </c>
      <c r="M4672" t="s">
        <v>46</v>
      </c>
      <c r="N4672" t="s">
        <v>322</v>
      </c>
      <c r="O4672">
        <v>9.93</v>
      </c>
      <c r="P4672">
        <v>9.78</v>
      </c>
      <c r="Q4672">
        <v>9.92</v>
      </c>
      <c r="R4672">
        <v>9.95</v>
      </c>
      <c r="S4672">
        <v>1.51</v>
      </c>
      <c r="T4672">
        <v>0.62</v>
      </c>
      <c r="U4672">
        <v>18.7</v>
      </c>
      <c r="V4672">
        <v>265</v>
      </c>
      <c r="W4672">
        <v>9.83</v>
      </c>
      <c r="X4672" t="s">
        <v>6212</v>
      </c>
      <c r="Y4672">
        <v>9140</v>
      </c>
      <c r="Z4672">
        <v>1.39</v>
      </c>
      <c r="AA4672">
        <v>277</v>
      </c>
      <c r="AB4672">
        <v>138</v>
      </c>
      <c r="AC4672">
        <v>2.23</v>
      </c>
      <c r="AD4672" t="s">
        <v>8369</v>
      </c>
      <c r="AE4672" t="s">
        <v>21459</v>
      </c>
      <c r="AF4672" t="s">
        <v>15014</v>
      </c>
      <c r="AG4672" t="s">
        <v>2070</v>
      </c>
      <c r="AH4672">
        <v>-2</v>
      </c>
      <c r="AI4672">
        <v>-0.1</v>
      </c>
      <c r="AJ4672">
        <v>1.61</v>
      </c>
      <c r="AK4672">
        <v>3.76</v>
      </c>
      <c r="AL4672">
        <v>-1</v>
      </c>
      <c r="AM4672">
        <v>-1.31</v>
      </c>
      <c r="AN4672">
        <v>15.26</v>
      </c>
      <c r="AO4672">
        <v>11.09</v>
      </c>
      <c r="AP4672">
        <v>9.84</v>
      </c>
    </row>
    <row r="4673" spans="1:42">
      <c r="A4673">
        <v>4672</v>
      </c>
      <c r="B4673" t="str">
        <f>"301336"</f>
        <v>301336</v>
      </c>
      <c r="C4673" t="s">
        <v>21460</v>
      </c>
      <c r="D4673">
        <v>45.09</v>
      </c>
      <c r="E4673">
        <v>1.17</v>
      </c>
      <c r="F4673">
        <v>0.52</v>
      </c>
      <c r="G4673">
        <v>4803</v>
      </c>
      <c r="H4673">
        <v>143</v>
      </c>
      <c r="I4673">
        <v>45.01</v>
      </c>
      <c r="J4673">
        <v>45.09</v>
      </c>
      <c r="K4673" t="s">
        <v>21461</v>
      </c>
      <c r="L4673">
        <v>1.87</v>
      </c>
      <c r="M4673" t="s">
        <v>46</v>
      </c>
      <c r="N4673" t="s">
        <v>1752</v>
      </c>
      <c r="O4673">
        <v>45.15</v>
      </c>
      <c r="P4673">
        <v>44.02</v>
      </c>
      <c r="Q4673">
        <v>44.61</v>
      </c>
      <c r="R4673">
        <v>44.57</v>
      </c>
      <c r="S4673">
        <v>2.54</v>
      </c>
      <c r="T4673">
        <v>0.83</v>
      </c>
      <c r="U4673">
        <v>29.08</v>
      </c>
      <c r="V4673">
        <v>41</v>
      </c>
      <c r="W4673">
        <v>44.77</v>
      </c>
      <c r="X4673">
        <v>2066</v>
      </c>
      <c r="Y4673">
        <v>2737</v>
      </c>
      <c r="Z4673">
        <v>0.75</v>
      </c>
      <c r="AA4673">
        <v>2</v>
      </c>
      <c r="AB4673">
        <v>8</v>
      </c>
      <c r="AC4673">
        <v>2.28</v>
      </c>
      <c r="AD4673" t="s">
        <v>6569</v>
      </c>
      <c r="AE4673" t="s">
        <v>444</v>
      </c>
      <c r="AF4673" t="s">
        <v>20587</v>
      </c>
      <c r="AG4673" t="s">
        <v>3838</v>
      </c>
      <c r="AH4673">
        <v>0.27</v>
      </c>
      <c r="AI4673">
        <v>-0.7</v>
      </c>
      <c r="AJ4673">
        <v>5.73</v>
      </c>
      <c r="AK4673">
        <v>13.1</v>
      </c>
      <c r="AL4673">
        <v>1</v>
      </c>
      <c r="AM4673">
        <v>1.17</v>
      </c>
      <c r="AN4673">
        <v>4.64</v>
      </c>
      <c r="AO4673">
        <v>0.22</v>
      </c>
      <c r="AP4673">
        <v>-7.53</v>
      </c>
    </row>
    <row r="4674" spans="1:42">
      <c r="A4674">
        <v>4673</v>
      </c>
      <c r="B4674" t="str">
        <f>"000820"</f>
        <v>000820</v>
      </c>
      <c r="C4674" t="s">
        <v>21462</v>
      </c>
      <c r="D4674">
        <v>4.09</v>
      </c>
      <c r="E4674">
        <v>-0.49</v>
      </c>
      <c r="F4674">
        <v>-0.02</v>
      </c>
      <c r="G4674" t="s">
        <v>4616</v>
      </c>
      <c r="H4674">
        <v>392</v>
      </c>
      <c r="I4674">
        <v>4.08</v>
      </c>
      <c r="J4674">
        <v>4.09</v>
      </c>
      <c r="K4674" t="s">
        <v>21463</v>
      </c>
      <c r="L4674">
        <v>1.81</v>
      </c>
      <c r="M4674" t="s">
        <v>46</v>
      </c>
      <c r="N4674" t="s">
        <v>21464</v>
      </c>
      <c r="O4674">
        <v>4.13</v>
      </c>
      <c r="P4674">
        <v>4.07</v>
      </c>
      <c r="Q4674">
        <v>4.11</v>
      </c>
      <c r="R4674">
        <v>4.11</v>
      </c>
      <c r="S4674">
        <v>1.46</v>
      </c>
      <c r="T4674">
        <v>0.88</v>
      </c>
      <c r="U4674">
        <v>-5.55</v>
      </c>
      <c r="V4674">
        <v>-652</v>
      </c>
      <c r="W4674">
        <v>4.1</v>
      </c>
      <c r="X4674" t="s">
        <v>206</v>
      </c>
      <c r="Y4674" t="s">
        <v>6580</v>
      </c>
      <c r="Z4674">
        <v>1.51</v>
      </c>
      <c r="AA4674">
        <v>1841</v>
      </c>
      <c r="AB4674">
        <v>652</v>
      </c>
      <c r="AC4674">
        <v>37.46</v>
      </c>
      <c r="AD4674" t="s">
        <v>21465</v>
      </c>
      <c r="AE4674" t="s">
        <v>6906</v>
      </c>
      <c r="AF4674" t="s">
        <v>21466</v>
      </c>
      <c r="AG4674" t="s">
        <v>16601</v>
      </c>
      <c r="AH4674">
        <v>0.49</v>
      </c>
      <c r="AI4674">
        <v>2</v>
      </c>
      <c r="AJ4674">
        <v>6.64</v>
      </c>
      <c r="AK4674">
        <v>12.11</v>
      </c>
      <c r="AL4674">
        <v>-1</v>
      </c>
      <c r="AM4674">
        <v>-0.49</v>
      </c>
      <c r="AN4674">
        <v>-10.7</v>
      </c>
      <c r="AO4674">
        <v>9.36</v>
      </c>
      <c r="AP4674">
        <v>-19.65</v>
      </c>
    </row>
    <row r="4675" spans="1:42">
      <c r="A4675">
        <v>4674</v>
      </c>
      <c r="B4675" t="str">
        <f>"301227"</f>
        <v>301227</v>
      </c>
      <c r="C4675" t="s">
        <v>21467</v>
      </c>
      <c r="D4675">
        <v>29.54</v>
      </c>
      <c r="E4675">
        <v>-0.1</v>
      </c>
      <c r="F4675">
        <v>-0.03</v>
      </c>
      <c r="G4675">
        <v>7240</v>
      </c>
      <c r="H4675">
        <v>16</v>
      </c>
      <c r="I4675">
        <v>29.54</v>
      </c>
      <c r="J4675">
        <v>29.61</v>
      </c>
      <c r="K4675" t="s">
        <v>21468</v>
      </c>
      <c r="L4675">
        <v>2.15</v>
      </c>
      <c r="M4675" t="s">
        <v>46</v>
      </c>
      <c r="N4675" t="s">
        <v>2026</v>
      </c>
      <c r="O4675">
        <v>29.89</v>
      </c>
      <c r="P4675">
        <v>29.16</v>
      </c>
      <c r="Q4675">
        <v>29.56</v>
      </c>
      <c r="R4675">
        <v>29.57</v>
      </c>
      <c r="S4675">
        <v>2.47</v>
      </c>
      <c r="T4675">
        <v>0.86</v>
      </c>
      <c r="U4675">
        <v>-79.73</v>
      </c>
      <c r="V4675">
        <v>-236</v>
      </c>
      <c r="W4675">
        <v>29.52</v>
      </c>
      <c r="X4675">
        <v>3586</v>
      </c>
      <c r="Y4675">
        <v>3654</v>
      </c>
      <c r="Z4675">
        <v>0.98</v>
      </c>
      <c r="AA4675">
        <v>4</v>
      </c>
      <c r="AB4675">
        <v>15</v>
      </c>
      <c r="AC4675">
        <v>1.54</v>
      </c>
      <c r="AD4675" t="s">
        <v>8333</v>
      </c>
      <c r="AE4675" t="s">
        <v>19357</v>
      </c>
      <c r="AF4675" t="s">
        <v>18959</v>
      </c>
      <c r="AG4675" t="s">
        <v>16678</v>
      </c>
      <c r="AH4675">
        <v>-1.53</v>
      </c>
      <c r="AI4675">
        <v>-5.89</v>
      </c>
      <c r="AJ4675">
        <v>5.34</v>
      </c>
      <c r="AK4675">
        <v>14.65</v>
      </c>
      <c r="AL4675">
        <v>-1</v>
      </c>
      <c r="AM4675">
        <v>-0.1</v>
      </c>
      <c r="AN4675">
        <v>-0.71</v>
      </c>
      <c r="AO4675">
        <v>-0.17</v>
      </c>
      <c r="AP4675">
        <v>13.44</v>
      </c>
    </row>
    <row r="4676" spans="1:42">
      <c r="A4676">
        <v>4675</v>
      </c>
      <c r="B4676" t="str">
        <f>"301062"</f>
        <v>301062</v>
      </c>
      <c r="C4676" t="s">
        <v>21469</v>
      </c>
      <c r="D4676">
        <v>11.11</v>
      </c>
      <c r="E4676">
        <v>0.27</v>
      </c>
      <c r="F4676">
        <v>0.03</v>
      </c>
      <c r="G4676" t="s">
        <v>882</v>
      </c>
      <c r="H4676">
        <v>118</v>
      </c>
      <c r="I4676">
        <v>11.11</v>
      </c>
      <c r="J4676">
        <v>11.12</v>
      </c>
      <c r="K4676" t="s">
        <v>21470</v>
      </c>
      <c r="L4676">
        <v>0.8</v>
      </c>
      <c r="M4676" t="s">
        <v>46</v>
      </c>
      <c r="N4676" t="s">
        <v>12123</v>
      </c>
      <c r="O4676">
        <v>11.18</v>
      </c>
      <c r="P4676">
        <v>10.97</v>
      </c>
      <c r="Q4676">
        <v>11.03</v>
      </c>
      <c r="R4676">
        <v>11.08</v>
      </c>
      <c r="S4676">
        <v>1.9</v>
      </c>
      <c r="T4676">
        <v>0.69</v>
      </c>
      <c r="U4676">
        <v>25</v>
      </c>
      <c r="V4676">
        <v>558</v>
      </c>
      <c r="W4676">
        <v>11.1</v>
      </c>
      <c r="X4676" t="s">
        <v>1646</v>
      </c>
      <c r="Y4676">
        <v>9000</v>
      </c>
      <c r="Z4676">
        <v>1.14</v>
      </c>
      <c r="AA4676">
        <v>1</v>
      </c>
      <c r="AB4676">
        <v>216</v>
      </c>
      <c r="AC4676">
        <v>3.91</v>
      </c>
      <c r="AD4676" t="s">
        <v>16325</v>
      </c>
      <c r="AE4676" t="s">
        <v>4744</v>
      </c>
      <c r="AF4676" t="s">
        <v>21471</v>
      </c>
      <c r="AG4676" t="s">
        <v>21472</v>
      </c>
      <c r="AH4676">
        <v>-0.27</v>
      </c>
      <c r="AI4676">
        <v>-0.54</v>
      </c>
      <c r="AJ4676">
        <v>3.04</v>
      </c>
      <c r="AK4676">
        <v>6.63</v>
      </c>
      <c r="AL4676">
        <v>2</v>
      </c>
      <c r="AM4676">
        <v>0.27</v>
      </c>
      <c r="AN4676">
        <v>43.17</v>
      </c>
      <c r="AO4676">
        <v>6.21</v>
      </c>
      <c r="AP4676">
        <v>19.08</v>
      </c>
    </row>
    <row r="4677" spans="1:42">
      <c r="A4677">
        <v>4676</v>
      </c>
      <c r="B4677" t="str">
        <f>"600319"</f>
        <v>600319</v>
      </c>
      <c r="C4677" t="s">
        <v>21473</v>
      </c>
      <c r="D4677">
        <v>5.44</v>
      </c>
      <c r="E4677">
        <v>0.55</v>
      </c>
      <c r="F4677">
        <v>0.03</v>
      </c>
      <c r="G4677" t="s">
        <v>6645</v>
      </c>
      <c r="H4677">
        <v>380</v>
      </c>
      <c r="I4677">
        <v>5.44</v>
      </c>
      <c r="J4677">
        <v>5.45</v>
      </c>
      <c r="K4677" t="s">
        <v>21474</v>
      </c>
      <c r="L4677">
        <v>1.24</v>
      </c>
      <c r="M4677" t="s">
        <v>46</v>
      </c>
      <c r="N4677" t="s">
        <v>12247</v>
      </c>
      <c r="O4677">
        <v>5.5</v>
      </c>
      <c r="P4677">
        <v>5.4</v>
      </c>
      <c r="Q4677">
        <v>5.41</v>
      </c>
      <c r="R4677">
        <v>5.41</v>
      </c>
      <c r="S4677">
        <v>1.85</v>
      </c>
      <c r="T4677">
        <v>0.5</v>
      </c>
      <c r="U4677">
        <v>-33.88</v>
      </c>
      <c r="V4677">
        <v>-2229</v>
      </c>
      <c r="W4677">
        <v>5.45</v>
      </c>
      <c r="X4677" t="s">
        <v>128</v>
      </c>
      <c r="Y4677" t="s">
        <v>8073</v>
      </c>
      <c r="Z4677">
        <v>0.9</v>
      </c>
      <c r="AA4677">
        <v>84</v>
      </c>
      <c r="AB4677">
        <v>929</v>
      </c>
      <c r="AC4677">
        <v>3.77</v>
      </c>
      <c r="AD4677" t="s">
        <v>18828</v>
      </c>
      <c r="AE4677" t="s">
        <v>21475</v>
      </c>
      <c r="AF4677" t="s">
        <v>20448</v>
      </c>
      <c r="AG4677" t="s">
        <v>12029</v>
      </c>
      <c r="AH4677">
        <v>0.74</v>
      </c>
      <c r="AI4677">
        <v>-0.55</v>
      </c>
      <c r="AJ4677">
        <v>3.99</v>
      </c>
      <c r="AK4677">
        <v>13.74</v>
      </c>
      <c r="AL4677">
        <v>1</v>
      </c>
      <c r="AM4677">
        <v>0.55</v>
      </c>
      <c r="AN4677">
        <v>-1.27</v>
      </c>
      <c r="AO4677">
        <v>5.22</v>
      </c>
      <c r="AP4677">
        <v>-4.73</v>
      </c>
    </row>
    <row r="4678" spans="1:42">
      <c r="A4678">
        <v>4677</v>
      </c>
      <c r="B4678" t="str">
        <f>"831689"</f>
        <v>831689</v>
      </c>
      <c r="C4678" t="s">
        <v>21476</v>
      </c>
      <c r="D4678">
        <v>11.59</v>
      </c>
      <c r="E4678">
        <v>-7.28</v>
      </c>
      <c r="F4678">
        <v>-0.91</v>
      </c>
      <c r="G4678" t="s">
        <v>60</v>
      </c>
      <c r="H4678">
        <v>248</v>
      </c>
      <c r="I4678">
        <v>11.58</v>
      </c>
      <c r="J4678">
        <v>11.59</v>
      </c>
      <c r="K4678" t="s">
        <v>21474</v>
      </c>
      <c r="L4678">
        <v>5</v>
      </c>
      <c r="M4678" t="s">
        <v>46</v>
      </c>
      <c r="N4678" t="s">
        <v>3789</v>
      </c>
      <c r="O4678">
        <v>12.99</v>
      </c>
      <c r="P4678">
        <v>11.45</v>
      </c>
      <c r="Q4678">
        <v>12.68</v>
      </c>
      <c r="R4678">
        <v>12.5</v>
      </c>
      <c r="S4678">
        <v>12.32</v>
      </c>
      <c r="T4678">
        <v>0.55</v>
      </c>
      <c r="U4678">
        <v>-22.23</v>
      </c>
      <c r="V4678">
        <v>-37</v>
      </c>
      <c r="W4678">
        <v>11.96</v>
      </c>
      <c r="X4678" t="s">
        <v>51</v>
      </c>
      <c r="Y4678">
        <v>6927</v>
      </c>
      <c r="Z4678">
        <v>1.58</v>
      </c>
      <c r="AA4678">
        <v>30</v>
      </c>
      <c r="AB4678">
        <v>42</v>
      </c>
      <c r="AC4678">
        <v>1.95</v>
      </c>
      <c r="AD4678" t="s">
        <v>13159</v>
      </c>
      <c r="AE4678" t="s">
        <v>21477</v>
      </c>
      <c r="AF4678" t="s">
        <v>21478</v>
      </c>
      <c r="AG4678" t="s">
        <v>21479</v>
      </c>
      <c r="AH4678">
        <v>-19.57</v>
      </c>
      <c r="AI4678">
        <v>5.36</v>
      </c>
      <c r="AJ4678">
        <v>16.57</v>
      </c>
      <c r="AK4678">
        <v>50.51</v>
      </c>
      <c r="AL4678">
        <v>-4</v>
      </c>
      <c r="AM4678">
        <v>-7.28</v>
      </c>
      <c r="AN4678">
        <v>42.38</v>
      </c>
      <c r="AO4678">
        <v>33.07</v>
      </c>
      <c r="AP4678">
        <v>33.83</v>
      </c>
    </row>
    <row r="4679" spans="1:42">
      <c r="A4679">
        <v>4678</v>
      </c>
      <c r="B4679" t="str">
        <f>"601003"</f>
        <v>601003</v>
      </c>
      <c r="C4679" t="s">
        <v>21480</v>
      </c>
      <c r="D4679">
        <v>3.37</v>
      </c>
      <c r="E4679">
        <v>0.6</v>
      </c>
      <c r="F4679">
        <v>0.02</v>
      </c>
      <c r="G4679" t="s">
        <v>6381</v>
      </c>
      <c r="H4679">
        <v>1148</v>
      </c>
      <c r="I4679">
        <v>3.37</v>
      </c>
      <c r="J4679">
        <v>3.38</v>
      </c>
      <c r="K4679" t="s">
        <v>21481</v>
      </c>
      <c r="L4679">
        <v>0.25</v>
      </c>
      <c r="M4679" t="s">
        <v>46</v>
      </c>
      <c r="N4679" t="s">
        <v>21482</v>
      </c>
      <c r="O4679">
        <v>3.39</v>
      </c>
      <c r="P4679">
        <v>3.35</v>
      </c>
      <c r="Q4679">
        <v>3.35</v>
      </c>
      <c r="R4679">
        <v>3.35</v>
      </c>
      <c r="S4679">
        <v>1.19</v>
      </c>
      <c r="T4679">
        <v>0.82</v>
      </c>
      <c r="U4679">
        <v>-13.64</v>
      </c>
      <c r="V4679">
        <v>-4367</v>
      </c>
      <c r="W4679">
        <v>3.37</v>
      </c>
      <c r="X4679" t="s">
        <v>6581</v>
      </c>
      <c r="Y4679" t="s">
        <v>4839</v>
      </c>
      <c r="Z4679">
        <v>0.83</v>
      </c>
      <c r="AA4679">
        <v>4862</v>
      </c>
      <c r="AB4679" t="s">
        <v>1154</v>
      </c>
      <c r="AC4679">
        <v>0.93</v>
      </c>
      <c r="AD4679" t="s">
        <v>4877</v>
      </c>
      <c r="AE4679" t="s">
        <v>15620</v>
      </c>
      <c r="AF4679" t="s">
        <v>4877</v>
      </c>
      <c r="AG4679" t="s">
        <v>15620</v>
      </c>
      <c r="AH4679">
        <v>-1.46</v>
      </c>
      <c r="AI4679">
        <v>-2.88</v>
      </c>
      <c r="AJ4679">
        <v>0.87</v>
      </c>
      <c r="AK4679">
        <v>1.76</v>
      </c>
      <c r="AL4679">
        <v>1</v>
      </c>
      <c r="AM4679">
        <v>0.6</v>
      </c>
      <c r="AN4679">
        <v>-9.89</v>
      </c>
      <c r="AO4679">
        <v>-1.17</v>
      </c>
      <c r="AP4679">
        <v>-6.39</v>
      </c>
    </row>
    <row r="4680" spans="1:42">
      <c r="A4680">
        <v>4679</v>
      </c>
      <c r="B4680" t="str">
        <f>"300500"</f>
        <v>300500</v>
      </c>
      <c r="C4680" t="s">
        <v>21483</v>
      </c>
      <c r="D4680">
        <v>14.98</v>
      </c>
      <c r="E4680">
        <v>1.22</v>
      </c>
      <c r="F4680">
        <v>0.18</v>
      </c>
      <c r="G4680" t="s">
        <v>5900</v>
      </c>
      <c r="H4680">
        <v>190</v>
      </c>
      <c r="I4680">
        <v>14.97</v>
      </c>
      <c r="J4680">
        <v>14.98</v>
      </c>
      <c r="K4680" t="s">
        <v>21481</v>
      </c>
      <c r="L4680">
        <v>0.87</v>
      </c>
      <c r="M4680" t="s">
        <v>46</v>
      </c>
      <c r="N4680" t="s">
        <v>6876</v>
      </c>
      <c r="O4680">
        <v>15.07</v>
      </c>
      <c r="P4680">
        <v>14.71</v>
      </c>
      <c r="Q4680">
        <v>14.83</v>
      </c>
      <c r="R4680">
        <v>14.8</v>
      </c>
      <c r="S4680">
        <v>2.43</v>
      </c>
      <c r="T4680">
        <v>0.77</v>
      </c>
      <c r="U4680">
        <v>43.84</v>
      </c>
      <c r="V4680">
        <v>225</v>
      </c>
      <c r="W4680">
        <v>14.9</v>
      </c>
      <c r="X4680">
        <v>6678</v>
      </c>
      <c r="Y4680">
        <v>7618</v>
      </c>
      <c r="Z4680">
        <v>0.88</v>
      </c>
      <c r="AA4680">
        <v>23</v>
      </c>
      <c r="AB4680">
        <v>2</v>
      </c>
      <c r="AC4680">
        <v>1.65</v>
      </c>
      <c r="AD4680" t="s">
        <v>11749</v>
      </c>
      <c r="AE4680" t="s">
        <v>6906</v>
      </c>
      <c r="AF4680" t="s">
        <v>3219</v>
      </c>
      <c r="AG4680" t="s">
        <v>16359</v>
      </c>
      <c r="AH4680">
        <v>-1.38</v>
      </c>
      <c r="AI4680">
        <v>-3.6</v>
      </c>
      <c r="AJ4680">
        <v>2.74</v>
      </c>
      <c r="AK4680">
        <v>6.56</v>
      </c>
      <c r="AL4680">
        <v>1</v>
      </c>
      <c r="AM4680">
        <v>1.22</v>
      </c>
      <c r="AN4680">
        <v>12.97</v>
      </c>
      <c r="AO4680">
        <v>0.33</v>
      </c>
      <c r="AP4680">
        <v>-1.83</v>
      </c>
    </row>
    <row r="4681" spans="1:42">
      <c r="A4681">
        <v>4680</v>
      </c>
      <c r="B4681" t="str">
        <f>"688329"</f>
        <v>688329</v>
      </c>
      <c r="C4681" t="s">
        <v>21484</v>
      </c>
      <c r="D4681">
        <v>27.18</v>
      </c>
      <c r="E4681">
        <v>0.74</v>
      </c>
      <c r="F4681">
        <v>0.2</v>
      </c>
      <c r="G4681">
        <v>7886</v>
      </c>
      <c r="H4681">
        <v>13</v>
      </c>
      <c r="I4681">
        <v>27.15</v>
      </c>
      <c r="J4681">
        <v>27.18</v>
      </c>
      <c r="K4681" t="s">
        <v>21485</v>
      </c>
      <c r="L4681">
        <v>1.73</v>
      </c>
      <c r="M4681" t="s">
        <v>46</v>
      </c>
      <c r="N4681" t="s">
        <v>5490</v>
      </c>
      <c r="O4681">
        <v>27.3</v>
      </c>
      <c r="P4681">
        <v>26.46</v>
      </c>
      <c r="Q4681">
        <v>26.81</v>
      </c>
      <c r="R4681">
        <v>26.98</v>
      </c>
      <c r="S4681">
        <v>3.11</v>
      </c>
      <c r="T4681">
        <v>0.7</v>
      </c>
      <c r="U4681">
        <v>17.12</v>
      </c>
      <c r="V4681">
        <v>41</v>
      </c>
      <c r="W4681">
        <v>27</v>
      </c>
      <c r="X4681">
        <v>3839</v>
      </c>
      <c r="Y4681">
        <v>4047</v>
      </c>
      <c r="Z4681">
        <v>0.95</v>
      </c>
      <c r="AA4681">
        <v>10</v>
      </c>
      <c r="AB4681">
        <v>5</v>
      </c>
      <c r="AC4681">
        <v>2.59</v>
      </c>
      <c r="AD4681" t="s">
        <v>21486</v>
      </c>
      <c r="AE4681" t="s">
        <v>10090</v>
      </c>
      <c r="AF4681" t="s">
        <v>21487</v>
      </c>
      <c r="AG4681" t="s">
        <v>14727</v>
      </c>
      <c r="AH4681">
        <v>-1.66</v>
      </c>
      <c r="AI4681">
        <v>-2.89</v>
      </c>
      <c r="AJ4681">
        <v>6.02</v>
      </c>
      <c r="AK4681">
        <v>14.02</v>
      </c>
      <c r="AL4681">
        <v>1</v>
      </c>
      <c r="AM4681">
        <v>0.74</v>
      </c>
      <c r="AN4681">
        <v>-27.73</v>
      </c>
      <c r="AO4681">
        <v>5.76</v>
      </c>
      <c r="AP4681">
        <v>-39.55</v>
      </c>
    </row>
    <row r="4682" spans="1:42">
      <c r="A4682">
        <v>4681</v>
      </c>
      <c r="B4682" t="str">
        <f>"301090"</f>
        <v>301090</v>
      </c>
      <c r="C4682" t="s">
        <v>21488</v>
      </c>
      <c r="D4682">
        <v>10.76</v>
      </c>
      <c r="E4682">
        <v>0.28</v>
      </c>
      <c r="F4682">
        <v>0.03</v>
      </c>
      <c r="G4682" t="s">
        <v>1590</v>
      </c>
      <c r="H4682">
        <v>175</v>
      </c>
      <c r="I4682">
        <v>10.75</v>
      </c>
      <c r="J4682">
        <v>10.76</v>
      </c>
      <c r="K4682" t="s">
        <v>21485</v>
      </c>
      <c r="L4682">
        <v>0.9</v>
      </c>
      <c r="M4682" t="s">
        <v>46</v>
      </c>
      <c r="N4682" t="s">
        <v>4969</v>
      </c>
      <c r="O4682">
        <v>10.81</v>
      </c>
      <c r="P4682">
        <v>10.64</v>
      </c>
      <c r="Q4682">
        <v>10.71</v>
      </c>
      <c r="R4682">
        <v>10.73</v>
      </c>
      <c r="S4682">
        <v>1.58</v>
      </c>
      <c r="T4682">
        <v>0.77</v>
      </c>
      <c r="U4682">
        <v>-12.9</v>
      </c>
      <c r="V4682">
        <v>-112</v>
      </c>
      <c r="W4682">
        <v>10.71</v>
      </c>
      <c r="X4682" t="s">
        <v>2807</v>
      </c>
      <c r="Y4682">
        <v>8780</v>
      </c>
      <c r="Z4682">
        <v>1.26</v>
      </c>
      <c r="AA4682">
        <v>183</v>
      </c>
      <c r="AB4682">
        <v>94</v>
      </c>
      <c r="AC4682">
        <v>2.21</v>
      </c>
      <c r="AD4682" t="s">
        <v>16578</v>
      </c>
      <c r="AE4682" t="s">
        <v>21489</v>
      </c>
      <c r="AF4682" t="s">
        <v>21490</v>
      </c>
      <c r="AG4682" t="s">
        <v>19067</v>
      </c>
      <c r="AH4682">
        <v>-1.37</v>
      </c>
      <c r="AI4682">
        <v>-2.27</v>
      </c>
      <c r="AJ4682">
        <v>2.64</v>
      </c>
      <c r="AK4682">
        <v>6.71</v>
      </c>
      <c r="AL4682">
        <v>1</v>
      </c>
      <c r="AM4682">
        <v>0.28</v>
      </c>
      <c r="AN4682">
        <v>7.82</v>
      </c>
      <c r="AO4682">
        <v>-2.27</v>
      </c>
      <c r="AP4682">
        <v>0.19</v>
      </c>
    </row>
    <row r="4683" spans="1:42">
      <c r="A4683">
        <v>4682</v>
      </c>
      <c r="B4683" t="str">
        <f>"836675"</f>
        <v>836675</v>
      </c>
      <c r="C4683" t="s">
        <v>21491</v>
      </c>
      <c r="D4683">
        <v>6.02</v>
      </c>
      <c r="E4683">
        <v>-4.44</v>
      </c>
      <c r="F4683">
        <v>-0.28</v>
      </c>
      <c r="G4683" t="s">
        <v>7531</v>
      </c>
      <c r="H4683">
        <v>576</v>
      </c>
      <c r="I4683">
        <v>6.02</v>
      </c>
      <c r="J4683">
        <v>6.03</v>
      </c>
      <c r="K4683" t="s">
        <v>21485</v>
      </c>
      <c r="L4683">
        <v>4.5</v>
      </c>
      <c r="M4683" t="s">
        <v>46</v>
      </c>
      <c r="N4683" t="s">
        <v>4181</v>
      </c>
      <c r="O4683">
        <v>6.42</v>
      </c>
      <c r="P4683">
        <v>5.88</v>
      </c>
      <c r="Q4683">
        <v>6.32</v>
      </c>
      <c r="R4683">
        <v>6.3</v>
      </c>
      <c r="S4683">
        <v>8.57</v>
      </c>
      <c r="T4683">
        <v>0.57</v>
      </c>
      <c r="U4683">
        <v>-82.32</v>
      </c>
      <c r="V4683">
        <v>-1468</v>
      </c>
      <c r="W4683">
        <v>6.04</v>
      </c>
      <c r="X4683" t="s">
        <v>2878</v>
      </c>
      <c r="Y4683" t="s">
        <v>2397</v>
      </c>
      <c r="Z4683">
        <v>1.07</v>
      </c>
      <c r="AA4683">
        <v>33</v>
      </c>
      <c r="AB4683">
        <v>238</v>
      </c>
      <c r="AC4683">
        <v>1.84</v>
      </c>
      <c r="AD4683" t="s">
        <v>13476</v>
      </c>
      <c r="AE4683" t="s">
        <v>1000</v>
      </c>
      <c r="AF4683" t="s">
        <v>21492</v>
      </c>
      <c r="AG4683" t="s">
        <v>21493</v>
      </c>
      <c r="AH4683">
        <v>-12.75</v>
      </c>
      <c r="AI4683">
        <v>3.97</v>
      </c>
      <c r="AJ4683">
        <v>14.81</v>
      </c>
      <c r="AK4683">
        <v>44.25</v>
      </c>
      <c r="AL4683">
        <v>-4</v>
      </c>
      <c r="AM4683">
        <v>-4.44</v>
      </c>
      <c r="AN4683">
        <v>31.73</v>
      </c>
      <c r="AO4683">
        <v>20.88</v>
      </c>
      <c r="AP4683">
        <v>24.38</v>
      </c>
    </row>
    <row r="4684" spans="1:42">
      <c r="A4684">
        <v>4683</v>
      </c>
      <c r="B4684" t="str">
        <f>"001208"</f>
        <v>001208</v>
      </c>
      <c r="C4684" t="s">
        <v>21494</v>
      </c>
      <c r="D4684">
        <v>9.15</v>
      </c>
      <c r="E4684">
        <v>0</v>
      </c>
      <c r="F4684">
        <v>0</v>
      </c>
      <c r="G4684" t="s">
        <v>5620</v>
      </c>
      <c r="H4684">
        <v>212</v>
      </c>
      <c r="I4684">
        <v>9.15</v>
      </c>
      <c r="J4684">
        <v>9.18</v>
      </c>
      <c r="K4684" t="s">
        <v>21495</v>
      </c>
      <c r="L4684">
        <v>0.94</v>
      </c>
      <c r="M4684" t="s">
        <v>46</v>
      </c>
      <c r="N4684" t="s">
        <v>10041</v>
      </c>
      <c r="O4684">
        <v>9.21</v>
      </c>
      <c r="P4684">
        <v>9.08</v>
      </c>
      <c r="Q4684">
        <v>9.14</v>
      </c>
      <c r="R4684">
        <v>9.15</v>
      </c>
      <c r="S4684">
        <v>1.42</v>
      </c>
      <c r="T4684">
        <v>0.93</v>
      </c>
      <c r="U4684">
        <v>-38.69</v>
      </c>
      <c r="V4684">
        <v>-660</v>
      </c>
      <c r="W4684">
        <v>9.15</v>
      </c>
      <c r="X4684" t="s">
        <v>2667</v>
      </c>
      <c r="Y4684" t="s">
        <v>1083</v>
      </c>
      <c r="Z4684">
        <v>0.97</v>
      </c>
      <c r="AA4684">
        <v>135</v>
      </c>
      <c r="AB4684">
        <v>486</v>
      </c>
      <c r="AC4684">
        <v>3.23</v>
      </c>
      <c r="AD4684" t="s">
        <v>21292</v>
      </c>
      <c r="AE4684" t="s">
        <v>10823</v>
      </c>
      <c r="AF4684" t="s">
        <v>16060</v>
      </c>
      <c r="AG4684" t="s">
        <v>21496</v>
      </c>
      <c r="AH4684">
        <v>-0.97</v>
      </c>
      <c r="AI4684">
        <v>-0.65</v>
      </c>
      <c r="AJ4684">
        <v>3</v>
      </c>
      <c r="AK4684">
        <v>5.99</v>
      </c>
      <c r="AL4684">
        <v>0</v>
      </c>
      <c r="AM4684">
        <v>0</v>
      </c>
      <c r="AN4684">
        <v>-6.06</v>
      </c>
      <c r="AO4684">
        <v>0.33</v>
      </c>
      <c r="AP4684">
        <v>-12.27</v>
      </c>
    </row>
    <row r="4685" spans="1:42">
      <c r="A4685">
        <v>4684</v>
      </c>
      <c r="B4685" t="str">
        <f>"688257"</f>
        <v>688257</v>
      </c>
      <c r="C4685" t="s">
        <v>21497</v>
      </c>
      <c r="D4685">
        <v>25.85</v>
      </c>
      <c r="E4685">
        <v>-0.69</v>
      </c>
      <c r="F4685">
        <v>-0.18</v>
      </c>
      <c r="G4685">
        <v>8194</v>
      </c>
      <c r="H4685">
        <v>134</v>
      </c>
      <c r="I4685">
        <v>25.83</v>
      </c>
      <c r="J4685">
        <v>25.85</v>
      </c>
      <c r="K4685" t="s">
        <v>21498</v>
      </c>
      <c r="L4685">
        <v>0.86</v>
      </c>
      <c r="M4685" t="s">
        <v>46</v>
      </c>
      <c r="N4685" t="s">
        <v>4336</v>
      </c>
      <c r="O4685">
        <v>26.25</v>
      </c>
      <c r="P4685">
        <v>25.76</v>
      </c>
      <c r="Q4685">
        <v>26.18</v>
      </c>
      <c r="R4685">
        <v>26.03</v>
      </c>
      <c r="S4685">
        <v>1.88</v>
      </c>
      <c r="T4685">
        <v>1.24</v>
      </c>
      <c r="U4685">
        <v>-22.2</v>
      </c>
      <c r="V4685">
        <v>-67</v>
      </c>
      <c r="W4685">
        <v>25.9</v>
      </c>
      <c r="X4685">
        <v>3338</v>
      </c>
      <c r="Y4685">
        <v>4856</v>
      </c>
      <c r="Z4685">
        <v>0.69</v>
      </c>
      <c r="AA4685">
        <v>10</v>
      </c>
      <c r="AB4685">
        <v>100</v>
      </c>
      <c r="AC4685">
        <v>1.6</v>
      </c>
      <c r="AD4685" t="s">
        <v>21499</v>
      </c>
      <c r="AE4685" t="s">
        <v>5399</v>
      </c>
      <c r="AF4685" t="s">
        <v>21500</v>
      </c>
      <c r="AG4685" t="s">
        <v>7365</v>
      </c>
      <c r="AH4685">
        <v>-1.9</v>
      </c>
      <c r="AI4685">
        <v>-1.52</v>
      </c>
      <c r="AJ4685">
        <v>2.39</v>
      </c>
      <c r="AK4685">
        <v>4.31</v>
      </c>
      <c r="AL4685">
        <v>-3</v>
      </c>
      <c r="AM4685">
        <v>-0.69</v>
      </c>
      <c r="AN4685">
        <v>-6.2</v>
      </c>
      <c r="AO4685">
        <v>-1.45</v>
      </c>
      <c r="AP4685">
        <v>-5.1</v>
      </c>
    </row>
    <row r="4686" spans="1:42">
      <c r="A4686">
        <v>4685</v>
      </c>
      <c r="B4686" t="str">
        <f>"002883"</f>
        <v>002883</v>
      </c>
      <c r="C4686" t="s">
        <v>21501</v>
      </c>
      <c r="D4686">
        <v>12.03</v>
      </c>
      <c r="E4686">
        <v>0.5</v>
      </c>
      <c r="F4686">
        <v>0.06</v>
      </c>
      <c r="G4686" t="s">
        <v>3165</v>
      </c>
      <c r="H4686">
        <v>52</v>
      </c>
      <c r="I4686">
        <v>12.03</v>
      </c>
      <c r="J4686">
        <v>12.04</v>
      </c>
      <c r="K4686" t="s">
        <v>21498</v>
      </c>
      <c r="L4686">
        <v>1.3</v>
      </c>
      <c r="M4686" t="s">
        <v>46</v>
      </c>
      <c r="N4686" t="s">
        <v>2613</v>
      </c>
      <c r="O4686">
        <v>12.11</v>
      </c>
      <c r="P4686">
        <v>11.86</v>
      </c>
      <c r="Q4686">
        <v>11.95</v>
      </c>
      <c r="R4686">
        <v>11.97</v>
      </c>
      <c r="S4686">
        <v>2.09</v>
      </c>
      <c r="T4686">
        <v>0.98</v>
      </c>
      <c r="U4686">
        <v>44.18</v>
      </c>
      <c r="V4686">
        <v>315</v>
      </c>
      <c r="W4686">
        <v>12.02</v>
      </c>
      <c r="X4686">
        <v>8027</v>
      </c>
      <c r="Y4686">
        <v>9631</v>
      </c>
      <c r="Z4686">
        <v>0.83</v>
      </c>
      <c r="AA4686">
        <v>18</v>
      </c>
      <c r="AB4686">
        <v>34</v>
      </c>
      <c r="AC4686">
        <v>2.84</v>
      </c>
      <c r="AD4686" t="s">
        <v>5588</v>
      </c>
      <c r="AE4686" t="s">
        <v>20664</v>
      </c>
      <c r="AF4686" t="s">
        <v>8609</v>
      </c>
      <c r="AG4686" t="s">
        <v>12395</v>
      </c>
      <c r="AH4686">
        <v>-0.58</v>
      </c>
      <c r="AI4686">
        <v>-0.82</v>
      </c>
      <c r="AJ4686">
        <v>3.86</v>
      </c>
      <c r="AK4686">
        <v>7.97</v>
      </c>
      <c r="AL4686">
        <v>1</v>
      </c>
      <c r="AM4686">
        <v>0.5</v>
      </c>
      <c r="AN4686">
        <v>8.77</v>
      </c>
      <c r="AO4686">
        <v>2.91</v>
      </c>
      <c r="AP4686">
        <v>1.35</v>
      </c>
    </row>
    <row r="4687" spans="1:42">
      <c r="A4687">
        <v>4686</v>
      </c>
      <c r="B4687" t="str">
        <f>"300411"</f>
        <v>300411</v>
      </c>
      <c r="C4687" t="s">
        <v>21502</v>
      </c>
      <c r="D4687">
        <v>6.83</v>
      </c>
      <c r="E4687">
        <v>0.59</v>
      </c>
      <c r="F4687">
        <v>0.04</v>
      </c>
      <c r="G4687" t="s">
        <v>3260</v>
      </c>
      <c r="H4687">
        <v>170</v>
      </c>
      <c r="I4687">
        <v>6.83</v>
      </c>
      <c r="J4687">
        <v>6.84</v>
      </c>
      <c r="K4687" t="s">
        <v>21503</v>
      </c>
      <c r="L4687">
        <v>1.15</v>
      </c>
      <c r="M4687" t="s">
        <v>46</v>
      </c>
      <c r="N4687" t="s">
        <v>4515</v>
      </c>
      <c r="O4687">
        <v>6.87</v>
      </c>
      <c r="P4687">
        <v>6.73</v>
      </c>
      <c r="Q4687">
        <v>6.8</v>
      </c>
      <c r="R4687">
        <v>6.79</v>
      </c>
      <c r="S4687">
        <v>2.06</v>
      </c>
      <c r="T4687">
        <v>1.02</v>
      </c>
      <c r="U4687">
        <v>-42.94</v>
      </c>
      <c r="V4687">
        <v>-781</v>
      </c>
      <c r="W4687">
        <v>6.81</v>
      </c>
      <c r="X4687" t="s">
        <v>8212</v>
      </c>
      <c r="Y4687" t="s">
        <v>5951</v>
      </c>
      <c r="Z4687">
        <v>1.01</v>
      </c>
      <c r="AA4687">
        <v>113</v>
      </c>
      <c r="AB4687">
        <v>48</v>
      </c>
      <c r="AC4687">
        <v>2.97</v>
      </c>
      <c r="AD4687" t="s">
        <v>16661</v>
      </c>
      <c r="AE4687" t="s">
        <v>3891</v>
      </c>
      <c r="AF4687" t="s">
        <v>21504</v>
      </c>
      <c r="AG4687" t="s">
        <v>14587</v>
      </c>
      <c r="AH4687">
        <v>-1.87</v>
      </c>
      <c r="AI4687">
        <v>-0.87</v>
      </c>
      <c r="AJ4687">
        <v>3.37</v>
      </c>
      <c r="AK4687">
        <v>6.82</v>
      </c>
      <c r="AL4687">
        <v>1</v>
      </c>
      <c r="AM4687">
        <v>0.59</v>
      </c>
      <c r="AN4687">
        <v>7.56</v>
      </c>
      <c r="AO4687">
        <v>3.64</v>
      </c>
      <c r="AP4687">
        <v>-3.53</v>
      </c>
    </row>
    <row r="4688" spans="1:42">
      <c r="A4688">
        <v>4687</v>
      </c>
      <c r="B4688" t="str">
        <f>"688571"</f>
        <v>688571</v>
      </c>
      <c r="C4688" t="s">
        <v>21505</v>
      </c>
      <c r="D4688">
        <v>7.33</v>
      </c>
      <c r="E4688">
        <v>0.14</v>
      </c>
      <c r="F4688">
        <v>0.01</v>
      </c>
      <c r="G4688" t="s">
        <v>2727</v>
      </c>
      <c r="H4688">
        <v>213</v>
      </c>
      <c r="I4688">
        <v>7.33</v>
      </c>
      <c r="J4688">
        <v>7.34</v>
      </c>
      <c r="K4688" t="s">
        <v>11517</v>
      </c>
      <c r="L4688">
        <v>1.19</v>
      </c>
      <c r="M4688" t="s">
        <v>46</v>
      </c>
      <c r="N4688" t="s">
        <v>21506</v>
      </c>
      <c r="O4688">
        <v>7.42</v>
      </c>
      <c r="P4688">
        <v>7.21</v>
      </c>
      <c r="Q4688">
        <v>7.34</v>
      </c>
      <c r="R4688">
        <v>7.32</v>
      </c>
      <c r="S4688">
        <v>2.87</v>
      </c>
      <c r="T4688">
        <v>0.78</v>
      </c>
      <c r="U4688">
        <v>32.48</v>
      </c>
      <c r="V4688">
        <v>409</v>
      </c>
      <c r="W4688">
        <v>7.35</v>
      </c>
      <c r="X4688" t="s">
        <v>2807</v>
      </c>
      <c r="Y4688" t="s">
        <v>3165</v>
      </c>
      <c r="Z4688">
        <v>0.63</v>
      </c>
      <c r="AA4688">
        <v>149</v>
      </c>
      <c r="AB4688">
        <v>22</v>
      </c>
      <c r="AC4688">
        <v>2.13</v>
      </c>
      <c r="AD4688" t="s">
        <v>21507</v>
      </c>
      <c r="AE4688" t="s">
        <v>21508</v>
      </c>
      <c r="AF4688" t="s">
        <v>19276</v>
      </c>
      <c r="AG4688" t="s">
        <v>5816</v>
      </c>
      <c r="AH4688">
        <v>-2.01</v>
      </c>
      <c r="AI4688">
        <v>-2.66</v>
      </c>
      <c r="AJ4688">
        <v>3.59</v>
      </c>
      <c r="AK4688">
        <v>8.75</v>
      </c>
      <c r="AL4688">
        <v>1</v>
      </c>
      <c r="AM4688">
        <v>0.14</v>
      </c>
      <c r="AN4688">
        <v>39.62</v>
      </c>
      <c r="AO4688">
        <v>0.83</v>
      </c>
      <c r="AP4688">
        <v>29.51</v>
      </c>
    </row>
    <row r="4689" spans="1:42">
      <c r="A4689">
        <v>4688</v>
      </c>
      <c r="B4689" t="str">
        <f>"603739"</f>
        <v>603739</v>
      </c>
      <c r="C4689" t="s">
        <v>21509</v>
      </c>
      <c r="D4689">
        <v>14.35</v>
      </c>
      <c r="E4689">
        <v>-0.35</v>
      </c>
      <c r="F4689">
        <v>-0.05</v>
      </c>
      <c r="G4689" t="s">
        <v>3130</v>
      </c>
      <c r="H4689">
        <v>281</v>
      </c>
      <c r="I4689">
        <v>14.35</v>
      </c>
      <c r="J4689">
        <v>14.38</v>
      </c>
      <c r="K4689" t="s">
        <v>11517</v>
      </c>
      <c r="L4689">
        <v>0.58</v>
      </c>
      <c r="M4689" t="s">
        <v>46</v>
      </c>
      <c r="N4689" t="s">
        <v>21510</v>
      </c>
      <c r="O4689">
        <v>14.46</v>
      </c>
      <c r="P4689">
        <v>14.3</v>
      </c>
      <c r="Q4689">
        <v>14.4</v>
      </c>
      <c r="R4689">
        <v>14.4</v>
      </c>
      <c r="S4689">
        <v>1.11</v>
      </c>
      <c r="T4689">
        <v>0.88</v>
      </c>
      <c r="U4689">
        <v>69</v>
      </c>
      <c r="V4689">
        <v>374</v>
      </c>
      <c r="W4689">
        <v>14.39</v>
      </c>
      <c r="X4689">
        <v>7406</v>
      </c>
      <c r="Y4689">
        <v>7324</v>
      </c>
      <c r="Z4689">
        <v>1.01</v>
      </c>
      <c r="AA4689">
        <v>326</v>
      </c>
      <c r="AB4689">
        <v>44</v>
      </c>
      <c r="AC4689">
        <v>2.15</v>
      </c>
      <c r="AD4689" t="s">
        <v>21511</v>
      </c>
      <c r="AE4689" t="s">
        <v>18859</v>
      </c>
      <c r="AF4689" t="s">
        <v>21511</v>
      </c>
      <c r="AG4689" t="s">
        <v>18859</v>
      </c>
      <c r="AH4689">
        <v>-1.17</v>
      </c>
      <c r="AI4689">
        <v>0.07</v>
      </c>
      <c r="AJ4689">
        <v>1.62</v>
      </c>
      <c r="AK4689">
        <v>3.88</v>
      </c>
      <c r="AL4689">
        <v>-1</v>
      </c>
      <c r="AM4689">
        <v>-0.35</v>
      </c>
      <c r="AN4689">
        <v>7.73</v>
      </c>
      <c r="AO4689">
        <v>2.21</v>
      </c>
      <c r="AP4689">
        <v>0.91</v>
      </c>
    </row>
    <row r="4690" spans="1:42">
      <c r="A4690">
        <v>4689</v>
      </c>
      <c r="B4690" t="str">
        <f>"600379"</f>
        <v>600379</v>
      </c>
      <c r="C4690" t="s">
        <v>21512</v>
      </c>
      <c r="D4690">
        <v>9.79</v>
      </c>
      <c r="E4690">
        <v>-0.2</v>
      </c>
      <c r="F4690">
        <v>-0.02</v>
      </c>
      <c r="G4690" t="s">
        <v>4963</v>
      </c>
      <c r="H4690">
        <v>171</v>
      </c>
      <c r="I4690">
        <v>9.79</v>
      </c>
      <c r="J4690">
        <v>9.8</v>
      </c>
      <c r="K4690" t="s">
        <v>21513</v>
      </c>
      <c r="L4690">
        <v>0.66</v>
      </c>
      <c r="M4690" t="s">
        <v>46</v>
      </c>
      <c r="N4690" t="s">
        <v>5453</v>
      </c>
      <c r="O4690">
        <v>9.84</v>
      </c>
      <c r="P4690">
        <v>9.71</v>
      </c>
      <c r="Q4690">
        <v>9.81</v>
      </c>
      <c r="R4690">
        <v>9.81</v>
      </c>
      <c r="S4690">
        <v>1.33</v>
      </c>
      <c r="T4690">
        <v>0.83</v>
      </c>
      <c r="U4690">
        <v>-61.49</v>
      </c>
      <c r="V4690">
        <v>-744</v>
      </c>
      <c r="W4690">
        <v>9.77</v>
      </c>
      <c r="X4690" t="s">
        <v>239</v>
      </c>
      <c r="Y4690" t="s">
        <v>4959</v>
      </c>
      <c r="Z4690">
        <v>0.92</v>
      </c>
      <c r="AA4690">
        <v>10</v>
      </c>
      <c r="AB4690">
        <v>5</v>
      </c>
      <c r="AC4690">
        <v>4.69</v>
      </c>
      <c r="AD4690" t="s">
        <v>21514</v>
      </c>
      <c r="AE4690" t="s">
        <v>21515</v>
      </c>
      <c r="AF4690" t="s">
        <v>21514</v>
      </c>
      <c r="AG4690" t="s">
        <v>21515</v>
      </c>
      <c r="AH4690">
        <v>-1.41</v>
      </c>
      <c r="AI4690">
        <v>-0.61</v>
      </c>
      <c r="AJ4690">
        <v>2.41</v>
      </c>
      <c r="AK4690">
        <v>4.6</v>
      </c>
      <c r="AL4690">
        <v>-2</v>
      </c>
      <c r="AM4690">
        <v>-0.2</v>
      </c>
      <c r="AN4690">
        <v>-18.55</v>
      </c>
      <c r="AO4690">
        <v>0.72</v>
      </c>
      <c r="AP4690">
        <v>-10.1</v>
      </c>
    </row>
    <row r="4691" spans="1:42">
      <c r="A4691">
        <v>4690</v>
      </c>
      <c r="B4691" t="str">
        <f>"600866"</f>
        <v>600866</v>
      </c>
      <c r="C4691" t="s">
        <v>21516</v>
      </c>
      <c r="D4691">
        <v>5.21</v>
      </c>
      <c r="E4691">
        <v>0.77</v>
      </c>
      <c r="F4691">
        <v>0.04</v>
      </c>
      <c r="G4691" t="s">
        <v>5355</v>
      </c>
      <c r="H4691">
        <v>454</v>
      </c>
      <c r="I4691">
        <v>5.2</v>
      </c>
      <c r="J4691">
        <v>5.21</v>
      </c>
      <c r="K4691" t="s">
        <v>21517</v>
      </c>
      <c r="L4691">
        <v>0.55</v>
      </c>
      <c r="M4691" t="s">
        <v>46</v>
      </c>
      <c r="N4691" t="s">
        <v>7805</v>
      </c>
      <c r="O4691">
        <v>5.24</v>
      </c>
      <c r="P4691">
        <v>5.16</v>
      </c>
      <c r="Q4691">
        <v>5.18</v>
      </c>
      <c r="R4691">
        <v>5.17</v>
      </c>
      <c r="S4691">
        <v>1.55</v>
      </c>
      <c r="T4691">
        <v>0.85</v>
      </c>
      <c r="U4691">
        <v>-48.01</v>
      </c>
      <c r="V4691">
        <v>-4325</v>
      </c>
      <c r="W4691">
        <v>5.21</v>
      </c>
      <c r="X4691" t="s">
        <v>325</v>
      </c>
      <c r="Y4691" t="s">
        <v>4509</v>
      </c>
      <c r="Z4691">
        <v>0.82</v>
      </c>
      <c r="AA4691">
        <v>508</v>
      </c>
      <c r="AB4691">
        <v>50</v>
      </c>
      <c r="AC4691">
        <v>1.17</v>
      </c>
      <c r="AD4691" t="s">
        <v>13332</v>
      </c>
      <c r="AE4691" t="s">
        <v>21518</v>
      </c>
      <c r="AF4691" t="s">
        <v>21519</v>
      </c>
      <c r="AG4691" t="s">
        <v>21520</v>
      </c>
      <c r="AH4691">
        <v>-0.19</v>
      </c>
      <c r="AI4691">
        <v>-1.33</v>
      </c>
      <c r="AJ4691">
        <v>1.58</v>
      </c>
      <c r="AK4691">
        <v>3.78</v>
      </c>
      <c r="AL4691">
        <v>2</v>
      </c>
      <c r="AM4691">
        <v>0.77</v>
      </c>
      <c r="AN4691">
        <v>-12.14</v>
      </c>
      <c r="AO4691">
        <v>-2.8</v>
      </c>
      <c r="AP4691">
        <v>-21.89</v>
      </c>
    </row>
    <row r="4692" spans="1:42">
      <c r="A4692">
        <v>4691</v>
      </c>
      <c r="B4692" t="str">
        <f>"605287"</f>
        <v>605287</v>
      </c>
      <c r="C4692" t="s">
        <v>21521</v>
      </c>
      <c r="D4692">
        <v>17.3</v>
      </c>
      <c r="E4692">
        <v>0.76</v>
      </c>
      <c r="F4692">
        <v>0.13</v>
      </c>
      <c r="G4692" t="s">
        <v>4792</v>
      </c>
      <c r="H4692">
        <v>46</v>
      </c>
      <c r="I4692">
        <v>17.3</v>
      </c>
      <c r="J4692">
        <v>17.31</v>
      </c>
      <c r="K4692" t="s">
        <v>21522</v>
      </c>
      <c r="L4692">
        <v>1.39</v>
      </c>
      <c r="M4692" t="s">
        <v>46</v>
      </c>
      <c r="N4692" t="s">
        <v>12295</v>
      </c>
      <c r="O4692">
        <v>17.36</v>
      </c>
      <c r="P4692">
        <v>17.03</v>
      </c>
      <c r="Q4692">
        <v>17.22</v>
      </c>
      <c r="R4692">
        <v>17.17</v>
      </c>
      <c r="S4692">
        <v>1.92</v>
      </c>
      <c r="T4692">
        <v>0.98</v>
      </c>
      <c r="U4692">
        <v>-20.69</v>
      </c>
      <c r="V4692">
        <v>-48</v>
      </c>
      <c r="W4692">
        <v>17.24</v>
      </c>
      <c r="X4692">
        <v>5646</v>
      </c>
      <c r="Y4692">
        <v>6615</v>
      </c>
      <c r="Z4692">
        <v>0.85</v>
      </c>
      <c r="AA4692">
        <v>8</v>
      </c>
      <c r="AB4692">
        <v>36</v>
      </c>
      <c r="AC4692">
        <v>1.3</v>
      </c>
      <c r="AD4692" t="s">
        <v>16649</v>
      </c>
      <c r="AE4692" t="s">
        <v>20489</v>
      </c>
      <c r="AF4692" t="s">
        <v>21523</v>
      </c>
      <c r="AG4692" t="s">
        <v>16638</v>
      </c>
      <c r="AH4692">
        <v>-0.75</v>
      </c>
      <c r="AI4692">
        <v>-1.2</v>
      </c>
      <c r="AJ4692">
        <v>4.36</v>
      </c>
      <c r="AK4692">
        <v>8.48</v>
      </c>
      <c r="AL4692">
        <v>1</v>
      </c>
      <c r="AM4692">
        <v>0.76</v>
      </c>
      <c r="AN4692">
        <v>9.15</v>
      </c>
      <c r="AO4692">
        <v>1.35</v>
      </c>
      <c r="AP4692">
        <v>-2.15</v>
      </c>
    </row>
    <row r="4693" spans="1:42">
      <c r="A4693">
        <v>4692</v>
      </c>
      <c r="B4693" t="str">
        <f>"000007"</f>
        <v>000007</v>
      </c>
      <c r="C4693" t="s">
        <v>21524</v>
      </c>
      <c r="D4693">
        <v>5.02</v>
      </c>
      <c r="E4693">
        <v>-2.14</v>
      </c>
      <c r="F4693">
        <v>-0.11</v>
      </c>
      <c r="G4693" t="s">
        <v>3925</v>
      </c>
      <c r="H4693">
        <v>720</v>
      </c>
      <c r="I4693">
        <v>5.02</v>
      </c>
      <c r="J4693">
        <v>5.03</v>
      </c>
      <c r="K4693" t="s">
        <v>21522</v>
      </c>
      <c r="L4693">
        <v>1.33</v>
      </c>
      <c r="M4693" t="s">
        <v>46</v>
      </c>
      <c r="N4693" t="s">
        <v>3289</v>
      </c>
      <c r="O4693">
        <v>5.3</v>
      </c>
      <c r="P4693">
        <v>5.01</v>
      </c>
      <c r="Q4693">
        <v>5.27</v>
      </c>
      <c r="R4693">
        <v>5.13</v>
      </c>
      <c r="S4693">
        <v>5.65</v>
      </c>
      <c r="T4693">
        <v>2.65</v>
      </c>
      <c r="U4693">
        <v>69.57</v>
      </c>
      <c r="V4693">
        <v>2176</v>
      </c>
      <c r="W4693">
        <v>5.15</v>
      </c>
      <c r="X4693" t="s">
        <v>4012</v>
      </c>
      <c r="Y4693" t="s">
        <v>6595</v>
      </c>
      <c r="Z4693">
        <v>1.75</v>
      </c>
      <c r="AA4693">
        <v>142</v>
      </c>
      <c r="AB4693">
        <v>185</v>
      </c>
      <c r="AC4693">
        <v>17.16</v>
      </c>
      <c r="AD4693" t="s">
        <v>4470</v>
      </c>
      <c r="AE4693" t="s">
        <v>2804</v>
      </c>
      <c r="AF4693" t="s">
        <v>14700</v>
      </c>
      <c r="AG4693" t="s">
        <v>21525</v>
      </c>
      <c r="AH4693">
        <v>2.03</v>
      </c>
      <c r="AI4693">
        <v>0</v>
      </c>
      <c r="AJ4693">
        <v>2.95</v>
      </c>
      <c r="AK4693">
        <v>3.84</v>
      </c>
      <c r="AL4693">
        <v>-1</v>
      </c>
      <c r="AM4693">
        <v>-2.14</v>
      </c>
      <c r="AN4693">
        <v>-35.48</v>
      </c>
      <c r="AO4693">
        <v>-3.09</v>
      </c>
      <c r="AP4693">
        <v>-36.46</v>
      </c>
    </row>
    <row r="4694" spans="1:42">
      <c r="A4694">
        <v>4693</v>
      </c>
      <c r="B4694" t="str">
        <f>"831834"</f>
        <v>831834</v>
      </c>
      <c r="C4694" t="s">
        <v>18354</v>
      </c>
      <c r="D4694">
        <v>5.76</v>
      </c>
      <c r="E4694">
        <v>-7.99</v>
      </c>
      <c r="F4694">
        <v>-0.5</v>
      </c>
      <c r="G4694" t="s">
        <v>1806</v>
      </c>
      <c r="H4694">
        <v>389</v>
      </c>
      <c r="I4694">
        <v>5.76</v>
      </c>
      <c r="J4694">
        <v>5.77</v>
      </c>
      <c r="K4694" t="s">
        <v>21526</v>
      </c>
      <c r="L4694">
        <v>10.41</v>
      </c>
      <c r="M4694" t="s">
        <v>46</v>
      </c>
      <c r="N4694" t="s">
        <v>6911</v>
      </c>
      <c r="O4694">
        <v>6.52</v>
      </c>
      <c r="P4694">
        <v>5.76</v>
      </c>
      <c r="Q4694">
        <v>6.27</v>
      </c>
      <c r="R4694">
        <v>6.26</v>
      </c>
      <c r="S4694">
        <v>12.14</v>
      </c>
      <c r="T4694">
        <v>0.34</v>
      </c>
      <c r="U4694">
        <v>-9.48</v>
      </c>
      <c r="V4694">
        <v>-52</v>
      </c>
      <c r="W4694">
        <v>6.15</v>
      </c>
      <c r="X4694" t="s">
        <v>2716</v>
      </c>
      <c r="Y4694" t="s">
        <v>1427</v>
      </c>
      <c r="Z4694">
        <v>1.65</v>
      </c>
      <c r="AA4694">
        <v>31</v>
      </c>
      <c r="AB4694">
        <v>29</v>
      </c>
      <c r="AC4694">
        <v>2.41</v>
      </c>
      <c r="AD4694" t="s">
        <v>5210</v>
      </c>
      <c r="AE4694" t="s">
        <v>4445</v>
      </c>
      <c r="AF4694" t="s">
        <v>19061</v>
      </c>
      <c r="AG4694" t="s">
        <v>21527</v>
      </c>
      <c r="AH4694">
        <v>-18.87</v>
      </c>
      <c r="AI4694">
        <v>0.7</v>
      </c>
      <c r="AJ4694">
        <v>46.15</v>
      </c>
      <c r="AK4694">
        <v>163.11</v>
      </c>
      <c r="AL4694">
        <v>-1</v>
      </c>
      <c r="AM4694">
        <v>-7.99</v>
      </c>
      <c r="AN4694">
        <v>82.86</v>
      </c>
      <c r="AO4694">
        <v>69.41</v>
      </c>
      <c r="AP4694">
        <v>54.42</v>
      </c>
    </row>
    <row r="4695" spans="1:42">
      <c r="A4695">
        <v>4694</v>
      </c>
      <c r="B4695" t="str">
        <f>"600624"</f>
        <v>600624</v>
      </c>
      <c r="C4695" t="s">
        <v>21528</v>
      </c>
      <c r="D4695">
        <v>6.03</v>
      </c>
      <c r="E4695">
        <v>0.84</v>
      </c>
      <c r="F4695">
        <v>0.05</v>
      </c>
      <c r="G4695" t="s">
        <v>5831</v>
      </c>
      <c r="H4695">
        <v>345</v>
      </c>
      <c r="I4695">
        <v>6.02</v>
      </c>
      <c r="J4695">
        <v>6.03</v>
      </c>
      <c r="K4695" t="s">
        <v>21526</v>
      </c>
      <c r="L4695">
        <v>0.51</v>
      </c>
      <c r="M4695" t="s">
        <v>46</v>
      </c>
      <c r="N4695" t="s">
        <v>2665</v>
      </c>
      <c r="O4695">
        <v>6.04</v>
      </c>
      <c r="P4695">
        <v>5.96</v>
      </c>
      <c r="Q4695">
        <v>5.99</v>
      </c>
      <c r="R4695">
        <v>5.98</v>
      </c>
      <c r="S4695">
        <v>1.34</v>
      </c>
      <c r="T4695">
        <v>0.7</v>
      </c>
      <c r="U4695">
        <v>-16.1</v>
      </c>
      <c r="V4695">
        <v>-1333</v>
      </c>
      <c r="W4695">
        <v>6.01</v>
      </c>
      <c r="X4695" t="s">
        <v>6656</v>
      </c>
      <c r="Y4695" t="s">
        <v>1255</v>
      </c>
      <c r="Z4695">
        <v>0.96</v>
      </c>
      <c r="AA4695">
        <v>453</v>
      </c>
      <c r="AB4695">
        <v>661</v>
      </c>
      <c r="AC4695">
        <v>4.78</v>
      </c>
      <c r="AD4695" t="s">
        <v>21529</v>
      </c>
      <c r="AE4695" t="s">
        <v>21530</v>
      </c>
      <c r="AF4695" t="s">
        <v>21529</v>
      </c>
      <c r="AG4695" t="s">
        <v>21530</v>
      </c>
      <c r="AH4695">
        <v>-0.17</v>
      </c>
      <c r="AI4695">
        <v>-0.17</v>
      </c>
      <c r="AJ4695">
        <v>1.74</v>
      </c>
      <c r="AK4695">
        <v>4.17</v>
      </c>
      <c r="AL4695">
        <v>1</v>
      </c>
      <c r="AM4695">
        <v>0.84</v>
      </c>
      <c r="AN4695">
        <v>5.42</v>
      </c>
      <c r="AO4695">
        <v>2.55</v>
      </c>
      <c r="AP4695">
        <v>-0.82</v>
      </c>
    </row>
    <row r="4696" spans="1:42">
      <c r="A4696">
        <v>4695</v>
      </c>
      <c r="B4696" t="str">
        <f>"600306"</f>
        <v>600306</v>
      </c>
      <c r="C4696" t="s">
        <v>21531</v>
      </c>
      <c r="D4696">
        <v>12.32</v>
      </c>
      <c r="E4696">
        <v>-1.44</v>
      </c>
      <c r="F4696">
        <v>-0.18</v>
      </c>
      <c r="G4696" t="s">
        <v>2397</v>
      </c>
      <c r="H4696">
        <v>132</v>
      </c>
      <c r="I4696">
        <v>12.32</v>
      </c>
      <c r="J4696">
        <v>12.33</v>
      </c>
      <c r="K4696" t="s">
        <v>21532</v>
      </c>
      <c r="L4696">
        <v>0.96</v>
      </c>
      <c r="M4696" t="s">
        <v>46</v>
      </c>
      <c r="N4696" t="s">
        <v>4410</v>
      </c>
      <c r="O4696">
        <v>12.68</v>
      </c>
      <c r="P4696">
        <v>12.16</v>
      </c>
      <c r="Q4696">
        <v>12.68</v>
      </c>
      <c r="R4696">
        <v>12.5</v>
      </c>
      <c r="S4696">
        <v>4.16</v>
      </c>
      <c r="T4696">
        <v>0.76</v>
      </c>
      <c r="U4696">
        <v>42.29</v>
      </c>
      <c r="V4696">
        <v>491</v>
      </c>
      <c r="W4696">
        <v>12.36</v>
      </c>
      <c r="X4696">
        <v>9484</v>
      </c>
      <c r="Y4696">
        <v>7602</v>
      </c>
      <c r="Z4696">
        <v>1.25</v>
      </c>
      <c r="AA4696">
        <v>55</v>
      </c>
      <c r="AB4696">
        <v>198</v>
      </c>
      <c r="AC4696">
        <v>-5.1</v>
      </c>
      <c r="AD4696" t="s">
        <v>12568</v>
      </c>
      <c r="AE4696" t="s">
        <v>7550</v>
      </c>
      <c r="AF4696" t="s">
        <v>3541</v>
      </c>
      <c r="AG4696" t="s">
        <v>21533</v>
      </c>
      <c r="AH4696">
        <v>0.24</v>
      </c>
      <c r="AI4696">
        <v>9.71</v>
      </c>
      <c r="AJ4696">
        <v>4.46</v>
      </c>
      <c r="AK4696">
        <v>7.34</v>
      </c>
      <c r="AL4696">
        <v>-2</v>
      </c>
      <c r="AM4696">
        <v>-1.44</v>
      </c>
      <c r="AN4696">
        <v>44.94</v>
      </c>
      <c r="AO4696">
        <v>16.12</v>
      </c>
      <c r="AP4696">
        <v>30.51</v>
      </c>
    </row>
    <row r="4697" spans="1:42">
      <c r="A4697">
        <v>4696</v>
      </c>
      <c r="B4697" t="str">
        <f>"603059"</f>
        <v>603059</v>
      </c>
      <c r="C4697" t="s">
        <v>21534</v>
      </c>
      <c r="D4697">
        <v>24.06</v>
      </c>
      <c r="E4697">
        <v>0.71</v>
      </c>
      <c r="F4697">
        <v>0.17</v>
      </c>
      <c r="G4697">
        <v>8799</v>
      </c>
      <c r="H4697">
        <v>40</v>
      </c>
      <c r="I4697">
        <v>24.06</v>
      </c>
      <c r="J4697">
        <v>24.07</v>
      </c>
      <c r="K4697" t="s">
        <v>21532</v>
      </c>
      <c r="L4697">
        <v>0.88</v>
      </c>
      <c r="M4697" t="s">
        <v>46</v>
      </c>
      <c r="N4697" t="s">
        <v>21535</v>
      </c>
      <c r="O4697">
        <v>24.12</v>
      </c>
      <c r="P4697">
        <v>23.7</v>
      </c>
      <c r="Q4697">
        <v>23.85</v>
      </c>
      <c r="R4697">
        <v>23.89</v>
      </c>
      <c r="S4697">
        <v>1.76</v>
      </c>
      <c r="T4697">
        <v>1.26</v>
      </c>
      <c r="U4697">
        <v>-12.22</v>
      </c>
      <c r="V4697">
        <v>-44</v>
      </c>
      <c r="W4697">
        <v>24</v>
      </c>
      <c r="X4697">
        <v>3985</v>
      </c>
      <c r="Y4697">
        <v>4814</v>
      </c>
      <c r="Z4697">
        <v>0.83</v>
      </c>
      <c r="AA4697">
        <v>4</v>
      </c>
      <c r="AB4697">
        <v>66</v>
      </c>
      <c r="AC4697">
        <v>1.98</v>
      </c>
      <c r="AD4697" t="s">
        <v>18845</v>
      </c>
      <c r="AE4697" t="s">
        <v>14516</v>
      </c>
      <c r="AF4697" t="s">
        <v>18845</v>
      </c>
      <c r="AG4697" t="s">
        <v>14516</v>
      </c>
      <c r="AH4697">
        <v>0.71</v>
      </c>
      <c r="AI4697">
        <v>0.29</v>
      </c>
      <c r="AJ4697">
        <v>2.41</v>
      </c>
      <c r="AK4697">
        <v>4.36</v>
      </c>
      <c r="AL4697">
        <v>1</v>
      </c>
      <c r="AM4697">
        <v>0.71</v>
      </c>
      <c r="AN4697">
        <v>27.37</v>
      </c>
      <c r="AO4697">
        <v>5.94</v>
      </c>
      <c r="AP4697">
        <v>17.14</v>
      </c>
    </row>
    <row r="4698" spans="1:42">
      <c r="A4698">
        <v>4697</v>
      </c>
      <c r="B4698" t="str">
        <f>"833075"</f>
        <v>833075</v>
      </c>
      <c r="C4698" t="s">
        <v>21536</v>
      </c>
      <c r="D4698">
        <v>9.62</v>
      </c>
      <c r="E4698">
        <v>-6.24</v>
      </c>
      <c r="F4698">
        <v>-0.64</v>
      </c>
      <c r="G4698" t="s">
        <v>3116</v>
      </c>
      <c r="H4698">
        <v>322</v>
      </c>
      <c r="I4698">
        <v>9.62</v>
      </c>
      <c r="J4698">
        <v>9.63</v>
      </c>
      <c r="K4698" t="s">
        <v>21537</v>
      </c>
      <c r="L4698">
        <v>8.64</v>
      </c>
      <c r="M4698" t="s">
        <v>46</v>
      </c>
      <c r="N4698" t="s">
        <v>3977</v>
      </c>
      <c r="O4698">
        <v>10.45</v>
      </c>
      <c r="P4698">
        <v>9.44</v>
      </c>
      <c r="Q4698">
        <v>10.39</v>
      </c>
      <c r="R4698">
        <v>10.26</v>
      </c>
      <c r="S4698">
        <v>9.84</v>
      </c>
      <c r="T4698">
        <v>0.58</v>
      </c>
      <c r="U4698">
        <v>31.94</v>
      </c>
      <c r="V4698">
        <v>277</v>
      </c>
      <c r="W4698">
        <v>9.91</v>
      </c>
      <c r="X4698" t="s">
        <v>1170</v>
      </c>
      <c r="Y4698">
        <v>8224</v>
      </c>
      <c r="Z4698">
        <v>1.59</v>
      </c>
      <c r="AA4698">
        <v>39</v>
      </c>
      <c r="AB4698">
        <v>259</v>
      </c>
      <c r="AC4698">
        <v>1.61</v>
      </c>
      <c r="AD4698" t="s">
        <v>21538</v>
      </c>
      <c r="AE4698" t="s">
        <v>17346</v>
      </c>
      <c r="AF4698" t="s">
        <v>21539</v>
      </c>
      <c r="AG4698" t="s">
        <v>21540</v>
      </c>
      <c r="AH4698">
        <v>-17.5</v>
      </c>
      <c r="AI4698">
        <v>-6.15</v>
      </c>
      <c r="AJ4698">
        <v>25.94</v>
      </c>
      <c r="AK4698">
        <v>83.11</v>
      </c>
      <c r="AL4698">
        <v>-4</v>
      </c>
      <c r="AM4698">
        <v>-6.24</v>
      </c>
      <c r="AN4698">
        <v>7.61</v>
      </c>
      <c r="AO4698">
        <v>14.66</v>
      </c>
      <c r="AP4698">
        <v>-12.86</v>
      </c>
    </row>
    <row r="4699" spans="1:42">
      <c r="A4699">
        <v>4698</v>
      </c>
      <c r="B4699" t="str">
        <f>"600823"</f>
        <v>600823</v>
      </c>
      <c r="C4699" t="s">
        <v>21541</v>
      </c>
      <c r="D4699">
        <v>1.26</v>
      </c>
      <c r="E4699">
        <v>0</v>
      </c>
      <c r="F4699">
        <v>0</v>
      </c>
      <c r="G4699" t="s">
        <v>1245</v>
      </c>
      <c r="H4699">
        <v>3820</v>
      </c>
      <c r="I4699">
        <v>1.25</v>
      </c>
      <c r="J4699">
        <v>1.26</v>
      </c>
      <c r="K4699" t="s">
        <v>21542</v>
      </c>
      <c r="L4699">
        <v>0.45</v>
      </c>
      <c r="M4699" t="s">
        <v>46</v>
      </c>
      <c r="N4699" t="s">
        <v>13959</v>
      </c>
      <c r="O4699">
        <v>1.27</v>
      </c>
      <c r="P4699">
        <v>1.24</v>
      </c>
      <c r="Q4699">
        <v>1.25</v>
      </c>
      <c r="R4699">
        <v>1.26</v>
      </c>
      <c r="S4699">
        <v>2.38</v>
      </c>
      <c r="T4699">
        <v>0.71</v>
      </c>
      <c r="U4699">
        <v>-0.92</v>
      </c>
      <c r="V4699">
        <v>-1393</v>
      </c>
      <c r="W4699">
        <v>1.26</v>
      </c>
      <c r="X4699" t="s">
        <v>3827</v>
      </c>
      <c r="Y4699" t="s">
        <v>5843</v>
      </c>
      <c r="Z4699">
        <v>0.92</v>
      </c>
      <c r="AA4699" t="s">
        <v>4733</v>
      </c>
      <c r="AB4699">
        <v>5213</v>
      </c>
      <c r="AC4699">
        <v>0.26</v>
      </c>
      <c r="AD4699" t="s">
        <v>3571</v>
      </c>
      <c r="AE4699" t="s">
        <v>8506</v>
      </c>
      <c r="AF4699" t="s">
        <v>3571</v>
      </c>
      <c r="AG4699" t="s">
        <v>8506</v>
      </c>
      <c r="AH4699">
        <v>-0.79</v>
      </c>
      <c r="AI4699">
        <v>-3.08</v>
      </c>
      <c r="AJ4699">
        <v>1.22</v>
      </c>
      <c r="AK4699">
        <v>3.6</v>
      </c>
      <c r="AL4699">
        <v>0</v>
      </c>
      <c r="AM4699">
        <v>0</v>
      </c>
      <c r="AN4699">
        <v>-46.61</v>
      </c>
      <c r="AO4699">
        <v>-0.79</v>
      </c>
      <c r="AP4699">
        <v>-50.2</v>
      </c>
    </row>
    <row r="4700" spans="1:42">
      <c r="A4700">
        <v>4699</v>
      </c>
      <c r="B4700" t="str">
        <f>"002923"</f>
        <v>002923</v>
      </c>
      <c r="C4700" t="s">
        <v>21543</v>
      </c>
      <c r="D4700">
        <v>13.62</v>
      </c>
      <c r="E4700">
        <v>-0.29</v>
      </c>
      <c r="F4700">
        <v>-0.04</v>
      </c>
      <c r="G4700" t="s">
        <v>5951</v>
      </c>
      <c r="H4700">
        <v>133</v>
      </c>
      <c r="I4700">
        <v>13.62</v>
      </c>
      <c r="J4700">
        <v>13.63</v>
      </c>
      <c r="K4700" t="s">
        <v>21544</v>
      </c>
      <c r="L4700">
        <v>0.6</v>
      </c>
      <c r="M4700" t="s">
        <v>46</v>
      </c>
      <c r="N4700" t="s">
        <v>13019</v>
      </c>
      <c r="O4700">
        <v>13.71</v>
      </c>
      <c r="P4700">
        <v>13.52</v>
      </c>
      <c r="Q4700">
        <v>13.61</v>
      </c>
      <c r="R4700">
        <v>13.66</v>
      </c>
      <c r="S4700">
        <v>1.39</v>
      </c>
      <c r="T4700">
        <v>0.63</v>
      </c>
      <c r="U4700">
        <v>-95.03</v>
      </c>
      <c r="V4700">
        <v>-3861</v>
      </c>
      <c r="W4700">
        <v>13.59</v>
      </c>
      <c r="X4700">
        <v>8122</v>
      </c>
      <c r="Y4700">
        <v>7339</v>
      </c>
      <c r="Z4700">
        <v>1.11</v>
      </c>
      <c r="AA4700">
        <v>8</v>
      </c>
      <c r="AB4700">
        <v>141</v>
      </c>
      <c r="AC4700">
        <v>3.87</v>
      </c>
      <c r="AD4700" t="s">
        <v>21545</v>
      </c>
      <c r="AE4700" t="s">
        <v>13276</v>
      </c>
      <c r="AF4700" t="s">
        <v>21546</v>
      </c>
      <c r="AG4700" t="s">
        <v>21547</v>
      </c>
      <c r="AH4700">
        <v>-1.52</v>
      </c>
      <c r="AI4700">
        <v>-2.37</v>
      </c>
      <c r="AJ4700">
        <v>2.2</v>
      </c>
      <c r="AK4700">
        <v>5.34</v>
      </c>
      <c r="AL4700">
        <v>-1</v>
      </c>
      <c r="AM4700">
        <v>-0.29</v>
      </c>
      <c r="AN4700">
        <v>11.18</v>
      </c>
      <c r="AO4700">
        <v>1.34</v>
      </c>
      <c r="AP4700">
        <v>7.58</v>
      </c>
    </row>
    <row r="4701" spans="1:42">
      <c r="A4701">
        <v>4700</v>
      </c>
      <c r="B4701" t="str">
        <f>"688737"</f>
        <v>688737</v>
      </c>
      <c r="C4701" t="s">
        <v>21548</v>
      </c>
      <c r="D4701">
        <v>35.01</v>
      </c>
      <c r="E4701">
        <v>-1.3</v>
      </c>
      <c r="F4701">
        <v>-0.46</v>
      </c>
      <c r="G4701">
        <v>5962</v>
      </c>
      <c r="H4701">
        <v>29</v>
      </c>
      <c r="I4701">
        <v>34.92</v>
      </c>
      <c r="J4701">
        <v>35.01</v>
      </c>
      <c r="K4701" t="s">
        <v>21549</v>
      </c>
      <c r="L4701">
        <v>0.84</v>
      </c>
      <c r="M4701" t="s">
        <v>46</v>
      </c>
      <c r="N4701" t="s">
        <v>1645</v>
      </c>
      <c r="O4701">
        <v>35.88</v>
      </c>
      <c r="P4701">
        <v>34.71</v>
      </c>
      <c r="Q4701">
        <v>35.57</v>
      </c>
      <c r="R4701">
        <v>35.47</v>
      </c>
      <c r="S4701">
        <v>3.3</v>
      </c>
      <c r="T4701">
        <v>0.74</v>
      </c>
      <c r="U4701">
        <v>-65.16</v>
      </c>
      <c r="V4701">
        <v>-172</v>
      </c>
      <c r="W4701">
        <v>35.2</v>
      </c>
      <c r="X4701">
        <v>2323</v>
      </c>
      <c r="Y4701">
        <v>3639</v>
      </c>
      <c r="Z4701">
        <v>0.64</v>
      </c>
      <c r="AA4701">
        <v>5</v>
      </c>
      <c r="AB4701">
        <v>166</v>
      </c>
      <c r="AC4701">
        <v>2.24</v>
      </c>
      <c r="AD4701" t="s">
        <v>12271</v>
      </c>
      <c r="AE4701" t="s">
        <v>20759</v>
      </c>
      <c r="AF4701" t="s">
        <v>13402</v>
      </c>
      <c r="AG4701" t="s">
        <v>7296</v>
      </c>
      <c r="AH4701">
        <v>-2.07</v>
      </c>
      <c r="AI4701">
        <v>-4</v>
      </c>
      <c r="AJ4701">
        <v>2.23</v>
      </c>
      <c r="AK4701">
        <v>6.52</v>
      </c>
      <c r="AL4701">
        <v>-3</v>
      </c>
      <c r="AM4701">
        <v>-1.3</v>
      </c>
      <c r="AN4701">
        <v>29.62</v>
      </c>
      <c r="AO4701">
        <v>0.49</v>
      </c>
      <c r="AP4701">
        <v>40.04</v>
      </c>
    </row>
    <row r="4702" spans="1:42">
      <c r="A4702">
        <v>4701</v>
      </c>
      <c r="B4702" t="str">
        <f>"002862"</f>
        <v>002862</v>
      </c>
      <c r="C4702" t="s">
        <v>21550</v>
      </c>
      <c r="D4702">
        <v>16.7</v>
      </c>
      <c r="E4702">
        <v>0.24</v>
      </c>
      <c r="F4702">
        <v>0.04</v>
      </c>
      <c r="G4702" t="s">
        <v>2547</v>
      </c>
      <c r="H4702">
        <v>154</v>
      </c>
      <c r="I4702">
        <v>16.69</v>
      </c>
      <c r="J4702">
        <v>16.7</v>
      </c>
      <c r="K4702" t="s">
        <v>21551</v>
      </c>
      <c r="L4702">
        <v>1.39</v>
      </c>
      <c r="M4702" t="s">
        <v>46</v>
      </c>
      <c r="N4702" t="s">
        <v>6364</v>
      </c>
      <c r="O4702">
        <v>16.86</v>
      </c>
      <c r="P4702">
        <v>16.63</v>
      </c>
      <c r="Q4702">
        <v>16.67</v>
      </c>
      <c r="R4702">
        <v>16.66</v>
      </c>
      <c r="S4702">
        <v>1.38</v>
      </c>
      <c r="T4702">
        <v>1.04</v>
      </c>
      <c r="U4702">
        <v>72.07</v>
      </c>
      <c r="V4702">
        <v>387</v>
      </c>
      <c r="W4702">
        <v>16.75</v>
      </c>
      <c r="X4702">
        <v>6144</v>
      </c>
      <c r="Y4702">
        <v>6377</v>
      </c>
      <c r="Z4702">
        <v>0.96</v>
      </c>
      <c r="AA4702">
        <v>23</v>
      </c>
      <c r="AB4702">
        <v>53</v>
      </c>
      <c r="AC4702">
        <v>4.32</v>
      </c>
      <c r="AD4702" t="s">
        <v>5210</v>
      </c>
      <c r="AE4702" t="s">
        <v>8153</v>
      </c>
      <c r="AF4702" t="s">
        <v>11664</v>
      </c>
      <c r="AG4702" t="s">
        <v>2925</v>
      </c>
      <c r="AH4702">
        <v>-0.18</v>
      </c>
      <c r="AI4702">
        <v>-1.18</v>
      </c>
      <c r="AJ4702">
        <v>4.37</v>
      </c>
      <c r="AK4702">
        <v>8.06</v>
      </c>
      <c r="AL4702">
        <v>1</v>
      </c>
      <c r="AM4702">
        <v>0.24</v>
      </c>
      <c r="AN4702">
        <v>13.84</v>
      </c>
      <c r="AO4702">
        <v>2.83</v>
      </c>
      <c r="AP4702">
        <v>7.88</v>
      </c>
    </row>
    <row r="4703" spans="1:42">
      <c r="A4703">
        <v>4702</v>
      </c>
      <c r="B4703" t="str">
        <f>"688265"</f>
        <v>688265</v>
      </c>
      <c r="C4703" t="s">
        <v>21552</v>
      </c>
      <c r="D4703">
        <v>41.24</v>
      </c>
      <c r="E4703">
        <v>0.98</v>
      </c>
      <c r="F4703">
        <v>0.4</v>
      </c>
      <c r="G4703">
        <v>5108</v>
      </c>
      <c r="H4703">
        <v>18</v>
      </c>
      <c r="I4703">
        <v>41.24</v>
      </c>
      <c r="J4703">
        <v>41.28</v>
      </c>
      <c r="K4703" t="s">
        <v>21551</v>
      </c>
      <c r="L4703">
        <v>1.05</v>
      </c>
      <c r="M4703" t="s">
        <v>46</v>
      </c>
      <c r="N4703" t="s">
        <v>5418</v>
      </c>
      <c r="O4703">
        <v>41.68</v>
      </c>
      <c r="P4703">
        <v>40.5</v>
      </c>
      <c r="Q4703">
        <v>40.55</v>
      </c>
      <c r="R4703">
        <v>40.84</v>
      </c>
      <c r="S4703">
        <v>2.89</v>
      </c>
      <c r="T4703">
        <v>0.9</v>
      </c>
      <c r="U4703">
        <v>-16.99</v>
      </c>
      <c r="V4703">
        <v>-12</v>
      </c>
      <c r="W4703">
        <v>41.05</v>
      </c>
      <c r="X4703">
        <v>2729</v>
      </c>
      <c r="Y4703">
        <v>2379</v>
      </c>
      <c r="Z4703">
        <v>1.15</v>
      </c>
      <c r="AA4703">
        <v>2</v>
      </c>
      <c r="AB4703">
        <v>9</v>
      </c>
      <c r="AC4703">
        <v>1.83</v>
      </c>
      <c r="AD4703" t="s">
        <v>12711</v>
      </c>
      <c r="AE4703" t="s">
        <v>21553</v>
      </c>
      <c r="AF4703" t="s">
        <v>21554</v>
      </c>
      <c r="AG4703" t="s">
        <v>21555</v>
      </c>
      <c r="AH4703">
        <v>0.73</v>
      </c>
      <c r="AI4703">
        <v>0.19</v>
      </c>
      <c r="AJ4703">
        <v>3.06</v>
      </c>
      <c r="AK4703">
        <v>6.84</v>
      </c>
      <c r="AL4703">
        <v>2</v>
      </c>
      <c r="AM4703">
        <v>0.98</v>
      </c>
      <c r="AN4703">
        <v>-15.84</v>
      </c>
      <c r="AO4703">
        <v>6.12</v>
      </c>
      <c r="AP4703">
        <v>-16.52</v>
      </c>
    </row>
    <row r="4704" spans="1:42">
      <c r="A4704">
        <v>4703</v>
      </c>
      <c r="B4704" t="str">
        <f>"688655"</f>
        <v>688655</v>
      </c>
      <c r="C4704" t="s">
        <v>21556</v>
      </c>
      <c r="D4704">
        <v>15.09</v>
      </c>
      <c r="E4704">
        <v>0.2</v>
      </c>
      <c r="F4704">
        <v>0.03</v>
      </c>
      <c r="G4704" t="s">
        <v>5446</v>
      </c>
      <c r="H4704">
        <v>116</v>
      </c>
      <c r="I4704">
        <v>15.07</v>
      </c>
      <c r="J4704">
        <v>15.09</v>
      </c>
      <c r="K4704" t="s">
        <v>21557</v>
      </c>
      <c r="L4704">
        <v>1.98</v>
      </c>
      <c r="M4704" t="s">
        <v>46</v>
      </c>
      <c r="N4704" t="s">
        <v>11532</v>
      </c>
      <c r="O4704">
        <v>15.22</v>
      </c>
      <c r="P4704">
        <v>14.87</v>
      </c>
      <c r="Q4704">
        <v>15.1</v>
      </c>
      <c r="R4704">
        <v>15.06</v>
      </c>
      <c r="S4704">
        <v>2.32</v>
      </c>
      <c r="T4704">
        <v>0.69</v>
      </c>
      <c r="U4704">
        <v>10.28</v>
      </c>
      <c r="V4704">
        <v>41</v>
      </c>
      <c r="W4704">
        <v>15</v>
      </c>
      <c r="X4704">
        <v>6717</v>
      </c>
      <c r="Y4704">
        <v>7255</v>
      </c>
      <c r="Z4704">
        <v>0.93</v>
      </c>
      <c r="AA4704">
        <v>2</v>
      </c>
      <c r="AB4704">
        <v>1</v>
      </c>
      <c r="AC4704">
        <v>2.91</v>
      </c>
      <c r="AD4704" t="s">
        <v>8088</v>
      </c>
      <c r="AE4704" t="s">
        <v>6411</v>
      </c>
      <c r="AF4704" t="s">
        <v>13451</v>
      </c>
      <c r="AG4704" t="s">
        <v>9677</v>
      </c>
      <c r="AH4704">
        <v>-2.08</v>
      </c>
      <c r="AI4704">
        <v>-1.31</v>
      </c>
      <c r="AJ4704">
        <v>7.15</v>
      </c>
      <c r="AK4704">
        <v>16.4</v>
      </c>
      <c r="AL4704">
        <v>1</v>
      </c>
      <c r="AM4704">
        <v>0.2</v>
      </c>
      <c r="AN4704">
        <v>32.6</v>
      </c>
      <c r="AO4704">
        <v>2.17</v>
      </c>
      <c r="AP4704">
        <v>19.67</v>
      </c>
    </row>
    <row r="4705" spans="1:42">
      <c r="A4705">
        <v>4704</v>
      </c>
      <c r="B4705" t="str">
        <f>"605488"</f>
        <v>605488</v>
      </c>
      <c r="C4705" t="s">
        <v>21558</v>
      </c>
      <c r="D4705">
        <v>15.21</v>
      </c>
      <c r="E4705">
        <v>-1.55</v>
      </c>
      <c r="F4705">
        <v>-0.24</v>
      </c>
      <c r="G4705" t="s">
        <v>3284</v>
      </c>
      <c r="H4705">
        <v>105</v>
      </c>
      <c r="I4705">
        <v>15.2</v>
      </c>
      <c r="J4705">
        <v>15.21</v>
      </c>
      <c r="K4705" t="s">
        <v>21559</v>
      </c>
      <c r="L4705">
        <v>3.14</v>
      </c>
      <c r="M4705" t="s">
        <v>46</v>
      </c>
      <c r="N4705" t="s">
        <v>7188</v>
      </c>
      <c r="O4705">
        <v>15.48</v>
      </c>
      <c r="P4705">
        <v>15.2</v>
      </c>
      <c r="Q4705">
        <v>15.39</v>
      </c>
      <c r="R4705">
        <v>15.45</v>
      </c>
      <c r="S4705">
        <v>1.81</v>
      </c>
      <c r="T4705">
        <v>0.94</v>
      </c>
      <c r="U4705">
        <v>14.83</v>
      </c>
      <c r="V4705">
        <v>85</v>
      </c>
      <c r="W4705">
        <v>15.3</v>
      </c>
      <c r="X4705">
        <v>8526</v>
      </c>
      <c r="Y4705">
        <v>5156</v>
      </c>
      <c r="Z4705">
        <v>1.65</v>
      </c>
      <c r="AA4705">
        <v>210</v>
      </c>
      <c r="AB4705">
        <v>39</v>
      </c>
      <c r="AC4705">
        <v>2.54</v>
      </c>
      <c r="AD4705" t="s">
        <v>19671</v>
      </c>
      <c r="AE4705" t="s">
        <v>21560</v>
      </c>
      <c r="AF4705" t="s">
        <v>21561</v>
      </c>
      <c r="AG4705" t="s">
        <v>16657</v>
      </c>
      <c r="AH4705">
        <v>-3.37</v>
      </c>
      <c r="AI4705">
        <v>-2.19</v>
      </c>
      <c r="AJ4705">
        <v>9.14</v>
      </c>
      <c r="AK4705">
        <v>19.92</v>
      </c>
      <c r="AL4705">
        <v>-3</v>
      </c>
      <c r="AM4705">
        <v>-1.55</v>
      </c>
      <c r="AN4705">
        <v>15.58</v>
      </c>
      <c r="AO4705">
        <v>2.15</v>
      </c>
      <c r="AP4705">
        <v>6.44</v>
      </c>
    </row>
    <row r="4706" spans="1:42">
      <c r="A4706">
        <v>4705</v>
      </c>
      <c r="B4706" t="str">
        <f>"831370"</f>
        <v>831370</v>
      </c>
      <c r="C4706" t="s">
        <v>21562</v>
      </c>
      <c r="D4706">
        <v>2.95</v>
      </c>
      <c r="E4706">
        <v>-4.53</v>
      </c>
      <c r="F4706">
        <v>-0.14</v>
      </c>
      <c r="G4706" t="s">
        <v>5980</v>
      </c>
      <c r="H4706">
        <v>626</v>
      </c>
      <c r="I4706">
        <v>2.95</v>
      </c>
      <c r="J4706">
        <v>2.96</v>
      </c>
      <c r="K4706" t="s">
        <v>21559</v>
      </c>
      <c r="L4706">
        <v>2.58</v>
      </c>
      <c r="M4706" t="s">
        <v>46</v>
      </c>
      <c r="N4706" t="s">
        <v>3303</v>
      </c>
      <c r="O4706">
        <v>3.17</v>
      </c>
      <c r="P4706">
        <v>2.93</v>
      </c>
      <c r="Q4706">
        <v>3.1</v>
      </c>
      <c r="R4706">
        <v>3.09</v>
      </c>
      <c r="S4706">
        <v>7.77</v>
      </c>
      <c r="T4706">
        <v>0.37</v>
      </c>
      <c r="U4706">
        <v>-10.04</v>
      </c>
      <c r="V4706">
        <v>-426</v>
      </c>
      <c r="W4706">
        <v>3.03</v>
      </c>
      <c r="X4706" t="s">
        <v>6203</v>
      </c>
      <c r="Y4706" t="s">
        <v>5592</v>
      </c>
      <c r="Z4706">
        <v>2.29</v>
      </c>
      <c r="AA4706">
        <v>436</v>
      </c>
      <c r="AB4706">
        <v>744</v>
      </c>
      <c r="AC4706">
        <v>1.25</v>
      </c>
      <c r="AD4706" t="s">
        <v>16376</v>
      </c>
      <c r="AE4706" t="s">
        <v>21563</v>
      </c>
      <c r="AF4706" t="s">
        <v>5297</v>
      </c>
      <c r="AG4706" t="s">
        <v>21564</v>
      </c>
      <c r="AH4706">
        <v>-18.28</v>
      </c>
      <c r="AI4706">
        <v>3.87</v>
      </c>
      <c r="AJ4706">
        <v>11.59</v>
      </c>
      <c r="AK4706">
        <v>37.87</v>
      </c>
      <c r="AL4706">
        <v>-4</v>
      </c>
      <c r="AM4706">
        <v>-4.53</v>
      </c>
      <c r="AN4706">
        <v>1.37</v>
      </c>
      <c r="AO4706">
        <v>28.82</v>
      </c>
      <c r="AP4706">
        <v>-1.67</v>
      </c>
    </row>
    <row r="4707" spans="1:42">
      <c r="A4707">
        <v>4706</v>
      </c>
      <c r="B4707" t="str">
        <f>"301226"</f>
        <v>301226</v>
      </c>
      <c r="C4707" t="s">
        <v>21565</v>
      </c>
      <c r="D4707">
        <v>23.27</v>
      </c>
      <c r="E4707">
        <v>-0.77</v>
      </c>
      <c r="F4707">
        <v>-0.18</v>
      </c>
      <c r="G4707">
        <v>9020</v>
      </c>
      <c r="H4707">
        <v>95</v>
      </c>
      <c r="I4707">
        <v>23.27</v>
      </c>
      <c r="J4707">
        <v>23.28</v>
      </c>
      <c r="K4707" t="s">
        <v>21566</v>
      </c>
      <c r="L4707">
        <v>1.84</v>
      </c>
      <c r="M4707" t="s">
        <v>46</v>
      </c>
      <c r="N4707" t="s">
        <v>3083</v>
      </c>
      <c r="O4707">
        <v>23.49</v>
      </c>
      <c r="P4707">
        <v>23.02</v>
      </c>
      <c r="Q4707">
        <v>23.48</v>
      </c>
      <c r="R4707">
        <v>23.45</v>
      </c>
      <c r="S4707">
        <v>2</v>
      </c>
      <c r="T4707">
        <v>0.83</v>
      </c>
      <c r="U4707">
        <v>18.25</v>
      </c>
      <c r="V4707">
        <v>92</v>
      </c>
      <c r="W4707">
        <v>23.19</v>
      </c>
      <c r="X4707">
        <v>4709</v>
      </c>
      <c r="Y4707">
        <v>4311</v>
      </c>
      <c r="Z4707">
        <v>1.09</v>
      </c>
      <c r="AA4707">
        <v>2</v>
      </c>
      <c r="AB4707">
        <v>48</v>
      </c>
      <c r="AC4707">
        <v>2.8</v>
      </c>
      <c r="AD4707" t="s">
        <v>5747</v>
      </c>
      <c r="AE4707" t="s">
        <v>14561</v>
      </c>
      <c r="AF4707" t="s">
        <v>21567</v>
      </c>
      <c r="AG4707" t="s">
        <v>16644</v>
      </c>
      <c r="AH4707">
        <v>-2.88</v>
      </c>
      <c r="AI4707">
        <v>-1.77</v>
      </c>
      <c r="AJ4707">
        <v>6.16</v>
      </c>
      <c r="AK4707">
        <v>12.88</v>
      </c>
      <c r="AL4707">
        <v>-2</v>
      </c>
      <c r="AM4707">
        <v>-0.77</v>
      </c>
      <c r="AN4707">
        <v>31.84</v>
      </c>
      <c r="AO4707">
        <v>1.88</v>
      </c>
      <c r="AP4707">
        <v>20.01</v>
      </c>
    </row>
    <row r="4708" spans="1:42">
      <c r="A4708">
        <v>4707</v>
      </c>
      <c r="B4708" t="str">
        <f>"300920"</f>
        <v>300920</v>
      </c>
      <c r="C4708" t="s">
        <v>21568</v>
      </c>
      <c r="D4708">
        <v>21.31</v>
      </c>
      <c r="E4708">
        <v>-0.84</v>
      </c>
      <c r="F4708">
        <v>-0.18</v>
      </c>
      <c r="G4708">
        <v>9777</v>
      </c>
      <c r="H4708">
        <v>114</v>
      </c>
      <c r="I4708">
        <v>21.31</v>
      </c>
      <c r="J4708">
        <v>21.32</v>
      </c>
      <c r="K4708" t="s">
        <v>21569</v>
      </c>
      <c r="L4708">
        <v>1.96</v>
      </c>
      <c r="M4708" t="s">
        <v>46</v>
      </c>
      <c r="N4708" t="s">
        <v>5949</v>
      </c>
      <c r="O4708">
        <v>21.63</v>
      </c>
      <c r="P4708">
        <v>21.23</v>
      </c>
      <c r="Q4708">
        <v>21.49</v>
      </c>
      <c r="R4708">
        <v>21.49</v>
      </c>
      <c r="S4708">
        <v>1.86</v>
      </c>
      <c r="T4708">
        <v>0.77</v>
      </c>
      <c r="U4708">
        <v>-42.66</v>
      </c>
      <c r="V4708">
        <v>-186</v>
      </c>
      <c r="W4708">
        <v>21.37</v>
      </c>
      <c r="X4708">
        <v>5190</v>
      </c>
      <c r="Y4708">
        <v>4587</v>
      </c>
      <c r="Z4708">
        <v>1.13</v>
      </c>
      <c r="AA4708">
        <v>4</v>
      </c>
      <c r="AB4708">
        <v>18</v>
      </c>
      <c r="AC4708">
        <v>1.84</v>
      </c>
      <c r="AD4708" t="s">
        <v>5976</v>
      </c>
      <c r="AE4708" t="s">
        <v>12404</v>
      </c>
      <c r="AF4708" t="s">
        <v>16109</v>
      </c>
      <c r="AG4708" t="s">
        <v>1029</v>
      </c>
      <c r="AH4708">
        <v>-3.79</v>
      </c>
      <c r="AI4708">
        <v>-1.84</v>
      </c>
      <c r="AJ4708">
        <v>7.19</v>
      </c>
      <c r="AK4708">
        <v>14.72</v>
      </c>
      <c r="AL4708">
        <v>-3</v>
      </c>
      <c r="AM4708">
        <v>-0.84</v>
      </c>
      <c r="AN4708">
        <v>37.22</v>
      </c>
      <c r="AO4708">
        <v>3.65</v>
      </c>
      <c r="AP4708">
        <v>22.61</v>
      </c>
    </row>
    <row r="4709" spans="1:42">
      <c r="A4709">
        <v>4708</v>
      </c>
      <c r="B4709" t="str">
        <f>"300437"</f>
        <v>300437</v>
      </c>
      <c r="C4709" t="s">
        <v>21570</v>
      </c>
      <c r="D4709">
        <v>12.54</v>
      </c>
      <c r="E4709">
        <v>0.64</v>
      </c>
      <c r="F4709">
        <v>0.08</v>
      </c>
      <c r="G4709" t="s">
        <v>1112</v>
      </c>
      <c r="H4709">
        <v>294</v>
      </c>
      <c r="I4709">
        <v>12.54</v>
      </c>
      <c r="J4709">
        <v>12.55</v>
      </c>
      <c r="K4709" t="s">
        <v>21571</v>
      </c>
      <c r="L4709">
        <v>0.94</v>
      </c>
      <c r="M4709" t="s">
        <v>46</v>
      </c>
      <c r="N4709" t="s">
        <v>8428</v>
      </c>
      <c r="O4709">
        <v>12.63</v>
      </c>
      <c r="P4709">
        <v>12.43</v>
      </c>
      <c r="Q4709">
        <v>12.51</v>
      </c>
      <c r="R4709">
        <v>12.46</v>
      </c>
      <c r="S4709">
        <v>1.61</v>
      </c>
      <c r="T4709">
        <v>0.81</v>
      </c>
      <c r="U4709">
        <v>-22.51</v>
      </c>
      <c r="V4709">
        <v>-154</v>
      </c>
      <c r="W4709">
        <v>12.52</v>
      </c>
      <c r="X4709">
        <v>8054</v>
      </c>
      <c r="Y4709">
        <v>8616</v>
      </c>
      <c r="Z4709">
        <v>0.93</v>
      </c>
      <c r="AA4709">
        <v>50</v>
      </c>
      <c r="AB4709">
        <v>61</v>
      </c>
      <c r="AC4709">
        <v>2.03</v>
      </c>
      <c r="AD4709" t="s">
        <v>2688</v>
      </c>
      <c r="AE4709" t="s">
        <v>18950</v>
      </c>
      <c r="AF4709" t="s">
        <v>21572</v>
      </c>
      <c r="AG4709" t="s">
        <v>21573</v>
      </c>
      <c r="AH4709">
        <v>-2.56</v>
      </c>
      <c r="AI4709">
        <v>-3.24</v>
      </c>
      <c r="AJ4709">
        <v>3.29</v>
      </c>
      <c r="AK4709">
        <v>6.76</v>
      </c>
      <c r="AL4709">
        <v>1</v>
      </c>
      <c r="AM4709">
        <v>0.64</v>
      </c>
      <c r="AN4709">
        <v>-27.09</v>
      </c>
      <c r="AO4709">
        <v>-0.63</v>
      </c>
      <c r="AP4709">
        <v>-37.89</v>
      </c>
    </row>
    <row r="4710" spans="1:42">
      <c r="A4710">
        <v>4709</v>
      </c>
      <c r="B4710" t="str">
        <f>"301138"</f>
        <v>301138</v>
      </c>
      <c r="C4710" t="s">
        <v>21574</v>
      </c>
      <c r="D4710">
        <v>29.82</v>
      </c>
      <c r="E4710">
        <v>0.85</v>
      </c>
      <c r="F4710">
        <v>0.25</v>
      </c>
      <c r="G4710">
        <v>7046</v>
      </c>
      <c r="H4710">
        <v>49</v>
      </c>
      <c r="I4710">
        <v>29.81</v>
      </c>
      <c r="J4710">
        <v>29.82</v>
      </c>
      <c r="K4710" t="s">
        <v>11048</v>
      </c>
      <c r="L4710">
        <v>2.35</v>
      </c>
      <c r="M4710" t="s">
        <v>46</v>
      </c>
      <c r="N4710" t="s">
        <v>4563</v>
      </c>
      <c r="O4710">
        <v>30</v>
      </c>
      <c r="P4710">
        <v>29.26</v>
      </c>
      <c r="Q4710">
        <v>29.58</v>
      </c>
      <c r="R4710">
        <v>29.57</v>
      </c>
      <c r="S4710">
        <v>2.5</v>
      </c>
      <c r="T4710">
        <v>1</v>
      </c>
      <c r="U4710">
        <v>12.03</v>
      </c>
      <c r="V4710">
        <v>35</v>
      </c>
      <c r="W4710">
        <v>29.61</v>
      </c>
      <c r="X4710">
        <v>3050</v>
      </c>
      <c r="Y4710">
        <v>3996</v>
      </c>
      <c r="Z4710">
        <v>0.76</v>
      </c>
      <c r="AA4710">
        <v>30</v>
      </c>
      <c r="AB4710">
        <v>18</v>
      </c>
      <c r="AC4710">
        <v>3.41</v>
      </c>
      <c r="AD4710" t="s">
        <v>5210</v>
      </c>
      <c r="AE4710" t="s">
        <v>21575</v>
      </c>
      <c r="AF4710" t="s">
        <v>7769</v>
      </c>
      <c r="AG4710" t="s">
        <v>21576</v>
      </c>
      <c r="AH4710">
        <v>-1.26</v>
      </c>
      <c r="AI4710">
        <v>-1.23</v>
      </c>
      <c r="AJ4710">
        <v>6.57</v>
      </c>
      <c r="AK4710">
        <v>14.1</v>
      </c>
      <c r="AL4710">
        <v>1</v>
      </c>
      <c r="AM4710">
        <v>0.85</v>
      </c>
      <c r="AN4710">
        <v>30.96</v>
      </c>
      <c r="AO4710">
        <v>3.54</v>
      </c>
      <c r="AP4710">
        <v>12.27</v>
      </c>
    </row>
    <row r="4711" spans="1:42">
      <c r="A4711">
        <v>4710</v>
      </c>
      <c r="B4711" t="str">
        <f>"605566"</f>
        <v>605566</v>
      </c>
      <c r="C4711" t="s">
        <v>21577</v>
      </c>
      <c r="D4711">
        <v>22.71</v>
      </c>
      <c r="E4711">
        <v>-2.07</v>
      </c>
      <c r="F4711">
        <v>-0.48</v>
      </c>
      <c r="G4711">
        <v>9113</v>
      </c>
      <c r="H4711">
        <v>35</v>
      </c>
      <c r="I4711">
        <v>22.71</v>
      </c>
      <c r="J4711">
        <v>22.76</v>
      </c>
      <c r="K4711" t="s">
        <v>18793</v>
      </c>
      <c r="L4711">
        <v>1.46</v>
      </c>
      <c r="M4711" t="s">
        <v>46</v>
      </c>
      <c r="N4711" t="s">
        <v>2018</v>
      </c>
      <c r="O4711">
        <v>23.38</v>
      </c>
      <c r="P4711">
        <v>22.66</v>
      </c>
      <c r="Q4711">
        <v>23.36</v>
      </c>
      <c r="R4711">
        <v>23.19</v>
      </c>
      <c r="S4711">
        <v>3.1</v>
      </c>
      <c r="T4711">
        <v>1.33</v>
      </c>
      <c r="U4711">
        <v>35.85</v>
      </c>
      <c r="V4711">
        <v>38</v>
      </c>
      <c r="W4711">
        <v>22.88</v>
      </c>
      <c r="X4711">
        <v>5000</v>
      </c>
      <c r="Y4711">
        <v>4113</v>
      </c>
      <c r="Z4711">
        <v>1.22</v>
      </c>
      <c r="AA4711">
        <v>14</v>
      </c>
      <c r="AB4711">
        <v>4</v>
      </c>
      <c r="AC4711">
        <v>1.49</v>
      </c>
      <c r="AD4711" t="s">
        <v>9334</v>
      </c>
      <c r="AE4711" t="s">
        <v>7854</v>
      </c>
      <c r="AF4711" t="s">
        <v>14439</v>
      </c>
      <c r="AG4711" t="s">
        <v>1741</v>
      </c>
      <c r="AH4711">
        <v>-2.62</v>
      </c>
      <c r="AI4711">
        <v>-3.16</v>
      </c>
      <c r="AJ4711">
        <v>3.67</v>
      </c>
      <c r="AK4711">
        <v>6.95</v>
      </c>
      <c r="AL4711">
        <v>-2</v>
      </c>
      <c r="AM4711">
        <v>-2.07</v>
      </c>
      <c r="AN4711">
        <v>-0.57</v>
      </c>
      <c r="AO4711">
        <v>5.97</v>
      </c>
      <c r="AP4711">
        <v>-8.57</v>
      </c>
    </row>
    <row r="4712" spans="1:42">
      <c r="A4712">
        <v>4711</v>
      </c>
      <c r="B4712" t="str">
        <f>"688026"</f>
        <v>688026</v>
      </c>
      <c r="C4712" t="s">
        <v>21578</v>
      </c>
      <c r="D4712">
        <v>18.21</v>
      </c>
      <c r="E4712">
        <v>-1.83</v>
      </c>
      <c r="F4712">
        <v>-0.34</v>
      </c>
      <c r="G4712" t="s">
        <v>2667</v>
      </c>
      <c r="H4712">
        <v>257</v>
      </c>
      <c r="I4712">
        <v>18.21</v>
      </c>
      <c r="J4712">
        <v>18.24</v>
      </c>
      <c r="K4712" t="s">
        <v>21579</v>
      </c>
      <c r="L4712">
        <v>0.81</v>
      </c>
      <c r="M4712" t="s">
        <v>46</v>
      </c>
      <c r="N4712" t="s">
        <v>4344</v>
      </c>
      <c r="O4712">
        <v>18.62</v>
      </c>
      <c r="P4712">
        <v>18.16</v>
      </c>
      <c r="Q4712">
        <v>18.54</v>
      </c>
      <c r="R4712">
        <v>18.55</v>
      </c>
      <c r="S4712">
        <v>2.48</v>
      </c>
      <c r="T4712">
        <v>0.99</v>
      </c>
      <c r="U4712">
        <v>11.27</v>
      </c>
      <c r="V4712">
        <v>46</v>
      </c>
      <c r="W4712">
        <v>18.3</v>
      </c>
      <c r="X4712">
        <v>5596</v>
      </c>
      <c r="Y4712">
        <v>5777</v>
      </c>
      <c r="Z4712">
        <v>0.97</v>
      </c>
      <c r="AA4712">
        <v>25</v>
      </c>
      <c r="AB4712">
        <v>8</v>
      </c>
      <c r="AC4712">
        <v>2.52</v>
      </c>
      <c r="AD4712" t="s">
        <v>12199</v>
      </c>
      <c r="AE4712" t="s">
        <v>12748</v>
      </c>
      <c r="AF4712" t="s">
        <v>21580</v>
      </c>
      <c r="AG4712" t="s">
        <v>19314</v>
      </c>
      <c r="AH4712">
        <v>-2.83</v>
      </c>
      <c r="AI4712">
        <v>-2.62</v>
      </c>
      <c r="AJ4712">
        <v>2.42</v>
      </c>
      <c r="AK4712">
        <v>4.92</v>
      </c>
      <c r="AL4712">
        <v>-1</v>
      </c>
      <c r="AM4712">
        <v>-1.83</v>
      </c>
      <c r="AN4712">
        <v>-24.09</v>
      </c>
      <c r="AO4712">
        <v>2.02</v>
      </c>
      <c r="AP4712">
        <v>-37.98</v>
      </c>
    </row>
    <row r="4713" spans="1:42">
      <c r="A4713">
        <v>4712</v>
      </c>
      <c r="B4713" t="str">
        <f>"301288"</f>
        <v>301288</v>
      </c>
      <c r="C4713" t="s">
        <v>21581</v>
      </c>
      <c r="D4713">
        <v>19.81</v>
      </c>
      <c r="E4713">
        <v>-0.2</v>
      </c>
      <c r="F4713">
        <v>-0.04</v>
      </c>
      <c r="G4713" t="s">
        <v>1400</v>
      </c>
      <c r="H4713">
        <v>303</v>
      </c>
      <c r="I4713">
        <v>19.81</v>
      </c>
      <c r="J4713">
        <v>19.82</v>
      </c>
      <c r="K4713" t="s">
        <v>21582</v>
      </c>
      <c r="L4713">
        <v>2.23</v>
      </c>
      <c r="M4713" t="s">
        <v>46</v>
      </c>
      <c r="N4713" t="s">
        <v>21583</v>
      </c>
      <c r="O4713">
        <v>19.91</v>
      </c>
      <c r="P4713">
        <v>19.66</v>
      </c>
      <c r="Q4713">
        <v>19.85</v>
      </c>
      <c r="R4713">
        <v>19.85</v>
      </c>
      <c r="S4713">
        <v>1.26</v>
      </c>
      <c r="T4713">
        <v>1.03</v>
      </c>
      <c r="U4713">
        <v>-66.67</v>
      </c>
      <c r="V4713">
        <v>-180</v>
      </c>
      <c r="W4713">
        <v>19.79</v>
      </c>
      <c r="X4713">
        <v>5386</v>
      </c>
      <c r="Y4713">
        <v>5122</v>
      </c>
      <c r="Z4713">
        <v>1.05</v>
      </c>
      <c r="AA4713">
        <v>16</v>
      </c>
      <c r="AB4713">
        <v>26</v>
      </c>
      <c r="AC4713">
        <v>2.56</v>
      </c>
      <c r="AD4713" t="s">
        <v>8391</v>
      </c>
      <c r="AE4713" t="s">
        <v>11540</v>
      </c>
      <c r="AF4713" t="s">
        <v>16558</v>
      </c>
      <c r="AG4713" t="s">
        <v>21584</v>
      </c>
      <c r="AH4713">
        <v>-1.98</v>
      </c>
      <c r="AI4713">
        <v>-3.22</v>
      </c>
      <c r="AJ4713">
        <v>6</v>
      </c>
      <c r="AK4713">
        <v>13.05</v>
      </c>
      <c r="AL4713">
        <v>-3</v>
      </c>
      <c r="AM4713">
        <v>-0.2</v>
      </c>
      <c r="AN4713">
        <v>18.98</v>
      </c>
      <c r="AO4713">
        <v>-1.93</v>
      </c>
      <c r="AP4713">
        <v>2.64</v>
      </c>
    </row>
    <row r="4714" spans="1:42">
      <c r="A4714">
        <v>4713</v>
      </c>
      <c r="B4714" t="str">
        <f>"301446"</f>
        <v>301446</v>
      </c>
      <c r="C4714" t="s">
        <v>21585</v>
      </c>
      <c r="D4714">
        <v>32.66</v>
      </c>
      <c r="E4714">
        <v>-0.21</v>
      </c>
      <c r="F4714">
        <v>-0.07</v>
      </c>
      <c r="G4714">
        <v>6387</v>
      </c>
      <c r="H4714">
        <v>91</v>
      </c>
      <c r="I4714">
        <v>32.66</v>
      </c>
      <c r="J4714">
        <v>32.68</v>
      </c>
      <c r="K4714" t="s">
        <v>21586</v>
      </c>
      <c r="L4714">
        <v>3.19</v>
      </c>
      <c r="M4714" t="s">
        <v>46</v>
      </c>
      <c r="N4714" t="s">
        <v>4575</v>
      </c>
      <c r="O4714">
        <v>32.94</v>
      </c>
      <c r="P4714">
        <v>32.31</v>
      </c>
      <c r="Q4714">
        <v>32.55</v>
      </c>
      <c r="R4714">
        <v>32.73</v>
      </c>
      <c r="S4714">
        <v>1.92</v>
      </c>
      <c r="T4714">
        <v>1.05</v>
      </c>
      <c r="U4714">
        <v>-7.92</v>
      </c>
      <c r="V4714">
        <v>-16</v>
      </c>
      <c r="W4714">
        <v>32.55</v>
      </c>
      <c r="X4714">
        <v>3147</v>
      </c>
      <c r="Y4714">
        <v>3240</v>
      </c>
      <c r="Z4714">
        <v>0.97</v>
      </c>
      <c r="AA4714">
        <v>2</v>
      </c>
      <c r="AB4714">
        <v>5</v>
      </c>
      <c r="AC4714">
        <v>2.44</v>
      </c>
      <c r="AD4714" t="s">
        <v>3612</v>
      </c>
      <c r="AE4714" t="s">
        <v>21587</v>
      </c>
      <c r="AF4714" t="s">
        <v>3614</v>
      </c>
      <c r="AG4714" t="s">
        <v>21588</v>
      </c>
      <c r="AH4714">
        <v>-0.85</v>
      </c>
      <c r="AI4714">
        <v>-2.3</v>
      </c>
      <c r="AJ4714">
        <v>9.18</v>
      </c>
      <c r="AK4714">
        <v>18.35</v>
      </c>
      <c r="AL4714">
        <v>-1</v>
      </c>
      <c r="AM4714">
        <v>-0.21</v>
      </c>
      <c r="AN4714">
        <v>2.8</v>
      </c>
      <c r="AO4714">
        <v>0.8</v>
      </c>
      <c r="AP4714">
        <v>2.8</v>
      </c>
    </row>
    <row r="4715" spans="1:42">
      <c r="A4715">
        <v>4714</v>
      </c>
      <c r="B4715" t="str">
        <f>"002105"</f>
        <v>002105</v>
      </c>
      <c r="C4715" t="s">
        <v>21589</v>
      </c>
      <c r="D4715">
        <v>6.45</v>
      </c>
      <c r="E4715">
        <v>0.31</v>
      </c>
      <c r="F4715">
        <v>0.02</v>
      </c>
      <c r="G4715" t="s">
        <v>8255</v>
      </c>
      <c r="H4715">
        <v>129</v>
      </c>
      <c r="I4715">
        <v>6.44</v>
      </c>
      <c r="J4715">
        <v>6.45</v>
      </c>
      <c r="K4715" t="s">
        <v>21590</v>
      </c>
      <c r="L4715">
        <v>0.89</v>
      </c>
      <c r="M4715" t="s">
        <v>46</v>
      </c>
      <c r="N4715" t="s">
        <v>11357</v>
      </c>
      <c r="O4715">
        <v>6.46</v>
      </c>
      <c r="P4715">
        <v>6.32</v>
      </c>
      <c r="Q4715">
        <v>6.43</v>
      </c>
      <c r="R4715">
        <v>6.43</v>
      </c>
      <c r="S4715">
        <v>2.18</v>
      </c>
      <c r="T4715">
        <v>1.27</v>
      </c>
      <c r="U4715">
        <v>-58.39</v>
      </c>
      <c r="V4715">
        <v>-1724</v>
      </c>
      <c r="W4715">
        <v>6.41</v>
      </c>
      <c r="X4715" t="s">
        <v>1777</v>
      </c>
      <c r="Y4715" t="s">
        <v>2694</v>
      </c>
      <c r="Z4715">
        <v>0.71</v>
      </c>
      <c r="AA4715">
        <v>21</v>
      </c>
      <c r="AB4715">
        <v>265</v>
      </c>
      <c r="AC4715">
        <v>2.51</v>
      </c>
      <c r="AD4715" t="s">
        <v>12922</v>
      </c>
      <c r="AE4715" t="s">
        <v>15965</v>
      </c>
      <c r="AF4715" t="s">
        <v>12912</v>
      </c>
      <c r="AG4715" t="s">
        <v>10107</v>
      </c>
      <c r="AH4715">
        <v>-0.31</v>
      </c>
      <c r="AI4715">
        <v>0</v>
      </c>
      <c r="AJ4715">
        <v>2.34</v>
      </c>
      <c r="AK4715">
        <v>4.4</v>
      </c>
      <c r="AL4715">
        <v>1</v>
      </c>
      <c r="AM4715">
        <v>0.31</v>
      </c>
      <c r="AN4715">
        <v>-8.38</v>
      </c>
      <c r="AO4715">
        <v>4.2</v>
      </c>
      <c r="AP4715">
        <v>-6.39</v>
      </c>
    </row>
    <row r="4716" spans="1:42">
      <c r="A4716">
        <v>4715</v>
      </c>
      <c r="B4716" t="str">
        <f>"600303"</f>
        <v>600303</v>
      </c>
      <c r="C4716" t="s">
        <v>21591</v>
      </c>
      <c r="D4716">
        <v>4.3</v>
      </c>
      <c r="E4716">
        <v>0</v>
      </c>
      <c r="F4716">
        <v>0</v>
      </c>
      <c r="G4716" t="s">
        <v>4988</v>
      </c>
      <c r="H4716">
        <v>870</v>
      </c>
      <c r="I4716">
        <v>4.3</v>
      </c>
      <c r="J4716">
        <v>4.31</v>
      </c>
      <c r="K4716" t="s">
        <v>21592</v>
      </c>
      <c r="L4716">
        <v>0.72</v>
      </c>
      <c r="M4716" t="s">
        <v>46</v>
      </c>
      <c r="N4716" t="s">
        <v>21593</v>
      </c>
      <c r="O4716">
        <v>4.32</v>
      </c>
      <c r="P4716">
        <v>4.24</v>
      </c>
      <c r="Q4716">
        <v>4.3</v>
      </c>
      <c r="R4716">
        <v>4.3</v>
      </c>
      <c r="S4716">
        <v>1.86</v>
      </c>
      <c r="T4716">
        <v>0.68</v>
      </c>
      <c r="U4716">
        <v>5.23</v>
      </c>
      <c r="V4716">
        <v>549</v>
      </c>
      <c r="W4716">
        <v>4.29</v>
      </c>
      <c r="X4716" t="s">
        <v>3110</v>
      </c>
      <c r="Y4716" t="s">
        <v>5710</v>
      </c>
      <c r="Z4716">
        <v>1.08</v>
      </c>
      <c r="AA4716">
        <v>414</v>
      </c>
      <c r="AB4716">
        <v>974</v>
      </c>
      <c r="AC4716">
        <v>1.53</v>
      </c>
      <c r="AD4716" t="s">
        <v>21594</v>
      </c>
      <c r="AE4716" t="s">
        <v>13318</v>
      </c>
      <c r="AF4716" t="s">
        <v>21594</v>
      </c>
      <c r="AG4716" t="s">
        <v>13318</v>
      </c>
      <c r="AH4716">
        <v>-2.49</v>
      </c>
      <c r="AI4716">
        <v>-3.8</v>
      </c>
      <c r="AJ4716">
        <v>2.73</v>
      </c>
      <c r="AK4716">
        <v>6.03</v>
      </c>
      <c r="AL4716">
        <v>0</v>
      </c>
      <c r="AM4716">
        <v>0</v>
      </c>
      <c r="AN4716">
        <v>-29.62</v>
      </c>
      <c r="AO4716">
        <v>-7.13</v>
      </c>
      <c r="AP4716">
        <v>-47.82</v>
      </c>
    </row>
    <row r="4717" spans="1:42">
      <c r="A4717">
        <v>4716</v>
      </c>
      <c r="B4717" t="str">
        <f>"605500"</f>
        <v>605500</v>
      </c>
      <c r="C4717" t="s">
        <v>21595</v>
      </c>
      <c r="D4717">
        <v>8</v>
      </c>
      <c r="E4717">
        <v>-0.37</v>
      </c>
      <c r="F4717">
        <v>-0.03</v>
      </c>
      <c r="G4717" t="s">
        <v>117</v>
      </c>
      <c r="H4717">
        <v>86</v>
      </c>
      <c r="I4717">
        <v>7.99</v>
      </c>
      <c r="J4717">
        <v>8</v>
      </c>
      <c r="K4717" t="s">
        <v>21596</v>
      </c>
      <c r="L4717">
        <v>2.43</v>
      </c>
      <c r="M4717" t="s">
        <v>46</v>
      </c>
      <c r="N4717" t="s">
        <v>9029</v>
      </c>
      <c r="O4717">
        <v>8.09</v>
      </c>
      <c r="P4717">
        <v>7.94</v>
      </c>
      <c r="Q4717">
        <v>7.96</v>
      </c>
      <c r="R4717">
        <v>8.03</v>
      </c>
      <c r="S4717">
        <v>1.87</v>
      </c>
      <c r="T4717">
        <v>1.13</v>
      </c>
      <c r="U4717">
        <v>60.89</v>
      </c>
      <c r="V4717">
        <v>1505</v>
      </c>
      <c r="W4717">
        <v>7.98</v>
      </c>
      <c r="X4717" t="s">
        <v>6212</v>
      </c>
      <c r="Y4717" t="s">
        <v>383</v>
      </c>
      <c r="Z4717">
        <v>0.95</v>
      </c>
      <c r="AA4717">
        <v>28</v>
      </c>
      <c r="AB4717">
        <v>0</v>
      </c>
      <c r="AC4717">
        <v>1.39</v>
      </c>
      <c r="AD4717" t="s">
        <v>21597</v>
      </c>
      <c r="AE4717" t="s">
        <v>15625</v>
      </c>
      <c r="AF4717" t="s">
        <v>4856</v>
      </c>
      <c r="AG4717" t="s">
        <v>21598</v>
      </c>
      <c r="AH4717">
        <v>-1.6</v>
      </c>
      <c r="AI4717">
        <v>-2.68</v>
      </c>
      <c r="AJ4717">
        <v>7.12</v>
      </c>
      <c r="AK4717">
        <v>13.23</v>
      </c>
      <c r="AL4717">
        <v>-3</v>
      </c>
      <c r="AM4717">
        <v>-0.37</v>
      </c>
      <c r="AN4717">
        <v>13.48</v>
      </c>
      <c r="AO4717">
        <v>-0.87</v>
      </c>
      <c r="AP4717">
        <v>8.25</v>
      </c>
    </row>
    <row r="4718" spans="1:42">
      <c r="A4718">
        <v>4717</v>
      </c>
      <c r="B4718" t="str">
        <f>"001288"</f>
        <v>001288</v>
      </c>
      <c r="C4718" t="s">
        <v>21599</v>
      </c>
      <c r="D4718">
        <v>16.57</v>
      </c>
      <c r="E4718">
        <v>0.85</v>
      </c>
      <c r="F4718">
        <v>0.14</v>
      </c>
      <c r="G4718" t="s">
        <v>682</v>
      </c>
      <c r="H4718">
        <v>53</v>
      </c>
      <c r="I4718">
        <v>16.56</v>
      </c>
      <c r="J4718">
        <v>16.57</v>
      </c>
      <c r="K4718" t="s">
        <v>21596</v>
      </c>
      <c r="L4718">
        <v>2.05</v>
      </c>
      <c r="M4718" t="s">
        <v>46</v>
      </c>
      <c r="N4718" t="s">
        <v>2139</v>
      </c>
      <c r="O4718">
        <v>16.57</v>
      </c>
      <c r="P4718">
        <v>16.34</v>
      </c>
      <c r="Q4718">
        <v>16.45</v>
      </c>
      <c r="R4718">
        <v>16.43</v>
      </c>
      <c r="S4718">
        <v>1.4</v>
      </c>
      <c r="T4718">
        <v>0.8</v>
      </c>
      <c r="U4718">
        <v>-49.13</v>
      </c>
      <c r="V4718">
        <v>-369</v>
      </c>
      <c r="W4718">
        <v>16.46</v>
      </c>
      <c r="X4718">
        <v>5746</v>
      </c>
      <c r="Y4718">
        <v>6851</v>
      </c>
      <c r="Z4718">
        <v>0.84</v>
      </c>
      <c r="AA4718">
        <v>33</v>
      </c>
      <c r="AB4718">
        <v>95</v>
      </c>
      <c r="AC4718">
        <v>1.4</v>
      </c>
      <c r="AD4718" t="s">
        <v>2521</v>
      </c>
      <c r="AE4718" t="s">
        <v>21600</v>
      </c>
      <c r="AF4718" t="s">
        <v>14555</v>
      </c>
      <c r="AG4718" t="s">
        <v>9855</v>
      </c>
      <c r="AH4718">
        <v>-0.42</v>
      </c>
      <c r="AI4718">
        <v>-0.3</v>
      </c>
      <c r="AJ4718">
        <v>6.5</v>
      </c>
      <c r="AK4718">
        <v>14.93</v>
      </c>
      <c r="AL4718">
        <v>1</v>
      </c>
      <c r="AM4718">
        <v>0.85</v>
      </c>
      <c r="AN4718">
        <v>12.42</v>
      </c>
      <c r="AO4718">
        <v>-1.95</v>
      </c>
      <c r="AP4718">
        <v>4.21</v>
      </c>
    </row>
    <row r="4719" spans="1:42">
      <c r="A4719">
        <v>4718</v>
      </c>
      <c r="B4719" t="str">
        <f>"872895"</f>
        <v>872895</v>
      </c>
      <c r="C4719" t="s">
        <v>21601</v>
      </c>
      <c r="D4719">
        <v>8.33</v>
      </c>
      <c r="E4719">
        <v>-5.98</v>
      </c>
      <c r="F4719">
        <v>-0.53</v>
      </c>
      <c r="G4719" t="s">
        <v>8211</v>
      </c>
      <c r="H4719">
        <v>555</v>
      </c>
      <c r="I4719">
        <v>8.33</v>
      </c>
      <c r="J4719">
        <v>8.34</v>
      </c>
      <c r="K4719" t="s">
        <v>21596</v>
      </c>
      <c r="L4719">
        <v>12.96</v>
      </c>
      <c r="M4719" t="s">
        <v>46</v>
      </c>
      <c r="N4719" t="s">
        <v>21602</v>
      </c>
      <c r="O4719">
        <v>9.09</v>
      </c>
      <c r="P4719">
        <v>8.18</v>
      </c>
      <c r="Q4719">
        <v>9</v>
      </c>
      <c r="R4719">
        <v>8.86</v>
      </c>
      <c r="S4719">
        <v>10.27</v>
      </c>
      <c r="T4719">
        <v>0.35</v>
      </c>
      <c r="U4719">
        <v>70.15</v>
      </c>
      <c r="V4719">
        <v>636</v>
      </c>
      <c r="W4719">
        <v>8.6</v>
      </c>
      <c r="X4719" t="s">
        <v>5951</v>
      </c>
      <c r="Y4719">
        <v>8627</v>
      </c>
      <c r="Z4719">
        <v>1.79</v>
      </c>
      <c r="AA4719">
        <v>21</v>
      </c>
      <c r="AB4719">
        <v>12</v>
      </c>
      <c r="AC4719">
        <v>2.15</v>
      </c>
      <c r="AD4719" t="s">
        <v>21603</v>
      </c>
      <c r="AE4719" t="s">
        <v>9573</v>
      </c>
      <c r="AF4719" t="s">
        <v>21604</v>
      </c>
      <c r="AG4719" t="s">
        <v>21605</v>
      </c>
      <c r="AH4719">
        <v>-22.29</v>
      </c>
      <c r="AI4719">
        <v>17.99</v>
      </c>
      <c r="AJ4719">
        <v>69.02</v>
      </c>
      <c r="AK4719">
        <v>197.68</v>
      </c>
      <c r="AL4719">
        <v>-4</v>
      </c>
      <c r="AM4719">
        <v>-5.98</v>
      </c>
      <c r="AN4719">
        <v>-22.66</v>
      </c>
      <c r="AO4719">
        <v>50.09</v>
      </c>
      <c r="AP4719">
        <v>-22.66</v>
      </c>
    </row>
    <row r="4720" spans="1:42">
      <c r="A4720">
        <v>4719</v>
      </c>
      <c r="B4720" t="str">
        <f>"603937"</f>
        <v>603937</v>
      </c>
      <c r="C4720" t="s">
        <v>21606</v>
      </c>
      <c r="D4720">
        <v>12.6</v>
      </c>
      <c r="E4720">
        <v>0</v>
      </c>
      <c r="F4720">
        <v>0</v>
      </c>
      <c r="G4720" t="s">
        <v>1692</v>
      </c>
      <c r="H4720">
        <v>127</v>
      </c>
      <c r="I4720">
        <v>12.6</v>
      </c>
      <c r="J4720">
        <v>12.61</v>
      </c>
      <c r="K4720" t="s">
        <v>21607</v>
      </c>
      <c r="L4720">
        <v>0.79</v>
      </c>
      <c r="M4720" t="s">
        <v>46</v>
      </c>
      <c r="N4720" t="s">
        <v>1729</v>
      </c>
      <c r="O4720">
        <v>12.68</v>
      </c>
      <c r="P4720">
        <v>12.52</v>
      </c>
      <c r="Q4720">
        <v>12.6</v>
      </c>
      <c r="R4720">
        <v>12.6</v>
      </c>
      <c r="S4720">
        <v>1.27</v>
      </c>
      <c r="T4720">
        <v>0.65</v>
      </c>
      <c r="U4720">
        <v>56.67</v>
      </c>
      <c r="V4720">
        <v>476</v>
      </c>
      <c r="W4720">
        <v>12.59</v>
      </c>
      <c r="X4720">
        <v>7351</v>
      </c>
      <c r="Y4720">
        <v>9062</v>
      </c>
      <c r="Z4720">
        <v>0.81</v>
      </c>
      <c r="AA4720">
        <v>68</v>
      </c>
      <c r="AB4720">
        <v>76</v>
      </c>
      <c r="AC4720">
        <v>1.64</v>
      </c>
      <c r="AD4720" t="s">
        <v>19809</v>
      </c>
      <c r="AE4720" t="s">
        <v>21608</v>
      </c>
      <c r="AF4720" t="s">
        <v>19809</v>
      </c>
      <c r="AG4720" t="s">
        <v>21608</v>
      </c>
      <c r="AH4720">
        <v>-1.41</v>
      </c>
      <c r="AI4720">
        <v>0</v>
      </c>
      <c r="AJ4720">
        <v>2.87</v>
      </c>
      <c r="AK4720">
        <v>6.83</v>
      </c>
      <c r="AL4720">
        <v>0</v>
      </c>
      <c r="AM4720">
        <v>0</v>
      </c>
      <c r="AN4720">
        <v>8.53</v>
      </c>
      <c r="AO4720">
        <v>-1.25</v>
      </c>
      <c r="AP4720">
        <v>-2.55</v>
      </c>
    </row>
    <row r="4721" spans="1:42">
      <c r="A4721">
        <v>4720</v>
      </c>
      <c r="B4721" t="str">
        <f>"603609"</f>
        <v>603609</v>
      </c>
      <c r="C4721" t="s">
        <v>21609</v>
      </c>
      <c r="D4721">
        <v>8.88</v>
      </c>
      <c r="E4721">
        <v>-0.78</v>
      </c>
      <c r="F4721">
        <v>-0.07</v>
      </c>
      <c r="G4721" t="s">
        <v>5620</v>
      </c>
      <c r="H4721">
        <v>406</v>
      </c>
      <c r="I4721">
        <v>8.87</v>
      </c>
      <c r="J4721">
        <v>8.88</v>
      </c>
      <c r="K4721" t="s">
        <v>21610</v>
      </c>
      <c r="L4721">
        <v>0.25</v>
      </c>
      <c r="M4721" t="s">
        <v>46</v>
      </c>
      <c r="N4721" t="s">
        <v>21611</v>
      </c>
      <c r="O4721">
        <v>8.99</v>
      </c>
      <c r="P4721">
        <v>8.87</v>
      </c>
      <c r="Q4721">
        <v>8.99</v>
      </c>
      <c r="R4721">
        <v>8.95</v>
      </c>
      <c r="S4721">
        <v>1.34</v>
      </c>
      <c r="T4721">
        <v>0.69</v>
      </c>
      <c r="U4721">
        <v>-14.06</v>
      </c>
      <c r="V4721">
        <v>-305</v>
      </c>
      <c r="W4721">
        <v>8.9</v>
      </c>
      <c r="X4721" t="s">
        <v>5183</v>
      </c>
      <c r="Y4721">
        <v>9628</v>
      </c>
      <c r="Z4721">
        <v>1.41</v>
      </c>
      <c r="AA4721">
        <v>62</v>
      </c>
      <c r="AB4721">
        <v>234</v>
      </c>
      <c r="AC4721">
        <v>1.18</v>
      </c>
      <c r="AD4721" t="s">
        <v>4328</v>
      </c>
      <c r="AE4721" t="s">
        <v>12556</v>
      </c>
      <c r="AF4721" t="s">
        <v>4328</v>
      </c>
      <c r="AG4721" t="s">
        <v>12556</v>
      </c>
      <c r="AH4721">
        <v>-1</v>
      </c>
      <c r="AI4721">
        <v>-0.34</v>
      </c>
      <c r="AJ4721">
        <v>0.78</v>
      </c>
      <c r="AK4721">
        <v>2.08</v>
      </c>
      <c r="AL4721">
        <v>-1</v>
      </c>
      <c r="AM4721">
        <v>-0.78</v>
      </c>
      <c r="AN4721">
        <v>-24.23</v>
      </c>
      <c r="AO4721">
        <v>0.23</v>
      </c>
      <c r="AP4721">
        <v>-35.61</v>
      </c>
    </row>
    <row r="4722" spans="1:42">
      <c r="A4722">
        <v>4721</v>
      </c>
      <c r="B4722" t="str">
        <f>"688511"</f>
        <v>688511</v>
      </c>
      <c r="C4722" t="s">
        <v>21612</v>
      </c>
      <c r="D4722">
        <v>32.5</v>
      </c>
      <c r="E4722">
        <v>1.4</v>
      </c>
      <c r="F4722">
        <v>0.45</v>
      </c>
      <c r="G4722">
        <v>6395</v>
      </c>
      <c r="H4722">
        <v>56</v>
      </c>
      <c r="I4722">
        <v>32.5</v>
      </c>
      <c r="J4722">
        <v>32.51</v>
      </c>
      <c r="K4722" t="s">
        <v>21613</v>
      </c>
      <c r="L4722">
        <v>1.56</v>
      </c>
      <c r="M4722" t="s">
        <v>46</v>
      </c>
      <c r="N4722" t="s">
        <v>21614</v>
      </c>
      <c r="O4722">
        <v>32.55</v>
      </c>
      <c r="P4722">
        <v>31.9</v>
      </c>
      <c r="Q4722">
        <v>32.06</v>
      </c>
      <c r="R4722">
        <v>32.05</v>
      </c>
      <c r="S4722">
        <v>2.03</v>
      </c>
      <c r="T4722">
        <v>1.19</v>
      </c>
      <c r="U4722">
        <v>41.09</v>
      </c>
      <c r="V4722">
        <v>154</v>
      </c>
      <c r="W4722">
        <v>32.24</v>
      </c>
      <c r="X4722">
        <v>2916</v>
      </c>
      <c r="Y4722">
        <v>3480</v>
      </c>
      <c r="Z4722">
        <v>0.84</v>
      </c>
      <c r="AA4722">
        <v>21</v>
      </c>
      <c r="AB4722">
        <v>3</v>
      </c>
      <c r="AC4722">
        <v>3.11</v>
      </c>
      <c r="AD4722" t="s">
        <v>3612</v>
      </c>
      <c r="AE4722" t="s">
        <v>12668</v>
      </c>
      <c r="AF4722" t="s">
        <v>21615</v>
      </c>
      <c r="AG4722" t="s">
        <v>689</v>
      </c>
      <c r="AH4722">
        <v>-0.52</v>
      </c>
      <c r="AI4722">
        <v>-0.91</v>
      </c>
      <c r="AJ4722">
        <v>3.83</v>
      </c>
      <c r="AK4722">
        <v>8.15</v>
      </c>
      <c r="AL4722">
        <v>1</v>
      </c>
      <c r="AM4722">
        <v>1.4</v>
      </c>
      <c r="AN4722">
        <v>14.36</v>
      </c>
      <c r="AO4722">
        <v>1.63</v>
      </c>
      <c r="AP4722">
        <v>1.34</v>
      </c>
    </row>
    <row r="4723" spans="1:42">
      <c r="A4723">
        <v>4722</v>
      </c>
      <c r="B4723" t="str">
        <f>"605001"</f>
        <v>605001</v>
      </c>
      <c r="C4723" t="s">
        <v>21616</v>
      </c>
      <c r="D4723">
        <v>6.9</v>
      </c>
      <c r="E4723">
        <v>0.15</v>
      </c>
      <c r="F4723">
        <v>0.01</v>
      </c>
      <c r="G4723" t="s">
        <v>1251</v>
      </c>
      <c r="H4723">
        <v>792</v>
      </c>
      <c r="I4723">
        <v>6.89</v>
      </c>
      <c r="J4723">
        <v>6.9</v>
      </c>
      <c r="K4723" t="s">
        <v>21617</v>
      </c>
      <c r="L4723">
        <v>0.76</v>
      </c>
      <c r="M4723" t="s">
        <v>46</v>
      </c>
      <c r="N4723" t="s">
        <v>18591</v>
      </c>
      <c r="O4723">
        <v>6.91</v>
      </c>
      <c r="P4723">
        <v>6.81</v>
      </c>
      <c r="Q4723">
        <v>6.86</v>
      </c>
      <c r="R4723">
        <v>6.89</v>
      </c>
      <c r="S4723">
        <v>1.45</v>
      </c>
      <c r="T4723">
        <v>0.48</v>
      </c>
      <c r="U4723">
        <v>5.16</v>
      </c>
      <c r="V4723">
        <v>179</v>
      </c>
      <c r="W4723">
        <v>6.87</v>
      </c>
      <c r="X4723" t="s">
        <v>4105</v>
      </c>
      <c r="Y4723" t="s">
        <v>141</v>
      </c>
      <c r="Z4723">
        <v>0.9</v>
      </c>
      <c r="AA4723">
        <v>626</v>
      </c>
      <c r="AB4723">
        <v>104</v>
      </c>
      <c r="AC4723">
        <v>1.11</v>
      </c>
      <c r="AD4723" t="s">
        <v>15306</v>
      </c>
      <c r="AE4723" t="s">
        <v>4309</v>
      </c>
      <c r="AF4723" t="s">
        <v>15306</v>
      </c>
      <c r="AG4723" t="s">
        <v>4309</v>
      </c>
      <c r="AH4723">
        <v>0</v>
      </c>
      <c r="AI4723">
        <v>1.02</v>
      </c>
      <c r="AJ4723">
        <v>3.19</v>
      </c>
      <c r="AK4723">
        <v>8.72</v>
      </c>
      <c r="AL4723">
        <v>2</v>
      </c>
      <c r="AM4723">
        <v>0.15</v>
      </c>
      <c r="AN4723">
        <v>-13.43</v>
      </c>
      <c r="AO4723">
        <v>5.34</v>
      </c>
      <c r="AP4723">
        <v>-25.32</v>
      </c>
    </row>
    <row r="4724" spans="1:42">
      <c r="A4724">
        <v>4723</v>
      </c>
      <c r="B4724" t="str">
        <f>"600382"</f>
        <v>600382</v>
      </c>
      <c r="C4724" t="s">
        <v>21618</v>
      </c>
      <c r="D4724">
        <v>4.58</v>
      </c>
      <c r="E4724">
        <v>0.88</v>
      </c>
      <c r="F4724">
        <v>0.04</v>
      </c>
      <c r="G4724" t="s">
        <v>5963</v>
      </c>
      <c r="H4724">
        <v>551</v>
      </c>
      <c r="I4724">
        <v>4.58</v>
      </c>
      <c r="J4724">
        <v>4.59</v>
      </c>
      <c r="K4724" t="s">
        <v>21619</v>
      </c>
      <c r="L4724">
        <v>0.58</v>
      </c>
      <c r="M4724" t="s">
        <v>46</v>
      </c>
      <c r="N4724" t="s">
        <v>2825</v>
      </c>
      <c r="O4724">
        <v>4.6</v>
      </c>
      <c r="P4724">
        <v>4.52</v>
      </c>
      <c r="Q4724">
        <v>4.53</v>
      </c>
      <c r="R4724">
        <v>4.54</v>
      </c>
      <c r="S4724">
        <v>1.76</v>
      </c>
      <c r="T4724">
        <v>0.79</v>
      </c>
      <c r="U4724">
        <v>-3.24</v>
      </c>
      <c r="V4724">
        <v>-188</v>
      </c>
      <c r="W4724">
        <v>4.57</v>
      </c>
      <c r="X4724" t="s">
        <v>6656</v>
      </c>
      <c r="Y4724" t="s">
        <v>7485</v>
      </c>
      <c r="Z4724">
        <v>0.63</v>
      </c>
      <c r="AA4724">
        <v>58</v>
      </c>
      <c r="AB4724">
        <v>348</v>
      </c>
      <c r="AC4724">
        <v>0.99</v>
      </c>
      <c r="AD4724" t="s">
        <v>18429</v>
      </c>
      <c r="AE4724" t="s">
        <v>13668</v>
      </c>
      <c r="AF4724" t="s">
        <v>18429</v>
      </c>
      <c r="AG4724" t="s">
        <v>13668</v>
      </c>
      <c r="AH4724">
        <v>-1.08</v>
      </c>
      <c r="AI4724">
        <v>-2.55</v>
      </c>
      <c r="AJ4724">
        <v>2.15</v>
      </c>
      <c r="AK4724">
        <v>4.29</v>
      </c>
      <c r="AL4724">
        <v>1</v>
      </c>
      <c r="AM4724">
        <v>0.88</v>
      </c>
      <c r="AN4724">
        <v>18.35</v>
      </c>
      <c r="AO4724">
        <v>-0.87</v>
      </c>
      <c r="AP4724">
        <v>8.27</v>
      </c>
    </row>
    <row r="4725" spans="1:42">
      <c r="A4725">
        <v>4724</v>
      </c>
      <c r="B4725" t="str">
        <f>"603759"</f>
        <v>603759</v>
      </c>
      <c r="C4725" t="s">
        <v>21620</v>
      </c>
      <c r="D4725">
        <v>8.47</v>
      </c>
      <c r="E4725">
        <v>-0.47</v>
      </c>
      <c r="F4725">
        <v>-0.04</v>
      </c>
      <c r="G4725" t="s">
        <v>4037</v>
      </c>
      <c r="H4725">
        <v>334</v>
      </c>
      <c r="I4725">
        <v>8.46</v>
      </c>
      <c r="J4725">
        <v>8.47</v>
      </c>
      <c r="K4725" t="s">
        <v>21621</v>
      </c>
      <c r="L4725">
        <v>1.24</v>
      </c>
      <c r="M4725" t="s">
        <v>46</v>
      </c>
      <c r="N4725" t="s">
        <v>19187</v>
      </c>
      <c r="O4725">
        <v>8.54</v>
      </c>
      <c r="P4725">
        <v>8.45</v>
      </c>
      <c r="Q4725">
        <v>8.54</v>
      </c>
      <c r="R4725">
        <v>8.51</v>
      </c>
      <c r="S4725">
        <v>1.06</v>
      </c>
      <c r="T4725">
        <v>0.82</v>
      </c>
      <c r="U4725">
        <v>36.05</v>
      </c>
      <c r="V4725">
        <v>1098</v>
      </c>
      <c r="W4725">
        <v>8.49</v>
      </c>
      <c r="X4725" t="s">
        <v>6595</v>
      </c>
      <c r="Y4725">
        <v>9324</v>
      </c>
      <c r="Z4725">
        <v>1.6</v>
      </c>
      <c r="AA4725">
        <v>904</v>
      </c>
      <c r="AB4725">
        <v>366</v>
      </c>
      <c r="AC4725">
        <v>1.57</v>
      </c>
      <c r="AD4725" t="s">
        <v>21622</v>
      </c>
      <c r="AE4725" t="s">
        <v>3128</v>
      </c>
      <c r="AF4725" t="s">
        <v>5782</v>
      </c>
      <c r="AG4725" t="s">
        <v>7509</v>
      </c>
      <c r="AH4725">
        <v>-1.85</v>
      </c>
      <c r="AI4725">
        <v>-2.76</v>
      </c>
      <c r="AJ4725">
        <v>4.79</v>
      </c>
      <c r="AK4725">
        <v>8.78</v>
      </c>
      <c r="AL4725">
        <v>-3</v>
      </c>
      <c r="AM4725">
        <v>-0.47</v>
      </c>
      <c r="AN4725">
        <v>-5.47</v>
      </c>
      <c r="AO4725">
        <v>0.71</v>
      </c>
      <c r="AP4725">
        <v>-9.99</v>
      </c>
    </row>
    <row r="4726" spans="1:42">
      <c r="A4726">
        <v>4725</v>
      </c>
      <c r="B4726" t="str">
        <f>"605178"</f>
        <v>605178</v>
      </c>
      <c r="C4726" t="s">
        <v>21623</v>
      </c>
      <c r="D4726">
        <v>21.97</v>
      </c>
      <c r="E4726">
        <v>0.32</v>
      </c>
      <c r="F4726">
        <v>0.07</v>
      </c>
      <c r="G4726">
        <v>9398</v>
      </c>
      <c r="H4726">
        <v>138</v>
      </c>
      <c r="I4726">
        <v>21.96</v>
      </c>
      <c r="J4726">
        <v>21.97</v>
      </c>
      <c r="K4726" t="s">
        <v>21621</v>
      </c>
      <c r="L4726">
        <v>1.51</v>
      </c>
      <c r="M4726" t="s">
        <v>46</v>
      </c>
      <c r="N4726" t="s">
        <v>7816</v>
      </c>
      <c r="O4726">
        <v>22.05</v>
      </c>
      <c r="P4726">
        <v>21.63</v>
      </c>
      <c r="Q4726">
        <v>21.89</v>
      </c>
      <c r="R4726">
        <v>21.9</v>
      </c>
      <c r="S4726">
        <v>1.92</v>
      </c>
      <c r="T4726">
        <v>0.79</v>
      </c>
      <c r="U4726">
        <v>5.04</v>
      </c>
      <c r="V4726">
        <v>17</v>
      </c>
      <c r="W4726">
        <v>21.87</v>
      </c>
      <c r="X4726">
        <v>4247</v>
      </c>
      <c r="Y4726">
        <v>5151</v>
      </c>
      <c r="Z4726">
        <v>0.82</v>
      </c>
      <c r="AA4726">
        <v>84</v>
      </c>
      <c r="AB4726">
        <v>28</v>
      </c>
      <c r="AC4726">
        <v>1.3</v>
      </c>
      <c r="AD4726" t="s">
        <v>12053</v>
      </c>
      <c r="AE4726" t="s">
        <v>14340</v>
      </c>
      <c r="AF4726" t="s">
        <v>21624</v>
      </c>
      <c r="AG4726" t="s">
        <v>4944</v>
      </c>
      <c r="AH4726">
        <v>1.43</v>
      </c>
      <c r="AI4726">
        <v>1.52</v>
      </c>
      <c r="AJ4726">
        <v>6.84</v>
      </c>
      <c r="AK4726">
        <v>11.1</v>
      </c>
      <c r="AL4726">
        <v>1</v>
      </c>
      <c r="AM4726">
        <v>0.32</v>
      </c>
      <c r="AN4726">
        <v>20.38</v>
      </c>
      <c r="AO4726">
        <v>5.37</v>
      </c>
      <c r="AP4726">
        <v>10.9</v>
      </c>
    </row>
    <row r="4727" spans="1:42">
      <c r="A4727">
        <v>4726</v>
      </c>
      <c r="B4727" t="str">
        <f>"600681"</f>
        <v>600681</v>
      </c>
      <c r="C4727" t="s">
        <v>21625</v>
      </c>
      <c r="D4727">
        <v>4.17</v>
      </c>
      <c r="E4727">
        <v>0</v>
      </c>
      <c r="F4727">
        <v>0</v>
      </c>
      <c r="G4727" t="s">
        <v>4708</v>
      </c>
      <c r="H4727">
        <v>346</v>
      </c>
      <c r="I4727">
        <v>4.17</v>
      </c>
      <c r="J4727">
        <v>4.18</v>
      </c>
      <c r="K4727" t="s">
        <v>21626</v>
      </c>
      <c r="L4727">
        <v>0.37</v>
      </c>
      <c r="M4727" t="s">
        <v>46</v>
      </c>
      <c r="N4727" t="s">
        <v>4401</v>
      </c>
      <c r="O4727">
        <v>4.18</v>
      </c>
      <c r="P4727">
        <v>4.15</v>
      </c>
      <c r="Q4727">
        <v>4.16</v>
      </c>
      <c r="R4727">
        <v>4.17</v>
      </c>
      <c r="S4727">
        <v>0.72</v>
      </c>
      <c r="T4727">
        <v>0.86</v>
      </c>
      <c r="U4727">
        <v>-43.33</v>
      </c>
      <c r="V4727" t="s">
        <v>8591</v>
      </c>
      <c r="W4727">
        <v>4.17</v>
      </c>
      <c r="X4727" t="s">
        <v>8622</v>
      </c>
      <c r="Y4727" t="s">
        <v>2877</v>
      </c>
      <c r="Z4727">
        <v>1.48</v>
      </c>
      <c r="AA4727">
        <v>2611</v>
      </c>
      <c r="AB4727">
        <v>6045</v>
      </c>
      <c r="AC4727">
        <v>1.58</v>
      </c>
      <c r="AD4727" t="s">
        <v>8189</v>
      </c>
      <c r="AE4727" t="s">
        <v>21627</v>
      </c>
      <c r="AF4727" t="s">
        <v>6686</v>
      </c>
      <c r="AG4727" t="s">
        <v>2895</v>
      </c>
      <c r="AH4727">
        <v>-0.48</v>
      </c>
      <c r="AI4727">
        <v>-0.48</v>
      </c>
      <c r="AJ4727">
        <v>1.17</v>
      </c>
      <c r="AK4727">
        <v>2.51</v>
      </c>
      <c r="AL4727">
        <v>0</v>
      </c>
      <c r="AM4727">
        <v>0</v>
      </c>
      <c r="AN4727">
        <v>5.04</v>
      </c>
      <c r="AO4727">
        <v>-1.65</v>
      </c>
      <c r="AP4727">
        <v>2.96</v>
      </c>
    </row>
    <row r="4728" spans="1:42">
      <c r="A4728">
        <v>4727</v>
      </c>
      <c r="B4728" t="str">
        <f>"688573"</f>
        <v>688573</v>
      </c>
      <c r="C4728" t="s">
        <v>21628</v>
      </c>
      <c r="D4728">
        <v>29.82</v>
      </c>
      <c r="E4728">
        <v>-0.9</v>
      </c>
      <c r="F4728">
        <v>-0.27</v>
      </c>
      <c r="G4728">
        <v>6887</v>
      </c>
      <c r="H4728">
        <v>60</v>
      </c>
      <c r="I4728">
        <v>29.81</v>
      </c>
      <c r="J4728">
        <v>29.82</v>
      </c>
      <c r="K4728" t="s">
        <v>21629</v>
      </c>
      <c r="L4728">
        <v>3.53</v>
      </c>
      <c r="M4728" t="s">
        <v>46</v>
      </c>
      <c r="N4728" t="s">
        <v>3881</v>
      </c>
      <c r="O4728">
        <v>30.12</v>
      </c>
      <c r="P4728">
        <v>29.51</v>
      </c>
      <c r="Q4728">
        <v>30.12</v>
      </c>
      <c r="R4728">
        <v>30.09</v>
      </c>
      <c r="S4728">
        <v>2.03</v>
      </c>
      <c r="T4728">
        <v>0.99</v>
      </c>
      <c r="U4728">
        <v>9.65</v>
      </c>
      <c r="V4728">
        <v>30</v>
      </c>
      <c r="W4728">
        <v>29.71</v>
      </c>
      <c r="X4728">
        <v>3642</v>
      </c>
      <c r="Y4728">
        <v>3245</v>
      </c>
      <c r="Z4728">
        <v>1.12</v>
      </c>
      <c r="AA4728">
        <v>3</v>
      </c>
      <c r="AB4728">
        <v>35</v>
      </c>
      <c r="AC4728">
        <v>3.33</v>
      </c>
      <c r="AD4728" t="s">
        <v>21630</v>
      </c>
      <c r="AE4728" t="s">
        <v>21631</v>
      </c>
      <c r="AF4728" t="s">
        <v>21632</v>
      </c>
      <c r="AG4728" t="s">
        <v>21633</v>
      </c>
      <c r="AH4728">
        <v>-3.21</v>
      </c>
      <c r="AI4728">
        <v>-5.78</v>
      </c>
      <c r="AJ4728">
        <v>10.62</v>
      </c>
      <c r="AK4728">
        <v>21.43</v>
      </c>
      <c r="AL4728">
        <v>-3</v>
      </c>
      <c r="AM4728">
        <v>-0.9</v>
      </c>
      <c r="AN4728">
        <v>25.93</v>
      </c>
      <c r="AO4728">
        <v>-3.53</v>
      </c>
      <c r="AP4728">
        <v>25.93</v>
      </c>
    </row>
    <row r="4729" spans="1:42">
      <c r="A4729">
        <v>4728</v>
      </c>
      <c r="B4729" t="str">
        <f>"000726"</f>
        <v>000726</v>
      </c>
      <c r="C4729" t="s">
        <v>21634</v>
      </c>
      <c r="D4729">
        <v>6.74</v>
      </c>
      <c r="E4729">
        <v>1.05</v>
      </c>
      <c r="F4729">
        <v>0.07</v>
      </c>
      <c r="G4729" t="s">
        <v>6803</v>
      </c>
      <c r="H4729">
        <v>146</v>
      </c>
      <c r="I4729">
        <v>6.73</v>
      </c>
      <c r="J4729">
        <v>6.74</v>
      </c>
      <c r="K4729" t="s">
        <v>21635</v>
      </c>
      <c r="L4729">
        <v>0.52</v>
      </c>
      <c r="M4729" t="s">
        <v>46</v>
      </c>
      <c r="N4729" t="s">
        <v>14072</v>
      </c>
      <c r="O4729">
        <v>6.78</v>
      </c>
      <c r="P4729">
        <v>6.66</v>
      </c>
      <c r="Q4729">
        <v>6.69</v>
      </c>
      <c r="R4729">
        <v>6.67</v>
      </c>
      <c r="S4729">
        <v>1.8</v>
      </c>
      <c r="T4729">
        <v>0.92</v>
      </c>
      <c r="U4729">
        <v>-59.57</v>
      </c>
      <c r="V4729">
        <v>-3091</v>
      </c>
      <c r="W4729">
        <v>6.75</v>
      </c>
      <c r="X4729" t="s">
        <v>1170</v>
      </c>
      <c r="Y4729" t="s">
        <v>1456</v>
      </c>
      <c r="Z4729">
        <v>0.76</v>
      </c>
      <c r="AA4729">
        <v>186</v>
      </c>
      <c r="AB4729">
        <v>91</v>
      </c>
      <c r="AC4729">
        <v>0.63</v>
      </c>
      <c r="AD4729" t="s">
        <v>21636</v>
      </c>
      <c r="AE4729" t="s">
        <v>16894</v>
      </c>
      <c r="AF4729" t="s">
        <v>13644</v>
      </c>
      <c r="AG4729" t="s">
        <v>21637</v>
      </c>
      <c r="AH4729">
        <v>-0.74</v>
      </c>
      <c r="AI4729">
        <v>-1.46</v>
      </c>
      <c r="AJ4729">
        <v>1.7</v>
      </c>
      <c r="AK4729">
        <v>3.36</v>
      </c>
      <c r="AL4729">
        <v>1</v>
      </c>
      <c r="AM4729">
        <v>1.05</v>
      </c>
      <c r="AN4729">
        <v>-7.42</v>
      </c>
      <c r="AO4729">
        <v>1.05</v>
      </c>
      <c r="AP4729">
        <v>-14.25</v>
      </c>
    </row>
    <row r="4730" spans="1:42">
      <c r="A4730">
        <v>4729</v>
      </c>
      <c r="B4730" t="str">
        <f>"600917"</f>
        <v>600917</v>
      </c>
      <c r="C4730" t="s">
        <v>21638</v>
      </c>
      <c r="D4730">
        <v>6.87</v>
      </c>
      <c r="E4730">
        <v>-0.29</v>
      </c>
      <c r="F4730">
        <v>-0.02</v>
      </c>
      <c r="G4730" t="s">
        <v>2125</v>
      </c>
      <c r="H4730">
        <v>559</v>
      </c>
      <c r="I4730">
        <v>6.87</v>
      </c>
      <c r="J4730">
        <v>6.88</v>
      </c>
      <c r="K4730" t="s">
        <v>21635</v>
      </c>
      <c r="L4730">
        <v>0.19</v>
      </c>
      <c r="M4730" t="s">
        <v>46</v>
      </c>
      <c r="N4730" t="s">
        <v>13765</v>
      </c>
      <c r="O4730">
        <v>6.94</v>
      </c>
      <c r="P4730">
        <v>6.86</v>
      </c>
      <c r="Q4730">
        <v>6.92</v>
      </c>
      <c r="R4730">
        <v>6.89</v>
      </c>
      <c r="S4730">
        <v>1.16</v>
      </c>
      <c r="T4730">
        <v>1.18</v>
      </c>
      <c r="U4730">
        <v>-23.39</v>
      </c>
      <c r="V4730">
        <v>-1285</v>
      </c>
      <c r="W4730">
        <v>6.89</v>
      </c>
      <c r="X4730" t="s">
        <v>1118</v>
      </c>
      <c r="Y4730" t="s">
        <v>1384</v>
      </c>
      <c r="Z4730">
        <v>1.2</v>
      </c>
      <c r="AA4730">
        <v>6</v>
      </c>
      <c r="AB4730">
        <v>201</v>
      </c>
      <c r="AC4730">
        <v>2.13</v>
      </c>
      <c r="AD4730" t="s">
        <v>12321</v>
      </c>
      <c r="AE4730" t="s">
        <v>14279</v>
      </c>
      <c r="AF4730" t="s">
        <v>1961</v>
      </c>
      <c r="AG4730" t="s">
        <v>13524</v>
      </c>
      <c r="AH4730">
        <v>-0.15</v>
      </c>
      <c r="AI4730">
        <v>0</v>
      </c>
      <c r="AJ4730">
        <v>0.55</v>
      </c>
      <c r="AK4730">
        <v>1</v>
      </c>
      <c r="AL4730">
        <v>-1</v>
      </c>
      <c r="AM4730">
        <v>-0.29</v>
      </c>
      <c r="AN4730">
        <v>-12.26</v>
      </c>
      <c r="AO4730">
        <v>1.93</v>
      </c>
      <c r="AP4730">
        <v>-14.55</v>
      </c>
    </row>
    <row r="4731" spans="1:42">
      <c r="A4731">
        <v>4730</v>
      </c>
      <c r="B4731" t="str">
        <f>"301518"</f>
        <v>301518</v>
      </c>
      <c r="C4731" t="s">
        <v>21639</v>
      </c>
      <c r="D4731">
        <v>24.25</v>
      </c>
      <c r="E4731">
        <v>-0.41</v>
      </c>
      <c r="F4731">
        <v>-0.1</v>
      </c>
      <c r="G4731">
        <v>8461</v>
      </c>
      <c r="H4731">
        <v>226</v>
      </c>
      <c r="I4731">
        <v>24.25</v>
      </c>
      <c r="J4731">
        <v>24.26</v>
      </c>
      <c r="K4731" t="s">
        <v>21640</v>
      </c>
      <c r="L4731">
        <v>2.55</v>
      </c>
      <c r="M4731" t="s">
        <v>46</v>
      </c>
      <c r="N4731" t="s">
        <v>6377</v>
      </c>
      <c r="O4731">
        <v>24.45</v>
      </c>
      <c r="P4731">
        <v>23.86</v>
      </c>
      <c r="Q4731">
        <v>24.34</v>
      </c>
      <c r="R4731">
        <v>24.35</v>
      </c>
      <c r="S4731">
        <v>2.42</v>
      </c>
      <c r="T4731">
        <v>0.59</v>
      </c>
      <c r="U4731">
        <v>38.59</v>
      </c>
      <c r="V4731">
        <v>137</v>
      </c>
      <c r="W4731">
        <v>24.14</v>
      </c>
      <c r="X4731">
        <v>4119</v>
      </c>
      <c r="Y4731">
        <v>4342</v>
      </c>
      <c r="Z4731">
        <v>0.95</v>
      </c>
      <c r="AA4731">
        <v>196</v>
      </c>
      <c r="AB4731">
        <v>10</v>
      </c>
      <c r="AC4731">
        <v>2.41</v>
      </c>
      <c r="AD4731" t="s">
        <v>21580</v>
      </c>
      <c r="AE4731" t="s">
        <v>15447</v>
      </c>
      <c r="AF4731" t="s">
        <v>19013</v>
      </c>
      <c r="AG4731" t="s">
        <v>21641</v>
      </c>
      <c r="AH4731">
        <v>-3.12</v>
      </c>
      <c r="AI4731">
        <v>-4.3</v>
      </c>
      <c r="AJ4731">
        <v>10.86</v>
      </c>
      <c r="AK4731">
        <v>24.08</v>
      </c>
      <c r="AL4731">
        <v>-3</v>
      </c>
      <c r="AM4731">
        <v>-0.41</v>
      </c>
      <c r="AN4731">
        <v>-5.83</v>
      </c>
      <c r="AO4731">
        <v>-3</v>
      </c>
      <c r="AP4731">
        <v>-5.83</v>
      </c>
    </row>
    <row r="4732" spans="1:42">
      <c r="A4732">
        <v>4731</v>
      </c>
      <c r="B4732" t="str">
        <f>"300636"</f>
        <v>300636</v>
      </c>
      <c r="C4732" t="s">
        <v>21642</v>
      </c>
      <c r="D4732">
        <v>11.59</v>
      </c>
      <c r="E4732">
        <v>-0.86</v>
      </c>
      <c r="F4732">
        <v>-0.1</v>
      </c>
      <c r="G4732" t="s">
        <v>1177</v>
      </c>
      <c r="H4732">
        <v>372</v>
      </c>
      <c r="I4732">
        <v>11.59</v>
      </c>
      <c r="J4732">
        <v>11.61</v>
      </c>
      <c r="K4732" t="s">
        <v>21643</v>
      </c>
      <c r="L4732">
        <v>0.6</v>
      </c>
      <c r="M4732" t="s">
        <v>46</v>
      </c>
      <c r="N4732" t="s">
        <v>2518</v>
      </c>
      <c r="O4732">
        <v>11.77</v>
      </c>
      <c r="P4732">
        <v>11.56</v>
      </c>
      <c r="Q4732">
        <v>11.72</v>
      </c>
      <c r="R4732">
        <v>11.69</v>
      </c>
      <c r="S4732">
        <v>1.8</v>
      </c>
      <c r="T4732">
        <v>0.83</v>
      </c>
      <c r="U4732">
        <v>30.25</v>
      </c>
      <c r="V4732">
        <v>471</v>
      </c>
      <c r="W4732">
        <v>11.62</v>
      </c>
      <c r="X4732">
        <v>8792</v>
      </c>
      <c r="Y4732">
        <v>8778</v>
      </c>
      <c r="Z4732">
        <v>1</v>
      </c>
      <c r="AA4732">
        <v>5</v>
      </c>
      <c r="AB4732">
        <v>248</v>
      </c>
      <c r="AC4732">
        <v>2.24</v>
      </c>
      <c r="AD4732" t="s">
        <v>10386</v>
      </c>
      <c r="AE4732" t="s">
        <v>13212</v>
      </c>
      <c r="AF4732" t="s">
        <v>21644</v>
      </c>
      <c r="AG4732" t="s">
        <v>13121</v>
      </c>
      <c r="AH4732">
        <v>-1.95</v>
      </c>
      <c r="AI4732">
        <v>-2.19</v>
      </c>
      <c r="AJ4732">
        <v>1.74</v>
      </c>
      <c r="AK4732">
        <v>4.25</v>
      </c>
      <c r="AL4732">
        <v>-3</v>
      </c>
      <c r="AM4732">
        <v>-0.86</v>
      </c>
      <c r="AN4732">
        <v>-21.53</v>
      </c>
      <c r="AO4732">
        <v>2.02</v>
      </c>
      <c r="AP4732">
        <v>-27.15</v>
      </c>
    </row>
    <row r="4733" spans="1:42">
      <c r="A4733">
        <v>4732</v>
      </c>
      <c r="B4733" t="str">
        <f>"688607"</f>
        <v>688607</v>
      </c>
      <c r="C4733" t="s">
        <v>21645</v>
      </c>
      <c r="D4733">
        <v>20.79</v>
      </c>
      <c r="E4733">
        <v>-0.05</v>
      </c>
      <c r="F4733">
        <v>-0.01</v>
      </c>
      <c r="G4733">
        <v>9801</v>
      </c>
      <c r="H4733">
        <v>13</v>
      </c>
      <c r="I4733">
        <v>20.79</v>
      </c>
      <c r="J4733">
        <v>20.8</v>
      </c>
      <c r="K4733" t="s">
        <v>21643</v>
      </c>
      <c r="L4733">
        <v>1.47</v>
      </c>
      <c r="M4733" t="s">
        <v>46</v>
      </c>
      <c r="N4733" t="s">
        <v>7511</v>
      </c>
      <c r="O4733">
        <v>21.32</v>
      </c>
      <c r="P4733">
        <v>20.61</v>
      </c>
      <c r="Q4733">
        <v>21.32</v>
      </c>
      <c r="R4733">
        <v>20.8</v>
      </c>
      <c r="S4733">
        <v>3.41</v>
      </c>
      <c r="T4733">
        <v>1.06</v>
      </c>
      <c r="U4733">
        <v>1.06</v>
      </c>
      <c r="V4733">
        <v>5</v>
      </c>
      <c r="W4733">
        <v>20.83</v>
      </c>
      <c r="X4733">
        <v>5248</v>
      </c>
      <c r="Y4733">
        <v>4554</v>
      </c>
      <c r="Z4733">
        <v>1.15</v>
      </c>
      <c r="AA4733">
        <v>3</v>
      </c>
      <c r="AB4733">
        <v>50</v>
      </c>
      <c r="AC4733">
        <v>2.16</v>
      </c>
      <c r="AD4733" t="s">
        <v>21646</v>
      </c>
      <c r="AE4733" t="s">
        <v>5927</v>
      </c>
      <c r="AF4733" t="s">
        <v>21647</v>
      </c>
      <c r="AG4733" t="s">
        <v>10876</v>
      </c>
      <c r="AH4733">
        <v>-1.47</v>
      </c>
      <c r="AI4733">
        <v>-0.43</v>
      </c>
      <c r="AJ4733">
        <v>4.04</v>
      </c>
      <c r="AK4733">
        <v>8.45</v>
      </c>
      <c r="AL4733">
        <v>-3</v>
      </c>
      <c r="AM4733">
        <v>-0.05</v>
      </c>
      <c r="AN4733">
        <v>9.71</v>
      </c>
      <c r="AO4733">
        <v>4.79</v>
      </c>
      <c r="AP4733">
        <v>-9.65</v>
      </c>
    </row>
    <row r="4734" spans="1:42">
      <c r="A4734">
        <v>4733</v>
      </c>
      <c r="B4734" t="str">
        <f>"832175"</f>
        <v>832175</v>
      </c>
      <c r="C4734" t="s">
        <v>21648</v>
      </c>
      <c r="D4734">
        <v>9.63</v>
      </c>
      <c r="E4734">
        <v>-2.33</v>
      </c>
      <c r="F4734">
        <v>-0.23</v>
      </c>
      <c r="G4734" t="s">
        <v>156</v>
      </c>
      <c r="H4734">
        <v>161</v>
      </c>
      <c r="I4734">
        <v>9.62</v>
      </c>
      <c r="J4734">
        <v>9.63</v>
      </c>
      <c r="K4734" t="s">
        <v>13286</v>
      </c>
      <c r="L4734">
        <v>3.75</v>
      </c>
      <c r="M4734" t="s">
        <v>46</v>
      </c>
      <c r="N4734" t="s">
        <v>5382</v>
      </c>
      <c r="O4734">
        <v>10.06</v>
      </c>
      <c r="P4734">
        <v>9.52</v>
      </c>
      <c r="Q4734">
        <v>9.92</v>
      </c>
      <c r="R4734">
        <v>9.86</v>
      </c>
      <c r="S4734">
        <v>5.48</v>
      </c>
      <c r="T4734">
        <v>0.32</v>
      </c>
      <c r="U4734">
        <v>51.13</v>
      </c>
      <c r="V4734">
        <v>289</v>
      </c>
      <c r="W4734">
        <v>9.76</v>
      </c>
      <c r="X4734" t="s">
        <v>1427</v>
      </c>
      <c r="Y4734">
        <v>7992</v>
      </c>
      <c r="Z4734">
        <v>1.62</v>
      </c>
      <c r="AA4734">
        <v>77</v>
      </c>
      <c r="AB4734">
        <v>63</v>
      </c>
      <c r="AC4734">
        <v>1.36</v>
      </c>
      <c r="AD4734" t="s">
        <v>21649</v>
      </c>
      <c r="AE4734" t="s">
        <v>16610</v>
      </c>
      <c r="AF4734" t="s">
        <v>21650</v>
      </c>
      <c r="AG4734" t="s">
        <v>21651</v>
      </c>
      <c r="AH4734">
        <v>-12.93</v>
      </c>
      <c r="AI4734">
        <v>3.55</v>
      </c>
      <c r="AJ4734">
        <v>19.78</v>
      </c>
      <c r="AK4734">
        <v>62.65</v>
      </c>
      <c r="AL4734">
        <v>-4</v>
      </c>
      <c r="AM4734">
        <v>-2.33</v>
      </c>
      <c r="AN4734">
        <v>-25.52</v>
      </c>
      <c r="AO4734">
        <v>19.33</v>
      </c>
      <c r="AP4734">
        <v>-25.58</v>
      </c>
    </row>
    <row r="4735" spans="1:42">
      <c r="A4735">
        <v>4734</v>
      </c>
      <c r="B4735" t="str">
        <f>"688171"</f>
        <v>688171</v>
      </c>
      <c r="C4735" t="s">
        <v>21652</v>
      </c>
      <c r="D4735">
        <v>23.96</v>
      </c>
      <c r="E4735">
        <v>0.29</v>
      </c>
      <c r="F4735">
        <v>0.07</v>
      </c>
      <c r="G4735">
        <v>8527</v>
      </c>
      <c r="H4735">
        <v>12</v>
      </c>
      <c r="I4735">
        <v>23.96</v>
      </c>
      <c r="J4735">
        <v>23.97</v>
      </c>
      <c r="K4735" t="s">
        <v>21653</v>
      </c>
      <c r="L4735">
        <v>1.7</v>
      </c>
      <c r="M4735" t="s">
        <v>46</v>
      </c>
      <c r="N4735" t="s">
        <v>21654</v>
      </c>
      <c r="O4735">
        <v>24.16</v>
      </c>
      <c r="P4735">
        <v>23.7</v>
      </c>
      <c r="Q4735">
        <v>23.95</v>
      </c>
      <c r="R4735">
        <v>23.89</v>
      </c>
      <c r="S4735">
        <v>1.93</v>
      </c>
      <c r="T4735">
        <v>1.13</v>
      </c>
      <c r="U4735">
        <v>-42.68</v>
      </c>
      <c r="V4735">
        <v>-142</v>
      </c>
      <c r="W4735">
        <v>23.92</v>
      </c>
      <c r="X4735">
        <v>4247</v>
      </c>
      <c r="Y4735">
        <v>4280</v>
      </c>
      <c r="Z4735">
        <v>0.99</v>
      </c>
      <c r="AA4735">
        <v>4</v>
      </c>
      <c r="AB4735">
        <v>36</v>
      </c>
      <c r="AC4735">
        <v>2.41</v>
      </c>
      <c r="AD4735" t="s">
        <v>12244</v>
      </c>
      <c r="AE4735" t="s">
        <v>309</v>
      </c>
      <c r="AF4735" t="s">
        <v>21655</v>
      </c>
      <c r="AG4735" t="s">
        <v>827</v>
      </c>
      <c r="AH4735">
        <v>-1.48</v>
      </c>
      <c r="AI4735">
        <v>-2</v>
      </c>
      <c r="AJ4735">
        <v>4.01</v>
      </c>
      <c r="AK4735">
        <v>9.2</v>
      </c>
      <c r="AL4735">
        <v>1</v>
      </c>
      <c r="AM4735">
        <v>0.29</v>
      </c>
      <c r="AN4735">
        <v>27.11</v>
      </c>
      <c r="AO4735">
        <v>0.5</v>
      </c>
      <c r="AP4735">
        <v>6.73</v>
      </c>
    </row>
    <row r="4736" spans="1:42">
      <c r="A4736">
        <v>4735</v>
      </c>
      <c r="B4736" t="str">
        <f>"000055"</f>
        <v>000055</v>
      </c>
      <c r="C4736" t="s">
        <v>21656</v>
      </c>
      <c r="D4736">
        <v>4.55</v>
      </c>
      <c r="E4736">
        <v>0.89</v>
      </c>
      <c r="F4736">
        <v>0.04</v>
      </c>
      <c r="G4736" t="s">
        <v>5963</v>
      </c>
      <c r="H4736">
        <v>359</v>
      </c>
      <c r="I4736">
        <v>4.54</v>
      </c>
      <c r="J4736">
        <v>4.55</v>
      </c>
      <c r="K4736" t="s">
        <v>21653</v>
      </c>
      <c r="L4736">
        <v>0.67</v>
      </c>
      <c r="M4736" t="s">
        <v>46</v>
      </c>
      <c r="N4736" t="s">
        <v>10862</v>
      </c>
      <c r="O4736">
        <v>4.55</v>
      </c>
      <c r="P4736">
        <v>4.49</v>
      </c>
      <c r="Q4736">
        <v>4.52</v>
      </c>
      <c r="R4736">
        <v>4.51</v>
      </c>
      <c r="S4736">
        <v>1.33</v>
      </c>
      <c r="T4736">
        <v>0.86</v>
      </c>
      <c r="U4736">
        <v>-13.67</v>
      </c>
      <c r="V4736">
        <v>-1533</v>
      </c>
      <c r="W4736">
        <v>4.53</v>
      </c>
      <c r="X4736" t="s">
        <v>2111</v>
      </c>
      <c r="Y4736" t="s">
        <v>7028</v>
      </c>
      <c r="Z4736">
        <v>0.61</v>
      </c>
      <c r="AA4736">
        <v>1358</v>
      </c>
      <c r="AB4736">
        <v>1469</v>
      </c>
      <c r="AC4736">
        <v>0.82</v>
      </c>
      <c r="AD4736" t="s">
        <v>5688</v>
      </c>
      <c r="AE4736" t="s">
        <v>20007</v>
      </c>
      <c r="AF4736" t="s">
        <v>21657</v>
      </c>
      <c r="AG4736" t="s">
        <v>17833</v>
      </c>
      <c r="AH4736">
        <v>-1.52</v>
      </c>
      <c r="AI4736">
        <v>-2.36</v>
      </c>
      <c r="AJ4736">
        <v>2.25</v>
      </c>
      <c r="AK4736">
        <v>4.52</v>
      </c>
      <c r="AL4736">
        <v>1</v>
      </c>
      <c r="AM4736">
        <v>0.89</v>
      </c>
      <c r="AN4736">
        <v>-2.78</v>
      </c>
      <c r="AO4736">
        <v>-0.66</v>
      </c>
      <c r="AP4736">
        <v>-9</v>
      </c>
    </row>
    <row r="4737" spans="1:42">
      <c r="A4737">
        <v>4736</v>
      </c>
      <c r="B4737" t="str">
        <f>"002842"</f>
        <v>002842</v>
      </c>
      <c r="C4737" t="s">
        <v>21658</v>
      </c>
      <c r="D4737">
        <v>8.65</v>
      </c>
      <c r="E4737">
        <v>0</v>
      </c>
      <c r="F4737">
        <v>0</v>
      </c>
      <c r="G4737" t="s">
        <v>3151</v>
      </c>
      <c r="H4737">
        <v>232</v>
      </c>
      <c r="I4737">
        <v>8.65</v>
      </c>
      <c r="J4737">
        <v>8.66</v>
      </c>
      <c r="K4737" t="s">
        <v>21659</v>
      </c>
      <c r="L4737">
        <v>1.09</v>
      </c>
      <c r="M4737" t="s">
        <v>46</v>
      </c>
      <c r="N4737" t="s">
        <v>3001</v>
      </c>
      <c r="O4737">
        <v>8.71</v>
      </c>
      <c r="P4737">
        <v>8.56</v>
      </c>
      <c r="Q4737">
        <v>8.66</v>
      </c>
      <c r="R4737">
        <v>8.65</v>
      </c>
      <c r="S4737">
        <v>1.73</v>
      </c>
      <c r="T4737">
        <v>0.81</v>
      </c>
      <c r="U4737">
        <v>2.21</v>
      </c>
      <c r="V4737">
        <v>43</v>
      </c>
      <c r="W4737">
        <v>8.65</v>
      </c>
      <c r="X4737">
        <v>9682</v>
      </c>
      <c r="Y4737" t="s">
        <v>4525</v>
      </c>
      <c r="Z4737">
        <v>0.7</v>
      </c>
      <c r="AA4737">
        <v>642</v>
      </c>
      <c r="AB4737">
        <v>69</v>
      </c>
      <c r="AC4737">
        <v>2.85</v>
      </c>
      <c r="AD4737" t="s">
        <v>21660</v>
      </c>
      <c r="AE4737" t="s">
        <v>3336</v>
      </c>
      <c r="AF4737" t="s">
        <v>6609</v>
      </c>
      <c r="AG4737" t="s">
        <v>11693</v>
      </c>
      <c r="AH4737">
        <v>-2.26</v>
      </c>
      <c r="AI4737">
        <v>-2.04</v>
      </c>
      <c r="AJ4737">
        <v>3.56</v>
      </c>
      <c r="AK4737">
        <v>7.84</v>
      </c>
      <c r="AL4737">
        <v>0</v>
      </c>
      <c r="AM4737">
        <v>0</v>
      </c>
      <c r="AN4737">
        <v>10.9</v>
      </c>
      <c r="AO4737">
        <v>0</v>
      </c>
      <c r="AP4737">
        <v>5.23</v>
      </c>
    </row>
    <row r="4738" spans="1:42">
      <c r="A4738">
        <v>4737</v>
      </c>
      <c r="B4738" t="str">
        <f>"603657"</f>
        <v>603657</v>
      </c>
      <c r="C4738" t="s">
        <v>21661</v>
      </c>
      <c r="D4738">
        <v>15.8</v>
      </c>
      <c r="E4738">
        <v>-1.31</v>
      </c>
      <c r="F4738">
        <v>-0.21</v>
      </c>
      <c r="G4738" t="s">
        <v>209</v>
      </c>
      <c r="H4738">
        <v>47</v>
      </c>
      <c r="I4738">
        <v>15.78</v>
      </c>
      <c r="J4738">
        <v>15.8</v>
      </c>
      <c r="K4738" t="s">
        <v>21662</v>
      </c>
      <c r="L4738">
        <v>0.95</v>
      </c>
      <c r="M4738" t="s">
        <v>46</v>
      </c>
      <c r="N4738" t="s">
        <v>2900</v>
      </c>
      <c r="O4738">
        <v>16.01</v>
      </c>
      <c r="P4738">
        <v>15.72</v>
      </c>
      <c r="Q4738">
        <v>16.01</v>
      </c>
      <c r="R4738">
        <v>16.01</v>
      </c>
      <c r="S4738">
        <v>1.81</v>
      </c>
      <c r="T4738">
        <v>1.12</v>
      </c>
      <c r="U4738">
        <v>-67.03</v>
      </c>
      <c r="V4738">
        <v>-187</v>
      </c>
      <c r="W4738">
        <v>15.83</v>
      </c>
      <c r="X4738">
        <v>6202</v>
      </c>
      <c r="Y4738">
        <v>6638</v>
      </c>
      <c r="Z4738">
        <v>0.93</v>
      </c>
      <c r="AA4738">
        <v>1</v>
      </c>
      <c r="AB4738">
        <v>133</v>
      </c>
      <c r="AC4738">
        <v>2.22</v>
      </c>
      <c r="AD4738" t="s">
        <v>264</v>
      </c>
      <c r="AE4738" t="s">
        <v>8745</v>
      </c>
      <c r="AF4738" t="s">
        <v>21663</v>
      </c>
      <c r="AG4738" t="s">
        <v>7886</v>
      </c>
      <c r="AH4738">
        <v>-1.06</v>
      </c>
      <c r="AI4738">
        <v>-2.11</v>
      </c>
      <c r="AJ4738">
        <v>2.43</v>
      </c>
      <c r="AK4738">
        <v>5.17</v>
      </c>
      <c r="AL4738">
        <v>-2</v>
      </c>
      <c r="AM4738">
        <v>-1.31</v>
      </c>
      <c r="AN4738">
        <v>1.15</v>
      </c>
      <c r="AO4738">
        <v>4.36</v>
      </c>
      <c r="AP4738">
        <v>5.33</v>
      </c>
    </row>
    <row r="4739" spans="1:42">
      <c r="A4739">
        <v>4738</v>
      </c>
      <c r="B4739" t="str">
        <f>"603856"</f>
        <v>603856</v>
      </c>
      <c r="C4739" t="s">
        <v>21664</v>
      </c>
      <c r="D4739">
        <v>11.78</v>
      </c>
      <c r="E4739">
        <v>0.43</v>
      </c>
      <c r="F4739">
        <v>0.05</v>
      </c>
      <c r="G4739" t="s">
        <v>6656</v>
      </c>
      <c r="H4739">
        <v>497</v>
      </c>
      <c r="I4739">
        <v>11.78</v>
      </c>
      <c r="J4739">
        <v>11.79</v>
      </c>
      <c r="K4739" t="s">
        <v>21662</v>
      </c>
      <c r="L4739">
        <v>0.68</v>
      </c>
      <c r="M4739" t="s">
        <v>46</v>
      </c>
      <c r="N4739" t="s">
        <v>9913</v>
      </c>
      <c r="O4739">
        <v>11.79</v>
      </c>
      <c r="P4739">
        <v>11.68</v>
      </c>
      <c r="Q4739">
        <v>11.74</v>
      </c>
      <c r="R4739">
        <v>11.73</v>
      </c>
      <c r="S4739">
        <v>0.94</v>
      </c>
      <c r="T4739">
        <v>0.9</v>
      </c>
      <c r="U4739">
        <v>51.99</v>
      </c>
      <c r="V4739">
        <v>916</v>
      </c>
      <c r="W4739">
        <v>11.74</v>
      </c>
      <c r="X4739">
        <v>7021</v>
      </c>
      <c r="Y4739" t="s">
        <v>1154</v>
      </c>
      <c r="Z4739">
        <v>0.68</v>
      </c>
      <c r="AA4739">
        <v>2</v>
      </c>
      <c r="AB4739">
        <v>142</v>
      </c>
      <c r="AC4739">
        <v>1.36</v>
      </c>
      <c r="AD4739" t="s">
        <v>21665</v>
      </c>
      <c r="AE4739" t="s">
        <v>13792</v>
      </c>
      <c r="AF4739" t="s">
        <v>21666</v>
      </c>
      <c r="AG4739" t="s">
        <v>21667</v>
      </c>
      <c r="AH4739">
        <v>-0.59</v>
      </c>
      <c r="AI4739">
        <v>-0.76</v>
      </c>
      <c r="AJ4739">
        <v>2.01</v>
      </c>
      <c r="AK4739">
        <v>4.41</v>
      </c>
      <c r="AL4739">
        <v>1</v>
      </c>
      <c r="AM4739">
        <v>0.43</v>
      </c>
      <c r="AN4739">
        <v>3.15</v>
      </c>
      <c r="AO4739">
        <v>0.86</v>
      </c>
      <c r="AP4739">
        <v>3.61</v>
      </c>
    </row>
    <row r="4740" spans="1:42">
      <c r="A4740">
        <v>4739</v>
      </c>
      <c r="B4740" t="str">
        <f>"002502"</f>
        <v>002502</v>
      </c>
      <c r="C4740" t="s">
        <v>21668</v>
      </c>
      <c r="D4740">
        <v>2.57</v>
      </c>
      <c r="E4740">
        <v>0.78</v>
      </c>
      <c r="F4740">
        <v>0.02</v>
      </c>
      <c r="G4740" t="s">
        <v>6376</v>
      </c>
      <c r="H4740">
        <v>739</v>
      </c>
      <c r="I4740">
        <v>2.57</v>
      </c>
      <c r="J4740">
        <v>2.58</v>
      </c>
      <c r="K4740" t="s">
        <v>21669</v>
      </c>
      <c r="L4740">
        <v>0.95</v>
      </c>
      <c r="M4740" t="s">
        <v>46</v>
      </c>
      <c r="N4740" t="s">
        <v>3680</v>
      </c>
      <c r="O4740">
        <v>2.59</v>
      </c>
      <c r="P4740">
        <v>2.54</v>
      </c>
      <c r="Q4740">
        <v>2.55</v>
      </c>
      <c r="R4740">
        <v>2.55</v>
      </c>
      <c r="S4740">
        <v>1.96</v>
      </c>
      <c r="T4740">
        <v>0.59</v>
      </c>
      <c r="U4740">
        <v>1.94</v>
      </c>
      <c r="V4740">
        <v>495</v>
      </c>
      <c r="W4740">
        <v>2.56</v>
      </c>
      <c r="X4740" t="s">
        <v>57</v>
      </c>
      <c r="Y4740" t="s">
        <v>4559</v>
      </c>
      <c r="Z4740">
        <v>0.72</v>
      </c>
      <c r="AA4740">
        <v>3525</v>
      </c>
      <c r="AB4740">
        <v>1339</v>
      </c>
      <c r="AC4740">
        <v>2.2</v>
      </c>
      <c r="AD4740" t="s">
        <v>21670</v>
      </c>
      <c r="AE4740" t="s">
        <v>4473</v>
      </c>
      <c r="AF4740" t="s">
        <v>21671</v>
      </c>
      <c r="AG4740" t="s">
        <v>15651</v>
      </c>
      <c r="AH4740">
        <v>0</v>
      </c>
      <c r="AI4740">
        <v>-3.75</v>
      </c>
      <c r="AJ4740">
        <v>3.08</v>
      </c>
      <c r="AK4740">
        <v>9.07</v>
      </c>
      <c r="AL4740">
        <v>1</v>
      </c>
      <c r="AM4740">
        <v>0.78</v>
      </c>
      <c r="AN4740">
        <v>-24.63</v>
      </c>
      <c r="AO4740">
        <v>1.58</v>
      </c>
      <c r="AP4740">
        <v>-29.01</v>
      </c>
    </row>
    <row r="4741" spans="1:42">
      <c r="A4741">
        <v>4740</v>
      </c>
      <c r="B4741" t="str">
        <f>"688051"</f>
        <v>688051</v>
      </c>
      <c r="C4741" t="s">
        <v>21672</v>
      </c>
      <c r="D4741">
        <v>34.91</v>
      </c>
      <c r="E4741">
        <v>3.62</v>
      </c>
      <c r="F4741">
        <v>1.22</v>
      </c>
      <c r="G4741">
        <v>5912</v>
      </c>
      <c r="H4741">
        <v>66</v>
      </c>
      <c r="I4741">
        <v>34.91</v>
      </c>
      <c r="J4741">
        <v>34.92</v>
      </c>
      <c r="K4741" t="s">
        <v>21673</v>
      </c>
      <c r="L4741">
        <v>0.76</v>
      </c>
      <c r="M4741" t="s">
        <v>46</v>
      </c>
      <c r="N4741" t="s">
        <v>6442</v>
      </c>
      <c r="O4741">
        <v>35.09</v>
      </c>
      <c r="P4741">
        <v>33.5</v>
      </c>
      <c r="Q4741">
        <v>33.5</v>
      </c>
      <c r="R4741">
        <v>33.69</v>
      </c>
      <c r="S4741">
        <v>4.72</v>
      </c>
      <c r="T4741">
        <v>0.96</v>
      </c>
      <c r="U4741">
        <v>50.11</v>
      </c>
      <c r="V4741">
        <v>103</v>
      </c>
      <c r="W4741">
        <v>34.36</v>
      </c>
      <c r="X4741">
        <v>2390</v>
      </c>
      <c r="Y4741">
        <v>3522</v>
      </c>
      <c r="Z4741">
        <v>0.68</v>
      </c>
      <c r="AA4741">
        <v>11</v>
      </c>
      <c r="AB4741">
        <v>11</v>
      </c>
      <c r="AC4741">
        <v>2.87</v>
      </c>
      <c r="AD4741" t="s">
        <v>21674</v>
      </c>
      <c r="AE4741" t="s">
        <v>7595</v>
      </c>
      <c r="AF4741" t="s">
        <v>21674</v>
      </c>
      <c r="AG4741" t="s">
        <v>7595</v>
      </c>
      <c r="AH4741">
        <v>1.1</v>
      </c>
      <c r="AI4741">
        <v>-1.69</v>
      </c>
      <c r="AJ4741">
        <v>2.02</v>
      </c>
      <c r="AK4741">
        <v>4.75</v>
      </c>
      <c r="AL4741">
        <v>1</v>
      </c>
      <c r="AM4741">
        <v>3.62</v>
      </c>
      <c r="AN4741">
        <v>12.72</v>
      </c>
      <c r="AO4741">
        <v>7.42</v>
      </c>
      <c r="AP4741">
        <v>36.31</v>
      </c>
    </row>
    <row r="4742" spans="1:42">
      <c r="A4742">
        <v>4741</v>
      </c>
      <c r="B4742" t="str">
        <f>"002140"</f>
        <v>002140</v>
      </c>
      <c r="C4742" t="s">
        <v>21675</v>
      </c>
      <c r="D4742">
        <v>8.74</v>
      </c>
      <c r="E4742">
        <v>0.11</v>
      </c>
      <c r="F4742">
        <v>0.01</v>
      </c>
      <c r="G4742" t="s">
        <v>5710</v>
      </c>
      <c r="H4742">
        <v>87</v>
      </c>
      <c r="I4742">
        <v>8.73</v>
      </c>
      <c r="J4742">
        <v>8.74</v>
      </c>
      <c r="K4742" t="s">
        <v>21673</v>
      </c>
      <c r="L4742">
        <v>0.43</v>
      </c>
      <c r="M4742" t="s">
        <v>46</v>
      </c>
      <c r="N4742" t="s">
        <v>21676</v>
      </c>
      <c r="O4742">
        <v>8.78</v>
      </c>
      <c r="P4742">
        <v>8.68</v>
      </c>
      <c r="Q4742">
        <v>8.78</v>
      </c>
      <c r="R4742">
        <v>8.73</v>
      </c>
      <c r="S4742">
        <v>1.15</v>
      </c>
      <c r="T4742">
        <v>0.96</v>
      </c>
      <c r="U4742">
        <v>0.83</v>
      </c>
      <c r="V4742">
        <v>27</v>
      </c>
      <c r="W4742">
        <v>8.72</v>
      </c>
      <c r="X4742" t="s">
        <v>2147</v>
      </c>
      <c r="Y4742" t="s">
        <v>682</v>
      </c>
      <c r="Z4742">
        <v>0.85</v>
      </c>
      <c r="AA4742">
        <v>50</v>
      </c>
      <c r="AB4742">
        <v>177</v>
      </c>
      <c r="AC4742">
        <v>1.59</v>
      </c>
      <c r="AD4742" t="s">
        <v>21677</v>
      </c>
      <c r="AE4742" t="s">
        <v>9588</v>
      </c>
      <c r="AF4742" t="s">
        <v>21678</v>
      </c>
      <c r="AG4742" t="s">
        <v>7343</v>
      </c>
      <c r="AH4742">
        <v>-1.13</v>
      </c>
      <c r="AI4742">
        <v>-1.69</v>
      </c>
      <c r="AJ4742">
        <v>1.28</v>
      </c>
      <c r="AK4742">
        <v>2.68</v>
      </c>
      <c r="AL4742">
        <v>1</v>
      </c>
      <c r="AM4742">
        <v>0.11</v>
      </c>
      <c r="AN4742">
        <v>-1.91</v>
      </c>
      <c r="AO4742">
        <v>1.75</v>
      </c>
      <c r="AP4742">
        <v>-11.72</v>
      </c>
    </row>
    <row r="4743" spans="1:42">
      <c r="A4743">
        <v>4742</v>
      </c>
      <c r="B4743" t="str">
        <f>"002513"</f>
        <v>002513</v>
      </c>
      <c r="C4743" t="s">
        <v>21679</v>
      </c>
      <c r="D4743">
        <v>6.76</v>
      </c>
      <c r="E4743">
        <v>0</v>
      </c>
      <c r="F4743">
        <v>0</v>
      </c>
      <c r="G4743" t="s">
        <v>1251</v>
      </c>
      <c r="H4743">
        <v>516</v>
      </c>
      <c r="I4743">
        <v>6.76</v>
      </c>
      <c r="J4743">
        <v>6.77</v>
      </c>
      <c r="K4743" t="s">
        <v>21673</v>
      </c>
      <c r="L4743">
        <v>1.14</v>
      </c>
      <c r="M4743" t="s">
        <v>46</v>
      </c>
      <c r="N4743" t="s">
        <v>21680</v>
      </c>
      <c r="O4743">
        <v>6.82</v>
      </c>
      <c r="P4743">
        <v>6.7</v>
      </c>
      <c r="Q4743">
        <v>6.75</v>
      </c>
      <c r="R4743">
        <v>6.76</v>
      </c>
      <c r="S4743">
        <v>1.78</v>
      </c>
      <c r="T4743">
        <v>0.61</v>
      </c>
      <c r="U4743">
        <v>30.5</v>
      </c>
      <c r="V4743">
        <v>1925</v>
      </c>
      <c r="W4743">
        <v>6.77</v>
      </c>
      <c r="X4743" t="s">
        <v>1967</v>
      </c>
      <c r="Y4743" t="s">
        <v>5997</v>
      </c>
      <c r="Z4743">
        <v>0.78</v>
      </c>
      <c r="AA4743">
        <v>871</v>
      </c>
      <c r="AB4743">
        <v>543</v>
      </c>
      <c r="AC4743">
        <v>11.33</v>
      </c>
      <c r="AD4743" t="s">
        <v>21681</v>
      </c>
      <c r="AE4743" t="s">
        <v>21682</v>
      </c>
      <c r="AF4743" t="s">
        <v>9264</v>
      </c>
      <c r="AG4743" t="s">
        <v>5816</v>
      </c>
      <c r="AH4743">
        <v>-0.73</v>
      </c>
      <c r="AI4743">
        <v>-3.43</v>
      </c>
      <c r="AJ4743">
        <v>4.45</v>
      </c>
      <c r="AK4743">
        <v>10.5</v>
      </c>
      <c r="AL4743">
        <v>0</v>
      </c>
      <c r="AM4743">
        <v>0</v>
      </c>
      <c r="AN4743">
        <v>30.75</v>
      </c>
      <c r="AO4743">
        <v>-10.46</v>
      </c>
      <c r="AP4743">
        <v>19.43</v>
      </c>
    </row>
    <row r="4744" spans="1:42">
      <c r="A4744">
        <v>4743</v>
      </c>
      <c r="B4744" t="str">
        <f>"301113"</f>
        <v>301113</v>
      </c>
      <c r="C4744" t="s">
        <v>21683</v>
      </c>
      <c r="D4744">
        <v>32.65</v>
      </c>
      <c r="E4744">
        <v>-0.18</v>
      </c>
      <c r="F4744">
        <v>-0.06</v>
      </c>
      <c r="G4744">
        <v>6177</v>
      </c>
      <c r="H4744">
        <v>107</v>
      </c>
      <c r="I4744">
        <v>32.65</v>
      </c>
      <c r="J4744">
        <v>32.69</v>
      </c>
      <c r="K4744" t="s">
        <v>21684</v>
      </c>
      <c r="L4744">
        <v>3.34</v>
      </c>
      <c r="M4744" t="s">
        <v>46</v>
      </c>
      <c r="N4744" t="s">
        <v>10272</v>
      </c>
      <c r="O4744">
        <v>33.02</v>
      </c>
      <c r="P4744">
        <v>32.41</v>
      </c>
      <c r="Q4744">
        <v>32.7</v>
      </c>
      <c r="R4744">
        <v>32.71</v>
      </c>
      <c r="S4744">
        <v>1.86</v>
      </c>
      <c r="T4744">
        <v>0.81</v>
      </c>
      <c r="U4744">
        <v>42.71</v>
      </c>
      <c r="V4744">
        <v>82</v>
      </c>
      <c r="W4744">
        <v>32.69</v>
      </c>
      <c r="X4744">
        <v>3106</v>
      </c>
      <c r="Y4744">
        <v>3071</v>
      </c>
      <c r="Z4744">
        <v>1.01</v>
      </c>
      <c r="AA4744">
        <v>5</v>
      </c>
      <c r="AB4744">
        <v>14</v>
      </c>
      <c r="AC4744">
        <v>3.14</v>
      </c>
      <c r="AD4744" t="s">
        <v>13535</v>
      </c>
      <c r="AE4744" t="s">
        <v>21685</v>
      </c>
      <c r="AF4744" t="s">
        <v>20017</v>
      </c>
      <c r="AG4744" t="s">
        <v>14052</v>
      </c>
      <c r="AH4744">
        <v>-0.64</v>
      </c>
      <c r="AI4744">
        <v>-0.34</v>
      </c>
      <c r="AJ4744">
        <v>9.69</v>
      </c>
      <c r="AK4744">
        <v>23.91</v>
      </c>
      <c r="AL4744">
        <v>-3</v>
      </c>
      <c r="AM4744">
        <v>-0.18</v>
      </c>
      <c r="AN4744">
        <v>25.19</v>
      </c>
      <c r="AO4744">
        <v>2.25</v>
      </c>
      <c r="AP4744">
        <v>11.36</v>
      </c>
    </row>
    <row r="4745" spans="1:42">
      <c r="A4745">
        <v>4744</v>
      </c>
      <c r="B4745" t="str">
        <f>"301066"</f>
        <v>301066</v>
      </c>
      <c r="C4745" t="s">
        <v>21686</v>
      </c>
      <c r="D4745">
        <v>13.77</v>
      </c>
      <c r="E4745">
        <v>2</v>
      </c>
      <c r="F4745">
        <v>0.27</v>
      </c>
      <c r="G4745" t="s">
        <v>7656</v>
      </c>
      <c r="H4745">
        <v>82</v>
      </c>
      <c r="I4745">
        <v>13.77</v>
      </c>
      <c r="J4745">
        <v>13.78</v>
      </c>
      <c r="K4745" t="s">
        <v>21687</v>
      </c>
      <c r="L4745">
        <v>2.05</v>
      </c>
      <c r="M4745" t="s">
        <v>46</v>
      </c>
      <c r="N4745" t="s">
        <v>281</v>
      </c>
      <c r="O4745">
        <v>13.82</v>
      </c>
      <c r="P4745">
        <v>13.45</v>
      </c>
      <c r="Q4745">
        <v>13.68</v>
      </c>
      <c r="R4745">
        <v>13.5</v>
      </c>
      <c r="S4745">
        <v>2.74</v>
      </c>
      <c r="T4745">
        <v>0.95</v>
      </c>
      <c r="U4745">
        <v>-33.13</v>
      </c>
      <c r="V4745">
        <v>-109</v>
      </c>
      <c r="W4745">
        <v>13.67</v>
      </c>
      <c r="X4745">
        <v>6619</v>
      </c>
      <c r="Y4745">
        <v>8144</v>
      </c>
      <c r="Z4745">
        <v>0.81</v>
      </c>
      <c r="AA4745">
        <v>1</v>
      </c>
      <c r="AB4745">
        <v>20</v>
      </c>
      <c r="AC4745">
        <v>4.01</v>
      </c>
      <c r="AD4745" t="s">
        <v>2757</v>
      </c>
      <c r="AE4745" t="s">
        <v>21688</v>
      </c>
      <c r="AF4745" t="s">
        <v>13326</v>
      </c>
      <c r="AG4745" t="s">
        <v>21689</v>
      </c>
      <c r="AH4745">
        <v>-0.86</v>
      </c>
      <c r="AI4745">
        <v>-2.06</v>
      </c>
      <c r="AJ4745">
        <v>5.86</v>
      </c>
      <c r="AK4745">
        <v>12.87</v>
      </c>
      <c r="AL4745">
        <v>1</v>
      </c>
      <c r="AM4745">
        <v>2</v>
      </c>
      <c r="AN4745">
        <v>22.62</v>
      </c>
      <c r="AO4745">
        <v>-0.15</v>
      </c>
      <c r="AP4745">
        <v>23.28</v>
      </c>
    </row>
    <row r="4746" spans="1:42">
      <c r="A4746">
        <v>4745</v>
      </c>
      <c r="B4746" t="str">
        <f>"001316"</f>
        <v>001316</v>
      </c>
      <c r="C4746" t="s">
        <v>21690</v>
      </c>
      <c r="D4746">
        <v>35.99</v>
      </c>
      <c r="E4746">
        <v>0.25</v>
      </c>
      <c r="F4746">
        <v>0.09</v>
      </c>
      <c r="G4746">
        <v>5616</v>
      </c>
      <c r="H4746">
        <v>33</v>
      </c>
      <c r="I4746">
        <v>35.97</v>
      </c>
      <c r="J4746">
        <v>35.99</v>
      </c>
      <c r="K4746" t="s">
        <v>21691</v>
      </c>
      <c r="L4746">
        <v>1.98</v>
      </c>
      <c r="M4746" t="s">
        <v>46</v>
      </c>
      <c r="N4746" t="s">
        <v>2648</v>
      </c>
      <c r="O4746">
        <v>36.22</v>
      </c>
      <c r="P4746">
        <v>35.56</v>
      </c>
      <c r="Q4746">
        <v>36.01</v>
      </c>
      <c r="R4746">
        <v>35.9</v>
      </c>
      <c r="S4746">
        <v>1.84</v>
      </c>
      <c r="T4746">
        <v>0.92</v>
      </c>
      <c r="U4746">
        <v>-0.62</v>
      </c>
      <c r="V4746">
        <v>-1</v>
      </c>
      <c r="W4746">
        <v>35.89</v>
      </c>
      <c r="X4746">
        <v>2811</v>
      </c>
      <c r="Y4746">
        <v>2805</v>
      </c>
      <c r="Z4746">
        <v>1</v>
      </c>
      <c r="AA4746">
        <v>6</v>
      </c>
      <c r="AB4746">
        <v>6</v>
      </c>
      <c r="AC4746">
        <v>2.62</v>
      </c>
      <c r="AD4746" t="s">
        <v>21692</v>
      </c>
      <c r="AE4746" t="s">
        <v>15461</v>
      </c>
      <c r="AF4746" t="s">
        <v>19976</v>
      </c>
      <c r="AG4746" t="s">
        <v>1070</v>
      </c>
      <c r="AH4746">
        <v>-2.12</v>
      </c>
      <c r="AI4746">
        <v>-2.07</v>
      </c>
      <c r="AJ4746">
        <v>6.1</v>
      </c>
      <c r="AK4746">
        <v>12.67</v>
      </c>
      <c r="AL4746">
        <v>1</v>
      </c>
      <c r="AM4746">
        <v>0.25</v>
      </c>
      <c r="AN4746">
        <v>-5.49</v>
      </c>
      <c r="AO4746">
        <v>0.19</v>
      </c>
      <c r="AP4746">
        <v>-10.92</v>
      </c>
    </row>
    <row r="4747" spans="1:42">
      <c r="A4747">
        <v>4746</v>
      </c>
      <c r="B4747" t="str">
        <f>"600956"</f>
        <v>600956</v>
      </c>
      <c r="C4747" t="s">
        <v>21693</v>
      </c>
      <c r="D4747">
        <v>7.84</v>
      </c>
      <c r="E4747">
        <v>0</v>
      </c>
      <c r="F4747">
        <v>0</v>
      </c>
      <c r="G4747" t="s">
        <v>4422</v>
      </c>
      <c r="H4747">
        <v>234</v>
      </c>
      <c r="I4747">
        <v>7.84</v>
      </c>
      <c r="J4747">
        <v>7.85</v>
      </c>
      <c r="K4747" t="s">
        <v>21694</v>
      </c>
      <c r="L4747">
        <v>0.12</v>
      </c>
      <c r="M4747" t="s">
        <v>46</v>
      </c>
      <c r="N4747" t="s">
        <v>11309</v>
      </c>
      <c r="O4747">
        <v>7.91</v>
      </c>
      <c r="P4747">
        <v>7.82</v>
      </c>
      <c r="Q4747">
        <v>7.86</v>
      </c>
      <c r="R4747">
        <v>7.84</v>
      </c>
      <c r="S4747">
        <v>1.15</v>
      </c>
      <c r="T4747">
        <v>1</v>
      </c>
      <c r="U4747">
        <v>-29.63</v>
      </c>
      <c r="V4747">
        <v>-1351</v>
      </c>
      <c r="W4747">
        <v>7.86</v>
      </c>
      <c r="X4747" t="s">
        <v>3130</v>
      </c>
      <c r="Y4747" t="s">
        <v>51</v>
      </c>
      <c r="Z4747">
        <v>1.35</v>
      </c>
      <c r="AA4747">
        <v>120</v>
      </c>
      <c r="AB4747">
        <v>29</v>
      </c>
      <c r="AC4747">
        <v>1.63</v>
      </c>
      <c r="AD4747" t="s">
        <v>19332</v>
      </c>
      <c r="AE4747" t="s">
        <v>21695</v>
      </c>
      <c r="AF4747" t="s">
        <v>12443</v>
      </c>
      <c r="AG4747" t="s">
        <v>5860</v>
      </c>
      <c r="AH4747">
        <v>-0.63</v>
      </c>
      <c r="AI4747">
        <v>-0.38</v>
      </c>
      <c r="AJ4747">
        <v>0.3</v>
      </c>
      <c r="AK4747">
        <v>0.71</v>
      </c>
      <c r="AL4747">
        <v>0</v>
      </c>
      <c r="AM4747">
        <v>0</v>
      </c>
      <c r="AN4747">
        <v>-17.04</v>
      </c>
      <c r="AO4747">
        <v>-5.2</v>
      </c>
      <c r="AP4747">
        <v>-22.3</v>
      </c>
    </row>
    <row r="4748" spans="1:42">
      <c r="A4748">
        <v>4747</v>
      </c>
      <c r="B4748" t="str">
        <f>"603201"</f>
        <v>603201</v>
      </c>
      <c r="C4748" t="s">
        <v>21696</v>
      </c>
      <c r="D4748">
        <v>26.05</v>
      </c>
      <c r="E4748">
        <v>0.35</v>
      </c>
      <c r="F4748">
        <v>0.09</v>
      </c>
      <c r="G4748">
        <v>7769</v>
      </c>
      <c r="H4748">
        <v>366</v>
      </c>
      <c r="I4748">
        <v>26.05</v>
      </c>
      <c r="J4748">
        <v>26.06</v>
      </c>
      <c r="K4748" t="s">
        <v>21697</v>
      </c>
      <c r="L4748">
        <v>1.69</v>
      </c>
      <c r="M4748" t="s">
        <v>46</v>
      </c>
      <c r="N4748" t="s">
        <v>5577</v>
      </c>
      <c r="O4748">
        <v>26.24</v>
      </c>
      <c r="P4748">
        <v>25.68</v>
      </c>
      <c r="Q4748">
        <v>26.09</v>
      </c>
      <c r="R4748">
        <v>25.96</v>
      </c>
      <c r="S4748">
        <v>2.16</v>
      </c>
      <c r="T4748">
        <v>1.01</v>
      </c>
      <c r="U4748">
        <v>-55.92</v>
      </c>
      <c r="V4748">
        <v>-247</v>
      </c>
      <c r="W4748">
        <v>25.92</v>
      </c>
      <c r="X4748">
        <v>4090</v>
      </c>
      <c r="Y4748">
        <v>3679</v>
      </c>
      <c r="Z4748">
        <v>1.11</v>
      </c>
      <c r="AA4748">
        <v>59</v>
      </c>
      <c r="AB4748">
        <v>14</v>
      </c>
      <c r="AC4748">
        <v>2.11</v>
      </c>
      <c r="AD4748" t="s">
        <v>21698</v>
      </c>
      <c r="AE4748" t="s">
        <v>11371</v>
      </c>
      <c r="AF4748" t="s">
        <v>15515</v>
      </c>
      <c r="AG4748" t="s">
        <v>5035</v>
      </c>
      <c r="AH4748">
        <v>0.39</v>
      </c>
      <c r="AI4748">
        <v>1.17</v>
      </c>
      <c r="AJ4748">
        <v>4.76</v>
      </c>
      <c r="AK4748">
        <v>10.05</v>
      </c>
      <c r="AL4748">
        <v>1</v>
      </c>
      <c r="AM4748">
        <v>0.35</v>
      </c>
      <c r="AN4748">
        <v>22.42</v>
      </c>
      <c r="AO4748">
        <v>2.64</v>
      </c>
      <c r="AP4748">
        <v>9.27</v>
      </c>
    </row>
    <row r="4749" spans="1:42">
      <c r="A4749">
        <v>4748</v>
      </c>
      <c r="B4749" t="str">
        <f>"002293"</f>
        <v>002293</v>
      </c>
      <c r="C4749" t="s">
        <v>21699</v>
      </c>
      <c r="D4749">
        <v>9.73</v>
      </c>
      <c r="E4749">
        <v>0.41</v>
      </c>
      <c r="F4749">
        <v>0.04</v>
      </c>
      <c r="G4749" t="s">
        <v>9024</v>
      </c>
      <c r="H4749">
        <v>219</v>
      </c>
      <c r="I4749">
        <v>9.73</v>
      </c>
      <c r="J4749">
        <v>9.74</v>
      </c>
      <c r="K4749" t="s">
        <v>21700</v>
      </c>
      <c r="L4749">
        <v>0.25</v>
      </c>
      <c r="M4749" t="s">
        <v>46</v>
      </c>
      <c r="N4749" t="s">
        <v>7786</v>
      </c>
      <c r="O4749">
        <v>9.78</v>
      </c>
      <c r="P4749">
        <v>9.67</v>
      </c>
      <c r="Q4749">
        <v>9.7</v>
      </c>
      <c r="R4749">
        <v>9.69</v>
      </c>
      <c r="S4749">
        <v>1.14</v>
      </c>
      <c r="T4749">
        <v>0.69</v>
      </c>
      <c r="U4749">
        <v>-40.37</v>
      </c>
      <c r="V4749">
        <v>-1236</v>
      </c>
      <c r="W4749">
        <v>9.74</v>
      </c>
      <c r="X4749" t="s">
        <v>218</v>
      </c>
      <c r="Y4749" t="s">
        <v>2074</v>
      </c>
      <c r="Z4749">
        <v>1.05</v>
      </c>
      <c r="AA4749">
        <v>31</v>
      </c>
      <c r="AB4749">
        <v>100</v>
      </c>
      <c r="AC4749">
        <v>1.97</v>
      </c>
      <c r="AD4749" t="s">
        <v>21701</v>
      </c>
      <c r="AE4749" t="s">
        <v>21702</v>
      </c>
      <c r="AF4749" t="s">
        <v>21703</v>
      </c>
      <c r="AG4749" t="s">
        <v>21704</v>
      </c>
      <c r="AH4749">
        <v>-0.1</v>
      </c>
      <c r="AI4749">
        <v>-1.62</v>
      </c>
      <c r="AJ4749">
        <v>0.93</v>
      </c>
      <c r="AK4749">
        <v>2.06</v>
      </c>
      <c r="AL4749">
        <v>2</v>
      </c>
      <c r="AM4749">
        <v>0.41</v>
      </c>
      <c r="AN4749">
        <v>-8.38</v>
      </c>
      <c r="AO4749">
        <v>-3.47</v>
      </c>
      <c r="AP4749">
        <v>4.51</v>
      </c>
    </row>
    <row r="4750" spans="1:42">
      <c r="A4750">
        <v>4749</v>
      </c>
      <c r="B4750" t="str">
        <f>"300029"</f>
        <v>300029</v>
      </c>
      <c r="C4750" t="s">
        <v>21705</v>
      </c>
      <c r="D4750">
        <v>7.33</v>
      </c>
      <c r="E4750">
        <v>0.41</v>
      </c>
      <c r="F4750">
        <v>0.03</v>
      </c>
      <c r="G4750" t="s">
        <v>7485</v>
      </c>
      <c r="H4750">
        <v>2516</v>
      </c>
      <c r="I4750">
        <v>7.33</v>
      </c>
      <c r="J4750">
        <v>7.34</v>
      </c>
      <c r="K4750" t="s">
        <v>21706</v>
      </c>
      <c r="L4750">
        <v>1.38</v>
      </c>
      <c r="M4750" t="s">
        <v>46</v>
      </c>
      <c r="N4750" t="s">
        <v>6442</v>
      </c>
      <c r="O4750">
        <v>7.4</v>
      </c>
      <c r="P4750">
        <v>7.17</v>
      </c>
      <c r="Q4750">
        <v>7.38</v>
      </c>
      <c r="R4750">
        <v>7.3</v>
      </c>
      <c r="S4750">
        <v>3.15</v>
      </c>
      <c r="T4750">
        <v>0.74</v>
      </c>
      <c r="U4750">
        <v>51.12</v>
      </c>
      <c r="V4750">
        <v>1253</v>
      </c>
      <c r="W4750">
        <v>7.27</v>
      </c>
      <c r="X4750" t="s">
        <v>4943</v>
      </c>
      <c r="Y4750" t="s">
        <v>4959</v>
      </c>
      <c r="Z4750">
        <v>1.44</v>
      </c>
      <c r="AA4750">
        <v>331</v>
      </c>
      <c r="AB4750">
        <v>98</v>
      </c>
      <c r="AC4750">
        <v>66.24</v>
      </c>
      <c r="AD4750" t="s">
        <v>21707</v>
      </c>
      <c r="AE4750" t="s">
        <v>135</v>
      </c>
      <c r="AF4750" t="s">
        <v>3738</v>
      </c>
      <c r="AG4750" t="s">
        <v>7990</v>
      </c>
      <c r="AH4750">
        <v>-1.74</v>
      </c>
      <c r="AI4750">
        <v>-8.38</v>
      </c>
      <c r="AJ4750">
        <v>4.34</v>
      </c>
      <c r="AK4750">
        <v>10.72</v>
      </c>
      <c r="AL4750">
        <v>2</v>
      </c>
      <c r="AM4750">
        <v>0.41</v>
      </c>
      <c r="AN4750">
        <v>-7.91</v>
      </c>
      <c r="AO4750">
        <v>-12.32</v>
      </c>
      <c r="AP4750">
        <v>-10.61</v>
      </c>
    </row>
    <row r="4751" spans="1:42">
      <c r="A4751">
        <v>4750</v>
      </c>
      <c r="B4751" t="str">
        <f>"301109"</f>
        <v>301109</v>
      </c>
      <c r="C4751" t="s">
        <v>21708</v>
      </c>
      <c r="D4751">
        <v>16.3</v>
      </c>
      <c r="E4751">
        <v>0.31</v>
      </c>
      <c r="F4751">
        <v>0.05</v>
      </c>
      <c r="G4751" t="s">
        <v>4792</v>
      </c>
      <c r="H4751">
        <v>32</v>
      </c>
      <c r="I4751">
        <v>16.29</v>
      </c>
      <c r="J4751">
        <v>16.3</v>
      </c>
      <c r="K4751" t="s">
        <v>21709</v>
      </c>
      <c r="L4751">
        <v>1.25</v>
      </c>
      <c r="M4751" t="s">
        <v>46</v>
      </c>
      <c r="N4751" t="s">
        <v>3001</v>
      </c>
      <c r="O4751">
        <v>16.35</v>
      </c>
      <c r="P4751">
        <v>16.13</v>
      </c>
      <c r="Q4751">
        <v>16.25</v>
      </c>
      <c r="R4751">
        <v>16.25</v>
      </c>
      <c r="S4751">
        <v>1.35</v>
      </c>
      <c r="T4751">
        <v>1.14</v>
      </c>
      <c r="U4751">
        <v>11.68</v>
      </c>
      <c r="V4751">
        <v>64</v>
      </c>
      <c r="W4751">
        <v>16.29</v>
      </c>
      <c r="X4751">
        <v>6239</v>
      </c>
      <c r="Y4751">
        <v>6093</v>
      </c>
      <c r="Z4751">
        <v>1.02</v>
      </c>
      <c r="AA4751">
        <v>20</v>
      </c>
      <c r="AB4751">
        <v>3</v>
      </c>
      <c r="AC4751">
        <v>1.33</v>
      </c>
      <c r="AD4751" t="s">
        <v>3550</v>
      </c>
      <c r="AE4751" t="s">
        <v>21710</v>
      </c>
      <c r="AF4751" t="s">
        <v>21711</v>
      </c>
      <c r="AG4751" t="s">
        <v>678</v>
      </c>
      <c r="AH4751">
        <v>-0.49</v>
      </c>
      <c r="AI4751">
        <v>-0.79</v>
      </c>
      <c r="AJ4751">
        <v>3.35</v>
      </c>
      <c r="AK4751">
        <v>6.72</v>
      </c>
      <c r="AL4751">
        <v>1</v>
      </c>
      <c r="AM4751">
        <v>0.31</v>
      </c>
      <c r="AN4751">
        <v>9.25</v>
      </c>
      <c r="AO4751">
        <v>1.24</v>
      </c>
      <c r="AP4751">
        <v>10.14</v>
      </c>
    </row>
    <row r="4752" spans="1:42">
      <c r="A4752">
        <v>4751</v>
      </c>
      <c r="B4752" t="str">
        <f>"603066"</f>
        <v>603066</v>
      </c>
      <c r="C4752" t="s">
        <v>21712</v>
      </c>
      <c r="D4752">
        <v>10.29</v>
      </c>
      <c r="E4752">
        <v>0.19</v>
      </c>
      <c r="F4752">
        <v>0.02</v>
      </c>
      <c r="G4752" t="s">
        <v>5585</v>
      </c>
      <c r="H4752">
        <v>295</v>
      </c>
      <c r="I4752">
        <v>10.29</v>
      </c>
      <c r="J4752">
        <v>10.3</v>
      </c>
      <c r="K4752" t="s">
        <v>3614</v>
      </c>
      <c r="L4752">
        <v>0.65</v>
      </c>
      <c r="M4752" t="s">
        <v>46</v>
      </c>
      <c r="N4752" t="s">
        <v>1100</v>
      </c>
      <c r="O4752">
        <v>10.35</v>
      </c>
      <c r="P4752">
        <v>10.13</v>
      </c>
      <c r="Q4752">
        <v>10.28</v>
      </c>
      <c r="R4752">
        <v>10.27</v>
      </c>
      <c r="S4752">
        <v>2.14</v>
      </c>
      <c r="T4752">
        <v>0.97</v>
      </c>
      <c r="U4752">
        <v>-23.57</v>
      </c>
      <c r="V4752">
        <v>-285</v>
      </c>
      <c r="W4752">
        <v>10.23</v>
      </c>
      <c r="X4752">
        <v>9286</v>
      </c>
      <c r="Y4752" t="s">
        <v>1154</v>
      </c>
      <c r="Z4752">
        <v>0.9</v>
      </c>
      <c r="AA4752">
        <v>239</v>
      </c>
      <c r="AB4752">
        <v>312</v>
      </c>
      <c r="AC4752">
        <v>2.33</v>
      </c>
      <c r="AD4752" t="s">
        <v>21713</v>
      </c>
      <c r="AE4752" t="s">
        <v>21714</v>
      </c>
      <c r="AF4752" t="s">
        <v>21713</v>
      </c>
      <c r="AG4752" t="s">
        <v>21714</v>
      </c>
      <c r="AH4752">
        <v>0</v>
      </c>
      <c r="AI4752">
        <v>-0.19</v>
      </c>
      <c r="AJ4752">
        <v>2.39</v>
      </c>
      <c r="AK4752">
        <v>3.99</v>
      </c>
      <c r="AL4752">
        <v>1</v>
      </c>
      <c r="AM4752">
        <v>0.19</v>
      </c>
      <c r="AN4752">
        <v>-7.38</v>
      </c>
      <c r="AO4752">
        <v>3.11</v>
      </c>
      <c r="AP4752">
        <v>11.36</v>
      </c>
    </row>
    <row r="4753" spans="1:42">
      <c r="A4753">
        <v>4752</v>
      </c>
      <c r="B4753" t="str">
        <f>"688323"</f>
        <v>688323</v>
      </c>
      <c r="C4753" t="s">
        <v>21715</v>
      </c>
      <c r="D4753">
        <v>20.64</v>
      </c>
      <c r="E4753">
        <v>-1.81</v>
      </c>
      <c r="F4753">
        <v>-0.38</v>
      </c>
      <c r="G4753">
        <v>9674</v>
      </c>
      <c r="H4753">
        <v>59</v>
      </c>
      <c r="I4753">
        <v>20.62</v>
      </c>
      <c r="J4753">
        <v>20.64</v>
      </c>
      <c r="K4753" t="s">
        <v>21716</v>
      </c>
      <c r="L4753">
        <v>0.99</v>
      </c>
      <c r="M4753" t="s">
        <v>46</v>
      </c>
      <c r="N4753" t="s">
        <v>6633</v>
      </c>
      <c r="O4753">
        <v>21.05</v>
      </c>
      <c r="P4753">
        <v>20.53</v>
      </c>
      <c r="Q4753">
        <v>21.05</v>
      </c>
      <c r="R4753">
        <v>21.02</v>
      </c>
      <c r="S4753">
        <v>2.47</v>
      </c>
      <c r="T4753">
        <v>1.18</v>
      </c>
      <c r="U4753">
        <v>-74.8</v>
      </c>
      <c r="V4753">
        <v>-288</v>
      </c>
      <c r="W4753">
        <v>20.67</v>
      </c>
      <c r="X4753">
        <v>5979</v>
      </c>
      <c r="Y4753">
        <v>3696</v>
      </c>
      <c r="Z4753">
        <v>1.62</v>
      </c>
      <c r="AA4753">
        <v>1</v>
      </c>
      <c r="AB4753">
        <v>7</v>
      </c>
      <c r="AC4753">
        <v>4.18</v>
      </c>
      <c r="AD4753" t="s">
        <v>8722</v>
      </c>
      <c r="AE4753" t="s">
        <v>13181</v>
      </c>
      <c r="AF4753" t="s">
        <v>21717</v>
      </c>
      <c r="AG4753" t="s">
        <v>979</v>
      </c>
      <c r="AH4753">
        <v>-3.6</v>
      </c>
      <c r="AI4753">
        <v>-2.23</v>
      </c>
      <c r="AJ4753">
        <v>2.59</v>
      </c>
      <c r="AK4753">
        <v>5.19</v>
      </c>
      <c r="AL4753">
        <v>-3</v>
      </c>
      <c r="AM4753">
        <v>-1.81</v>
      </c>
      <c r="AN4753">
        <v>-12.95</v>
      </c>
      <c r="AO4753">
        <v>1.57</v>
      </c>
      <c r="AP4753">
        <v>-26.23</v>
      </c>
    </row>
    <row r="4754" spans="1:42">
      <c r="A4754">
        <v>4753</v>
      </c>
      <c r="B4754" t="str">
        <f>"300932"</f>
        <v>300932</v>
      </c>
      <c r="C4754" t="s">
        <v>21718</v>
      </c>
      <c r="D4754">
        <v>15.88</v>
      </c>
      <c r="E4754">
        <v>-0.63</v>
      </c>
      <c r="F4754">
        <v>-0.1</v>
      </c>
      <c r="G4754" t="s">
        <v>2547</v>
      </c>
      <c r="H4754">
        <v>88</v>
      </c>
      <c r="I4754">
        <v>15.88</v>
      </c>
      <c r="J4754">
        <v>15.89</v>
      </c>
      <c r="K4754" t="s">
        <v>20617</v>
      </c>
      <c r="L4754">
        <v>1.38</v>
      </c>
      <c r="M4754" t="s">
        <v>46</v>
      </c>
      <c r="N4754" t="s">
        <v>2113</v>
      </c>
      <c r="O4754">
        <v>16.11</v>
      </c>
      <c r="P4754">
        <v>15.85</v>
      </c>
      <c r="Q4754">
        <v>15.99</v>
      </c>
      <c r="R4754">
        <v>15.98</v>
      </c>
      <c r="S4754">
        <v>1.63</v>
      </c>
      <c r="T4754">
        <v>0.72</v>
      </c>
      <c r="U4754">
        <v>34.39</v>
      </c>
      <c r="V4754">
        <v>174</v>
      </c>
      <c r="W4754">
        <v>15.93</v>
      </c>
      <c r="X4754">
        <v>6240</v>
      </c>
      <c r="Y4754">
        <v>6300</v>
      </c>
      <c r="Z4754">
        <v>0.99</v>
      </c>
      <c r="AA4754">
        <v>170</v>
      </c>
      <c r="AB4754">
        <v>20</v>
      </c>
      <c r="AC4754">
        <v>1.64</v>
      </c>
      <c r="AD4754" t="s">
        <v>21719</v>
      </c>
      <c r="AE4754" t="s">
        <v>13308</v>
      </c>
      <c r="AF4754" t="s">
        <v>21720</v>
      </c>
      <c r="AG4754" t="s">
        <v>9337</v>
      </c>
      <c r="AH4754">
        <v>-1.91</v>
      </c>
      <c r="AI4754">
        <v>-0.31</v>
      </c>
      <c r="AJ4754">
        <v>4.67</v>
      </c>
      <c r="AK4754">
        <v>10.96</v>
      </c>
      <c r="AL4754">
        <v>-2</v>
      </c>
      <c r="AM4754">
        <v>-0.63</v>
      </c>
      <c r="AN4754">
        <v>11.67</v>
      </c>
      <c r="AO4754">
        <v>2.12</v>
      </c>
      <c r="AP4754">
        <v>-2.7</v>
      </c>
    </row>
    <row r="4755" spans="1:42">
      <c r="A4755">
        <v>4754</v>
      </c>
      <c r="B4755" t="str">
        <f>"603823"</f>
        <v>603823</v>
      </c>
      <c r="C4755" t="s">
        <v>21721</v>
      </c>
      <c r="D4755">
        <v>10.19</v>
      </c>
      <c r="E4755">
        <v>0.49</v>
      </c>
      <c r="F4755">
        <v>0.05</v>
      </c>
      <c r="G4755" t="s">
        <v>1455</v>
      </c>
      <c r="H4755">
        <v>154</v>
      </c>
      <c r="I4755">
        <v>10.18</v>
      </c>
      <c r="J4755">
        <v>10.19</v>
      </c>
      <c r="K4755" t="s">
        <v>21722</v>
      </c>
      <c r="L4755">
        <v>0.48</v>
      </c>
      <c r="M4755" t="s">
        <v>46</v>
      </c>
      <c r="N4755" t="s">
        <v>392</v>
      </c>
      <c r="O4755">
        <v>10.25</v>
      </c>
      <c r="P4755">
        <v>10.1</v>
      </c>
      <c r="Q4755">
        <v>10.24</v>
      </c>
      <c r="R4755">
        <v>10.14</v>
      </c>
      <c r="S4755">
        <v>1.48</v>
      </c>
      <c r="T4755">
        <v>1.07</v>
      </c>
      <c r="U4755">
        <v>55.02</v>
      </c>
      <c r="V4755">
        <v>553</v>
      </c>
      <c r="W4755">
        <v>10.17</v>
      </c>
      <c r="X4755">
        <v>8733</v>
      </c>
      <c r="Y4755" t="s">
        <v>51</v>
      </c>
      <c r="Z4755">
        <v>0.8</v>
      </c>
      <c r="AA4755">
        <v>27</v>
      </c>
      <c r="AB4755">
        <v>55</v>
      </c>
      <c r="AC4755">
        <v>1.94</v>
      </c>
      <c r="AD4755" t="s">
        <v>1808</v>
      </c>
      <c r="AE4755" t="s">
        <v>16636</v>
      </c>
      <c r="AF4755" t="s">
        <v>21723</v>
      </c>
      <c r="AG4755" t="s">
        <v>14823</v>
      </c>
      <c r="AH4755">
        <v>-0.78</v>
      </c>
      <c r="AI4755">
        <v>0.1</v>
      </c>
      <c r="AJ4755">
        <v>1.28</v>
      </c>
      <c r="AK4755">
        <v>2.71</v>
      </c>
      <c r="AL4755">
        <v>1</v>
      </c>
      <c r="AM4755">
        <v>0.49</v>
      </c>
      <c r="AN4755">
        <v>-16.2</v>
      </c>
      <c r="AO4755">
        <v>0.89</v>
      </c>
      <c r="AP4755">
        <v>-18.41</v>
      </c>
    </row>
    <row r="4756" spans="1:42">
      <c r="A4756">
        <v>4755</v>
      </c>
      <c r="B4756" t="str">
        <f>"605060"</f>
        <v>605060</v>
      </c>
      <c r="C4756" t="s">
        <v>21724</v>
      </c>
      <c r="D4756">
        <v>20</v>
      </c>
      <c r="E4756">
        <v>-0.94</v>
      </c>
      <c r="F4756">
        <v>-0.19</v>
      </c>
      <c r="G4756">
        <v>9961</v>
      </c>
      <c r="H4756">
        <v>249</v>
      </c>
      <c r="I4756">
        <v>19.99</v>
      </c>
      <c r="J4756">
        <v>20</v>
      </c>
      <c r="K4756" t="s">
        <v>21725</v>
      </c>
      <c r="L4756">
        <v>1.22</v>
      </c>
      <c r="M4756" t="s">
        <v>46</v>
      </c>
      <c r="N4756" t="s">
        <v>1252</v>
      </c>
      <c r="O4756">
        <v>20.25</v>
      </c>
      <c r="P4756">
        <v>19.79</v>
      </c>
      <c r="Q4756">
        <v>20.25</v>
      </c>
      <c r="R4756">
        <v>20.19</v>
      </c>
      <c r="S4756">
        <v>2.28</v>
      </c>
      <c r="T4756">
        <v>1.13</v>
      </c>
      <c r="U4756">
        <v>-45.49</v>
      </c>
      <c r="V4756">
        <v>-227</v>
      </c>
      <c r="W4756">
        <v>19.99</v>
      </c>
      <c r="X4756">
        <v>5126</v>
      </c>
      <c r="Y4756">
        <v>4835</v>
      </c>
      <c r="Z4756">
        <v>1.06</v>
      </c>
      <c r="AA4756">
        <v>22</v>
      </c>
      <c r="AB4756">
        <v>65</v>
      </c>
      <c r="AC4756">
        <v>2.19</v>
      </c>
      <c r="AD4756" t="s">
        <v>21726</v>
      </c>
      <c r="AE4756" t="s">
        <v>11974</v>
      </c>
      <c r="AF4756" t="s">
        <v>21727</v>
      </c>
      <c r="AG4756" t="s">
        <v>3766</v>
      </c>
      <c r="AH4756">
        <v>-2.82</v>
      </c>
      <c r="AI4756">
        <v>-3.85</v>
      </c>
      <c r="AJ4756">
        <v>3.36</v>
      </c>
      <c r="AK4756">
        <v>6.63</v>
      </c>
      <c r="AL4756">
        <v>-3</v>
      </c>
      <c r="AM4756">
        <v>-0.94</v>
      </c>
      <c r="AN4756">
        <v>-21.48</v>
      </c>
      <c r="AO4756">
        <v>1.37</v>
      </c>
      <c r="AP4756">
        <v>-27.88</v>
      </c>
    </row>
    <row r="4757" spans="1:42">
      <c r="A4757">
        <v>4756</v>
      </c>
      <c r="B4757" t="str">
        <f>"301150"</f>
        <v>301150</v>
      </c>
      <c r="C4757" t="s">
        <v>21728</v>
      </c>
      <c r="D4757">
        <v>36.76</v>
      </c>
      <c r="E4757">
        <v>0.08</v>
      </c>
      <c r="F4757">
        <v>0.03</v>
      </c>
      <c r="G4757">
        <v>5448</v>
      </c>
      <c r="H4757">
        <v>47</v>
      </c>
      <c r="I4757">
        <v>36.76</v>
      </c>
      <c r="J4757">
        <v>36.77</v>
      </c>
      <c r="K4757" t="s">
        <v>8163</v>
      </c>
      <c r="L4757">
        <v>0.8</v>
      </c>
      <c r="M4757" t="s">
        <v>46</v>
      </c>
      <c r="N4757" t="s">
        <v>9088</v>
      </c>
      <c r="O4757">
        <v>36.9</v>
      </c>
      <c r="P4757">
        <v>36.2</v>
      </c>
      <c r="Q4757">
        <v>36.63</v>
      </c>
      <c r="R4757">
        <v>36.73</v>
      </c>
      <c r="S4757">
        <v>1.91</v>
      </c>
      <c r="T4757">
        <v>0.54</v>
      </c>
      <c r="U4757">
        <v>-7.06</v>
      </c>
      <c r="V4757">
        <v>-12</v>
      </c>
      <c r="W4757">
        <v>36.5</v>
      </c>
      <c r="X4757">
        <v>2602</v>
      </c>
      <c r="Y4757">
        <v>2846</v>
      </c>
      <c r="Z4757">
        <v>0.91</v>
      </c>
      <c r="AA4757">
        <v>10</v>
      </c>
      <c r="AB4757">
        <v>31</v>
      </c>
      <c r="AC4757">
        <v>1.3</v>
      </c>
      <c r="AD4757" t="s">
        <v>9294</v>
      </c>
      <c r="AE4757" t="s">
        <v>21729</v>
      </c>
      <c r="AF4757" t="s">
        <v>5457</v>
      </c>
      <c r="AG4757" t="s">
        <v>18100</v>
      </c>
      <c r="AH4757">
        <v>-2.57</v>
      </c>
      <c r="AI4757">
        <v>-7.27</v>
      </c>
      <c r="AJ4757">
        <v>2.83</v>
      </c>
      <c r="AK4757">
        <v>8.18</v>
      </c>
      <c r="AL4757">
        <v>1</v>
      </c>
      <c r="AM4757">
        <v>0.08</v>
      </c>
      <c r="AN4757">
        <v>-24.39</v>
      </c>
      <c r="AO4757">
        <v>0.6</v>
      </c>
      <c r="AP4757">
        <v>-35.11</v>
      </c>
    </row>
    <row r="4758" spans="1:42">
      <c r="A4758">
        <v>4757</v>
      </c>
      <c r="B4758" t="str">
        <f>"003041"</f>
        <v>003041</v>
      </c>
      <c r="C4758" t="s">
        <v>21730</v>
      </c>
      <c r="D4758">
        <v>17.21</v>
      </c>
      <c r="E4758">
        <v>0.58</v>
      </c>
      <c r="F4758">
        <v>0.1</v>
      </c>
      <c r="G4758" t="s">
        <v>1743</v>
      </c>
      <c r="H4758">
        <v>105</v>
      </c>
      <c r="I4758">
        <v>17.15</v>
      </c>
      <c r="J4758">
        <v>17.21</v>
      </c>
      <c r="K4758" t="s">
        <v>8163</v>
      </c>
      <c r="L4758">
        <v>2.52</v>
      </c>
      <c r="M4758" t="s">
        <v>46</v>
      </c>
      <c r="N4758" t="s">
        <v>10673</v>
      </c>
      <c r="O4758">
        <v>17.35</v>
      </c>
      <c r="P4758">
        <v>17.02</v>
      </c>
      <c r="Q4758">
        <v>17.06</v>
      </c>
      <c r="R4758">
        <v>17.11</v>
      </c>
      <c r="S4758">
        <v>1.93</v>
      </c>
      <c r="T4758">
        <v>1.07</v>
      </c>
      <c r="U4758">
        <v>-0.96</v>
      </c>
      <c r="V4758">
        <v>-5</v>
      </c>
      <c r="W4758">
        <v>17.19</v>
      </c>
      <c r="X4758">
        <v>5845</v>
      </c>
      <c r="Y4758">
        <v>5722</v>
      </c>
      <c r="Z4758">
        <v>1.02</v>
      </c>
      <c r="AA4758">
        <v>54</v>
      </c>
      <c r="AB4758">
        <v>36</v>
      </c>
      <c r="AC4758">
        <v>1.9</v>
      </c>
      <c r="AD4758" t="s">
        <v>14041</v>
      </c>
      <c r="AE4758" t="s">
        <v>15592</v>
      </c>
      <c r="AF4758" t="s">
        <v>16742</v>
      </c>
      <c r="AG4758" t="s">
        <v>21731</v>
      </c>
      <c r="AH4758">
        <v>-0.69</v>
      </c>
      <c r="AI4758">
        <v>0.06</v>
      </c>
      <c r="AJ4758">
        <v>7.24</v>
      </c>
      <c r="AK4758">
        <v>14.29</v>
      </c>
      <c r="AL4758">
        <v>1</v>
      </c>
      <c r="AM4758">
        <v>0.58</v>
      </c>
      <c r="AN4758">
        <v>20.1</v>
      </c>
      <c r="AO4758">
        <v>2.32</v>
      </c>
      <c r="AP4758">
        <v>17.8</v>
      </c>
    </row>
    <row r="4759" spans="1:42">
      <c r="A4759">
        <v>4758</v>
      </c>
      <c r="B4759" t="str">
        <f>"002391"</f>
        <v>002391</v>
      </c>
      <c r="C4759" t="s">
        <v>21732</v>
      </c>
      <c r="D4759">
        <v>6.47</v>
      </c>
      <c r="E4759">
        <v>-0.46</v>
      </c>
      <c r="F4759">
        <v>-0.03</v>
      </c>
      <c r="G4759" t="s">
        <v>401</v>
      </c>
      <c r="H4759">
        <v>483</v>
      </c>
      <c r="I4759">
        <v>6.47</v>
      </c>
      <c r="J4759">
        <v>6.48</v>
      </c>
      <c r="K4759" t="s">
        <v>21733</v>
      </c>
      <c r="L4759">
        <v>0.66</v>
      </c>
      <c r="M4759" t="s">
        <v>46</v>
      </c>
      <c r="N4759" t="s">
        <v>8621</v>
      </c>
      <c r="O4759">
        <v>6.52</v>
      </c>
      <c r="P4759">
        <v>6.45</v>
      </c>
      <c r="Q4759">
        <v>6.52</v>
      </c>
      <c r="R4759">
        <v>6.5</v>
      </c>
      <c r="S4759">
        <v>1.08</v>
      </c>
      <c r="T4759">
        <v>1.17</v>
      </c>
      <c r="U4759">
        <v>-4.86</v>
      </c>
      <c r="V4759">
        <v>-143</v>
      </c>
      <c r="W4759">
        <v>6.48</v>
      </c>
      <c r="X4759" t="s">
        <v>919</v>
      </c>
      <c r="Y4759" t="s">
        <v>7836</v>
      </c>
      <c r="Z4759">
        <v>1.1</v>
      </c>
      <c r="AA4759">
        <v>162</v>
      </c>
      <c r="AB4759">
        <v>320</v>
      </c>
      <c r="AC4759">
        <v>0.89</v>
      </c>
      <c r="AD4759" t="s">
        <v>21734</v>
      </c>
      <c r="AE4759" t="s">
        <v>21735</v>
      </c>
      <c r="AF4759" t="s">
        <v>18838</v>
      </c>
      <c r="AG4759" t="s">
        <v>2662</v>
      </c>
      <c r="AH4759">
        <v>-2.41</v>
      </c>
      <c r="AI4759">
        <v>-2.85</v>
      </c>
      <c r="AJ4759">
        <v>1.96</v>
      </c>
      <c r="AK4759">
        <v>3.49</v>
      </c>
      <c r="AL4759">
        <v>-3</v>
      </c>
      <c r="AM4759">
        <v>-0.46</v>
      </c>
      <c r="AN4759">
        <v>-5.27</v>
      </c>
      <c r="AO4759">
        <v>-0.77</v>
      </c>
      <c r="AP4759">
        <v>-9.76</v>
      </c>
    </row>
    <row r="4760" spans="1:42">
      <c r="A4760">
        <v>4759</v>
      </c>
      <c r="B4760" t="str">
        <f>"605169"</f>
        <v>605169</v>
      </c>
      <c r="C4760" t="s">
        <v>21736</v>
      </c>
      <c r="D4760">
        <v>11.52</v>
      </c>
      <c r="E4760">
        <v>-0.35</v>
      </c>
      <c r="F4760">
        <v>-0.04</v>
      </c>
      <c r="G4760" t="s">
        <v>1456</v>
      </c>
      <c r="H4760">
        <v>141</v>
      </c>
      <c r="I4760">
        <v>11.52</v>
      </c>
      <c r="J4760">
        <v>11.53</v>
      </c>
      <c r="K4760" t="s">
        <v>21347</v>
      </c>
      <c r="L4760">
        <v>2.43</v>
      </c>
      <c r="M4760" t="s">
        <v>46</v>
      </c>
      <c r="N4760" t="s">
        <v>4796</v>
      </c>
      <c r="O4760">
        <v>11.69</v>
      </c>
      <c r="P4760">
        <v>11.47</v>
      </c>
      <c r="Q4760">
        <v>11.68</v>
      </c>
      <c r="R4760">
        <v>11.56</v>
      </c>
      <c r="S4760">
        <v>1.9</v>
      </c>
      <c r="T4760">
        <v>0.92</v>
      </c>
      <c r="U4760">
        <v>-19.19</v>
      </c>
      <c r="V4760">
        <v>-280</v>
      </c>
      <c r="W4760">
        <v>11.57</v>
      </c>
      <c r="X4760">
        <v>9303</v>
      </c>
      <c r="Y4760">
        <v>7853</v>
      </c>
      <c r="Z4760">
        <v>1.18</v>
      </c>
      <c r="AA4760">
        <v>64</v>
      </c>
      <c r="AB4760">
        <v>45</v>
      </c>
      <c r="AC4760">
        <v>1.83</v>
      </c>
      <c r="AD4760" t="s">
        <v>8438</v>
      </c>
      <c r="AE4760" t="s">
        <v>12704</v>
      </c>
      <c r="AF4760" t="s">
        <v>21737</v>
      </c>
      <c r="AG4760" t="s">
        <v>21738</v>
      </c>
      <c r="AH4760">
        <v>0.44</v>
      </c>
      <c r="AI4760">
        <v>-0.35</v>
      </c>
      <c r="AJ4760">
        <v>8.2</v>
      </c>
      <c r="AK4760">
        <v>15.65</v>
      </c>
      <c r="AL4760">
        <v>-1</v>
      </c>
      <c r="AM4760">
        <v>-0.35</v>
      </c>
      <c r="AN4760">
        <v>5.88</v>
      </c>
      <c r="AO4760">
        <v>3.04</v>
      </c>
      <c r="AP4760">
        <v>1.05</v>
      </c>
    </row>
    <row r="4761" spans="1:42">
      <c r="A4761">
        <v>4760</v>
      </c>
      <c r="B4761" t="str">
        <f>"688090"</f>
        <v>688090</v>
      </c>
      <c r="C4761" t="s">
        <v>21739</v>
      </c>
      <c r="D4761">
        <v>31.14</v>
      </c>
      <c r="E4761">
        <v>-0.61</v>
      </c>
      <c r="F4761">
        <v>-0.19</v>
      </c>
      <c r="G4761">
        <v>6398</v>
      </c>
      <c r="H4761">
        <v>8</v>
      </c>
      <c r="I4761">
        <v>31.12</v>
      </c>
      <c r="J4761">
        <v>31.14</v>
      </c>
      <c r="K4761" t="s">
        <v>21347</v>
      </c>
      <c r="L4761">
        <v>0.96</v>
      </c>
      <c r="M4761" t="s">
        <v>46</v>
      </c>
      <c r="N4761" t="s">
        <v>4116</v>
      </c>
      <c r="O4761">
        <v>31.3</v>
      </c>
      <c r="P4761">
        <v>30.44</v>
      </c>
      <c r="Q4761">
        <v>31.27</v>
      </c>
      <c r="R4761">
        <v>31.33</v>
      </c>
      <c r="S4761">
        <v>2.74</v>
      </c>
      <c r="T4761">
        <v>0.81</v>
      </c>
      <c r="U4761">
        <v>30.58</v>
      </c>
      <c r="V4761">
        <v>53</v>
      </c>
      <c r="W4761">
        <v>31.01</v>
      </c>
      <c r="X4761">
        <v>3090</v>
      </c>
      <c r="Y4761">
        <v>3309</v>
      </c>
      <c r="Z4761">
        <v>0.93</v>
      </c>
      <c r="AA4761">
        <v>38</v>
      </c>
      <c r="AB4761">
        <v>2</v>
      </c>
      <c r="AC4761">
        <v>2.41</v>
      </c>
      <c r="AD4761" t="s">
        <v>13856</v>
      </c>
      <c r="AE4761" t="s">
        <v>10090</v>
      </c>
      <c r="AF4761" t="s">
        <v>21740</v>
      </c>
      <c r="AG4761" t="s">
        <v>21741</v>
      </c>
      <c r="AH4761">
        <v>-0.64</v>
      </c>
      <c r="AI4761">
        <v>0.91</v>
      </c>
      <c r="AJ4761">
        <v>3.31</v>
      </c>
      <c r="AK4761">
        <v>6.88</v>
      </c>
      <c r="AL4761">
        <v>-2</v>
      </c>
      <c r="AM4761">
        <v>-0.61</v>
      </c>
      <c r="AN4761">
        <v>28.31</v>
      </c>
      <c r="AO4761">
        <v>3.9</v>
      </c>
      <c r="AP4761">
        <v>12.3</v>
      </c>
    </row>
    <row r="4762" spans="1:42">
      <c r="A4762">
        <v>4761</v>
      </c>
      <c r="B4762" t="str">
        <f>"002573"</f>
        <v>002573</v>
      </c>
      <c r="C4762" t="s">
        <v>21742</v>
      </c>
      <c r="D4762">
        <v>5.21</v>
      </c>
      <c r="E4762">
        <v>-0.19</v>
      </c>
      <c r="F4762">
        <v>-0.01</v>
      </c>
      <c r="G4762" t="s">
        <v>1566</v>
      </c>
      <c r="H4762">
        <v>152</v>
      </c>
      <c r="I4762">
        <v>5.21</v>
      </c>
      <c r="J4762">
        <v>5.22</v>
      </c>
      <c r="K4762" t="s">
        <v>21743</v>
      </c>
      <c r="L4762">
        <v>0.35</v>
      </c>
      <c r="M4762" t="s">
        <v>46</v>
      </c>
      <c r="N4762" t="s">
        <v>21744</v>
      </c>
      <c r="O4762">
        <v>5.25</v>
      </c>
      <c r="P4762">
        <v>5.19</v>
      </c>
      <c r="Q4762">
        <v>5.24</v>
      </c>
      <c r="R4762">
        <v>5.22</v>
      </c>
      <c r="S4762">
        <v>1.15</v>
      </c>
      <c r="T4762">
        <v>0.84</v>
      </c>
      <c r="U4762">
        <v>-1.49</v>
      </c>
      <c r="V4762">
        <v>-88</v>
      </c>
      <c r="W4762">
        <v>5.22</v>
      </c>
      <c r="X4762" t="s">
        <v>2976</v>
      </c>
      <c r="Y4762" t="s">
        <v>60</v>
      </c>
      <c r="Z4762">
        <v>1.13</v>
      </c>
      <c r="AA4762">
        <v>140</v>
      </c>
      <c r="AB4762">
        <v>731</v>
      </c>
      <c r="AC4762">
        <v>1.14</v>
      </c>
      <c r="AD4762" t="s">
        <v>11273</v>
      </c>
      <c r="AE4762" t="s">
        <v>21745</v>
      </c>
      <c r="AF4762" t="s">
        <v>7009</v>
      </c>
      <c r="AG4762" t="s">
        <v>20283</v>
      </c>
      <c r="AH4762">
        <v>-1.14</v>
      </c>
      <c r="AI4762">
        <v>-1.88</v>
      </c>
      <c r="AJ4762">
        <v>1.18</v>
      </c>
      <c r="AK4762">
        <v>2.44</v>
      </c>
      <c r="AL4762">
        <v>-3</v>
      </c>
      <c r="AM4762">
        <v>-0.19</v>
      </c>
      <c r="AN4762">
        <v>-4.58</v>
      </c>
      <c r="AO4762">
        <v>0.58</v>
      </c>
      <c r="AP4762">
        <v>-11.69</v>
      </c>
    </row>
    <row r="4763" spans="1:42">
      <c r="A4763">
        <v>4762</v>
      </c>
      <c r="B4763" t="str">
        <f>"833914"</f>
        <v>833914</v>
      </c>
      <c r="C4763" t="s">
        <v>21746</v>
      </c>
      <c r="D4763">
        <v>9.8</v>
      </c>
      <c r="E4763">
        <v>-3.83</v>
      </c>
      <c r="F4763">
        <v>-0.39</v>
      </c>
      <c r="G4763" t="s">
        <v>1280</v>
      </c>
      <c r="H4763">
        <v>143</v>
      </c>
      <c r="I4763">
        <v>9.79</v>
      </c>
      <c r="J4763">
        <v>9.8</v>
      </c>
      <c r="K4763" t="s">
        <v>21747</v>
      </c>
      <c r="L4763">
        <v>3.33</v>
      </c>
      <c r="M4763" t="s">
        <v>46</v>
      </c>
      <c r="N4763" t="s">
        <v>2187</v>
      </c>
      <c r="O4763">
        <v>10.46</v>
      </c>
      <c r="P4763">
        <v>9.66</v>
      </c>
      <c r="Q4763">
        <v>10.24</v>
      </c>
      <c r="R4763">
        <v>10.19</v>
      </c>
      <c r="S4763">
        <v>7.85</v>
      </c>
      <c r="T4763">
        <v>0.36</v>
      </c>
      <c r="U4763">
        <v>5.27</v>
      </c>
      <c r="V4763">
        <v>24</v>
      </c>
      <c r="W4763">
        <v>9.89</v>
      </c>
      <c r="X4763" t="s">
        <v>1052</v>
      </c>
      <c r="Y4763">
        <v>7893</v>
      </c>
      <c r="Z4763">
        <v>1.54</v>
      </c>
      <c r="AA4763">
        <v>43</v>
      </c>
      <c r="AB4763">
        <v>161</v>
      </c>
      <c r="AC4763">
        <v>1.13</v>
      </c>
      <c r="AD4763" t="s">
        <v>5976</v>
      </c>
      <c r="AE4763" t="s">
        <v>21748</v>
      </c>
      <c r="AF4763" t="s">
        <v>14714</v>
      </c>
      <c r="AG4763" t="s">
        <v>21749</v>
      </c>
      <c r="AH4763">
        <v>-11.39</v>
      </c>
      <c r="AI4763">
        <v>2.83</v>
      </c>
      <c r="AJ4763">
        <v>19.08</v>
      </c>
      <c r="AK4763">
        <v>49.08</v>
      </c>
      <c r="AL4763">
        <v>-4</v>
      </c>
      <c r="AM4763">
        <v>-3.83</v>
      </c>
      <c r="AN4763">
        <v>-5.77</v>
      </c>
      <c r="AO4763">
        <v>20.25</v>
      </c>
      <c r="AP4763">
        <v>-29.85</v>
      </c>
    </row>
    <row r="4764" spans="1:42">
      <c r="A4764">
        <v>4763</v>
      </c>
      <c r="B4764" t="str">
        <f>"600626"</f>
        <v>600626</v>
      </c>
      <c r="C4764" t="s">
        <v>21750</v>
      </c>
      <c r="D4764">
        <v>3.79</v>
      </c>
      <c r="E4764">
        <v>0.26</v>
      </c>
      <c r="F4764">
        <v>0.01</v>
      </c>
      <c r="G4764" t="s">
        <v>3915</v>
      </c>
      <c r="H4764">
        <v>365</v>
      </c>
      <c r="I4764">
        <v>3.78</v>
      </c>
      <c r="J4764">
        <v>3.79</v>
      </c>
      <c r="K4764" t="s">
        <v>21747</v>
      </c>
      <c r="L4764">
        <v>0.61</v>
      </c>
      <c r="M4764" t="s">
        <v>46</v>
      </c>
      <c r="N4764" t="s">
        <v>7959</v>
      </c>
      <c r="O4764">
        <v>3.83</v>
      </c>
      <c r="P4764">
        <v>3.77</v>
      </c>
      <c r="Q4764">
        <v>3.8</v>
      </c>
      <c r="R4764">
        <v>3.78</v>
      </c>
      <c r="S4764">
        <v>1.59</v>
      </c>
      <c r="T4764">
        <v>0.71</v>
      </c>
      <c r="U4764">
        <v>-40.45</v>
      </c>
      <c r="V4764">
        <v>-1724</v>
      </c>
      <c r="W4764">
        <v>3.8</v>
      </c>
      <c r="X4764" t="s">
        <v>9766</v>
      </c>
      <c r="Y4764" t="s">
        <v>1711</v>
      </c>
      <c r="Z4764">
        <v>0.89</v>
      </c>
      <c r="AA4764">
        <v>370</v>
      </c>
      <c r="AB4764">
        <v>87</v>
      </c>
      <c r="AC4764">
        <v>1.52</v>
      </c>
      <c r="AD4764" t="s">
        <v>12497</v>
      </c>
      <c r="AE4764" t="s">
        <v>21751</v>
      </c>
      <c r="AF4764" t="s">
        <v>21752</v>
      </c>
      <c r="AG4764" t="s">
        <v>20318</v>
      </c>
      <c r="AH4764">
        <v>-1.3</v>
      </c>
      <c r="AI4764">
        <v>-2.07</v>
      </c>
      <c r="AJ4764">
        <v>2</v>
      </c>
      <c r="AK4764">
        <v>4.92</v>
      </c>
      <c r="AL4764">
        <v>1</v>
      </c>
      <c r="AM4764">
        <v>0.26</v>
      </c>
      <c r="AN4764">
        <v>5.28</v>
      </c>
      <c r="AO4764">
        <v>4.99</v>
      </c>
      <c r="AP4764">
        <v>5.57</v>
      </c>
    </row>
    <row r="4765" spans="1:42">
      <c r="A4765">
        <v>4764</v>
      </c>
      <c r="B4765" t="str">
        <f>"600939"</f>
        <v>600939</v>
      </c>
      <c r="C4765" t="s">
        <v>21753</v>
      </c>
      <c r="D4765">
        <v>3.39</v>
      </c>
      <c r="E4765">
        <v>0.59</v>
      </c>
      <c r="F4765">
        <v>0.02</v>
      </c>
      <c r="G4765" t="s">
        <v>2629</v>
      </c>
      <c r="H4765">
        <v>294</v>
      </c>
      <c r="I4765">
        <v>3.39</v>
      </c>
      <c r="J4765">
        <v>3.4</v>
      </c>
      <c r="K4765" t="s">
        <v>21754</v>
      </c>
      <c r="L4765">
        <v>0.31</v>
      </c>
      <c r="M4765" t="s">
        <v>46</v>
      </c>
      <c r="N4765" t="s">
        <v>21755</v>
      </c>
      <c r="O4765">
        <v>3.41</v>
      </c>
      <c r="P4765">
        <v>3.35</v>
      </c>
      <c r="Q4765">
        <v>3.37</v>
      </c>
      <c r="R4765">
        <v>3.37</v>
      </c>
      <c r="S4765">
        <v>1.78</v>
      </c>
      <c r="T4765">
        <v>0.81</v>
      </c>
      <c r="U4765">
        <v>-28.73</v>
      </c>
      <c r="V4765">
        <v>-4957</v>
      </c>
      <c r="W4765">
        <v>3.38</v>
      </c>
      <c r="X4765" t="s">
        <v>5620</v>
      </c>
      <c r="Y4765" t="s">
        <v>7531</v>
      </c>
      <c r="Z4765">
        <v>0.66</v>
      </c>
      <c r="AA4765">
        <v>118</v>
      </c>
      <c r="AB4765">
        <v>5143</v>
      </c>
      <c r="AC4765">
        <v>0.8</v>
      </c>
      <c r="AD4765" t="s">
        <v>20902</v>
      </c>
      <c r="AE4765" t="s">
        <v>21756</v>
      </c>
      <c r="AF4765" t="s">
        <v>20902</v>
      </c>
      <c r="AG4765" t="s">
        <v>21756</v>
      </c>
      <c r="AH4765">
        <v>-0.29</v>
      </c>
      <c r="AI4765">
        <v>-1.45</v>
      </c>
      <c r="AJ4765">
        <v>1.06</v>
      </c>
      <c r="AK4765">
        <v>2.22</v>
      </c>
      <c r="AL4765">
        <v>1</v>
      </c>
      <c r="AM4765">
        <v>0.59</v>
      </c>
      <c r="AN4765">
        <v>-2.31</v>
      </c>
      <c r="AO4765">
        <v>0.89</v>
      </c>
      <c r="AP4765">
        <v>-8.38</v>
      </c>
    </row>
    <row r="4766" spans="1:42">
      <c r="A4766">
        <v>4765</v>
      </c>
      <c r="B4766" t="str">
        <f>"688526"</f>
        <v>688526</v>
      </c>
      <c r="C4766" t="s">
        <v>21757</v>
      </c>
      <c r="D4766">
        <v>19.31</v>
      </c>
      <c r="E4766">
        <v>-0.36</v>
      </c>
      <c r="F4766">
        <v>-0.07</v>
      </c>
      <c r="G4766" t="s">
        <v>1154</v>
      </c>
      <c r="H4766">
        <v>229</v>
      </c>
      <c r="I4766">
        <v>19.31</v>
      </c>
      <c r="J4766">
        <v>19.32</v>
      </c>
      <c r="K4766" t="s">
        <v>21758</v>
      </c>
      <c r="L4766">
        <v>0.22</v>
      </c>
      <c r="M4766" t="s">
        <v>46</v>
      </c>
      <c r="N4766" t="s">
        <v>11558</v>
      </c>
      <c r="O4766">
        <v>19.48</v>
      </c>
      <c r="P4766">
        <v>19.13</v>
      </c>
      <c r="Q4766">
        <v>19.48</v>
      </c>
      <c r="R4766">
        <v>19.38</v>
      </c>
      <c r="S4766">
        <v>1.81</v>
      </c>
      <c r="T4766">
        <v>0.74</v>
      </c>
      <c r="U4766">
        <v>-20.97</v>
      </c>
      <c r="V4766">
        <v>-48</v>
      </c>
      <c r="W4766">
        <v>19.25</v>
      </c>
      <c r="X4766">
        <v>5362</v>
      </c>
      <c r="Y4766">
        <v>4916</v>
      </c>
      <c r="Z4766">
        <v>1.09</v>
      </c>
      <c r="AA4766">
        <v>28</v>
      </c>
      <c r="AB4766">
        <v>10</v>
      </c>
      <c r="AC4766">
        <v>2.39</v>
      </c>
      <c r="AD4766" t="s">
        <v>17720</v>
      </c>
      <c r="AE4766" t="s">
        <v>21759</v>
      </c>
      <c r="AF4766" t="s">
        <v>21760</v>
      </c>
      <c r="AG4766" t="s">
        <v>21761</v>
      </c>
      <c r="AH4766">
        <v>-1.73</v>
      </c>
      <c r="AI4766">
        <v>-1.93</v>
      </c>
      <c r="AJ4766">
        <v>0.76</v>
      </c>
      <c r="AK4766">
        <v>1.71</v>
      </c>
      <c r="AL4766">
        <v>-3</v>
      </c>
      <c r="AM4766">
        <v>-0.36</v>
      </c>
      <c r="AN4766">
        <v>-13.06</v>
      </c>
      <c r="AO4766">
        <v>-0.67</v>
      </c>
      <c r="AP4766">
        <v>-22.7</v>
      </c>
    </row>
    <row r="4767" spans="1:42">
      <c r="A4767">
        <v>4766</v>
      </c>
      <c r="B4767" t="str">
        <f>"688196"</f>
        <v>688196</v>
      </c>
      <c r="C4767" t="s">
        <v>21762</v>
      </c>
      <c r="D4767">
        <v>40.42</v>
      </c>
      <c r="E4767">
        <v>-1.94</v>
      </c>
      <c r="F4767">
        <v>-0.8</v>
      </c>
      <c r="G4767">
        <v>4886</v>
      </c>
      <c r="H4767">
        <v>67</v>
      </c>
      <c r="I4767">
        <v>40.42</v>
      </c>
      <c r="J4767">
        <v>40.54</v>
      </c>
      <c r="K4767" t="s">
        <v>21763</v>
      </c>
      <c r="L4767">
        <v>0.41</v>
      </c>
      <c r="M4767" t="s">
        <v>46</v>
      </c>
      <c r="N4767" t="s">
        <v>9900</v>
      </c>
      <c r="O4767">
        <v>41.22</v>
      </c>
      <c r="P4767">
        <v>40.11</v>
      </c>
      <c r="Q4767">
        <v>41.22</v>
      </c>
      <c r="R4767">
        <v>41.22</v>
      </c>
      <c r="S4767">
        <v>2.69</v>
      </c>
      <c r="T4767">
        <v>1</v>
      </c>
      <c r="U4767">
        <v>-47.47</v>
      </c>
      <c r="V4767">
        <v>-70</v>
      </c>
      <c r="W4767">
        <v>40.45</v>
      </c>
      <c r="X4767">
        <v>3186</v>
      </c>
      <c r="Y4767">
        <v>1700</v>
      </c>
      <c r="Z4767">
        <v>1.87</v>
      </c>
      <c r="AA4767">
        <v>16</v>
      </c>
      <c r="AB4767">
        <v>16</v>
      </c>
      <c r="AC4767">
        <v>1.76</v>
      </c>
      <c r="AD4767" t="s">
        <v>5210</v>
      </c>
      <c r="AE4767" t="s">
        <v>6252</v>
      </c>
      <c r="AF4767" t="s">
        <v>5210</v>
      </c>
      <c r="AG4767" t="s">
        <v>6252</v>
      </c>
      <c r="AH4767">
        <v>-1.89</v>
      </c>
      <c r="AI4767">
        <v>-2.23</v>
      </c>
      <c r="AJ4767">
        <v>1.24</v>
      </c>
      <c r="AK4767">
        <v>2.45</v>
      </c>
      <c r="AL4767">
        <v>-2</v>
      </c>
      <c r="AM4767">
        <v>-1.94</v>
      </c>
      <c r="AN4767">
        <v>-28.42</v>
      </c>
      <c r="AO4767">
        <v>2.56</v>
      </c>
      <c r="AP4767">
        <v>-35.51</v>
      </c>
    </row>
    <row r="4768" spans="1:42">
      <c r="A4768">
        <v>4767</v>
      </c>
      <c r="B4768" t="str">
        <f>"600650"</f>
        <v>600650</v>
      </c>
      <c r="C4768" t="s">
        <v>21764</v>
      </c>
      <c r="D4768">
        <v>9.78</v>
      </c>
      <c r="E4768">
        <v>1.03</v>
      </c>
      <c r="F4768">
        <v>0.1</v>
      </c>
      <c r="G4768" t="s">
        <v>4976</v>
      </c>
      <c r="H4768">
        <v>122</v>
      </c>
      <c r="I4768">
        <v>9.78</v>
      </c>
      <c r="J4768">
        <v>9.79</v>
      </c>
      <c r="K4768" t="s">
        <v>21765</v>
      </c>
      <c r="L4768">
        <v>0.52</v>
      </c>
      <c r="M4768" t="s">
        <v>46</v>
      </c>
      <c r="N4768" t="s">
        <v>2959</v>
      </c>
      <c r="O4768">
        <v>9.88</v>
      </c>
      <c r="P4768">
        <v>9.68</v>
      </c>
      <c r="Q4768">
        <v>9.68</v>
      </c>
      <c r="R4768">
        <v>9.68</v>
      </c>
      <c r="S4768">
        <v>2.07</v>
      </c>
      <c r="T4768">
        <v>0.83</v>
      </c>
      <c r="U4768">
        <v>-15.18</v>
      </c>
      <c r="V4768">
        <v>-251</v>
      </c>
      <c r="W4768">
        <v>9.81</v>
      </c>
      <c r="X4768" t="s">
        <v>1154</v>
      </c>
      <c r="Y4768">
        <v>9857</v>
      </c>
      <c r="Z4768">
        <v>1.04</v>
      </c>
      <c r="AA4768">
        <v>18</v>
      </c>
      <c r="AB4768">
        <v>253</v>
      </c>
      <c r="AC4768">
        <v>1.4</v>
      </c>
      <c r="AD4768" t="s">
        <v>21766</v>
      </c>
      <c r="AE4768" t="s">
        <v>10612</v>
      </c>
      <c r="AF4768" t="s">
        <v>21767</v>
      </c>
      <c r="AG4768" t="s">
        <v>21768</v>
      </c>
      <c r="AH4768">
        <v>0.2</v>
      </c>
      <c r="AI4768">
        <v>1.66</v>
      </c>
      <c r="AJ4768">
        <v>1.22</v>
      </c>
      <c r="AK4768">
        <v>3.61</v>
      </c>
      <c r="AL4768">
        <v>2</v>
      </c>
      <c r="AM4768">
        <v>1.03</v>
      </c>
      <c r="AN4768">
        <v>-7.39</v>
      </c>
      <c r="AO4768">
        <v>5.16</v>
      </c>
      <c r="AP4768">
        <v>1.03</v>
      </c>
    </row>
    <row r="4769" spans="1:42">
      <c r="A4769">
        <v>4768</v>
      </c>
      <c r="B4769" t="str">
        <f>"871753"</f>
        <v>871753</v>
      </c>
      <c r="C4769" t="s">
        <v>21769</v>
      </c>
      <c r="D4769">
        <v>9.12</v>
      </c>
      <c r="E4769">
        <v>2.47</v>
      </c>
      <c r="F4769">
        <v>0.22</v>
      </c>
      <c r="G4769" t="s">
        <v>3116</v>
      </c>
      <c r="H4769">
        <v>319</v>
      </c>
      <c r="I4769">
        <v>9.12</v>
      </c>
      <c r="J4769">
        <v>9.14</v>
      </c>
      <c r="K4769" t="s">
        <v>21765</v>
      </c>
      <c r="L4769">
        <v>9.99</v>
      </c>
      <c r="M4769" t="s">
        <v>46</v>
      </c>
      <c r="N4769" t="s">
        <v>10035</v>
      </c>
      <c r="O4769">
        <v>9.89</v>
      </c>
      <c r="P4769">
        <v>8.81</v>
      </c>
      <c r="Q4769">
        <v>9.08</v>
      </c>
      <c r="R4769">
        <v>8.9</v>
      </c>
      <c r="S4769">
        <v>12.13</v>
      </c>
      <c r="T4769">
        <v>0.61</v>
      </c>
      <c r="U4769">
        <v>41.86</v>
      </c>
      <c r="V4769">
        <v>319</v>
      </c>
      <c r="W4769">
        <v>9.26</v>
      </c>
      <c r="X4769" t="s">
        <v>1254</v>
      </c>
      <c r="Y4769">
        <v>9170</v>
      </c>
      <c r="Z4769">
        <v>1.32</v>
      </c>
      <c r="AA4769">
        <v>24</v>
      </c>
      <c r="AB4769">
        <v>28</v>
      </c>
      <c r="AC4769">
        <v>1.84</v>
      </c>
      <c r="AD4769" t="s">
        <v>21770</v>
      </c>
      <c r="AE4769" t="s">
        <v>21771</v>
      </c>
      <c r="AF4769" t="s">
        <v>21474</v>
      </c>
      <c r="AG4769" t="s">
        <v>21772</v>
      </c>
      <c r="AH4769">
        <v>-13.06</v>
      </c>
      <c r="AI4769">
        <v>9.35</v>
      </c>
      <c r="AJ4769">
        <v>30.19</v>
      </c>
      <c r="AK4769">
        <v>91.82</v>
      </c>
      <c r="AL4769">
        <v>1</v>
      </c>
      <c r="AM4769">
        <v>2.47</v>
      </c>
      <c r="AN4769">
        <v>30.29</v>
      </c>
      <c r="AO4769">
        <v>28.45</v>
      </c>
      <c r="AP4769">
        <v>3.99</v>
      </c>
    </row>
    <row r="4770" spans="1:42">
      <c r="A4770">
        <v>4769</v>
      </c>
      <c r="B4770" t="str">
        <f>"300906"</f>
        <v>300906</v>
      </c>
      <c r="C4770" t="s">
        <v>21773</v>
      </c>
      <c r="D4770">
        <v>25.51</v>
      </c>
      <c r="E4770">
        <v>-1.05</v>
      </c>
      <c r="F4770">
        <v>-0.27</v>
      </c>
      <c r="G4770">
        <v>7728</v>
      </c>
      <c r="H4770">
        <v>106</v>
      </c>
      <c r="I4770">
        <v>25.5</v>
      </c>
      <c r="J4770">
        <v>25.51</v>
      </c>
      <c r="K4770" t="s">
        <v>16268</v>
      </c>
      <c r="L4770">
        <v>1.08</v>
      </c>
      <c r="M4770" t="s">
        <v>46</v>
      </c>
      <c r="N4770" t="s">
        <v>11079</v>
      </c>
      <c r="O4770">
        <v>25.9</v>
      </c>
      <c r="P4770">
        <v>25.23</v>
      </c>
      <c r="Q4770">
        <v>25.9</v>
      </c>
      <c r="R4770">
        <v>25.78</v>
      </c>
      <c r="S4770">
        <v>2.6</v>
      </c>
      <c r="T4770">
        <v>0.85</v>
      </c>
      <c r="U4770">
        <v>-8.43</v>
      </c>
      <c r="V4770">
        <v>-8</v>
      </c>
      <c r="W4770">
        <v>25.52</v>
      </c>
      <c r="X4770">
        <v>4500</v>
      </c>
      <c r="Y4770">
        <v>3228</v>
      </c>
      <c r="Z4770">
        <v>1.39</v>
      </c>
      <c r="AA4770">
        <v>4</v>
      </c>
      <c r="AB4770">
        <v>6</v>
      </c>
      <c r="AC4770">
        <v>2.42</v>
      </c>
      <c r="AD4770" t="s">
        <v>3612</v>
      </c>
      <c r="AE4770" t="s">
        <v>21774</v>
      </c>
      <c r="AF4770" t="s">
        <v>21775</v>
      </c>
      <c r="AG4770" t="s">
        <v>3351</v>
      </c>
      <c r="AH4770">
        <v>-2.97</v>
      </c>
      <c r="AI4770">
        <v>-2.04</v>
      </c>
      <c r="AJ4770">
        <v>3.21</v>
      </c>
      <c r="AK4770">
        <v>7.41</v>
      </c>
      <c r="AL4770">
        <v>-3</v>
      </c>
      <c r="AM4770">
        <v>-1.05</v>
      </c>
      <c r="AN4770">
        <v>24.26</v>
      </c>
      <c r="AO4770">
        <v>0.16</v>
      </c>
      <c r="AP4770">
        <v>13.63</v>
      </c>
    </row>
    <row r="4771" spans="1:42">
      <c r="A4771">
        <v>4770</v>
      </c>
      <c r="B4771" t="str">
        <f>"600727"</f>
        <v>600727</v>
      </c>
      <c r="C4771" t="s">
        <v>21776</v>
      </c>
      <c r="D4771">
        <v>6.35</v>
      </c>
      <c r="E4771">
        <v>0.47</v>
      </c>
      <c r="F4771">
        <v>0.03</v>
      </c>
      <c r="G4771" t="s">
        <v>4914</v>
      </c>
      <c r="H4771">
        <v>166</v>
      </c>
      <c r="I4771">
        <v>6.34</v>
      </c>
      <c r="J4771">
        <v>6.35</v>
      </c>
      <c r="K4771" t="s">
        <v>21777</v>
      </c>
      <c r="L4771">
        <v>0.59</v>
      </c>
      <c r="M4771" t="s">
        <v>46</v>
      </c>
      <c r="N4771" t="s">
        <v>7924</v>
      </c>
      <c r="O4771">
        <v>6.38</v>
      </c>
      <c r="P4771">
        <v>6.29</v>
      </c>
      <c r="Q4771">
        <v>6.34</v>
      </c>
      <c r="R4771">
        <v>6.32</v>
      </c>
      <c r="S4771">
        <v>1.42</v>
      </c>
      <c r="T4771">
        <v>0.97</v>
      </c>
      <c r="U4771">
        <v>-38.24</v>
      </c>
      <c r="V4771">
        <v>-1464</v>
      </c>
      <c r="W4771">
        <v>6.35</v>
      </c>
      <c r="X4771" t="s">
        <v>4105</v>
      </c>
      <c r="Y4771" t="s">
        <v>5997</v>
      </c>
      <c r="Z4771">
        <v>0.85</v>
      </c>
      <c r="AA4771">
        <v>90</v>
      </c>
      <c r="AB4771">
        <v>34</v>
      </c>
      <c r="AC4771">
        <v>1.15</v>
      </c>
      <c r="AD4771" t="s">
        <v>6127</v>
      </c>
      <c r="AE4771" t="s">
        <v>19250</v>
      </c>
      <c r="AF4771" t="s">
        <v>537</v>
      </c>
      <c r="AG4771" t="s">
        <v>10045</v>
      </c>
      <c r="AH4771">
        <v>-1.55</v>
      </c>
      <c r="AI4771">
        <v>-0.78</v>
      </c>
      <c r="AJ4771">
        <v>1.81</v>
      </c>
      <c r="AK4771">
        <v>3.61</v>
      </c>
      <c r="AL4771">
        <v>1</v>
      </c>
      <c r="AM4771">
        <v>0.47</v>
      </c>
      <c r="AN4771">
        <v>-3.5</v>
      </c>
      <c r="AO4771">
        <v>0.95</v>
      </c>
      <c r="AP4771">
        <v>-8.24</v>
      </c>
    </row>
    <row r="4772" spans="1:42">
      <c r="A4772">
        <v>4771</v>
      </c>
      <c r="B4772" t="str">
        <f>"301390"</f>
        <v>301390</v>
      </c>
      <c r="C4772" t="s">
        <v>21778</v>
      </c>
      <c r="D4772">
        <v>42.7</v>
      </c>
      <c r="E4772">
        <v>-0.16</v>
      </c>
      <c r="F4772">
        <v>-0.07</v>
      </c>
      <c r="G4772">
        <v>4637</v>
      </c>
      <c r="H4772">
        <v>49</v>
      </c>
      <c r="I4772">
        <v>42.69</v>
      </c>
      <c r="J4772">
        <v>42.7</v>
      </c>
      <c r="K4772" t="s">
        <v>21779</v>
      </c>
      <c r="L4772">
        <v>3.09</v>
      </c>
      <c r="M4772" t="s">
        <v>46</v>
      </c>
      <c r="N4772" t="s">
        <v>4781</v>
      </c>
      <c r="O4772">
        <v>42.95</v>
      </c>
      <c r="P4772">
        <v>42.05</v>
      </c>
      <c r="Q4772">
        <v>42.8</v>
      </c>
      <c r="R4772">
        <v>42.77</v>
      </c>
      <c r="S4772">
        <v>2.1</v>
      </c>
      <c r="T4772">
        <v>0.72</v>
      </c>
      <c r="U4772">
        <v>-25.37</v>
      </c>
      <c r="V4772">
        <v>-17</v>
      </c>
      <c r="W4772">
        <v>42.44</v>
      </c>
      <c r="X4772">
        <v>2420</v>
      </c>
      <c r="Y4772">
        <v>2217</v>
      </c>
      <c r="Z4772">
        <v>1.09</v>
      </c>
      <c r="AA4772">
        <v>2</v>
      </c>
      <c r="AB4772">
        <v>32</v>
      </c>
      <c r="AC4772">
        <v>2.79</v>
      </c>
      <c r="AD4772" t="s">
        <v>7827</v>
      </c>
      <c r="AE4772" t="s">
        <v>10472</v>
      </c>
      <c r="AF4772" t="s">
        <v>17370</v>
      </c>
      <c r="AG4772" t="s">
        <v>21780</v>
      </c>
      <c r="AH4772">
        <v>-0.12</v>
      </c>
      <c r="AI4772">
        <v>-1.29</v>
      </c>
      <c r="AJ4772">
        <v>10.48</v>
      </c>
      <c r="AK4772">
        <v>24.54</v>
      </c>
      <c r="AL4772">
        <v>-2</v>
      </c>
      <c r="AM4772">
        <v>-0.16</v>
      </c>
      <c r="AN4772">
        <v>13.26</v>
      </c>
      <c r="AO4772">
        <v>4.17</v>
      </c>
      <c r="AP4772">
        <v>13.26</v>
      </c>
    </row>
    <row r="4773" spans="1:42">
      <c r="A4773">
        <v>4772</v>
      </c>
      <c r="B4773" t="str">
        <f>"301197"</f>
        <v>301197</v>
      </c>
      <c r="C4773" t="s">
        <v>21781</v>
      </c>
      <c r="D4773">
        <v>19.91</v>
      </c>
      <c r="E4773">
        <v>0.4</v>
      </c>
      <c r="F4773">
        <v>0.08</v>
      </c>
      <c r="G4773">
        <v>9901</v>
      </c>
      <c r="H4773">
        <v>103</v>
      </c>
      <c r="I4773">
        <v>19.91</v>
      </c>
      <c r="J4773">
        <v>19.93</v>
      </c>
      <c r="K4773" t="s">
        <v>21779</v>
      </c>
      <c r="L4773">
        <v>1.48</v>
      </c>
      <c r="M4773" t="s">
        <v>46</v>
      </c>
      <c r="N4773" t="s">
        <v>2558</v>
      </c>
      <c r="O4773">
        <v>20.13</v>
      </c>
      <c r="P4773">
        <v>19.67</v>
      </c>
      <c r="Q4773">
        <v>19.83</v>
      </c>
      <c r="R4773">
        <v>19.83</v>
      </c>
      <c r="S4773">
        <v>2.32</v>
      </c>
      <c r="T4773">
        <v>0.86</v>
      </c>
      <c r="U4773">
        <v>-14.48</v>
      </c>
      <c r="V4773">
        <v>-52</v>
      </c>
      <c r="W4773">
        <v>19.87</v>
      </c>
      <c r="X4773">
        <v>4041</v>
      </c>
      <c r="Y4773">
        <v>5860</v>
      </c>
      <c r="Z4773">
        <v>0.69</v>
      </c>
      <c r="AA4773">
        <v>55</v>
      </c>
      <c r="AB4773">
        <v>5</v>
      </c>
      <c r="AC4773">
        <v>1.84</v>
      </c>
      <c r="AD4773" t="s">
        <v>10159</v>
      </c>
      <c r="AE4773" t="s">
        <v>1952</v>
      </c>
      <c r="AF4773" t="s">
        <v>21782</v>
      </c>
      <c r="AG4773" t="s">
        <v>14138</v>
      </c>
      <c r="AH4773">
        <v>-1.48</v>
      </c>
      <c r="AI4773">
        <v>-2.07</v>
      </c>
      <c r="AJ4773">
        <v>5.11</v>
      </c>
      <c r="AK4773">
        <v>10.05</v>
      </c>
      <c r="AL4773">
        <v>1</v>
      </c>
      <c r="AM4773">
        <v>0.4</v>
      </c>
      <c r="AN4773">
        <v>-2.35</v>
      </c>
      <c r="AO4773">
        <v>0.15</v>
      </c>
      <c r="AP4773">
        <v>-14.33</v>
      </c>
    </row>
    <row r="4774" spans="1:42">
      <c r="A4774">
        <v>4773</v>
      </c>
      <c r="B4774" t="str">
        <f>"603217"</f>
        <v>603217</v>
      </c>
      <c r="C4774" t="s">
        <v>21783</v>
      </c>
      <c r="D4774">
        <v>19.8</v>
      </c>
      <c r="E4774">
        <v>0.05</v>
      </c>
      <c r="F4774">
        <v>0.01</v>
      </c>
      <c r="G4774">
        <v>9934</v>
      </c>
      <c r="H4774">
        <v>116</v>
      </c>
      <c r="I4774">
        <v>19.8</v>
      </c>
      <c r="J4774">
        <v>19.81</v>
      </c>
      <c r="K4774" t="s">
        <v>11319</v>
      </c>
      <c r="L4774">
        <v>0.48</v>
      </c>
      <c r="M4774" t="s">
        <v>46</v>
      </c>
      <c r="N4774" t="s">
        <v>9029</v>
      </c>
      <c r="O4774">
        <v>19.97</v>
      </c>
      <c r="P4774">
        <v>19.63</v>
      </c>
      <c r="Q4774">
        <v>19.79</v>
      </c>
      <c r="R4774">
        <v>19.79</v>
      </c>
      <c r="S4774">
        <v>1.72</v>
      </c>
      <c r="T4774">
        <v>1.26</v>
      </c>
      <c r="U4774">
        <v>79.92</v>
      </c>
      <c r="V4774">
        <v>207</v>
      </c>
      <c r="W4774">
        <v>19.78</v>
      </c>
      <c r="X4774">
        <v>3982</v>
      </c>
      <c r="Y4774">
        <v>5952</v>
      </c>
      <c r="Z4774">
        <v>0.67</v>
      </c>
      <c r="AA4774">
        <v>133</v>
      </c>
      <c r="AB4774">
        <v>2</v>
      </c>
      <c r="AC4774">
        <v>1.33</v>
      </c>
      <c r="AD4774" t="s">
        <v>16400</v>
      </c>
      <c r="AE4774" t="s">
        <v>21784</v>
      </c>
      <c r="AF4774" t="s">
        <v>21785</v>
      </c>
      <c r="AG4774" t="s">
        <v>4657</v>
      </c>
      <c r="AH4774">
        <v>-2.65</v>
      </c>
      <c r="AI4774">
        <v>-4.12</v>
      </c>
      <c r="AJ4774">
        <v>1.22</v>
      </c>
      <c r="AK4774">
        <v>2.41</v>
      </c>
      <c r="AL4774">
        <v>1</v>
      </c>
      <c r="AM4774">
        <v>0.05</v>
      </c>
      <c r="AN4774">
        <v>-35.44</v>
      </c>
      <c r="AO4774">
        <v>-2.41</v>
      </c>
      <c r="AP4774">
        <v>-27.13</v>
      </c>
    </row>
    <row r="4775" spans="1:42">
      <c r="A4775">
        <v>4774</v>
      </c>
      <c r="B4775" t="str">
        <f>"600759"</f>
        <v>600759</v>
      </c>
      <c r="C4775" t="s">
        <v>21786</v>
      </c>
      <c r="D4775">
        <v>2.54</v>
      </c>
      <c r="E4775">
        <v>-0.39</v>
      </c>
      <c r="F4775">
        <v>-0.01</v>
      </c>
      <c r="G4775" t="s">
        <v>771</v>
      </c>
      <c r="H4775">
        <v>1427</v>
      </c>
      <c r="I4775">
        <v>2.54</v>
      </c>
      <c r="J4775">
        <v>2.55</v>
      </c>
      <c r="K4775" t="s">
        <v>21787</v>
      </c>
      <c r="L4775">
        <v>0.34</v>
      </c>
      <c r="M4775" t="s">
        <v>46</v>
      </c>
      <c r="N4775" t="s">
        <v>8839</v>
      </c>
      <c r="O4775">
        <v>2.55</v>
      </c>
      <c r="P4775">
        <v>2.52</v>
      </c>
      <c r="Q4775">
        <v>2.54</v>
      </c>
      <c r="R4775">
        <v>2.55</v>
      </c>
      <c r="S4775">
        <v>1.18</v>
      </c>
      <c r="T4775">
        <v>0.69</v>
      </c>
      <c r="U4775">
        <v>25</v>
      </c>
      <c r="V4775">
        <v>8544</v>
      </c>
      <c r="W4775">
        <v>2.54</v>
      </c>
      <c r="X4775" t="s">
        <v>6392</v>
      </c>
      <c r="Y4775" t="s">
        <v>7946</v>
      </c>
      <c r="Z4775">
        <v>2.05</v>
      </c>
      <c r="AA4775">
        <v>1670</v>
      </c>
      <c r="AB4775">
        <v>1962</v>
      </c>
      <c r="AC4775">
        <v>1.45</v>
      </c>
      <c r="AD4775" t="s">
        <v>21788</v>
      </c>
      <c r="AE4775" t="s">
        <v>5152</v>
      </c>
      <c r="AF4775" t="s">
        <v>10186</v>
      </c>
      <c r="AG4775" t="s">
        <v>21789</v>
      </c>
      <c r="AH4775">
        <v>-0.39</v>
      </c>
      <c r="AI4775">
        <v>-4.51</v>
      </c>
      <c r="AJ4775">
        <v>1.2</v>
      </c>
      <c r="AK4775">
        <v>2.83</v>
      </c>
      <c r="AL4775">
        <v>-1</v>
      </c>
      <c r="AM4775">
        <v>-0.39</v>
      </c>
      <c r="AN4775">
        <v>15.98</v>
      </c>
      <c r="AO4775">
        <v>-4.15</v>
      </c>
      <c r="AP4775">
        <v>7.63</v>
      </c>
    </row>
    <row r="4776" spans="1:42">
      <c r="A4776">
        <v>4775</v>
      </c>
      <c r="B4776" t="str">
        <f>"688386"</f>
        <v>688386</v>
      </c>
      <c r="C4776" t="s">
        <v>21790</v>
      </c>
      <c r="D4776">
        <v>41.18</v>
      </c>
      <c r="E4776">
        <v>-0.96</v>
      </c>
      <c r="F4776">
        <v>-0.4</v>
      </c>
      <c r="G4776">
        <v>4772</v>
      </c>
      <c r="H4776">
        <v>27</v>
      </c>
      <c r="I4776">
        <v>41.16</v>
      </c>
      <c r="J4776">
        <v>41.18</v>
      </c>
      <c r="K4776" t="s">
        <v>21787</v>
      </c>
      <c r="L4776">
        <v>0.68</v>
      </c>
      <c r="M4776" t="s">
        <v>46</v>
      </c>
      <c r="N4776" t="s">
        <v>4994</v>
      </c>
      <c r="O4776">
        <v>41.82</v>
      </c>
      <c r="P4776">
        <v>40.86</v>
      </c>
      <c r="Q4776">
        <v>41.66</v>
      </c>
      <c r="R4776">
        <v>41.58</v>
      </c>
      <c r="S4776">
        <v>2.31</v>
      </c>
      <c r="T4776">
        <v>0.58</v>
      </c>
      <c r="U4776">
        <v>14.38</v>
      </c>
      <c r="V4776">
        <v>7</v>
      </c>
      <c r="W4776">
        <v>41.13</v>
      </c>
      <c r="X4776">
        <v>2491</v>
      </c>
      <c r="Y4776">
        <v>2280</v>
      </c>
      <c r="Z4776">
        <v>1.09</v>
      </c>
      <c r="AA4776">
        <v>8</v>
      </c>
      <c r="AB4776">
        <v>9</v>
      </c>
      <c r="AC4776">
        <v>4.49</v>
      </c>
      <c r="AD4776" t="s">
        <v>13535</v>
      </c>
      <c r="AE4776" t="s">
        <v>10949</v>
      </c>
      <c r="AF4776" t="s">
        <v>13535</v>
      </c>
      <c r="AG4776" t="s">
        <v>10949</v>
      </c>
      <c r="AH4776">
        <v>-4.21</v>
      </c>
      <c r="AI4776">
        <v>-2.9</v>
      </c>
      <c r="AJ4776">
        <v>2.81</v>
      </c>
      <c r="AK4776">
        <v>6.56</v>
      </c>
      <c r="AL4776">
        <v>-3</v>
      </c>
      <c r="AM4776">
        <v>-0.96</v>
      </c>
      <c r="AN4776">
        <v>-25.06</v>
      </c>
      <c r="AO4776">
        <v>4.02</v>
      </c>
      <c r="AP4776">
        <v>-29.04</v>
      </c>
    </row>
    <row r="4777" spans="1:42">
      <c r="A4777">
        <v>4776</v>
      </c>
      <c r="B4777" t="str">
        <f>"002857"</f>
        <v>002857</v>
      </c>
      <c r="C4777" t="s">
        <v>21791</v>
      </c>
      <c r="D4777">
        <v>17</v>
      </c>
      <c r="E4777">
        <v>-1.56</v>
      </c>
      <c r="F4777">
        <v>-0.27</v>
      </c>
      <c r="G4777" t="s">
        <v>2284</v>
      </c>
      <c r="H4777">
        <v>302</v>
      </c>
      <c r="I4777">
        <v>16.96</v>
      </c>
      <c r="J4777">
        <v>17</v>
      </c>
      <c r="K4777" t="s">
        <v>21792</v>
      </c>
      <c r="L4777">
        <v>0.9</v>
      </c>
      <c r="M4777" t="s">
        <v>46</v>
      </c>
      <c r="N4777" t="s">
        <v>8184</v>
      </c>
      <c r="O4777">
        <v>17.28</v>
      </c>
      <c r="P4777">
        <v>16.88</v>
      </c>
      <c r="Q4777">
        <v>17.27</v>
      </c>
      <c r="R4777">
        <v>17.27</v>
      </c>
      <c r="S4777">
        <v>2.32</v>
      </c>
      <c r="T4777">
        <v>0.86</v>
      </c>
      <c r="U4777">
        <v>27.34</v>
      </c>
      <c r="V4777">
        <v>79</v>
      </c>
      <c r="W4777">
        <v>17.02</v>
      </c>
      <c r="X4777">
        <v>6686</v>
      </c>
      <c r="Y4777">
        <v>4839</v>
      </c>
      <c r="Z4777">
        <v>1.38</v>
      </c>
      <c r="AA4777">
        <v>3</v>
      </c>
      <c r="AB4777">
        <v>3</v>
      </c>
      <c r="AC4777">
        <v>4.18</v>
      </c>
      <c r="AD4777" t="s">
        <v>9252</v>
      </c>
      <c r="AE4777" t="s">
        <v>8745</v>
      </c>
      <c r="AF4777" t="s">
        <v>9252</v>
      </c>
      <c r="AG4777" t="s">
        <v>8745</v>
      </c>
      <c r="AH4777">
        <v>-2.35</v>
      </c>
      <c r="AI4777">
        <v>-3.79</v>
      </c>
      <c r="AJ4777">
        <v>2.37</v>
      </c>
      <c r="AK4777">
        <v>6.16</v>
      </c>
      <c r="AL4777">
        <v>-3</v>
      </c>
      <c r="AM4777">
        <v>-1.56</v>
      </c>
      <c r="AN4777">
        <v>19.55</v>
      </c>
      <c r="AO4777">
        <v>-5.29</v>
      </c>
      <c r="AP4777">
        <v>19.72</v>
      </c>
    </row>
    <row r="4778" spans="1:42">
      <c r="A4778">
        <v>4777</v>
      </c>
      <c r="B4778" t="str">
        <f>"002778"</f>
        <v>002778</v>
      </c>
      <c r="C4778" t="s">
        <v>21793</v>
      </c>
      <c r="D4778">
        <v>14.6</v>
      </c>
      <c r="E4778">
        <v>-0.48</v>
      </c>
      <c r="F4778">
        <v>-0.07</v>
      </c>
      <c r="G4778" t="s">
        <v>1777</v>
      </c>
      <c r="H4778">
        <v>118</v>
      </c>
      <c r="I4778">
        <v>14.6</v>
      </c>
      <c r="J4778">
        <v>14.62</v>
      </c>
      <c r="K4778" t="s">
        <v>21794</v>
      </c>
      <c r="L4778">
        <v>1.08</v>
      </c>
      <c r="M4778" t="s">
        <v>46</v>
      </c>
      <c r="N4778" t="s">
        <v>9012</v>
      </c>
      <c r="O4778">
        <v>14.75</v>
      </c>
      <c r="P4778">
        <v>14.59</v>
      </c>
      <c r="Q4778">
        <v>14.7</v>
      </c>
      <c r="R4778">
        <v>14.67</v>
      </c>
      <c r="S4778">
        <v>1.09</v>
      </c>
      <c r="T4778">
        <v>0.78</v>
      </c>
      <c r="U4778">
        <v>66.72</v>
      </c>
      <c r="V4778">
        <v>449</v>
      </c>
      <c r="W4778">
        <v>14.67</v>
      </c>
      <c r="X4778">
        <v>6486</v>
      </c>
      <c r="Y4778">
        <v>6888</v>
      </c>
      <c r="Z4778">
        <v>0.94</v>
      </c>
      <c r="AA4778">
        <v>340</v>
      </c>
      <c r="AB4778">
        <v>24</v>
      </c>
      <c r="AC4778">
        <v>3.27</v>
      </c>
      <c r="AD4778" t="s">
        <v>4377</v>
      </c>
      <c r="AE4778" t="s">
        <v>21444</v>
      </c>
      <c r="AF4778" t="s">
        <v>21795</v>
      </c>
      <c r="AG4778" t="s">
        <v>5252</v>
      </c>
      <c r="AH4778">
        <v>-0.41</v>
      </c>
      <c r="AI4778">
        <v>2.24</v>
      </c>
      <c r="AJ4778">
        <v>3.68</v>
      </c>
      <c r="AK4778">
        <v>8.04</v>
      </c>
      <c r="AL4778">
        <v>-1</v>
      </c>
      <c r="AM4778">
        <v>-0.48</v>
      </c>
      <c r="AN4778">
        <v>2.82</v>
      </c>
      <c r="AO4778">
        <v>4.58</v>
      </c>
      <c r="AP4778">
        <v>-5.38</v>
      </c>
    </row>
    <row r="4779" spans="1:42">
      <c r="A4779">
        <v>4778</v>
      </c>
      <c r="B4779" t="str">
        <f>"688360"</f>
        <v>688360</v>
      </c>
      <c r="C4779" t="s">
        <v>21796</v>
      </c>
      <c r="D4779">
        <v>20.4</v>
      </c>
      <c r="E4779">
        <v>0.2</v>
      </c>
      <c r="F4779">
        <v>0.04</v>
      </c>
      <c r="G4779">
        <v>9656</v>
      </c>
      <c r="H4779">
        <v>46</v>
      </c>
      <c r="I4779">
        <v>20.39</v>
      </c>
      <c r="J4779">
        <v>20.4</v>
      </c>
      <c r="K4779" t="s">
        <v>21794</v>
      </c>
      <c r="L4779">
        <v>0.81</v>
      </c>
      <c r="M4779" t="s">
        <v>46</v>
      </c>
      <c r="N4779" t="s">
        <v>5922</v>
      </c>
      <c r="O4779">
        <v>20.55</v>
      </c>
      <c r="P4779">
        <v>20.12</v>
      </c>
      <c r="Q4779">
        <v>20.37</v>
      </c>
      <c r="R4779">
        <v>20.36</v>
      </c>
      <c r="S4779">
        <v>2.11</v>
      </c>
      <c r="T4779">
        <v>1.13</v>
      </c>
      <c r="U4779">
        <v>5.6</v>
      </c>
      <c r="V4779">
        <v>16</v>
      </c>
      <c r="W4779">
        <v>20.31</v>
      </c>
      <c r="X4779">
        <v>5761</v>
      </c>
      <c r="Y4779">
        <v>3895</v>
      </c>
      <c r="Z4779">
        <v>1.48</v>
      </c>
      <c r="AA4779">
        <v>18</v>
      </c>
      <c r="AB4779">
        <v>5</v>
      </c>
      <c r="AC4779">
        <v>2.08</v>
      </c>
      <c r="AD4779" t="s">
        <v>10544</v>
      </c>
      <c r="AE4779" t="s">
        <v>6398</v>
      </c>
      <c r="AF4779" t="s">
        <v>21797</v>
      </c>
      <c r="AG4779" t="s">
        <v>21798</v>
      </c>
      <c r="AH4779">
        <v>-1.54</v>
      </c>
      <c r="AI4779">
        <v>-1.21</v>
      </c>
      <c r="AJ4779">
        <v>2.06</v>
      </c>
      <c r="AK4779">
        <v>4.38</v>
      </c>
      <c r="AL4779">
        <v>1</v>
      </c>
      <c r="AM4779">
        <v>0.2</v>
      </c>
      <c r="AN4779">
        <v>17.51</v>
      </c>
      <c r="AO4779">
        <v>2.56</v>
      </c>
      <c r="AP4779">
        <v>9.09</v>
      </c>
    </row>
    <row r="4780" spans="1:42">
      <c r="A4780">
        <v>4779</v>
      </c>
      <c r="B4780" t="str">
        <f>"002836"</f>
        <v>002836</v>
      </c>
      <c r="C4780" t="s">
        <v>21799</v>
      </c>
      <c r="D4780">
        <v>8.71</v>
      </c>
      <c r="E4780">
        <v>1.28</v>
      </c>
      <c r="F4780">
        <v>0.11</v>
      </c>
      <c r="G4780" t="s">
        <v>3327</v>
      </c>
      <c r="H4780">
        <v>273</v>
      </c>
      <c r="I4780">
        <v>8.7</v>
      </c>
      <c r="J4780">
        <v>8.71</v>
      </c>
      <c r="K4780" t="s">
        <v>18614</v>
      </c>
      <c r="L4780">
        <v>0.98</v>
      </c>
      <c r="M4780" t="s">
        <v>46</v>
      </c>
      <c r="N4780" t="s">
        <v>6902</v>
      </c>
      <c r="O4780">
        <v>8.73</v>
      </c>
      <c r="P4780">
        <v>8.54</v>
      </c>
      <c r="Q4780">
        <v>8.64</v>
      </c>
      <c r="R4780">
        <v>8.6</v>
      </c>
      <c r="S4780">
        <v>2.21</v>
      </c>
      <c r="T4780">
        <v>0.83</v>
      </c>
      <c r="U4780">
        <v>-10.66</v>
      </c>
      <c r="V4780">
        <v>-179</v>
      </c>
      <c r="W4780">
        <v>8.68</v>
      </c>
      <c r="X4780" t="s">
        <v>2074</v>
      </c>
      <c r="Y4780" t="s">
        <v>2547</v>
      </c>
      <c r="Z4780">
        <v>0.81</v>
      </c>
      <c r="AA4780">
        <v>52</v>
      </c>
      <c r="AB4780">
        <v>174</v>
      </c>
      <c r="AC4780">
        <v>5.52</v>
      </c>
      <c r="AD4780" t="s">
        <v>21800</v>
      </c>
      <c r="AE4780" t="s">
        <v>309</v>
      </c>
      <c r="AF4780" t="s">
        <v>21800</v>
      </c>
      <c r="AG4780" t="s">
        <v>309</v>
      </c>
      <c r="AH4780">
        <v>1.16</v>
      </c>
      <c r="AI4780">
        <v>0.81</v>
      </c>
      <c r="AJ4780">
        <v>3.31</v>
      </c>
      <c r="AK4780">
        <v>6.87</v>
      </c>
      <c r="AL4780">
        <v>1</v>
      </c>
      <c r="AM4780">
        <v>1.28</v>
      </c>
      <c r="AN4780">
        <v>15.36</v>
      </c>
      <c r="AO4780">
        <v>5.7</v>
      </c>
      <c r="AP4780">
        <v>-0.68</v>
      </c>
    </row>
    <row r="4781" spans="1:42">
      <c r="A4781">
        <v>4780</v>
      </c>
      <c r="B4781" t="str">
        <f>"301286"</f>
        <v>301286</v>
      </c>
      <c r="C4781" t="s">
        <v>21801</v>
      </c>
      <c r="D4781">
        <v>28</v>
      </c>
      <c r="E4781">
        <v>0.32</v>
      </c>
      <c r="F4781">
        <v>0.09</v>
      </c>
      <c r="G4781">
        <v>7034</v>
      </c>
      <c r="H4781">
        <v>322</v>
      </c>
      <c r="I4781">
        <v>27.9</v>
      </c>
      <c r="J4781">
        <v>28</v>
      </c>
      <c r="K4781" t="s">
        <v>21802</v>
      </c>
      <c r="L4781">
        <v>1.77</v>
      </c>
      <c r="M4781" t="s">
        <v>46</v>
      </c>
      <c r="N4781" t="s">
        <v>21803</v>
      </c>
      <c r="O4781">
        <v>28.2</v>
      </c>
      <c r="P4781">
        <v>27.49</v>
      </c>
      <c r="Q4781">
        <v>27.86</v>
      </c>
      <c r="R4781">
        <v>27.91</v>
      </c>
      <c r="S4781">
        <v>2.54</v>
      </c>
      <c r="T4781">
        <v>0.85</v>
      </c>
      <c r="U4781">
        <v>-22.09</v>
      </c>
      <c r="V4781">
        <v>-76</v>
      </c>
      <c r="W4781">
        <v>27.84</v>
      </c>
      <c r="X4781">
        <v>4088</v>
      </c>
      <c r="Y4781">
        <v>2946</v>
      </c>
      <c r="Z4781">
        <v>1.39</v>
      </c>
      <c r="AA4781">
        <v>2</v>
      </c>
      <c r="AB4781">
        <v>29</v>
      </c>
      <c r="AC4781">
        <v>6.68</v>
      </c>
      <c r="AD4781" t="s">
        <v>5024</v>
      </c>
      <c r="AE4781" t="s">
        <v>4726</v>
      </c>
      <c r="AF4781" t="s">
        <v>21804</v>
      </c>
      <c r="AG4781" t="s">
        <v>3577</v>
      </c>
      <c r="AH4781">
        <v>0.47</v>
      </c>
      <c r="AI4781">
        <v>0.94</v>
      </c>
      <c r="AJ4781">
        <v>3.42</v>
      </c>
      <c r="AK4781">
        <v>12.18</v>
      </c>
      <c r="AL4781">
        <v>2</v>
      </c>
      <c r="AM4781">
        <v>0.32</v>
      </c>
      <c r="AN4781">
        <v>13.77</v>
      </c>
      <c r="AO4781">
        <v>3.4</v>
      </c>
      <c r="AP4781">
        <v>7.28</v>
      </c>
    </row>
    <row r="4782" spans="1:42">
      <c r="A4782">
        <v>4781</v>
      </c>
      <c r="B4782" t="str">
        <f>"301065"</f>
        <v>301065</v>
      </c>
      <c r="C4782" t="s">
        <v>21805</v>
      </c>
      <c r="D4782">
        <v>23.7</v>
      </c>
      <c r="E4782">
        <v>0</v>
      </c>
      <c r="F4782">
        <v>0</v>
      </c>
      <c r="G4782">
        <v>8255</v>
      </c>
      <c r="H4782">
        <v>70</v>
      </c>
      <c r="I4782">
        <v>23.7</v>
      </c>
      <c r="J4782">
        <v>23.72</v>
      </c>
      <c r="K4782" t="s">
        <v>21806</v>
      </c>
      <c r="L4782">
        <v>1.81</v>
      </c>
      <c r="M4782" t="s">
        <v>46</v>
      </c>
      <c r="N4782" t="s">
        <v>597</v>
      </c>
      <c r="O4782">
        <v>23.91</v>
      </c>
      <c r="P4782">
        <v>23.51</v>
      </c>
      <c r="Q4782">
        <v>23.88</v>
      </c>
      <c r="R4782">
        <v>23.7</v>
      </c>
      <c r="S4782">
        <v>1.69</v>
      </c>
      <c r="T4782">
        <v>0.51</v>
      </c>
      <c r="U4782">
        <v>84.84</v>
      </c>
      <c r="V4782">
        <v>414</v>
      </c>
      <c r="W4782">
        <v>23.72</v>
      </c>
      <c r="X4782">
        <v>4439</v>
      </c>
      <c r="Y4782">
        <v>3816</v>
      </c>
      <c r="Z4782">
        <v>1.16</v>
      </c>
      <c r="AA4782">
        <v>1</v>
      </c>
      <c r="AB4782">
        <v>6</v>
      </c>
      <c r="AC4782">
        <v>1.96</v>
      </c>
      <c r="AD4782" t="s">
        <v>21378</v>
      </c>
      <c r="AE4782" t="s">
        <v>3652</v>
      </c>
      <c r="AF4782" t="s">
        <v>21182</v>
      </c>
      <c r="AG4782" t="s">
        <v>9551</v>
      </c>
      <c r="AH4782">
        <v>-1.82</v>
      </c>
      <c r="AI4782">
        <v>-2.51</v>
      </c>
      <c r="AJ4782">
        <v>7.16</v>
      </c>
      <c r="AK4782">
        <v>19.46</v>
      </c>
      <c r="AL4782">
        <v>0</v>
      </c>
      <c r="AM4782">
        <v>0</v>
      </c>
      <c r="AN4782">
        <v>16.06</v>
      </c>
      <c r="AO4782">
        <v>2.07</v>
      </c>
      <c r="AP4782">
        <v>0.04</v>
      </c>
    </row>
    <row r="4783" spans="1:42">
      <c r="A4783">
        <v>4782</v>
      </c>
      <c r="B4783" t="str">
        <f>"600163"</f>
        <v>600163</v>
      </c>
      <c r="C4783" t="s">
        <v>21807</v>
      </c>
      <c r="D4783">
        <v>4.5</v>
      </c>
      <c r="E4783">
        <v>0</v>
      </c>
      <c r="F4783">
        <v>0</v>
      </c>
      <c r="G4783" t="s">
        <v>3176</v>
      </c>
      <c r="H4783">
        <v>304</v>
      </c>
      <c r="I4783">
        <v>4.5</v>
      </c>
      <c r="J4783">
        <v>4.51</v>
      </c>
      <c r="K4783" t="s">
        <v>21808</v>
      </c>
      <c r="L4783">
        <v>0.38</v>
      </c>
      <c r="M4783" t="s">
        <v>46</v>
      </c>
      <c r="N4783" t="s">
        <v>3553</v>
      </c>
      <c r="O4783">
        <v>4.51</v>
      </c>
      <c r="P4783">
        <v>4.46</v>
      </c>
      <c r="Q4783">
        <v>4.49</v>
      </c>
      <c r="R4783">
        <v>4.5</v>
      </c>
      <c r="S4783">
        <v>1.11</v>
      </c>
      <c r="T4783">
        <v>0.76</v>
      </c>
      <c r="U4783">
        <v>-39.7</v>
      </c>
      <c r="V4783">
        <v>-5856</v>
      </c>
      <c r="W4783">
        <v>4.49</v>
      </c>
      <c r="X4783" t="s">
        <v>3327</v>
      </c>
      <c r="Y4783" t="s">
        <v>5592</v>
      </c>
      <c r="Z4783">
        <v>1.08</v>
      </c>
      <c r="AA4783">
        <v>214</v>
      </c>
      <c r="AB4783">
        <v>3820</v>
      </c>
      <c r="AC4783">
        <v>1.44</v>
      </c>
      <c r="AD4783" t="s">
        <v>21809</v>
      </c>
      <c r="AE4783" t="s">
        <v>21810</v>
      </c>
      <c r="AF4783" t="s">
        <v>3858</v>
      </c>
      <c r="AG4783" t="s">
        <v>7860</v>
      </c>
      <c r="AH4783">
        <v>-0.22</v>
      </c>
      <c r="AI4783">
        <v>-0.88</v>
      </c>
      <c r="AJ4783">
        <v>1.24</v>
      </c>
      <c r="AK4783">
        <v>2.88</v>
      </c>
      <c r="AL4783">
        <v>0</v>
      </c>
      <c r="AM4783">
        <v>0</v>
      </c>
      <c r="AN4783">
        <v>-14.61</v>
      </c>
      <c r="AO4783">
        <v>-1.53</v>
      </c>
      <c r="AP4783">
        <v>-16.2</v>
      </c>
    </row>
    <row r="4784" spans="1:42">
      <c r="A4784">
        <v>4783</v>
      </c>
      <c r="B4784" t="str">
        <f>"000635"</f>
        <v>000635</v>
      </c>
      <c r="C4784" t="s">
        <v>21811</v>
      </c>
      <c r="D4784">
        <v>8.92</v>
      </c>
      <c r="E4784">
        <v>0.56</v>
      </c>
      <c r="F4784">
        <v>0.05</v>
      </c>
      <c r="G4784" t="s">
        <v>377</v>
      </c>
      <c r="H4784">
        <v>81</v>
      </c>
      <c r="I4784">
        <v>8.91</v>
      </c>
      <c r="J4784">
        <v>8.92</v>
      </c>
      <c r="K4784" t="s">
        <v>21812</v>
      </c>
      <c r="L4784">
        <v>0.73</v>
      </c>
      <c r="M4784" t="s">
        <v>46</v>
      </c>
      <c r="N4784" t="s">
        <v>5397</v>
      </c>
      <c r="O4784">
        <v>9</v>
      </c>
      <c r="P4784">
        <v>8.77</v>
      </c>
      <c r="Q4784">
        <v>8.88</v>
      </c>
      <c r="R4784">
        <v>8.87</v>
      </c>
      <c r="S4784">
        <v>2.59</v>
      </c>
      <c r="T4784">
        <v>1.05</v>
      </c>
      <c r="U4784">
        <v>32.17</v>
      </c>
      <c r="V4784">
        <v>333</v>
      </c>
      <c r="W4784">
        <v>8.88</v>
      </c>
      <c r="X4784" t="s">
        <v>1400</v>
      </c>
      <c r="Y4784" t="s">
        <v>2284</v>
      </c>
      <c r="Z4784">
        <v>0.91</v>
      </c>
      <c r="AA4784">
        <v>29</v>
      </c>
      <c r="AB4784">
        <v>65</v>
      </c>
      <c r="AC4784">
        <v>1.51</v>
      </c>
      <c r="AD4784" t="s">
        <v>19214</v>
      </c>
      <c r="AE4784" t="s">
        <v>4309</v>
      </c>
      <c r="AF4784" t="s">
        <v>21813</v>
      </c>
      <c r="AG4784" t="s">
        <v>6440</v>
      </c>
      <c r="AH4784">
        <v>-1.33</v>
      </c>
      <c r="AI4784">
        <v>-1.11</v>
      </c>
      <c r="AJ4784">
        <v>2.16</v>
      </c>
      <c r="AK4784">
        <v>4.17</v>
      </c>
      <c r="AL4784">
        <v>1</v>
      </c>
      <c r="AM4784">
        <v>0.56</v>
      </c>
      <c r="AN4784">
        <v>3</v>
      </c>
      <c r="AO4784">
        <v>1.59</v>
      </c>
      <c r="AP4784">
        <v>2.53</v>
      </c>
    </row>
    <row r="4785" spans="1:42">
      <c r="A4785">
        <v>4784</v>
      </c>
      <c r="B4785" t="str">
        <f>"002633"</f>
        <v>002633</v>
      </c>
      <c r="C4785" t="s">
        <v>21814</v>
      </c>
      <c r="D4785">
        <v>11.03</v>
      </c>
      <c r="E4785">
        <v>0.46</v>
      </c>
      <c r="F4785">
        <v>0.05</v>
      </c>
      <c r="G4785" t="s">
        <v>60</v>
      </c>
      <c r="H4785">
        <v>261</v>
      </c>
      <c r="I4785">
        <v>11.03</v>
      </c>
      <c r="J4785">
        <v>11.04</v>
      </c>
      <c r="K4785" t="s">
        <v>21812</v>
      </c>
      <c r="L4785">
        <v>1.19</v>
      </c>
      <c r="M4785" t="s">
        <v>46</v>
      </c>
      <c r="N4785" t="s">
        <v>6531</v>
      </c>
      <c r="O4785">
        <v>11.07</v>
      </c>
      <c r="P4785">
        <v>10.84</v>
      </c>
      <c r="Q4785">
        <v>10.98</v>
      </c>
      <c r="R4785">
        <v>10.98</v>
      </c>
      <c r="S4785">
        <v>2.09</v>
      </c>
      <c r="T4785">
        <v>0.84</v>
      </c>
      <c r="U4785">
        <v>22.68</v>
      </c>
      <c r="V4785">
        <v>356</v>
      </c>
      <c r="W4785">
        <v>10.98</v>
      </c>
      <c r="X4785">
        <v>8767</v>
      </c>
      <c r="Y4785">
        <v>9022</v>
      </c>
      <c r="Z4785">
        <v>0.97</v>
      </c>
      <c r="AA4785">
        <v>232</v>
      </c>
      <c r="AB4785">
        <v>61</v>
      </c>
      <c r="AC4785">
        <v>3.9</v>
      </c>
      <c r="AD4785" t="s">
        <v>3403</v>
      </c>
      <c r="AE4785" t="s">
        <v>7509</v>
      </c>
      <c r="AF4785" t="s">
        <v>2107</v>
      </c>
      <c r="AG4785" t="s">
        <v>2515</v>
      </c>
      <c r="AH4785">
        <v>-1.34</v>
      </c>
      <c r="AI4785">
        <v>1.38</v>
      </c>
      <c r="AJ4785">
        <v>3.85</v>
      </c>
      <c r="AK4785">
        <v>8.27</v>
      </c>
      <c r="AL4785">
        <v>1</v>
      </c>
      <c r="AM4785">
        <v>0.46</v>
      </c>
      <c r="AN4785">
        <v>11.3</v>
      </c>
      <c r="AO4785">
        <v>2.13</v>
      </c>
      <c r="AP4785">
        <v>8.46</v>
      </c>
    </row>
    <row r="4786" spans="1:42">
      <c r="A4786">
        <v>4785</v>
      </c>
      <c r="B4786" t="str">
        <f>"600527"</f>
        <v>600527</v>
      </c>
      <c r="C4786" t="s">
        <v>21815</v>
      </c>
      <c r="D4786">
        <v>2.01</v>
      </c>
      <c r="E4786">
        <v>1.01</v>
      </c>
      <c r="F4786">
        <v>0.02</v>
      </c>
      <c r="G4786" t="s">
        <v>2058</v>
      </c>
      <c r="H4786">
        <v>1787</v>
      </c>
      <c r="I4786">
        <v>2</v>
      </c>
      <c r="J4786">
        <v>2.01</v>
      </c>
      <c r="K4786" t="s">
        <v>21632</v>
      </c>
      <c r="L4786">
        <v>0.56</v>
      </c>
      <c r="M4786" t="s">
        <v>46</v>
      </c>
      <c r="N4786" t="s">
        <v>2819</v>
      </c>
      <c r="O4786">
        <v>2.02</v>
      </c>
      <c r="P4786">
        <v>1.98</v>
      </c>
      <c r="Q4786">
        <v>1.99</v>
      </c>
      <c r="R4786">
        <v>1.99</v>
      </c>
      <c r="S4786">
        <v>2.01</v>
      </c>
      <c r="T4786">
        <v>0.89</v>
      </c>
      <c r="U4786">
        <v>-52.48</v>
      </c>
      <c r="V4786" t="s">
        <v>21816</v>
      </c>
      <c r="W4786">
        <v>2</v>
      </c>
      <c r="X4786" t="s">
        <v>1559</v>
      </c>
      <c r="Y4786" t="s">
        <v>7461</v>
      </c>
      <c r="Z4786">
        <v>0.61</v>
      </c>
      <c r="AA4786">
        <v>3164</v>
      </c>
      <c r="AB4786">
        <v>9678</v>
      </c>
      <c r="AC4786">
        <v>1.58</v>
      </c>
      <c r="AD4786" t="s">
        <v>484</v>
      </c>
      <c r="AE4786" t="s">
        <v>129</v>
      </c>
      <c r="AF4786" t="s">
        <v>484</v>
      </c>
      <c r="AG4786" t="s">
        <v>129</v>
      </c>
      <c r="AH4786">
        <v>0</v>
      </c>
      <c r="AI4786">
        <v>0</v>
      </c>
      <c r="AJ4786">
        <v>1.7</v>
      </c>
      <c r="AK4786">
        <v>3.74</v>
      </c>
      <c r="AL4786">
        <v>1</v>
      </c>
      <c r="AM4786">
        <v>1.01</v>
      </c>
      <c r="AN4786">
        <v>2.03</v>
      </c>
      <c r="AO4786">
        <v>2.03</v>
      </c>
      <c r="AP4786">
        <v>1.01</v>
      </c>
    </row>
    <row r="4787" spans="1:42">
      <c r="A4787">
        <v>4786</v>
      </c>
      <c r="B4787" t="str">
        <f>"871634"</f>
        <v>871634</v>
      </c>
      <c r="C4787" t="s">
        <v>21817</v>
      </c>
      <c r="D4787">
        <v>9.22</v>
      </c>
      <c r="E4787">
        <v>-5.82</v>
      </c>
      <c r="F4787">
        <v>-0.57</v>
      </c>
      <c r="G4787" t="s">
        <v>3372</v>
      </c>
      <c r="H4787">
        <v>120</v>
      </c>
      <c r="I4787">
        <v>9.21</v>
      </c>
      <c r="J4787">
        <v>9.22</v>
      </c>
      <c r="K4787" t="s">
        <v>21632</v>
      </c>
      <c r="L4787">
        <v>13.22</v>
      </c>
      <c r="M4787" t="s">
        <v>46</v>
      </c>
      <c r="N4787" t="s">
        <v>3910</v>
      </c>
      <c r="O4787">
        <v>10.19</v>
      </c>
      <c r="P4787">
        <v>9.12</v>
      </c>
      <c r="Q4787">
        <v>9.89</v>
      </c>
      <c r="R4787">
        <v>9.79</v>
      </c>
      <c r="S4787">
        <v>10.93</v>
      </c>
      <c r="T4787">
        <v>0.38</v>
      </c>
      <c r="U4787">
        <v>38.13</v>
      </c>
      <c r="V4787">
        <v>235</v>
      </c>
      <c r="W4787">
        <v>9.53</v>
      </c>
      <c r="X4787" t="s">
        <v>9445</v>
      </c>
      <c r="Y4787">
        <v>7526</v>
      </c>
      <c r="Z4787">
        <v>1.72</v>
      </c>
      <c r="AA4787">
        <v>183</v>
      </c>
      <c r="AB4787">
        <v>28</v>
      </c>
      <c r="AC4787">
        <v>2.42</v>
      </c>
      <c r="AD4787" t="s">
        <v>21818</v>
      </c>
      <c r="AE4787" t="s">
        <v>21819</v>
      </c>
      <c r="AF4787" t="s">
        <v>21820</v>
      </c>
      <c r="AG4787" t="s">
        <v>9521</v>
      </c>
      <c r="AH4787">
        <v>-16.18</v>
      </c>
      <c r="AI4787">
        <v>14.53</v>
      </c>
      <c r="AJ4787">
        <v>57.6</v>
      </c>
      <c r="AK4787">
        <v>186.35</v>
      </c>
      <c r="AL4787">
        <v>-1</v>
      </c>
      <c r="AM4787">
        <v>-5.82</v>
      </c>
      <c r="AN4787">
        <v>22.93</v>
      </c>
      <c r="AO4787">
        <v>29.13</v>
      </c>
      <c r="AP4787">
        <v>16.71</v>
      </c>
    </row>
    <row r="4788" spans="1:42">
      <c r="A4788">
        <v>4787</v>
      </c>
      <c r="B4788" t="str">
        <f>"600207"</f>
        <v>600207</v>
      </c>
      <c r="C4788" t="s">
        <v>21821</v>
      </c>
      <c r="D4788">
        <v>4.87</v>
      </c>
      <c r="E4788">
        <v>0</v>
      </c>
      <c r="F4788">
        <v>0</v>
      </c>
      <c r="G4788" t="s">
        <v>5383</v>
      </c>
      <c r="H4788">
        <v>615</v>
      </c>
      <c r="I4788">
        <v>4.86</v>
      </c>
      <c r="J4788">
        <v>4.87</v>
      </c>
      <c r="K4788" t="s">
        <v>21822</v>
      </c>
      <c r="L4788">
        <v>0.38</v>
      </c>
      <c r="M4788" t="s">
        <v>46</v>
      </c>
      <c r="N4788" t="s">
        <v>543</v>
      </c>
      <c r="O4788">
        <v>4.89</v>
      </c>
      <c r="P4788">
        <v>4.82</v>
      </c>
      <c r="Q4788">
        <v>4.87</v>
      </c>
      <c r="R4788">
        <v>4.87</v>
      </c>
      <c r="S4788">
        <v>1.44</v>
      </c>
      <c r="T4788">
        <v>0.95</v>
      </c>
      <c r="U4788">
        <v>-24.38</v>
      </c>
      <c r="V4788">
        <v>-1921</v>
      </c>
      <c r="W4788">
        <v>4.85</v>
      </c>
      <c r="X4788" t="s">
        <v>1212</v>
      </c>
      <c r="Y4788" t="s">
        <v>3165</v>
      </c>
      <c r="Z4788">
        <v>1.27</v>
      </c>
      <c r="AA4788">
        <v>411</v>
      </c>
      <c r="AB4788">
        <v>448</v>
      </c>
      <c r="AC4788">
        <v>1.68</v>
      </c>
      <c r="AD4788" t="s">
        <v>10310</v>
      </c>
      <c r="AE4788" t="s">
        <v>13964</v>
      </c>
      <c r="AF4788" t="s">
        <v>8897</v>
      </c>
      <c r="AG4788" t="s">
        <v>21823</v>
      </c>
      <c r="AH4788">
        <v>-1.62</v>
      </c>
      <c r="AI4788">
        <v>-1.62</v>
      </c>
      <c r="AJ4788">
        <v>1.11</v>
      </c>
      <c r="AK4788">
        <v>2.39</v>
      </c>
      <c r="AL4788">
        <v>0</v>
      </c>
      <c r="AM4788">
        <v>0</v>
      </c>
      <c r="AN4788">
        <v>-22.08</v>
      </c>
      <c r="AO4788">
        <v>2.1</v>
      </c>
      <c r="AP4788">
        <v>-23.43</v>
      </c>
    </row>
    <row r="4789" spans="1:42">
      <c r="A4789">
        <v>4788</v>
      </c>
      <c r="B4789" t="str">
        <f>"301361"</f>
        <v>301361</v>
      </c>
      <c r="C4789" t="s">
        <v>21824</v>
      </c>
      <c r="D4789">
        <v>24.31</v>
      </c>
      <c r="E4789">
        <v>-0.49</v>
      </c>
      <c r="F4789">
        <v>-0.12</v>
      </c>
      <c r="G4789">
        <v>8022</v>
      </c>
      <c r="H4789">
        <v>191</v>
      </c>
      <c r="I4789">
        <v>24.31</v>
      </c>
      <c r="J4789">
        <v>24.32</v>
      </c>
      <c r="K4789" t="s">
        <v>21825</v>
      </c>
      <c r="L4789">
        <v>2.76</v>
      </c>
      <c r="M4789" t="s">
        <v>46</v>
      </c>
      <c r="N4789" t="s">
        <v>8220</v>
      </c>
      <c r="O4789">
        <v>24.58</v>
      </c>
      <c r="P4789">
        <v>24.13</v>
      </c>
      <c r="Q4789">
        <v>24.48</v>
      </c>
      <c r="R4789">
        <v>24.43</v>
      </c>
      <c r="S4789">
        <v>1.84</v>
      </c>
      <c r="T4789">
        <v>0.98</v>
      </c>
      <c r="U4789">
        <v>20</v>
      </c>
      <c r="V4789">
        <v>28</v>
      </c>
      <c r="W4789">
        <v>24.31</v>
      </c>
      <c r="X4789">
        <v>3871</v>
      </c>
      <c r="Y4789">
        <v>4151</v>
      </c>
      <c r="Z4789">
        <v>0.93</v>
      </c>
      <c r="AA4789">
        <v>19</v>
      </c>
      <c r="AB4789">
        <v>19</v>
      </c>
      <c r="AC4789">
        <v>2.66</v>
      </c>
      <c r="AD4789" t="s">
        <v>21826</v>
      </c>
      <c r="AE4789" t="s">
        <v>1474</v>
      </c>
      <c r="AF4789" t="s">
        <v>21827</v>
      </c>
      <c r="AG4789" t="s">
        <v>21828</v>
      </c>
      <c r="AH4789">
        <v>-2.05</v>
      </c>
      <c r="AI4789">
        <v>-2.02</v>
      </c>
      <c r="AJ4789">
        <v>8.26</v>
      </c>
      <c r="AK4789">
        <v>16.85</v>
      </c>
      <c r="AL4789">
        <v>-3</v>
      </c>
      <c r="AM4789">
        <v>-0.49</v>
      </c>
      <c r="AN4789">
        <v>8.67</v>
      </c>
      <c r="AO4789">
        <v>1.38</v>
      </c>
      <c r="AP4789">
        <v>-14.82</v>
      </c>
    </row>
    <row r="4790" spans="1:42">
      <c r="A4790">
        <v>4789</v>
      </c>
      <c r="B4790" t="str">
        <f>"000761"</f>
        <v>000761</v>
      </c>
      <c r="C4790" t="s">
        <v>21829</v>
      </c>
      <c r="D4790">
        <v>3.93</v>
      </c>
      <c r="E4790">
        <v>0.77</v>
      </c>
      <c r="F4790">
        <v>0.03</v>
      </c>
      <c r="G4790" t="s">
        <v>3356</v>
      </c>
      <c r="H4790">
        <v>300</v>
      </c>
      <c r="I4790">
        <v>3.92</v>
      </c>
      <c r="J4790">
        <v>3.93</v>
      </c>
      <c r="K4790" t="s">
        <v>21830</v>
      </c>
      <c r="L4790">
        <v>0.13</v>
      </c>
      <c r="M4790" t="s">
        <v>46</v>
      </c>
      <c r="N4790" t="s">
        <v>21831</v>
      </c>
      <c r="O4790">
        <v>3.94</v>
      </c>
      <c r="P4790">
        <v>3.89</v>
      </c>
      <c r="Q4790">
        <v>3.92</v>
      </c>
      <c r="R4790">
        <v>3.9</v>
      </c>
      <c r="S4790">
        <v>1.28</v>
      </c>
      <c r="T4790">
        <v>0.81</v>
      </c>
      <c r="U4790">
        <v>-42.3</v>
      </c>
      <c r="V4790" t="s">
        <v>8591</v>
      </c>
      <c r="W4790">
        <v>3.92</v>
      </c>
      <c r="X4790" t="s">
        <v>9024</v>
      </c>
      <c r="Y4790" t="s">
        <v>6097</v>
      </c>
      <c r="Z4790">
        <v>0.71</v>
      </c>
      <c r="AA4790">
        <v>992</v>
      </c>
      <c r="AB4790">
        <v>1517</v>
      </c>
      <c r="AC4790">
        <v>0.97</v>
      </c>
      <c r="AD4790" t="s">
        <v>21832</v>
      </c>
      <c r="AE4790" t="s">
        <v>21833</v>
      </c>
      <c r="AF4790" t="s">
        <v>5314</v>
      </c>
      <c r="AG4790" t="s">
        <v>9757</v>
      </c>
      <c r="AH4790">
        <v>-0.25</v>
      </c>
      <c r="AI4790">
        <v>0</v>
      </c>
      <c r="AJ4790">
        <v>0.45</v>
      </c>
      <c r="AK4790">
        <v>0.96</v>
      </c>
      <c r="AL4790">
        <v>1</v>
      </c>
      <c r="AM4790">
        <v>0.77</v>
      </c>
      <c r="AN4790">
        <v>33.22</v>
      </c>
      <c r="AO4790">
        <v>2.61</v>
      </c>
      <c r="AP4790">
        <v>26.37</v>
      </c>
    </row>
    <row r="4791" spans="1:42">
      <c r="A4791">
        <v>4790</v>
      </c>
      <c r="B4791" t="str">
        <f>"603182"</f>
        <v>603182</v>
      </c>
      <c r="C4791" t="s">
        <v>21834</v>
      </c>
      <c r="D4791">
        <v>15.05</v>
      </c>
      <c r="E4791">
        <v>-1.12</v>
      </c>
      <c r="F4791">
        <v>-0.17</v>
      </c>
      <c r="G4791" t="s">
        <v>1427</v>
      </c>
      <c r="H4791">
        <v>114</v>
      </c>
      <c r="I4791">
        <v>15.05</v>
      </c>
      <c r="J4791">
        <v>15.06</v>
      </c>
      <c r="K4791" t="s">
        <v>21835</v>
      </c>
      <c r="L4791">
        <v>1.39</v>
      </c>
      <c r="M4791" t="s">
        <v>46</v>
      </c>
      <c r="N4791" t="s">
        <v>7742</v>
      </c>
      <c r="O4791">
        <v>15.3</v>
      </c>
      <c r="P4791">
        <v>14.99</v>
      </c>
      <c r="Q4791">
        <v>15.24</v>
      </c>
      <c r="R4791">
        <v>15.22</v>
      </c>
      <c r="S4791">
        <v>2.04</v>
      </c>
      <c r="T4791">
        <v>1</v>
      </c>
      <c r="U4791">
        <v>-32.89</v>
      </c>
      <c r="V4791">
        <v>-50</v>
      </c>
      <c r="W4791">
        <v>15.09</v>
      </c>
      <c r="X4791">
        <v>8293</v>
      </c>
      <c r="Y4791">
        <v>4614</v>
      </c>
      <c r="Z4791">
        <v>1.8</v>
      </c>
      <c r="AA4791">
        <v>9</v>
      </c>
      <c r="AB4791">
        <v>16</v>
      </c>
      <c r="AC4791">
        <v>2.47</v>
      </c>
      <c r="AD4791" t="s">
        <v>16832</v>
      </c>
      <c r="AE4791" t="s">
        <v>21836</v>
      </c>
      <c r="AF4791" t="s">
        <v>21837</v>
      </c>
      <c r="AG4791" t="s">
        <v>5986</v>
      </c>
      <c r="AH4791">
        <v>-0.73</v>
      </c>
      <c r="AI4791">
        <v>-0.33</v>
      </c>
      <c r="AJ4791">
        <v>4.35</v>
      </c>
      <c r="AK4791">
        <v>8.33</v>
      </c>
      <c r="AL4791">
        <v>-2</v>
      </c>
      <c r="AM4791">
        <v>-1.12</v>
      </c>
      <c r="AN4791">
        <v>-14.54</v>
      </c>
      <c r="AO4791">
        <v>2.52</v>
      </c>
      <c r="AP4791">
        <v>-15.21</v>
      </c>
    </row>
    <row r="4792" spans="1:42">
      <c r="A4792">
        <v>4791</v>
      </c>
      <c r="B4792" t="str">
        <f>"688355"</f>
        <v>688355</v>
      </c>
      <c r="C4792" t="s">
        <v>21838</v>
      </c>
      <c r="D4792">
        <v>20.36</v>
      </c>
      <c r="E4792">
        <v>-0.68</v>
      </c>
      <c r="F4792">
        <v>-0.14</v>
      </c>
      <c r="G4792">
        <v>9675</v>
      </c>
      <c r="H4792">
        <v>384</v>
      </c>
      <c r="I4792">
        <v>20.36</v>
      </c>
      <c r="J4792">
        <v>20.37</v>
      </c>
      <c r="K4792" t="s">
        <v>21839</v>
      </c>
      <c r="L4792">
        <v>2.47</v>
      </c>
      <c r="M4792" t="s">
        <v>46</v>
      </c>
      <c r="N4792" t="s">
        <v>4181</v>
      </c>
      <c r="O4792">
        <v>20.47</v>
      </c>
      <c r="P4792">
        <v>19.93</v>
      </c>
      <c r="Q4792">
        <v>20.31</v>
      </c>
      <c r="R4792">
        <v>20.5</v>
      </c>
      <c r="S4792">
        <v>2.63</v>
      </c>
      <c r="T4792">
        <v>1.01</v>
      </c>
      <c r="U4792">
        <v>66.97</v>
      </c>
      <c r="V4792">
        <v>105</v>
      </c>
      <c r="W4792">
        <v>20.12</v>
      </c>
      <c r="X4792">
        <v>4683</v>
      </c>
      <c r="Y4792">
        <v>4993</v>
      </c>
      <c r="Z4792">
        <v>0.94</v>
      </c>
      <c r="AA4792">
        <v>22</v>
      </c>
      <c r="AB4792">
        <v>5</v>
      </c>
      <c r="AC4792">
        <v>2.42</v>
      </c>
      <c r="AD4792" t="s">
        <v>4954</v>
      </c>
      <c r="AE4792" t="s">
        <v>16256</v>
      </c>
      <c r="AF4792" t="s">
        <v>17822</v>
      </c>
      <c r="AG4792" t="s">
        <v>16124</v>
      </c>
      <c r="AH4792">
        <v>-2.12</v>
      </c>
      <c r="AI4792">
        <v>-2.12</v>
      </c>
      <c r="AJ4792">
        <v>8.02</v>
      </c>
      <c r="AK4792">
        <v>14.74</v>
      </c>
      <c r="AL4792">
        <v>-2</v>
      </c>
      <c r="AM4792">
        <v>-0.68</v>
      </c>
      <c r="AN4792">
        <v>-39.91</v>
      </c>
      <c r="AO4792">
        <v>2.36</v>
      </c>
      <c r="AP4792">
        <v>-47.05</v>
      </c>
    </row>
    <row r="4793" spans="1:42">
      <c r="A4793">
        <v>4792</v>
      </c>
      <c r="B4793" t="str">
        <f>"301079"</f>
        <v>301079</v>
      </c>
      <c r="C4793" t="s">
        <v>21840</v>
      </c>
      <c r="D4793">
        <v>17.71</v>
      </c>
      <c r="E4793">
        <v>-0.78</v>
      </c>
      <c r="F4793">
        <v>-0.14</v>
      </c>
      <c r="G4793" t="s">
        <v>4443</v>
      </c>
      <c r="H4793">
        <v>198</v>
      </c>
      <c r="I4793">
        <v>17.69</v>
      </c>
      <c r="J4793">
        <v>17.71</v>
      </c>
      <c r="K4793" t="s">
        <v>21841</v>
      </c>
      <c r="L4793">
        <v>1.89</v>
      </c>
      <c r="M4793" t="s">
        <v>46</v>
      </c>
      <c r="N4793" t="s">
        <v>6393</v>
      </c>
      <c r="O4793">
        <v>17.88</v>
      </c>
      <c r="P4793">
        <v>17.51</v>
      </c>
      <c r="Q4793">
        <v>17.85</v>
      </c>
      <c r="R4793">
        <v>17.85</v>
      </c>
      <c r="S4793">
        <v>2.07</v>
      </c>
      <c r="T4793">
        <v>0.79</v>
      </c>
      <c r="U4793">
        <v>51.03</v>
      </c>
      <c r="V4793">
        <v>198</v>
      </c>
      <c r="W4793">
        <v>17.67</v>
      </c>
      <c r="X4793">
        <v>5666</v>
      </c>
      <c r="Y4793">
        <v>5343</v>
      </c>
      <c r="Z4793">
        <v>1.06</v>
      </c>
      <c r="AA4793">
        <v>41</v>
      </c>
      <c r="AB4793">
        <v>18</v>
      </c>
      <c r="AC4793">
        <v>3.98</v>
      </c>
      <c r="AD4793" t="s">
        <v>4054</v>
      </c>
      <c r="AE4793" t="s">
        <v>9530</v>
      </c>
      <c r="AF4793" t="s">
        <v>14954</v>
      </c>
      <c r="AG4793" t="s">
        <v>21842</v>
      </c>
      <c r="AH4793">
        <v>-2.32</v>
      </c>
      <c r="AI4793">
        <v>-3.38</v>
      </c>
      <c r="AJ4793">
        <v>4.96</v>
      </c>
      <c r="AK4793">
        <v>13.78</v>
      </c>
      <c r="AL4793">
        <v>-3</v>
      </c>
      <c r="AM4793">
        <v>-0.78</v>
      </c>
      <c r="AN4793">
        <v>26.41</v>
      </c>
      <c r="AO4793">
        <v>-1.39</v>
      </c>
      <c r="AP4793">
        <v>17.44</v>
      </c>
    </row>
    <row r="4794" spans="1:42">
      <c r="A4794">
        <v>4793</v>
      </c>
      <c r="B4794" t="str">
        <f>"300865"</f>
        <v>300865</v>
      </c>
      <c r="C4794" t="s">
        <v>21843</v>
      </c>
      <c r="D4794">
        <v>22.32</v>
      </c>
      <c r="E4794">
        <v>-0.76</v>
      </c>
      <c r="F4794">
        <v>-0.17</v>
      </c>
      <c r="G4794">
        <v>8717</v>
      </c>
      <c r="H4794">
        <v>117</v>
      </c>
      <c r="I4794">
        <v>22.32</v>
      </c>
      <c r="J4794">
        <v>22.36</v>
      </c>
      <c r="K4794" t="s">
        <v>21841</v>
      </c>
      <c r="L4794">
        <v>1.29</v>
      </c>
      <c r="M4794" t="s">
        <v>46</v>
      </c>
      <c r="N4794" t="s">
        <v>5382</v>
      </c>
      <c r="O4794">
        <v>22.66</v>
      </c>
      <c r="P4794">
        <v>22.17</v>
      </c>
      <c r="Q4794">
        <v>22.66</v>
      </c>
      <c r="R4794">
        <v>22.49</v>
      </c>
      <c r="S4794">
        <v>2.18</v>
      </c>
      <c r="T4794">
        <v>1.38</v>
      </c>
      <c r="U4794">
        <v>25.26</v>
      </c>
      <c r="V4794">
        <v>48</v>
      </c>
      <c r="W4794">
        <v>22.31</v>
      </c>
      <c r="X4794">
        <v>4590</v>
      </c>
      <c r="Y4794">
        <v>4127</v>
      </c>
      <c r="Z4794">
        <v>1.11</v>
      </c>
      <c r="AA4794">
        <v>22</v>
      </c>
      <c r="AB4794">
        <v>15</v>
      </c>
      <c r="AC4794">
        <v>2.39</v>
      </c>
      <c r="AD4794" t="s">
        <v>21844</v>
      </c>
      <c r="AE4794" t="s">
        <v>7886</v>
      </c>
      <c r="AF4794" t="s">
        <v>21845</v>
      </c>
      <c r="AG4794" t="s">
        <v>21247</v>
      </c>
      <c r="AH4794">
        <v>-2.06</v>
      </c>
      <c r="AI4794">
        <v>-1.54</v>
      </c>
      <c r="AJ4794">
        <v>3.06</v>
      </c>
      <c r="AK4794">
        <v>5.97</v>
      </c>
      <c r="AL4794">
        <v>-3</v>
      </c>
      <c r="AM4794">
        <v>-0.76</v>
      </c>
      <c r="AN4794">
        <v>25.68</v>
      </c>
      <c r="AO4794">
        <v>2.01</v>
      </c>
      <c r="AP4794">
        <v>10.39</v>
      </c>
    </row>
    <row r="4795" spans="1:42">
      <c r="A4795">
        <v>4794</v>
      </c>
      <c r="B4795" t="str">
        <f>"688616"</f>
        <v>688616</v>
      </c>
      <c r="C4795" t="s">
        <v>21846</v>
      </c>
      <c r="D4795">
        <v>13.49</v>
      </c>
      <c r="E4795">
        <v>-0.95</v>
      </c>
      <c r="F4795">
        <v>-0.13</v>
      </c>
      <c r="G4795" t="s">
        <v>6867</v>
      </c>
      <c r="H4795">
        <v>45</v>
      </c>
      <c r="I4795">
        <v>13.49</v>
      </c>
      <c r="J4795">
        <v>13.5</v>
      </c>
      <c r="K4795" t="s">
        <v>21847</v>
      </c>
      <c r="L4795">
        <v>2.56</v>
      </c>
      <c r="M4795" t="s">
        <v>46</v>
      </c>
      <c r="N4795" t="s">
        <v>4110</v>
      </c>
      <c r="O4795">
        <v>13.68</v>
      </c>
      <c r="P4795">
        <v>13.42</v>
      </c>
      <c r="Q4795">
        <v>13.45</v>
      </c>
      <c r="R4795">
        <v>13.62</v>
      </c>
      <c r="S4795">
        <v>1.91</v>
      </c>
      <c r="T4795">
        <v>0.8</v>
      </c>
      <c r="U4795">
        <v>-5.21</v>
      </c>
      <c r="V4795">
        <v>-24</v>
      </c>
      <c r="W4795">
        <v>13.52</v>
      </c>
      <c r="X4795">
        <v>7146</v>
      </c>
      <c r="Y4795">
        <v>7229</v>
      </c>
      <c r="Z4795">
        <v>0.99</v>
      </c>
      <c r="AA4795">
        <v>8</v>
      </c>
      <c r="AB4795">
        <v>22</v>
      </c>
      <c r="AC4795">
        <v>2.58</v>
      </c>
      <c r="AD4795" t="s">
        <v>3403</v>
      </c>
      <c r="AE4795" t="s">
        <v>18867</v>
      </c>
      <c r="AF4795" t="s">
        <v>21848</v>
      </c>
      <c r="AG4795" t="s">
        <v>19272</v>
      </c>
      <c r="AH4795">
        <v>-3.51</v>
      </c>
      <c r="AI4795">
        <v>-1.1</v>
      </c>
      <c r="AJ4795">
        <v>9.98</v>
      </c>
      <c r="AK4795">
        <v>18.55</v>
      </c>
      <c r="AL4795">
        <v>-3</v>
      </c>
      <c r="AM4795">
        <v>-0.95</v>
      </c>
      <c r="AN4795">
        <v>31.61</v>
      </c>
      <c r="AO4795">
        <v>2.35</v>
      </c>
      <c r="AP4795">
        <v>17</v>
      </c>
    </row>
    <row r="4796" spans="1:42">
      <c r="A4796">
        <v>4795</v>
      </c>
      <c r="B4796" t="str">
        <f>"301100"</f>
        <v>301100</v>
      </c>
      <c r="C4796" t="s">
        <v>21849</v>
      </c>
      <c r="D4796">
        <v>18.91</v>
      </c>
      <c r="E4796">
        <v>-1.25</v>
      </c>
      <c r="F4796">
        <v>-0.24</v>
      </c>
      <c r="G4796" t="s">
        <v>1154</v>
      </c>
      <c r="H4796">
        <v>52</v>
      </c>
      <c r="I4796">
        <v>18.88</v>
      </c>
      <c r="J4796">
        <v>18.92</v>
      </c>
      <c r="K4796" t="s">
        <v>21850</v>
      </c>
      <c r="L4796">
        <v>2.06</v>
      </c>
      <c r="M4796" t="s">
        <v>46</v>
      </c>
      <c r="N4796" t="s">
        <v>7476</v>
      </c>
      <c r="O4796">
        <v>19.16</v>
      </c>
      <c r="P4796">
        <v>18.7</v>
      </c>
      <c r="Q4796">
        <v>19.02</v>
      </c>
      <c r="R4796">
        <v>19.15</v>
      </c>
      <c r="S4796">
        <v>2.4</v>
      </c>
      <c r="T4796">
        <v>1.62</v>
      </c>
      <c r="U4796">
        <v>18.35</v>
      </c>
      <c r="V4796">
        <v>80</v>
      </c>
      <c r="W4796">
        <v>18.85</v>
      </c>
      <c r="X4796">
        <v>5837</v>
      </c>
      <c r="Y4796">
        <v>4448</v>
      </c>
      <c r="Z4796">
        <v>1.31</v>
      </c>
      <c r="AA4796">
        <v>25</v>
      </c>
      <c r="AB4796">
        <v>39</v>
      </c>
      <c r="AC4796">
        <v>1.77</v>
      </c>
      <c r="AD4796" t="s">
        <v>5838</v>
      </c>
      <c r="AE4796" t="s">
        <v>17743</v>
      </c>
      <c r="AF4796" t="s">
        <v>21851</v>
      </c>
      <c r="AG4796" t="s">
        <v>21852</v>
      </c>
      <c r="AH4796">
        <v>-3.91</v>
      </c>
      <c r="AI4796">
        <v>-3.42</v>
      </c>
      <c r="AJ4796">
        <v>4.76</v>
      </c>
      <c r="AK4796">
        <v>8.4</v>
      </c>
      <c r="AL4796">
        <v>-3</v>
      </c>
      <c r="AM4796">
        <v>-1.25</v>
      </c>
      <c r="AN4796">
        <v>-14.28</v>
      </c>
      <c r="AO4796">
        <v>-3.13</v>
      </c>
      <c r="AP4796">
        <v>-14.36</v>
      </c>
    </row>
    <row r="4797" spans="1:42">
      <c r="A4797">
        <v>4796</v>
      </c>
      <c r="B4797" t="str">
        <f>"603578"</f>
        <v>603578</v>
      </c>
      <c r="C4797" t="s">
        <v>21853</v>
      </c>
      <c r="D4797">
        <v>14.39</v>
      </c>
      <c r="E4797">
        <v>-0.55</v>
      </c>
      <c r="F4797">
        <v>-0.08</v>
      </c>
      <c r="G4797" t="s">
        <v>1384</v>
      </c>
      <c r="H4797">
        <v>131</v>
      </c>
      <c r="I4797">
        <v>14.39</v>
      </c>
      <c r="J4797">
        <v>14.4</v>
      </c>
      <c r="K4797" t="s">
        <v>21850</v>
      </c>
      <c r="L4797">
        <v>0.75</v>
      </c>
      <c r="M4797" t="s">
        <v>46</v>
      </c>
      <c r="N4797" t="s">
        <v>6788</v>
      </c>
      <c r="O4797">
        <v>14.52</v>
      </c>
      <c r="P4797">
        <v>14.32</v>
      </c>
      <c r="Q4797">
        <v>14.52</v>
      </c>
      <c r="R4797">
        <v>14.47</v>
      </c>
      <c r="S4797">
        <v>1.38</v>
      </c>
      <c r="T4797">
        <v>0.71</v>
      </c>
      <c r="U4797">
        <v>13.51</v>
      </c>
      <c r="V4797">
        <v>65</v>
      </c>
      <c r="W4797">
        <v>14.39</v>
      </c>
      <c r="X4797">
        <v>8142</v>
      </c>
      <c r="Y4797">
        <v>5333</v>
      </c>
      <c r="Z4797">
        <v>1.53</v>
      </c>
      <c r="AA4797">
        <v>146</v>
      </c>
      <c r="AB4797">
        <v>46</v>
      </c>
      <c r="AC4797">
        <v>2.47</v>
      </c>
      <c r="AD4797" t="s">
        <v>15948</v>
      </c>
      <c r="AE4797" t="s">
        <v>21854</v>
      </c>
      <c r="AF4797" t="s">
        <v>15948</v>
      </c>
      <c r="AG4797" t="s">
        <v>21854</v>
      </c>
      <c r="AH4797">
        <v>-2.18</v>
      </c>
      <c r="AI4797">
        <v>-2.9</v>
      </c>
      <c r="AJ4797">
        <v>2.11</v>
      </c>
      <c r="AK4797">
        <v>5.99</v>
      </c>
      <c r="AL4797">
        <v>-3</v>
      </c>
      <c r="AM4797">
        <v>-0.55</v>
      </c>
      <c r="AN4797">
        <v>17.37</v>
      </c>
      <c r="AO4797">
        <v>1.7</v>
      </c>
      <c r="AP4797">
        <v>13.04</v>
      </c>
    </row>
    <row r="4798" spans="1:42">
      <c r="A4798">
        <v>4797</v>
      </c>
      <c r="B4798" t="str">
        <f>"002760"</f>
        <v>002760</v>
      </c>
      <c r="C4798" t="s">
        <v>21855</v>
      </c>
      <c r="D4798">
        <v>23.38</v>
      </c>
      <c r="E4798">
        <v>-0.47</v>
      </c>
      <c r="F4798">
        <v>-0.11</v>
      </c>
      <c r="G4798">
        <v>8270</v>
      </c>
      <c r="H4798">
        <v>49</v>
      </c>
      <c r="I4798">
        <v>23.38</v>
      </c>
      <c r="J4798">
        <v>23.4</v>
      </c>
      <c r="K4798" t="s">
        <v>21856</v>
      </c>
      <c r="L4798">
        <v>0.94</v>
      </c>
      <c r="M4798" t="s">
        <v>46</v>
      </c>
      <c r="N4798" t="s">
        <v>2647</v>
      </c>
      <c r="O4798">
        <v>23.64</v>
      </c>
      <c r="P4798">
        <v>23.25</v>
      </c>
      <c r="Q4798">
        <v>23.49</v>
      </c>
      <c r="R4798">
        <v>23.49</v>
      </c>
      <c r="S4798">
        <v>1.66</v>
      </c>
      <c r="T4798">
        <v>0.84</v>
      </c>
      <c r="U4798">
        <v>47.37</v>
      </c>
      <c r="V4798">
        <v>126</v>
      </c>
      <c r="W4798">
        <v>23.44</v>
      </c>
      <c r="X4798">
        <v>3868</v>
      </c>
      <c r="Y4798">
        <v>4402</v>
      </c>
      <c r="Z4798">
        <v>0.88</v>
      </c>
      <c r="AA4798">
        <v>126</v>
      </c>
      <c r="AB4798">
        <v>20</v>
      </c>
      <c r="AC4798">
        <v>2.66</v>
      </c>
      <c r="AD4798" t="s">
        <v>8391</v>
      </c>
      <c r="AE4798" t="s">
        <v>19289</v>
      </c>
      <c r="AF4798" t="s">
        <v>21857</v>
      </c>
      <c r="AG4798" t="s">
        <v>20801</v>
      </c>
      <c r="AH4798">
        <v>-1.27</v>
      </c>
      <c r="AI4798">
        <v>-1.97</v>
      </c>
      <c r="AJ4798">
        <v>2.81</v>
      </c>
      <c r="AK4798">
        <v>6.52</v>
      </c>
      <c r="AL4798">
        <v>-2</v>
      </c>
      <c r="AM4798">
        <v>-0.47</v>
      </c>
      <c r="AN4798">
        <v>15.17</v>
      </c>
      <c r="AO4798">
        <v>-3.71</v>
      </c>
      <c r="AP4798">
        <v>14.05</v>
      </c>
    </row>
    <row r="4799" spans="1:42">
      <c r="A4799">
        <v>4798</v>
      </c>
      <c r="B4799" t="str">
        <f>"688788"</f>
        <v>688788</v>
      </c>
      <c r="C4799" t="s">
        <v>21858</v>
      </c>
      <c r="D4799">
        <v>39.76</v>
      </c>
      <c r="E4799">
        <v>2.08</v>
      </c>
      <c r="F4799">
        <v>0.81</v>
      </c>
      <c r="G4799">
        <v>4921</v>
      </c>
      <c r="H4799">
        <v>62</v>
      </c>
      <c r="I4799">
        <v>39.67</v>
      </c>
      <c r="J4799">
        <v>39.76</v>
      </c>
      <c r="K4799" t="s">
        <v>21859</v>
      </c>
      <c r="L4799">
        <v>0.47</v>
      </c>
      <c r="M4799" t="s">
        <v>46</v>
      </c>
      <c r="N4799" t="s">
        <v>5956</v>
      </c>
      <c r="O4799">
        <v>39.89</v>
      </c>
      <c r="P4799">
        <v>38.63</v>
      </c>
      <c r="Q4799">
        <v>39.11</v>
      </c>
      <c r="R4799">
        <v>38.95</v>
      </c>
      <c r="S4799">
        <v>3.23</v>
      </c>
      <c r="T4799">
        <v>1.21</v>
      </c>
      <c r="U4799">
        <v>69.19</v>
      </c>
      <c r="V4799">
        <v>122</v>
      </c>
      <c r="W4799">
        <v>39.37</v>
      </c>
      <c r="X4799">
        <v>2383</v>
      </c>
      <c r="Y4799">
        <v>2537</v>
      </c>
      <c r="Z4799">
        <v>0.94</v>
      </c>
      <c r="AA4799">
        <v>10</v>
      </c>
      <c r="AB4799">
        <v>12</v>
      </c>
      <c r="AC4799">
        <v>1.69</v>
      </c>
      <c r="AD4799" t="s">
        <v>21860</v>
      </c>
      <c r="AE4799" t="s">
        <v>21861</v>
      </c>
      <c r="AF4799" t="s">
        <v>21860</v>
      </c>
      <c r="AG4799" t="s">
        <v>21861</v>
      </c>
      <c r="AH4799">
        <v>-0.35</v>
      </c>
      <c r="AI4799">
        <v>-0.3</v>
      </c>
      <c r="AJ4799">
        <v>1.1</v>
      </c>
      <c r="AK4799">
        <v>2.39</v>
      </c>
      <c r="AL4799">
        <v>1</v>
      </c>
      <c r="AM4799">
        <v>2.08</v>
      </c>
      <c r="AN4799">
        <v>10.17</v>
      </c>
      <c r="AO4799">
        <v>2.61</v>
      </c>
      <c r="AP4799">
        <v>-3.19</v>
      </c>
    </row>
    <row r="4800" spans="1:42">
      <c r="A4800">
        <v>4799</v>
      </c>
      <c r="B4800" t="str">
        <f>"688290"</f>
        <v>688290</v>
      </c>
      <c r="C4800" t="s">
        <v>21862</v>
      </c>
      <c r="D4800">
        <v>40.84</v>
      </c>
      <c r="E4800">
        <v>-1.02</v>
      </c>
      <c r="F4800">
        <v>-0.42</v>
      </c>
      <c r="G4800">
        <v>4773</v>
      </c>
      <c r="H4800">
        <v>8</v>
      </c>
      <c r="I4800">
        <v>40.8</v>
      </c>
      <c r="J4800">
        <v>40.84</v>
      </c>
      <c r="K4800" t="s">
        <v>21859</v>
      </c>
      <c r="L4800">
        <v>0.99</v>
      </c>
      <c r="M4800" t="s">
        <v>46</v>
      </c>
      <c r="N4800" t="s">
        <v>8976</v>
      </c>
      <c r="O4800">
        <v>41.2</v>
      </c>
      <c r="P4800">
        <v>40.03</v>
      </c>
      <c r="Q4800">
        <v>40.54</v>
      </c>
      <c r="R4800">
        <v>41.26</v>
      </c>
      <c r="S4800">
        <v>2.84</v>
      </c>
      <c r="T4800">
        <v>1.01</v>
      </c>
      <c r="U4800">
        <v>24.63</v>
      </c>
      <c r="V4800">
        <v>27</v>
      </c>
      <c r="W4800">
        <v>40.58</v>
      </c>
      <c r="X4800">
        <v>1883</v>
      </c>
      <c r="Y4800">
        <v>2890</v>
      </c>
      <c r="Z4800">
        <v>0.65</v>
      </c>
      <c r="AA4800">
        <v>2</v>
      </c>
      <c r="AB4800">
        <v>1</v>
      </c>
      <c r="AC4800">
        <v>3.41</v>
      </c>
      <c r="AD4800" t="s">
        <v>21863</v>
      </c>
      <c r="AE4800" t="s">
        <v>16793</v>
      </c>
      <c r="AF4800" t="s">
        <v>21864</v>
      </c>
      <c r="AG4800" t="s">
        <v>21865</v>
      </c>
      <c r="AH4800">
        <v>-2.51</v>
      </c>
      <c r="AI4800">
        <v>-5.7</v>
      </c>
      <c r="AJ4800">
        <v>2.5</v>
      </c>
      <c r="AK4800">
        <v>5.91</v>
      </c>
      <c r="AL4800">
        <v>-2</v>
      </c>
      <c r="AM4800">
        <v>-1.02</v>
      </c>
      <c r="AN4800">
        <v>-31.53</v>
      </c>
      <c r="AO4800">
        <v>-4.31</v>
      </c>
      <c r="AP4800">
        <v>-36.01</v>
      </c>
    </row>
    <row r="4801" spans="1:42">
      <c r="A4801">
        <v>4800</v>
      </c>
      <c r="B4801" t="str">
        <f>"603818"</f>
        <v>603818</v>
      </c>
      <c r="C4801" t="s">
        <v>21866</v>
      </c>
      <c r="D4801">
        <v>5.62</v>
      </c>
      <c r="E4801">
        <v>0.18</v>
      </c>
      <c r="F4801">
        <v>0.01</v>
      </c>
      <c r="G4801" t="s">
        <v>1604</v>
      </c>
      <c r="H4801">
        <v>654</v>
      </c>
      <c r="I4801">
        <v>5.61</v>
      </c>
      <c r="J4801">
        <v>5.62</v>
      </c>
      <c r="K4801" t="s">
        <v>14897</v>
      </c>
      <c r="L4801">
        <v>0.59</v>
      </c>
      <c r="M4801" t="s">
        <v>46</v>
      </c>
      <c r="N4801" t="s">
        <v>4661</v>
      </c>
      <c r="O4801">
        <v>5.66</v>
      </c>
      <c r="P4801">
        <v>5.58</v>
      </c>
      <c r="Q4801">
        <v>5.61</v>
      </c>
      <c r="R4801">
        <v>5.61</v>
      </c>
      <c r="S4801">
        <v>1.43</v>
      </c>
      <c r="T4801">
        <v>0.75</v>
      </c>
      <c r="U4801">
        <v>-7.6</v>
      </c>
      <c r="V4801">
        <v>-241</v>
      </c>
      <c r="W4801">
        <v>5.62</v>
      </c>
      <c r="X4801" t="s">
        <v>6595</v>
      </c>
      <c r="Y4801" t="s">
        <v>1455</v>
      </c>
      <c r="Z4801">
        <v>0.76</v>
      </c>
      <c r="AA4801">
        <v>319</v>
      </c>
      <c r="AB4801">
        <v>97</v>
      </c>
      <c r="AC4801">
        <v>1.69</v>
      </c>
      <c r="AD4801" t="s">
        <v>16582</v>
      </c>
      <c r="AE4801" t="s">
        <v>15019</v>
      </c>
      <c r="AF4801" t="s">
        <v>10927</v>
      </c>
      <c r="AG4801" t="s">
        <v>21867</v>
      </c>
      <c r="AH4801">
        <v>-1.58</v>
      </c>
      <c r="AI4801">
        <v>-1.23</v>
      </c>
      <c r="AJ4801">
        <v>2.13</v>
      </c>
      <c r="AK4801">
        <v>4.55</v>
      </c>
      <c r="AL4801">
        <v>1</v>
      </c>
      <c r="AM4801">
        <v>0.18</v>
      </c>
      <c r="AN4801">
        <v>-10.79</v>
      </c>
      <c r="AO4801">
        <v>6.84</v>
      </c>
      <c r="AP4801">
        <v>-13.94</v>
      </c>
    </row>
    <row r="4802" spans="1:42">
      <c r="A4802">
        <v>4801</v>
      </c>
      <c r="B4802" t="str">
        <f>"603172"</f>
        <v>603172</v>
      </c>
      <c r="C4802" t="s">
        <v>21868</v>
      </c>
      <c r="D4802">
        <v>17.1</v>
      </c>
      <c r="E4802">
        <v>0.59</v>
      </c>
      <c r="F4802">
        <v>0.1</v>
      </c>
      <c r="G4802" t="s">
        <v>4959</v>
      </c>
      <c r="H4802">
        <v>112</v>
      </c>
      <c r="I4802">
        <v>17.09</v>
      </c>
      <c r="J4802">
        <v>17.1</v>
      </c>
      <c r="K4802" t="s">
        <v>21869</v>
      </c>
      <c r="L4802">
        <v>3.39</v>
      </c>
      <c r="M4802" t="s">
        <v>46</v>
      </c>
      <c r="N4802" t="s">
        <v>2975</v>
      </c>
      <c r="O4802">
        <v>17.22</v>
      </c>
      <c r="P4802">
        <v>16.86</v>
      </c>
      <c r="Q4802">
        <v>17.22</v>
      </c>
      <c r="R4802">
        <v>17</v>
      </c>
      <c r="S4802">
        <v>2.12</v>
      </c>
      <c r="T4802">
        <v>0.81</v>
      </c>
      <c r="U4802">
        <v>-13.72</v>
      </c>
      <c r="V4802">
        <v>-50</v>
      </c>
      <c r="W4802">
        <v>17.07</v>
      </c>
      <c r="X4802">
        <v>5645</v>
      </c>
      <c r="Y4802">
        <v>5675</v>
      </c>
      <c r="Z4802">
        <v>0.99</v>
      </c>
      <c r="AA4802">
        <v>21</v>
      </c>
      <c r="AB4802">
        <v>24</v>
      </c>
      <c r="AC4802">
        <v>2.22</v>
      </c>
      <c r="AD4802" t="s">
        <v>8088</v>
      </c>
      <c r="AE4802" t="s">
        <v>19681</v>
      </c>
      <c r="AF4802" t="s">
        <v>21870</v>
      </c>
      <c r="AG4802" t="s">
        <v>21871</v>
      </c>
      <c r="AH4802">
        <v>-1.72</v>
      </c>
      <c r="AI4802">
        <v>-2.34</v>
      </c>
      <c r="AJ4802">
        <v>10.78</v>
      </c>
      <c r="AK4802">
        <v>24.4</v>
      </c>
      <c r="AL4802">
        <v>1</v>
      </c>
      <c r="AM4802">
        <v>0.59</v>
      </c>
      <c r="AN4802">
        <v>17.28</v>
      </c>
      <c r="AO4802">
        <v>2.21</v>
      </c>
      <c r="AP4802">
        <v>17.28</v>
      </c>
    </row>
    <row r="4803" spans="1:42">
      <c r="A4803">
        <v>4802</v>
      </c>
      <c r="B4803" t="str">
        <f>"838837"</f>
        <v>838837</v>
      </c>
      <c r="C4803" t="s">
        <v>21872</v>
      </c>
      <c r="D4803">
        <v>5.6</v>
      </c>
      <c r="E4803">
        <v>-7.44</v>
      </c>
      <c r="F4803">
        <v>-0.45</v>
      </c>
      <c r="G4803" t="s">
        <v>3457</v>
      </c>
      <c r="H4803">
        <v>1135</v>
      </c>
      <c r="I4803">
        <v>5.6</v>
      </c>
      <c r="J4803">
        <v>5.61</v>
      </c>
      <c r="K4803" t="s">
        <v>21873</v>
      </c>
      <c r="L4803">
        <v>7.28</v>
      </c>
      <c r="M4803" t="s">
        <v>46</v>
      </c>
      <c r="N4803" t="s">
        <v>21874</v>
      </c>
      <c r="O4803">
        <v>6.19</v>
      </c>
      <c r="P4803">
        <v>5.56</v>
      </c>
      <c r="Q4803">
        <v>6.06</v>
      </c>
      <c r="R4803">
        <v>6.05</v>
      </c>
      <c r="S4803">
        <v>10.41</v>
      </c>
      <c r="T4803">
        <v>0.38</v>
      </c>
      <c r="U4803">
        <v>48.36</v>
      </c>
      <c r="V4803">
        <v>603</v>
      </c>
      <c r="W4803">
        <v>5.8</v>
      </c>
      <c r="X4803" t="s">
        <v>7195</v>
      </c>
      <c r="Y4803" t="s">
        <v>51</v>
      </c>
      <c r="Z4803">
        <v>2.06</v>
      </c>
      <c r="AA4803">
        <v>22</v>
      </c>
      <c r="AB4803">
        <v>100</v>
      </c>
      <c r="AC4803">
        <v>1.8</v>
      </c>
      <c r="AD4803" t="s">
        <v>21875</v>
      </c>
      <c r="AE4803" t="s">
        <v>2190</v>
      </c>
      <c r="AF4803" t="s">
        <v>16758</v>
      </c>
      <c r="AG4803" t="s">
        <v>17437</v>
      </c>
      <c r="AH4803">
        <v>-19.89</v>
      </c>
      <c r="AI4803">
        <v>-8.65</v>
      </c>
      <c r="AJ4803">
        <v>31.14</v>
      </c>
      <c r="AK4803">
        <v>102.91</v>
      </c>
      <c r="AL4803">
        <v>-4</v>
      </c>
      <c r="AM4803">
        <v>-7.44</v>
      </c>
      <c r="AN4803">
        <v>16.67</v>
      </c>
      <c r="AO4803">
        <v>36.25</v>
      </c>
      <c r="AP4803">
        <v>16.67</v>
      </c>
    </row>
    <row r="4804" spans="1:42">
      <c r="A4804">
        <v>4803</v>
      </c>
      <c r="B4804" t="str">
        <f>"688199"</f>
        <v>688199</v>
      </c>
      <c r="C4804" t="s">
        <v>21876</v>
      </c>
      <c r="D4804">
        <v>29.5</v>
      </c>
      <c r="E4804">
        <v>0.03</v>
      </c>
      <c r="F4804">
        <v>0.01</v>
      </c>
      <c r="G4804">
        <v>6555</v>
      </c>
      <c r="H4804">
        <v>138</v>
      </c>
      <c r="I4804">
        <v>29.43</v>
      </c>
      <c r="J4804">
        <v>29.5</v>
      </c>
      <c r="K4804" t="s">
        <v>21877</v>
      </c>
      <c r="L4804">
        <v>0.59</v>
      </c>
      <c r="M4804" t="s">
        <v>46</v>
      </c>
      <c r="N4804" t="s">
        <v>1374</v>
      </c>
      <c r="O4804">
        <v>29.7</v>
      </c>
      <c r="P4804">
        <v>29.03</v>
      </c>
      <c r="Q4804">
        <v>29.52</v>
      </c>
      <c r="R4804">
        <v>29.49</v>
      </c>
      <c r="S4804">
        <v>2.27</v>
      </c>
      <c r="T4804">
        <v>0.93</v>
      </c>
      <c r="U4804">
        <v>34.76</v>
      </c>
      <c r="V4804">
        <v>40</v>
      </c>
      <c r="W4804">
        <v>29.41</v>
      </c>
      <c r="X4804">
        <v>3813</v>
      </c>
      <c r="Y4804">
        <v>2742</v>
      </c>
      <c r="Z4804">
        <v>1.39</v>
      </c>
      <c r="AA4804">
        <v>10</v>
      </c>
      <c r="AB4804">
        <v>3</v>
      </c>
      <c r="AC4804">
        <v>1.24</v>
      </c>
      <c r="AD4804" t="s">
        <v>2638</v>
      </c>
      <c r="AE4804" t="s">
        <v>5401</v>
      </c>
      <c r="AF4804" t="s">
        <v>2638</v>
      </c>
      <c r="AG4804" t="s">
        <v>5401</v>
      </c>
      <c r="AH4804">
        <v>-2.19</v>
      </c>
      <c r="AI4804">
        <v>-2.58</v>
      </c>
      <c r="AJ4804">
        <v>1.91</v>
      </c>
      <c r="AK4804">
        <v>3.78</v>
      </c>
      <c r="AL4804">
        <v>1</v>
      </c>
      <c r="AM4804">
        <v>0.03</v>
      </c>
      <c r="AN4804">
        <v>-6.47</v>
      </c>
      <c r="AO4804">
        <v>2.15</v>
      </c>
      <c r="AP4804">
        <v>-16.48</v>
      </c>
    </row>
    <row r="4805" spans="1:42">
      <c r="A4805">
        <v>4804</v>
      </c>
      <c r="B4805" t="str">
        <f>"300994"</f>
        <v>300994</v>
      </c>
      <c r="C4805" t="s">
        <v>21878</v>
      </c>
      <c r="D4805">
        <v>15.31</v>
      </c>
      <c r="E4805">
        <v>0.26</v>
      </c>
      <c r="F4805">
        <v>0.04</v>
      </c>
      <c r="G4805" t="s">
        <v>682</v>
      </c>
      <c r="H4805">
        <v>8</v>
      </c>
      <c r="I4805">
        <v>15.29</v>
      </c>
      <c r="J4805">
        <v>15.31</v>
      </c>
      <c r="K4805" t="s">
        <v>21879</v>
      </c>
      <c r="L4805">
        <v>1.62</v>
      </c>
      <c r="M4805" t="s">
        <v>46</v>
      </c>
      <c r="N4805" t="s">
        <v>7188</v>
      </c>
      <c r="O4805">
        <v>15.41</v>
      </c>
      <c r="P4805">
        <v>15.11</v>
      </c>
      <c r="Q4805">
        <v>15.28</v>
      </c>
      <c r="R4805">
        <v>15.27</v>
      </c>
      <c r="S4805">
        <v>1.96</v>
      </c>
      <c r="T4805">
        <v>0.7</v>
      </c>
      <c r="U4805">
        <v>50.28</v>
      </c>
      <c r="V4805">
        <v>159</v>
      </c>
      <c r="W4805">
        <v>15.28</v>
      </c>
      <c r="X4805">
        <v>5879</v>
      </c>
      <c r="Y4805">
        <v>6713</v>
      </c>
      <c r="Z4805">
        <v>0.88</v>
      </c>
      <c r="AA4805">
        <v>33</v>
      </c>
      <c r="AB4805">
        <v>37</v>
      </c>
      <c r="AC4805">
        <v>3.2</v>
      </c>
      <c r="AD4805" t="s">
        <v>21880</v>
      </c>
      <c r="AE4805" t="s">
        <v>10010</v>
      </c>
      <c r="AF4805" t="s">
        <v>12735</v>
      </c>
      <c r="AG4805" t="s">
        <v>7275</v>
      </c>
      <c r="AH4805">
        <v>-1.35</v>
      </c>
      <c r="AI4805">
        <v>-1.67</v>
      </c>
      <c r="AJ4805">
        <v>5.73</v>
      </c>
      <c r="AK4805">
        <v>13.19</v>
      </c>
      <c r="AL4805">
        <v>1</v>
      </c>
      <c r="AM4805">
        <v>0.26</v>
      </c>
      <c r="AN4805">
        <v>-4.01</v>
      </c>
      <c r="AO4805">
        <v>5.37</v>
      </c>
      <c r="AP4805">
        <v>-11.55</v>
      </c>
    </row>
    <row r="4806" spans="1:42">
      <c r="A4806">
        <v>4805</v>
      </c>
      <c r="B4806" t="str">
        <f>"603955"</f>
        <v>603955</v>
      </c>
      <c r="C4806" t="s">
        <v>21881</v>
      </c>
      <c r="D4806">
        <v>15.33</v>
      </c>
      <c r="E4806">
        <v>-0.58</v>
      </c>
      <c r="F4806">
        <v>-0.09</v>
      </c>
      <c r="G4806" t="s">
        <v>2547</v>
      </c>
      <c r="H4806">
        <v>77</v>
      </c>
      <c r="I4806">
        <v>15.32</v>
      </c>
      <c r="J4806">
        <v>15.4</v>
      </c>
      <c r="K4806" t="s">
        <v>21882</v>
      </c>
      <c r="L4806">
        <v>0.92</v>
      </c>
      <c r="M4806" t="s">
        <v>46</v>
      </c>
      <c r="N4806" t="s">
        <v>21883</v>
      </c>
      <c r="O4806">
        <v>15.5</v>
      </c>
      <c r="P4806">
        <v>15.2</v>
      </c>
      <c r="Q4806">
        <v>15.36</v>
      </c>
      <c r="R4806">
        <v>15.42</v>
      </c>
      <c r="S4806">
        <v>1.95</v>
      </c>
      <c r="T4806">
        <v>0.99</v>
      </c>
      <c r="U4806">
        <v>-11.32</v>
      </c>
      <c r="V4806">
        <v>-24</v>
      </c>
      <c r="W4806">
        <v>15.35</v>
      </c>
      <c r="X4806">
        <v>5467</v>
      </c>
      <c r="Y4806">
        <v>7062</v>
      </c>
      <c r="Z4806">
        <v>0.77</v>
      </c>
      <c r="AA4806">
        <v>28</v>
      </c>
      <c r="AB4806">
        <v>3</v>
      </c>
      <c r="AC4806">
        <v>1.27</v>
      </c>
      <c r="AD4806" t="s">
        <v>9916</v>
      </c>
      <c r="AE4806" t="s">
        <v>6039</v>
      </c>
      <c r="AF4806" t="s">
        <v>9916</v>
      </c>
      <c r="AG4806" t="s">
        <v>6039</v>
      </c>
      <c r="AH4806">
        <v>-2.48</v>
      </c>
      <c r="AI4806">
        <v>-2.67</v>
      </c>
      <c r="AJ4806">
        <v>2.48</v>
      </c>
      <c r="AK4806">
        <v>5.6</v>
      </c>
      <c r="AL4806">
        <v>-3</v>
      </c>
      <c r="AM4806">
        <v>-0.58</v>
      </c>
      <c r="AN4806">
        <v>-17.14</v>
      </c>
      <c r="AO4806">
        <v>-3.4</v>
      </c>
      <c r="AP4806">
        <v>-20.82</v>
      </c>
    </row>
    <row r="4807" spans="1:42">
      <c r="A4807">
        <v>4806</v>
      </c>
      <c r="B4807" t="str">
        <f>"301157"</f>
        <v>301157</v>
      </c>
      <c r="C4807" t="s">
        <v>21884</v>
      </c>
      <c r="D4807">
        <v>45.38</v>
      </c>
      <c r="E4807">
        <v>-0.11</v>
      </c>
      <c r="F4807">
        <v>-0.05</v>
      </c>
      <c r="G4807">
        <v>4233</v>
      </c>
      <c r="H4807">
        <v>143</v>
      </c>
      <c r="I4807">
        <v>45.37</v>
      </c>
      <c r="J4807">
        <v>45.38</v>
      </c>
      <c r="K4807" t="s">
        <v>10314</v>
      </c>
      <c r="L4807">
        <v>2.82</v>
      </c>
      <c r="M4807" t="s">
        <v>46</v>
      </c>
      <c r="N4807" t="s">
        <v>5956</v>
      </c>
      <c r="O4807">
        <v>45.98</v>
      </c>
      <c r="P4807">
        <v>44.98</v>
      </c>
      <c r="Q4807">
        <v>45.59</v>
      </c>
      <c r="R4807">
        <v>45.43</v>
      </c>
      <c r="S4807">
        <v>2.2</v>
      </c>
      <c r="T4807">
        <v>0.89</v>
      </c>
      <c r="U4807">
        <v>-21.57</v>
      </c>
      <c r="V4807">
        <v>-22</v>
      </c>
      <c r="W4807">
        <v>45.4</v>
      </c>
      <c r="X4807">
        <v>2094</v>
      </c>
      <c r="Y4807">
        <v>2139</v>
      </c>
      <c r="Z4807">
        <v>0.98</v>
      </c>
      <c r="AA4807">
        <v>3</v>
      </c>
      <c r="AB4807">
        <v>43</v>
      </c>
      <c r="AC4807">
        <v>2.61</v>
      </c>
      <c r="AD4807" t="s">
        <v>7827</v>
      </c>
      <c r="AE4807" t="s">
        <v>8499</v>
      </c>
      <c r="AF4807" t="s">
        <v>17370</v>
      </c>
      <c r="AG4807" t="s">
        <v>21885</v>
      </c>
      <c r="AH4807">
        <v>-2.81</v>
      </c>
      <c r="AI4807">
        <v>-3.69</v>
      </c>
      <c r="AJ4807">
        <v>8.07</v>
      </c>
      <c r="AK4807">
        <v>18.64</v>
      </c>
      <c r="AL4807">
        <v>-3</v>
      </c>
      <c r="AM4807">
        <v>-0.11</v>
      </c>
      <c r="AN4807">
        <v>-19.4</v>
      </c>
      <c r="AO4807">
        <v>-2.03</v>
      </c>
      <c r="AP4807">
        <v>-19.4</v>
      </c>
    </row>
    <row r="4808" spans="1:42">
      <c r="A4808">
        <v>4807</v>
      </c>
      <c r="B4808" t="str">
        <f>"870357"</f>
        <v>870357</v>
      </c>
      <c r="C4808" t="s">
        <v>21886</v>
      </c>
      <c r="D4808">
        <v>9</v>
      </c>
      <c r="E4808">
        <v>-5.96</v>
      </c>
      <c r="F4808">
        <v>-0.57</v>
      </c>
      <c r="G4808" t="s">
        <v>8073</v>
      </c>
      <c r="H4808">
        <v>73</v>
      </c>
      <c r="I4808">
        <v>9</v>
      </c>
      <c r="J4808">
        <v>9.04</v>
      </c>
      <c r="K4808" t="s">
        <v>21887</v>
      </c>
      <c r="L4808">
        <v>8.88</v>
      </c>
      <c r="M4808" t="s">
        <v>46</v>
      </c>
      <c r="N4808" t="s">
        <v>5717</v>
      </c>
      <c r="O4808">
        <v>9.87</v>
      </c>
      <c r="P4808">
        <v>9</v>
      </c>
      <c r="Q4808">
        <v>9.7</v>
      </c>
      <c r="R4808">
        <v>9.57</v>
      </c>
      <c r="S4808">
        <v>9.09</v>
      </c>
      <c r="T4808">
        <v>0.45</v>
      </c>
      <c r="U4808">
        <v>33.42</v>
      </c>
      <c r="V4808">
        <v>131</v>
      </c>
      <c r="W4808">
        <v>9.32</v>
      </c>
      <c r="X4808" t="s">
        <v>2547</v>
      </c>
      <c r="Y4808">
        <v>8122</v>
      </c>
      <c r="Z4808">
        <v>1.54</v>
      </c>
      <c r="AA4808">
        <v>200</v>
      </c>
      <c r="AB4808">
        <v>21</v>
      </c>
      <c r="AC4808">
        <v>2.06</v>
      </c>
      <c r="AD4808" t="s">
        <v>21888</v>
      </c>
      <c r="AE4808" t="s">
        <v>6804</v>
      </c>
      <c r="AF4808" t="s">
        <v>21172</v>
      </c>
      <c r="AG4808" t="s">
        <v>21889</v>
      </c>
      <c r="AH4808">
        <v>-20.7</v>
      </c>
      <c r="AI4808">
        <v>2.16</v>
      </c>
      <c r="AJ4808">
        <v>36.13</v>
      </c>
      <c r="AK4808">
        <v>107.29</v>
      </c>
      <c r="AL4808">
        <v>-4</v>
      </c>
      <c r="AM4808">
        <v>-5.96</v>
      </c>
      <c r="AN4808">
        <v>5.88</v>
      </c>
      <c r="AO4808">
        <v>26.05</v>
      </c>
      <c r="AP4808">
        <v>-9.27</v>
      </c>
    </row>
    <row r="4809" spans="1:42">
      <c r="A4809">
        <v>4808</v>
      </c>
      <c r="B4809" t="str">
        <f>"301246"</f>
        <v>301246</v>
      </c>
      <c r="C4809" t="s">
        <v>21890</v>
      </c>
      <c r="D4809">
        <v>27.29</v>
      </c>
      <c r="E4809">
        <v>-0.04</v>
      </c>
      <c r="F4809">
        <v>-0.01</v>
      </c>
      <c r="G4809">
        <v>7059</v>
      </c>
      <c r="H4809">
        <v>91</v>
      </c>
      <c r="I4809">
        <v>27.29</v>
      </c>
      <c r="J4809">
        <v>27.3</v>
      </c>
      <c r="K4809" t="s">
        <v>21891</v>
      </c>
      <c r="L4809">
        <v>1.49</v>
      </c>
      <c r="M4809" t="s">
        <v>46</v>
      </c>
      <c r="N4809" t="s">
        <v>1386</v>
      </c>
      <c r="O4809">
        <v>27.49</v>
      </c>
      <c r="P4809">
        <v>27.01</v>
      </c>
      <c r="Q4809">
        <v>27.21</v>
      </c>
      <c r="R4809">
        <v>27.3</v>
      </c>
      <c r="S4809">
        <v>1.76</v>
      </c>
      <c r="T4809">
        <v>0.61</v>
      </c>
      <c r="U4809">
        <v>37.17</v>
      </c>
      <c r="V4809">
        <v>71</v>
      </c>
      <c r="W4809">
        <v>27.2</v>
      </c>
      <c r="X4809">
        <v>3581</v>
      </c>
      <c r="Y4809">
        <v>3478</v>
      </c>
      <c r="Z4809">
        <v>1.03</v>
      </c>
      <c r="AA4809">
        <v>11</v>
      </c>
      <c r="AB4809">
        <v>11</v>
      </c>
      <c r="AC4809">
        <v>2.5</v>
      </c>
      <c r="AD4809" t="s">
        <v>7381</v>
      </c>
      <c r="AE4809" t="s">
        <v>14267</v>
      </c>
      <c r="AF4809" t="s">
        <v>21892</v>
      </c>
      <c r="AG4809" t="s">
        <v>12830</v>
      </c>
      <c r="AH4809">
        <v>-2.22</v>
      </c>
      <c r="AI4809">
        <v>-3.81</v>
      </c>
      <c r="AJ4809">
        <v>4.68</v>
      </c>
      <c r="AK4809">
        <v>13.7</v>
      </c>
      <c r="AL4809">
        <v>-3</v>
      </c>
      <c r="AM4809">
        <v>-0.04</v>
      </c>
      <c r="AN4809">
        <v>-45.31</v>
      </c>
      <c r="AO4809">
        <v>-2.08</v>
      </c>
      <c r="AP4809">
        <v>-45.31</v>
      </c>
    </row>
    <row r="4810" spans="1:42">
      <c r="A4810">
        <v>4809</v>
      </c>
      <c r="B4810" t="str">
        <f>"301167"</f>
        <v>301167</v>
      </c>
      <c r="C4810" t="s">
        <v>21893</v>
      </c>
      <c r="D4810">
        <v>17.03</v>
      </c>
      <c r="E4810">
        <v>1.13</v>
      </c>
      <c r="F4810">
        <v>0.19</v>
      </c>
      <c r="G4810" t="s">
        <v>4959</v>
      </c>
      <c r="H4810">
        <v>35</v>
      </c>
      <c r="I4810">
        <v>17.03</v>
      </c>
      <c r="J4810">
        <v>17.05</v>
      </c>
      <c r="K4810" t="s">
        <v>8028</v>
      </c>
      <c r="L4810">
        <v>1.7</v>
      </c>
      <c r="M4810" t="s">
        <v>46</v>
      </c>
      <c r="N4810" t="s">
        <v>4325</v>
      </c>
      <c r="O4810">
        <v>17.13</v>
      </c>
      <c r="P4810">
        <v>16.62</v>
      </c>
      <c r="Q4810">
        <v>16.87</v>
      </c>
      <c r="R4810">
        <v>16.84</v>
      </c>
      <c r="S4810">
        <v>3.03</v>
      </c>
      <c r="T4810">
        <v>1.01</v>
      </c>
      <c r="U4810">
        <v>27.41</v>
      </c>
      <c r="V4810">
        <v>162</v>
      </c>
      <c r="W4810">
        <v>16.99</v>
      </c>
      <c r="X4810">
        <v>4789</v>
      </c>
      <c r="Y4810">
        <v>6502</v>
      </c>
      <c r="Z4810">
        <v>0.74</v>
      </c>
      <c r="AA4810">
        <v>69</v>
      </c>
      <c r="AB4810">
        <v>35</v>
      </c>
      <c r="AC4810">
        <v>2.07</v>
      </c>
      <c r="AD4810" t="s">
        <v>14495</v>
      </c>
      <c r="AE4810" t="s">
        <v>2854</v>
      </c>
      <c r="AF4810" t="s">
        <v>21894</v>
      </c>
      <c r="AG4810" t="s">
        <v>6808</v>
      </c>
      <c r="AH4810">
        <v>-0.7</v>
      </c>
      <c r="AI4810">
        <v>-1.22</v>
      </c>
      <c r="AJ4810">
        <v>4.72</v>
      </c>
      <c r="AK4810">
        <v>10.08</v>
      </c>
      <c r="AL4810">
        <v>1</v>
      </c>
      <c r="AM4810">
        <v>1.13</v>
      </c>
      <c r="AN4810">
        <v>7.31</v>
      </c>
      <c r="AO4810">
        <v>2.1</v>
      </c>
      <c r="AP4810">
        <v>-9.17</v>
      </c>
    </row>
    <row r="4811" spans="1:42">
      <c r="A4811">
        <v>4810</v>
      </c>
      <c r="B4811" t="str">
        <f>"301314"</f>
        <v>301314</v>
      </c>
      <c r="C4811" t="s">
        <v>21895</v>
      </c>
      <c r="D4811">
        <v>44.61</v>
      </c>
      <c r="E4811">
        <v>-0.29</v>
      </c>
      <c r="F4811">
        <v>-0.13</v>
      </c>
      <c r="G4811">
        <v>4323</v>
      </c>
      <c r="H4811">
        <v>34</v>
      </c>
      <c r="I4811">
        <v>44.6</v>
      </c>
      <c r="J4811">
        <v>44.61</v>
      </c>
      <c r="K4811" t="s">
        <v>21896</v>
      </c>
      <c r="L4811">
        <v>3.13</v>
      </c>
      <c r="M4811" t="s">
        <v>46</v>
      </c>
      <c r="N4811" t="s">
        <v>8548</v>
      </c>
      <c r="O4811">
        <v>44.92</v>
      </c>
      <c r="P4811">
        <v>43.97</v>
      </c>
      <c r="Q4811">
        <v>44.61</v>
      </c>
      <c r="R4811">
        <v>44.74</v>
      </c>
      <c r="S4811">
        <v>2.12</v>
      </c>
      <c r="T4811">
        <v>0.74</v>
      </c>
      <c r="U4811">
        <v>55.52</v>
      </c>
      <c r="V4811">
        <v>137</v>
      </c>
      <c r="W4811">
        <v>44.37</v>
      </c>
      <c r="X4811">
        <v>2122</v>
      </c>
      <c r="Y4811">
        <v>2202</v>
      </c>
      <c r="Z4811">
        <v>0.96</v>
      </c>
      <c r="AA4811">
        <v>34</v>
      </c>
      <c r="AB4811">
        <v>13</v>
      </c>
      <c r="AC4811">
        <v>2.39</v>
      </c>
      <c r="AD4811" t="s">
        <v>15344</v>
      </c>
      <c r="AE4811" t="s">
        <v>3406</v>
      </c>
      <c r="AF4811" t="s">
        <v>21897</v>
      </c>
      <c r="AG4811" t="s">
        <v>9954</v>
      </c>
      <c r="AH4811">
        <v>-3.9</v>
      </c>
      <c r="AI4811">
        <v>-2.43</v>
      </c>
      <c r="AJ4811">
        <v>11.28</v>
      </c>
      <c r="AK4811">
        <v>24.38</v>
      </c>
      <c r="AL4811">
        <v>-3</v>
      </c>
      <c r="AM4811">
        <v>-0.29</v>
      </c>
      <c r="AN4811">
        <v>-7.02</v>
      </c>
      <c r="AO4811">
        <v>0.25</v>
      </c>
      <c r="AP4811">
        <v>-7.02</v>
      </c>
    </row>
    <row r="4812" spans="1:42">
      <c r="A4812">
        <v>4811</v>
      </c>
      <c r="B4812" t="str">
        <f>"603908"</f>
        <v>603908</v>
      </c>
      <c r="C4812" t="s">
        <v>21898</v>
      </c>
      <c r="D4812">
        <v>39.43</v>
      </c>
      <c r="E4812">
        <v>-0.05</v>
      </c>
      <c r="F4812">
        <v>-0.02</v>
      </c>
      <c r="G4812">
        <v>4862</v>
      </c>
      <c r="H4812">
        <v>48</v>
      </c>
      <c r="I4812">
        <v>39.38</v>
      </c>
      <c r="J4812">
        <v>39.43</v>
      </c>
      <c r="K4812" t="s">
        <v>21896</v>
      </c>
      <c r="L4812">
        <v>0.73</v>
      </c>
      <c r="M4812" t="s">
        <v>46</v>
      </c>
      <c r="N4812" t="s">
        <v>4336</v>
      </c>
      <c r="O4812">
        <v>39.68</v>
      </c>
      <c r="P4812">
        <v>39.17</v>
      </c>
      <c r="Q4812">
        <v>39.57</v>
      </c>
      <c r="R4812">
        <v>39.45</v>
      </c>
      <c r="S4812">
        <v>1.29</v>
      </c>
      <c r="T4812">
        <v>1.14</v>
      </c>
      <c r="U4812">
        <v>-51.22</v>
      </c>
      <c r="V4812">
        <v>-63</v>
      </c>
      <c r="W4812">
        <v>39.45</v>
      </c>
      <c r="X4812">
        <v>2230</v>
      </c>
      <c r="Y4812">
        <v>2632</v>
      </c>
      <c r="Z4812">
        <v>0.85</v>
      </c>
      <c r="AA4812">
        <v>4</v>
      </c>
      <c r="AB4812">
        <v>29</v>
      </c>
      <c r="AC4812">
        <v>4.66</v>
      </c>
      <c r="AD4812" t="s">
        <v>21899</v>
      </c>
      <c r="AE4812" t="s">
        <v>12113</v>
      </c>
      <c r="AF4812" t="s">
        <v>21899</v>
      </c>
      <c r="AG4812" t="s">
        <v>12113</v>
      </c>
      <c r="AH4812">
        <v>-1.72</v>
      </c>
      <c r="AI4812">
        <v>-3.26</v>
      </c>
      <c r="AJ4812">
        <v>1.93</v>
      </c>
      <c r="AK4812">
        <v>3.92</v>
      </c>
      <c r="AL4812">
        <v>-3</v>
      </c>
      <c r="AM4812">
        <v>-0.05</v>
      </c>
      <c r="AN4812">
        <v>-33.91</v>
      </c>
      <c r="AO4812">
        <v>-1.72</v>
      </c>
      <c r="AP4812">
        <v>-37.72</v>
      </c>
    </row>
    <row r="4813" spans="1:42">
      <c r="A4813">
        <v>4812</v>
      </c>
      <c r="B4813" t="str">
        <f>"002980"</f>
        <v>002980</v>
      </c>
      <c r="C4813" t="s">
        <v>21900</v>
      </c>
      <c r="D4813">
        <v>28.73</v>
      </c>
      <c r="E4813">
        <v>-0.07</v>
      </c>
      <c r="F4813">
        <v>-0.02</v>
      </c>
      <c r="G4813">
        <v>6709</v>
      </c>
      <c r="H4813">
        <v>43</v>
      </c>
      <c r="I4813">
        <v>28.73</v>
      </c>
      <c r="J4813">
        <v>28.74</v>
      </c>
      <c r="K4813" t="s">
        <v>21896</v>
      </c>
      <c r="L4813">
        <v>0.93</v>
      </c>
      <c r="M4813" t="s">
        <v>46</v>
      </c>
      <c r="N4813" t="s">
        <v>2834</v>
      </c>
      <c r="O4813">
        <v>28.85</v>
      </c>
      <c r="P4813">
        <v>28.32</v>
      </c>
      <c r="Q4813">
        <v>28.71</v>
      </c>
      <c r="R4813">
        <v>28.75</v>
      </c>
      <c r="S4813">
        <v>1.84</v>
      </c>
      <c r="T4813">
        <v>1.04</v>
      </c>
      <c r="U4813">
        <v>-10.4</v>
      </c>
      <c r="V4813">
        <v>-13</v>
      </c>
      <c r="W4813">
        <v>28.59</v>
      </c>
      <c r="X4813">
        <v>3204</v>
      </c>
      <c r="Y4813">
        <v>3505</v>
      </c>
      <c r="Z4813">
        <v>0.91</v>
      </c>
      <c r="AA4813">
        <v>6</v>
      </c>
      <c r="AB4813">
        <v>10</v>
      </c>
      <c r="AC4813">
        <v>3.77</v>
      </c>
      <c r="AD4813" t="s">
        <v>7994</v>
      </c>
      <c r="AE4813" t="s">
        <v>20193</v>
      </c>
      <c r="AF4813" t="s">
        <v>21901</v>
      </c>
      <c r="AG4813" t="s">
        <v>15371</v>
      </c>
      <c r="AH4813">
        <v>-1.24</v>
      </c>
      <c r="AI4813">
        <v>-1.37</v>
      </c>
      <c r="AJ4813">
        <v>2.42</v>
      </c>
      <c r="AK4813">
        <v>5.43</v>
      </c>
      <c r="AL4813">
        <v>-3</v>
      </c>
      <c r="AM4813">
        <v>-0.07</v>
      </c>
      <c r="AN4813">
        <v>-19.05</v>
      </c>
      <c r="AO4813">
        <v>2.24</v>
      </c>
      <c r="AP4813">
        <v>-32.16</v>
      </c>
    </row>
    <row r="4814" spans="1:42">
      <c r="A4814">
        <v>4813</v>
      </c>
      <c r="B4814" t="str">
        <f>"300877"</f>
        <v>300877</v>
      </c>
      <c r="C4814" t="s">
        <v>21902</v>
      </c>
      <c r="D4814">
        <v>18.34</v>
      </c>
      <c r="E4814">
        <v>0.27</v>
      </c>
      <c r="F4814">
        <v>0.05</v>
      </c>
      <c r="G4814" t="s">
        <v>239</v>
      </c>
      <c r="H4814">
        <v>204</v>
      </c>
      <c r="I4814">
        <v>18.33</v>
      </c>
      <c r="J4814">
        <v>18.35</v>
      </c>
      <c r="K4814" t="s">
        <v>21903</v>
      </c>
      <c r="L4814">
        <v>0.87</v>
      </c>
      <c r="M4814" t="s">
        <v>46</v>
      </c>
      <c r="N4814" t="s">
        <v>21904</v>
      </c>
      <c r="O4814">
        <v>18.54</v>
      </c>
      <c r="P4814">
        <v>18.21</v>
      </c>
      <c r="Q4814">
        <v>18.21</v>
      </c>
      <c r="R4814">
        <v>18.29</v>
      </c>
      <c r="S4814">
        <v>1.8</v>
      </c>
      <c r="T4814">
        <v>0.85</v>
      </c>
      <c r="U4814">
        <v>62.86</v>
      </c>
      <c r="V4814">
        <v>176</v>
      </c>
      <c r="W4814">
        <v>18.39</v>
      </c>
      <c r="X4814">
        <v>4897</v>
      </c>
      <c r="Y4814">
        <v>5532</v>
      </c>
      <c r="Z4814">
        <v>0.89</v>
      </c>
      <c r="AA4814">
        <v>77</v>
      </c>
      <c r="AB4814">
        <v>18</v>
      </c>
      <c r="AC4814">
        <v>1.38</v>
      </c>
      <c r="AD4814" t="s">
        <v>5210</v>
      </c>
      <c r="AE4814" t="s">
        <v>20226</v>
      </c>
      <c r="AF4814" t="s">
        <v>5210</v>
      </c>
      <c r="AG4814" t="s">
        <v>20226</v>
      </c>
      <c r="AH4814">
        <v>-1.29</v>
      </c>
      <c r="AI4814">
        <v>-1.5</v>
      </c>
      <c r="AJ4814">
        <v>2.57</v>
      </c>
      <c r="AK4814">
        <v>5.98</v>
      </c>
      <c r="AL4814">
        <v>1</v>
      </c>
      <c r="AM4814">
        <v>0.27</v>
      </c>
      <c r="AN4814">
        <v>14.41</v>
      </c>
      <c r="AO4814">
        <v>1.78</v>
      </c>
      <c r="AP4814">
        <v>8.58</v>
      </c>
    </row>
    <row r="4815" spans="1:42">
      <c r="A4815">
        <v>4814</v>
      </c>
      <c r="B4815" t="str">
        <f>"688308"</f>
        <v>688308</v>
      </c>
      <c r="C4815" t="s">
        <v>21905</v>
      </c>
      <c r="D4815">
        <v>31</v>
      </c>
      <c r="E4815">
        <v>-0.23</v>
      </c>
      <c r="F4815">
        <v>-0.07</v>
      </c>
      <c r="G4815">
        <v>6217</v>
      </c>
      <c r="H4815">
        <v>20</v>
      </c>
      <c r="I4815">
        <v>30.99</v>
      </c>
      <c r="J4815">
        <v>31</v>
      </c>
      <c r="K4815" t="s">
        <v>21903</v>
      </c>
      <c r="L4815">
        <v>0.56</v>
      </c>
      <c r="M4815" t="s">
        <v>46</v>
      </c>
      <c r="N4815" t="s">
        <v>1661</v>
      </c>
      <c r="O4815">
        <v>31.28</v>
      </c>
      <c r="P4815">
        <v>30.61</v>
      </c>
      <c r="Q4815">
        <v>31.07</v>
      </c>
      <c r="R4815">
        <v>31.07</v>
      </c>
      <c r="S4815">
        <v>2.16</v>
      </c>
      <c r="T4815">
        <v>0.76</v>
      </c>
      <c r="U4815">
        <v>47.58</v>
      </c>
      <c r="V4815">
        <v>195</v>
      </c>
      <c r="W4815">
        <v>30.84</v>
      </c>
      <c r="X4815">
        <v>3394</v>
      </c>
      <c r="Y4815">
        <v>2822</v>
      </c>
      <c r="Z4815">
        <v>1.2</v>
      </c>
      <c r="AA4815">
        <v>1</v>
      </c>
      <c r="AB4815">
        <v>9</v>
      </c>
      <c r="AC4815">
        <v>1.91</v>
      </c>
      <c r="AD4815" t="s">
        <v>13857</v>
      </c>
      <c r="AE4815" t="s">
        <v>21906</v>
      </c>
      <c r="AF4815" t="s">
        <v>21907</v>
      </c>
      <c r="AG4815" t="s">
        <v>10664</v>
      </c>
      <c r="AH4815">
        <v>-1.93</v>
      </c>
      <c r="AI4815">
        <v>-5.17</v>
      </c>
      <c r="AJ4815">
        <v>1.7</v>
      </c>
      <c r="AK4815">
        <v>4.23</v>
      </c>
      <c r="AL4815">
        <v>-3</v>
      </c>
      <c r="AM4815">
        <v>-0.23</v>
      </c>
      <c r="AN4815">
        <v>-41.98</v>
      </c>
      <c r="AO4815">
        <v>-7.16</v>
      </c>
      <c r="AP4815">
        <v>-44.77</v>
      </c>
    </row>
    <row r="4816" spans="1:42">
      <c r="A4816">
        <v>4815</v>
      </c>
      <c r="B4816" t="str">
        <f>"002734"</f>
        <v>002734</v>
      </c>
      <c r="C4816" t="s">
        <v>21908</v>
      </c>
      <c r="D4816">
        <v>8.43</v>
      </c>
      <c r="E4816">
        <v>0.84</v>
      </c>
      <c r="F4816">
        <v>0.07</v>
      </c>
      <c r="G4816" t="s">
        <v>3611</v>
      </c>
      <c r="H4816">
        <v>476</v>
      </c>
      <c r="I4816">
        <v>8.42</v>
      </c>
      <c r="J4816">
        <v>8.43</v>
      </c>
      <c r="K4816" t="s">
        <v>21909</v>
      </c>
      <c r="L4816">
        <v>0.7</v>
      </c>
      <c r="M4816" t="s">
        <v>46</v>
      </c>
      <c r="N4816" t="s">
        <v>21295</v>
      </c>
      <c r="O4816">
        <v>8.45</v>
      </c>
      <c r="P4816">
        <v>8.3</v>
      </c>
      <c r="Q4816">
        <v>8.34</v>
      </c>
      <c r="R4816">
        <v>8.36</v>
      </c>
      <c r="S4816">
        <v>1.79</v>
      </c>
      <c r="T4816">
        <v>1.27</v>
      </c>
      <c r="U4816">
        <v>-18.47</v>
      </c>
      <c r="V4816">
        <v>-348</v>
      </c>
      <c r="W4816">
        <v>8.39</v>
      </c>
      <c r="X4816">
        <v>9546</v>
      </c>
      <c r="Y4816" t="s">
        <v>383</v>
      </c>
      <c r="Z4816">
        <v>0.72</v>
      </c>
      <c r="AA4816">
        <v>193</v>
      </c>
      <c r="AB4816">
        <v>194</v>
      </c>
      <c r="AC4816">
        <v>1.22</v>
      </c>
      <c r="AD4816" t="s">
        <v>21910</v>
      </c>
      <c r="AE4816" t="s">
        <v>21911</v>
      </c>
      <c r="AF4816" t="s">
        <v>21912</v>
      </c>
      <c r="AG4816" t="s">
        <v>18455</v>
      </c>
      <c r="AH4816">
        <v>0.36</v>
      </c>
      <c r="AI4816">
        <v>0</v>
      </c>
      <c r="AJ4816">
        <v>1.69</v>
      </c>
      <c r="AK4816">
        <v>3.47</v>
      </c>
      <c r="AL4816">
        <v>2</v>
      </c>
      <c r="AM4816">
        <v>0.84</v>
      </c>
      <c r="AN4816">
        <v>-7.46</v>
      </c>
      <c r="AO4816">
        <v>1.08</v>
      </c>
      <c r="AP4816">
        <v>-15.02</v>
      </c>
    </row>
    <row r="4817" spans="1:42">
      <c r="A4817">
        <v>4816</v>
      </c>
      <c r="B4817" t="str">
        <f>"301086"</f>
        <v>301086</v>
      </c>
      <c r="C4817" t="s">
        <v>21913</v>
      </c>
      <c r="D4817">
        <v>47.43</v>
      </c>
      <c r="E4817">
        <v>0.27</v>
      </c>
      <c r="F4817">
        <v>0.13</v>
      </c>
      <c r="G4817">
        <v>4060</v>
      </c>
      <c r="H4817">
        <v>63</v>
      </c>
      <c r="I4817">
        <v>47.35</v>
      </c>
      <c r="J4817">
        <v>47.43</v>
      </c>
      <c r="K4817" t="s">
        <v>21914</v>
      </c>
      <c r="L4817">
        <v>1.25</v>
      </c>
      <c r="M4817" t="s">
        <v>46</v>
      </c>
      <c r="N4817" t="s">
        <v>3088</v>
      </c>
      <c r="O4817">
        <v>47.59</v>
      </c>
      <c r="P4817">
        <v>46.56</v>
      </c>
      <c r="Q4817">
        <v>47.5</v>
      </c>
      <c r="R4817">
        <v>47.3</v>
      </c>
      <c r="S4817">
        <v>2.18</v>
      </c>
      <c r="T4817">
        <v>0.74</v>
      </c>
      <c r="U4817">
        <v>-62.56</v>
      </c>
      <c r="V4817">
        <v>-64</v>
      </c>
      <c r="W4817">
        <v>47.17</v>
      </c>
      <c r="X4817">
        <v>2171</v>
      </c>
      <c r="Y4817">
        <v>1890</v>
      </c>
      <c r="Z4817">
        <v>1.15</v>
      </c>
      <c r="AA4817">
        <v>2</v>
      </c>
      <c r="AB4817">
        <v>2</v>
      </c>
      <c r="AC4817">
        <v>2.23</v>
      </c>
      <c r="AD4817" t="s">
        <v>13378</v>
      </c>
      <c r="AE4817" t="s">
        <v>21915</v>
      </c>
      <c r="AF4817" t="s">
        <v>21916</v>
      </c>
      <c r="AG4817" t="s">
        <v>21917</v>
      </c>
      <c r="AH4817">
        <v>-2.02</v>
      </c>
      <c r="AI4817">
        <v>-1.23</v>
      </c>
      <c r="AJ4817">
        <v>4.39</v>
      </c>
      <c r="AK4817">
        <v>9.71</v>
      </c>
      <c r="AL4817">
        <v>1</v>
      </c>
      <c r="AM4817">
        <v>0.27</v>
      </c>
      <c r="AN4817">
        <v>27.43</v>
      </c>
      <c r="AO4817">
        <v>1.11</v>
      </c>
      <c r="AP4817">
        <v>7.97</v>
      </c>
    </row>
    <row r="4818" spans="1:42">
      <c r="A4818">
        <v>4817</v>
      </c>
      <c r="B4818" t="str">
        <f>"603819"</f>
        <v>603819</v>
      </c>
      <c r="C4818" t="s">
        <v>21918</v>
      </c>
      <c r="D4818">
        <v>13.78</v>
      </c>
      <c r="E4818">
        <v>1.55</v>
      </c>
      <c r="F4818">
        <v>0.21</v>
      </c>
      <c r="G4818" t="s">
        <v>5446</v>
      </c>
      <c r="H4818">
        <v>183</v>
      </c>
      <c r="I4818">
        <v>13.78</v>
      </c>
      <c r="J4818">
        <v>13.79</v>
      </c>
      <c r="K4818" t="s">
        <v>21919</v>
      </c>
      <c r="L4818">
        <v>0.64</v>
      </c>
      <c r="M4818" t="s">
        <v>46</v>
      </c>
      <c r="N4818" t="s">
        <v>11072</v>
      </c>
      <c r="O4818">
        <v>13.81</v>
      </c>
      <c r="P4818">
        <v>13.39</v>
      </c>
      <c r="Q4818">
        <v>13.49</v>
      </c>
      <c r="R4818">
        <v>13.57</v>
      </c>
      <c r="S4818">
        <v>3.1</v>
      </c>
      <c r="T4818">
        <v>1.49</v>
      </c>
      <c r="U4818">
        <v>-15.11</v>
      </c>
      <c r="V4818">
        <v>-88</v>
      </c>
      <c r="W4818">
        <v>13.64</v>
      </c>
      <c r="X4818">
        <v>7032</v>
      </c>
      <c r="Y4818">
        <v>7004</v>
      </c>
      <c r="Z4818">
        <v>1</v>
      </c>
      <c r="AA4818">
        <v>4</v>
      </c>
      <c r="AB4818">
        <v>108</v>
      </c>
      <c r="AC4818">
        <v>4.17</v>
      </c>
      <c r="AD4818" t="s">
        <v>15492</v>
      </c>
      <c r="AE4818" t="s">
        <v>20022</v>
      </c>
      <c r="AF4818" t="s">
        <v>15492</v>
      </c>
      <c r="AG4818" t="s">
        <v>20022</v>
      </c>
      <c r="AH4818">
        <v>0.22</v>
      </c>
      <c r="AI4818">
        <v>0.95</v>
      </c>
      <c r="AJ4818">
        <v>1.57</v>
      </c>
      <c r="AK4818">
        <v>2.8</v>
      </c>
      <c r="AL4818">
        <v>1</v>
      </c>
      <c r="AM4818">
        <v>1.55</v>
      </c>
      <c r="AN4818">
        <v>-8.74</v>
      </c>
      <c r="AO4818">
        <v>0.73</v>
      </c>
      <c r="AP4818">
        <v>-6.39</v>
      </c>
    </row>
    <row r="4819" spans="1:42">
      <c r="A4819">
        <v>4818</v>
      </c>
      <c r="B4819" t="str">
        <f>"301303"</f>
        <v>301303</v>
      </c>
      <c r="C4819" t="s">
        <v>21920</v>
      </c>
      <c r="D4819">
        <v>20.28</v>
      </c>
      <c r="E4819">
        <v>-0.1</v>
      </c>
      <c r="F4819">
        <v>-0.02</v>
      </c>
      <c r="G4819">
        <v>9476</v>
      </c>
      <c r="H4819">
        <v>117</v>
      </c>
      <c r="I4819">
        <v>20.27</v>
      </c>
      <c r="J4819">
        <v>20.28</v>
      </c>
      <c r="K4819" t="s">
        <v>21919</v>
      </c>
      <c r="L4819">
        <v>1.3</v>
      </c>
      <c r="M4819" t="s">
        <v>46</v>
      </c>
      <c r="N4819" t="s">
        <v>185</v>
      </c>
      <c r="O4819">
        <v>20.39</v>
      </c>
      <c r="P4819">
        <v>20.09</v>
      </c>
      <c r="Q4819">
        <v>20.32</v>
      </c>
      <c r="R4819">
        <v>20.3</v>
      </c>
      <c r="S4819">
        <v>1.48</v>
      </c>
      <c r="T4819">
        <v>0.87</v>
      </c>
      <c r="U4819">
        <v>-19.42</v>
      </c>
      <c r="V4819">
        <v>-94</v>
      </c>
      <c r="W4819">
        <v>20.2</v>
      </c>
      <c r="X4819">
        <v>4577</v>
      </c>
      <c r="Y4819">
        <v>4899</v>
      </c>
      <c r="Z4819">
        <v>0.93</v>
      </c>
      <c r="AA4819">
        <v>10</v>
      </c>
      <c r="AB4819">
        <v>113</v>
      </c>
      <c r="AC4819">
        <v>2</v>
      </c>
      <c r="AD4819" t="s">
        <v>3978</v>
      </c>
      <c r="AE4819" t="s">
        <v>15117</v>
      </c>
      <c r="AF4819" t="s">
        <v>21921</v>
      </c>
      <c r="AG4819" t="s">
        <v>10965</v>
      </c>
      <c r="AH4819">
        <v>-1.79</v>
      </c>
      <c r="AI4819">
        <v>-2.97</v>
      </c>
      <c r="AJ4819">
        <v>3.88</v>
      </c>
      <c r="AK4819">
        <v>8.76</v>
      </c>
      <c r="AL4819">
        <v>-3</v>
      </c>
      <c r="AM4819">
        <v>-0.1</v>
      </c>
      <c r="AN4819">
        <v>-23.7</v>
      </c>
      <c r="AO4819">
        <v>-1.31</v>
      </c>
      <c r="AP4819">
        <v>-23.7</v>
      </c>
    </row>
    <row r="4820" spans="1:42">
      <c r="A4820">
        <v>4819</v>
      </c>
      <c r="B4820" t="str">
        <f>"301300"</f>
        <v>301300</v>
      </c>
      <c r="C4820" t="s">
        <v>21922</v>
      </c>
      <c r="D4820">
        <v>31.89</v>
      </c>
      <c r="E4820">
        <v>-0.69</v>
      </c>
      <c r="F4820">
        <v>-0.22</v>
      </c>
      <c r="G4820">
        <v>6002</v>
      </c>
      <c r="H4820">
        <v>19</v>
      </c>
      <c r="I4820">
        <v>31.88</v>
      </c>
      <c r="J4820">
        <v>31.89</v>
      </c>
      <c r="K4820" t="s">
        <v>21923</v>
      </c>
      <c r="L4820">
        <v>2.06</v>
      </c>
      <c r="M4820" t="s">
        <v>46</v>
      </c>
      <c r="N4820" t="s">
        <v>5134</v>
      </c>
      <c r="O4820">
        <v>32.56</v>
      </c>
      <c r="P4820">
        <v>31.65</v>
      </c>
      <c r="Q4820">
        <v>32.11</v>
      </c>
      <c r="R4820">
        <v>32.11</v>
      </c>
      <c r="S4820">
        <v>2.83</v>
      </c>
      <c r="T4820">
        <v>1.27</v>
      </c>
      <c r="U4820">
        <v>28</v>
      </c>
      <c r="V4820">
        <v>49</v>
      </c>
      <c r="W4820">
        <v>31.86</v>
      </c>
      <c r="X4820">
        <v>3428</v>
      </c>
      <c r="Y4820">
        <v>2574</v>
      </c>
      <c r="Z4820">
        <v>1.33</v>
      </c>
      <c r="AA4820">
        <v>25</v>
      </c>
      <c r="AB4820">
        <v>14</v>
      </c>
      <c r="AC4820">
        <v>2.45</v>
      </c>
      <c r="AD4820" t="s">
        <v>21924</v>
      </c>
      <c r="AE4820" t="s">
        <v>2225</v>
      </c>
      <c r="AF4820" t="s">
        <v>21925</v>
      </c>
      <c r="AG4820" t="s">
        <v>21926</v>
      </c>
      <c r="AH4820">
        <v>-1.85</v>
      </c>
      <c r="AI4820">
        <v>-1.36</v>
      </c>
      <c r="AJ4820">
        <v>4.58</v>
      </c>
      <c r="AK4820">
        <v>10.14</v>
      </c>
      <c r="AL4820">
        <v>-3</v>
      </c>
      <c r="AM4820">
        <v>-0.69</v>
      </c>
      <c r="AN4820">
        <v>6.55</v>
      </c>
      <c r="AO4820">
        <v>1.53</v>
      </c>
      <c r="AP4820">
        <v>-8.52</v>
      </c>
    </row>
    <row r="4821" spans="1:42">
      <c r="A4821">
        <v>4820</v>
      </c>
      <c r="B4821" t="str">
        <f>"000809"</f>
        <v>000809</v>
      </c>
      <c r="C4821" t="s">
        <v>21927</v>
      </c>
      <c r="D4821">
        <v>3.28</v>
      </c>
      <c r="E4821">
        <v>1.23</v>
      </c>
      <c r="F4821">
        <v>0.04</v>
      </c>
      <c r="G4821" t="s">
        <v>2629</v>
      </c>
      <c r="H4821">
        <v>1062</v>
      </c>
      <c r="I4821">
        <v>3.27</v>
      </c>
      <c r="J4821">
        <v>3.28</v>
      </c>
      <c r="K4821" t="s">
        <v>21923</v>
      </c>
      <c r="L4821">
        <v>0.71</v>
      </c>
      <c r="M4821" t="s">
        <v>46</v>
      </c>
      <c r="N4821" t="s">
        <v>21928</v>
      </c>
      <c r="O4821">
        <v>3.3</v>
      </c>
      <c r="P4821">
        <v>3.23</v>
      </c>
      <c r="Q4821">
        <v>3.26</v>
      </c>
      <c r="R4821">
        <v>3.24</v>
      </c>
      <c r="S4821">
        <v>2.16</v>
      </c>
      <c r="T4821">
        <v>0.85</v>
      </c>
      <c r="U4821">
        <v>28.12</v>
      </c>
      <c r="V4821">
        <v>6068</v>
      </c>
      <c r="W4821">
        <v>3.27</v>
      </c>
      <c r="X4821" t="s">
        <v>8966</v>
      </c>
      <c r="Y4821" t="s">
        <v>617</v>
      </c>
      <c r="Z4821">
        <v>0.94</v>
      </c>
      <c r="AA4821">
        <v>502</v>
      </c>
      <c r="AB4821">
        <v>3237</v>
      </c>
      <c r="AC4821">
        <v>0.95</v>
      </c>
      <c r="AD4821" t="s">
        <v>18798</v>
      </c>
      <c r="AE4821" t="s">
        <v>21929</v>
      </c>
      <c r="AF4821" t="s">
        <v>18798</v>
      </c>
      <c r="AG4821" t="s">
        <v>21929</v>
      </c>
      <c r="AH4821">
        <v>-1.5</v>
      </c>
      <c r="AI4821">
        <v>-4.37</v>
      </c>
      <c r="AJ4821">
        <v>2.71</v>
      </c>
      <c r="AK4821">
        <v>4.9</v>
      </c>
      <c r="AL4821">
        <v>1</v>
      </c>
      <c r="AM4821">
        <v>1.23</v>
      </c>
      <c r="AN4821">
        <v>13.49</v>
      </c>
      <c r="AO4821">
        <v>-2.67</v>
      </c>
      <c r="AP4821">
        <v>1.86</v>
      </c>
    </row>
    <row r="4822" spans="1:42">
      <c r="A4822">
        <v>4821</v>
      </c>
      <c r="B4822" t="str">
        <f>"002879"</f>
        <v>002879</v>
      </c>
      <c r="C4822" t="s">
        <v>21930</v>
      </c>
      <c r="D4822">
        <v>15.74</v>
      </c>
      <c r="E4822">
        <v>-0.63</v>
      </c>
      <c r="F4822">
        <v>-0.1</v>
      </c>
      <c r="G4822" t="s">
        <v>1254</v>
      </c>
      <c r="H4822">
        <v>67</v>
      </c>
      <c r="I4822">
        <v>15.71</v>
      </c>
      <c r="J4822">
        <v>15.74</v>
      </c>
      <c r="K4822" t="s">
        <v>21931</v>
      </c>
      <c r="L4822">
        <v>0.91</v>
      </c>
      <c r="M4822" t="s">
        <v>46</v>
      </c>
      <c r="N4822" t="s">
        <v>2427</v>
      </c>
      <c r="O4822">
        <v>15.89</v>
      </c>
      <c r="P4822">
        <v>15.64</v>
      </c>
      <c r="Q4822">
        <v>15.8</v>
      </c>
      <c r="R4822">
        <v>15.84</v>
      </c>
      <c r="S4822">
        <v>1.58</v>
      </c>
      <c r="T4822">
        <v>0.91</v>
      </c>
      <c r="U4822">
        <v>24.88</v>
      </c>
      <c r="V4822">
        <v>200</v>
      </c>
      <c r="W4822">
        <v>15.72</v>
      </c>
      <c r="X4822">
        <v>5863</v>
      </c>
      <c r="Y4822">
        <v>6293</v>
      </c>
      <c r="Z4822">
        <v>0.93</v>
      </c>
      <c r="AA4822">
        <v>196</v>
      </c>
      <c r="AB4822">
        <v>5</v>
      </c>
      <c r="AC4822">
        <v>1.76</v>
      </c>
      <c r="AD4822" t="s">
        <v>21932</v>
      </c>
      <c r="AE4822" t="s">
        <v>21933</v>
      </c>
      <c r="AF4822" t="s">
        <v>13738</v>
      </c>
      <c r="AG4822" t="s">
        <v>21934</v>
      </c>
      <c r="AH4822">
        <v>-1.07</v>
      </c>
      <c r="AI4822">
        <v>-0.51</v>
      </c>
      <c r="AJ4822">
        <v>3.18</v>
      </c>
      <c r="AK4822">
        <v>5.91</v>
      </c>
      <c r="AL4822">
        <v>-2</v>
      </c>
      <c r="AM4822">
        <v>-0.63</v>
      </c>
      <c r="AN4822">
        <v>15.4</v>
      </c>
      <c r="AO4822">
        <v>4.24</v>
      </c>
      <c r="AP4822">
        <v>4.1</v>
      </c>
    </row>
    <row r="4823" spans="1:42">
      <c r="A4823">
        <v>4822</v>
      </c>
      <c r="B4823" t="str">
        <f>"000912"</f>
        <v>000912</v>
      </c>
      <c r="C4823" t="s">
        <v>21935</v>
      </c>
      <c r="D4823">
        <v>4.32</v>
      </c>
      <c r="E4823">
        <v>0.47</v>
      </c>
      <c r="F4823">
        <v>0.02</v>
      </c>
      <c r="G4823" t="s">
        <v>4358</v>
      </c>
      <c r="H4823">
        <v>1334</v>
      </c>
      <c r="I4823">
        <v>4.32</v>
      </c>
      <c r="J4823">
        <v>4.33</v>
      </c>
      <c r="K4823" t="s">
        <v>21931</v>
      </c>
      <c r="L4823">
        <v>0.28</v>
      </c>
      <c r="M4823" t="s">
        <v>46</v>
      </c>
      <c r="N4823" t="s">
        <v>4167</v>
      </c>
      <c r="O4823">
        <v>4.34</v>
      </c>
      <c r="P4823">
        <v>4.3</v>
      </c>
      <c r="Q4823">
        <v>4.3</v>
      </c>
      <c r="R4823">
        <v>4.3</v>
      </c>
      <c r="S4823">
        <v>0.93</v>
      </c>
      <c r="T4823">
        <v>0.81</v>
      </c>
      <c r="U4823">
        <v>-23.05</v>
      </c>
      <c r="V4823">
        <v>-4142</v>
      </c>
      <c r="W4823">
        <v>4.32</v>
      </c>
      <c r="X4823" t="s">
        <v>4013</v>
      </c>
      <c r="Y4823" t="s">
        <v>5585</v>
      </c>
      <c r="Z4823">
        <v>1.27</v>
      </c>
      <c r="AA4823">
        <v>723</v>
      </c>
      <c r="AB4823">
        <v>2535</v>
      </c>
      <c r="AC4823">
        <v>1.04</v>
      </c>
      <c r="AD4823" t="s">
        <v>2084</v>
      </c>
      <c r="AE4823" t="s">
        <v>21936</v>
      </c>
      <c r="AF4823" t="s">
        <v>2084</v>
      </c>
      <c r="AG4823" t="s">
        <v>21936</v>
      </c>
      <c r="AH4823">
        <v>-1.14</v>
      </c>
      <c r="AI4823">
        <v>-1.14</v>
      </c>
      <c r="AJ4823">
        <v>1</v>
      </c>
      <c r="AK4823">
        <v>2.03</v>
      </c>
      <c r="AL4823">
        <v>1</v>
      </c>
      <c r="AM4823">
        <v>0.47</v>
      </c>
      <c r="AN4823">
        <v>-8.67</v>
      </c>
      <c r="AO4823">
        <v>-1.14</v>
      </c>
      <c r="AP4823">
        <v>-10.74</v>
      </c>
    </row>
    <row r="4824" spans="1:42">
      <c r="A4824">
        <v>4823</v>
      </c>
      <c r="B4824" t="str">
        <f>"301256"</f>
        <v>301256</v>
      </c>
      <c r="C4824" t="s">
        <v>21937</v>
      </c>
      <c r="D4824">
        <v>8.41</v>
      </c>
      <c r="E4824">
        <v>-0.12</v>
      </c>
      <c r="F4824">
        <v>-0.01</v>
      </c>
      <c r="G4824" t="s">
        <v>3611</v>
      </c>
      <c r="H4824">
        <v>245</v>
      </c>
      <c r="I4824">
        <v>8.4</v>
      </c>
      <c r="J4824">
        <v>8.41</v>
      </c>
      <c r="K4824" t="s">
        <v>21931</v>
      </c>
      <c r="L4824">
        <v>1.67</v>
      </c>
      <c r="M4824" t="s">
        <v>46</v>
      </c>
      <c r="N4824" t="s">
        <v>21803</v>
      </c>
      <c r="O4824">
        <v>8.45</v>
      </c>
      <c r="P4824">
        <v>8.35</v>
      </c>
      <c r="Q4824">
        <v>8.42</v>
      </c>
      <c r="R4824">
        <v>8.42</v>
      </c>
      <c r="S4824">
        <v>1.19</v>
      </c>
      <c r="T4824">
        <v>1.12</v>
      </c>
      <c r="U4824">
        <v>-16.37</v>
      </c>
      <c r="V4824">
        <v>-281</v>
      </c>
      <c r="W4824">
        <v>8.39</v>
      </c>
      <c r="X4824" t="s">
        <v>8636</v>
      </c>
      <c r="Y4824" t="s">
        <v>7974</v>
      </c>
      <c r="Z4824">
        <v>1.11</v>
      </c>
      <c r="AA4824">
        <v>212</v>
      </c>
      <c r="AB4824">
        <v>134</v>
      </c>
      <c r="AC4824">
        <v>2.35</v>
      </c>
      <c r="AD4824" t="s">
        <v>8794</v>
      </c>
      <c r="AE4824" t="s">
        <v>21938</v>
      </c>
      <c r="AF4824" t="s">
        <v>6936</v>
      </c>
      <c r="AG4824" t="s">
        <v>13527</v>
      </c>
      <c r="AH4824">
        <v>-2.55</v>
      </c>
      <c r="AI4824">
        <v>-2.66</v>
      </c>
      <c r="AJ4824">
        <v>4.74</v>
      </c>
      <c r="AK4824">
        <v>9.16</v>
      </c>
      <c r="AL4824">
        <v>-3</v>
      </c>
      <c r="AM4824">
        <v>-0.12</v>
      </c>
      <c r="AN4824">
        <v>-4.86</v>
      </c>
      <c r="AO4824">
        <v>-0.36</v>
      </c>
      <c r="AP4824">
        <v>-1.06</v>
      </c>
    </row>
    <row r="4825" spans="1:42">
      <c r="A4825">
        <v>4824</v>
      </c>
      <c r="B4825" t="str">
        <f>"603843"</f>
        <v>603843</v>
      </c>
      <c r="C4825" t="s">
        <v>21939</v>
      </c>
      <c r="D4825">
        <v>3.76</v>
      </c>
      <c r="E4825">
        <v>0.53</v>
      </c>
      <c r="F4825">
        <v>0.02</v>
      </c>
      <c r="G4825" t="s">
        <v>7022</v>
      </c>
      <c r="H4825">
        <v>492</v>
      </c>
      <c r="I4825">
        <v>3.75</v>
      </c>
      <c r="J4825">
        <v>3.76</v>
      </c>
      <c r="K4825" t="s">
        <v>21940</v>
      </c>
      <c r="L4825">
        <v>0.73</v>
      </c>
      <c r="M4825" t="s">
        <v>46</v>
      </c>
      <c r="N4825" t="s">
        <v>5105</v>
      </c>
      <c r="O4825">
        <v>3.78</v>
      </c>
      <c r="P4825">
        <v>3.73</v>
      </c>
      <c r="Q4825">
        <v>3.74</v>
      </c>
      <c r="R4825">
        <v>3.74</v>
      </c>
      <c r="S4825">
        <v>1.34</v>
      </c>
      <c r="T4825">
        <v>0.93</v>
      </c>
      <c r="U4825">
        <v>-9.96</v>
      </c>
      <c r="V4825">
        <v>-693</v>
      </c>
      <c r="W4825">
        <v>3.76</v>
      </c>
      <c r="X4825" t="s">
        <v>4509</v>
      </c>
      <c r="Y4825" t="s">
        <v>6768</v>
      </c>
      <c r="Z4825">
        <v>0.78</v>
      </c>
      <c r="AA4825">
        <v>795</v>
      </c>
      <c r="AB4825">
        <v>143</v>
      </c>
      <c r="AC4825">
        <v>1.79</v>
      </c>
      <c r="AD4825" t="s">
        <v>21941</v>
      </c>
      <c r="AE4825" t="s">
        <v>15998</v>
      </c>
      <c r="AF4825" t="s">
        <v>21941</v>
      </c>
      <c r="AG4825" t="s">
        <v>15998</v>
      </c>
      <c r="AH4825">
        <v>-1.57</v>
      </c>
      <c r="AI4825">
        <v>-2.08</v>
      </c>
      <c r="AJ4825">
        <v>2.15</v>
      </c>
      <c r="AK4825">
        <v>4.64</v>
      </c>
      <c r="AL4825">
        <v>1</v>
      </c>
      <c r="AM4825">
        <v>0.53</v>
      </c>
      <c r="AN4825">
        <v>-12.15</v>
      </c>
      <c r="AO4825">
        <v>-2.08</v>
      </c>
      <c r="AP4825">
        <v>-22.79</v>
      </c>
    </row>
    <row r="4826" spans="1:42">
      <c r="A4826">
        <v>4825</v>
      </c>
      <c r="B4826" t="str">
        <f>"002748"</f>
        <v>002748</v>
      </c>
      <c r="C4826" t="s">
        <v>21942</v>
      </c>
      <c r="D4826">
        <v>9.96</v>
      </c>
      <c r="E4826">
        <v>0.71</v>
      </c>
      <c r="F4826">
        <v>0.07</v>
      </c>
      <c r="G4826" t="s">
        <v>882</v>
      </c>
      <c r="H4826">
        <v>10</v>
      </c>
      <c r="I4826">
        <v>9.96</v>
      </c>
      <c r="J4826">
        <v>9.98</v>
      </c>
      <c r="K4826" t="s">
        <v>21943</v>
      </c>
      <c r="L4826">
        <v>0.8</v>
      </c>
      <c r="M4826" t="s">
        <v>46</v>
      </c>
      <c r="N4826" t="s">
        <v>7188</v>
      </c>
      <c r="O4826">
        <v>10.03</v>
      </c>
      <c r="P4826">
        <v>9.81</v>
      </c>
      <c r="Q4826">
        <v>9.93</v>
      </c>
      <c r="R4826">
        <v>9.89</v>
      </c>
      <c r="S4826">
        <v>2.22</v>
      </c>
      <c r="T4826">
        <v>0.82</v>
      </c>
      <c r="U4826">
        <v>-25.3</v>
      </c>
      <c r="V4826">
        <v>-407</v>
      </c>
      <c r="W4826">
        <v>9.94</v>
      </c>
      <c r="X4826">
        <v>8771</v>
      </c>
      <c r="Y4826" t="s">
        <v>239</v>
      </c>
      <c r="Z4826">
        <v>0.84</v>
      </c>
      <c r="AA4826">
        <v>94</v>
      </c>
      <c r="AB4826">
        <v>131</v>
      </c>
      <c r="AC4826">
        <v>1.8</v>
      </c>
      <c r="AD4826" t="s">
        <v>4237</v>
      </c>
      <c r="AE4826" t="s">
        <v>21944</v>
      </c>
      <c r="AF4826" t="s">
        <v>4237</v>
      </c>
      <c r="AG4826" t="s">
        <v>21944</v>
      </c>
      <c r="AH4826">
        <v>-1.19</v>
      </c>
      <c r="AI4826">
        <v>-2.06</v>
      </c>
      <c r="AJ4826">
        <v>2.6</v>
      </c>
      <c r="AK4826">
        <v>5.67</v>
      </c>
      <c r="AL4826">
        <v>1</v>
      </c>
      <c r="AM4826">
        <v>0.71</v>
      </c>
      <c r="AN4826">
        <v>-0.9</v>
      </c>
      <c r="AO4826">
        <v>3</v>
      </c>
      <c r="AP4826">
        <v>-11.7</v>
      </c>
    </row>
    <row r="4827" spans="1:42">
      <c r="A4827">
        <v>4826</v>
      </c>
      <c r="B4827" t="str">
        <f>"300555"</f>
        <v>300555</v>
      </c>
      <c r="C4827" t="s">
        <v>21945</v>
      </c>
      <c r="D4827">
        <v>8.76</v>
      </c>
      <c r="E4827">
        <v>0.81</v>
      </c>
      <c r="F4827">
        <v>0.07</v>
      </c>
      <c r="G4827" t="s">
        <v>2102</v>
      </c>
      <c r="H4827">
        <v>568</v>
      </c>
      <c r="I4827">
        <v>8.75</v>
      </c>
      <c r="J4827">
        <v>8.76</v>
      </c>
      <c r="K4827" t="s">
        <v>21943</v>
      </c>
      <c r="L4827">
        <v>1.11</v>
      </c>
      <c r="M4827" t="s">
        <v>46</v>
      </c>
      <c r="N4827" t="s">
        <v>9288</v>
      </c>
      <c r="O4827">
        <v>8.81</v>
      </c>
      <c r="P4827">
        <v>8.56</v>
      </c>
      <c r="Q4827">
        <v>8.7</v>
      </c>
      <c r="R4827">
        <v>8.69</v>
      </c>
      <c r="S4827">
        <v>2.88</v>
      </c>
      <c r="T4827">
        <v>0.6</v>
      </c>
      <c r="U4827">
        <v>-53.9</v>
      </c>
      <c r="V4827">
        <v>-1719</v>
      </c>
      <c r="W4827">
        <v>8.7</v>
      </c>
      <c r="X4827">
        <v>8329</v>
      </c>
      <c r="Y4827" t="s">
        <v>5183</v>
      </c>
      <c r="Z4827">
        <v>0.61</v>
      </c>
      <c r="AA4827">
        <v>526</v>
      </c>
      <c r="AB4827">
        <v>710</v>
      </c>
      <c r="AC4827">
        <v>2.96</v>
      </c>
      <c r="AD4827" t="s">
        <v>5838</v>
      </c>
      <c r="AE4827" t="s">
        <v>476</v>
      </c>
      <c r="AF4827" t="s">
        <v>15215</v>
      </c>
      <c r="AG4827" t="s">
        <v>18056</v>
      </c>
      <c r="AH4827">
        <v>-4.58</v>
      </c>
      <c r="AI4827">
        <v>-3.63</v>
      </c>
      <c r="AJ4827">
        <v>4.98</v>
      </c>
      <c r="AK4827">
        <v>10.36</v>
      </c>
      <c r="AL4827">
        <v>1</v>
      </c>
      <c r="AM4827">
        <v>0.81</v>
      </c>
      <c r="AN4827">
        <v>38.39</v>
      </c>
      <c r="AO4827">
        <v>13.91</v>
      </c>
      <c r="AP4827">
        <v>18.06</v>
      </c>
    </row>
    <row r="4828" spans="1:42">
      <c r="A4828">
        <v>4827</v>
      </c>
      <c r="B4828" t="str">
        <f>"003025"</f>
        <v>003025</v>
      </c>
      <c r="C4828" t="s">
        <v>21946</v>
      </c>
      <c r="D4828">
        <v>12.59</v>
      </c>
      <c r="E4828">
        <v>-0.4</v>
      </c>
      <c r="F4828">
        <v>-0.05</v>
      </c>
      <c r="G4828" t="s">
        <v>61</v>
      </c>
      <c r="H4828">
        <v>80</v>
      </c>
      <c r="I4828">
        <v>12.59</v>
      </c>
      <c r="J4828">
        <v>12.6</v>
      </c>
      <c r="K4828" t="s">
        <v>21947</v>
      </c>
      <c r="L4828">
        <v>1.35</v>
      </c>
      <c r="M4828" t="s">
        <v>46</v>
      </c>
      <c r="N4828" t="s">
        <v>4530</v>
      </c>
      <c r="O4828">
        <v>12.69</v>
      </c>
      <c r="P4828">
        <v>12.45</v>
      </c>
      <c r="Q4828">
        <v>12.65</v>
      </c>
      <c r="R4828">
        <v>12.64</v>
      </c>
      <c r="S4828">
        <v>1.9</v>
      </c>
      <c r="T4828">
        <v>0.8</v>
      </c>
      <c r="U4828">
        <v>29.15</v>
      </c>
      <c r="V4828">
        <v>381</v>
      </c>
      <c r="W4828">
        <v>12.55</v>
      </c>
      <c r="X4828">
        <v>7618</v>
      </c>
      <c r="Y4828">
        <v>7554</v>
      </c>
      <c r="Z4828">
        <v>1.01</v>
      </c>
      <c r="AA4828">
        <v>340</v>
      </c>
      <c r="AB4828">
        <v>7</v>
      </c>
      <c r="AC4828">
        <v>2.95</v>
      </c>
      <c r="AD4828" t="s">
        <v>256</v>
      </c>
      <c r="AE4828" t="s">
        <v>21948</v>
      </c>
      <c r="AF4828" t="s">
        <v>19719</v>
      </c>
      <c r="AG4828" t="s">
        <v>6191</v>
      </c>
      <c r="AH4828">
        <v>-1.64</v>
      </c>
      <c r="AI4828">
        <v>-1.56</v>
      </c>
      <c r="AJ4828">
        <v>4.09</v>
      </c>
      <c r="AK4828">
        <v>9.76</v>
      </c>
      <c r="AL4828">
        <v>-3</v>
      </c>
      <c r="AM4828">
        <v>-0.4</v>
      </c>
      <c r="AN4828">
        <v>-10.58</v>
      </c>
      <c r="AO4828">
        <v>6.69</v>
      </c>
      <c r="AP4828">
        <v>-10.2</v>
      </c>
    </row>
    <row r="4829" spans="1:42">
      <c r="A4829">
        <v>4828</v>
      </c>
      <c r="B4829" t="str">
        <f>"603321"</f>
        <v>603321</v>
      </c>
      <c r="C4829" t="s">
        <v>21949</v>
      </c>
      <c r="D4829">
        <v>8.48</v>
      </c>
      <c r="E4829">
        <v>-0.82</v>
      </c>
      <c r="F4829">
        <v>-0.07</v>
      </c>
      <c r="G4829" t="s">
        <v>7195</v>
      </c>
      <c r="H4829">
        <v>232</v>
      </c>
      <c r="I4829">
        <v>8.47</v>
      </c>
      <c r="J4829">
        <v>8.48</v>
      </c>
      <c r="K4829" t="s">
        <v>21950</v>
      </c>
      <c r="L4829">
        <v>0.73</v>
      </c>
      <c r="M4829" t="s">
        <v>46</v>
      </c>
      <c r="N4829" t="s">
        <v>1916</v>
      </c>
      <c r="O4829">
        <v>8.61</v>
      </c>
      <c r="P4829">
        <v>8.44</v>
      </c>
      <c r="Q4829">
        <v>8.51</v>
      </c>
      <c r="R4829">
        <v>8.55</v>
      </c>
      <c r="S4829">
        <v>1.99</v>
      </c>
      <c r="T4829">
        <v>0.63</v>
      </c>
      <c r="U4829">
        <v>-35.91</v>
      </c>
      <c r="V4829">
        <v>-919</v>
      </c>
      <c r="W4829">
        <v>8.5</v>
      </c>
      <c r="X4829" t="s">
        <v>2667</v>
      </c>
      <c r="Y4829" t="s">
        <v>4443</v>
      </c>
      <c r="Z4829">
        <v>1.03</v>
      </c>
      <c r="AA4829">
        <v>6</v>
      </c>
      <c r="AB4829">
        <v>144</v>
      </c>
      <c r="AC4829">
        <v>2.22</v>
      </c>
      <c r="AD4829" t="s">
        <v>14645</v>
      </c>
      <c r="AE4829" t="s">
        <v>14033</v>
      </c>
      <c r="AF4829" t="s">
        <v>14645</v>
      </c>
      <c r="AG4829" t="s">
        <v>14033</v>
      </c>
      <c r="AH4829">
        <v>-1.97</v>
      </c>
      <c r="AI4829">
        <v>0.36</v>
      </c>
      <c r="AJ4829">
        <v>3</v>
      </c>
      <c r="AK4829">
        <v>6.54</v>
      </c>
      <c r="AL4829">
        <v>-3</v>
      </c>
      <c r="AM4829">
        <v>-0.82</v>
      </c>
      <c r="AN4829">
        <v>25.44</v>
      </c>
      <c r="AO4829">
        <v>4.05</v>
      </c>
      <c r="AP4829">
        <v>20.8</v>
      </c>
    </row>
    <row r="4830" spans="1:42">
      <c r="A4830">
        <v>4829</v>
      </c>
      <c r="B4830" t="str">
        <f>"688178"</f>
        <v>688178</v>
      </c>
      <c r="C4830" t="s">
        <v>21951</v>
      </c>
      <c r="D4830">
        <v>19.05</v>
      </c>
      <c r="E4830">
        <v>0.95</v>
      </c>
      <c r="F4830">
        <v>0.18</v>
      </c>
      <c r="G4830" t="s">
        <v>2074</v>
      </c>
      <c r="H4830">
        <v>620</v>
      </c>
      <c r="I4830">
        <v>18.96</v>
      </c>
      <c r="J4830">
        <v>19.05</v>
      </c>
      <c r="K4830" t="s">
        <v>21950</v>
      </c>
      <c r="L4830">
        <v>1.19</v>
      </c>
      <c r="M4830" t="s">
        <v>46</v>
      </c>
      <c r="N4830" t="s">
        <v>2275</v>
      </c>
      <c r="O4830">
        <v>19.17</v>
      </c>
      <c r="P4830">
        <v>18.63</v>
      </c>
      <c r="Q4830">
        <v>18.87</v>
      </c>
      <c r="R4830">
        <v>18.87</v>
      </c>
      <c r="S4830">
        <v>2.86</v>
      </c>
      <c r="T4830">
        <v>1.2</v>
      </c>
      <c r="U4830">
        <v>-48.8</v>
      </c>
      <c r="V4830">
        <v>-244</v>
      </c>
      <c r="W4830">
        <v>18.8</v>
      </c>
      <c r="X4830">
        <v>5247</v>
      </c>
      <c r="Y4830">
        <v>4873</v>
      </c>
      <c r="Z4830">
        <v>1.08</v>
      </c>
      <c r="AA4830">
        <v>4</v>
      </c>
      <c r="AB4830">
        <v>292</v>
      </c>
      <c r="AC4830">
        <v>1.33</v>
      </c>
      <c r="AD4830" t="s">
        <v>21952</v>
      </c>
      <c r="AE4830" t="s">
        <v>532</v>
      </c>
      <c r="AF4830" t="s">
        <v>21953</v>
      </c>
      <c r="AG4830" t="s">
        <v>15568</v>
      </c>
      <c r="AH4830">
        <v>0.32</v>
      </c>
      <c r="AI4830">
        <v>1.55</v>
      </c>
      <c r="AJ4830">
        <v>2.87</v>
      </c>
      <c r="AK4830">
        <v>6.15</v>
      </c>
      <c r="AL4830">
        <v>1</v>
      </c>
      <c r="AM4830">
        <v>0.95</v>
      </c>
      <c r="AN4830">
        <v>10.88</v>
      </c>
      <c r="AO4830">
        <v>3.87</v>
      </c>
      <c r="AP4830">
        <v>0.85</v>
      </c>
    </row>
    <row r="4831" spans="1:42">
      <c r="A4831">
        <v>4830</v>
      </c>
      <c r="B4831" t="str">
        <f>"300371"</f>
        <v>300371</v>
      </c>
      <c r="C4831" t="s">
        <v>21954</v>
      </c>
      <c r="D4831">
        <v>12.62</v>
      </c>
      <c r="E4831">
        <v>-0.63</v>
      </c>
      <c r="F4831">
        <v>-0.08</v>
      </c>
      <c r="G4831" t="s">
        <v>2371</v>
      </c>
      <c r="H4831">
        <v>162</v>
      </c>
      <c r="I4831">
        <v>12.62</v>
      </c>
      <c r="J4831">
        <v>12.63</v>
      </c>
      <c r="K4831" t="s">
        <v>21955</v>
      </c>
      <c r="L4831">
        <v>1.11</v>
      </c>
      <c r="M4831" t="s">
        <v>46</v>
      </c>
      <c r="N4831" t="s">
        <v>4400</v>
      </c>
      <c r="O4831">
        <v>12.72</v>
      </c>
      <c r="P4831">
        <v>12.49</v>
      </c>
      <c r="Q4831">
        <v>12.7</v>
      </c>
      <c r="R4831">
        <v>12.7</v>
      </c>
      <c r="S4831">
        <v>1.81</v>
      </c>
      <c r="T4831">
        <v>0.81</v>
      </c>
      <c r="U4831">
        <v>-2.98</v>
      </c>
      <c r="V4831">
        <v>-11</v>
      </c>
      <c r="W4831">
        <v>12.61</v>
      </c>
      <c r="X4831">
        <v>7085</v>
      </c>
      <c r="Y4831">
        <v>7990</v>
      </c>
      <c r="Z4831">
        <v>0.89</v>
      </c>
      <c r="AA4831">
        <v>42</v>
      </c>
      <c r="AB4831">
        <v>13</v>
      </c>
      <c r="AC4831">
        <v>2.39</v>
      </c>
      <c r="AD4831" t="s">
        <v>5056</v>
      </c>
      <c r="AE4831" t="s">
        <v>21956</v>
      </c>
      <c r="AF4831" t="s">
        <v>6938</v>
      </c>
      <c r="AG4831" t="s">
        <v>21957</v>
      </c>
      <c r="AH4831">
        <v>-1.79</v>
      </c>
      <c r="AI4831">
        <v>-1.17</v>
      </c>
      <c r="AJ4831">
        <v>3.22</v>
      </c>
      <c r="AK4831">
        <v>8</v>
      </c>
      <c r="AL4831">
        <v>-3</v>
      </c>
      <c r="AM4831">
        <v>-0.63</v>
      </c>
      <c r="AN4831">
        <v>35.84</v>
      </c>
      <c r="AO4831">
        <v>-1.56</v>
      </c>
      <c r="AP4831">
        <v>18.28</v>
      </c>
    </row>
    <row r="4832" spans="1:42">
      <c r="A4832">
        <v>4831</v>
      </c>
      <c r="B4832" t="str">
        <f>"688660"</f>
        <v>688660</v>
      </c>
      <c r="C4832" t="s">
        <v>21958</v>
      </c>
      <c r="D4832">
        <v>5.07</v>
      </c>
      <c r="E4832">
        <v>-0.59</v>
      </c>
      <c r="F4832">
        <v>-0.03</v>
      </c>
      <c r="G4832" t="s">
        <v>1718</v>
      </c>
      <c r="H4832">
        <v>129</v>
      </c>
      <c r="I4832">
        <v>5.07</v>
      </c>
      <c r="J4832">
        <v>5.08</v>
      </c>
      <c r="K4832" t="s">
        <v>21955</v>
      </c>
      <c r="L4832">
        <v>0.7</v>
      </c>
      <c r="M4832" t="s">
        <v>46</v>
      </c>
      <c r="N4832" t="s">
        <v>21959</v>
      </c>
      <c r="O4832">
        <v>5.11</v>
      </c>
      <c r="P4832">
        <v>5.06</v>
      </c>
      <c r="Q4832">
        <v>5.11</v>
      </c>
      <c r="R4832">
        <v>5.1</v>
      </c>
      <c r="S4832">
        <v>0.98</v>
      </c>
      <c r="T4832">
        <v>0.95</v>
      </c>
      <c r="U4832">
        <v>54.73</v>
      </c>
      <c r="V4832">
        <v>3380</v>
      </c>
      <c r="W4832">
        <v>5.08</v>
      </c>
      <c r="X4832" t="s">
        <v>4976</v>
      </c>
      <c r="Y4832" t="s">
        <v>6656</v>
      </c>
      <c r="Z4832">
        <v>1.17</v>
      </c>
      <c r="AA4832">
        <v>1246</v>
      </c>
      <c r="AB4832">
        <v>171</v>
      </c>
      <c r="AC4832">
        <v>1.04</v>
      </c>
      <c r="AD4832" t="s">
        <v>21960</v>
      </c>
      <c r="AE4832" t="s">
        <v>21244</v>
      </c>
      <c r="AF4832" t="s">
        <v>20657</v>
      </c>
      <c r="AG4832" t="s">
        <v>6440</v>
      </c>
      <c r="AH4832">
        <v>-2.12</v>
      </c>
      <c r="AI4832">
        <v>-1.17</v>
      </c>
      <c r="AJ4832">
        <v>2.11</v>
      </c>
      <c r="AK4832">
        <v>4.41</v>
      </c>
      <c r="AL4832">
        <v>-3</v>
      </c>
      <c r="AM4832">
        <v>-0.59</v>
      </c>
      <c r="AN4832">
        <v>-15.64</v>
      </c>
      <c r="AO4832">
        <v>0.4</v>
      </c>
      <c r="AP4832">
        <v>-21.27</v>
      </c>
    </row>
    <row r="4833" spans="1:42">
      <c r="A4833">
        <v>4832</v>
      </c>
      <c r="B4833" t="str">
        <f>"002715"</f>
        <v>002715</v>
      </c>
      <c r="C4833" t="s">
        <v>21961</v>
      </c>
      <c r="D4833">
        <v>16.34</v>
      </c>
      <c r="E4833">
        <v>-0.55</v>
      </c>
      <c r="F4833">
        <v>-0.09</v>
      </c>
      <c r="G4833" t="s">
        <v>1743</v>
      </c>
      <c r="H4833">
        <v>117</v>
      </c>
      <c r="I4833">
        <v>16.34</v>
      </c>
      <c r="J4833">
        <v>16.35</v>
      </c>
      <c r="K4833" t="s">
        <v>21962</v>
      </c>
      <c r="L4833">
        <v>0.84</v>
      </c>
      <c r="M4833" t="s">
        <v>46</v>
      </c>
      <c r="N4833" t="s">
        <v>804</v>
      </c>
      <c r="O4833">
        <v>16.75</v>
      </c>
      <c r="P4833">
        <v>16.11</v>
      </c>
      <c r="Q4833">
        <v>16.36</v>
      </c>
      <c r="R4833">
        <v>16.43</v>
      </c>
      <c r="S4833">
        <v>3.9</v>
      </c>
      <c r="T4833">
        <v>0.83</v>
      </c>
      <c r="U4833">
        <v>49.17</v>
      </c>
      <c r="V4833">
        <v>149</v>
      </c>
      <c r="W4833">
        <v>16.31</v>
      </c>
      <c r="X4833">
        <v>6441</v>
      </c>
      <c r="Y4833">
        <v>5168</v>
      </c>
      <c r="Z4833">
        <v>1.25</v>
      </c>
      <c r="AA4833">
        <v>13</v>
      </c>
      <c r="AB4833">
        <v>28</v>
      </c>
      <c r="AC4833">
        <v>5.57</v>
      </c>
      <c r="AD4833" t="s">
        <v>9812</v>
      </c>
      <c r="AE4833" t="s">
        <v>17916</v>
      </c>
      <c r="AF4833" t="s">
        <v>9812</v>
      </c>
      <c r="AG4833" t="s">
        <v>17916</v>
      </c>
      <c r="AH4833">
        <v>-1.57</v>
      </c>
      <c r="AI4833">
        <v>0.12</v>
      </c>
      <c r="AJ4833">
        <v>2.83</v>
      </c>
      <c r="AK4833">
        <v>5.93</v>
      </c>
      <c r="AL4833">
        <v>-2</v>
      </c>
      <c r="AM4833">
        <v>-0.55</v>
      </c>
      <c r="AN4833">
        <v>-11.39</v>
      </c>
      <c r="AO4833">
        <v>7.08</v>
      </c>
      <c r="AP4833">
        <v>-22.19</v>
      </c>
    </row>
    <row r="4834" spans="1:42">
      <c r="A4834">
        <v>4833</v>
      </c>
      <c r="B4834" t="str">
        <f>"835508"</f>
        <v>835508</v>
      </c>
      <c r="C4834" t="s">
        <v>21963</v>
      </c>
      <c r="D4834">
        <v>9.82</v>
      </c>
      <c r="E4834">
        <v>-7.18</v>
      </c>
      <c r="F4834">
        <v>-0.76</v>
      </c>
      <c r="G4834" t="s">
        <v>1072</v>
      </c>
      <c r="H4834">
        <v>422</v>
      </c>
      <c r="I4834">
        <v>9.82</v>
      </c>
      <c r="J4834">
        <v>9.89</v>
      </c>
      <c r="K4834" t="s">
        <v>21964</v>
      </c>
      <c r="L4834">
        <v>7.17</v>
      </c>
      <c r="M4834" t="s">
        <v>46</v>
      </c>
      <c r="N4834" t="s">
        <v>21965</v>
      </c>
      <c r="O4834">
        <v>10.88</v>
      </c>
      <c r="P4834">
        <v>9.62</v>
      </c>
      <c r="Q4834">
        <v>10.7</v>
      </c>
      <c r="R4834">
        <v>10.58</v>
      </c>
      <c r="S4834">
        <v>11.91</v>
      </c>
      <c r="T4834">
        <v>0.41</v>
      </c>
      <c r="U4834">
        <v>-22.22</v>
      </c>
      <c r="V4834">
        <v>-83</v>
      </c>
      <c r="W4834">
        <v>10.14</v>
      </c>
      <c r="X4834" t="s">
        <v>239</v>
      </c>
      <c r="Y4834">
        <v>8224</v>
      </c>
      <c r="Z4834">
        <v>1.27</v>
      </c>
      <c r="AA4834">
        <v>10</v>
      </c>
      <c r="AB4834">
        <v>131</v>
      </c>
      <c r="AC4834">
        <v>2.39</v>
      </c>
      <c r="AD4834" t="s">
        <v>21851</v>
      </c>
      <c r="AE4834" t="s">
        <v>21966</v>
      </c>
      <c r="AF4834" t="s">
        <v>20509</v>
      </c>
      <c r="AG4834" t="s">
        <v>21967</v>
      </c>
      <c r="AH4834">
        <v>-21.06</v>
      </c>
      <c r="AI4834">
        <v>6.97</v>
      </c>
      <c r="AJ4834">
        <v>27.97</v>
      </c>
      <c r="AK4834">
        <v>94.43</v>
      </c>
      <c r="AL4834">
        <v>-4</v>
      </c>
      <c r="AM4834">
        <v>-7.18</v>
      </c>
      <c r="AN4834">
        <v>66.72</v>
      </c>
      <c r="AO4834">
        <v>64.21</v>
      </c>
      <c r="AP4834">
        <v>52.01</v>
      </c>
    </row>
    <row r="4835" spans="1:42">
      <c r="A4835">
        <v>4834</v>
      </c>
      <c r="B4835" t="str">
        <f>"603017"</f>
        <v>603017</v>
      </c>
      <c r="C4835" t="s">
        <v>21968</v>
      </c>
      <c r="D4835">
        <v>10.29</v>
      </c>
      <c r="E4835">
        <v>1.38</v>
      </c>
      <c r="F4835">
        <v>0.14</v>
      </c>
      <c r="G4835" t="s">
        <v>128</v>
      </c>
      <c r="H4835">
        <v>151</v>
      </c>
      <c r="I4835">
        <v>10.28</v>
      </c>
      <c r="J4835">
        <v>10.29</v>
      </c>
      <c r="K4835" t="s">
        <v>21969</v>
      </c>
      <c r="L4835">
        <v>0.67</v>
      </c>
      <c r="M4835" t="s">
        <v>46</v>
      </c>
      <c r="N4835" t="s">
        <v>5105</v>
      </c>
      <c r="O4835">
        <v>10.35</v>
      </c>
      <c r="P4835">
        <v>10.09</v>
      </c>
      <c r="Q4835">
        <v>10.18</v>
      </c>
      <c r="R4835">
        <v>10.15</v>
      </c>
      <c r="S4835">
        <v>2.56</v>
      </c>
      <c r="T4835">
        <v>1.2</v>
      </c>
      <c r="U4835">
        <v>-52.93</v>
      </c>
      <c r="V4835">
        <v>-731</v>
      </c>
      <c r="W4835">
        <v>10.22</v>
      </c>
      <c r="X4835">
        <v>7685</v>
      </c>
      <c r="Y4835" t="s">
        <v>7974</v>
      </c>
      <c r="Z4835">
        <v>0.71</v>
      </c>
      <c r="AA4835">
        <v>135</v>
      </c>
      <c r="AB4835">
        <v>277</v>
      </c>
      <c r="AC4835">
        <v>1.98</v>
      </c>
      <c r="AD4835" t="s">
        <v>21970</v>
      </c>
      <c r="AE4835" t="s">
        <v>4652</v>
      </c>
      <c r="AF4835" t="s">
        <v>21970</v>
      </c>
      <c r="AG4835" t="s">
        <v>4652</v>
      </c>
      <c r="AH4835">
        <v>-0.58</v>
      </c>
      <c r="AI4835">
        <v>-1.44</v>
      </c>
      <c r="AJ4835">
        <v>1.75</v>
      </c>
      <c r="AK4835">
        <v>3.48</v>
      </c>
      <c r="AL4835">
        <v>1</v>
      </c>
      <c r="AM4835">
        <v>1.38</v>
      </c>
      <c r="AN4835">
        <v>16.14</v>
      </c>
      <c r="AO4835">
        <v>2.29</v>
      </c>
      <c r="AP4835">
        <v>4.36</v>
      </c>
    </row>
    <row r="4836" spans="1:42">
      <c r="A4836">
        <v>4835</v>
      </c>
      <c r="B4836" t="str">
        <f>"600359"</f>
        <v>600359</v>
      </c>
      <c r="C4836" t="s">
        <v>21971</v>
      </c>
      <c r="D4836">
        <v>7.59</v>
      </c>
      <c r="E4836">
        <v>0</v>
      </c>
      <c r="F4836">
        <v>0</v>
      </c>
      <c r="G4836" t="s">
        <v>48</v>
      </c>
      <c r="H4836">
        <v>138</v>
      </c>
      <c r="I4836">
        <v>7.59</v>
      </c>
      <c r="J4836">
        <v>7.6</v>
      </c>
      <c r="K4836" t="s">
        <v>21972</v>
      </c>
      <c r="L4836">
        <v>0.65</v>
      </c>
      <c r="M4836" t="s">
        <v>46</v>
      </c>
      <c r="N4836" t="s">
        <v>2825</v>
      </c>
      <c r="O4836">
        <v>7.65</v>
      </c>
      <c r="P4836">
        <v>7.56</v>
      </c>
      <c r="Q4836">
        <v>7.6</v>
      </c>
      <c r="R4836">
        <v>7.59</v>
      </c>
      <c r="S4836">
        <v>1.19</v>
      </c>
      <c r="T4836">
        <v>0.76</v>
      </c>
      <c r="U4836">
        <v>-38.71</v>
      </c>
      <c r="V4836">
        <v>-1676</v>
      </c>
      <c r="W4836">
        <v>7.61</v>
      </c>
      <c r="X4836" t="s">
        <v>1052</v>
      </c>
      <c r="Y4836" t="s">
        <v>6212</v>
      </c>
      <c r="Z4836">
        <v>0.95</v>
      </c>
      <c r="AA4836">
        <v>32</v>
      </c>
      <c r="AB4836">
        <v>82</v>
      </c>
      <c r="AC4836">
        <v>4.55</v>
      </c>
      <c r="AD4836" t="s">
        <v>21973</v>
      </c>
      <c r="AE4836" t="s">
        <v>21974</v>
      </c>
      <c r="AF4836" t="s">
        <v>21973</v>
      </c>
      <c r="AG4836" t="s">
        <v>21974</v>
      </c>
      <c r="AH4836">
        <v>-1.04</v>
      </c>
      <c r="AI4836">
        <v>0.53</v>
      </c>
      <c r="AJ4836">
        <v>1.95</v>
      </c>
      <c r="AK4836">
        <v>4.96</v>
      </c>
      <c r="AL4836">
        <v>0</v>
      </c>
      <c r="AM4836">
        <v>0</v>
      </c>
      <c r="AN4836">
        <v>-12.46</v>
      </c>
      <c r="AO4836">
        <v>2.15</v>
      </c>
      <c r="AP4836">
        <v>-5.95</v>
      </c>
    </row>
    <row r="4837" spans="1:42">
      <c r="A4837">
        <v>4836</v>
      </c>
      <c r="B4837" t="str">
        <f>"300564"</f>
        <v>300564</v>
      </c>
      <c r="C4837" t="s">
        <v>21975</v>
      </c>
      <c r="D4837">
        <v>13.85</v>
      </c>
      <c r="E4837">
        <v>0.65</v>
      </c>
      <c r="F4837">
        <v>0.09</v>
      </c>
      <c r="G4837" t="s">
        <v>5183</v>
      </c>
      <c r="H4837">
        <v>96</v>
      </c>
      <c r="I4837">
        <v>13.82</v>
      </c>
      <c r="J4837">
        <v>13.85</v>
      </c>
      <c r="K4837" t="s">
        <v>21976</v>
      </c>
      <c r="L4837">
        <v>1.24</v>
      </c>
      <c r="M4837" t="s">
        <v>46</v>
      </c>
      <c r="N4837" t="s">
        <v>3067</v>
      </c>
      <c r="O4837">
        <v>14.05</v>
      </c>
      <c r="P4837">
        <v>13.72</v>
      </c>
      <c r="Q4837">
        <v>13.73</v>
      </c>
      <c r="R4837">
        <v>13.76</v>
      </c>
      <c r="S4837">
        <v>2.4</v>
      </c>
      <c r="T4837">
        <v>0.92</v>
      </c>
      <c r="U4837">
        <v>-18.39</v>
      </c>
      <c r="V4837">
        <v>-77</v>
      </c>
      <c r="W4837">
        <v>13.89</v>
      </c>
      <c r="X4837">
        <v>7005</v>
      </c>
      <c r="Y4837">
        <v>6601</v>
      </c>
      <c r="Z4837">
        <v>1.06</v>
      </c>
      <c r="AA4837">
        <v>34</v>
      </c>
      <c r="AB4837">
        <v>191</v>
      </c>
      <c r="AC4837">
        <v>1.71</v>
      </c>
      <c r="AD4837" t="s">
        <v>14316</v>
      </c>
      <c r="AE4837" t="s">
        <v>11999</v>
      </c>
      <c r="AF4837" t="s">
        <v>19037</v>
      </c>
      <c r="AG4837" t="s">
        <v>16465</v>
      </c>
      <c r="AH4837">
        <v>-1.14</v>
      </c>
      <c r="AI4837">
        <v>-1.84</v>
      </c>
      <c r="AJ4837">
        <v>3.89</v>
      </c>
      <c r="AK4837">
        <v>7.97</v>
      </c>
      <c r="AL4837">
        <v>2</v>
      </c>
      <c r="AM4837">
        <v>0.65</v>
      </c>
      <c r="AN4837">
        <v>26.14</v>
      </c>
      <c r="AO4837">
        <v>3.9</v>
      </c>
      <c r="AP4837">
        <v>11.69</v>
      </c>
    </row>
    <row r="4838" spans="1:42">
      <c r="A4838">
        <v>4837</v>
      </c>
      <c r="B4838" t="str">
        <f>"603810"</f>
        <v>603810</v>
      </c>
      <c r="C4838" t="s">
        <v>21977</v>
      </c>
      <c r="D4838">
        <v>13.72</v>
      </c>
      <c r="E4838">
        <v>-0.22</v>
      </c>
      <c r="F4838">
        <v>-0.03</v>
      </c>
      <c r="G4838" t="s">
        <v>4525</v>
      </c>
      <c r="H4838">
        <v>306</v>
      </c>
      <c r="I4838">
        <v>13.72</v>
      </c>
      <c r="J4838">
        <v>13.73</v>
      </c>
      <c r="K4838" t="s">
        <v>21978</v>
      </c>
      <c r="L4838">
        <v>0.85</v>
      </c>
      <c r="M4838" t="s">
        <v>46</v>
      </c>
      <c r="N4838" t="s">
        <v>241</v>
      </c>
      <c r="O4838">
        <v>13.75</v>
      </c>
      <c r="P4838">
        <v>13.57</v>
      </c>
      <c r="Q4838">
        <v>13.71</v>
      </c>
      <c r="R4838">
        <v>13.75</v>
      </c>
      <c r="S4838">
        <v>1.31</v>
      </c>
      <c r="T4838">
        <v>0.35</v>
      </c>
      <c r="U4838">
        <v>11.19</v>
      </c>
      <c r="V4838">
        <v>103</v>
      </c>
      <c r="W4838">
        <v>13.67</v>
      </c>
      <c r="X4838">
        <v>7682</v>
      </c>
      <c r="Y4838">
        <v>6136</v>
      </c>
      <c r="Z4838">
        <v>1.25</v>
      </c>
      <c r="AA4838">
        <v>129</v>
      </c>
      <c r="AB4838">
        <v>177</v>
      </c>
      <c r="AC4838">
        <v>1.46</v>
      </c>
      <c r="AD4838" t="s">
        <v>21979</v>
      </c>
      <c r="AE4838" t="s">
        <v>229</v>
      </c>
      <c r="AF4838" t="s">
        <v>21979</v>
      </c>
      <c r="AG4838" t="s">
        <v>229</v>
      </c>
      <c r="AH4838">
        <v>-1.37</v>
      </c>
      <c r="AI4838">
        <v>-2.9</v>
      </c>
      <c r="AJ4838">
        <v>4.04</v>
      </c>
      <c r="AK4838">
        <v>13.13</v>
      </c>
      <c r="AL4838">
        <v>-3</v>
      </c>
      <c r="AM4838">
        <v>-0.22</v>
      </c>
      <c r="AN4838">
        <v>-17.89</v>
      </c>
      <c r="AO4838">
        <v>5.3</v>
      </c>
      <c r="AP4838">
        <v>-21.73</v>
      </c>
    </row>
    <row r="4839" spans="1:42">
      <c r="A4839">
        <v>4838</v>
      </c>
      <c r="B4839" t="str">
        <f>"603408"</f>
        <v>603408</v>
      </c>
      <c r="C4839" t="s">
        <v>21980</v>
      </c>
      <c r="D4839">
        <v>11.85</v>
      </c>
      <c r="E4839">
        <v>0.17</v>
      </c>
      <c r="F4839">
        <v>0.02</v>
      </c>
      <c r="G4839" t="s">
        <v>4977</v>
      </c>
      <c r="H4839">
        <v>36</v>
      </c>
      <c r="I4839">
        <v>11.84</v>
      </c>
      <c r="J4839">
        <v>11.85</v>
      </c>
      <c r="K4839" t="s">
        <v>21978</v>
      </c>
      <c r="L4839">
        <v>1.36</v>
      </c>
      <c r="M4839" t="s">
        <v>46</v>
      </c>
      <c r="N4839" t="s">
        <v>7698</v>
      </c>
      <c r="O4839">
        <v>11.95</v>
      </c>
      <c r="P4839">
        <v>11.76</v>
      </c>
      <c r="Q4839">
        <v>11.85</v>
      </c>
      <c r="R4839">
        <v>11.83</v>
      </c>
      <c r="S4839">
        <v>1.61</v>
      </c>
      <c r="T4839">
        <v>1.06</v>
      </c>
      <c r="U4839">
        <v>-7.47</v>
      </c>
      <c r="V4839">
        <v>-62</v>
      </c>
      <c r="W4839">
        <v>11.88</v>
      </c>
      <c r="X4839">
        <v>7276</v>
      </c>
      <c r="Y4839">
        <v>8625</v>
      </c>
      <c r="Z4839">
        <v>0.84</v>
      </c>
      <c r="AA4839">
        <v>10</v>
      </c>
      <c r="AB4839">
        <v>2</v>
      </c>
      <c r="AC4839">
        <v>1.8</v>
      </c>
      <c r="AD4839" t="s">
        <v>17737</v>
      </c>
      <c r="AE4839" t="s">
        <v>21981</v>
      </c>
      <c r="AF4839" t="s">
        <v>20970</v>
      </c>
      <c r="AG4839" t="s">
        <v>4836</v>
      </c>
      <c r="AH4839">
        <v>-0.75</v>
      </c>
      <c r="AI4839">
        <v>-1.74</v>
      </c>
      <c r="AJ4839">
        <v>3.65</v>
      </c>
      <c r="AK4839">
        <v>7.8</v>
      </c>
      <c r="AL4839">
        <v>1</v>
      </c>
      <c r="AM4839">
        <v>0.17</v>
      </c>
      <c r="AN4839">
        <v>14.05</v>
      </c>
      <c r="AO4839">
        <v>2.78</v>
      </c>
      <c r="AP4839">
        <v>4.13</v>
      </c>
    </row>
    <row r="4840" spans="1:42">
      <c r="A4840">
        <v>4839</v>
      </c>
      <c r="B4840" t="str">
        <f>"430476"</f>
        <v>430476</v>
      </c>
      <c r="C4840" t="s">
        <v>21982</v>
      </c>
      <c r="D4840">
        <v>12.55</v>
      </c>
      <c r="E4840">
        <v>-1.65</v>
      </c>
      <c r="F4840">
        <v>-0.21</v>
      </c>
      <c r="G4840" t="s">
        <v>2371</v>
      </c>
      <c r="H4840">
        <v>163</v>
      </c>
      <c r="I4840">
        <v>12.53</v>
      </c>
      <c r="J4840">
        <v>12.55</v>
      </c>
      <c r="K4840" t="s">
        <v>21983</v>
      </c>
      <c r="L4840">
        <v>2.49</v>
      </c>
      <c r="M4840" t="s">
        <v>46</v>
      </c>
      <c r="N4840" t="s">
        <v>2519</v>
      </c>
      <c r="O4840">
        <v>12.98</v>
      </c>
      <c r="P4840">
        <v>12.27</v>
      </c>
      <c r="Q4840">
        <v>12.96</v>
      </c>
      <c r="R4840">
        <v>12.76</v>
      </c>
      <c r="S4840">
        <v>5.56</v>
      </c>
      <c r="T4840">
        <v>0.39</v>
      </c>
      <c r="U4840">
        <v>-24.29</v>
      </c>
      <c r="V4840">
        <v>-117</v>
      </c>
      <c r="W4840">
        <v>12.5</v>
      </c>
      <c r="X4840" t="s">
        <v>1154</v>
      </c>
      <c r="Y4840">
        <v>4833</v>
      </c>
      <c r="Z4840">
        <v>2.13</v>
      </c>
      <c r="AA4840">
        <v>20</v>
      </c>
      <c r="AB4840">
        <v>106</v>
      </c>
      <c r="AC4840">
        <v>2.2</v>
      </c>
      <c r="AD4840" t="s">
        <v>21984</v>
      </c>
      <c r="AE4840" t="s">
        <v>14962</v>
      </c>
      <c r="AF4840" t="s">
        <v>21985</v>
      </c>
      <c r="AG4840" t="s">
        <v>21986</v>
      </c>
      <c r="AH4840">
        <v>-13.33</v>
      </c>
      <c r="AI4840">
        <v>-8.99</v>
      </c>
      <c r="AJ4840">
        <v>9.9</v>
      </c>
      <c r="AK4840">
        <v>34.39</v>
      </c>
      <c r="AL4840">
        <v>-4</v>
      </c>
      <c r="AM4840">
        <v>-1.65</v>
      </c>
      <c r="AN4840">
        <v>-19.81</v>
      </c>
      <c r="AO4840">
        <v>11.46</v>
      </c>
      <c r="AP4840">
        <v>-22.67</v>
      </c>
    </row>
    <row r="4841" spans="1:42">
      <c r="A4841">
        <v>4840</v>
      </c>
      <c r="B4841" t="str">
        <f>"688225"</f>
        <v>688225</v>
      </c>
      <c r="C4841" t="s">
        <v>21987</v>
      </c>
      <c r="D4841">
        <v>18.88</v>
      </c>
      <c r="E4841">
        <v>0.05</v>
      </c>
      <c r="F4841">
        <v>0.01</v>
      </c>
      <c r="G4841" t="s">
        <v>2074</v>
      </c>
      <c r="H4841">
        <v>76</v>
      </c>
      <c r="I4841">
        <v>18.88</v>
      </c>
      <c r="J4841">
        <v>18.91</v>
      </c>
      <c r="K4841" t="s">
        <v>21983</v>
      </c>
      <c r="L4841">
        <v>0.53</v>
      </c>
      <c r="M4841" t="s">
        <v>46</v>
      </c>
      <c r="N4841" t="s">
        <v>8488</v>
      </c>
      <c r="O4841">
        <v>19.16</v>
      </c>
      <c r="P4841">
        <v>18.58</v>
      </c>
      <c r="Q4841">
        <v>18.63</v>
      </c>
      <c r="R4841">
        <v>18.87</v>
      </c>
      <c r="S4841">
        <v>3.07</v>
      </c>
      <c r="T4841">
        <v>1.45</v>
      </c>
      <c r="U4841">
        <v>-28.9</v>
      </c>
      <c r="V4841">
        <v>-119</v>
      </c>
      <c r="W4841">
        <v>18.77</v>
      </c>
      <c r="X4841">
        <v>6599</v>
      </c>
      <c r="Y4841">
        <v>3457</v>
      </c>
      <c r="Z4841">
        <v>1.91</v>
      </c>
      <c r="AA4841">
        <v>58</v>
      </c>
      <c r="AB4841">
        <v>17</v>
      </c>
      <c r="AC4841">
        <v>3.45</v>
      </c>
      <c r="AD4841" t="s">
        <v>7381</v>
      </c>
      <c r="AE4841" t="s">
        <v>21988</v>
      </c>
      <c r="AF4841" t="s">
        <v>10459</v>
      </c>
      <c r="AG4841" t="s">
        <v>9618</v>
      </c>
      <c r="AH4841">
        <v>-1</v>
      </c>
      <c r="AI4841">
        <v>-2.07</v>
      </c>
      <c r="AJ4841">
        <v>1.04</v>
      </c>
      <c r="AK4841">
        <v>2.35</v>
      </c>
      <c r="AL4841">
        <v>1</v>
      </c>
      <c r="AM4841">
        <v>0.05</v>
      </c>
      <c r="AN4841">
        <v>11.78</v>
      </c>
      <c r="AO4841">
        <v>8.76</v>
      </c>
      <c r="AP4841">
        <v>-3.67</v>
      </c>
    </row>
    <row r="4842" spans="1:42">
      <c r="A4842">
        <v>4841</v>
      </c>
      <c r="B4842" t="str">
        <f>"600815"</f>
        <v>600815</v>
      </c>
      <c r="C4842" t="s">
        <v>21989</v>
      </c>
      <c r="D4842">
        <v>2.72</v>
      </c>
      <c r="E4842">
        <v>0.37</v>
      </c>
      <c r="F4842">
        <v>0.01</v>
      </c>
      <c r="G4842" t="s">
        <v>9077</v>
      </c>
      <c r="H4842">
        <v>118</v>
      </c>
      <c r="I4842">
        <v>2.72</v>
      </c>
      <c r="J4842">
        <v>2.73</v>
      </c>
      <c r="K4842" t="s">
        <v>21983</v>
      </c>
      <c r="L4842">
        <v>0.39</v>
      </c>
      <c r="M4842" t="s">
        <v>46</v>
      </c>
      <c r="N4842" t="s">
        <v>2179</v>
      </c>
      <c r="O4842">
        <v>2.74</v>
      </c>
      <c r="P4842">
        <v>2.68</v>
      </c>
      <c r="Q4842">
        <v>2.71</v>
      </c>
      <c r="R4842">
        <v>2.71</v>
      </c>
      <c r="S4842">
        <v>2.21</v>
      </c>
      <c r="T4842">
        <v>1.38</v>
      </c>
      <c r="U4842">
        <v>-44.39</v>
      </c>
      <c r="V4842" t="s">
        <v>7334</v>
      </c>
      <c r="W4842">
        <v>2.72</v>
      </c>
      <c r="X4842" t="s">
        <v>2189</v>
      </c>
      <c r="Y4842" t="s">
        <v>4761</v>
      </c>
      <c r="Z4842">
        <v>1.14</v>
      </c>
      <c r="AA4842">
        <v>628</v>
      </c>
      <c r="AB4842" t="s">
        <v>1083</v>
      </c>
      <c r="AC4842">
        <v>2.87</v>
      </c>
      <c r="AD4842" t="s">
        <v>21990</v>
      </c>
      <c r="AE4842" t="s">
        <v>20449</v>
      </c>
      <c r="AF4842" t="s">
        <v>21990</v>
      </c>
      <c r="AG4842" t="s">
        <v>20449</v>
      </c>
      <c r="AH4842">
        <v>0.37</v>
      </c>
      <c r="AI4842">
        <v>0</v>
      </c>
      <c r="AJ4842">
        <v>1.05</v>
      </c>
      <c r="AK4842">
        <v>1.82</v>
      </c>
      <c r="AL4842">
        <v>2</v>
      </c>
      <c r="AM4842">
        <v>0.37</v>
      </c>
      <c r="AN4842">
        <v>2.26</v>
      </c>
      <c r="AO4842">
        <v>3.03</v>
      </c>
      <c r="AP4842">
        <v>-1.81</v>
      </c>
    </row>
    <row r="4843" spans="1:42">
      <c r="A4843">
        <v>4842</v>
      </c>
      <c r="B4843" t="str">
        <f>"600796"</f>
        <v>600796</v>
      </c>
      <c r="C4843" t="s">
        <v>21991</v>
      </c>
      <c r="D4843">
        <v>5.68</v>
      </c>
      <c r="E4843">
        <v>0</v>
      </c>
      <c r="F4843">
        <v>0</v>
      </c>
      <c r="G4843" t="s">
        <v>57</v>
      </c>
      <c r="H4843">
        <v>301</v>
      </c>
      <c r="I4843">
        <v>5.68</v>
      </c>
      <c r="J4843">
        <v>5.69</v>
      </c>
      <c r="K4843" t="s">
        <v>21992</v>
      </c>
      <c r="L4843">
        <v>1.1</v>
      </c>
      <c r="M4843" t="s">
        <v>46</v>
      </c>
      <c r="N4843" t="s">
        <v>6443</v>
      </c>
      <c r="O4843">
        <v>5.73</v>
      </c>
      <c r="P4843">
        <v>5.64</v>
      </c>
      <c r="Q4843">
        <v>5.66</v>
      </c>
      <c r="R4843">
        <v>5.68</v>
      </c>
      <c r="S4843">
        <v>1.58</v>
      </c>
      <c r="T4843">
        <v>0.84</v>
      </c>
      <c r="U4843">
        <v>-52.73</v>
      </c>
      <c r="V4843">
        <v>-2218</v>
      </c>
      <c r="W4843">
        <v>5.69</v>
      </c>
      <c r="X4843" t="s">
        <v>2723</v>
      </c>
      <c r="Y4843" t="s">
        <v>1769</v>
      </c>
      <c r="Z4843">
        <v>1.28</v>
      </c>
      <c r="AA4843">
        <v>8</v>
      </c>
      <c r="AB4843">
        <v>231</v>
      </c>
      <c r="AC4843">
        <v>1.6</v>
      </c>
      <c r="AD4843" t="s">
        <v>20309</v>
      </c>
      <c r="AE4843" t="s">
        <v>21906</v>
      </c>
      <c r="AF4843" t="s">
        <v>21993</v>
      </c>
      <c r="AG4843" t="s">
        <v>21994</v>
      </c>
      <c r="AH4843">
        <v>-0.18</v>
      </c>
      <c r="AI4843">
        <v>0</v>
      </c>
      <c r="AJ4843">
        <v>3.57</v>
      </c>
      <c r="AK4843">
        <v>7.67</v>
      </c>
      <c r="AL4843">
        <v>0</v>
      </c>
      <c r="AM4843">
        <v>0</v>
      </c>
      <c r="AN4843">
        <v>8.6</v>
      </c>
      <c r="AO4843">
        <v>4.8</v>
      </c>
      <c r="AP4843">
        <v>6.37</v>
      </c>
    </row>
    <row r="4844" spans="1:42">
      <c r="A4844">
        <v>4843</v>
      </c>
      <c r="B4844" t="str">
        <f>"688137"</f>
        <v>688137</v>
      </c>
      <c r="C4844" t="s">
        <v>21995</v>
      </c>
      <c r="D4844">
        <v>55.22</v>
      </c>
      <c r="E4844">
        <v>0.42</v>
      </c>
      <c r="F4844">
        <v>0.23</v>
      </c>
      <c r="G4844">
        <v>3421</v>
      </c>
      <c r="H4844">
        <v>39</v>
      </c>
      <c r="I4844">
        <v>55.12</v>
      </c>
      <c r="J4844">
        <v>55.22</v>
      </c>
      <c r="K4844" t="s">
        <v>21992</v>
      </c>
      <c r="L4844">
        <v>1.26</v>
      </c>
      <c r="M4844" t="s">
        <v>46</v>
      </c>
      <c r="N4844" t="s">
        <v>6902</v>
      </c>
      <c r="O4844">
        <v>55.93</v>
      </c>
      <c r="P4844">
        <v>54.5</v>
      </c>
      <c r="Q4844">
        <v>54.86</v>
      </c>
      <c r="R4844">
        <v>54.99</v>
      </c>
      <c r="S4844">
        <v>2.6</v>
      </c>
      <c r="T4844">
        <v>0.72</v>
      </c>
      <c r="U4844">
        <v>1.31</v>
      </c>
      <c r="V4844">
        <v>1</v>
      </c>
      <c r="W4844">
        <v>55.11</v>
      </c>
      <c r="X4844">
        <v>1659</v>
      </c>
      <c r="Y4844">
        <v>1762</v>
      </c>
      <c r="Z4844">
        <v>0.94</v>
      </c>
      <c r="AA4844">
        <v>8</v>
      </c>
      <c r="AB4844">
        <v>9</v>
      </c>
      <c r="AC4844">
        <v>1.77</v>
      </c>
      <c r="AD4844" t="s">
        <v>13490</v>
      </c>
      <c r="AE4844" t="s">
        <v>21996</v>
      </c>
      <c r="AF4844" t="s">
        <v>21997</v>
      </c>
      <c r="AG4844" t="s">
        <v>3481</v>
      </c>
      <c r="AH4844">
        <v>-0.7</v>
      </c>
      <c r="AI4844">
        <v>-1.64</v>
      </c>
      <c r="AJ4844">
        <v>4.05</v>
      </c>
      <c r="AK4844">
        <v>10.06</v>
      </c>
      <c r="AL4844">
        <v>2</v>
      </c>
      <c r="AM4844">
        <v>0.42</v>
      </c>
      <c r="AN4844">
        <v>-26.86</v>
      </c>
      <c r="AO4844">
        <v>8.23</v>
      </c>
      <c r="AP4844">
        <v>-48.36</v>
      </c>
    </row>
    <row r="4845" spans="1:42">
      <c r="A4845">
        <v>4844</v>
      </c>
      <c r="B4845" t="str">
        <f>"688163"</f>
        <v>688163</v>
      </c>
      <c r="C4845" t="s">
        <v>21998</v>
      </c>
      <c r="D4845">
        <v>21.16</v>
      </c>
      <c r="E4845">
        <v>1.05</v>
      </c>
      <c r="F4845">
        <v>0.22</v>
      </c>
      <c r="G4845">
        <v>8924</v>
      </c>
      <c r="H4845">
        <v>61</v>
      </c>
      <c r="I4845">
        <v>21.16</v>
      </c>
      <c r="J4845">
        <v>21.19</v>
      </c>
      <c r="K4845" t="s">
        <v>21999</v>
      </c>
      <c r="L4845">
        <v>2.07</v>
      </c>
      <c r="M4845" t="s">
        <v>46</v>
      </c>
      <c r="N4845" t="s">
        <v>8057</v>
      </c>
      <c r="O4845">
        <v>21.43</v>
      </c>
      <c r="P4845">
        <v>20.91</v>
      </c>
      <c r="Q4845">
        <v>20.93</v>
      </c>
      <c r="R4845">
        <v>20.94</v>
      </c>
      <c r="S4845">
        <v>2.48</v>
      </c>
      <c r="T4845">
        <v>1.19</v>
      </c>
      <c r="U4845">
        <v>-3.5</v>
      </c>
      <c r="V4845">
        <v>-14</v>
      </c>
      <c r="W4845">
        <v>21.11</v>
      </c>
      <c r="X4845">
        <v>4676</v>
      </c>
      <c r="Y4845">
        <v>4248</v>
      </c>
      <c r="Z4845">
        <v>1.1</v>
      </c>
      <c r="AA4845">
        <v>5</v>
      </c>
      <c r="AB4845">
        <v>9</v>
      </c>
      <c r="AC4845">
        <v>2.1</v>
      </c>
      <c r="AD4845" t="s">
        <v>22000</v>
      </c>
      <c r="AE4845" t="s">
        <v>19856</v>
      </c>
      <c r="AF4845" t="s">
        <v>17191</v>
      </c>
      <c r="AG4845" t="s">
        <v>22001</v>
      </c>
      <c r="AH4845">
        <v>-1.67</v>
      </c>
      <c r="AI4845">
        <v>-2.04</v>
      </c>
      <c r="AJ4845">
        <v>5.47</v>
      </c>
      <c r="AK4845">
        <v>10.79</v>
      </c>
      <c r="AL4845">
        <v>1</v>
      </c>
      <c r="AM4845">
        <v>1.05</v>
      </c>
      <c r="AN4845">
        <v>4.03</v>
      </c>
      <c r="AO4845">
        <v>1.98</v>
      </c>
      <c r="AP4845">
        <v>-14.3</v>
      </c>
    </row>
    <row r="4846" spans="1:42">
      <c r="A4846">
        <v>4845</v>
      </c>
      <c r="B4846" t="str">
        <f>"603281"</f>
        <v>603281</v>
      </c>
      <c r="C4846" t="s">
        <v>22002</v>
      </c>
      <c r="D4846">
        <v>27.65</v>
      </c>
      <c r="E4846">
        <v>0.07</v>
      </c>
      <c r="F4846">
        <v>0.02</v>
      </c>
      <c r="G4846">
        <v>6846</v>
      </c>
      <c r="H4846">
        <v>78</v>
      </c>
      <c r="I4846">
        <v>27.61</v>
      </c>
      <c r="J4846">
        <v>27.65</v>
      </c>
      <c r="K4846" t="s">
        <v>21999</v>
      </c>
      <c r="L4846">
        <v>0.73</v>
      </c>
      <c r="M4846" t="s">
        <v>46</v>
      </c>
      <c r="N4846" t="s">
        <v>823</v>
      </c>
      <c r="O4846">
        <v>27.72</v>
      </c>
      <c r="P4846">
        <v>27.37</v>
      </c>
      <c r="Q4846">
        <v>27.69</v>
      </c>
      <c r="R4846">
        <v>27.63</v>
      </c>
      <c r="S4846">
        <v>1.27</v>
      </c>
      <c r="T4846">
        <v>0.69</v>
      </c>
      <c r="U4846">
        <v>25.95</v>
      </c>
      <c r="V4846">
        <v>96</v>
      </c>
      <c r="W4846">
        <v>27.52</v>
      </c>
      <c r="X4846">
        <v>4106</v>
      </c>
      <c r="Y4846">
        <v>2740</v>
      </c>
      <c r="Z4846">
        <v>1.5</v>
      </c>
      <c r="AA4846">
        <v>9</v>
      </c>
      <c r="AB4846">
        <v>25</v>
      </c>
      <c r="AC4846">
        <v>2.21</v>
      </c>
      <c r="AD4846" t="s">
        <v>20164</v>
      </c>
      <c r="AE4846" t="s">
        <v>13655</v>
      </c>
      <c r="AF4846" t="s">
        <v>22003</v>
      </c>
      <c r="AG4846" t="s">
        <v>6792</v>
      </c>
      <c r="AH4846">
        <v>-2.47</v>
      </c>
      <c r="AI4846">
        <v>-3.83</v>
      </c>
      <c r="AJ4846">
        <v>2.36</v>
      </c>
      <c r="AK4846">
        <v>6.06</v>
      </c>
      <c r="AL4846">
        <v>1</v>
      </c>
      <c r="AM4846">
        <v>0.07</v>
      </c>
      <c r="AN4846">
        <v>12.58</v>
      </c>
      <c r="AO4846">
        <v>-3.36</v>
      </c>
      <c r="AP4846">
        <v>12.58</v>
      </c>
    </row>
    <row r="4847" spans="1:42">
      <c r="A4847">
        <v>4846</v>
      </c>
      <c r="B4847" t="str">
        <f>"300402"</f>
        <v>300402</v>
      </c>
      <c r="C4847" t="s">
        <v>22004</v>
      </c>
      <c r="D4847">
        <v>17.05</v>
      </c>
      <c r="E4847">
        <v>-0.35</v>
      </c>
      <c r="F4847">
        <v>-0.06</v>
      </c>
      <c r="G4847" t="s">
        <v>2807</v>
      </c>
      <c r="H4847">
        <v>82</v>
      </c>
      <c r="I4847">
        <v>17.02</v>
      </c>
      <c r="J4847">
        <v>17.05</v>
      </c>
      <c r="K4847" t="s">
        <v>22005</v>
      </c>
      <c r="L4847">
        <v>0.55</v>
      </c>
      <c r="M4847" t="s">
        <v>46</v>
      </c>
      <c r="N4847" t="s">
        <v>2636</v>
      </c>
      <c r="O4847">
        <v>17.2</v>
      </c>
      <c r="P4847">
        <v>16.82</v>
      </c>
      <c r="Q4847">
        <v>17.12</v>
      </c>
      <c r="R4847">
        <v>17.11</v>
      </c>
      <c r="S4847">
        <v>2.22</v>
      </c>
      <c r="T4847">
        <v>0.99</v>
      </c>
      <c r="U4847">
        <v>50</v>
      </c>
      <c r="V4847">
        <v>136</v>
      </c>
      <c r="W4847">
        <v>16.99</v>
      </c>
      <c r="X4847">
        <v>5650</v>
      </c>
      <c r="Y4847">
        <v>5422</v>
      </c>
      <c r="Z4847">
        <v>1.04</v>
      </c>
      <c r="AA4847">
        <v>19</v>
      </c>
      <c r="AB4847">
        <v>21</v>
      </c>
      <c r="AC4847">
        <v>2.96</v>
      </c>
      <c r="AD4847" t="s">
        <v>22006</v>
      </c>
      <c r="AE4847" t="s">
        <v>22007</v>
      </c>
      <c r="AF4847" t="s">
        <v>22008</v>
      </c>
      <c r="AG4847" t="s">
        <v>16455</v>
      </c>
      <c r="AH4847">
        <v>-2.24</v>
      </c>
      <c r="AI4847">
        <v>-2.85</v>
      </c>
      <c r="AJ4847">
        <v>1.52</v>
      </c>
      <c r="AK4847">
        <v>3.33</v>
      </c>
      <c r="AL4847">
        <v>-3</v>
      </c>
      <c r="AM4847">
        <v>-0.35</v>
      </c>
      <c r="AN4847">
        <v>-24.39</v>
      </c>
      <c r="AO4847">
        <v>-0.7</v>
      </c>
      <c r="AP4847">
        <v>-11.75</v>
      </c>
    </row>
    <row r="4848" spans="1:42">
      <c r="A4848">
        <v>4847</v>
      </c>
      <c r="B4848" t="str">
        <f>"300879"</f>
        <v>300879</v>
      </c>
      <c r="C4848" t="s">
        <v>22009</v>
      </c>
      <c r="D4848">
        <v>17.65</v>
      </c>
      <c r="E4848">
        <v>-1.45</v>
      </c>
      <c r="F4848">
        <v>-0.26</v>
      </c>
      <c r="G4848" t="s">
        <v>218</v>
      </c>
      <c r="H4848">
        <v>399</v>
      </c>
      <c r="I4848">
        <v>17.65</v>
      </c>
      <c r="J4848">
        <v>17.66</v>
      </c>
      <c r="K4848" t="s">
        <v>22010</v>
      </c>
      <c r="L4848">
        <v>0.66</v>
      </c>
      <c r="M4848" t="s">
        <v>46</v>
      </c>
      <c r="N4848" t="s">
        <v>2725</v>
      </c>
      <c r="O4848">
        <v>17.88</v>
      </c>
      <c r="P4848">
        <v>17.64</v>
      </c>
      <c r="Q4848">
        <v>17.87</v>
      </c>
      <c r="R4848">
        <v>17.91</v>
      </c>
      <c r="S4848">
        <v>1.34</v>
      </c>
      <c r="T4848">
        <v>0.81</v>
      </c>
      <c r="U4848">
        <v>17.15</v>
      </c>
      <c r="V4848">
        <v>41</v>
      </c>
      <c r="W4848">
        <v>17.73</v>
      </c>
      <c r="X4848">
        <v>5978</v>
      </c>
      <c r="Y4848">
        <v>4613</v>
      </c>
      <c r="Z4848">
        <v>1.3</v>
      </c>
      <c r="AA4848">
        <v>61</v>
      </c>
      <c r="AB4848">
        <v>71</v>
      </c>
      <c r="AC4848">
        <v>3.03</v>
      </c>
      <c r="AD4848" t="s">
        <v>2521</v>
      </c>
      <c r="AE4848" t="s">
        <v>2749</v>
      </c>
      <c r="AF4848" t="s">
        <v>2521</v>
      </c>
      <c r="AG4848" t="s">
        <v>2749</v>
      </c>
      <c r="AH4848">
        <v>-2.11</v>
      </c>
      <c r="AI4848">
        <v>-2.59</v>
      </c>
      <c r="AJ4848">
        <v>1.91</v>
      </c>
      <c r="AK4848">
        <v>4.77</v>
      </c>
      <c r="AL4848">
        <v>-3</v>
      </c>
      <c r="AM4848">
        <v>-1.45</v>
      </c>
      <c r="AN4848">
        <v>4.19</v>
      </c>
      <c r="AO4848">
        <v>2.02</v>
      </c>
      <c r="AP4848">
        <v>-10.77</v>
      </c>
    </row>
    <row r="4849" spans="1:42">
      <c r="A4849">
        <v>4848</v>
      </c>
      <c r="B4849" t="str">
        <f>"301092"</f>
        <v>301092</v>
      </c>
      <c r="C4849" t="s">
        <v>22011</v>
      </c>
      <c r="D4849">
        <v>27.85</v>
      </c>
      <c r="E4849">
        <v>0.91</v>
      </c>
      <c r="F4849">
        <v>0.25</v>
      </c>
      <c r="G4849">
        <v>6761</v>
      </c>
      <c r="H4849">
        <v>56</v>
      </c>
      <c r="I4849">
        <v>27.85</v>
      </c>
      <c r="J4849">
        <v>27.86</v>
      </c>
      <c r="K4849" t="s">
        <v>22012</v>
      </c>
      <c r="L4849">
        <v>1.58</v>
      </c>
      <c r="M4849" t="s">
        <v>46</v>
      </c>
      <c r="N4849" t="s">
        <v>3688</v>
      </c>
      <c r="O4849">
        <v>27.95</v>
      </c>
      <c r="P4849">
        <v>27.43</v>
      </c>
      <c r="Q4849">
        <v>27.7</v>
      </c>
      <c r="R4849">
        <v>27.6</v>
      </c>
      <c r="S4849">
        <v>1.88</v>
      </c>
      <c r="T4849">
        <v>0.7</v>
      </c>
      <c r="U4849">
        <v>35.9</v>
      </c>
      <c r="V4849">
        <v>336</v>
      </c>
      <c r="W4849">
        <v>27.7</v>
      </c>
      <c r="X4849">
        <v>3110</v>
      </c>
      <c r="Y4849">
        <v>3651</v>
      </c>
      <c r="Z4849">
        <v>0.85</v>
      </c>
      <c r="AA4849">
        <v>123</v>
      </c>
      <c r="AB4849">
        <v>30</v>
      </c>
      <c r="AC4849">
        <v>2.08</v>
      </c>
      <c r="AD4849" t="s">
        <v>14704</v>
      </c>
      <c r="AE4849" t="s">
        <v>2431</v>
      </c>
      <c r="AF4849" t="s">
        <v>22013</v>
      </c>
      <c r="AG4849" t="s">
        <v>5037</v>
      </c>
      <c r="AH4849">
        <v>-0.89</v>
      </c>
      <c r="AI4849">
        <v>-1.76</v>
      </c>
      <c r="AJ4849">
        <v>5.32</v>
      </c>
      <c r="AK4849">
        <v>12.87</v>
      </c>
      <c r="AL4849">
        <v>1</v>
      </c>
      <c r="AM4849">
        <v>0.91</v>
      </c>
      <c r="AN4849">
        <v>3.84</v>
      </c>
      <c r="AO4849">
        <v>-0.18</v>
      </c>
      <c r="AP4849">
        <v>-8.27</v>
      </c>
    </row>
    <row r="4850" spans="1:42">
      <c r="A4850">
        <v>4849</v>
      </c>
      <c r="B4850" t="str">
        <f>"830839"</f>
        <v>830839</v>
      </c>
      <c r="C4850" t="s">
        <v>22014</v>
      </c>
      <c r="D4850">
        <v>9.05</v>
      </c>
      <c r="E4850">
        <v>-6.22</v>
      </c>
      <c r="F4850">
        <v>-0.6</v>
      </c>
      <c r="G4850" t="s">
        <v>1590</v>
      </c>
      <c r="H4850">
        <v>55</v>
      </c>
      <c r="I4850">
        <v>9.05</v>
      </c>
      <c r="J4850">
        <v>9.08</v>
      </c>
      <c r="K4850" t="s">
        <v>22015</v>
      </c>
      <c r="L4850">
        <v>3.08</v>
      </c>
      <c r="M4850" t="s">
        <v>46</v>
      </c>
      <c r="N4850" t="s">
        <v>597</v>
      </c>
      <c r="O4850">
        <v>10.12</v>
      </c>
      <c r="P4850">
        <v>9</v>
      </c>
      <c r="Q4850">
        <v>9.8</v>
      </c>
      <c r="R4850">
        <v>9.65</v>
      </c>
      <c r="S4850">
        <v>11.61</v>
      </c>
      <c r="T4850">
        <v>0.55</v>
      </c>
      <c r="U4850">
        <v>4.63</v>
      </c>
      <c r="V4850">
        <v>7</v>
      </c>
      <c r="W4850">
        <v>9.42</v>
      </c>
      <c r="X4850" t="s">
        <v>682</v>
      </c>
      <c r="Y4850">
        <v>7264</v>
      </c>
      <c r="Z4850">
        <v>1.73</v>
      </c>
      <c r="AA4850">
        <v>11</v>
      </c>
      <c r="AB4850">
        <v>5</v>
      </c>
      <c r="AC4850">
        <v>2.17</v>
      </c>
      <c r="AD4850" t="s">
        <v>22016</v>
      </c>
      <c r="AE4850" t="s">
        <v>14962</v>
      </c>
      <c r="AF4850" t="s">
        <v>22017</v>
      </c>
      <c r="AG4850" t="s">
        <v>22018</v>
      </c>
      <c r="AH4850">
        <v>-14.38</v>
      </c>
      <c r="AI4850">
        <v>6.72</v>
      </c>
      <c r="AJ4850">
        <v>15.71</v>
      </c>
      <c r="AK4850">
        <v>31.08</v>
      </c>
      <c r="AL4850">
        <v>-2</v>
      </c>
      <c r="AM4850">
        <v>-6.22</v>
      </c>
      <c r="AN4850">
        <v>42.97</v>
      </c>
      <c r="AO4850">
        <v>28.19</v>
      </c>
      <c r="AP4850">
        <v>23.63</v>
      </c>
    </row>
    <row r="4851" spans="1:42">
      <c r="A4851">
        <v>4850</v>
      </c>
      <c r="B4851" t="str">
        <f>"000668"</f>
        <v>000668</v>
      </c>
      <c r="C4851" t="s">
        <v>22019</v>
      </c>
      <c r="D4851">
        <v>12.07</v>
      </c>
      <c r="E4851">
        <v>0.84</v>
      </c>
      <c r="F4851">
        <v>0.1</v>
      </c>
      <c r="G4851" t="s">
        <v>5951</v>
      </c>
      <c r="H4851">
        <v>106</v>
      </c>
      <c r="I4851">
        <v>12.06</v>
      </c>
      <c r="J4851">
        <v>12.07</v>
      </c>
      <c r="K4851" t="s">
        <v>22020</v>
      </c>
      <c r="L4851">
        <v>1.06</v>
      </c>
      <c r="M4851" t="s">
        <v>46</v>
      </c>
      <c r="N4851" t="s">
        <v>19483</v>
      </c>
      <c r="O4851">
        <v>12.19</v>
      </c>
      <c r="P4851">
        <v>11.88</v>
      </c>
      <c r="Q4851">
        <v>11.98</v>
      </c>
      <c r="R4851">
        <v>11.97</v>
      </c>
      <c r="S4851">
        <v>2.59</v>
      </c>
      <c r="T4851">
        <v>0.96</v>
      </c>
      <c r="U4851">
        <v>37.31</v>
      </c>
      <c r="V4851">
        <v>200</v>
      </c>
      <c r="W4851">
        <v>12.07</v>
      </c>
      <c r="X4851">
        <v>7483</v>
      </c>
      <c r="Y4851">
        <v>8011</v>
      </c>
      <c r="Z4851">
        <v>0.93</v>
      </c>
      <c r="AA4851">
        <v>17</v>
      </c>
      <c r="AB4851">
        <v>30</v>
      </c>
      <c r="AC4851">
        <v>1.5</v>
      </c>
      <c r="AD4851" t="s">
        <v>12855</v>
      </c>
      <c r="AE4851" t="s">
        <v>12936</v>
      </c>
      <c r="AF4851" t="s">
        <v>6574</v>
      </c>
      <c r="AG4851" t="s">
        <v>22021</v>
      </c>
      <c r="AH4851">
        <v>-0.33</v>
      </c>
      <c r="AI4851">
        <v>-1.15</v>
      </c>
      <c r="AJ4851">
        <v>3.33</v>
      </c>
      <c r="AK4851">
        <v>6.58</v>
      </c>
      <c r="AL4851">
        <v>1</v>
      </c>
      <c r="AM4851">
        <v>0.84</v>
      </c>
      <c r="AN4851">
        <v>-7.15</v>
      </c>
      <c r="AO4851">
        <v>3.43</v>
      </c>
      <c r="AP4851">
        <v>-10.39</v>
      </c>
    </row>
    <row r="4852" spans="1:42">
      <c r="A4852">
        <v>4851</v>
      </c>
      <c r="B4852" t="str">
        <f>"688157"</f>
        <v>688157</v>
      </c>
      <c r="C4852" t="s">
        <v>22022</v>
      </c>
      <c r="D4852">
        <v>52.3</v>
      </c>
      <c r="E4852">
        <v>0.81</v>
      </c>
      <c r="F4852">
        <v>0.42</v>
      </c>
      <c r="G4852">
        <v>3603</v>
      </c>
      <c r="H4852">
        <v>18</v>
      </c>
      <c r="I4852">
        <v>52.3</v>
      </c>
      <c r="J4852">
        <v>52.34</v>
      </c>
      <c r="K4852" t="s">
        <v>22020</v>
      </c>
      <c r="L4852">
        <v>0.62</v>
      </c>
      <c r="M4852" t="s">
        <v>46</v>
      </c>
      <c r="N4852" t="s">
        <v>3454</v>
      </c>
      <c r="O4852">
        <v>52.48</v>
      </c>
      <c r="P4852">
        <v>51.34</v>
      </c>
      <c r="Q4852">
        <v>52.14</v>
      </c>
      <c r="R4852">
        <v>51.88</v>
      </c>
      <c r="S4852">
        <v>2.2</v>
      </c>
      <c r="T4852">
        <v>0.81</v>
      </c>
      <c r="U4852">
        <v>-1.12</v>
      </c>
      <c r="V4852">
        <v>-2</v>
      </c>
      <c r="W4852">
        <v>51.89</v>
      </c>
      <c r="X4852">
        <v>1476</v>
      </c>
      <c r="Y4852">
        <v>2127</v>
      </c>
      <c r="Z4852">
        <v>0.69</v>
      </c>
      <c r="AA4852">
        <v>1</v>
      </c>
      <c r="AB4852">
        <v>32</v>
      </c>
      <c r="AC4852">
        <v>4.57</v>
      </c>
      <c r="AD4852" t="s">
        <v>22023</v>
      </c>
      <c r="AE4852" t="s">
        <v>18173</v>
      </c>
      <c r="AF4852" t="s">
        <v>15013</v>
      </c>
      <c r="AG4852" t="s">
        <v>13792</v>
      </c>
      <c r="AH4852">
        <v>-0.82</v>
      </c>
      <c r="AI4852">
        <v>0.75</v>
      </c>
      <c r="AJ4852">
        <v>2.28</v>
      </c>
      <c r="AK4852">
        <v>4.47</v>
      </c>
      <c r="AL4852">
        <v>1</v>
      </c>
      <c r="AM4852">
        <v>0.81</v>
      </c>
      <c r="AN4852">
        <v>-16.02</v>
      </c>
      <c r="AO4852">
        <v>-4.54</v>
      </c>
      <c r="AP4852">
        <v>-22.06</v>
      </c>
    </row>
    <row r="4853" spans="1:42">
      <c r="A4853">
        <v>4852</v>
      </c>
      <c r="B4853" t="str">
        <f>"300947"</f>
        <v>300947</v>
      </c>
      <c r="C4853" t="s">
        <v>22024</v>
      </c>
      <c r="D4853">
        <v>15.77</v>
      </c>
      <c r="E4853">
        <v>0.9</v>
      </c>
      <c r="F4853">
        <v>0.14</v>
      </c>
      <c r="G4853" t="s">
        <v>718</v>
      </c>
      <c r="H4853">
        <v>30</v>
      </c>
      <c r="I4853">
        <v>15.77</v>
      </c>
      <c r="J4853">
        <v>15.79</v>
      </c>
      <c r="K4853" t="s">
        <v>22020</v>
      </c>
      <c r="L4853">
        <v>1.24</v>
      </c>
      <c r="M4853" t="s">
        <v>46</v>
      </c>
      <c r="N4853" t="s">
        <v>1612</v>
      </c>
      <c r="O4853">
        <v>15.85</v>
      </c>
      <c r="P4853">
        <v>15.59</v>
      </c>
      <c r="Q4853">
        <v>15.85</v>
      </c>
      <c r="R4853">
        <v>15.63</v>
      </c>
      <c r="S4853">
        <v>1.66</v>
      </c>
      <c r="T4853">
        <v>0.58</v>
      </c>
      <c r="U4853">
        <v>4.28</v>
      </c>
      <c r="V4853">
        <v>17</v>
      </c>
      <c r="W4853">
        <v>15.75</v>
      </c>
      <c r="X4853">
        <v>5459</v>
      </c>
      <c r="Y4853">
        <v>6405</v>
      </c>
      <c r="Z4853">
        <v>0.85</v>
      </c>
      <c r="AA4853">
        <v>14</v>
      </c>
      <c r="AB4853">
        <v>54</v>
      </c>
      <c r="AC4853">
        <v>1.84</v>
      </c>
      <c r="AD4853" t="s">
        <v>22025</v>
      </c>
      <c r="AE4853" t="s">
        <v>20489</v>
      </c>
      <c r="AF4853" t="s">
        <v>22026</v>
      </c>
      <c r="AG4853" t="s">
        <v>22027</v>
      </c>
      <c r="AH4853">
        <v>0.06</v>
      </c>
      <c r="AI4853">
        <v>-2.17</v>
      </c>
      <c r="AJ4853">
        <v>4.69</v>
      </c>
      <c r="AK4853">
        <v>11.94</v>
      </c>
      <c r="AL4853">
        <v>1</v>
      </c>
      <c r="AM4853">
        <v>0.9</v>
      </c>
      <c r="AN4853">
        <v>19.11</v>
      </c>
      <c r="AO4853">
        <v>4.58</v>
      </c>
      <c r="AP4853">
        <v>19.2</v>
      </c>
    </row>
    <row r="4854" spans="1:42">
      <c r="A4854">
        <v>4853</v>
      </c>
      <c r="B4854" t="str">
        <f>"833266"</f>
        <v>833266</v>
      </c>
      <c r="C4854" t="s">
        <v>22028</v>
      </c>
      <c r="D4854">
        <v>8.23</v>
      </c>
      <c r="E4854">
        <v>-4.75</v>
      </c>
      <c r="F4854">
        <v>-0.41</v>
      </c>
      <c r="G4854" t="s">
        <v>4509</v>
      </c>
      <c r="H4854">
        <v>230</v>
      </c>
      <c r="I4854">
        <v>8.23</v>
      </c>
      <c r="J4854">
        <v>8.24</v>
      </c>
      <c r="K4854" t="s">
        <v>22029</v>
      </c>
      <c r="L4854">
        <v>2.26</v>
      </c>
      <c r="M4854" t="s">
        <v>46</v>
      </c>
      <c r="N4854" t="s">
        <v>1501</v>
      </c>
      <c r="O4854">
        <v>8.81</v>
      </c>
      <c r="P4854">
        <v>8.13</v>
      </c>
      <c r="Q4854">
        <v>8.45</v>
      </c>
      <c r="R4854">
        <v>8.64</v>
      </c>
      <c r="S4854">
        <v>7.87</v>
      </c>
      <c r="T4854">
        <v>0.38</v>
      </c>
      <c r="U4854">
        <v>67.5</v>
      </c>
      <c r="V4854">
        <v>1042</v>
      </c>
      <c r="W4854">
        <v>8.38</v>
      </c>
      <c r="X4854" t="s">
        <v>1254</v>
      </c>
      <c r="Y4854" t="s">
        <v>2074</v>
      </c>
      <c r="Z4854">
        <v>1.22</v>
      </c>
      <c r="AA4854">
        <v>775</v>
      </c>
      <c r="AB4854">
        <v>60</v>
      </c>
      <c r="AC4854">
        <v>1.04</v>
      </c>
      <c r="AD4854" t="s">
        <v>9252</v>
      </c>
      <c r="AE4854" t="s">
        <v>16780</v>
      </c>
      <c r="AF4854" t="s">
        <v>22030</v>
      </c>
      <c r="AG4854" t="s">
        <v>22031</v>
      </c>
      <c r="AH4854">
        <v>-3.52</v>
      </c>
      <c r="AI4854">
        <v>5.78</v>
      </c>
      <c r="AJ4854">
        <v>9.92</v>
      </c>
      <c r="AK4854">
        <v>32.28</v>
      </c>
      <c r="AL4854">
        <v>-1</v>
      </c>
      <c r="AM4854">
        <v>-4.75</v>
      </c>
      <c r="AN4854">
        <v>21.03</v>
      </c>
      <c r="AO4854">
        <v>34.48</v>
      </c>
      <c r="AP4854">
        <v>-5.94</v>
      </c>
    </row>
    <row r="4855" spans="1:42">
      <c r="A4855">
        <v>4854</v>
      </c>
      <c r="B4855" t="str">
        <f>"688665"</f>
        <v>688665</v>
      </c>
      <c r="C4855" t="s">
        <v>22032</v>
      </c>
      <c r="D4855">
        <v>79.18</v>
      </c>
      <c r="E4855">
        <v>-0.15</v>
      </c>
      <c r="F4855">
        <v>-0.12</v>
      </c>
      <c r="G4855">
        <v>2379</v>
      </c>
      <c r="H4855">
        <v>12</v>
      </c>
      <c r="I4855">
        <v>79.18</v>
      </c>
      <c r="J4855">
        <v>79.19</v>
      </c>
      <c r="K4855" t="s">
        <v>22029</v>
      </c>
      <c r="L4855">
        <v>1.1</v>
      </c>
      <c r="M4855" t="s">
        <v>46</v>
      </c>
      <c r="N4855" t="s">
        <v>3173</v>
      </c>
      <c r="O4855">
        <v>79.6</v>
      </c>
      <c r="P4855">
        <v>77.55</v>
      </c>
      <c r="Q4855">
        <v>79.3</v>
      </c>
      <c r="R4855">
        <v>79.3</v>
      </c>
      <c r="S4855">
        <v>2.59</v>
      </c>
      <c r="T4855">
        <v>0.74</v>
      </c>
      <c r="U4855">
        <v>5.05</v>
      </c>
      <c r="V4855">
        <v>5</v>
      </c>
      <c r="W4855">
        <v>78.53</v>
      </c>
      <c r="X4855">
        <v>963</v>
      </c>
      <c r="Y4855">
        <v>1416</v>
      </c>
      <c r="Z4855">
        <v>0.68</v>
      </c>
      <c r="AA4855">
        <v>27</v>
      </c>
      <c r="AB4855">
        <v>6</v>
      </c>
      <c r="AC4855">
        <v>5.98</v>
      </c>
      <c r="AD4855" t="s">
        <v>13535</v>
      </c>
      <c r="AE4855" t="s">
        <v>16976</v>
      </c>
      <c r="AF4855" t="s">
        <v>22033</v>
      </c>
      <c r="AG4855" t="s">
        <v>2036</v>
      </c>
      <c r="AH4855">
        <v>-2.46</v>
      </c>
      <c r="AI4855">
        <v>-2.6</v>
      </c>
      <c r="AJ4855">
        <v>3.34</v>
      </c>
      <c r="AK4855">
        <v>8.57</v>
      </c>
      <c r="AL4855">
        <v>-3</v>
      </c>
      <c r="AM4855">
        <v>-0.15</v>
      </c>
      <c r="AN4855">
        <v>-19.29</v>
      </c>
      <c r="AO4855">
        <v>0.09</v>
      </c>
      <c r="AP4855">
        <v>-24.16</v>
      </c>
    </row>
    <row r="4856" spans="1:42">
      <c r="A4856">
        <v>4855</v>
      </c>
      <c r="B4856" t="str">
        <f>"300732"</f>
        <v>300732</v>
      </c>
      <c r="C4856" t="s">
        <v>22034</v>
      </c>
      <c r="D4856">
        <v>9.28</v>
      </c>
      <c r="E4856">
        <v>1.75</v>
      </c>
      <c r="F4856">
        <v>0.16</v>
      </c>
      <c r="G4856" t="s">
        <v>2976</v>
      </c>
      <c r="H4856">
        <v>310</v>
      </c>
      <c r="I4856">
        <v>9.27</v>
      </c>
      <c r="J4856">
        <v>9.28</v>
      </c>
      <c r="K4856" t="s">
        <v>22035</v>
      </c>
      <c r="L4856">
        <v>0.62</v>
      </c>
      <c r="M4856" t="s">
        <v>46</v>
      </c>
      <c r="N4856" t="s">
        <v>1592</v>
      </c>
      <c r="O4856">
        <v>9.3</v>
      </c>
      <c r="P4856">
        <v>9.1</v>
      </c>
      <c r="Q4856">
        <v>9.15</v>
      </c>
      <c r="R4856">
        <v>9.12</v>
      </c>
      <c r="S4856">
        <v>2.19</v>
      </c>
      <c r="T4856">
        <v>0.89</v>
      </c>
      <c r="U4856">
        <v>-59.15</v>
      </c>
      <c r="V4856">
        <v>-1278</v>
      </c>
      <c r="W4856">
        <v>9.21</v>
      </c>
      <c r="X4856">
        <v>8413</v>
      </c>
      <c r="Y4856" t="s">
        <v>1083</v>
      </c>
      <c r="Z4856">
        <v>0.71</v>
      </c>
      <c r="AA4856">
        <v>1</v>
      </c>
      <c r="AB4856">
        <v>203</v>
      </c>
      <c r="AC4856">
        <v>1.07</v>
      </c>
      <c r="AD4856" t="s">
        <v>1450</v>
      </c>
      <c r="AE4856" t="s">
        <v>22036</v>
      </c>
      <c r="AF4856" t="s">
        <v>22037</v>
      </c>
      <c r="AG4856" t="s">
        <v>2662</v>
      </c>
      <c r="AH4856">
        <v>-1.07</v>
      </c>
      <c r="AI4856">
        <v>-1.28</v>
      </c>
      <c r="AJ4856">
        <v>2.17</v>
      </c>
      <c r="AK4856">
        <v>4.15</v>
      </c>
      <c r="AL4856">
        <v>1</v>
      </c>
      <c r="AM4856">
        <v>1.75</v>
      </c>
      <c r="AN4856">
        <v>6.3</v>
      </c>
      <c r="AO4856">
        <v>1.42</v>
      </c>
      <c r="AP4856">
        <v>0.11</v>
      </c>
    </row>
    <row r="4857" spans="1:42">
      <c r="A4857">
        <v>4856</v>
      </c>
      <c r="B4857" t="str">
        <f>"301193"</f>
        <v>301193</v>
      </c>
      <c r="C4857" t="s">
        <v>22038</v>
      </c>
      <c r="D4857">
        <v>18.88</v>
      </c>
      <c r="E4857">
        <v>0.05</v>
      </c>
      <c r="F4857">
        <v>0.01</v>
      </c>
      <c r="G4857">
        <v>9853</v>
      </c>
      <c r="H4857">
        <v>90</v>
      </c>
      <c r="I4857">
        <v>18.85</v>
      </c>
      <c r="J4857">
        <v>18.88</v>
      </c>
      <c r="K4857" t="s">
        <v>21604</v>
      </c>
      <c r="L4857">
        <v>1.07</v>
      </c>
      <c r="M4857" t="s">
        <v>46</v>
      </c>
      <c r="N4857" t="s">
        <v>3125</v>
      </c>
      <c r="O4857">
        <v>19.07</v>
      </c>
      <c r="P4857">
        <v>18.68</v>
      </c>
      <c r="Q4857">
        <v>18.75</v>
      </c>
      <c r="R4857">
        <v>18.87</v>
      </c>
      <c r="S4857">
        <v>2.07</v>
      </c>
      <c r="T4857">
        <v>0.51</v>
      </c>
      <c r="U4857">
        <v>51.64</v>
      </c>
      <c r="V4857">
        <v>220</v>
      </c>
      <c r="W4857">
        <v>18.88</v>
      </c>
      <c r="X4857">
        <v>5226</v>
      </c>
      <c r="Y4857">
        <v>4626</v>
      </c>
      <c r="Z4857">
        <v>1.13</v>
      </c>
      <c r="AA4857">
        <v>1</v>
      </c>
      <c r="AB4857">
        <v>71</v>
      </c>
      <c r="AC4857">
        <v>2.35</v>
      </c>
      <c r="AD4857" t="s">
        <v>4603</v>
      </c>
      <c r="AE4857" t="s">
        <v>118</v>
      </c>
      <c r="AF4857" t="s">
        <v>20218</v>
      </c>
      <c r="AG4857" t="s">
        <v>15076</v>
      </c>
      <c r="AH4857">
        <v>1.02</v>
      </c>
      <c r="AI4857">
        <v>-1.05</v>
      </c>
      <c r="AJ4857">
        <v>3.7</v>
      </c>
      <c r="AK4857">
        <v>11.58</v>
      </c>
      <c r="AL4857">
        <v>2</v>
      </c>
      <c r="AM4857">
        <v>0.05</v>
      </c>
      <c r="AN4857">
        <v>-7.95</v>
      </c>
      <c r="AO4857">
        <v>10.15</v>
      </c>
      <c r="AP4857">
        <v>-14.18</v>
      </c>
    </row>
    <row r="4858" spans="1:42">
      <c r="A4858">
        <v>4857</v>
      </c>
      <c r="B4858" t="str">
        <f>"301026"</f>
        <v>301026</v>
      </c>
      <c r="C4858" t="s">
        <v>22039</v>
      </c>
      <c r="D4858">
        <v>29.23</v>
      </c>
      <c r="E4858">
        <v>-0.17</v>
      </c>
      <c r="F4858">
        <v>-0.05</v>
      </c>
      <c r="G4858">
        <v>6403</v>
      </c>
      <c r="H4858">
        <v>55</v>
      </c>
      <c r="I4858">
        <v>29.23</v>
      </c>
      <c r="J4858">
        <v>29.25</v>
      </c>
      <c r="K4858" t="s">
        <v>21604</v>
      </c>
      <c r="L4858">
        <v>1.12</v>
      </c>
      <c r="M4858" t="s">
        <v>46</v>
      </c>
      <c r="N4858" t="s">
        <v>5088</v>
      </c>
      <c r="O4858">
        <v>29.58</v>
      </c>
      <c r="P4858">
        <v>28.71</v>
      </c>
      <c r="Q4858">
        <v>29.58</v>
      </c>
      <c r="R4858">
        <v>29.28</v>
      </c>
      <c r="S4858">
        <v>2.97</v>
      </c>
      <c r="T4858">
        <v>0.69</v>
      </c>
      <c r="U4858">
        <v>-16.28</v>
      </c>
      <c r="V4858">
        <v>-14</v>
      </c>
      <c r="W4858">
        <v>29.04</v>
      </c>
      <c r="X4858">
        <v>3321</v>
      </c>
      <c r="Y4858">
        <v>3082</v>
      </c>
      <c r="Z4858">
        <v>1.08</v>
      </c>
      <c r="AA4858">
        <v>5</v>
      </c>
      <c r="AB4858">
        <v>6</v>
      </c>
      <c r="AC4858">
        <v>2.29</v>
      </c>
      <c r="AD4858" t="s">
        <v>12967</v>
      </c>
      <c r="AE4858" t="s">
        <v>22040</v>
      </c>
      <c r="AF4858" t="s">
        <v>22041</v>
      </c>
      <c r="AG4858" t="s">
        <v>3428</v>
      </c>
      <c r="AH4858">
        <v>-2.6</v>
      </c>
      <c r="AI4858">
        <v>-1.18</v>
      </c>
      <c r="AJ4858">
        <v>3.13</v>
      </c>
      <c r="AK4858">
        <v>9.25</v>
      </c>
      <c r="AL4858">
        <v>-3</v>
      </c>
      <c r="AM4858">
        <v>-0.17</v>
      </c>
      <c r="AN4858">
        <v>-29.74</v>
      </c>
      <c r="AO4858">
        <v>1.14</v>
      </c>
      <c r="AP4858">
        <v>-14.33</v>
      </c>
    </row>
    <row r="4859" spans="1:42">
      <c r="A4859">
        <v>4858</v>
      </c>
      <c r="B4859" t="str">
        <f>"002482"</f>
        <v>002482</v>
      </c>
      <c r="C4859" t="s">
        <v>22042</v>
      </c>
      <c r="D4859">
        <v>2.31</v>
      </c>
      <c r="E4859">
        <v>2.21</v>
      </c>
      <c r="F4859">
        <v>0.05</v>
      </c>
      <c r="G4859" t="s">
        <v>6891</v>
      </c>
      <c r="H4859">
        <v>1318</v>
      </c>
      <c r="I4859">
        <v>2.3</v>
      </c>
      <c r="J4859">
        <v>2.31</v>
      </c>
      <c r="K4859" t="s">
        <v>22043</v>
      </c>
      <c r="L4859">
        <v>0.53</v>
      </c>
      <c r="M4859" t="s">
        <v>46</v>
      </c>
      <c r="N4859" t="s">
        <v>16241</v>
      </c>
      <c r="O4859">
        <v>2.32</v>
      </c>
      <c r="P4859">
        <v>2.26</v>
      </c>
      <c r="Q4859">
        <v>2.28</v>
      </c>
      <c r="R4859">
        <v>2.26</v>
      </c>
      <c r="S4859">
        <v>2.65</v>
      </c>
      <c r="T4859">
        <v>0.54</v>
      </c>
      <c r="U4859">
        <v>-20.98</v>
      </c>
      <c r="V4859">
        <v>-8306</v>
      </c>
      <c r="W4859">
        <v>2.3</v>
      </c>
      <c r="X4859" t="s">
        <v>1687</v>
      </c>
      <c r="Y4859" t="s">
        <v>7817</v>
      </c>
      <c r="Z4859">
        <v>0.7</v>
      </c>
      <c r="AA4859">
        <v>7589</v>
      </c>
      <c r="AB4859">
        <v>7789</v>
      </c>
      <c r="AC4859">
        <v>-0.63</v>
      </c>
      <c r="AD4859" t="s">
        <v>14170</v>
      </c>
      <c r="AE4859" t="s">
        <v>22044</v>
      </c>
      <c r="AF4859" t="s">
        <v>13607</v>
      </c>
      <c r="AG4859" t="s">
        <v>18526</v>
      </c>
      <c r="AH4859">
        <v>-2.12</v>
      </c>
      <c r="AI4859">
        <v>-0.43</v>
      </c>
      <c r="AJ4859">
        <v>2.13</v>
      </c>
      <c r="AK4859">
        <v>5.47</v>
      </c>
      <c r="AL4859">
        <v>1</v>
      </c>
      <c r="AM4859">
        <v>2.21</v>
      </c>
      <c r="AN4859">
        <v>26.92</v>
      </c>
      <c r="AO4859">
        <v>5</v>
      </c>
      <c r="AP4859">
        <v>20.94</v>
      </c>
    </row>
    <row r="4860" spans="1:42">
      <c r="A4860">
        <v>4859</v>
      </c>
      <c r="B4860" t="str">
        <f>"603709"</f>
        <v>603709</v>
      </c>
      <c r="C4860" t="s">
        <v>22045</v>
      </c>
      <c r="D4860">
        <v>17.86</v>
      </c>
      <c r="E4860">
        <v>-0.33</v>
      </c>
      <c r="F4860">
        <v>-0.06</v>
      </c>
      <c r="G4860" t="s">
        <v>1154</v>
      </c>
      <c r="H4860">
        <v>153</v>
      </c>
      <c r="I4860">
        <v>17.86</v>
      </c>
      <c r="J4860">
        <v>17.94</v>
      </c>
      <c r="K4860" t="s">
        <v>22046</v>
      </c>
      <c r="L4860">
        <v>1.07</v>
      </c>
      <c r="M4860" t="s">
        <v>46</v>
      </c>
      <c r="N4860" t="s">
        <v>22047</v>
      </c>
      <c r="O4860">
        <v>18.19</v>
      </c>
      <c r="P4860">
        <v>17.76</v>
      </c>
      <c r="Q4860">
        <v>17.97</v>
      </c>
      <c r="R4860">
        <v>17.92</v>
      </c>
      <c r="S4860">
        <v>2.4</v>
      </c>
      <c r="T4860">
        <v>0.7</v>
      </c>
      <c r="U4860">
        <v>25.68</v>
      </c>
      <c r="V4860">
        <v>38</v>
      </c>
      <c r="W4860">
        <v>18.01</v>
      </c>
      <c r="X4860">
        <v>3927</v>
      </c>
      <c r="Y4860">
        <v>6378</v>
      </c>
      <c r="Z4860">
        <v>0.62</v>
      </c>
      <c r="AA4860">
        <v>15</v>
      </c>
      <c r="AB4860">
        <v>10</v>
      </c>
      <c r="AC4860">
        <v>2.85</v>
      </c>
      <c r="AD4860" t="s">
        <v>4315</v>
      </c>
      <c r="AE4860" t="s">
        <v>11393</v>
      </c>
      <c r="AF4860" t="s">
        <v>4315</v>
      </c>
      <c r="AG4860" t="s">
        <v>11393</v>
      </c>
      <c r="AH4860">
        <v>-0.78</v>
      </c>
      <c r="AI4860">
        <v>-1</v>
      </c>
      <c r="AJ4860">
        <v>4.32</v>
      </c>
      <c r="AK4860">
        <v>8.73</v>
      </c>
      <c r="AL4860">
        <v>-2</v>
      </c>
      <c r="AM4860">
        <v>-0.33</v>
      </c>
      <c r="AN4860">
        <v>39.86</v>
      </c>
      <c r="AO4860">
        <v>1.88</v>
      </c>
      <c r="AP4860">
        <v>29.23</v>
      </c>
    </row>
    <row r="4861" spans="1:42">
      <c r="A4861">
        <v>4860</v>
      </c>
      <c r="B4861" t="str">
        <f>"000619"</f>
        <v>000619</v>
      </c>
      <c r="C4861" t="s">
        <v>22048</v>
      </c>
      <c r="D4861">
        <v>6.45</v>
      </c>
      <c r="E4861">
        <v>0.47</v>
      </c>
      <c r="F4861">
        <v>0.03</v>
      </c>
      <c r="G4861" t="s">
        <v>2727</v>
      </c>
      <c r="H4861">
        <v>253</v>
      </c>
      <c r="I4861">
        <v>6.45</v>
      </c>
      <c r="J4861">
        <v>6.46</v>
      </c>
      <c r="K4861" t="s">
        <v>22046</v>
      </c>
      <c r="L4861">
        <v>0.8</v>
      </c>
      <c r="M4861" t="s">
        <v>46</v>
      </c>
      <c r="N4861" t="s">
        <v>5419</v>
      </c>
      <c r="O4861">
        <v>6.48</v>
      </c>
      <c r="P4861">
        <v>6.37</v>
      </c>
      <c r="Q4861">
        <v>6.42</v>
      </c>
      <c r="R4861">
        <v>6.42</v>
      </c>
      <c r="S4861">
        <v>1.71</v>
      </c>
      <c r="T4861">
        <v>0.86</v>
      </c>
      <c r="U4861">
        <v>-32.78</v>
      </c>
      <c r="V4861">
        <v>-1258</v>
      </c>
      <c r="W4861">
        <v>6.44</v>
      </c>
      <c r="X4861" t="s">
        <v>1083</v>
      </c>
      <c r="Y4861" t="s">
        <v>2111</v>
      </c>
      <c r="Z4861">
        <v>0.69</v>
      </c>
      <c r="AA4861">
        <v>211</v>
      </c>
      <c r="AB4861">
        <v>243</v>
      </c>
      <c r="AC4861">
        <v>1.05</v>
      </c>
      <c r="AD4861" t="s">
        <v>11740</v>
      </c>
      <c r="AE4861" t="s">
        <v>11741</v>
      </c>
      <c r="AF4861" t="s">
        <v>11740</v>
      </c>
      <c r="AG4861" t="s">
        <v>11741</v>
      </c>
      <c r="AH4861">
        <v>-0.77</v>
      </c>
      <c r="AI4861">
        <v>-0.31</v>
      </c>
      <c r="AJ4861">
        <v>2.4</v>
      </c>
      <c r="AK4861">
        <v>5.44</v>
      </c>
      <c r="AL4861">
        <v>1</v>
      </c>
      <c r="AM4861">
        <v>0.47</v>
      </c>
      <c r="AN4861">
        <v>1.74</v>
      </c>
      <c r="AO4861">
        <v>2.87</v>
      </c>
      <c r="AP4861">
        <v>-3.59</v>
      </c>
    </row>
    <row r="4862" spans="1:42">
      <c r="A4862">
        <v>4861</v>
      </c>
      <c r="B4862" t="str">
        <f>"002731"</f>
        <v>002731</v>
      </c>
      <c r="C4862" t="s">
        <v>22049</v>
      </c>
      <c r="D4862">
        <v>11.27</v>
      </c>
      <c r="E4862">
        <v>0.71</v>
      </c>
      <c r="F4862">
        <v>0.08</v>
      </c>
      <c r="G4862" t="s">
        <v>1692</v>
      </c>
      <c r="H4862">
        <v>242</v>
      </c>
      <c r="I4862">
        <v>11.27</v>
      </c>
      <c r="J4862">
        <v>11.28</v>
      </c>
      <c r="K4862" t="s">
        <v>22050</v>
      </c>
      <c r="L4862">
        <v>0.68</v>
      </c>
      <c r="M4862" t="s">
        <v>46</v>
      </c>
      <c r="N4862" t="s">
        <v>7832</v>
      </c>
      <c r="O4862">
        <v>11.32</v>
      </c>
      <c r="P4862">
        <v>11.16</v>
      </c>
      <c r="Q4862">
        <v>11.18</v>
      </c>
      <c r="R4862">
        <v>11.19</v>
      </c>
      <c r="S4862">
        <v>1.43</v>
      </c>
      <c r="T4862">
        <v>0.71</v>
      </c>
      <c r="U4862">
        <v>-43.15</v>
      </c>
      <c r="V4862">
        <v>-545</v>
      </c>
      <c r="W4862">
        <v>11.26</v>
      </c>
      <c r="X4862">
        <v>7333</v>
      </c>
      <c r="Y4862">
        <v>9116</v>
      </c>
      <c r="Z4862">
        <v>0.8</v>
      </c>
      <c r="AA4862">
        <v>12</v>
      </c>
      <c r="AB4862">
        <v>54</v>
      </c>
      <c r="AC4862">
        <v>2.02</v>
      </c>
      <c r="AD4862" t="s">
        <v>22051</v>
      </c>
      <c r="AE4862" t="s">
        <v>22052</v>
      </c>
      <c r="AF4862" t="s">
        <v>19276</v>
      </c>
      <c r="AG4862" t="s">
        <v>9506</v>
      </c>
      <c r="AH4862">
        <v>0.45</v>
      </c>
      <c r="AI4862">
        <v>-0.88</v>
      </c>
      <c r="AJ4862">
        <v>2.13</v>
      </c>
      <c r="AK4862">
        <v>5.45</v>
      </c>
      <c r="AL4862">
        <v>1</v>
      </c>
      <c r="AM4862">
        <v>0.71</v>
      </c>
      <c r="AN4862">
        <v>-28.54</v>
      </c>
      <c r="AO4862">
        <v>1.81</v>
      </c>
      <c r="AP4862">
        <v>-32.84</v>
      </c>
    </row>
    <row r="4863" spans="1:42">
      <c r="A4863">
        <v>4862</v>
      </c>
      <c r="B4863" t="str">
        <f>"002996"</f>
        <v>002996</v>
      </c>
      <c r="C4863" t="s">
        <v>22053</v>
      </c>
      <c r="D4863">
        <v>11.32</v>
      </c>
      <c r="E4863">
        <v>-0.79</v>
      </c>
      <c r="F4863">
        <v>-0.09</v>
      </c>
      <c r="G4863" t="s">
        <v>4943</v>
      </c>
      <c r="H4863">
        <v>240</v>
      </c>
      <c r="I4863">
        <v>11.31</v>
      </c>
      <c r="J4863">
        <v>11.32</v>
      </c>
      <c r="K4863" t="s">
        <v>20017</v>
      </c>
      <c r="L4863">
        <v>0.64</v>
      </c>
      <c r="M4863" t="s">
        <v>46</v>
      </c>
      <c r="N4863" t="s">
        <v>12930</v>
      </c>
      <c r="O4863">
        <v>11.44</v>
      </c>
      <c r="P4863">
        <v>11.24</v>
      </c>
      <c r="Q4863">
        <v>11.42</v>
      </c>
      <c r="R4863">
        <v>11.41</v>
      </c>
      <c r="S4863">
        <v>1.75</v>
      </c>
      <c r="T4863">
        <v>0.77</v>
      </c>
      <c r="U4863">
        <v>-54.76</v>
      </c>
      <c r="V4863">
        <v>-518</v>
      </c>
      <c r="W4863">
        <v>11.32</v>
      </c>
      <c r="X4863">
        <v>9819</v>
      </c>
      <c r="Y4863">
        <v>6505</v>
      </c>
      <c r="Z4863">
        <v>1.51</v>
      </c>
      <c r="AA4863">
        <v>27</v>
      </c>
      <c r="AB4863">
        <v>17</v>
      </c>
      <c r="AC4863">
        <v>2.06</v>
      </c>
      <c r="AD4863" t="s">
        <v>7059</v>
      </c>
      <c r="AE4863" t="s">
        <v>22054</v>
      </c>
      <c r="AF4863" t="s">
        <v>21967</v>
      </c>
      <c r="AG4863" t="s">
        <v>22055</v>
      </c>
      <c r="AH4863">
        <v>-2.25</v>
      </c>
      <c r="AI4863">
        <v>-1.65</v>
      </c>
      <c r="AJ4863">
        <v>2.45</v>
      </c>
      <c r="AK4863">
        <v>4.76</v>
      </c>
      <c r="AL4863">
        <v>-2</v>
      </c>
      <c r="AM4863">
        <v>-0.79</v>
      </c>
      <c r="AN4863">
        <v>-12.79</v>
      </c>
      <c r="AO4863">
        <v>0.09</v>
      </c>
      <c r="AP4863">
        <v>-16.76</v>
      </c>
    </row>
    <row r="4864" spans="1:42">
      <c r="A4864">
        <v>4863</v>
      </c>
      <c r="B4864" t="str">
        <f>"834475"</f>
        <v>834475</v>
      </c>
      <c r="C4864" t="s">
        <v>22056</v>
      </c>
      <c r="D4864">
        <v>8.01</v>
      </c>
      <c r="E4864">
        <v>-6.64</v>
      </c>
      <c r="F4864">
        <v>-0.57</v>
      </c>
      <c r="G4864" t="s">
        <v>1212</v>
      </c>
      <c r="H4864">
        <v>247</v>
      </c>
      <c r="I4864">
        <v>8.01</v>
      </c>
      <c r="J4864">
        <v>8.02</v>
      </c>
      <c r="K4864" t="s">
        <v>20017</v>
      </c>
      <c r="L4864">
        <v>4.94</v>
      </c>
      <c r="M4864" t="s">
        <v>46</v>
      </c>
      <c r="N4864" t="s">
        <v>3266</v>
      </c>
      <c r="O4864">
        <v>8.72</v>
      </c>
      <c r="P4864">
        <v>8</v>
      </c>
      <c r="Q4864">
        <v>8.68</v>
      </c>
      <c r="R4864">
        <v>8.58</v>
      </c>
      <c r="S4864">
        <v>8.39</v>
      </c>
      <c r="T4864">
        <v>0.4</v>
      </c>
      <c r="U4864">
        <v>-30.73</v>
      </c>
      <c r="V4864">
        <v>-209</v>
      </c>
      <c r="W4864">
        <v>8.22</v>
      </c>
      <c r="X4864" t="s">
        <v>383</v>
      </c>
      <c r="Y4864">
        <v>9158</v>
      </c>
      <c r="Z4864">
        <v>1.46</v>
      </c>
      <c r="AA4864">
        <v>40</v>
      </c>
      <c r="AB4864">
        <v>73</v>
      </c>
      <c r="AC4864">
        <v>2.28</v>
      </c>
      <c r="AD4864" t="s">
        <v>9559</v>
      </c>
      <c r="AE4864" t="s">
        <v>22057</v>
      </c>
      <c r="AF4864" t="s">
        <v>22058</v>
      </c>
      <c r="AG4864" t="s">
        <v>22059</v>
      </c>
      <c r="AH4864">
        <v>-22.46</v>
      </c>
      <c r="AI4864">
        <v>-17.93</v>
      </c>
      <c r="AJ4864">
        <v>17.69</v>
      </c>
      <c r="AK4864">
        <v>66.15</v>
      </c>
      <c r="AL4864">
        <v>-4</v>
      </c>
      <c r="AM4864">
        <v>-6.64</v>
      </c>
      <c r="AN4864">
        <v>24.19</v>
      </c>
      <c r="AO4864">
        <v>34.17</v>
      </c>
      <c r="AP4864">
        <v>26.14</v>
      </c>
    </row>
    <row r="4865" spans="1:42">
      <c r="A4865">
        <v>4864</v>
      </c>
      <c r="B4865" t="str">
        <f>"300422"</f>
        <v>300422</v>
      </c>
      <c r="C4865" t="s">
        <v>22060</v>
      </c>
      <c r="D4865">
        <v>6.22</v>
      </c>
      <c r="E4865">
        <v>0</v>
      </c>
      <c r="F4865">
        <v>0</v>
      </c>
      <c r="G4865" t="s">
        <v>7389</v>
      </c>
      <c r="H4865">
        <v>470</v>
      </c>
      <c r="I4865">
        <v>6.21</v>
      </c>
      <c r="J4865">
        <v>6.22</v>
      </c>
      <c r="K4865" t="s">
        <v>22061</v>
      </c>
      <c r="L4865">
        <v>0.76</v>
      </c>
      <c r="M4865" t="s">
        <v>46</v>
      </c>
      <c r="N4865" t="s">
        <v>1907</v>
      </c>
      <c r="O4865">
        <v>6.26</v>
      </c>
      <c r="P4865">
        <v>6.18</v>
      </c>
      <c r="Q4865">
        <v>6.22</v>
      </c>
      <c r="R4865">
        <v>6.22</v>
      </c>
      <c r="S4865">
        <v>1.29</v>
      </c>
      <c r="T4865">
        <v>0.79</v>
      </c>
      <c r="U4865">
        <v>4.15</v>
      </c>
      <c r="V4865">
        <v>94</v>
      </c>
      <c r="W4865">
        <v>6.23</v>
      </c>
      <c r="X4865" t="s">
        <v>6212</v>
      </c>
      <c r="Y4865" t="s">
        <v>2111</v>
      </c>
      <c r="Z4865">
        <v>0.74</v>
      </c>
      <c r="AA4865">
        <v>258</v>
      </c>
      <c r="AB4865">
        <v>101</v>
      </c>
      <c r="AC4865">
        <v>1.45</v>
      </c>
      <c r="AD4865" t="s">
        <v>11464</v>
      </c>
      <c r="AE4865" t="s">
        <v>772</v>
      </c>
      <c r="AF4865" t="s">
        <v>19160</v>
      </c>
      <c r="AG4865" t="s">
        <v>20566</v>
      </c>
      <c r="AH4865">
        <v>-1.11</v>
      </c>
      <c r="AI4865">
        <v>-1.58</v>
      </c>
      <c r="AJ4865">
        <v>2.36</v>
      </c>
      <c r="AK4865">
        <v>5.62</v>
      </c>
      <c r="AL4865">
        <v>0</v>
      </c>
      <c r="AM4865">
        <v>0</v>
      </c>
      <c r="AN4865">
        <v>7.06</v>
      </c>
      <c r="AO4865">
        <v>2.64</v>
      </c>
      <c r="AP4865">
        <v>3.84</v>
      </c>
    </row>
    <row r="4866" spans="1:42">
      <c r="A4866">
        <v>4865</v>
      </c>
      <c r="B4866" t="str">
        <f>"688101"</f>
        <v>688101</v>
      </c>
      <c r="C4866" t="s">
        <v>22062</v>
      </c>
      <c r="D4866">
        <v>13.94</v>
      </c>
      <c r="E4866">
        <v>0.58</v>
      </c>
      <c r="F4866">
        <v>0.08</v>
      </c>
      <c r="G4866" t="s">
        <v>383</v>
      </c>
      <c r="H4866">
        <v>122</v>
      </c>
      <c r="I4866">
        <v>13.94</v>
      </c>
      <c r="J4866">
        <v>13.95</v>
      </c>
      <c r="K4866" t="s">
        <v>20639</v>
      </c>
      <c r="L4866">
        <v>0.4</v>
      </c>
      <c r="M4866" t="s">
        <v>46</v>
      </c>
      <c r="N4866" t="s">
        <v>22063</v>
      </c>
      <c r="O4866">
        <v>13.99</v>
      </c>
      <c r="P4866">
        <v>13.8</v>
      </c>
      <c r="Q4866">
        <v>13.88</v>
      </c>
      <c r="R4866">
        <v>13.86</v>
      </c>
      <c r="S4866">
        <v>1.37</v>
      </c>
      <c r="T4866">
        <v>0.72</v>
      </c>
      <c r="U4866">
        <v>-20.64</v>
      </c>
      <c r="V4866">
        <v>-105</v>
      </c>
      <c r="W4866">
        <v>13.9</v>
      </c>
      <c r="X4866">
        <v>6508</v>
      </c>
      <c r="Y4866">
        <v>6774</v>
      </c>
      <c r="Z4866">
        <v>0.96</v>
      </c>
      <c r="AA4866">
        <v>46</v>
      </c>
      <c r="AB4866">
        <v>8</v>
      </c>
      <c r="AC4866">
        <v>1.25</v>
      </c>
      <c r="AD4866" t="s">
        <v>22064</v>
      </c>
      <c r="AE4866" t="s">
        <v>8406</v>
      </c>
      <c r="AF4866" t="s">
        <v>22064</v>
      </c>
      <c r="AG4866" t="s">
        <v>8406</v>
      </c>
      <c r="AH4866">
        <v>-1.06</v>
      </c>
      <c r="AI4866">
        <v>-3.06</v>
      </c>
      <c r="AJ4866">
        <v>1.32</v>
      </c>
      <c r="AK4866">
        <v>3.18</v>
      </c>
      <c r="AL4866">
        <v>1</v>
      </c>
      <c r="AM4866">
        <v>0.58</v>
      </c>
      <c r="AN4866">
        <v>7.81</v>
      </c>
      <c r="AO4866">
        <v>4.34</v>
      </c>
      <c r="AP4866">
        <v>-3.13</v>
      </c>
    </row>
    <row r="4867" spans="1:42">
      <c r="A4867">
        <v>4866</v>
      </c>
      <c r="B4867" t="str">
        <f>"300209"</f>
        <v>300209</v>
      </c>
      <c r="C4867" t="s">
        <v>22065</v>
      </c>
      <c r="D4867">
        <v>3.02</v>
      </c>
      <c r="E4867">
        <v>1.68</v>
      </c>
      <c r="F4867">
        <v>0.05</v>
      </c>
      <c r="G4867" t="s">
        <v>4517</v>
      </c>
      <c r="H4867">
        <v>1177</v>
      </c>
      <c r="I4867">
        <v>3.01</v>
      </c>
      <c r="J4867">
        <v>3.02</v>
      </c>
      <c r="K4867" t="s">
        <v>22066</v>
      </c>
      <c r="L4867">
        <v>1.56</v>
      </c>
      <c r="M4867" t="s">
        <v>46</v>
      </c>
      <c r="N4867" t="s">
        <v>4207</v>
      </c>
      <c r="O4867">
        <v>3.02</v>
      </c>
      <c r="P4867">
        <v>2.96</v>
      </c>
      <c r="Q4867">
        <v>2.97</v>
      </c>
      <c r="R4867">
        <v>2.97</v>
      </c>
      <c r="S4867">
        <v>2.02</v>
      </c>
      <c r="T4867">
        <v>0.79</v>
      </c>
      <c r="U4867">
        <v>-1.56</v>
      </c>
      <c r="V4867">
        <v>-168</v>
      </c>
      <c r="W4867">
        <v>3</v>
      </c>
      <c r="X4867" t="s">
        <v>6581</v>
      </c>
      <c r="Y4867" t="s">
        <v>7679</v>
      </c>
      <c r="Z4867">
        <v>0.87</v>
      </c>
      <c r="AA4867">
        <v>493</v>
      </c>
      <c r="AB4867">
        <v>2207</v>
      </c>
      <c r="AC4867">
        <v>-26.62</v>
      </c>
      <c r="AD4867" t="s">
        <v>22067</v>
      </c>
      <c r="AE4867" t="s">
        <v>695</v>
      </c>
      <c r="AF4867" t="s">
        <v>22068</v>
      </c>
      <c r="AG4867" t="s">
        <v>7275</v>
      </c>
      <c r="AH4867">
        <v>-1.31</v>
      </c>
      <c r="AI4867">
        <v>-4.13</v>
      </c>
      <c r="AJ4867">
        <v>5.04</v>
      </c>
      <c r="AK4867">
        <v>11.44</v>
      </c>
      <c r="AL4867">
        <v>1</v>
      </c>
      <c r="AM4867">
        <v>1.68</v>
      </c>
      <c r="AN4867">
        <v>-44.07</v>
      </c>
      <c r="AO4867">
        <v>-2.27</v>
      </c>
      <c r="AP4867">
        <v>-53.82</v>
      </c>
    </row>
    <row r="4868" spans="1:42">
      <c r="A4868">
        <v>4867</v>
      </c>
      <c r="B4868" t="str">
        <f>"603600"</f>
        <v>603600</v>
      </c>
      <c r="C4868" t="s">
        <v>22069</v>
      </c>
      <c r="D4868">
        <v>10</v>
      </c>
      <c r="E4868">
        <v>0.1</v>
      </c>
      <c r="F4868">
        <v>0.01</v>
      </c>
      <c r="G4868" t="s">
        <v>6012</v>
      </c>
      <c r="H4868">
        <v>132</v>
      </c>
      <c r="I4868">
        <v>10</v>
      </c>
      <c r="J4868">
        <v>10.01</v>
      </c>
      <c r="K4868" t="s">
        <v>22070</v>
      </c>
      <c r="L4868">
        <v>0.61</v>
      </c>
      <c r="M4868" t="s">
        <v>46</v>
      </c>
      <c r="N4868" t="s">
        <v>12941</v>
      </c>
      <c r="O4868">
        <v>10.1</v>
      </c>
      <c r="P4868">
        <v>9.92</v>
      </c>
      <c r="Q4868">
        <v>10.01</v>
      </c>
      <c r="R4868">
        <v>9.99</v>
      </c>
      <c r="S4868">
        <v>1.8</v>
      </c>
      <c r="T4868">
        <v>0.7</v>
      </c>
      <c r="U4868">
        <v>34.62</v>
      </c>
      <c r="V4868">
        <v>414</v>
      </c>
      <c r="W4868">
        <v>10.02</v>
      </c>
      <c r="X4868">
        <v>8825</v>
      </c>
      <c r="Y4868">
        <v>9536</v>
      </c>
      <c r="Z4868">
        <v>0.93</v>
      </c>
      <c r="AA4868">
        <v>37</v>
      </c>
      <c r="AB4868">
        <v>105</v>
      </c>
      <c r="AC4868">
        <v>1.61</v>
      </c>
      <c r="AD4868" t="s">
        <v>22071</v>
      </c>
      <c r="AE4868" t="s">
        <v>2199</v>
      </c>
      <c r="AF4868" t="s">
        <v>22072</v>
      </c>
      <c r="AG4868" t="s">
        <v>7122</v>
      </c>
      <c r="AH4868">
        <v>-0.7</v>
      </c>
      <c r="AI4868">
        <v>0</v>
      </c>
      <c r="AJ4868">
        <v>1.91</v>
      </c>
      <c r="AK4868">
        <v>4.96</v>
      </c>
      <c r="AL4868">
        <v>1</v>
      </c>
      <c r="AM4868">
        <v>0.1</v>
      </c>
      <c r="AN4868">
        <v>6.38</v>
      </c>
      <c r="AO4868">
        <v>7.76</v>
      </c>
      <c r="AP4868">
        <v>-2.82</v>
      </c>
    </row>
    <row r="4869" spans="1:42">
      <c r="A4869">
        <v>4868</v>
      </c>
      <c r="B4869" t="str">
        <f>"003030"</f>
        <v>003030</v>
      </c>
      <c r="C4869" t="s">
        <v>22073</v>
      </c>
      <c r="D4869">
        <v>22.91</v>
      </c>
      <c r="E4869">
        <v>0.26</v>
      </c>
      <c r="F4869">
        <v>0.06</v>
      </c>
      <c r="G4869">
        <v>7974</v>
      </c>
      <c r="H4869">
        <v>41</v>
      </c>
      <c r="I4869">
        <v>22.91</v>
      </c>
      <c r="J4869">
        <v>22.96</v>
      </c>
      <c r="K4869" t="s">
        <v>22074</v>
      </c>
      <c r="L4869">
        <v>1.58</v>
      </c>
      <c r="M4869" t="s">
        <v>46</v>
      </c>
      <c r="N4869" t="s">
        <v>5944</v>
      </c>
      <c r="O4869">
        <v>23.24</v>
      </c>
      <c r="P4869">
        <v>22.85</v>
      </c>
      <c r="Q4869">
        <v>22.9</v>
      </c>
      <c r="R4869">
        <v>22.85</v>
      </c>
      <c r="S4869">
        <v>1.71</v>
      </c>
      <c r="T4869">
        <v>1.5</v>
      </c>
      <c r="U4869">
        <v>34.72</v>
      </c>
      <c r="V4869">
        <v>50</v>
      </c>
      <c r="W4869">
        <v>23.05</v>
      </c>
      <c r="X4869">
        <v>4142</v>
      </c>
      <c r="Y4869">
        <v>3832</v>
      </c>
      <c r="Z4869">
        <v>1.08</v>
      </c>
      <c r="AA4869">
        <v>24</v>
      </c>
      <c r="AB4869">
        <v>8</v>
      </c>
      <c r="AC4869">
        <v>2.73</v>
      </c>
      <c r="AD4869" t="s">
        <v>4377</v>
      </c>
      <c r="AE4869" t="s">
        <v>11635</v>
      </c>
      <c r="AF4869" t="s">
        <v>16009</v>
      </c>
      <c r="AG4869" t="s">
        <v>5330</v>
      </c>
      <c r="AH4869">
        <v>0.31</v>
      </c>
      <c r="AI4869">
        <v>1.6</v>
      </c>
      <c r="AJ4869">
        <v>3.32</v>
      </c>
      <c r="AK4869">
        <v>6.88</v>
      </c>
      <c r="AL4869">
        <v>1</v>
      </c>
      <c r="AM4869">
        <v>0.26</v>
      </c>
      <c r="AN4869">
        <v>-20.92</v>
      </c>
      <c r="AO4869">
        <v>4.61</v>
      </c>
      <c r="AP4869">
        <v>-13.9</v>
      </c>
    </row>
    <row r="4870" spans="1:42">
      <c r="A4870">
        <v>4869</v>
      </c>
      <c r="B4870" t="str">
        <f>"000755"</f>
        <v>000755</v>
      </c>
      <c r="C4870" t="s">
        <v>22075</v>
      </c>
      <c r="D4870">
        <v>4.69</v>
      </c>
      <c r="E4870">
        <v>0.64</v>
      </c>
      <c r="F4870">
        <v>0.03</v>
      </c>
      <c r="G4870" t="s">
        <v>6645</v>
      </c>
      <c r="H4870">
        <v>632</v>
      </c>
      <c r="I4870">
        <v>4.68</v>
      </c>
      <c r="J4870">
        <v>4.69</v>
      </c>
      <c r="K4870" t="s">
        <v>22074</v>
      </c>
      <c r="L4870">
        <v>0.64</v>
      </c>
      <c r="M4870" t="s">
        <v>46</v>
      </c>
      <c r="N4870" t="s">
        <v>5397</v>
      </c>
      <c r="O4870">
        <v>4.71</v>
      </c>
      <c r="P4870">
        <v>4.65</v>
      </c>
      <c r="Q4870">
        <v>4.68</v>
      </c>
      <c r="R4870">
        <v>4.66</v>
      </c>
      <c r="S4870">
        <v>1.29</v>
      </c>
      <c r="T4870">
        <v>1.02</v>
      </c>
      <c r="U4870">
        <v>-51.71</v>
      </c>
      <c r="V4870">
        <v>-7909</v>
      </c>
      <c r="W4870">
        <v>4.69</v>
      </c>
      <c r="X4870" t="s">
        <v>1255</v>
      </c>
      <c r="Y4870" t="s">
        <v>3116</v>
      </c>
      <c r="Z4870">
        <v>0.84</v>
      </c>
      <c r="AA4870">
        <v>856</v>
      </c>
      <c r="AB4870">
        <v>265</v>
      </c>
      <c r="AC4870">
        <v>1.4</v>
      </c>
      <c r="AD4870" t="s">
        <v>7790</v>
      </c>
      <c r="AE4870" t="s">
        <v>21022</v>
      </c>
      <c r="AF4870" t="s">
        <v>22076</v>
      </c>
      <c r="AG4870" t="s">
        <v>14469</v>
      </c>
      <c r="AH4870">
        <v>0</v>
      </c>
      <c r="AI4870">
        <v>0.21</v>
      </c>
      <c r="AJ4870">
        <v>1.77</v>
      </c>
      <c r="AK4870">
        <v>3.8</v>
      </c>
      <c r="AL4870">
        <v>1</v>
      </c>
      <c r="AM4870">
        <v>0.64</v>
      </c>
      <c r="AN4870">
        <v>-13.31</v>
      </c>
      <c r="AO4870">
        <v>2.63</v>
      </c>
      <c r="AP4870">
        <v>-9.46</v>
      </c>
    </row>
    <row r="4871" spans="1:42">
      <c r="A4871">
        <v>4870</v>
      </c>
      <c r="B4871" t="str">
        <f>"301068"</f>
        <v>301068</v>
      </c>
      <c r="C4871" t="s">
        <v>22077</v>
      </c>
      <c r="D4871">
        <v>28.65</v>
      </c>
      <c r="E4871">
        <v>-2.39</v>
      </c>
      <c r="F4871">
        <v>-0.7</v>
      </c>
      <c r="G4871">
        <v>6401</v>
      </c>
      <c r="H4871">
        <v>157</v>
      </c>
      <c r="I4871">
        <v>28.65</v>
      </c>
      <c r="J4871">
        <v>28.7</v>
      </c>
      <c r="K4871" t="s">
        <v>22078</v>
      </c>
      <c r="L4871">
        <v>1.61</v>
      </c>
      <c r="M4871" t="s">
        <v>46</v>
      </c>
      <c r="N4871" t="s">
        <v>22079</v>
      </c>
      <c r="O4871">
        <v>29.23</v>
      </c>
      <c r="P4871">
        <v>28.05</v>
      </c>
      <c r="Q4871">
        <v>29.21</v>
      </c>
      <c r="R4871">
        <v>29.35</v>
      </c>
      <c r="S4871">
        <v>4.02</v>
      </c>
      <c r="T4871">
        <v>1.33</v>
      </c>
      <c r="U4871">
        <v>-7.94</v>
      </c>
      <c r="V4871">
        <v>-5</v>
      </c>
      <c r="W4871">
        <v>28.7</v>
      </c>
      <c r="X4871">
        <v>2700</v>
      </c>
      <c r="Y4871">
        <v>3701</v>
      </c>
      <c r="Z4871">
        <v>0.73</v>
      </c>
      <c r="AA4871">
        <v>7</v>
      </c>
      <c r="AB4871">
        <v>1</v>
      </c>
      <c r="AC4871">
        <v>2.99</v>
      </c>
      <c r="AD4871" t="s">
        <v>9437</v>
      </c>
      <c r="AE4871" t="s">
        <v>18961</v>
      </c>
      <c r="AF4871" t="s">
        <v>22080</v>
      </c>
      <c r="AG4871" t="s">
        <v>15038</v>
      </c>
      <c r="AH4871">
        <v>-4.98</v>
      </c>
      <c r="AI4871">
        <v>-3.92</v>
      </c>
      <c r="AJ4871">
        <v>3.97</v>
      </c>
      <c r="AK4871">
        <v>7.7</v>
      </c>
      <c r="AL4871">
        <v>-3</v>
      </c>
      <c r="AM4871">
        <v>-2.39</v>
      </c>
      <c r="AN4871">
        <v>17.61</v>
      </c>
      <c r="AO4871">
        <v>2.61</v>
      </c>
      <c r="AP4871">
        <v>0.92</v>
      </c>
    </row>
    <row r="4872" spans="1:42">
      <c r="A4872">
        <v>4871</v>
      </c>
      <c r="B4872" t="str">
        <f>"301295"</f>
        <v>301295</v>
      </c>
      <c r="C4872" t="s">
        <v>22081</v>
      </c>
      <c r="D4872">
        <v>34.25</v>
      </c>
      <c r="E4872">
        <v>-0.03</v>
      </c>
      <c r="F4872">
        <v>-0.01</v>
      </c>
      <c r="G4872">
        <v>5393</v>
      </c>
      <c r="H4872">
        <v>160</v>
      </c>
      <c r="I4872">
        <v>34.2</v>
      </c>
      <c r="J4872">
        <v>34.25</v>
      </c>
      <c r="K4872" t="s">
        <v>22078</v>
      </c>
      <c r="L4872">
        <v>3.16</v>
      </c>
      <c r="M4872" t="s">
        <v>46</v>
      </c>
      <c r="N4872" t="s">
        <v>3575</v>
      </c>
      <c r="O4872">
        <v>34.38</v>
      </c>
      <c r="P4872">
        <v>33.76</v>
      </c>
      <c r="Q4872">
        <v>34.16</v>
      </c>
      <c r="R4872">
        <v>34.26</v>
      </c>
      <c r="S4872">
        <v>1.81</v>
      </c>
      <c r="T4872">
        <v>0.8</v>
      </c>
      <c r="U4872">
        <v>20.47</v>
      </c>
      <c r="V4872">
        <v>35</v>
      </c>
      <c r="W4872">
        <v>34.05</v>
      </c>
      <c r="X4872">
        <v>2583</v>
      </c>
      <c r="Y4872">
        <v>2811</v>
      </c>
      <c r="Z4872">
        <v>0.92</v>
      </c>
      <c r="AA4872">
        <v>11</v>
      </c>
      <c r="AB4872">
        <v>49</v>
      </c>
      <c r="AC4872">
        <v>2.57</v>
      </c>
      <c r="AD4872" t="s">
        <v>20205</v>
      </c>
      <c r="AE4872" t="s">
        <v>22082</v>
      </c>
      <c r="AF4872" t="s">
        <v>22083</v>
      </c>
      <c r="AG4872" t="s">
        <v>22084</v>
      </c>
      <c r="AH4872">
        <v>-2.59</v>
      </c>
      <c r="AI4872">
        <v>-2.37</v>
      </c>
      <c r="AJ4872">
        <v>10.27</v>
      </c>
      <c r="AK4872">
        <v>22.84</v>
      </c>
      <c r="AL4872">
        <v>-3</v>
      </c>
      <c r="AM4872">
        <v>-0.03</v>
      </c>
      <c r="AN4872">
        <v>-8.42</v>
      </c>
      <c r="AO4872">
        <v>1.03</v>
      </c>
      <c r="AP4872">
        <v>-8.42</v>
      </c>
    </row>
    <row r="4873" spans="1:42">
      <c r="A4873">
        <v>4872</v>
      </c>
      <c r="B4873" t="str">
        <f>"002672"</f>
        <v>002672</v>
      </c>
      <c r="C4873" t="s">
        <v>22085</v>
      </c>
      <c r="D4873">
        <v>5.51</v>
      </c>
      <c r="E4873">
        <v>0.18</v>
      </c>
      <c r="F4873">
        <v>0.01</v>
      </c>
      <c r="G4873" t="s">
        <v>3457</v>
      </c>
      <c r="H4873">
        <v>137</v>
      </c>
      <c r="I4873">
        <v>5.5</v>
      </c>
      <c r="J4873">
        <v>5.51</v>
      </c>
      <c r="K4873" t="s">
        <v>22086</v>
      </c>
      <c r="L4873">
        <v>0.4</v>
      </c>
      <c r="M4873" t="s">
        <v>46</v>
      </c>
      <c r="N4873" t="s">
        <v>22087</v>
      </c>
      <c r="O4873">
        <v>5.53</v>
      </c>
      <c r="P4873">
        <v>5.48</v>
      </c>
      <c r="Q4873">
        <v>5.52</v>
      </c>
      <c r="R4873">
        <v>5.5</v>
      </c>
      <c r="S4873">
        <v>0.91</v>
      </c>
      <c r="T4873">
        <v>0.8</v>
      </c>
      <c r="U4873">
        <v>31.11</v>
      </c>
      <c r="V4873">
        <v>1565</v>
      </c>
      <c r="W4873">
        <v>5.51</v>
      </c>
      <c r="X4873" t="s">
        <v>6425</v>
      </c>
      <c r="Y4873" t="s">
        <v>10542</v>
      </c>
      <c r="Z4873">
        <v>1.39</v>
      </c>
      <c r="AA4873">
        <v>66</v>
      </c>
      <c r="AB4873">
        <v>71</v>
      </c>
      <c r="AC4873">
        <v>1.24</v>
      </c>
      <c r="AD4873" t="s">
        <v>737</v>
      </c>
      <c r="AE4873" t="s">
        <v>22088</v>
      </c>
      <c r="AF4873" t="s">
        <v>22089</v>
      </c>
      <c r="AG4873" t="s">
        <v>22090</v>
      </c>
      <c r="AH4873">
        <v>-1.61</v>
      </c>
      <c r="AI4873">
        <v>-1.96</v>
      </c>
      <c r="AJ4873">
        <v>1.13</v>
      </c>
      <c r="AK4873">
        <v>2.87</v>
      </c>
      <c r="AL4873">
        <v>1</v>
      </c>
      <c r="AM4873">
        <v>0.18</v>
      </c>
      <c r="AN4873">
        <v>-2.48</v>
      </c>
      <c r="AO4873">
        <v>-1.43</v>
      </c>
      <c r="AP4873">
        <v>-9.08</v>
      </c>
    </row>
    <row r="4874" spans="1:42">
      <c r="A4874">
        <v>4873</v>
      </c>
      <c r="B4874" t="str">
        <f>"300234"</f>
        <v>300234</v>
      </c>
      <c r="C4874" t="s">
        <v>22091</v>
      </c>
      <c r="D4874">
        <v>5.47</v>
      </c>
      <c r="E4874">
        <v>1.48</v>
      </c>
      <c r="F4874">
        <v>0.08</v>
      </c>
      <c r="G4874" t="s">
        <v>4915</v>
      </c>
      <c r="H4874">
        <v>188</v>
      </c>
      <c r="I4874">
        <v>5.46</v>
      </c>
      <c r="J4874">
        <v>5.47</v>
      </c>
      <c r="K4874" t="s">
        <v>22092</v>
      </c>
      <c r="L4874">
        <v>0.98</v>
      </c>
      <c r="M4874" t="s">
        <v>46</v>
      </c>
      <c r="N4874" t="s">
        <v>4416</v>
      </c>
      <c r="O4874">
        <v>5.48</v>
      </c>
      <c r="P4874">
        <v>5.38</v>
      </c>
      <c r="Q4874">
        <v>5.41</v>
      </c>
      <c r="R4874">
        <v>5.39</v>
      </c>
      <c r="S4874">
        <v>1.86</v>
      </c>
      <c r="T4874">
        <v>0.9</v>
      </c>
      <c r="U4874">
        <v>-62.58</v>
      </c>
      <c r="V4874">
        <v>-3796</v>
      </c>
      <c r="W4874">
        <v>5.44</v>
      </c>
      <c r="X4874" t="s">
        <v>6867</v>
      </c>
      <c r="Y4874" t="s">
        <v>10934</v>
      </c>
      <c r="Z4874">
        <v>0.74</v>
      </c>
      <c r="AA4874">
        <v>231</v>
      </c>
      <c r="AB4874">
        <v>472</v>
      </c>
      <c r="AC4874">
        <v>2.48</v>
      </c>
      <c r="AD4874" t="s">
        <v>17485</v>
      </c>
      <c r="AE4874" t="s">
        <v>4001</v>
      </c>
      <c r="AF4874" t="s">
        <v>14723</v>
      </c>
      <c r="AG4874" t="s">
        <v>423</v>
      </c>
      <c r="AH4874">
        <v>-0.55</v>
      </c>
      <c r="AI4874">
        <v>-1.08</v>
      </c>
      <c r="AJ4874">
        <v>2.87</v>
      </c>
      <c r="AK4874">
        <v>6.33</v>
      </c>
      <c r="AL4874">
        <v>1</v>
      </c>
      <c r="AM4874">
        <v>1.48</v>
      </c>
      <c r="AN4874">
        <v>9.18</v>
      </c>
      <c r="AO4874">
        <v>3.21</v>
      </c>
      <c r="AP4874">
        <v>0.74</v>
      </c>
    </row>
    <row r="4875" spans="1:42">
      <c r="A4875">
        <v>4874</v>
      </c>
      <c r="B4875" t="str">
        <f>"688045"</f>
        <v>688045</v>
      </c>
      <c r="C4875" t="s">
        <v>22093</v>
      </c>
      <c r="D4875">
        <v>45.49</v>
      </c>
      <c r="E4875">
        <v>-0.98</v>
      </c>
      <c r="F4875">
        <v>-0.45</v>
      </c>
      <c r="G4875">
        <v>4041</v>
      </c>
      <c r="H4875">
        <v>41</v>
      </c>
      <c r="I4875">
        <v>45.49</v>
      </c>
      <c r="J4875">
        <v>45.7</v>
      </c>
      <c r="K4875" t="s">
        <v>20766</v>
      </c>
      <c r="L4875">
        <v>1.12</v>
      </c>
      <c r="M4875" t="s">
        <v>46</v>
      </c>
      <c r="N4875" t="s">
        <v>15056</v>
      </c>
      <c r="O4875">
        <v>46.06</v>
      </c>
      <c r="P4875">
        <v>44.81</v>
      </c>
      <c r="Q4875">
        <v>46.06</v>
      </c>
      <c r="R4875">
        <v>45.94</v>
      </c>
      <c r="S4875">
        <v>2.72</v>
      </c>
      <c r="T4875">
        <v>0.69</v>
      </c>
      <c r="U4875">
        <v>13.24</v>
      </c>
      <c r="V4875">
        <v>10</v>
      </c>
      <c r="W4875">
        <v>45.3</v>
      </c>
      <c r="X4875">
        <v>2392</v>
      </c>
      <c r="Y4875">
        <v>1649</v>
      </c>
      <c r="Z4875">
        <v>1.45</v>
      </c>
      <c r="AA4875">
        <v>15</v>
      </c>
      <c r="AB4875">
        <v>1</v>
      </c>
      <c r="AC4875">
        <v>2.29</v>
      </c>
      <c r="AD4875" t="s">
        <v>22094</v>
      </c>
      <c r="AE4875" t="s">
        <v>20300</v>
      </c>
      <c r="AF4875" t="s">
        <v>22095</v>
      </c>
      <c r="AG4875" t="s">
        <v>12060</v>
      </c>
      <c r="AH4875">
        <v>-4.13</v>
      </c>
      <c r="AI4875">
        <v>-3.5</v>
      </c>
      <c r="AJ4875">
        <v>3.41</v>
      </c>
      <c r="AK4875">
        <v>9.25</v>
      </c>
      <c r="AL4875">
        <v>-3</v>
      </c>
      <c r="AM4875">
        <v>-0.98</v>
      </c>
      <c r="AN4875">
        <v>-16.84</v>
      </c>
      <c r="AO4875">
        <v>-3.54</v>
      </c>
      <c r="AP4875">
        <v>-28.81</v>
      </c>
    </row>
    <row r="4876" spans="1:42">
      <c r="A4876">
        <v>4875</v>
      </c>
      <c r="B4876" t="str">
        <f>"600470"</f>
        <v>600470</v>
      </c>
      <c r="C4876" t="s">
        <v>22096</v>
      </c>
      <c r="D4876">
        <v>5.62</v>
      </c>
      <c r="E4876">
        <v>0.36</v>
      </c>
      <c r="F4876">
        <v>0.02</v>
      </c>
      <c r="G4876" t="s">
        <v>4761</v>
      </c>
      <c r="H4876">
        <v>356</v>
      </c>
      <c r="I4876">
        <v>5.61</v>
      </c>
      <c r="J4876">
        <v>5.62</v>
      </c>
      <c r="K4876" t="s">
        <v>22097</v>
      </c>
      <c r="L4876">
        <v>0.62</v>
      </c>
      <c r="M4876" t="s">
        <v>46</v>
      </c>
      <c r="N4876" t="s">
        <v>19180</v>
      </c>
      <c r="O4876">
        <v>5.65</v>
      </c>
      <c r="P4876">
        <v>5.59</v>
      </c>
      <c r="Q4876">
        <v>5.6</v>
      </c>
      <c r="R4876">
        <v>5.6</v>
      </c>
      <c r="S4876">
        <v>1.07</v>
      </c>
      <c r="T4876">
        <v>0.71</v>
      </c>
      <c r="U4876">
        <v>-0.35</v>
      </c>
      <c r="V4876">
        <v>-22</v>
      </c>
      <c r="W4876">
        <v>5.62</v>
      </c>
      <c r="X4876" t="s">
        <v>876</v>
      </c>
      <c r="Y4876" t="s">
        <v>2371</v>
      </c>
      <c r="Z4876">
        <v>1.16</v>
      </c>
      <c r="AA4876">
        <v>140</v>
      </c>
      <c r="AB4876">
        <v>368</v>
      </c>
      <c r="AC4876">
        <v>1.64</v>
      </c>
      <c r="AD4876" t="s">
        <v>22098</v>
      </c>
      <c r="AE4876" t="s">
        <v>22099</v>
      </c>
      <c r="AF4876" t="s">
        <v>22098</v>
      </c>
      <c r="AG4876" t="s">
        <v>22099</v>
      </c>
      <c r="AH4876">
        <v>-1.06</v>
      </c>
      <c r="AI4876">
        <v>-1.75</v>
      </c>
      <c r="AJ4876">
        <v>2.15</v>
      </c>
      <c r="AK4876">
        <v>5.02</v>
      </c>
      <c r="AL4876">
        <v>1</v>
      </c>
      <c r="AM4876">
        <v>0.36</v>
      </c>
      <c r="AN4876">
        <v>-8.62</v>
      </c>
      <c r="AO4876">
        <v>8.29</v>
      </c>
      <c r="AP4876">
        <v>-10.94</v>
      </c>
    </row>
    <row r="4877" spans="1:42">
      <c r="A4877">
        <v>4876</v>
      </c>
      <c r="B4877" t="str">
        <f>"301088"</f>
        <v>301088</v>
      </c>
      <c r="C4877" t="s">
        <v>22100</v>
      </c>
      <c r="D4877">
        <v>16.33</v>
      </c>
      <c r="E4877">
        <v>1.55</v>
      </c>
      <c r="F4877">
        <v>0.25</v>
      </c>
      <c r="G4877" t="s">
        <v>734</v>
      </c>
      <c r="H4877">
        <v>117</v>
      </c>
      <c r="I4877">
        <v>16.33</v>
      </c>
      <c r="J4877">
        <v>16.34</v>
      </c>
      <c r="K4877" t="s">
        <v>22101</v>
      </c>
      <c r="L4877">
        <v>1.94</v>
      </c>
      <c r="M4877" t="s">
        <v>46</v>
      </c>
      <c r="N4877" t="s">
        <v>9012</v>
      </c>
      <c r="O4877">
        <v>16.47</v>
      </c>
      <c r="P4877">
        <v>16.01</v>
      </c>
      <c r="Q4877">
        <v>16.08</v>
      </c>
      <c r="R4877">
        <v>16.08</v>
      </c>
      <c r="S4877">
        <v>2.86</v>
      </c>
      <c r="T4877">
        <v>1.46</v>
      </c>
      <c r="U4877">
        <v>-14.97</v>
      </c>
      <c r="V4877">
        <v>-94</v>
      </c>
      <c r="W4877">
        <v>16.31</v>
      </c>
      <c r="X4877">
        <v>4649</v>
      </c>
      <c r="Y4877">
        <v>6527</v>
      </c>
      <c r="Z4877">
        <v>0.71</v>
      </c>
      <c r="AA4877">
        <v>98</v>
      </c>
      <c r="AB4877">
        <v>14</v>
      </c>
      <c r="AC4877">
        <v>1.46</v>
      </c>
      <c r="AD4877" t="s">
        <v>21071</v>
      </c>
      <c r="AE4877" t="s">
        <v>2431</v>
      </c>
      <c r="AF4877" t="s">
        <v>22102</v>
      </c>
      <c r="AG4877" t="s">
        <v>22103</v>
      </c>
      <c r="AH4877">
        <v>0</v>
      </c>
      <c r="AI4877">
        <v>-0.67</v>
      </c>
      <c r="AJ4877">
        <v>4.34</v>
      </c>
      <c r="AK4877">
        <v>8.58</v>
      </c>
      <c r="AL4877">
        <v>1</v>
      </c>
      <c r="AM4877">
        <v>1.55</v>
      </c>
      <c r="AN4877">
        <v>-3.71</v>
      </c>
      <c r="AO4877">
        <v>0.93</v>
      </c>
      <c r="AP4877">
        <v>-10.37</v>
      </c>
    </row>
    <row r="4878" spans="1:42">
      <c r="A4878">
        <v>4877</v>
      </c>
      <c r="B4878" t="str">
        <f>"600668"</f>
        <v>600668</v>
      </c>
      <c r="C4878" t="s">
        <v>22104</v>
      </c>
      <c r="D4878">
        <v>11.28</v>
      </c>
      <c r="E4878">
        <v>0.71</v>
      </c>
      <c r="F4878">
        <v>0.08</v>
      </c>
      <c r="G4878" t="s">
        <v>7487</v>
      </c>
      <c r="H4878">
        <v>60</v>
      </c>
      <c r="I4878">
        <v>11.27</v>
      </c>
      <c r="J4878">
        <v>11.28</v>
      </c>
      <c r="K4878" t="s">
        <v>22105</v>
      </c>
      <c r="L4878">
        <v>0.47</v>
      </c>
      <c r="M4878" t="s">
        <v>46</v>
      </c>
      <c r="N4878" t="s">
        <v>7530</v>
      </c>
      <c r="O4878">
        <v>11.35</v>
      </c>
      <c r="P4878">
        <v>11.21</v>
      </c>
      <c r="Q4878">
        <v>11.24</v>
      </c>
      <c r="R4878">
        <v>11.2</v>
      </c>
      <c r="S4878">
        <v>1.25</v>
      </c>
      <c r="T4878">
        <v>0.68</v>
      </c>
      <c r="U4878">
        <v>-28.94</v>
      </c>
      <c r="V4878">
        <v>-791</v>
      </c>
      <c r="W4878">
        <v>11.29</v>
      </c>
      <c r="X4878">
        <v>6549</v>
      </c>
      <c r="Y4878">
        <v>9583</v>
      </c>
      <c r="Z4878">
        <v>0.68</v>
      </c>
      <c r="AA4878">
        <v>98</v>
      </c>
      <c r="AB4878">
        <v>45</v>
      </c>
      <c r="AC4878">
        <v>0.75</v>
      </c>
      <c r="AD4878" t="s">
        <v>20588</v>
      </c>
      <c r="AE4878" t="s">
        <v>8738</v>
      </c>
      <c r="AF4878" t="s">
        <v>20588</v>
      </c>
      <c r="AG4878" t="s">
        <v>8738</v>
      </c>
      <c r="AH4878">
        <v>-0.44</v>
      </c>
      <c r="AI4878">
        <v>-1.48</v>
      </c>
      <c r="AJ4878">
        <v>1.7</v>
      </c>
      <c r="AK4878">
        <v>3.9</v>
      </c>
      <c r="AL4878">
        <v>1</v>
      </c>
      <c r="AM4878">
        <v>0.71</v>
      </c>
      <c r="AN4878">
        <v>-10.41</v>
      </c>
      <c r="AO4878">
        <v>1.17</v>
      </c>
      <c r="AP4878">
        <v>-9.98</v>
      </c>
    </row>
    <row r="4879" spans="1:42">
      <c r="A4879">
        <v>4878</v>
      </c>
      <c r="B4879" t="str">
        <f>"603506"</f>
        <v>603506</v>
      </c>
      <c r="C4879" t="s">
        <v>22106</v>
      </c>
      <c r="D4879">
        <v>11.7</v>
      </c>
      <c r="E4879">
        <v>0.43</v>
      </c>
      <c r="F4879">
        <v>0.05</v>
      </c>
      <c r="G4879" t="s">
        <v>8212</v>
      </c>
      <c r="H4879">
        <v>73</v>
      </c>
      <c r="I4879">
        <v>11.7</v>
      </c>
      <c r="J4879">
        <v>11.72</v>
      </c>
      <c r="K4879" t="s">
        <v>22107</v>
      </c>
      <c r="L4879">
        <v>0.83</v>
      </c>
      <c r="M4879" t="s">
        <v>46</v>
      </c>
      <c r="N4879" t="s">
        <v>5049</v>
      </c>
      <c r="O4879">
        <v>11.74</v>
      </c>
      <c r="P4879">
        <v>11.59</v>
      </c>
      <c r="Q4879">
        <v>11.65</v>
      </c>
      <c r="R4879">
        <v>11.65</v>
      </c>
      <c r="S4879">
        <v>1.29</v>
      </c>
      <c r="T4879">
        <v>0.83</v>
      </c>
      <c r="U4879">
        <v>8.57</v>
      </c>
      <c r="V4879">
        <v>82</v>
      </c>
      <c r="W4879">
        <v>11.68</v>
      </c>
      <c r="X4879">
        <v>8038</v>
      </c>
      <c r="Y4879">
        <v>7539</v>
      </c>
      <c r="Z4879">
        <v>1.07</v>
      </c>
      <c r="AA4879">
        <v>204</v>
      </c>
      <c r="AB4879">
        <v>112</v>
      </c>
      <c r="AC4879">
        <v>2.03</v>
      </c>
      <c r="AD4879" t="s">
        <v>9650</v>
      </c>
      <c r="AE4879" t="s">
        <v>16728</v>
      </c>
      <c r="AF4879" t="s">
        <v>9650</v>
      </c>
      <c r="AG4879" t="s">
        <v>16728</v>
      </c>
      <c r="AH4879">
        <v>-0.68</v>
      </c>
      <c r="AI4879">
        <v>-3.86</v>
      </c>
      <c r="AJ4879">
        <v>2.57</v>
      </c>
      <c r="AK4879">
        <v>5.82</v>
      </c>
      <c r="AL4879">
        <v>1</v>
      </c>
      <c r="AM4879">
        <v>0.43</v>
      </c>
      <c r="AN4879">
        <v>-2.99</v>
      </c>
      <c r="AO4879">
        <v>1.47</v>
      </c>
      <c r="AP4879">
        <v>-2.58</v>
      </c>
    </row>
    <row r="4880" spans="1:42">
      <c r="A4880">
        <v>4879</v>
      </c>
      <c r="B4880" t="str">
        <f>"688580"</f>
        <v>688580</v>
      </c>
      <c r="C4880" t="s">
        <v>22108</v>
      </c>
      <c r="D4880">
        <v>68.43</v>
      </c>
      <c r="E4880">
        <v>-1.03</v>
      </c>
      <c r="F4880">
        <v>-0.71</v>
      </c>
      <c r="G4880">
        <v>2652</v>
      </c>
      <c r="H4880">
        <v>6</v>
      </c>
      <c r="I4880">
        <v>68.43</v>
      </c>
      <c r="J4880">
        <v>68.57</v>
      </c>
      <c r="K4880" t="s">
        <v>22109</v>
      </c>
      <c r="L4880">
        <v>0.39</v>
      </c>
      <c r="M4880" t="s">
        <v>46</v>
      </c>
      <c r="N4880" t="s">
        <v>4313</v>
      </c>
      <c r="O4880">
        <v>69.27</v>
      </c>
      <c r="P4880">
        <v>68.13</v>
      </c>
      <c r="Q4880">
        <v>69.14</v>
      </c>
      <c r="R4880">
        <v>69.14</v>
      </c>
      <c r="S4880">
        <v>1.65</v>
      </c>
      <c r="T4880">
        <v>0.72</v>
      </c>
      <c r="U4880">
        <v>-0.35</v>
      </c>
      <c r="V4880">
        <v>0</v>
      </c>
      <c r="W4880">
        <v>68.5</v>
      </c>
      <c r="X4880">
        <v>1446</v>
      </c>
      <c r="Y4880">
        <v>1206</v>
      </c>
      <c r="Z4880">
        <v>1.2</v>
      </c>
      <c r="AA4880">
        <v>19</v>
      </c>
      <c r="AB4880">
        <v>8</v>
      </c>
      <c r="AC4880">
        <v>2.96</v>
      </c>
      <c r="AD4880" t="s">
        <v>22110</v>
      </c>
      <c r="AE4880" t="s">
        <v>22111</v>
      </c>
      <c r="AF4880" t="s">
        <v>22110</v>
      </c>
      <c r="AG4880" t="s">
        <v>22111</v>
      </c>
      <c r="AH4880">
        <v>-1.08</v>
      </c>
      <c r="AI4880">
        <v>-0.64</v>
      </c>
      <c r="AJ4880">
        <v>1.1</v>
      </c>
      <c r="AK4880">
        <v>3.06</v>
      </c>
      <c r="AL4880">
        <v>-1</v>
      </c>
      <c r="AM4880">
        <v>-1.03</v>
      </c>
      <c r="AN4880">
        <v>30.32</v>
      </c>
      <c r="AO4880">
        <v>11.49</v>
      </c>
      <c r="AP4880">
        <v>16.95</v>
      </c>
    </row>
    <row r="4881" spans="1:42">
      <c r="A4881">
        <v>4880</v>
      </c>
      <c r="B4881" t="str">
        <f>"688231"</f>
        <v>688231</v>
      </c>
      <c r="C4881" t="s">
        <v>22112</v>
      </c>
      <c r="D4881">
        <v>23.19</v>
      </c>
      <c r="E4881">
        <v>-0.77</v>
      </c>
      <c r="F4881">
        <v>-0.18</v>
      </c>
      <c r="G4881">
        <v>7835</v>
      </c>
      <c r="H4881">
        <v>72</v>
      </c>
      <c r="I4881">
        <v>23.19</v>
      </c>
      <c r="J4881">
        <v>23.2</v>
      </c>
      <c r="K4881" t="s">
        <v>22113</v>
      </c>
      <c r="L4881">
        <v>0.67</v>
      </c>
      <c r="M4881" t="s">
        <v>46</v>
      </c>
      <c r="N4881" t="s">
        <v>1327</v>
      </c>
      <c r="O4881">
        <v>23.6</v>
      </c>
      <c r="P4881">
        <v>23</v>
      </c>
      <c r="Q4881">
        <v>23.35</v>
      </c>
      <c r="R4881">
        <v>23.37</v>
      </c>
      <c r="S4881">
        <v>2.57</v>
      </c>
      <c r="T4881">
        <v>0.89</v>
      </c>
      <c r="U4881">
        <v>-4.74</v>
      </c>
      <c r="V4881">
        <v>-8</v>
      </c>
      <c r="W4881">
        <v>23.15</v>
      </c>
      <c r="X4881">
        <v>3692</v>
      </c>
      <c r="Y4881">
        <v>4143</v>
      </c>
      <c r="Z4881">
        <v>0.89</v>
      </c>
      <c r="AA4881">
        <v>8</v>
      </c>
      <c r="AB4881">
        <v>65</v>
      </c>
      <c r="AC4881">
        <v>2.05</v>
      </c>
      <c r="AD4881" t="s">
        <v>22114</v>
      </c>
      <c r="AE4881" t="s">
        <v>2285</v>
      </c>
      <c r="AF4881" t="s">
        <v>8889</v>
      </c>
      <c r="AG4881" t="s">
        <v>1096</v>
      </c>
      <c r="AH4881">
        <v>-4.17</v>
      </c>
      <c r="AI4881">
        <v>-3.74</v>
      </c>
      <c r="AJ4881">
        <v>2.19</v>
      </c>
      <c r="AK4881">
        <v>4.4</v>
      </c>
      <c r="AL4881">
        <v>-3</v>
      </c>
      <c r="AM4881">
        <v>-0.77</v>
      </c>
      <c r="AN4881">
        <v>-34.42</v>
      </c>
      <c r="AO4881">
        <v>-0.22</v>
      </c>
      <c r="AP4881">
        <v>-38.8</v>
      </c>
    </row>
    <row r="4882" spans="1:42">
      <c r="A4882">
        <v>4881</v>
      </c>
      <c r="B4882" t="str">
        <f>"603848"</f>
        <v>603848</v>
      </c>
      <c r="C4882" t="s">
        <v>22115</v>
      </c>
      <c r="D4882">
        <v>16.14</v>
      </c>
      <c r="E4882">
        <v>-0.92</v>
      </c>
      <c r="F4882">
        <v>-0.15</v>
      </c>
      <c r="G4882" t="s">
        <v>734</v>
      </c>
      <c r="H4882">
        <v>132</v>
      </c>
      <c r="I4882">
        <v>16.13</v>
      </c>
      <c r="J4882">
        <v>16.14</v>
      </c>
      <c r="K4882" t="s">
        <v>22116</v>
      </c>
      <c r="L4882">
        <v>0.28</v>
      </c>
      <c r="M4882" t="s">
        <v>46</v>
      </c>
      <c r="N4882" t="s">
        <v>1645</v>
      </c>
      <c r="O4882">
        <v>16.33</v>
      </c>
      <c r="P4882">
        <v>16.02</v>
      </c>
      <c r="Q4882">
        <v>16.3</v>
      </c>
      <c r="R4882">
        <v>16.29</v>
      </c>
      <c r="S4882">
        <v>1.9</v>
      </c>
      <c r="T4882">
        <v>0.82</v>
      </c>
      <c r="U4882">
        <v>-53.79</v>
      </c>
      <c r="V4882">
        <v>-468</v>
      </c>
      <c r="W4882">
        <v>16.17</v>
      </c>
      <c r="X4882">
        <v>6196</v>
      </c>
      <c r="Y4882">
        <v>5018</v>
      </c>
      <c r="Z4882">
        <v>1.23</v>
      </c>
      <c r="AA4882">
        <v>43</v>
      </c>
      <c r="AB4882">
        <v>360</v>
      </c>
      <c r="AC4882">
        <v>2.93</v>
      </c>
      <c r="AD4882" t="s">
        <v>5890</v>
      </c>
      <c r="AE4882" t="s">
        <v>1496</v>
      </c>
      <c r="AF4882" t="s">
        <v>945</v>
      </c>
      <c r="AG4882" t="s">
        <v>10928</v>
      </c>
      <c r="AH4882">
        <v>-0.68</v>
      </c>
      <c r="AI4882">
        <v>-2.06</v>
      </c>
      <c r="AJ4882">
        <v>0.82</v>
      </c>
      <c r="AK4882">
        <v>1.98</v>
      </c>
      <c r="AL4882">
        <v>-1</v>
      </c>
      <c r="AM4882">
        <v>-0.92</v>
      </c>
      <c r="AN4882">
        <v>17.38</v>
      </c>
      <c r="AO4882">
        <v>6.39</v>
      </c>
      <c r="AP4882">
        <v>26.09</v>
      </c>
    </row>
    <row r="4883" spans="1:42">
      <c r="A4883">
        <v>4882</v>
      </c>
      <c r="B4883" t="str">
        <f>"688061"</f>
        <v>688061</v>
      </c>
      <c r="C4883" t="s">
        <v>22117</v>
      </c>
      <c r="D4883">
        <v>40.25</v>
      </c>
      <c r="E4883">
        <v>0.17</v>
      </c>
      <c r="F4883">
        <v>0.07</v>
      </c>
      <c r="G4883">
        <v>4531</v>
      </c>
      <c r="H4883">
        <v>130</v>
      </c>
      <c r="I4883">
        <v>40.19</v>
      </c>
      <c r="J4883">
        <v>40.25</v>
      </c>
      <c r="K4883" t="s">
        <v>22116</v>
      </c>
      <c r="L4883">
        <v>1.1</v>
      </c>
      <c r="M4883" t="s">
        <v>46</v>
      </c>
      <c r="N4883" t="s">
        <v>14143</v>
      </c>
      <c r="O4883">
        <v>40.39</v>
      </c>
      <c r="P4883">
        <v>39.58</v>
      </c>
      <c r="Q4883">
        <v>40.18</v>
      </c>
      <c r="R4883">
        <v>40.18</v>
      </c>
      <c r="S4883">
        <v>2.02</v>
      </c>
      <c r="T4883">
        <v>0.74</v>
      </c>
      <c r="U4883">
        <v>-54.11</v>
      </c>
      <c r="V4883">
        <v>-66</v>
      </c>
      <c r="W4883">
        <v>40.01</v>
      </c>
      <c r="X4883">
        <v>2079</v>
      </c>
      <c r="Y4883">
        <v>2452</v>
      </c>
      <c r="Z4883">
        <v>0.85</v>
      </c>
      <c r="AA4883">
        <v>2</v>
      </c>
      <c r="AB4883">
        <v>45</v>
      </c>
      <c r="AC4883">
        <v>1.82</v>
      </c>
      <c r="AD4883" t="s">
        <v>22118</v>
      </c>
      <c r="AE4883" t="s">
        <v>13106</v>
      </c>
      <c r="AF4883" t="s">
        <v>22119</v>
      </c>
      <c r="AG4883" t="s">
        <v>22120</v>
      </c>
      <c r="AH4883">
        <v>-1.95</v>
      </c>
      <c r="AI4883">
        <v>-2.16</v>
      </c>
      <c r="AJ4883">
        <v>4.42</v>
      </c>
      <c r="AK4883">
        <v>8.5</v>
      </c>
      <c r="AL4883">
        <v>1</v>
      </c>
      <c r="AM4883">
        <v>0.17</v>
      </c>
      <c r="AN4883">
        <v>-35.37</v>
      </c>
      <c r="AO4883">
        <v>0.68</v>
      </c>
      <c r="AP4883">
        <v>-43.16</v>
      </c>
    </row>
    <row r="4884" spans="1:42">
      <c r="A4884">
        <v>4883</v>
      </c>
      <c r="B4884" t="str">
        <f>"688681"</f>
        <v>688681</v>
      </c>
      <c r="C4884" t="s">
        <v>22121</v>
      </c>
      <c r="D4884">
        <v>15.25</v>
      </c>
      <c r="E4884">
        <v>-1.23</v>
      </c>
      <c r="F4884">
        <v>-0.19</v>
      </c>
      <c r="G4884" t="s">
        <v>718</v>
      </c>
      <c r="H4884">
        <v>30</v>
      </c>
      <c r="I4884">
        <v>15.24</v>
      </c>
      <c r="J4884">
        <v>15.25</v>
      </c>
      <c r="K4884" t="s">
        <v>22122</v>
      </c>
      <c r="L4884">
        <v>1.77</v>
      </c>
      <c r="M4884" t="s">
        <v>46</v>
      </c>
      <c r="N4884" t="s">
        <v>6218</v>
      </c>
      <c r="O4884">
        <v>15.45</v>
      </c>
      <c r="P4884">
        <v>15.07</v>
      </c>
      <c r="Q4884">
        <v>15.44</v>
      </c>
      <c r="R4884">
        <v>15.44</v>
      </c>
      <c r="S4884">
        <v>2.46</v>
      </c>
      <c r="T4884">
        <v>0.85</v>
      </c>
      <c r="U4884">
        <v>-58.86</v>
      </c>
      <c r="V4884">
        <v>-107</v>
      </c>
      <c r="W4884">
        <v>15.27</v>
      </c>
      <c r="X4884">
        <v>5251</v>
      </c>
      <c r="Y4884">
        <v>6611</v>
      </c>
      <c r="Z4884">
        <v>0.79</v>
      </c>
      <c r="AA4884">
        <v>22</v>
      </c>
      <c r="AB4884">
        <v>2</v>
      </c>
      <c r="AC4884">
        <v>2.85</v>
      </c>
      <c r="AD4884" t="s">
        <v>21370</v>
      </c>
      <c r="AE4884" t="s">
        <v>19820</v>
      </c>
      <c r="AF4884" t="s">
        <v>22123</v>
      </c>
      <c r="AG4884" t="s">
        <v>2175</v>
      </c>
      <c r="AH4884">
        <v>-2.87</v>
      </c>
      <c r="AI4884">
        <v>-0.78</v>
      </c>
      <c r="AJ4884">
        <v>6.32</v>
      </c>
      <c r="AK4884">
        <v>12.22</v>
      </c>
      <c r="AL4884">
        <v>-2</v>
      </c>
      <c r="AM4884">
        <v>-1.23</v>
      </c>
      <c r="AN4884">
        <v>20.46</v>
      </c>
      <c r="AO4884">
        <v>1.67</v>
      </c>
      <c r="AP4884">
        <v>6.27</v>
      </c>
    </row>
    <row r="4885" spans="1:42">
      <c r="A4885">
        <v>4884</v>
      </c>
      <c r="B4885" t="str">
        <f>"688216"</f>
        <v>688216</v>
      </c>
      <c r="C4885" t="s">
        <v>22124</v>
      </c>
      <c r="D4885">
        <v>28.77</v>
      </c>
      <c r="E4885">
        <v>0</v>
      </c>
      <c r="F4885">
        <v>0</v>
      </c>
      <c r="G4885">
        <v>6293</v>
      </c>
      <c r="H4885">
        <v>49</v>
      </c>
      <c r="I4885">
        <v>28.77</v>
      </c>
      <c r="J4885">
        <v>28.78</v>
      </c>
      <c r="K4885" t="s">
        <v>22125</v>
      </c>
      <c r="L4885">
        <v>1.44</v>
      </c>
      <c r="M4885" t="s">
        <v>46</v>
      </c>
      <c r="N4885" t="s">
        <v>3556</v>
      </c>
      <c r="O4885">
        <v>29.05</v>
      </c>
      <c r="P4885">
        <v>28.45</v>
      </c>
      <c r="Q4885">
        <v>28.77</v>
      </c>
      <c r="R4885">
        <v>28.77</v>
      </c>
      <c r="S4885">
        <v>2.09</v>
      </c>
      <c r="T4885">
        <v>0.88</v>
      </c>
      <c r="U4885">
        <v>-51.98</v>
      </c>
      <c r="V4885">
        <v>-120</v>
      </c>
      <c r="W4885">
        <v>28.69</v>
      </c>
      <c r="X4885">
        <v>2798</v>
      </c>
      <c r="Y4885">
        <v>3495</v>
      </c>
      <c r="Z4885">
        <v>0.8</v>
      </c>
      <c r="AA4885">
        <v>17</v>
      </c>
      <c r="AB4885">
        <v>19</v>
      </c>
      <c r="AC4885">
        <v>3.95</v>
      </c>
      <c r="AD4885" t="s">
        <v>8496</v>
      </c>
      <c r="AE4885" t="s">
        <v>18477</v>
      </c>
      <c r="AF4885" t="s">
        <v>17088</v>
      </c>
      <c r="AG4885" t="s">
        <v>12777</v>
      </c>
      <c r="AH4885">
        <v>-1.2</v>
      </c>
      <c r="AI4885">
        <v>-0.79</v>
      </c>
      <c r="AJ4885">
        <v>4.87</v>
      </c>
      <c r="AK4885">
        <v>9.64</v>
      </c>
      <c r="AL4885">
        <v>0</v>
      </c>
      <c r="AM4885">
        <v>0</v>
      </c>
      <c r="AN4885">
        <v>12.74</v>
      </c>
      <c r="AO4885">
        <v>2.68</v>
      </c>
      <c r="AP4885">
        <v>6.95</v>
      </c>
    </row>
    <row r="4886" spans="1:42">
      <c r="A4886">
        <v>4885</v>
      </c>
      <c r="B4886" t="str">
        <f>"301057"</f>
        <v>301057</v>
      </c>
      <c r="C4886" t="s">
        <v>22126</v>
      </c>
      <c r="D4886">
        <v>17.4</v>
      </c>
      <c r="E4886">
        <v>-0.68</v>
      </c>
      <c r="F4886">
        <v>-0.12</v>
      </c>
      <c r="G4886" t="s">
        <v>1154</v>
      </c>
      <c r="H4886">
        <v>458</v>
      </c>
      <c r="I4886">
        <v>17.4</v>
      </c>
      <c r="J4886">
        <v>17.41</v>
      </c>
      <c r="K4886" t="s">
        <v>22127</v>
      </c>
      <c r="L4886">
        <v>2.33</v>
      </c>
      <c r="M4886" t="s">
        <v>46</v>
      </c>
      <c r="N4886" t="s">
        <v>15929</v>
      </c>
      <c r="O4886">
        <v>17.6</v>
      </c>
      <c r="P4886">
        <v>17.36</v>
      </c>
      <c r="Q4886">
        <v>17.52</v>
      </c>
      <c r="R4886">
        <v>17.52</v>
      </c>
      <c r="S4886">
        <v>1.37</v>
      </c>
      <c r="T4886">
        <v>0.48</v>
      </c>
      <c r="U4886">
        <v>74.07</v>
      </c>
      <c r="V4886">
        <v>377</v>
      </c>
      <c r="W4886">
        <v>17.44</v>
      </c>
      <c r="X4886">
        <v>5404</v>
      </c>
      <c r="Y4886">
        <v>4941</v>
      </c>
      <c r="Z4886">
        <v>1.09</v>
      </c>
      <c r="AA4886">
        <v>176</v>
      </c>
      <c r="AB4886">
        <v>15</v>
      </c>
      <c r="AC4886">
        <v>2.69</v>
      </c>
      <c r="AD4886" t="s">
        <v>22128</v>
      </c>
      <c r="AE4886" t="s">
        <v>280</v>
      </c>
      <c r="AF4886" t="s">
        <v>16987</v>
      </c>
      <c r="AG4886" t="s">
        <v>22129</v>
      </c>
      <c r="AH4886">
        <v>-2.14</v>
      </c>
      <c r="AI4886">
        <v>-0.8</v>
      </c>
      <c r="AJ4886">
        <v>9.21</v>
      </c>
      <c r="AK4886">
        <v>26.5</v>
      </c>
      <c r="AL4886">
        <v>-3</v>
      </c>
      <c r="AM4886">
        <v>-0.68</v>
      </c>
      <c r="AN4886">
        <v>-12.69</v>
      </c>
      <c r="AO4886">
        <v>-0.23</v>
      </c>
      <c r="AP4886">
        <v>-11.5</v>
      </c>
    </row>
    <row r="4887" spans="1:42">
      <c r="A4887">
        <v>4886</v>
      </c>
      <c r="B4887" t="str">
        <f>"001267"</f>
        <v>001267</v>
      </c>
      <c r="C4887" t="s">
        <v>22130</v>
      </c>
      <c r="D4887">
        <v>5.39</v>
      </c>
      <c r="E4887">
        <v>-0.55</v>
      </c>
      <c r="F4887">
        <v>-0.03</v>
      </c>
      <c r="G4887" t="s">
        <v>1687</v>
      </c>
      <c r="H4887">
        <v>345</v>
      </c>
      <c r="I4887">
        <v>5.39</v>
      </c>
      <c r="J4887">
        <v>5.4</v>
      </c>
      <c r="K4887" t="s">
        <v>22131</v>
      </c>
      <c r="L4887">
        <v>0.92</v>
      </c>
      <c r="M4887" t="s">
        <v>46</v>
      </c>
      <c r="N4887" t="s">
        <v>3728</v>
      </c>
      <c r="O4887">
        <v>5.44</v>
      </c>
      <c r="P4887">
        <v>5.36</v>
      </c>
      <c r="Q4887">
        <v>5.4</v>
      </c>
      <c r="R4887">
        <v>5.42</v>
      </c>
      <c r="S4887">
        <v>1.48</v>
      </c>
      <c r="T4887">
        <v>0.98</v>
      </c>
      <c r="U4887">
        <v>25.86</v>
      </c>
      <c r="V4887">
        <v>1774</v>
      </c>
      <c r="W4887">
        <v>5.39</v>
      </c>
      <c r="X4887" t="s">
        <v>9024</v>
      </c>
      <c r="Y4887" t="s">
        <v>6212</v>
      </c>
      <c r="Z4887">
        <v>1.63</v>
      </c>
      <c r="AA4887">
        <v>16</v>
      </c>
      <c r="AB4887">
        <v>389</v>
      </c>
      <c r="AC4887">
        <v>2.84</v>
      </c>
      <c r="AD4887" t="s">
        <v>22132</v>
      </c>
      <c r="AE4887" t="s">
        <v>4990</v>
      </c>
      <c r="AF4887" t="s">
        <v>22133</v>
      </c>
      <c r="AG4887" t="s">
        <v>3615</v>
      </c>
      <c r="AH4887">
        <v>-0.55</v>
      </c>
      <c r="AI4887">
        <v>-1.64</v>
      </c>
      <c r="AJ4887">
        <v>2.63</v>
      </c>
      <c r="AK4887">
        <v>5.64</v>
      </c>
      <c r="AL4887">
        <v>-1</v>
      </c>
      <c r="AM4887">
        <v>-0.55</v>
      </c>
      <c r="AN4887">
        <v>-29.17</v>
      </c>
      <c r="AO4887">
        <v>2.67</v>
      </c>
      <c r="AP4887">
        <v>-24.19</v>
      </c>
    </row>
    <row r="4888" spans="1:42">
      <c r="A4888">
        <v>4887</v>
      </c>
      <c r="B4888" t="str">
        <f>"688557"</f>
        <v>688557</v>
      </c>
      <c r="C4888" t="s">
        <v>22134</v>
      </c>
      <c r="D4888">
        <v>37.88</v>
      </c>
      <c r="E4888">
        <v>0.53</v>
      </c>
      <c r="F4888">
        <v>0.2</v>
      </c>
      <c r="G4888">
        <v>4787</v>
      </c>
      <c r="H4888">
        <v>25</v>
      </c>
      <c r="I4888">
        <v>37.88</v>
      </c>
      <c r="J4888">
        <v>37.89</v>
      </c>
      <c r="K4888" t="s">
        <v>21316</v>
      </c>
      <c r="L4888">
        <v>1.08</v>
      </c>
      <c r="M4888" t="s">
        <v>46</v>
      </c>
      <c r="N4888" t="s">
        <v>927</v>
      </c>
      <c r="O4888">
        <v>37.95</v>
      </c>
      <c r="P4888">
        <v>37.24</v>
      </c>
      <c r="Q4888">
        <v>37.68</v>
      </c>
      <c r="R4888">
        <v>37.68</v>
      </c>
      <c r="S4888">
        <v>1.88</v>
      </c>
      <c r="T4888">
        <v>0.72</v>
      </c>
      <c r="U4888">
        <v>62.45</v>
      </c>
      <c r="V4888">
        <v>165</v>
      </c>
      <c r="W4888">
        <v>37.61</v>
      </c>
      <c r="X4888">
        <v>2089</v>
      </c>
      <c r="Y4888">
        <v>2698</v>
      </c>
      <c r="Z4888">
        <v>0.77</v>
      </c>
      <c r="AA4888">
        <v>10</v>
      </c>
      <c r="AB4888">
        <v>13</v>
      </c>
      <c r="AC4888">
        <v>2.65</v>
      </c>
      <c r="AD4888" t="s">
        <v>22135</v>
      </c>
      <c r="AE4888" t="s">
        <v>6074</v>
      </c>
      <c r="AF4888" t="s">
        <v>17032</v>
      </c>
      <c r="AG4888" t="s">
        <v>3428</v>
      </c>
      <c r="AH4888">
        <v>-1.56</v>
      </c>
      <c r="AI4888">
        <v>-2.6</v>
      </c>
      <c r="AJ4888">
        <v>3.96</v>
      </c>
      <c r="AK4888">
        <v>8.62</v>
      </c>
      <c r="AL4888">
        <v>1</v>
      </c>
      <c r="AM4888">
        <v>0.53</v>
      </c>
      <c r="AN4888">
        <v>13.18</v>
      </c>
      <c r="AO4888">
        <v>4.18</v>
      </c>
      <c r="AP4888">
        <v>3.02</v>
      </c>
    </row>
    <row r="4889" spans="1:42">
      <c r="A4889">
        <v>4888</v>
      </c>
      <c r="B4889" t="str">
        <f>"688519"</f>
        <v>688519</v>
      </c>
      <c r="C4889" t="s">
        <v>22136</v>
      </c>
      <c r="D4889">
        <v>27.15</v>
      </c>
      <c r="E4889">
        <v>0.37</v>
      </c>
      <c r="F4889">
        <v>0.1</v>
      </c>
      <c r="G4889">
        <v>6647</v>
      </c>
      <c r="H4889">
        <v>37</v>
      </c>
      <c r="I4889">
        <v>27.12</v>
      </c>
      <c r="J4889">
        <v>27.15</v>
      </c>
      <c r="K4889" t="s">
        <v>22137</v>
      </c>
      <c r="L4889">
        <v>0.72</v>
      </c>
      <c r="M4889" t="s">
        <v>46</v>
      </c>
      <c r="N4889" t="s">
        <v>624</v>
      </c>
      <c r="O4889">
        <v>27.28</v>
      </c>
      <c r="P4889">
        <v>26.75</v>
      </c>
      <c r="Q4889">
        <v>26.75</v>
      </c>
      <c r="R4889">
        <v>27.05</v>
      </c>
      <c r="S4889">
        <v>1.96</v>
      </c>
      <c r="T4889">
        <v>0.63</v>
      </c>
      <c r="U4889">
        <v>54.85</v>
      </c>
      <c r="V4889">
        <v>80</v>
      </c>
      <c r="W4889">
        <v>27.03</v>
      </c>
      <c r="X4889">
        <v>3177</v>
      </c>
      <c r="Y4889">
        <v>3470</v>
      </c>
      <c r="Z4889">
        <v>0.92</v>
      </c>
      <c r="AA4889">
        <v>2</v>
      </c>
      <c r="AB4889">
        <v>2</v>
      </c>
      <c r="AC4889">
        <v>2.58</v>
      </c>
      <c r="AD4889" t="s">
        <v>7264</v>
      </c>
      <c r="AE4889" t="s">
        <v>419</v>
      </c>
      <c r="AF4889" t="s">
        <v>22138</v>
      </c>
      <c r="AG4889" t="s">
        <v>18147</v>
      </c>
      <c r="AH4889">
        <v>-1.81</v>
      </c>
      <c r="AI4889">
        <v>-3.42</v>
      </c>
      <c r="AJ4889">
        <v>2.45</v>
      </c>
      <c r="AK4889">
        <v>6.44</v>
      </c>
      <c r="AL4889">
        <v>1</v>
      </c>
      <c r="AM4889">
        <v>0.37</v>
      </c>
      <c r="AN4889">
        <v>30.4</v>
      </c>
      <c r="AO4889">
        <v>6.97</v>
      </c>
      <c r="AP4889">
        <v>18.3</v>
      </c>
    </row>
    <row r="4890" spans="1:42">
      <c r="A4890">
        <v>4889</v>
      </c>
      <c r="B4890" t="str">
        <f>"688067"</f>
        <v>688067</v>
      </c>
      <c r="C4890" t="s">
        <v>22139</v>
      </c>
      <c r="D4890">
        <v>24.18</v>
      </c>
      <c r="E4890">
        <v>-0.58</v>
      </c>
      <c r="F4890">
        <v>-0.14</v>
      </c>
      <c r="G4890">
        <v>7419</v>
      </c>
      <c r="H4890">
        <v>350</v>
      </c>
      <c r="I4890">
        <v>24.1</v>
      </c>
      <c r="J4890">
        <v>24.18</v>
      </c>
      <c r="K4890" t="s">
        <v>22137</v>
      </c>
      <c r="L4890">
        <v>1.81</v>
      </c>
      <c r="M4890" t="s">
        <v>46</v>
      </c>
      <c r="N4890" t="s">
        <v>8494</v>
      </c>
      <c r="O4890">
        <v>24.63</v>
      </c>
      <c r="P4890">
        <v>24.04</v>
      </c>
      <c r="Q4890">
        <v>24.44</v>
      </c>
      <c r="R4890">
        <v>24.32</v>
      </c>
      <c r="S4890">
        <v>2.43</v>
      </c>
      <c r="T4890">
        <v>0.7</v>
      </c>
      <c r="U4890">
        <v>71.78</v>
      </c>
      <c r="V4890">
        <v>121</v>
      </c>
      <c r="W4890">
        <v>24.2</v>
      </c>
      <c r="X4890">
        <v>3407</v>
      </c>
      <c r="Y4890">
        <v>4012</v>
      </c>
      <c r="Z4890">
        <v>0.85</v>
      </c>
      <c r="AA4890">
        <v>44</v>
      </c>
      <c r="AB4890">
        <v>8</v>
      </c>
      <c r="AC4890">
        <v>3.34</v>
      </c>
      <c r="AD4890" t="s">
        <v>8052</v>
      </c>
      <c r="AE4890" t="s">
        <v>22140</v>
      </c>
      <c r="AF4890" t="s">
        <v>17555</v>
      </c>
      <c r="AG4890" t="s">
        <v>22141</v>
      </c>
      <c r="AH4890">
        <v>-1.71</v>
      </c>
      <c r="AI4890">
        <v>-3.47</v>
      </c>
      <c r="AJ4890">
        <v>6.14</v>
      </c>
      <c r="AK4890">
        <v>14.71</v>
      </c>
      <c r="AL4890">
        <v>-3</v>
      </c>
      <c r="AM4890">
        <v>-0.58</v>
      </c>
      <c r="AN4890">
        <v>29.79</v>
      </c>
      <c r="AO4890">
        <v>2.33</v>
      </c>
      <c r="AP4890">
        <v>16.59</v>
      </c>
    </row>
    <row r="4891" spans="1:42">
      <c r="A4891">
        <v>4890</v>
      </c>
      <c r="B4891" t="str">
        <f>"300833"</f>
        <v>300833</v>
      </c>
      <c r="C4891" t="s">
        <v>22142</v>
      </c>
      <c r="D4891">
        <v>82.35</v>
      </c>
      <c r="E4891">
        <v>0.98</v>
      </c>
      <c r="F4891">
        <v>0.8</v>
      </c>
      <c r="G4891">
        <v>2186</v>
      </c>
      <c r="H4891">
        <v>14</v>
      </c>
      <c r="I4891">
        <v>82.06</v>
      </c>
      <c r="J4891">
        <v>82.35</v>
      </c>
      <c r="K4891" t="s">
        <v>22143</v>
      </c>
      <c r="L4891">
        <v>0.41</v>
      </c>
      <c r="M4891" t="s">
        <v>46</v>
      </c>
      <c r="N4891" t="s">
        <v>241</v>
      </c>
      <c r="O4891">
        <v>83.03</v>
      </c>
      <c r="P4891">
        <v>80.4</v>
      </c>
      <c r="Q4891">
        <v>81.89</v>
      </c>
      <c r="R4891">
        <v>81.55</v>
      </c>
      <c r="S4891">
        <v>3.23</v>
      </c>
      <c r="T4891">
        <v>1.16</v>
      </c>
      <c r="U4891">
        <v>17.65</v>
      </c>
      <c r="V4891">
        <v>9</v>
      </c>
      <c r="W4891">
        <v>82.09</v>
      </c>
      <c r="X4891">
        <v>1088</v>
      </c>
      <c r="Y4891">
        <v>1098</v>
      </c>
      <c r="Z4891">
        <v>0.99</v>
      </c>
      <c r="AA4891">
        <v>4</v>
      </c>
      <c r="AB4891">
        <v>1</v>
      </c>
      <c r="AC4891">
        <v>3.06</v>
      </c>
      <c r="AD4891" t="s">
        <v>22144</v>
      </c>
      <c r="AE4891" t="s">
        <v>22145</v>
      </c>
      <c r="AF4891" t="s">
        <v>22146</v>
      </c>
      <c r="AG4891" t="s">
        <v>9948</v>
      </c>
      <c r="AH4891">
        <v>-0.02</v>
      </c>
      <c r="AI4891">
        <v>-0.06</v>
      </c>
      <c r="AJ4891">
        <v>1.14</v>
      </c>
      <c r="AK4891">
        <v>2.16</v>
      </c>
      <c r="AL4891">
        <v>1</v>
      </c>
      <c r="AM4891">
        <v>0.98</v>
      </c>
      <c r="AN4891">
        <v>0.87</v>
      </c>
      <c r="AO4891">
        <v>-15.63</v>
      </c>
      <c r="AP4891">
        <v>-5.9</v>
      </c>
    </row>
    <row r="4892" spans="1:42">
      <c r="A4892">
        <v>4891</v>
      </c>
      <c r="B4892" t="str">
        <f>"603839"</f>
        <v>603839</v>
      </c>
      <c r="C4892" t="s">
        <v>22147</v>
      </c>
      <c r="D4892">
        <v>7.96</v>
      </c>
      <c r="E4892">
        <v>1.14</v>
      </c>
      <c r="F4892">
        <v>0.09</v>
      </c>
      <c r="G4892" t="s">
        <v>1212</v>
      </c>
      <c r="H4892">
        <v>131</v>
      </c>
      <c r="I4892">
        <v>7.93</v>
      </c>
      <c r="J4892">
        <v>7.96</v>
      </c>
      <c r="K4892" t="s">
        <v>22148</v>
      </c>
      <c r="L4892">
        <v>0.56</v>
      </c>
      <c r="M4892" t="s">
        <v>46</v>
      </c>
      <c r="N4892" t="s">
        <v>2744</v>
      </c>
      <c r="O4892">
        <v>8.07</v>
      </c>
      <c r="P4892">
        <v>7.85</v>
      </c>
      <c r="Q4892">
        <v>7.85</v>
      </c>
      <c r="R4892">
        <v>7.87</v>
      </c>
      <c r="S4892">
        <v>2.8</v>
      </c>
      <c r="T4892">
        <v>1.37</v>
      </c>
      <c r="U4892">
        <v>-0.25</v>
      </c>
      <c r="V4892">
        <v>-2</v>
      </c>
      <c r="W4892">
        <v>7.96</v>
      </c>
      <c r="X4892" t="s">
        <v>4959</v>
      </c>
      <c r="Y4892" t="s">
        <v>734</v>
      </c>
      <c r="Z4892">
        <v>1.02</v>
      </c>
      <c r="AA4892">
        <v>15</v>
      </c>
      <c r="AB4892">
        <v>75</v>
      </c>
      <c r="AC4892">
        <v>1.61</v>
      </c>
      <c r="AD4892" t="s">
        <v>22149</v>
      </c>
      <c r="AE4892" t="s">
        <v>18462</v>
      </c>
      <c r="AF4892" t="s">
        <v>22149</v>
      </c>
      <c r="AG4892" t="s">
        <v>18462</v>
      </c>
      <c r="AH4892">
        <v>0</v>
      </c>
      <c r="AI4892">
        <v>1.14</v>
      </c>
      <c r="AJ4892">
        <v>1.32</v>
      </c>
      <c r="AK4892">
        <v>2.62</v>
      </c>
      <c r="AL4892">
        <v>2</v>
      </c>
      <c r="AM4892">
        <v>1.14</v>
      </c>
      <c r="AN4892">
        <v>22.46</v>
      </c>
      <c r="AO4892">
        <v>6.99</v>
      </c>
      <c r="AP4892">
        <v>28.39</v>
      </c>
    </row>
    <row r="4893" spans="1:42">
      <c r="A4893">
        <v>4892</v>
      </c>
      <c r="B4893" t="str">
        <f>"603798"</f>
        <v>603798</v>
      </c>
      <c r="C4893" t="s">
        <v>22150</v>
      </c>
      <c r="D4893">
        <v>9.83</v>
      </c>
      <c r="E4893">
        <v>-0.51</v>
      </c>
      <c r="F4893">
        <v>-0.05</v>
      </c>
      <c r="G4893" t="s">
        <v>2878</v>
      </c>
      <c r="H4893">
        <v>174</v>
      </c>
      <c r="I4893">
        <v>9.82</v>
      </c>
      <c r="J4893">
        <v>9.83</v>
      </c>
      <c r="K4893" t="s">
        <v>22151</v>
      </c>
      <c r="L4893">
        <v>0.71</v>
      </c>
      <c r="M4893" t="s">
        <v>46</v>
      </c>
      <c r="N4893" t="s">
        <v>1318</v>
      </c>
      <c r="O4893">
        <v>9.91</v>
      </c>
      <c r="P4893">
        <v>9.79</v>
      </c>
      <c r="Q4893">
        <v>9.87</v>
      </c>
      <c r="R4893">
        <v>9.88</v>
      </c>
      <c r="S4893">
        <v>1.21</v>
      </c>
      <c r="T4893">
        <v>0.69</v>
      </c>
      <c r="U4893">
        <v>34.65</v>
      </c>
      <c r="V4893">
        <v>385</v>
      </c>
      <c r="W4893">
        <v>9.84</v>
      </c>
      <c r="X4893">
        <v>9982</v>
      </c>
      <c r="Y4893">
        <v>8216</v>
      </c>
      <c r="Z4893">
        <v>1.21</v>
      </c>
      <c r="AA4893">
        <v>355</v>
      </c>
      <c r="AB4893">
        <v>7</v>
      </c>
      <c r="AC4893">
        <v>2.23</v>
      </c>
      <c r="AD4893" t="s">
        <v>21666</v>
      </c>
      <c r="AE4893" t="s">
        <v>10694</v>
      </c>
      <c r="AF4893" t="s">
        <v>21666</v>
      </c>
      <c r="AG4893" t="s">
        <v>10694</v>
      </c>
      <c r="AH4893">
        <v>-1.4</v>
      </c>
      <c r="AI4893">
        <v>-1.01</v>
      </c>
      <c r="AJ4893">
        <v>2.79</v>
      </c>
      <c r="AK4893">
        <v>5.88</v>
      </c>
      <c r="AL4893">
        <v>-3</v>
      </c>
      <c r="AM4893">
        <v>-0.51</v>
      </c>
      <c r="AN4893">
        <v>11.83</v>
      </c>
      <c r="AO4893">
        <v>1.76</v>
      </c>
      <c r="AP4893">
        <v>14.44</v>
      </c>
    </row>
    <row r="4894" spans="1:42">
      <c r="A4894">
        <v>4893</v>
      </c>
      <c r="B4894" t="str">
        <f>"603192"</f>
        <v>603192</v>
      </c>
      <c r="C4894" t="s">
        <v>22152</v>
      </c>
      <c r="D4894">
        <v>19.82</v>
      </c>
      <c r="E4894">
        <v>-0.7</v>
      </c>
      <c r="F4894">
        <v>-0.14</v>
      </c>
      <c r="G4894">
        <v>9040</v>
      </c>
      <c r="H4894">
        <v>94</v>
      </c>
      <c r="I4894">
        <v>19.81</v>
      </c>
      <c r="J4894">
        <v>19.82</v>
      </c>
      <c r="K4894" t="s">
        <v>22153</v>
      </c>
      <c r="L4894">
        <v>0.65</v>
      </c>
      <c r="M4894" t="s">
        <v>46</v>
      </c>
      <c r="N4894" t="s">
        <v>7262</v>
      </c>
      <c r="O4894">
        <v>20.06</v>
      </c>
      <c r="P4894">
        <v>19.68</v>
      </c>
      <c r="Q4894">
        <v>19.98</v>
      </c>
      <c r="R4894">
        <v>19.96</v>
      </c>
      <c r="S4894">
        <v>1.9</v>
      </c>
      <c r="T4894">
        <v>1.32</v>
      </c>
      <c r="U4894">
        <v>54.48</v>
      </c>
      <c r="V4894">
        <v>81</v>
      </c>
      <c r="W4894">
        <v>19.8</v>
      </c>
      <c r="X4894">
        <v>5271</v>
      </c>
      <c r="Y4894">
        <v>3769</v>
      </c>
      <c r="Z4894">
        <v>1.4</v>
      </c>
      <c r="AA4894">
        <v>29</v>
      </c>
      <c r="AB4894">
        <v>2</v>
      </c>
      <c r="AC4894">
        <v>1.92</v>
      </c>
      <c r="AD4894" t="s">
        <v>22154</v>
      </c>
      <c r="AE4894" t="s">
        <v>16768</v>
      </c>
      <c r="AF4894" t="s">
        <v>22154</v>
      </c>
      <c r="AG4894" t="s">
        <v>16768</v>
      </c>
      <c r="AH4894">
        <v>-2.22</v>
      </c>
      <c r="AI4894">
        <v>-2.8</v>
      </c>
      <c r="AJ4894">
        <v>1.71</v>
      </c>
      <c r="AK4894">
        <v>3.12</v>
      </c>
      <c r="AL4894">
        <v>-3</v>
      </c>
      <c r="AM4894">
        <v>-0.7</v>
      </c>
      <c r="AN4894">
        <v>-11.68</v>
      </c>
      <c r="AO4894">
        <v>1.95</v>
      </c>
      <c r="AP4894">
        <v>-0.05</v>
      </c>
    </row>
    <row r="4895" spans="1:42">
      <c r="A4895">
        <v>4894</v>
      </c>
      <c r="B4895" t="str">
        <f>"001289"</f>
        <v>001289</v>
      </c>
      <c r="C4895" t="s">
        <v>22155</v>
      </c>
      <c r="D4895">
        <v>19.49</v>
      </c>
      <c r="E4895">
        <v>0.26</v>
      </c>
      <c r="F4895">
        <v>0.05</v>
      </c>
      <c r="G4895">
        <v>9191</v>
      </c>
      <c r="H4895">
        <v>90</v>
      </c>
      <c r="I4895">
        <v>19.49</v>
      </c>
      <c r="J4895">
        <v>19.5</v>
      </c>
      <c r="K4895" t="s">
        <v>22156</v>
      </c>
      <c r="L4895">
        <v>0.69</v>
      </c>
      <c r="M4895" t="s">
        <v>46</v>
      </c>
      <c r="N4895" t="s">
        <v>22157</v>
      </c>
      <c r="O4895">
        <v>19.58</v>
      </c>
      <c r="P4895">
        <v>19.33</v>
      </c>
      <c r="Q4895">
        <v>19.46</v>
      </c>
      <c r="R4895">
        <v>19.44</v>
      </c>
      <c r="S4895">
        <v>1.29</v>
      </c>
      <c r="T4895">
        <v>0.77</v>
      </c>
      <c r="U4895">
        <v>-12.31</v>
      </c>
      <c r="V4895">
        <v>-64</v>
      </c>
      <c r="W4895">
        <v>19.44</v>
      </c>
      <c r="X4895">
        <v>4132</v>
      </c>
      <c r="Y4895">
        <v>5059</v>
      </c>
      <c r="Z4895">
        <v>0.82</v>
      </c>
      <c r="AA4895">
        <v>2</v>
      </c>
      <c r="AB4895">
        <v>139</v>
      </c>
      <c r="AC4895">
        <v>2.37</v>
      </c>
      <c r="AD4895" t="s">
        <v>4055</v>
      </c>
      <c r="AE4895" t="s">
        <v>22158</v>
      </c>
      <c r="AF4895" t="s">
        <v>9334</v>
      </c>
      <c r="AG4895" t="s">
        <v>13151</v>
      </c>
      <c r="AH4895">
        <v>-0.05</v>
      </c>
      <c r="AI4895">
        <v>-0.97</v>
      </c>
      <c r="AJ4895">
        <v>2</v>
      </c>
      <c r="AK4895">
        <v>5.18</v>
      </c>
      <c r="AL4895">
        <v>2</v>
      </c>
      <c r="AM4895">
        <v>0.26</v>
      </c>
      <c r="AN4895">
        <v>7.38</v>
      </c>
      <c r="AO4895">
        <v>-2.79</v>
      </c>
      <c r="AP4895">
        <v>-3.75</v>
      </c>
    </row>
    <row r="4896" spans="1:42">
      <c r="A4896">
        <v>4895</v>
      </c>
      <c r="B4896" t="str">
        <f>"003017"</f>
        <v>003017</v>
      </c>
      <c r="C4896" t="s">
        <v>22159</v>
      </c>
      <c r="D4896">
        <v>22.64</v>
      </c>
      <c r="E4896">
        <v>-0.35</v>
      </c>
      <c r="F4896">
        <v>-0.08</v>
      </c>
      <c r="G4896">
        <v>7872</v>
      </c>
      <c r="H4896">
        <v>53</v>
      </c>
      <c r="I4896">
        <v>22.63</v>
      </c>
      <c r="J4896">
        <v>22.64</v>
      </c>
      <c r="K4896" t="s">
        <v>22156</v>
      </c>
      <c r="L4896">
        <v>1.17</v>
      </c>
      <c r="M4896" t="s">
        <v>46</v>
      </c>
      <c r="N4896" t="s">
        <v>16615</v>
      </c>
      <c r="O4896">
        <v>22.8</v>
      </c>
      <c r="P4896">
        <v>22.51</v>
      </c>
      <c r="Q4896">
        <v>22.72</v>
      </c>
      <c r="R4896">
        <v>22.72</v>
      </c>
      <c r="S4896">
        <v>1.28</v>
      </c>
      <c r="T4896">
        <v>0.8</v>
      </c>
      <c r="U4896">
        <v>47.53</v>
      </c>
      <c r="V4896">
        <v>98</v>
      </c>
      <c r="W4896">
        <v>22.7</v>
      </c>
      <c r="X4896">
        <v>3752</v>
      </c>
      <c r="Y4896">
        <v>4119</v>
      </c>
      <c r="Z4896">
        <v>0.91</v>
      </c>
      <c r="AA4896">
        <v>100</v>
      </c>
      <c r="AB4896">
        <v>3</v>
      </c>
      <c r="AC4896">
        <v>1.9</v>
      </c>
      <c r="AD4896" t="s">
        <v>9437</v>
      </c>
      <c r="AE4896" t="s">
        <v>20902</v>
      </c>
      <c r="AF4896" t="s">
        <v>22160</v>
      </c>
      <c r="AG4896" t="s">
        <v>11926</v>
      </c>
      <c r="AH4896">
        <v>-1.05</v>
      </c>
      <c r="AI4896">
        <v>-1.39</v>
      </c>
      <c r="AJ4896">
        <v>4.62</v>
      </c>
      <c r="AK4896">
        <v>8.53</v>
      </c>
      <c r="AL4896">
        <v>-3</v>
      </c>
      <c r="AM4896">
        <v>-0.35</v>
      </c>
      <c r="AN4896">
        <v>16.94</v>
      </c>
      <c r="AO4896">
        <v>1.84</v>
      </c>
      <c r="AP4896">
        <v>2.82</v>
      </c>
    </row>
    <row r="4897" spans="1:42">
      <c r="A4897">
        <v>4896</v>
      </c>
      <c r="B4897" t="str">
        <f>"002562"</f>
        <v>002562</v>
      </c>
      <c r="C4897" t="s">
        <v>22161</v>
      </c>
      <c r="D4897">
        <v>4.04</v>
      </c>
      <c r="E4897">
        <v>0.5</v>
      </c>
      <c r="F4897">
        <v>0.02</v>
      </c>
      <c r="G4897" t="s">
        <v>320</v>
      </c>
      <c r="H4897">
        <v>828</v>
      </c>
      <c r="I4897">
        <v>4.04</v>
      </c>
      <c r="J4897">
        <v>4.05</v>
      </c>
      <c r="K4897" t="s">
        <v>22162</v>
      </c>
      <c r="L4897">
        <v>0.63</v>
      </c>
      <c r="M4897" t="s">
        <v>46</v>
      </c>
      <c r="N4897" t="s">
        <v>220</v>
      </c>
      <c r="O4897">
        <v>4.05</v>
      </c>
      <c r="P4897">
        <v>4.01</v>
      </c>
      <c r="Q4897">
        <v>4.05</v>
      </c>
      <c r="R4897">
        <v>4.02</v>
      </c>
      <c r="S4897">
        <v>1</v>
      </c>
      <c r="T4897">
        <v>0.62</v>
      </c>
      <c r="U4897">
        <v>-1.67</v>
      </c>
      <c r="V4897">
        <v>-191</v>
      </c>
      <c r="W4897">
        <v>4.03</v>
      </c>
      <c r="X4897" t="s">
        <v>1710</v>
      </c>
      <c r="Y4897" t="s">
        <v>7210</v>
      </c>
      <c r="Z4897">
        <v>1.08</v>
      </c>
      <c r="AA4897">
        <v>103</v>
      </c>
      <c r="AB4897">
        <v>1660</v>
      </c>
      <c r="AC4897">
        <v>1.36</v>
      </c>
      <c r="AD4897" t="s">
        <v>3579</v>
      </c>
      <c r="AE4897" t="s">
        <v>21313</v>
      </c>
      <c r="AF4897" t="s">
        <v>22163</v>
      </c>
      <c r="AG4897" t="s">
        <v>7301</v>
      </c>
      <c r="AH4897">
        <v>-1.94</v>
      </c>
      <c r="AI4897">
        <v>-2.65</v>
      </c>
      <c r="AJ4897">
        <v>2.73</v>
      </c>
      <c r="AK4897">
        <v>5.68</v>
      </c>
      <c r="AL4897">
        <v>1</v>
      </c>
      <c r="AM4897">
        <v>0.5</v>
      </c>
      <c r="AN4897">
        <v>-12.17</v>
      </c>
      <c r="AO4897">
        <v>-1.46</v>
      </c>
      <c r="AP4897">
        <v>-24.77</v>
      </c>
    </row>
    <row r="4898" spans="1:42">
      <c r="A4898">
        <v>4897</v>
      </c>
      <c r="B4898" t="str">
        <f>"600969"</f>
        <v>600969</v>
      </c>
      <c r="C4898" t="s">
        <v>22164</v>
      </c>
      <c r="D4898">
        <v>6.63</v>
      </c>
      <c r="E4898">
        <v>0</v>
      </c>
      <c r="F4898">
        <v>0</v>
      </c>
      <c r="G4898" t="s">
        <v>10910</v>
      </c>
      <c r="H4898">
        <v>219</v>
      </c>
      <c r="I4898">
        <v>6.62</v>
      </c>
      <c r="J4898">
        <v>6.63</v>
      </c>
      <c r="K4898" t="s">
        <v>22165</v>
      </c>
      <c r="L4898">
        <v>0.72</v>
      </c>
      <c r="M4898" t="s">
        <v>46</v>
      </c>
      <c r="N4898" t="s">
        <v>14630</v>
      </c>
      <c r="O4898">
        <v>6.68</v>
      </c>
      <c r="P4898">
        <v>6.6</v>
      </c>
      <c r="Q4898">
        <v>6.63</v>
      </c>
      <c r="R4898">
        <v>6.63</v>
      </c>
      <c r="S4898">
        <v>1.21</v>
      </c>
      <c r="T4898">
        <v>1.02</v>
      </c>
      <c r="U4898">
        <v>-42.78</v>
      </c>
      <c r="V4898">
        <v>-1576</v>
      </c>
      <c r="W4898">
        <v>6.65</v>
      </c>
      <c r="X4898" t="s">
        <v>1967</v>
      </c>
      <c r="Y4898" t="s">
        <v>5183</v>
      </c>
      <c r="Z4898">
        <v>0.97</v>
      </c>
      <c r="AA4898">
        <v>157</v>
      </c>
      <c r="AB4898">
        <v>36</v>
      </c>
      <c r="AC4898">
        <v>0.68</v>
      </c>
      <c r="AD4898" t="s">
        <v>18521</v>
      </c>
      <c r="AE4898" t="s">
        <v>3377</v>
      </c>
      <c r="AF4898" t="s">
        <v>18521</v>
      </c>
      <c r="AG4898" t="s">
        <v>3377</v>
      </c>
      <c r="AH4898">
        <v>-0.75</v>
      </c>
      <c r="AI4898">
        <v>-0.6</v>
      </c>
      <c r="AJ4898">
        <v>2</v>
      </c>
      <c r="AK4898">
        <v>4.27</v>
      </c>
      <c r="AL4898">
        <v>0</v>
      </c>
      <c r="AM4898">
        <v>0</v>
      </c>
      <c r="AN4898">
        <v>-9.92</v>
      </c>
      <c r="AO4898">
        <v>1.38</v>
      </c>
      <c r="AP4898">
        <v>-15.33</v>
      </c>
    </row>
    <row r="4899" spans="1:42">
      <c r="A4899">
        <v>4898</v>
      </c>
      <c r="B4899" t="str">
        <f>"300746"</f>
        <v>300746</v>
      </c>
      <c r="C4899" t="s">
        <v>22166</v>
      </c>
      <c r="D4899">
        <v>10.37</v>
      </c>
      <c r="E4899">
        <v>0.68</v>
      </c>
      <c r="F4899">
        <v>0.07</v>
      </c>
      <c r="G4899" t="s">
        <v>1456</v>
      </c>
      <c r="H4899">
        <v>96</v>
      </c>
      <c r="I4899">
        <v>10.36</v>
      </c>
      <c r="J4899">
        <v>10.37</v>
      </c>
      <c r="K4899" t="s">
        <v>22167</v>
      </c>
      <c r="L4899">
        <v>0.77</v>
      </c>
      <c r="M4899" t="s">
        <v>46</v>
      </c>
      <c r="N4899" t="s">
        <v>4927</v>
      </c>
      <c r="O4899">
        <v>10.45</v>
      </c>
      <c r="P4899">
        <v>10.25</v>
      </c>
      <c r="Q4899">
        <v>10.26</v>
      </c>
      <c r="R4899">
        <v>10.3</v>
      </c>
      <c r="S4899">
        <v>1.94</v>
      </c>
      <c r="T4899">
        <v>0.76</v>
      </c>
      <c r="U4899">
        <v>31.87</v>
      </c>
      <c r="V4899">
        <v>204</v>
      </c>
      <c r="W4899">
        <v>10.36</v>
      </c>
      <c r="X4899">
        <v>6828</v>
      </c>
      <c r="Y4899" t="s">
        <v>1154</v>
      </c>
      <c r="Z4899">
        <v>0.66</v>
      </c>
      <c r="AA4899">
        <v>8</v>
      </c>
      <c r="AB4899">
        <v>36</v>
      </c>
      <c r="AC4899">
        <v>1.89</v>
      </c>
      <c r="AD4899" t="s">
        <v>5013</v>
      </c>
      <c r="AE4899" t="s">
        <v>18362</v>
      </c>
      <c r="AF4899" t="s">
        <v>21490</v>
      </c>
      <c r="AG4899" t="s">
        <v>2933</v>
      </c>
      <c r="AH4899">
        <v>-1.43</v>
      </c>
      <c r="AI4899">
        <v>-2.54</v>
      </c>
      <c r="AJ4899">
        <v>2.55</v>
      </c>
      <c r="AK4899">
        <v>5.85</v>
      </c>
      <c r="AL4899">
        <v>1</v>
      </c>
      <c r="AM4899">
        <v>0.68</v>
      </c>
      <c r="AN4899">
        <v>21.86</v>
      </c>
      <c r="AO4899">
        <v>2.47</v>
      </c>
      <c r="AP4899">
        <v>8.13</v>
      </c>
    </row>
    <row r="4900" spans="1:42">
      <c r="A4900">
        <v>4899</v>
      </c>
      <c r="B4900" t="str">
        <f>"603031"</f>
        <v>603031</v>
      </c>
      <c r="C4900" t="s">
        <v>22168</v>
      </c>
      <c r="D4900">
        <v>47.9</v>
      </c>
      <c r="E4900">
        <v>-1.24</v>
      </c>
      <c r="F4900">
        <v>-0.6</v>
      </c>
      <c r="G4900">
        <v>3692</v>
      </c>
      <c r="H4900">
        <v>68</v>
      </c>
      <c r="I4900">
        <v>47.9</v>
      </c>
      <c r="J4900">
        <v>48.03</v>
      </c>
      <c r="K4900" t="s">
        <v>22167</v>
      </c>
      <c r="L4900">
        <v>0.33</v>
      </c>
      <c r="M4900" t="s">
        <v>46</v>
      </c>
      <c r="N4900" t="s">
        <v>11440</v>
      </c>
      <c r="O4900">
        <v>48.67</v>
      </c>
      <c r="P4900">
        <v>47.71</v>
      </c>
      <c r="Q4900">
        <v>48.52</v>
      </c>
      <c r="R4900">
        <v>48.5</v>
      </c>
      <c r="S4900">
        <v>1.98</v>
      </c>
      <c r="T4900">
        <v>1.37</v>
      </c>
      <c r="U4900">
        <v>39.87</v>
      </c>
      <c r="V4900">
        <v>61</v>
      </c>
      <c r="W4900">
        <v>48.19</v>
      </c>
      <c r="X4900">
        <v>2239</v>
      </c>
      <c r="Y4900">
        <v>1453</v>
      </c>
      <c r="Z4900">
        <v>1.54</v>
      </c>
      <c r="AA4900">
        <v>1</v>
      </c>
      <c r="AB4900">
        <v>3</v>
      </c>
      <c r="AC4900">
        <v>8.31</v>
      </c>
      <c r="AD4900" t="s">
        <v>14495</v>
      </c>
      <c r="AE4900" t="s">
        <v>22169</v>
      </c>
      <c r="AF4900" t="s">
        <v>14495</v>
      </c>
      <c r="AG4900" t="s">
        <v>22169</v>
      </c>
      <c r="AH4900">
        <v>-0.97</v>
      </c>
      <c r="AI4900">
        <v>-0.6</v>
      </c>
      <c r="AJ4900">
        <v>0.82</v>
      </c>
      <c r="AK4900">
        <v>1.53</v>
      </c>
      <c r="AL4900">
        <v>-2</v>
      </c>
      <c r="AM4900">
        <v>-1.24</v>
      </c>
      <c r="AN4900">
        <v>2.68</v>
      </c>
      <c r="AO4900">
        <v>5.41</v>
      </c>
      <c r="AP4900">
        <v>-3.89</v>
      </c>
    </row>
    <row r="4901" spans="1:42">
      <c r="A4901">
        <v>4900</v>
      </c>
      <c r="B4901" t="str">
        <f>"300915"</f>
        <v>300915</v>
      </c>
      <c r="C4901" t="s">
        <v>22170</v>
      </c>
      <c r="D4901">
        <v>34.09</v>
      </c>
      <c r="E4901">
        <v>-0.64</v>
      </c>
      <c r="F4901">
        <v>-0.22</v>
      </c>
      <c r="G4901">
        <v>5179</v>
      </c>
      <c r="H4901">
        <v>113</v>
      </c>
      <c r="I4901">
        <v>34.09</v>
      </c>
      <c r="J4901">
        <v>34.1</v>
      </c>
      <c r="K4901" t="s">
        <v>22171</v>
      </c>
      <c r="L4901">
        <v>2.09</v>
      </c>
      <c r="M4901" t="s">
        <v>46</v>
      </c>
      <c r="N4901" t="s">
        <v>22172</v>
      </c>
      <c r="O4901">
        <v>34.85</v>
      </c>
      <c r="P4901">
        <v>34.02</v>
      </c>
      <c r="Q4901">
        <v>34.52</v>
      </c>
      <c r="R4901">
        <v>34.31</v>
      </c>
      <c r="S4901">
        <v>2.42</v>
      </c>
      <c r="T4901">
        <v>0.99</v>
      </c>
      <c r="U4901">
        <v>13.56</v>
      </c>
      <c r="V4901">
        <v>16</v>
      </c>
      <c r="W4901">
        <v>34.34</v>
      </c>
      <c r="X4901">
        <v>2752</v>
      </c>
      <c r="Y4901">
        <v>2427</v>
      </c>
      <c r="Z4901">
        <v>1.13</v>
      </c>
      <c r="AA4901">
        <v>28</v>
      </c>
      <c r="AB4901">
        <v>11</v>
      </c>
      <c r="AC4901">
        <v>2.07</v>
      </c>
      <c r="AD4901" t="s">
        <v>13378</v>
      </c>
      <c r="AE4901" t="s">
        <v>8397</v>
      </c>
      <c r="AF4901" t="s">
        <v>20788</v>
      </c>
      <c r="AG4901" t="s">
        <v>22173</v>
      </c>
      <c r="AH4901">
        <v>-1.56</v>
      </c>
      <c r="AI4901">
        <v>-1.98</v>
      </c>
      <c r="AJ4901">
        <v>5.29</v>
      </c>
      <c r="AK4901">
        <v>12.63</v>
      </c>
      <c r="AL4901">
        <v>-3</v>
      </c>
      <c r="AM4901">
        <v>-0.64</v>
      </c>
      <c r="AN4901">
        <v>-17.66</v>
      </c>
      <c r="AO4901">
        <v>-1.93</v>
      </c>
      <c r="AP4901">
        <v>-14.09</v>
      </c>
    </row>
    <row r="4902" spans="1:42">
      <c r="A4902">
        <v>4901</v>
      </c>
      <c r="B4902" t="str">
        <f>"601366"</f>
        <v>601366</v>
      </c>
      <c r="C4902" t="s">
        <v>22174</v>
      </c>
      <c r="D4902">
        <v>5.72</v>
      </c>
      <c r="E4902">
        <v>0.53</v>
      </c>
      <c r="F4902">
        <v>0.03</v>
      </c>
      <c r="G4902" t="s">
        <v>4914</v>
      </c>
      <c r="H4902">
        <v>401</v>
      </c>
      <c r="I4902">
        <v>5.72</v>
      </c>
      <c r="J4902">
        <v>5.73</v>
      </c>
      <c r="K4902" t="s">
        <v>22175</v>
      </c>
      <c r="L4902">
        <v>0.37</v>
      </c>
      <c r="M4902" t="s">
        <v>46</v>
      </c>
      <c r="N4902" t="s">
        <v>16178</v>
      </c>
      <c r="O4902">
        <v>5.78</v>
      </c>
      <c r="P4902">
        <v>5.63</v>
      </c>
      <c r="Q4902">
        <v>5.65</v>
      </c>
      <c r="R4902">
        <v>5.69</v>
      </c>
      <c r="S4902">
        <v>2.64</v>
      </c>
      <c r="T4902">
        <v>0.81</v>
      </c>
      <c r="U4902">
        <v>-49.73</v>
      </c>
      <c r="V4902">
        <v>-1484</v>
      </c>
      <c r="W4902">
        <v>5.72</v>
      </c>
      <c r="X4902" t="s">
        <v>7656</v>
      </c>
      <c r="Y4902" t="s">
        <v>1118</v>
      </c>
      <c r="Z4902">
        <v>0.92</v>
      </c>
      <c r="AA4902">
        <v>67</v>
      </c>
      <c r="AB4902">
        <v>24</v>
      </c>
      <c r="AC4902">
        <v>1.23</v>
      </c>
      <c r="AD4902" t="s">
        <v>2190</v>
      </c>
      <c r="AE4902" t="s">
        <v>1997</v>
      </c>
      <c r="AF4902" t="s">
        <v>22176</v>
      </c>
      <c r="AG4902" t="s">
        <v>22177</v>
      </c>
      <c r="AH4902">
        <v>1.24</v>
      </c>
      <c r="AI4902">
        <v>3.06</v>
      </c>
      <c r="AJ4902">
        <v>1.08</v>
      </c>
      <c r="AK4902">
        <v>2.64</v>
      </c>
      <c r="AL4902">
        <v>2</v>
      </c>
      <c r="AM4902">
        <v>0.53</v>
      </c>
      <c r="AN4902">
        <v>-7.14</v>
      </c>
      <c r="AO4902">
        <v>6.92</v>
      </c>
      <c r="AP4902">
        <v>0.53</v>
      </c>
    </row>
    <row r="4903" spans="1:42">
      <c r="A4903">
        <v>4902</v>
      </c>
      <c r="B4903" t="str">
        <f>"300800"</f>
        <v>300800</v>
      </c>
      <c r="C4903" t="s">
        <v>22178</v>
      </c>
      <c r="D4903">
        <v>14.01</v>
      </c>
      <c r="E4903">
        <v>0.5</v>
      </c>
      <c r="F4903">
        <v>0.07</v>
      </c>
      <c r="G4903" t="s">
        <v>209</v>
      </c>
      <c r="H4903">
        <v>274</v>
      </c>
      <c r="I4903">
        <v>14</v>
      </c>
      <c r="J4903">
        <v>14.01</v>
      </c>
      <c r="K4903" t="s">
        <v>22175</v>
      </c>
      <c r="L4903">
        <v>0.77</v>
      </c>
      <c r="M4903" t="s">
        <v>46</v>
      </c>
      <c r="N4903" t="s">
        <v>2281</v>
      </c>
      <c r="O4903">
        <v>14.04</v>
      </c>
      <c r="P4903">
        <v>13.76</v>
      </c>
      <c r="Q4903">
        <v>13.87</v>
      </c>
      <c r="R4903">
        <v>13.94</v>
      </c>
      <c r="S4903">
        <v>2.01</v>
      </c>
      <c r="T4903">
        <v>0.86</v>
      </c>
      <c r="U4903">
        <v>-36.07</v>
      </c>
      <c r="V4903">
        <v>-255</v>
      </c>
      <c r="W4903">
        <v>13.91</v>
      </c>
      <c r="X4903">
        <v>4998</v>
      </c>
      <c r="Y4903">
        <v>7765</v>
      </c>
      <c r="Z4903">
        <v>0.64</v>
      </c>
      <c r="AA4903">
        <v>3</v>
      </c>
      <c r="AB4903">
        <v>43</v>
      </c>
      <c r="AC4903">
        <v>1.62</v>
      </c>
      <c r="AD4903" t="s">
        <v>22179</v>
      </c>
      <c r="AE4903" t="s">
        <v>12851</v>
      </c>
      <c r="AF4903" t="s">
        <v>3397</v>
      </c>
      <c r="AG4903" t="s">
        <v>3626</v>
      </c>
      <c r="AH4903">
        <v>-0.21</v>
      </c>
      <c r="AI4903">
        <v>-0.71</v>
      </c>
      <c r="AJ4903">
        <v>2.5</v>
      </c>
      <c r="AK4903">
        <v>5.26</v>
      </c>
      <c r="AL4903">
        <v>1</v>
      </c>
      <c r="AM4903">
        <v>0.5</v>
      </c>
      <c r="AN4903">
        <v>21.93</v>
      </c>
      <c r="AO4903">
        <v>4.79</v>
      </c>
      <c r="AP4903">
        <v>9.11</v>
      </c>
    </row>
    <row r="4904" spans="1:42">
      <c r="A4904">
        <v>4903</v>
      </c>
      <c r="B4904" t="str">
        <f>"300839"</f>
        <v>300839</v>
      </c>
      <c r="C4904" t="s">
        <v>22180</v>
      </c>
      <c r="D4904">
        <v>10.51</v>
      </c>
      <c r="E4904">
        <v>0.19</v>
      </c>
      <c r="F4904">
        <v>0.02</v>
      </c>
      <c r="G4904" t="s">
        <v>1110</v>
      </c>
      <c r="H4904">
        <v>139</v>
      </c>
      <c r="I4904">
        <v>10.5</v>
      </c>
      <c r="J4904">
        <v>10.51</v>
      </c>
      <c r="K4904" t="s">
        <v>22175</v>
      </c>
      <c r="L4904">
        <v>0.7</v>
      </c>
      <c r="M4904" t="s">
        <v>46</v>
      </c>
      <c r="N4904" t="s">
        <v>2027</v>
      </c>
      <c r="O4904">
        <v>10.59</v>
      </c>
      <c r="P4904">
        <v>10.44</v>
      </c>
      <c r="Q4904">
        <v>10.5</v>
      </c>
      <c r="R4904">
        <v>10.49</v>
      </c>
      <c r="S4904">
        <v>1.43</v>
      </c>
      <c r="T4904">
        <v>0.99</v>
      </c>
      <c r="U4904">
        <v>49.93</v>
      </c>
      <c r="V4904">
        <v>373</v>
      </c>
      <c r="W4904">
        <v>10.52</v>
      </c>
      <c r="X4904">
        <v>8841</v>
      </c>
      <c r="Y4904">
        <v>8030</v>
      </c>
      <c r="Z4904">
        <v>1.1</v>
      </c>
      <c r="AA4904">
        <v>16</v>
      </c>
      <c r="AB4904">
        <v>9</v>
      </c>
      <c r="AC4904">
        <v>2.45</v>
      </c>
      <c r="AD4904" t="s">
        <v>22181</v>
      </c>
      <c r="AE4904" t="s">
        <v>11465</v>
      </c>
      <c r="AF4904" t="s">
        <v>9839</v>
      </c>
      <c r="AG4904" t="s">
        <v>16256</v>
      </c>
      <c r="AH4904">
        <v>-1.68</v>
      </c>
      <c r="AI4904">
        <v>-2.05</v>
      </c>
      <c r="AJ4904">
        <v>2</v>
      </c>
      <c r="AK4904">
        <v>4.26</v>
      </c>
      <c r="AL4904">
        <v>1</v>
      </c>
      <c r="AM4904">
        <v>0.19</v>
      </c>
      <c r="AN4904">
        <v>-20.14</v>
      </c>
      <c r="AO4904">
        <v>1.15</v>
      </c>
      <c r="AP4904">
        <v>-16.19</v>
      </c>
    </row>
    <row r="4905" spans="1:42">
      <c r="A4905">
        <v>4904</v>
      </c>
      <c r="B4905" t="str">
        <f>"600857"</f>
        <v>600857</v>
      </c>
      <c r="C4905" t="s">
        <v>22182</v>
      </c>
      <c r="D4905">
        <v>9.73</v>
      </c>
      <c r="E4905">
        <v>0.52</v>
      </c>
      <c r="F4905">
        <v>0.05</v>
      </c>
      <c r="G4905" t="s">
        <v>2878</v>
      </c>
      <c r="H4905">
        <v>243</v>
      </c>
      <c r="I4905">
        <v>9.72</v>
      </c>
      <c r="J4905">
        <v>9.73</v>
      </c>
      <c r="K4905" t="s">
        <v>22183</v>
      </c>
      <c r="L4905">
        <v>0.81</v>
      </c>
      <c r="M4905" t="s">
        <v>46</v>
      </c>
      <c r="N4905" t="s">
        <v>22184</v>
      </c>
      <c r="O4905">
        <v>9.84</v>
      </c>
      <c r="P4905">
        <v>9.6</v>
      </c>
      <c r="Q4905">
        <v>9.6</v>
      </c>
      <c r="R4905">
        <v>9.68</v>
      </c>
      <c r="S4905">
        <v>2.48</v>
      </c>
      <c r="T4905">
        <v>0.79</v>
      </c>
      <c r="U4905">
        <v>22.64</v>
      </c>
      <c r="V4905">
        <v>223</v>
      </c>
      <c r="W4905">
        <v>9.75</v>
      </c>
      <c r="X4905">
        <v>8626</v>
      </c>
      <c r="Y4905">
        <v>9560</v>
      </c>
      <c r="Z4905">
        <v>0.9</v>
      </c>
      <c r="AA4905">
        <v>105</v>
      </c>
      <c r="AB4905">
        <v>45</v>
      </c>
      <c r="AC4905">
        <v>2.48</v>
      </c>
      <c r="AD4905" t="s">
        <v>22185</v>
      </c>
      <c r="AE4905" t="s">
        <v>18610</v>
      </c>
      <c r="AF4905" t="s">
        <v>22185</v>
      </c>
      <c r="AG4905" t="s">
        <v>18610</v>
      </c>
      <c r="AH4905">
        <v>0.31</v>
      </c>
      <c r="AI4905">
        <v>0.72</v>
      </c>
      <c r="AJ4905">
        <v>2.32</v>
      </c>
      <c r="AK4905">
        <v>5.92</v>
      </c>
      <c r="AL4905">
        <v>1</v>
      </c>
      <c r="AM4905">
        <v>0.52</v>
      </c>
      <c r="AN4905">
        <v>-11.95</v>
      </c>
      <c r="AO4905">
        <v>6.46</v>
      </c>
      <c r="AP4905">
        <v>-8.12</v>
      </c>
    </row>
    <row r="4906" spans="1:42">
      <c r="A4906">
        <v>4905</v>
      </c>
      <c r="B4906" t="str">
        <f>"002890"</f>
        <v>002890</v>
      </c>
      <c r="C4906" t="s">
        <v>22186</v>
      </c>
      <c r="D4906">
        <v>14.7</v>
      </c>
      <c r="E4906">
        <v>0.27</v>
      </c>
      <c r="F4906">
        <v>0.04</v>
      </c>
      <c r="G4906" t="s">
        <v>1052</v>
      </c>
      <c r="H4906">
        <v>85</v>
      </c>
      <c r="I4906">
        <v>14.67</v>
      </c>
      <c r="J4906">
        <v>14.7</v>
      </c>
      <c r="K4906" t="s">
        <v>22187</v>
      </c>
      <c r="L4906">
        <v>0.97</v>
      </c>
      <c r="M4906" t="s">
        <v>46</v>
      </c>
      <c r="N4906" t="s">
        <v>5094</v>
      </c>
      <c r="O4906">
        <v>14.8</v>
      </c>
      <c r="P4906">
        <v>14.55</v>
      </c>
      <c r="Q4906">
        <v>14.59</v>
      </c>
      <c r="R4906">
        <v>14.66</v>
      </c>
      <c r="S4906">
        <v>1.71</v>
      </c>
      <c r="T4906">
        <v>1.31</v>
      </c>
      <c r="U4906">
        <v>42.5</v>
      </c>
      <c r="V4906">
        <v>129</v>
      </c>
      <c r="W4906">
        <v>14.69</v>
      </c>
      <c r="X4906">
        <v>6472</v>
      </c>
      <c r="Y4906">
        <v>5584</v>
      </c>
      <c r="Z4906">
        <v>1.16</v>
      </c>
      <c r="AA4906">
        <v>3</v>
      </c>
      <c r="AB4906">
        <v>45</v>
      </c>
      <c r="AC4906">
        <v>3.29</v>
      </c>
      <c r="AD4906" t="s">
        <v>5480</v>
      </c>
      <c r="AE4906" t="s">
        <v>7972</v>
      </c>
      <c r="AF4906" t="s">
        <v>20075</v>
      </c>
      <c r="AG4906" t="s">
        <v>21114</v>
      </c>
      <c r="AH4906">
        <v>-1.21</v>
      </c>
      <c r="AI4906">
        <v>0.2</v>
      </c>
      <c r="AJ4906">
        <v>2.4</v>
      </c>
      <c r="AK4906">
        <v>4.68</v>
      </c>
      <c r="AL4906">
        <v>1</v>
      </c>
      <c r="AM4906">
        <v>0.27</v>
      </c>
      <c r="AN4906">
        <v>18.45</v>
      </c>
      <c r="AO4906">
        <v>2.51</v>
      </c>
      <c r="AP4906">
        <v>7.69</v>
      </c>
    </row>
    <row r="4907" spans="1:42">
      <c r="A4907">
        <v>4906</v>
      </c>
      <c r="B4907" t="str">
        <f>"301332"</f>
        <v>301332</v>
      </c>
      <c r="C4907" t="s">
        <v>22188</v>
      </c>
      <c r="D4907">
        <v>12.48</v>
      </c>
      <c r="E4907">
        <v>0.4</v>
      </c>
      <c r="F4907">
        <v>0.05</v>
      </c>
      <c r="G4907" t="s">
        <v>4105</v>
      </c>
      <c r="H4907">
        <v>364</v>
      </c>
      <c r="I4907">
        <v>12.47</v>
      </c>
      <c r="J4907">
        <v>12.48</v>
      </c>
      <c r="K4907" t="s">
        <v>22189</v>
      </c>
      <c r="L4907">
        <v>1.58</v>
      </c>
      <c r="M4907" t="s">
        <v>46</v>
      </c>
      <c r="N4907" t="s">
        <v>2212</v>
      </c>
      <c r="O4907">
        <v>12.56</v>
      </c>
      <c r="P4907">
        <v>12.3</v>
      </c>
      <c r="Q4907">
        <v>12.48</v>
      </c>
      <c r="R4907">
        <v>12.43</v>
      </c>
      <c r="S4907">
        <v>2.09</v>
      </c>
      <c r="T4907">
        <v>0.43</v>
      </c>
      <c r="U4907">
        <v>0.62</v>
      </c>
      <c r="V4907">
        <v>6</v>
      </c>
      <c r="W4907">
        <v>12.44</v>
      </c>
      <c r="X4907">
        <v>7610</v>
      </c>
      <c r="Y4907">
        <v>6617</v>
      </c>
      <c r="Z4907">
        <v>1.15</v>
      </c>
      <c r="AA4907">
        <v>96</v>
      </c>
      <c r="AB4907">
        <v>208</v>
      </c>
      <c r="AC4907">
        <v>2.07</v>
      </c>
      <c r="AD4907" t="s">
        <v>9044</v>
      </c>
      <c r="AE4907" t="s">
        <v>5500</v>
      </c>
      <c r="AF4907" t="s">
        <v>11664</v>
      </c>
      <c r="AG4907" t="s">
        <v>6730</v>
      </c>
      <c r="AH4907">
        <v>-1.58</v>
      </c>
      <c r="AI4907">
        <v>-2.65</v>
      </c>
      <c r="AJ4907">
        <v>6.03</v>
      </c>
      <c r="AK4907">
        <v>20.03</v>
      </c>
      <c r="AL4907">
        <v>1</v>
      </c>
      <c r="AM4907">
        <v>0.4</v>
      </c>
      <c r="AN4907">
        <v>-15.73</v>
      </c>
      <c r="AO4907">
        <v>-1.03</v>
      </c>
      <c r="AP4907">
        <v>-15.73</v>
      </c>
    </row>
    <row r="4908" spans="1:42">
      <c r="A4908">
        <v>4907</v>
      </c>
      <c r="B4908" t="str">
        <f>"603787"</f>
        <v>603787</v>
      </c>
      <c r="C4908" t="s">
        <v>22190</v>
      </c>
      <c r="D4908">
        <v>14.13</v>
      </c>
      <c r="E4908">
        <v>-0.56</v>
      </c>
      <c r="F4908">
        <v>-0.08</v>
      </c>
      <c r="G4908" t="s">
        <v>682</v>
      </c>
      <c r="H4908">
        <v>96</v>
      </c>
      <c r="I4908">
        <v>14.12</v>
      </c>
      <c r="J4908">
        <v>14.13</v>
      </c>
      <c r="K4908" t="s">
        <v>22191</v>
      </c>
      <c r="L4908">
        <v>0.62</v>
      </c>
      <c r="M4908" t="s">
        <v>46</v>
      </c>
      <c r="N4908" t="s">
        <v>3096</v>
      </c>
      <c r="O4908">
        <v>14.31</v>
      </c>
      <c r="P4908">
        <v>13.9</v>
      </c>
      <c r="Q4908">
        <v>14.13</v>
      </c>
      <c r="R4908">
        <v>14.21</v>
      </c>
      <c r="S4908">
        <v>2.89</v>
      </c>
      <c r="T4908">
        <v>0.96</v>
      </c>
      <c r="U4908">
        <v>-22.82</v>
      </c>
      <c r="V4908">
        <v>-55</v>
      </c>
      <c r="W4908">
        <v>14.07</v>
      </c>
      <c r="X4908">
        <v>6574</v>
      </c>
      <c r="Y4908">
        <v>5997</v>
      </c>
      <c r="Z4908">
        <v>1.1</v>
      </c>
      <c r="AA4908">
        <v>5</v>
      </c>
      <c r="AB4908">
        <v>37</v>
      </c>
      <c r="AC4908">
        <v>2.09</v>
      </c>
      <c r="AD4908" t="s">
        <v>22192</v>
      </c>
      <c r="AE4908" t="s">
        <v>19796</v>
      </c>
      <c r="AF4908" t="s">
        <v>12345</v>
      </c>
      <c r="AG4908" t="s">
        <v>10949</v>
      </c>
      <c r="AH4908">
        <v>-2.15</v>
      </c>
      <c r="AI4908">
        <v>-1.05</v>
      </c>
      <c r="AJ4908">
        <v>1.77</v>
      </c>
      <c r="AK4908">
        <v>3.82</v>
      </c>
      <c r="AL4908">
        <v>-3</v>
      </c>
      <c r="AM4908">
        <v>-0.56</v>
      </c>
      <c r="AN4908">
        <v>-19.72</v>
      </c>
      <c r="AO4908">
        <v>0.86</v>
      </c>
      <c r="AP4908">
        <v>-29.88</v>
      </c>
    </row>
    <row r="4909" spans="1:42">
      <c r="A4909">
        <v>4908</v>
      </c>
      <c r="B4909" t="str">
        <f>"603016"</f>
        <v>603016</v>
      </c>
      <c r="C4909" t="s">
        <v>22193</v>
      </c>
      <c r="D4909">
        <v>20.42</v>
      </c>
      <c r="E4909">
        <v>-1.35</v>
      </c>
      <c r="F4909">
        <v>-0.28</v>
      </c>
      <c r="G4909">
        <v>8623</v>
      </c>
      <c r="H4909">
        <v>94</v>
      </c>
      <c r="I4909">
        <v>20.4</v>
      </c>
      <c r="J4909">
        <v>20.42</v>
      </c>
      <c r="K4909" t="s">
        <v>22194</v>
      </c>
      <c r="L4909">
        <v>0.58</v>
      </c>
      <c r="M4909" t="s">
        <v>46</v>
      </c>
      <c r="N4909" t="s">
        <v>2982</v>
      </c>
      <c r="O4909">
        <v>20.8</v>
      </c>
      <c r="P4909">
        <v>20</v>
      </c>
      <c r="Q4909">
        <v>20.73</v>
      </c>
      <c r="R4909">
        <v>20.7</v>
      </c>
      <c r="S4909">
        <v>3.86</v>
      </c>
      <c r="T4909">
        <v>1.3</v>
      </c>
      <c r="U4909">
        <v>-9.09</v>
      </c>
      <c r="V4909">
        <v>-24</v>
      </c>
      <c r="W4909">
        <v>20.49</v>
      </c>
      <c r="X4909">
        <v>4105</v>
      </c>
      <c r="Y4909">
        <v>4518</v>
      </c>
      <c r="Z4909">
        <v>0.91</v>
      </c>
      <c r="AA4909">
        <v>10</v>
      </c>
      <c r="AB4909">
        <v>81</v>
      </c>
      <c r="AC4909">
        <v>3.72</v>
      </c>
      <c r="AD4909" t="s">
        <v>4253</v>
      </c>
      <c r="AE4909" t="s">
        <v>7122</v>
      </c>
      <c r="AF4909" t="s">
        <v>4253</v>
      </c>
      <c r="AG4909" t="s">
        <v>7122</v>
      </c>
      <c r="AH4909">
        <v>-0.97</v>
      </c>
      <c r="AI4909">
        <v>-1.54</v>
      </c>
      <c r="AJ4909">
        <v>1.54</v>
      </c>
      <c r="AK4909">
        <v>2.82</v>
      </c>
      <c r="AL4909">
        <v>-1</v>
      </c>
      <c r="AM4909">
        <v>-1.35</v>
      </c>
      <c r="AN4909">
        <v>9.49</v>
      </c>
      <c r="AO4909">
        <v>5.37</v>
      </c>
      <c r="AP4909">
        <v>3.13</v>
      </c>
    </row>
    <row r="4910" spans="1:42">
      <c r="A4910">
        <v>4909</v>
      </c>
      <c r="B4910" t="str">
        <f>"001256"</f>
        <v>001256</v>
      </c>
      <c r="C4910" t="s">
        <v>22195</v>
      </c>
      <c r="D4910">
        <v>18.17</v>
      </c>
      <c r="E4910">
        <v>-0.06</v>
      </c>
      <c r="F4910">
        <v>-0.01</v>
      </c>
      <c r="G4910">
        <v>9708</v>
      </c>
      <c r="H4910">
        <v>64</v>
      </c>
      <c r="I4910">
        <v>18.14</v>
      </c>
      <c r="J4910">
        <v>18.17</v>
      </c>
      <c r="K4910" t="s">
        <v>12801</v>
      </c>
      <c r="L4910">
        <v>2.72</v>
      </c>
      <c r="M4910" t="s">
        <v>46</v>
      </c>
      <c r="N4910" t="s">
        <v>3583</v>
      </c>
      <c r="O4910">
        <v>18.26</v>
      </c>
      <c r="P4910">
        <v>18</v>
      </c>
      <c r="Q4910">
        <v>18.21</v>
      </c>
      <c r="R4910">
        <v>18.18</v>
      </c>
      <c r="S4910">
        <v>1.43</v>
      </c>
      <c r="T4910">
        <v>0.82</v>
      </c>
      <c r="U4910">
        <v>-27.8</v>
      </c>
      <c r="V4910">
        <v>-67</v>
      </c>
      <c r="W4910">
        <v>18.14</v>
      </c>
      <c r="X4910">
        <v>5158</v>
      </c>
      <c r="Y4910">
        <v>4550</v>
      </c>
      <c r="Z4910">
        <v>1.13</v>
      </c>
      <c r="AA4910">
        <v>10</v>
      </c>
      <c r="AB4910">
        <v>22</v>
      </c>
      <c r="AC4910">
        <v>2.37</v>
      </c>
      <c r="AD4910" t="s">
        <v>17643</v>
      </c>
      <c r="AE4910" t="s">
        <v>6622</v>
      </c>
      <c r="AF4910" t="s">
        <v>18567</v>
      </c>
      <c r="AG4910" t="s">
        <v>22196</v>
      </c>
      <c r="AH4910">
        <v>-1.52</v>
      </c>
      <c r="AI4910">
        <v>-1.73</v>
      </c>
      <c r="AJ4910">
        <v>8.36</v>
      </c>
      <c r="AK4910">
        <v>19.41</v>
      </c>
      <c r="AL4910">
        <v>-3</v>
      </c>
      <c r="AM4910">
        <v>-0.06</v>
      </c>
      <c r="AN4910">
        <v>-30.03</v>
      </c>
      <c r="AO4910">
        <v>0.55</v>
      </c>
      <c r="AP4910">
        <v>34.89</v>
      </c>
    </row>
    <row r="4911" spans="1:42">
      <c r="A4911">
        <v>4910</v>
      </c>
      <c r="B4911" t="str">
        <f>"000692"</f>
        <v>000692</v>
      </c>
      <c r="C4911" t="s">
        <v>22197</v>
      </c>
      <c r="D4911">
        <v>2.68</v>
      </c>
      <c r="E4911">
        <v>0</v>
      </c>
      <c r="F4911">
        <v>0</v>
      </c>
      <c r="G4911" t="s">
        <v>7394</v>
      </c>
      <c r="H4911">
        <v>345</v>
      </c>
      <c r="I4911">
        <v>2.68</v>
      </c>
      <c r="J4911">
        <v>2.69</v>
      </c>
      <c r="K4911" t="s">
        <v>22198</v>
      </c>
      <c r="L4911">
        <v>1.24</v>
      </c>
      <c r="M4911" t="s">
        <v>46</v>
      </c>
      <c r="N4911" t="s">
        <v>261</v>
      </c>
      <c r="O4911">
        <v>2.71</v>
      </c>
      <c r="P4911">
        <v>2.63</v>
      </c>
      <c r="Q4911">
        <v>2.68</v>
      </c>
      <c r="R4911">
        <v>2.68</v>
      </c>
      <c r="S4911">
        <v>2.99</v>
      </c>
      <c r="T4911">
        <v>1.14</v>
      </c>
      <c r="U4911">
        <v>-34.87</v>
      </c>
      <c r="V4911">
        <v>-3678</v>
      </c>
      <c r="W4911">
        <v>2.67</v>
      </c>
      <c r="X4911" t="s">
        <v>5767</v>
      </c>
      <c r="Y4911" t="s">
        <v>9272</v>
      </c>
      <c r="Z4911">
        <v>1.7</v>
      </c>
      <c r="AA4911">
        <v>683</v>
      </c>
      <c r="AB4911">
        <v>2313</v>
      </c>
      <c r="AC4911">
        <v>-0.6</v>
      </c>
      <c r="AD4911" t="s">
        <v>16624</v>
      </c>
      <c r="AE4911" t="s">
        <v>22199</v>
      </c>
      <c r="AF4911" t="s">
        <v>16624</v>
      </c>
      <c r="AG4911" t="s">
        <v>22199</v>
      </c>
      <c r="AH4911">
        <v>5.51</v>
      </c>
      <c r="AI4911">
        <v>1.13</v>
      </c>
      <c r="AJ4911">
        <v>4.43</v>
      </c>
      <c r="AK4911">
        <v>6.68</v>
      </c>
      <c r="AL4911">
        <v>0</v>
      </c>
      <c r="AM4911">
        <v>0</v>
      </c>
      <c r="AN4911">
        <v>-21.18</v>
      </c>
      <c r="AO4911">
        <v>1.13</v>
      </c>
      <c r="AP4911">
        <v>-23.65</v>
      </c>
    </row>
    <row r="4912" spans="1:42">
      <c r="A4912">
        <v>4911</v>
      </c>
      <c r="B4912" t="str">
        <f>"002569"</f>
        <v>002569</v>
      </c>
      <c r="C4912" t="s">
        <v>22200</v>
      </c>
      <c r="D4912">
        <v>8.66</v>
      </c>
      <c r="E4912">
        <v>2.49</v>
      </c>
      <c r="F4912">
        <v>0.21</v>
      </c>
      <c r="G4912" t="s">
        <v>3372</v>
      </c>
      <c r="H4912">
        <v>427</v>
      </c>
      <c r="I4912">
        <v>8.65</v>
      </c>
      <c r="J4912">
        <v>8.66</v>
      </c>
      <c r="K4912" t="s">
        <v>22201</v>
      </c>
      <c r="L4912">
        <v>1.47</v>
      </c>
      <c r="M4912" t="s">
        <v>46</v>
      </c>
      <c r="N4912" t="s">
        <v>22202</v>
      </c>
      <c r="O4912">
        <v>8.7</v>
      </c>
      <c r="P4912">
        <v>8.41</v>
      </c>
      <c r="Q4912">
        <v>8.51</v>
      </c>
      <c r="R4912">
        <v>8.45</v>
      </c>
      <c r="S4912">
        <v>3.43</v>
      </c>
      <c r="T4912">
        <v>0.66</v>
      </c>
      <c r="U4912">
        <v>-58.38</v>
      </c>
      <c r="V4912">
        <v>-1459</v>
      </c>
      <c r="W4912">
        <v>8.56</v>
      </c>
      <c r="X4912" t="s">
        <v>1743</v>
      </c>
      <c r="Y4912">
        <v>8917</v>
      </c>
      <c r="Z4912">
        <v>1.3</v>
      </c>
      <c r="AA4912">
        <v>30</v>
      </c>
      <c r="AB4912">
        <v>1125</v>
      </c>
      <c r="AC4912">
        <v>9.8</v>
      </c>
      <c r="AD4912" t="s">
        <v>14041</v>
      </c>
      <c r="AE4912" t="s">
        <v>19034</v>
      </c>
      <c r="AF4912" t="s">
        <v>20344</v>
      </c>
      <c r="AG4912" t="s">
        <v>13207</v>
      </c>
      <c r="AH4912">
        <v>-0.46</v>
      </c>
      <c r="AI4912">
        <v>4.21</v>
      </c>
      <c r="AJ4912">
        <v>5.94</v>
      </c>
      <c r="AK4912">
        <v>12.61</v>
      </c>
      <c r="AL4912">
        <v>2</v>
      </c>
      <c r="AM4912">
        <v>2.49</v>
      </c>
      <c r="AN4912">
        <v>34.06</v>
      </c>
      <c r="AO4912">
        <v>15.62</v>
      </c>
      <c r="AP4912">
        <v>30.03</v>
      </c>
    </row>
    <row r="4913" spans="1:42">
      <c r="A4913">
        <v>4912</v>
      </c>
      <c r="B4913" t="str">
        <f>"688237"</f>
        <v>688237</v>
      </c>
      <c r="C4913" t="s">
        <v>22203</v>
      </c>
      <c r="D4913">
        <v>39.02</v>
      </c>
      <c r="E4913">
        <v>0</v>
      </c>
      <c r="F4913">
        <v>0</v>
      </c>
      <c r="G4913">
        <v>4516</v>
      </c>
      <c r="H4913">
        <v>53</v>
      </c>
      <c r="I4913">
        <v>39.01</v>
      </c>
      <c r="J4913">
        <v>39.02</v>
      </c>
      <c r="K4913" t="s">
        <v>22204</v>
      </c>
      <c r="L4913">
        <v>1.07</v>
      </c>
      <c r="M4913" t="s">
        <v>46</v>
      </c>
      <c r="N4913" t="s">
        <v>3757</v>
      </c>
      <c r="O4913">
        <v>39.4</v>
      </c>
      <c r="P4913">
        <v>38.6</v>
      </c>
      <c r="Q4913">
        <v>38.97</v>
      </c>
      <c r="R4913">
        <v>39.02</v>
      </c>
      <c r="S4913">
        <v>2.05</v>
      </c>
      <c r="T4913">
        <v>0.42</v>
      </c>
      <c r="U4913">
        <v>-62.75</v>
      </c>
      <c r="V4913">
        <v>-104</v>
      </c>
      <c r="W4913">
        <v>38.91</v>
      </c>
      <c r="X4913">
        <v>2697</v>
      </c>
      <c r="Y4913">
        <v>1819</v>
      </c>
      <c r="Z4913">
        <v>1.48</v>
      </c>
      <c r="AA4913">
        <v>8</v>
      </c>
      <c r="AB4913">
        <v>59</v>
      </c>
      <c r="AC4913">
        <v>2.63</v>
      </c>
      <c r="AD4913" t="s">
        <v>15562</v>
      </c>
      <c r="AE4913" t="s">
        <v>22205</v>
      </c>
      <c r="AF4913" t="s">
        <v>17421</v>
      </c>
      <c r="AG4913" t="s">
        <v>831</v>
      </c>
      <c r="AH4913">
        <v>-6.27</v>
      </c>
      <c r="AI4913">
        <v>-3.94</v>
      </c>
      <c r="AJ4913">
        <v>5.13</v>
      </c>
      <c r="AK4913">
        <v>13.87</v>
      </c>
      <c r="AL4913">
        <v>0</v>
      </c>
      <c r="AM4913">
        <v>0</v>
      </c>
      <c r="AN4913">
        <v>-30.22</v>
      </c>
      <c r="AO4913">
        <v>-10.75</v>
      </c>
      <c r="AP4913">
        <v>-39.03</v>
      </c>
    </row>
    <row r="4914" spans="1:42">
      <c r="A4914">
        <v>4913</v>
      </c>
      <c r="B4914" t="str">
        <f>"000971"</f>
        <v>000971</v>
      </c>
      <c r="C4914" t="s">
        <v>22206</v>
      </c>
      <c r="D4914">
        <v>1.98</v>
      </c>
      <c r="E4914">
        <v>-0.5</v>
      </c>
      <c r="F4914">
        <v>-0.01</v>
      </c>
      <c r="G4914" t="s">
        <v>6031</v>
      </c>
      <c r="H4914">
        <v>3044</v>
      </c>
      <c r="I4914">
        <v>1.97</v>
      </c>
      <c r="J4914">
        <v>1.98</v>
      </c>
      <c r="K4914" t="s">
        <v>22204</v>
      </c>
      <c r="L4914">
        <v>1.04</v>
      </c>
      <c r="M4914" t="s">
        <v>46</v>
      </c>
      <c r="N4914" t="s">
        <v>4102</v>
      </c>
      <c r="O4914">
        <v>2.01</v>
      </c>
      <c r="P4914">
        <v>1.96</v>
      </c>
      <c r="Q4914">
        <v>1.99</v>
      </c>
      <c r="R4914">
        <v>1.99</v>
      </c>
      <c r="S4914">
        <v>2.51</v>
      </c>
      <c r="T4914">
        <v>0.85</v>
      </c>
      <c r="U4914">
        <v>-19.73</v>
      </c>
      <c r="V4914">
        <v>-6323</v>
      </c>
      <c r="W4914">
        <v>1.99</v>
      </c>
      <c r="X4914" t="s">
        <v>8404</v>
      </c>
      <c r="Y4914" t="s">
        <v>4988</v>
      </c>
      <c r="Z4914">
        <v>0.83</v>
      </c>
      <c r="AA4914">
        <v>6122</v>
      </c>
      <c r="AB4914">
        <v>171</v>
      </c>
      <c r="AC4914">
        <v>7.57</v>
      </c>
      <c r="AD4914" t="s">
        <v>22207</v>
      </c>
      <c r="AE4914" t="s">
        <v>15394</v>
      </c>
      <c r="AF4914" t="s">
        <v>22208</v>
      </c>
      <c r="AG4914" t="s">
        <v>11108</v>
      </c>
      <c r="AH4914">
        <v>3.66</v>
      </c>
      <c r="AI4914">
        <v>-0.5</v>
      </c>
      <c r="AJ4914">
        <v>5.42</v>
      </c>
      <c r="AK4914">
        <v>7.18</v>
      </c>
      <c r="AL4914">
        <v>-2</v>
      </c>
      <c r="AM4914">
        <v>-0.5</v>
      </c>
      <c r="AN4914">
        <v>5.32</v>
      </c>
      <c r="AO4914">
        <v>1.54</v>
      </c>
      <c r="AP4914">
        <v>2.06</v>
      </c>
    </row>
    <row r="4915" spans="1:42">
      <c r="A4915">
        <v>4914</v>
      </c>
      <c r="B4915" t="str">
        <f>"603579"</f>
        <v>603579</v>
      </c>
      <c r="C4915" t="s">
        <v>22209</v>
      </c>
      <c r="D4915">
        <v>21.87</v>
      </c>
      <c r="E4915">
        <v>-0.55</v>
      </c>
      <c r="F4915">
        <v>-0.12</v>
      </c>
      <c r="G4915">
        <v>8016</v>
      </c>
      <c r="H4915">
        <v>51</v>
      </c>
      <c r="I4915">
        <v>21.83</v>
      </c>
      <c r="J4915">
        <v>21.87</v>
      </c>
      <c r="K4915" t="s">
        <v>22210</v>
      </c>
      <c r="L4915">
        <v>0.58</v>
      </c>
      <c r="M4915" t="s">
        <v>46</v>
      </c>
      <c r="N4915" t="s">
        <v>1638</v>
      </c>
      <c r="O4915">
        <v>22.08</v>
      </c>
      <c r="P4915">
        <v>21.81</v>
      </c>
      <c r="Q4915">
        <v>22.01</v>
      </c>
      <c r="R4915">
        <v>21.99</v>
      </c>
      <c r="S4915">
        <v>1.23</v>
      </c>
      <c r="T4915">
        <v>0.8</v>
      </c>
      <c r="U4915">
        <v>25.44</v>
      </c>
      <c r="V4915">
        <v>86</v>
      </c>
      <c r="W4915">
        <v>21.9</v>
      </c>
      <c r="X4915">
        <v>4056</v>
      </c>
      <c r="Y4915">
        <v>3960</v>
      </c>
      <c r="Z4915">
        <v>1.02</v>
      </c>
      <c r="AA4915">
        <v>31</v>
      </c>
      <c r="AB4915">
        <v>2</v>
      </c>
      <c r="AC4915">
        <v>1.55</v>
      </c>
      <c r="AD4915" t="s">
        <v>11146</v>
      </c>
      <c r="AE4915" t="s">
        <v>22211</v>
      </c>
      <c r="AF4915" t="s">
        <v>11146</v>
      </c>
      <c r="AG4915" t="s">
        <v>22211</v>
      </c>
      <c r="AH4915">
        <v>-0.77</v>
      </c>
      <c r="AI4915">
        <v>-0.55</v>
      </c>
      <c r="AJ4915">
        <v>1.89</v>
      </c>
      <c r="AK4915">
        <v>4.18</v>
      </c>
      <c r="AL4915">
        <v>-1</v>
      </c>
      <c r="AM4915">
        <v>-0.55</v>
      </c>
      <c r="AN4915">
        <v>12.21</v>
      </c>
      <c r="AO4915">
        <v>7.26</v>
      </c>
      <c r="AP4915">
        <v>7.63</v>
      </c>
    </row>
    <row r="4916" spans="1:42">
      <c r="A4916">
        <v>4915</v>
      </c>
      <c r="B4916" t="str">
        <f>"688395"</f>
        <v>688395</v>
      </c>
      <c r="C4916" t="s">
        <v>22212</v>
      </c>
      <c r="D4916">
        <v>23.73</v>
      </c>
      <c r="E4916">
        <v>-0.71</v>
      </c>
      <c r="F4916">
        <v>-0.17</v>
      </c>
      <c r="G4916">
        <v>7440</v>
      </c>
      <c r="H4916">
        <v>55</v>
      </c>
      <c r="I4916">
        <v>23.69</v>
      </c>
      <c r="J4916">
        <v>23.73</v>
      </c>
      <c r="K4916" t="s">
        <v>22210</v>
      </c>
      <c r="L4916">
        <v>1.9</v>
      </c>
      <c r="M4916" t="s">
        <v>46</v>
      </c>
      <c r="N4916" t="s">
        <v>4894</v>
      </c>
      <c r="O4916">
        <v>23.91</v>
      </c>
      <c r="P4916">
        <v>23.42</v>
      </c>
      <c r="Q4916">
        <v>23.9</v>
      </c>
      <c r="R4916">
        <v>23.9</v>
      </c>
      <c r="S4916">
        <v>2.05</v>
      </c>
      <c r="T4916">
        <v>0.94</v>
      </c>
      <c r="U4916">
        <v>23.47</v>
      </c>
      <c r="V4916">
        <v>26</v>
      </c>
      <c r="W4916">
        <v>23.59</v>
      </c>
      <c r="X4916">
        <v>4228</v>
      </c>
      <c r="Y4916">
        <v>3212</v>
      </c>
      <c r="Z4916">
        <v>1.32</v>
      </c>
      <c r="AA4916">
        <v>5</v>
      </c>
      <c r="AB4916">
        <v>9</v>
      </c>
      <c r="AC4916">
        <v>2.85</v>
      </c>
      <c r="AD4916" t="s">
        <v>22213</v>
      </c>
      <c r="AE4916" t="s">
        <v>21774</v>
      </c>
      <c r="AF4916" t="s">
        <v>22214</v>
      </c>
      <c r="AG4916" t="s">
        <v>22215</v>
      </c>
      <c r="AH4916">
        <v>-3.18</v>
      </c>
      <c r="AI4916">
        <v>-1.94</v>
      </c>
      <c r="AJ4916">
        <v>5.93</v>
      </c>
      <c r="AK4916">
        <v>12.05</v>
      </c>
      <c r="AL4916">
        <v>-3</v>
      </c>
      <c r="AM4916">
        <v>-0.71</v>
      </c>
      <c r="AN4916">
        <v>32.57</v>
      </c>
      <c r="AO4916">
        <v>0.76</v>
      </c>
      <c r="AP4916">
        <v>19.43</v>
      </c>
    </row>
    <row r="4917" spans="1:42">
      <c r="A4917">
        <v>4916</v>
      </c>
      <c r="B4917" t="str">
        <f>"300154"</f>
        <v>300154</v>
      </c>
      <c r="C4917" t="s">
        <v>22216</v>
      </c>
      <c r="D4917">
        <v>7.48</v>
      </c>
      <c r="E4917">
        <v>-0.66</v>
      </c>
      <c r="F4917">
        <v>-0.05</v>
      </c>
      <c r="G4917" t="s">
        <v>3151</v>
      </c>
      <c r="H4917">
        <v>321</v>
      </c>
      <c r="I4917">
        <v>7.48</v>
      </c>
      <c r="J4917">
        <v>7.49</v>
      </c>
      <c r="K4917" t="s">
        <v>22217</v>
      </c>
      <c r="L4917">
        <v>0.73</v>
      </c>
      <c r="M4917" t="s">
        <v>46</v>
      </c>
      <c r="N4917" t="s">
        <v>20999</v>
      </c>
      <c r="O4917">
        <v>7.53</v>
      </c>
      <c r="P4917">
        <v>7.39</v>
      </c>
      <c r="Q4917">
        <v>7.51</v>
      </c>
      <c r="R4917">
        <v>7.53</v>
      </c>
      <c r="S4917">
        <v>1.86</v>
      </c>
      <c r="T4917">
        <v>0.7</v>
      </c>
      <c r="U4917">
        <v>11.29</v>
      </c>
      <c r="V4917">
        <v>129</v>
      </c>
      <c r="W4917">
        <v>7.47</v>
      </c>
      <c r="X4917" t="s">
        <v>734</v>
      </c>
      <c r="Y4917" t="s">
        <v>1254</v>
      </c>
      <c r="Z4917">
        <v>0.92</v>
      </c>
      <c r="AA4917">
        <v>19</v>
      </c>
      <c r="AB4917">
        <v>218</v>
      </c>
      <c r="AC4917">
        <v>1.98</v>
      </c>
      <c r="AD4917" t="s">
        <v>22218</v>
      </c>
      <c r="AE4917" t="s">
        <v>15447</v>
      </c>
      <c r="AF4917" t="s">
        <v>22219</v>
      </c>
      <c r="AG4917" t="s">
        <v>3336</v>
      </c>
      <c r="AH4917">
        <v>-1.45</v>
      </c>
      <c r="AI4917">
        <v>-0.27</v>
      </c>
      <c r="AJ4917">
        <v>2.42</v>
      </c>
      <c r="AK4917">
        <v>5.98</v>
      </c>
      <c r="AL4917">
        <v>-3</v>
      </c>
      <c r="AM4917">
        <v>-0.66</v>
      </c>
      <c r="AN4917">
        <v>37.25</v>
      </c>
      <c r="AO4917">
        <v>2.75</v>
      </c>
      <c r="AP4917">
        <v>18.54</v>
      </c>
    </row>
    <row r="4918" spans="1:42">
      <c r="A4918">
        <v>4917</v>
      </c>
      <c r="B4918" t="str">
        <f>"301283"</f>
        <v>301283</v>
      </c>
      <c r="C4918" t="s">
        <v>22220</v>
      </c>
      <c r="D4918">
        <v>35.13</v>
      </c>
      <c r="E4918">
        <v>0.23</v>
      </c>
      <c r="F4918">
        <v>0.08</v>
      </c>
      <c r="G4918">
        <v>5003</v>
      </c>
      <c r="H4918">
        <v>9</v>
      </c>
      <c r="I4918">
        <v>35.09</v>
      </c>
      <c r="J4918">
        <v>35.13</v>
      </c>
      <c r="K4918" t="s">
        <v>22221</v>
      </c>
      <c r="L4918">
        <v>1.13</v>
      </c>
      <c r="M4918" t="s">
        <v>46</v>
      </c>
      <c r="N4918" t="s">
        <v>4336</v>
      </c>
      <c r="O4918">
        <v>35.4</v>
      </c>
      <c r="P4918">
        <v>34.76</v>
      </c>
      <c r="Q4918">
        <v>35.05</v>
      </c>
      <c r="R4918">
        <v>35.05</v>
      </c>
      <c r="S4918">
        <v>1.83</v>
      </c>
      <c r="T4918">
        <v>1.16</v>
      </c>
      <c r="U4918">
        <v>2.22</v>
      </c>
      <c r="V4918">
        <v>2</v>
      </c>
      <c r="W4918">
        <v>34.99</v>
      </c>
      <c r="X4918">
        <v>2549</v>
      </c>
      <c r="Y4918">
        <v>2455</v>
      </c>
      <c r="Z4918">
        <v>1.04</v>
      </c>
      <c r="AA4918">
        <v>2</v>
      </c>
      <c r="AB4918">
        <v>14</v>
      </c>
      <c r="AC4918">
        <v>1.93</v>
      </c>
      <c r="AD4918" t="s">
        <v>3612</v>
      </c>
      <c r="AE4918" t="s">
        <v>14062</v>
      </c>
      <c r="AF4918" t="s">
        <v>22222</v>
      </c>
      <c r="AG4918" t="s">
        <v>7556</v>
      </c>
      <c r="AH4918">
        <v>-1.46</v>
      </c>
      <c r="AI4918">
        <v>-0.93</v>
      </c>
      <c r="AJ4918">
        <v>2.81</v>
      </c>
      <c r="AK4918">
        <v>5.98</v>
      </c>
      <c r="AL4918">
        <v>1</v>
      </c>
      <c r="AM4918">
        <v>0.23</v>
      </c>
      <c r="AN4918">
        <v>-34.02</v>
      </c>
      <c r="AO4918">
        <v>2.3</v>
      </c>
      <c r="AP4918">
        <v>-32.62</v>
      </c>
    </row>
    <row r="4919" spans="1:42">
      <c r="A4919">
        <v>4918</v>
      </c>
      <c r="B4919" t="str">
        <f>"301223"</f>
        <v>301223</v>
      </c>
      <c r="C4919" t="s">
        <v>22223</v>
      </c>
      <c r="D4919">
        <v>18.79</v>
      </c>
      <c r="E4919">
        <v>1.57</v>
      </c>
      <c r="F4919">
        <v>0.29</v>
      </c>
      <c r="G4919">
        <v>9392</v>
      </c>
      <c r="H4919">
        <v>394</v>
      </c>
      <c r="I4919">
        <v>18.78</v>
      </c>
      <c r="J4919">
        <v>18.79</v>
      </c>
      <c r="K4919" t="s">
        <v>22224</v>
      </c>
      <c r="L4919">
        <v>0.84</v>
      </c>
      <c r="M4919" t="s">
        <v>46</v>
      </c>
      <c r="N4919" t="s">
        <v>4278</v>
      </c>
      <c r="O4919">
        <v>18.79</v>
      </c>
      <c r="P4919">
        <v>18.36</v>
      </c>
      <c r="Q4919">
        <v>18.51</v>
      </c>
      <c r="R4919">
        <v>18.5</v>
      </c>
      <c r="S4919">
        <v>2.32</v>
      </c>
      <c r="T4919">
        <v>1.49</v>
      </c>
      <c r="U4919">
        <v>85.58</v>
      </c>
      <c r="V4919">
        <v>1876</v>
      </c>
      <c r="W4919">
        <v>18.64</v>
      </c>
      <c r="X4919">
        <v>4304</v>
      </c>
      <c r="Y4919">
        <v>5088</v>
      </c>
      <c r="Z4919">
        <v>0.85</v>
      </c>
      <c r="AA4919">
        <v>58</v>
      </c>
      <c r="AB4919">
        <v>8</v>
      </c>
      <c r="AC4919">
        <v>1.29</v>
      </c>
      <c r="AD4919" t="s">
        <v>21932</v>
      </c>
      <c r="AE4919" t="s">
        <v>15702</v>
      </c>
      <c r="AF4919" t="s">
        <v>14495</v>
      </c>
      <c r="AG4919" t="s">
        <v>22225</v>
      </c>
      <c r="AH4919">
        <v>0.64</v>
      </c>
      <c r="AI4919">
        <v>0.27</v>
      </c>
      <c r="AJ4919">
        <v>1.84</v>
      </c>
      <c r="AK4919">
        <v>3.66</v>
      </c>
      <c r="AL4919">
        <v>1</v>
      </c>
      <c r="AM4919">
        <v>1.57</v>
      </c>
      <c r="AN4919">
        <v>1.13</v>
      </c>
      <c r="AO4919">
        <v>2.06</v>
      </c>
      <c r="AP4919">
        <v>-10.27</v>
      </c>
    </row>
    <row r="4920" spans="1:42">
      <c r="A4920">
        <v>4919</v>
      </c>
      <c r="B4920" t="str">
        <f>"600983"</f>
        <v>600983</v>
      </c>
      <c r="C4920" t="s">
        <v>22226</v>
      </c>
      <c r="D4920">
        <v>8.37</v>
      </c>
      <c r="E4920">
        <v>1.95</v>
      </c>
      <c r="F4920">
        <v>0.16</v>
      </c>
      <c r="G4920" t="s">
        <v>5592</v>
      </c>
      <c r="H4920">
        <v>399</v>
      </c>
      <c r="I4920">
        <v>8.35</v>
      </c>
      <c r="J4920">
        <v>8.37</v>
      </c>
      <c r="K4920" t="s">
        <v>22227</v>
      </c>
      <c r="L4920">
        <v>0.27</v>
      </c>
      <c r="M4920" t="s">
        <v>46</v>
      </c>
      <c r="N4920" t="s">
        <v>6348</v>
      </c>
      <c r="O4920">
        <v>8.39</v>
      </c>
      <c r="P4920">
        <v>8.17</v>
      </c>
      <c r="Q4920">
        <v>8.21</v>
      </c>
      <c r="R4920">
        <v>8.21</v>
      </c>
      <c r="S4920">
        <v>2.68</v>
      </c>
      <c r="T4920">
        <v>0.84</v>
      </c>
      <c r="U4920">
        <v>-49.75</v>
      </c>
      <c r="V4920">
        <v>-1271</v>
      </c>
      <c r="W4920">
        <v>8.31</v>
      </c>
      <c r="X4920">
        <v>8956</v>
      </c>
      <c r="Y4920" t="s">
        <v>8636</v>
      </c>
      <c r="Z4920">
        <v>0.74</v>
      </c>
      <c r="AA4920">
        <v>21</v>
      </c>
      <c r="AB4920">
        <v>64</v>
      </c>
      <c r="AC4920">
        <v>2.6</v>
      </c>
      <c r="AD4920" t="s">
        <v>21155</v>
      </c>
      <c r="AE4920" t="s">
        <v>16620</v>
      </c>
      <c r="AF4920" t="s">
        <v>21155</v>
      </c>
      <c r="AG4920" t="s">
        <v>16620</v>
      </c>
      <c r="AH4920">
        <v>1.33</v>
      </c>
      <c r="AI4920">
        <v>0.97</v>
      </c>
      <c r="AJ4920">
        <v>1</v>
      </c>
      <c r="AK4920">
        <v>1.91</v>
      </c>
      <c r="AL4920">
        <v>2</v>
      </c>
      <c r="AM4920">
        <v>1.95</v>
      </c>
      <c r="AN4920">
        <v>34.78</v>
      </c>
      <c r="AO4920">
        <v>13.41</v>
      </c>
      <c r="AP4920">
        <v>30.58</v>
      </c>
    </row>
    <row r="4921" spans="1:42">
      <c r="A4921">
        <v>4920</v>
      </c>
      <c r="B4921" t="str">
        <f>"832802"</f>
        <v>832802</v>
      </c>
      <c r="C4921" t="s">
        <v>22228</v>
      </c>
      <c r="D4921">
        <v>9.06</v>
      </c>
      <c r="E4921">
        <v>1.91</v>
      </c>
      <c r="F4921">
        <v>0.17</v>
      </c>
      <c r="G4921" t="s">
        <v>1525</v>
      </c>
      <c r="H4921">
        <v>177</v>
      </c>
      <c r="I4921">
        <v>9.06</v>
      </c>
      <c r="J4921">
        <v>9.07</v>
      </c>
      <c r="K4921" t="s">
        <v>14312</v>
      </c>
      <c r="L4921">
        <v>11.77</v>
      </c>
      <c r="M4921" t="s">
        <v>46</v>
      </c>
      <c r="N4921" t="s">
        <v>9994</v>
      </c>
      <c r="O4921">
        <v>9.8</v>
      </c>
      <c r="P4921">
        <v>8.88</v>
      </c>
      <c r="Q4921">
        <v>9.05</v>
      </c>
      <c r="R4921">
        <v>8.89</v>
      </c>
      <c r="S4921">
        <v>10.35</v>
      </c>
      <c r="T4921">
        <v>0.43</v>
      </c>
      <c r="U4921">
        <v>-22.23</v>
      </c>
      <c r="V4921">
        <v>-186</v>
      </c>
      <c r="W4921">
        <v>9.23</v>
      </c>
      <c r="X4921" t="s">
        <v>51</v>
      </c>
      <c r="Y4921">
        <v>7942</v>
      </c>
      <c r="Z4921">
        <v>1.38</v>
      </c>
      <c r="AA4921">
        <v>131</v>
      </c>
      <c r="AB4921">
        <v>44</v>
      </c>
      <c r="AC4921">
        <v>1.41</v>
      </c>
      <c r="AD4921" t="s">
        <v>22229</v>
      </c>
      <c r="AE4921" t="s">
        <v>22230</v>
      </c>
      <c r="AF4921" t="s">
        <v>22231</v>
      </c>
      <c r="AG4921" t="s">
        <v>22232</v>
      </c>
      <c r="AH4921">
        <v>-15.25</v>
      </c>
      <c r="AI4921">
        <v>19.21</v>
      </c>
      <c r="AJ4921">
        <v>46.98</v>
      </c>
      <c r="AK4921">
        <v>149.27</v>
      </c>
      <c r="AL4921">
        <v>1</v>
      </c>
      <c r="AM4921">
        <v>1.91</v>
      </c>
      <c r="AN4921">
        <v>-31.42</v>
      </c>
      <c r="AO4921">
        <v>51.25</v>
      </c>
      <c r="AP4921">
        <v>-31.42</v>
      </c>
    </row>
    <row r="4922" spans="1:42">
      <c r="A4922">
        <v>4921</v>
      </c>
      <c r="B4922" t="str">
        <f>"834033"</f>
        <v>834033</v>
      </c>
      <c r="C4922" t="s">
        <v>22233</v>
      </c>
      <c r="D4922">
        <v>33.27</v>
      </c>
      <c r="E4922">
        <v>-5.08</v>
      </c>
      <c r="F4922">
        <v>-1.78</v>
      </c>
      <c r="G4922">
        <v>5107</v>
      </c>
      <c r="H4922">
        <v>13</v>
      </c>
      <c r="I4922">
        <v>33.27</v>
      </c>
      <c r="J4922">
        <v>33.33</v>
      </c>
      <c r="K4922" t="s">
        <v>22234</v>
      </c>
      <c r="L4922">
        <v>1.66</v>
      </c>
      <c r="M4922" t="s">
        <v>46</v>
      </c>
      <c r="N4922" t="s">
        <v>4207</v>
      </c>
      <c r="O4922">
        <v>35.87</v>
      </c>
      <c r="P4922">
        <v>33.27</v>
      </c>
      <c r="Q4922">
        <v>35.15</v>
      </c>
      <c r="R4922">
        <v>35.05</v>
      </c>
      <c r="S4922">
        <v>7.42</v>
      </c>
      <c r="T4922">
        <v>0.53</v>
      </c>
      <c r="U4922">
        <v>18.73</v>
      </c>
      <c r="V4922">
        <v>30</v>
      </c>
      <c r="W4922">
        <v>34.13</v>
      </c>
      <c r="X4922">
        <v>3926</v>
      </c>
      <c r="Y4922">
        <v>1181</v>
      </c>
      <c r="Z4922">
        <v>3.32</v>
      </c>
      <c r="AA4922">
        <v>35</v>
      </c>
      <c r="AB4922">
        <v>27</v>
      </c>
      <c r="AC4922">
        <v>4.79</v>
      </c>
      <c r="AD4922" t="s">
        <v>22235</v>
      </c>
      <c r="AE4922" t="s">
        <v>21508</v>
      </c>
      <c r="AF4922" t="s">
        <v>22236</v>
      </c>
      <c r="AG4922" t="s">
        <v>6086</v>
      </c>
      <c r="AH4922">
        <v>-13.58</v>
      </c>
      <c r="AI4922">
        <v>-5.88</v>
      </c>
      <c r="AJ4922">
        <v>5.91</v>
      </c>
      <c r="AK4922">
        <v>17.38</v>
      </c>
      <c r="AL4922">
        <v>-4</v>
      </c>
      <c r="AM4922">
        <v>-5.08</v>
      </c>
      <c r="AN4922">
        <v>55.18</v>
      </c>
      <c r="AO4922">
        <v>9.51</v>
      </c>
      <c r="AP4922">
        <v>101.64</v>
      </c>
    </row>
    <row r="4923" spans="1:42">
      <c r="A4923">
        <v>4922</v>
      </c>
      <c r="B4923" t="str">
        <f>"301356"</f>
        <v>301356</v>
      </c>
      <c r="C4923" t="s">
        <v>22237</v>
      </c>
      <c r="D4923">
        <v>18.89</v>
      </c>
      <c r="E4923">
        <v>2</v>
      </c>
      <c r="F4923">
        <v>0.37</v>
      </c>
      <c r="G4923">
        <v>9283</v>
      </c>
      <c r="H4923">
        <v>101</v>
      </c>
      <c r="I4923">
        <v>18.87</v>
      </c>
      <c r="J4923">
        <v>18.89</v>
      </c>
      <c r="K4923" t="s">
        <v>22238</v>
      </c>
      <c r="L4923">
        <v>1.72</v>
      </c>
      <c r="M4923" t="s">
        <v>46</v>
      </c>
      <c r="N4923" t="s">
        <v>3818</v>
      </c>
      <c r="O4923">
        <v>19.02</v>
      </c>
      <c r="P4923">
        <v>18.43</v>
      </c>
      <c r="Q4923">
        <v>18.56</v>
      </c>
      <c r="R4923">
        <v>18.52</v>
      </c>
      <c r="S4923">
        <v>3.19</v>
      </c>
      <c r="T4923">
        <v>1.3</v>
      </c>
      <c r="U4923">
        <v>43.87</v>
      </c>
      <c r="V4923">
        <v>165</v>
      </c>
      <c r="W4923">
        <v>18.75</v>
      </c>
      <c r="X4923">
        <v>3439</v>
      </c>
      <c r="Y4923">
        <v>5845</v>
      </c>
      <c r="Z4923">
        <v>0.59</v>
      </c>
      <c r="AA4923">
        <v>1</v>
      </c>
      <c r="AB4923">
        <v>29</v>
      </c>
      <c r="AC4923">
        <v>1.27</v>
      </c>
      <c r="AD4923" t="s">
        <v>6609</v>
      </c>
      <c r="AE4923" t="s">
        <v>5089</v>
      </c>
      <c r="AF4923" t="s">
        <v>22239</v>
      </c>
      <c r="AG4923" t="s">
        <v>22240</v>
      </c>
      <c r="AH4923">
        <v>0.8</v>
      </c>
      <c r="AI4923">
        <v>-0.32</v>
      </c>
      <c r="AJ4923">
        <v>4.26</v>
      </c>
      <c r="AK4923">
        <v>8.34</v>
      </c>
      <c r="AL4923">
        <v>2</v>
      </c>
      <c r="AM4923">
        <v>2</v>
      </c>
      <c r="AN4923">
        <v>-22.83</v>
      </c>
      <c r="AO4923">
        <v>5.83</v>
      </c>
      <c r="AP4923">
        <v>-33.11</v>
      </c>
    </row>
    <row r="4924" spans="1:42">
      <c r="A4924">
        <v>4923</v>
      </c>
      <c r="B4924" t="str">
        <f>"605122"</f>
        <v>605122</v>
      </c>
      <c r="C4924" t="s">
        <v>22241</v>
      </c>
      <c r="D4924">
        <v>16.09</v>
      </c>
      <c r="E4924">
        <v>-0.49</v>
      </c>
      <c r="F4924">
        <v>-0.08</v>
      </c>
      <c r="G4924" t="s">
        <v>7974</v>
      </c>
      <c r="H4924">
        <v>102</v>
      </c>
      <c r="I4924">
        <v>16.08</v>
      </c>
      <c r="J4924">
        <v>16.09</v>
      </c>
      <c r="K4924" t="s">
        <v>22242</v>
      </c>
      <c r="L4924">
        <v>1.83</v>
      </c>
      <c r="M4924" t="s">
        <v>46</v>
      </c>
      <c r="N4924" t="s">
        <v>1592</v>
      </c>
      <c r="O4924">
        <v>16.36</v>
      </c>
      <c r="P4924">
        <v>16</v>
      </c>
      <c r="Q4924">
        <v>16.16</v>
      </c>
      <c r="R4924">
        <v>16.17</v>
      </c>
      <c r="S4924">
        <v>2.23</v>
      </c>
      <c r="T4924">
        <v>0.84</v>
      </c>
      <c r="U4924">
        <v>-53.09</v>
      </c>
      <c r="V4924">
        <v>-265</v>
      </c>
      <c r="W4924">
        <v>16.15</v>
      </c>
      <c r="X4924">
        <v>5662</v>
      </c>
      <c r="Y4924">
        <v>5093</v>
      </c>
      <c r="Z4924">
        <v>1.11</v>
      </c>
      <c r="AA4924">
        <v>6</v>
      </c>
      <c r="AB4924">
        <v>6</v>
      </c>
      <c r="AC4924">
        <v>1.25</v>
      </c>
      <c r="AD4924" t="s">
        <v>22243</v>
      </c>
      <c r="AE4924" t="s">
        <v>15723</v>
      </c>
      <c r="AF4924" t="s">
        <v>22244</v>
      </c>
      <c r="AG4924" t="s">
        <v>22245</v>
      </c>
      <c r="AH4924">
        <v>-1.05</v>
      </c>
      <c r="AI4924">
        <v>-2.84</v>
      </c>
      <c r="AJ4924">
        <v>4.74</v>
      </c>
      <c r="AK4924">
        <v>12.76</v>
      </c>
      <c r="AL4924">
        <v>-1</v>
      </c>
      <c r="AM4924">
        <v>-0.49</v>
      </c>
      <c r="AN4924">
        <v>9.6</v>
      </c>
      <c r="AO4924">
        <v>5.16</v>
      </c>
      <c r="AP4924">
        <v>0.12</v>
      </c>
    </row>
    <row r="4925" spans="1:42">
      <c r="A4925">
        <v>4924</v>
      </c>
      <c r="B4925" t="str">
        <f>"603677"</f>
        <v>603677</v>
      </c>
      <c r="C4925" t="s">
        <v>22246</v>
      </c>
      <c r="D4925">
        <v>14.65</v>
      </c>
      <c r="E4925">
        <v>-0.41</v>
      </c>
      <c r="F4925">
        <v>-0.06</v>
      </c>
      <c r="G4925" t="s">
        <v>1083</v>
      </c>
      <c r="H4925">
        <v>158</v>
      </c>
      <c r="I4925">
        <v>14.65</v>
      </c>
      <c r="J4925">
        <v>14.66</v>
      </c>
      <c r="K4925" t="s">
        <v>22247</v>
      </c>
      <c r="L4925">
        <v>0.61</v>
      </c>
      <c r="M4925" t="s">
        <v>46</v>
      </c>
      <c r="N4925" t="s">
        <v>5022</v>
      </c>
      <c r="O4925">
        <v>14.74</v>
      </c>
      <c r="P4925">
        <v>14.55</v>
      </c>
      <c r="Q4925">
        <v>14.73</v>
      </c>
      <c r="R4925">
        <v>14.71</v>
      </c>
      <c r="S4925">
        <v>1.29</v>
      </c>
      <c r="T4925">
        <v>0.51</v>
      </c>
      <c r="U4925">
        <v>18.49</v>
      </c>
      <c r="V4925">
        <v>88</v>
      </c>
      <c r="W4925">
        <v>14.67</v>
      </c>
      <c r="X4925">
        <v>6628</v>
      </c>
      <c r="Y4925">
        <v>5188</v>
      </c>
      <c r="Z4925">
        <v>1.28</v>
      </c>
      <c r="AA4925">
        <v>2</v>
      </c>
      <c r="AB4925">
        <v>54</v>
      </c>
      <c r="AC4925">
        <v>2.62</v>
      </c>
      <c r="AD4925" t="s">
        <v>147</v>
      </c>
      <c r="AE4925" t="s">
        <v>8876</v>
      </c>
      <c r="AF4925" t="s">
        <v>147</v>
      </c>
      <c r="AG4925" t="s">
        <v>8876</v>
      </c>
      <c r="AH4925">
        <v>-2.01</v>
      </c>
      <c r="AI4925">
        <v>-2.01</v>
      </c>
      <c r="AJ4925">
        <v>2.98</v>
      </c>
      <c r="AK4925">
        <v>6.7</v>
      </c>
      <c r="AL4925">
        <v>-2</v>
      </c>
      <c r="AM4925">
        <v>-0.41</v>
      </c>
      <c r="AN4925">
        <v>32.58</v>
      </c>
      <c r="AO4925">
        <v>1.31</v>
      </c>
      <c r="AP4925">
        <v>26.4</v>
      </c>
    </row>
    <row r="4926" spans="1:42">
      <c r="A4926">
        <v>4925</v>
      </c>
      <c r="B4926" t="str">
        <f>"605162"</f>
        <v>605162</v>
      </c>
      <c r="C4926" t="s">
        <v>22248</v>
      </c>
      <c r="D4926">
        <v>9.25</v>
      </c>
      <c r="E4926">
        <v>0.76</v>
      </c>
      <c r="F4926">
        <v>0.07</v>
      </c>
      <c r="G4926" t="s">
        <v>1072</v>
      </c>
      <c r="H4926">
        <v>71</v>
      </c>
      <c r="I4926">
        <v>9.25</v>
      </c>
      <c r="J4926">
        <v>9.26</v>
      </c>
      <c r="K4926" t="s">
        <v>22249</v>
      </c>
      <c r="L4926">
        <v>1.85</v>
      </c>
      <c r="M4926" t="s">
        <v>46</v>
      </c>
      <c r="N4926" t="s">
        <v>2627</v>
      </c>
      <c r="O4926">
        <v>9.27</v>
      </c>
      <c r="P4926">
        <v>9.18</v>
      </c>
      <c r="Q4926">
        <v>9.26</v>
      </c>
      <c r="R4926">
        <v>9.18</v>
      </c>
      <c r="S4926">
        <v>0.98</v>
      </c>
      <c r="T4926">
        <v>0.92</v>
      </c>
      <c r="U4926">
        <v>-52.32</v>
      </c>
      <c r="V4926">
        <v>-1062</v>
      </c>
      <c r="W4926">
        <v>9.23</v>
      </c>
      <c r="X4926">
        <v>7436</v>
      </c>
      <c r="Y4926" t="s">
        <v>4959</v>
      </c>
      <c r="Z4926">
        <v>0.66</v>
      </c>
      <c r="AA4926">
        <v>129</v>
      </c>
      <c r="AB4926">
        <v>319</v>
      </c>
      <c r="AC4926">
        <v>3.25</v>
      </c>
      <c r="AD4926" t="s">
        <v>4195</v>
      </c>
      <c r="AE4926" t="s">
        <v>17960</v>
      </c>
      <c r="AF4926" t="s">
        <v>22250</v>
      </c>
      <c r="AG4926" t="s">
        <v>22251</v>
      </c>
      <c r="AH4926">
        <v>-0.32</v>
      </c>
      <c r="AI4926">
        <v>0.11</v>
      </c>
      <c r="AJ4926">
        <v>5.47</v>
      </c>
      <c r="AK4926">
        <v>11.86</v>
      </c>
      <c r="AL4926">
        <v>1</v>
      </c>
      <c r="AM4926">
        <v>0.76</v>
      </c>
      <c r="AN4926">
        <v>9.73</v>
      </c>
      <c r="AO4926">
        <v>1.87</v>
      </c>
      <c r="AP4926">
        <v>4.4</v>
      </c>
    </row>
    <row r="4927" spans="1:42">
      <c r="A4927">
        <v>4926</v>
      </c>
      <c r="B4927" t="str">
        <f>"833230"</f>
        <v>833230</v>
      </c>
      <c r="C4927" t="s">
        <v>22252</v>
      </c>
      <c r="D4927">
        <v>10.14</v>
      </c>
      <c r="E4927">
        <v>-5.23</v>
      </c>
      <c r="F4927">
        <v>-0.56</v>
      </c>
      <c r="G4927" t="s">
        <v>1112</v>
      </c>
      <c r="H4927">
        <v>162</v>
      </c>
      <c r="I4927">
        <v>10.14</v>
      </c>
      <c r="J4927">
        <v>10.17</v>
      </c>
      <c r="K4927" t="s">
        <v>22249</v>
      </c>
      <c r="L4927">
        <v>8.81</v>
      </c>
      <c r="M4927" t="s">
        <v>46</v>
      </c>
      <c r="N4927" t="s">
        <v>7870</v>
      </c>
      <c r="O4927">
        <v>11.08</v>
      </c>
      <c r="P4927">
        <v>10.02</v>
      </c>
      <c r="Q4927">
        <v>10.7</v>
      </c>
      <c r="R4927">
        <v>10.7</v>
      </c>
      <c r="S4927">
        <v>9.91</v>
      </c>
      <c r="T4927">
        <v>0.37</v>
      </c>
      <c r="U4927">
        <v>33.76</v>
      </c>
      <c r="V4927">
        <v>320</v>
      </c>
      <c r="W4927">
        <v>10.39</v>
      </c>
      <c r="X4927" t="s">
        <v>239</v>
      </c>
      <c r="Y4927">
        <v>6296</v>
      </c>
      <c r="Z4927">
        <v>1.64</v>
      </c>
      <c r="AA4927">
        <v>106</v>
      </c>
      <c r="AB4927">
        <v>24</v>
      </c>
      <c r="AC4927">
        <v>1.98</v>
      </c>
      <c r="AD4927" t="s">
        <v>22253</v>
      </c>
      <c r="AE4927" t="s">
        <v>22254</v>
      </c>
      <c r="AF4927" t="s">
        <v>21972</v>
      </c>
      <c r="AG4927" t="s">
        <v>13420</v>
      </c>
      <c r="AH4927">
        <v>-15.36</v>
      </c>
      <c r="AI4927">
        <v>-4.43</v>
      </c>
      <c r="AJ4927">
        <v>37.39</v>
      </c>
      <c r="AK4927">
        <v>129.33</v>
      </c>
      <c r="AL4927">
        <v>-4</v>
      </c>
      <c r="AM4927">
        <v>-5.23</v>
      </c>
      <c r="AN4927">
        <v>2.11</v>
      </c>
      <c r="AO4927">
        <v>22.02</v>
      </c>
      <c r="AP4927">
        <v>-39.57</v>
      </c>
    </row>
    <row r="4928" spans="1:42">
      <c r="A4928">
        <v>4927</v>
      </c>
      <c r="B4928" t="str">
        <f>"688081"</f>
        <v>688081</v>
      </c>
      <c r="C4928" t="s">
        <v>22255</v>
      </c>
      <c r="D4928">
        <v>16.95</v>
      </c>
      <c r="E4928">
        <v>1.68</v>
      </c>
      <c r="F4928">
        <v>0.28</v>
      </c>
      <c r="G4928" t="s">
        <v>1154</v>
      </c>
      <c r="H4928">
        <v>32</v>
      </c>
      <c r="I4928">
        <v>16.94</v>
      </c>
      <c r="J4928">
        <v>16.95</v>
      </c>
      <c r="K4928" t="s">
        <v>22256</v>
      </c>
      <c r="L4928">
        <v>1</v>
      </c>
      <c r="M4928" t="s">
        <v>46</v>
      </c>
      <c r="N4928" t="s">
        <v>22257</v>
      </c>
      <c r="O4928">
        <v>16.98</v>
      </c>
      <c r="P4928">
        <v>16.52</v>
      </c>
      <c r="Q4928">
        <v>16.86</v>
      </c>
      <c r="R4928">
        <v>16.67</v>
      </c>
      <c r="S4928">
        <v>2.76</v>
      </c>
      <c r="T4928">
        <v>1.09</v>
      </c>
      <c r="U4928">
        <v>-29.77</v>
      </c>
      <c r="V4928">
        <v>-70</v>
      </c>
      <c r="W4928">
        <v>16.77</v>
      </c>
      <c r="X4928">
        <v>3549</v>
      </c>
      <c r="Y4928">
        <v>6760</v>
      </c>
      <c r="Z4928">
        <v>0.53</v>
      </c>
      <c r="AA4928">
        <v>34</v>
      </c>
      <c r="AB4928">
        <v>21</v>
      </c>
      <c r="AC4928">
        <v>3.13</v>
      </c>
      <c r="AD4928" t="s">
        <v>9559</v>
      </c>
      <c r="AE4928" t="s">
        <v>17988</v>
      </c>
      <c r="AF4928" t="s">
        <v>9559</v>
      </c>
      <c r="AG4928" t="s">
        <v>17988</v>
      </c>
      <c r="AH4928">
        <v>0.65</v>
      </c>
      <c r="AI4928">
        <v>0.3</v>
      </c>
      <c r="AJ4928">
        <v>2.71</v>
      </c>
      <c r="AK4928">
        <v>5.57</v>
      </c>
      <c r="AL4928">
        <v>1</v>
      </c>
      <c r="AM4928">
        <v>1.68</v>
      </c>
      <c r="AN4928">
        <v>43.28</v>
      </c>
      <c r="AO4928">
        <v>2.79</v>
      </c>
      <c r="AP4928">
        <v>10.71</v>
      </c>
    </row>
    <row r="4929" spans="1:42">
      <c r="A4929">
        <v>4928</v>
      </c>
      <c r="B4929" t="str">
        <f>"301032"</f>
        <v>301032</v>
      </c>
      <c r="C4929" t="s">
        <v>22258</v>
      </c>
      <c r="D4929">
        <v>9.97</v>
      </c>
      <c r="E4929">
        <v>0.2</v>
      </c>
      <c r="F4929">
        <v>0.02</v>
      </c>
      <c r="G4929" t="s">
        <v>876</v>
      </c>
      <c r="H4929">
        <v>20</v>
      </c>
      <c r="I4929">
        <v>9.97</v>
      </c>
      <c r="J4929">
        <v>9.98</v>
      </c>
      <c r="K4929" t="s">
        <v>22256</v>
      </c>
      <c r="L4929">
        <v>2.11</v>
      </c>
      <c r="M4929" t="s">
        <v>46</v>
      </c>
      <c r="N4929" t="s">
        <v>6402</v>
      </c>
      <c r="O4929">
        <v>10.08</v>
      </c>
      <c r="P4929">
        <v>9.81</v>
      </c>
      <c r="Q4929">
        <v>10.08</v>
      </c>
      <c r="R4929">
        <v>9.95</v>
      </c>
      <c r="S4929">
        <v>2.71</v>
      </c>
      <c r="T4929">
        <v>1</v>
      </c>
      <c r="U4929">
        <v>-28.72</v>
      </c>
      <c r="V4929">
        <v>-299</v>
      </c>
      <c r="W4929">
        <v>9.94</v>
      </c>
      <c r="X4929">
        <v>8123</v>
      </c>
      <c r="Y4929">
        <v>9273</v>
      </c>
      <c r="Z4929">
        <v>0.88</v>
      </c>
      <c r="AA4929">
        <v>12</v>
      </c>
      <c r="AB4929">
        <v>431</v>
      </c>
      <c r="AC4929">
        <v>2.24</v>
      </c>
      <c r="AD4929" t="s">
        <v>15249</v>
      </c>
      <c r="AE4929" t="s">
        <v>14871</v>
      </c>
      <c r="AF4929" t="s">
        <v>22259</v>
      </c>
      <c r="AG4929" t="s">
        <v>22260</v>
      </c>
      <c r="AH4929">
        <v>-1.09</v>
      </c>
      <c r="AI4929">
        <v>-0.4</v>
      </c>
      <c r="AJ4929">
        <v>5.92</v>
      </c>
      <c r="AK4929">
        <v>12.65</v>
      </c>
      <c r="AL4929">
        <v>1</v>
      </c>
      <c r="AM4929">
        <v>0.2</v>
      </c>
      <c r="AN4929">
        <v>33.11</v>
      </c>
      <c r="AO4929">
        <v>4.29</v>
      </c>
      <c r="AP4929">
        <v>11.15</v>
      </c>
    </row>
    <row r="4930" spans="1:42">
      <c r="A4930">
        <v>4929</v>
      </c>
      <c r="B4930" t="str">
        <f>"002968"</f>
        <v>002968</v>
      </c>
      <c r="C4930" t="s">
        <v>22261</v>
      </c>
      <c r="D4930">
        <v>13.35</v>
      </c>
      <c r="E4930">
        <v>0</v>
      </c>
      <c r="F4930">
        <v>0</v>
      </c>
      <c r="G4930" t="s">
        <v>1427</v>
      </c>
      <c r="H4930">
        <v>155</v>
      </c>
      <c r="I4930">
        <v>13.35</v>
      </c>
      <c r="J4930">
        <v>13.36</v>
      </c>
      <c r="K4930" t="s">
        <v>22262</v>
      </c>
      <c r="L4930">
        <v>0.6</v>
      </c>
      <c r="M4930" t="s">
        <v>46</v>
      </c>
      <c r="N4930" t="s">
        <v>624</v>
      </c>
      <c r="O4930">
        <v>13.5</v>
      </c>
      <c r="P4930">
        <v>13.24</v>
      </c>
      <c r="Q4930">
        <v>13.41</v>
      </c>
      <c r="R4930">
        <v>13.35</v>
      </c>
      <c r="S4930">
        <v>1.95</v>
      </c>
      <c r="T4930">
        <v>0.57</v>
      </c>
      <c r="U4930">
        <v>22.31</v>
      </c>
      <c r="V4930">
        <v>89</v>
      </c>
      <c r="W4930">
        <v>13.36</v>
      </c>
      <c r="X4930">
        <v>6158</v>
      </c>
      <c r="Y4930">
        <v>6773</v>
      </c>
      <c r="Z4930">
        <v>0.91</v>
      </c>
      <c r="AA4930">
        <v>2</v>
      </c>
      <c r="AB4930">
        <v>27</v>
      </c>
      <c r="AC4930">
        <v>2.6</v>
      </c>
      <c r="AD4930" t="s">
        <v>22263</v>
      </c>
      <c r="AE4930" t="s">
        <v>22264</v>
      </c>
      <c r="AF4930" t="s">
        <v>22265</v>
      </c>
      <c r="AG4930" t="s">
        <v>12654</v>
      </c>
      <c r="AH4930">
        <v>-1.69</v>
      </c>
      <c r="AI4930">
        <v>-4.37</v>
      </c>
      <c r="AJ4930">
        <v>2.33</v>
      </c>
      <c r="AK4930">
        <v>5.93</v>
      </c>
      <c r="AL4930">
        <v>0</v>
      </c>
      <c r="AM4930">
        <v>0</v>
      </c>
      <c r="AN4930">
        <v>-37.88</v>
      </c>
      <c r="AO4930">
        <v>1.37</v>
      </c>
      <c r="AP4930">
        <v>-35.63</v>
      </c>
    </row>
    <row r="4931" spans="1:42">
      <c r="A4931">
        <v>4930</v>
      </c>
      <c r="B4931" t="str">
        <f>"300899"</f>
        <v>300899</v>
      </c>
      <c r="C4931" t="s">
        <v>22266</v>
      </c>
      <c r="D4931">
        <v>28.1</v>
      </c>
      <c r="E4931">
        <v>-0.81</v>
      </c>
      <c r="F4931">
        <v>-0.23</v>
      </c>
      <c r="G4931">
        <v>6132</v>
      </c>
      <c r="H4931">
        <v>65</v>
      </c>
      <c r="I4931">
        <v>28.09</v>
      </c>
      <c r="J4931">
        <v>28.1</v>
      </c>
      <c r="K4931" t="s">
        <v>22267</v>
      </c>
      <c r="L4931">
        <v>1.5</v>
      </c>
      <c r="M4931" t="s">
        <v>46</v>
      </c>
      <c r="N4931" t="s">
        <v>22268</v>
      </c>
      <c r="O4931">
        <v>28.46</v>
      </c>
      <c r="P4931">
        <v>27.96</v>
      </c>
      <c r="Q4931">
        <v>28.29</v>
      </c>
      <c r="R4931">
        <v>28.33</v>
      </c>
      <c r="S4931">
        <v>1.76</v>
      </c>
      <c r="T4931">
        <v>0.86</v>
      </c>
      <c r="U4931">
        <v>36.69</v>
      </c>
      <c r="V4931">
        <v>102</v>
      </c>
      <c r="W4931">
        <v>28.15</v>
      </c>
      <c r="X4931">
        <v>2814</v>
      </c>
      <c r="Y4931">
        <v>3318</v>
      </c>
      <c r="Z4931">
        <v>0.85</v>
      </c>
      <c r="AA4931">
        <v>89</v>
      </c>
      <c r="AB4931">
        <v>5</v>
      </c>
      <c r="AC4931">
        <v>2.74</v>
      </c>
      <c r="AD4931" t="s">
        <v>22269</v>
      </c>
      <c r="AE4931" t="s">
        <v>17301</v>
      </c>
      <c r="AF4931" t="s">
        <v>22270</v>
      </c>
      <c r="AG4931" t="s">
        <v>915</v>
      </c>
      <c r="AH4931">
        <v>-2.09</v>
      </c>
      <c r="AI4931">
        <v>-2.06</v>
      </c>
      <c r="AJ4931">
        <v>5.01</v>
      </c>
      <c r="AK4931">
        <v>10.2</v>
      </c>
      <c r="AL4931">
        <v>-3</v>
      </c>
      <c r="AM4931">
        <v>-0.81</v>
      </c>
      <c r="AN4931">
        <v>43.95</v>
      </c>
      <c r="AO4931">
        <v>2.78</v>
      </c>
      <c r="AP4931">
        <v>28.08</v>
      </c>
    </row>
    <row r="4932" spans="1:42">
      <c r="A4932">
        <v>4931</v>
      </c>
      <c r="B4932" t="str">
        <f>"836395"</f>
        <v>836395</v>
      </c>
      <c r="C4932" t="s">
        <v>22271</v>
      </c>
      <c r="D4932">
        <v>8.48</v>
      </c>
      <c r="E4932">
        <v>-7.02</v>
      </c>
      <c r="F4932">
        <v>-0.64</v>
      </c>
      <c r="G4932" t="s">
        <v>1590</v>
      </c>
      <c r="H4932">
        <v>216</v>
      </c>
      <c r="I4932">
        <v>8.48</v>
      </c>
      <c r="J4932">
        <v>8.52</v>
      </c>
      <c r="K4932" t="s">
        <v>18733</v>
      </c>
      <c r="L4932">
        <v>7.2</v>
      </c>
      <c r="M4932" t="s">
        <v>46</v>
      </c>
      <c r="N4932" t="s">
        <v>18623</v>
      </c>
      <c r="O4932">
        <v>9.27</v>
      </c>
      <c r="P4932">
        <v>8.3</v>
      </c>
      <c r="Q4932">
        <v>9.18</v>
      </c>
      <c r="R4932">
        <v>9.12</v>
      </c>
      <c r="S4932">
        <v>10.64</v>
      </c>
      <c r="T4932">
        <v>0.43</v>
      </c>
      <c r="U4932">
        <v>0.28</v>
      </c>
      <c r="V4932">
        <v>3</v>
      </c>
      <c r="W4932">
        <v>8.65</v>
      </c>
      <c r="X4932" t="s">
        <v>8636</v>
      </c>
      <c r="Y4932">
        <v>7944</v>
      </c>
      <c r="Z4932">
        <v>1.51</v>
      </c>
      <c r="AA4932">
        <v>198</v>
      </c>
      <c r="AB4932">
        <v>29</v>
      </c>
      <c r="AC4932">
        <v>3.85</v>
      </c>
      <c r="AD4932" t="s">
        <v>6879</v>
      </c>
      <c r="AE4932" t="s">
        <v>22272</v>
      </c>
      <c r="AF4932" t="s">
        <v>20143</v>
      </c>
      <c r="AG4932" t="s">
        <v>22273</v>
      </c>
      <c r="AH4932">
        <v>-20.45</v>
      </c>
      <c r="AI4932">
        <v>8.16</v>
      </c>
      <c r="AJ4932">
        <v>29.45</v>
      </c>
      <c r="AK4932">
        <v>91.43</v>
      </c>
      <c r="AL4932">
        <v>-4</v>
      </c>
      <c r="AM4932">
        <v>-7.02</v>
      </c>
      <c r="AN4932">
        <v>29.86</v>
      </c>
      <c r="AO4932">
        <v>47.74</v>
      </c>
      <c r="AP4932">
        <v>9.84</v>
      </c>
    </row>
    <row r="4933" spans="1:42">
      <c r="A4933">
        <v>4932</v>
      </c>
      <c r="B4933" t="str">
        <f>"301209"</f>
        <v>301209</v>
      </c>
      <c r="C4933" t="s">
        <v>22274</v>
      </c>
      <c r="D4933">
        <v>25.15</v>
      </c>
      <c r="E4933">
        <v>-1.3</v>
      </c>
      <c r="F4933">
        <v>-0.33</v>
      </c>
      <c r="G4933">
        <v>6774</v>
      </c>
      <c r="H4933">
        <v>33</v>
      </c>
      <c r="I4933">
        <v>25.15</v>
      </c>
      <c r="J4933">
        <v>25.19</v>
      </c>
      <c r="K4933" t="s">
        <v>22275</v>
      </c>
      <c r="L4933">
        <v>2.76</v>
      </c>
      <c r="M4933" t="s">
        <v>46</v>
      </c>
      <c r="N4933" t="s">
        <v>4676</v>
      </c>
      <c r="O4933">
        <v>25.68</v>
      </c>
      <c r="P4933">
        <v>25.11</v>
      </c>
      <c r="Q4933">
        <v>25.63</v>
      </c>
      <c r="R4933">
        <v>25.48</v>
      </c>
      <c r="S4933">
        <v>2.24</v>
      </c>
      <c r="T4933">
        <v>0.7</v>
      </c>
      <c r="U4933">
        <v>83</v>
      </c>
      <c r="V4933">
        <v>908</v>
      </c>
      <c r="W4933">
        <v>25.22</v>
      </c>
      <c r="X4933">
        <v>3675</v>
      </c>
      <c r="Y4933">
        <v>3099</v>
      </c>
      <c r="Z4933">
        <v>1.19</v>
      </c>
      <c r="AA4933">
        <v>44</v>
      </c>
      <c r="AB4933">
        <v>1</v>
      </c>
      <c r="AC4933">
        <v>2.97</v>
      </c>
      <c r="AD4933" t="s">
        <v>3612</v>
      </c>
      <c r="AE4933" t="s">
        <v>22276</v>
      </c>
      <c r="AF4933" t="s">
        <v>17864</v>
      </c>
      <c r="AG4933" t="s">
        <v>9954</v>
      </c>
      <c r="AH4933">
        <v>-3.08</v>
      </c>
      <c r="AI4933">
        <v>-3.31</v>
      </c>
      <c r="AJ4933">
        <v>9.17</v>
      </c>
      <c r="AK4933">
        <v>22.47</v>
      </c>
      <c r="AL4933">
        <v>-3</v>
      </c>
      <c r="AM4933">
        <v>-1.3</v>
      </c>
      <c r="AN4933">
        <v>11.48</v>
      </c>
      <c r="AO4933">
        <v>-1.14</v>
      </c>
      <c r="AP4933">
        <v>-3.16</v>
      </c>
    </row>
    <row r="4934" spans="1:42">
      <c r="A4934">
        <v>4933</v>
      </c>
      <c r="B4934" t="str">
        <f>"301148"</f>
        <v>301148</v>
      </c>
      <c r="C4934" t="s">
        <v>22277</v>
      </c>
      <c r="D4934">
        <v>23.28</v>
      </c>
      <c r="E4934">
        <v>-0.04</v>
      </c>
      <c r="F4934">
        <v>-0.01</v>
      </c>
      <c r="G4934">
        <v>7354</v>
      </c>
      <c r="H4934">
        <v>177</v>
      </c>
      <c r="I4934">
        <v>23.27</v>
      </c>
      <c r="J4934">
        <v>23.28</v>
      </c>
      <c r="K4934" t="s">
        <v>22278</v>
      </c>
      <c r="L4934">
        <v>1.91</v>
      </c>
      <c r="M4934" t="s">
        <v>46</v>
      </c>
      <c r="N4934" t="s">
        <v>22279</v>
      </c>
      <c r="O4934">
        <v>23.45</v>
      </c>
      <c r="P4934">
        <v>23.01</v>
      </c>
      <c r="Q4934">
        <v>23.3</v>
      </c>
      <c r="R4934">
        <v>23.29</v>
      </c>
      <c r="S4934">
        <v>1.89</v>
      </c>
      <c r="T4934">
        <v>0.76</v>
      </c>
      <c r="U4934">
        <v>-37.76</v>
      </c>
      <c r="V4934">
        <v>-74</v>
      </c>
      <c r="W4934">
        <v>23.23</v>
      </c>
      <c r="X4934">
        <v>3828</v>
      </c>
      <c r="Y4934">
        <v>3526</v>
      </c>
      <c r="Z4934">
        <v>1.09</v>
      </c>
      <c r="AA4934">
        <v>14</v>
      </c>
      <c r="AB4934">
        <v>17</v>
      </c>
      <c r="AC4934">
        <v>1.55</v>
      </c>
      <c r="AD4934" t="s">
        <v>2803</v>
      </c>
      <c r="AE4934" t="s">
        <v>22280</v>
      </c>
      <c r="AF4934" t="s">
        <v>22281</v>
      </c>
      <c r="AG4934" t="s">
        <v>4411</v>
      </c>
      <c r="AH4934">
        <v>-1.48</v>
      </c>
      <c r="AI4934">
        <v>-2.8</v>
      </c>
      <c r="AJ4934">
        <v>6.04</v>
      </c>
      <c r="AK4934">
        <v>14.57</v>
      </c>
      <c r="AL4934">
        <v>-3</v>
      </c>
      <c r="AM4934">
        <v>-0.04</v>
      </c>
      <c r="AN4934">
        <v>9.71</v>
      </c>
      <c r="AO4934">
        <v>0.04</v>
      </c>
      <c r="AP4934">
        <v>3.05</v>
      </c>
    </row>
    <row r="4935" spans="1:42">
      <c r="A4935">
        <v>4934</v>
      </c>
      <c r="B4935" t="str">
        <f>"002136"</f>
        <v>002136</v>
      </c>
      <c r="C4935" t="s">
        <v>22282</v>
      </c>
      <c r="D4935">
        <v>11.65</v>
      </c>
      <c r="E4935">
        <v>0.43</v>
      </c>
      <c r="F4935">
        <v>0.05</v>
      </c>
      <c r="G4935" t="s">
        <v>7836</v>
      </c>
      <c r="H4935">
        <v>157</v>
      </c>
      <c r="I4935">
        <v>11.64</v>
      </c>
      <c r="J4935">
        <v>11.65</v>
      </c>
      <c r="K4935" t="s">
        <v>22283</v>
      </c>
      <c r="L4935">
        <v>0.68</v>
      </c>
      <c r="M4935" t="s">
        <v>46</v>
      </c>
      <c r="N4935" t="s">
        <v>2751</v>
      </c>
      <c r="O4935">
        <v>11.74</v>
      </c>
      <c r="P4935">
        <v>11.57</v>
      </c>
      <c r="Q4935">
        <v>11.67</v>
      </c>
      <c r="R4935">
        <v>11.6</v>
      </c>
      <c r="S4935">
        <v>1.47</v>
      </c>
      <c r="T4935">
        <v>0.75</v>
      </c>
      <c r="U4935">
        <v>-36.03</v>
      </c>
      <c r="V4935">
        <v>-418</v>
      </c>
      <c r="W4935">
        <v>11.65</v>
      </c>
      <c r="X4935">
        <v>6358</v>
      </c>
      <c r="Y4935">
        <v>8264</v>
      </c>
      <c r="Z4935">
        <v>0.77</v>
      </c>
      <c r="AA4935">
        <v>29</v>
      </c>
      <c r="AB4935">
        <v>63</v>
      </c>
      <c r="AC4935">
        <v>2.07</v>
      </c>
      <c r="AD4935" t="s">
        <v>4266</v>
      </c>
      <c r="AE4935" t="s">
        <v>13101</v>
      </c>
      <c r="AF4935" t="s">
        <v>4586</v>
      </c>
      <c r="AG4935" t="s">
        <v>20868</v>
      </c>
      <c r="AH4935">
        <v>-1.52</v>
      </c>
      <c r="AI4935">
        <v>-0.09</v>
      </c>
      <c r="AJ4935">
        <v>2.34</v>
      </c>
      <c r="AK4935">
        <v>5.23</v>
      </c>
      <c r="AL4935">
        <v>1</v>
      </c>
      <c r="AM4935">
        <v>0.43</v>
      </c>
      <c r="AN4935">
        <v>-12.99</v>
      </c>
      <c r="AO4935">
        <v>4.86</v>
      </c>
      <c r="AP4935">
        <v>-16.67</v>
      </c>
    </row>
    <row r="4936" spans="1:42">
      <c r="A4936">
        <v>4935</v>
      </c>
      <c r="B4936" t="str">
        <f>"000803"</f>
        <v>000803</v>
      </c>
      <c r="C4936" t="s">
        <v>22284</v>
      </c>
      <c r="D4936">
        <v>6.08</v>
      </c>
      <c r="E4936">
        <v>0.5</v>
      </c>
      <c r="F4936">
        <v>0.03</v>
      </c>
      <c r="G4936" t="s">
        <v>7028</v>
      </c>
      <c r="H4936">
        <v>152</v>
      </c>
      <c r="I4936">
        <v>6.07</v>
      </c>
      <c r="J4936">
        <v>6.08</v>
      </c>
      <c r="K4936" t="s">
        <v>22285</v>
      </c>
      <c r="L4936">
        <v>0.61</v>
      </c>
      <c r="M4936" t="s">
        <v>46</v>
      </c>
      <c r="N4936" t="s">
        <v>3203</v>
      </c>
      <c r="O4936">
        <v>6.1</v>
      </c>
      <c r="P4936">
        <v>6.04</v>
      </c>
      <c r="Q4936">
        <v>6.07</v>
      </c>
      <c r="R4936">
        <v>6.05</v>
      </c>
      <c r="S4936">
        <v>0.99</v>
      </c>
      <c r="T4936">
        <v>0.85</v>
      </c>
      <c r="U4936">
        <v>-48.29</v>
      </c>
      <c r="V4936">
        <v>-2962</v>
      </c>
      <c r="W4936">
        <v>6.07</v>
      </c>
      <c r="X4936" t="s">
        <v>7836</v>
      </c>
      <c r="Y4936" t="s">
        <v>1384</v>
      </c>
      <c r="Z4936">
        <v>1.08</v>
      </c>
      <c r="AA4936">
        <v>85</v>
      </c>
      <c r="AB4936">
        <v>795</v>
      </c>
      <c r="AC4936">
        <v>2.02</v>
      </c>
      <c r="AD4936" t="s">
        <v>22286</v>
      </c>
      <c r="AE4936" t="s">
        <v>16808</v>
      </c>
      <c r="AF4936" t="s">
        <v>22287</v>
      </c>
      <c r="AG4936" t="s">
        <v>20967</v>
      </c>
      <c r="AH4936">
        <v>-1.14</v>
      </c>
      <c r="AI4936">
        <v>-1.94</v>
      </c>
      <c r="AJ4936">
        <v>2.06</v>
      </c>
      <c r="AK4936">
        <v>4.22</v>
      </c>
      <c r="AL4936">
        <v>1</v>
      </c>
      <c r="AM4936">
        <v>0.5</v>
      </c>
      <c r="AN4936">
        <v>-25.12</v>
      </c>
      <c r="AO4936">
        <v>0</v>
      </c>
      <c r="AP4936">
        <v>-24.85</v>
      </c>
    </row>
    <row r="4937" spans="1:42">
      <c r="A4937">
        <v>4936</v>
      </c>
      <c r="B4937" t="str">
        <f>"603180"</f>
        <v>603180</v>
      </c>
      <c r="C4937" t="s">
        <v>22288</v>
      </c>
      <c r="D4937">
        <v>26.43</v>
      </c>
      <c r="E4937">
        <v>0.27</v>
      </c>
      <c r="F4937">
        <v>0.07</v>
      </c>
      <c r="G4937">
        <v>6452</v>
      </c>
      <c r="H4937">
        <v>63</v>
      </c>
      <c r="I4937">
        <v>26.41</v>
      </c>
      <c r="J4937">
        <v>26.43</v>
      </c>
      <c r="K4937" t="s">
        <v>22289</v>
      </c>
      <c r="L4937">
        <v>0.42</v>
      </c>
      <c r="M4937" t="s">
        <v>46</v>
      </c>
      <c r="N4937" t="s">
        <v>5276</v>
      </c>
      <c r="O4937">
        <v>26.58</v>
      </c>
      <c r="P4937">
        <v>26.14</v>
      </c>
      <c r="Q4937">
        <v>26.36</v>
      </c>
      <c r="R4937">
        <v>26.36</v>
      </c>
      <c r="S4937">
        <v>1.67</v>
      </c>
      <c r="T4937">
        <v>0.49</v>
      </c>
      <c r="U4937">
        <v>16.59</v>
      </c>
      <c r="V4937">
        <v>85</v>
      </c>
      <c r="W4937">
        <v>26.36</v>
      </c>
      <c r="X4937">
        <v>3223</v>
      </c>
      <c r="Y4937">
        <v>3229</v>
      </c>
      <c r="Z4937">
        <v>1</v>
      </c>
      <c r="AA4937">
        <v>120</v>
      </c>
      <c r="AB4937">
        <v>14</v>
      </c>
      <c r="AC4937">
        <v>1.54</v>
      </c>
      <c r="AD4937" t="s">
        <v>14732</v>
      </c>
      <c r="AE4937" t="s">
        <v>22290</v>
      </c>
      <c r="AF4937" t="s">
        <v>14732</v>
      </c>
      <c r="AG4937" t="s">
        <v>22290</v>
      </c>
      <c r="AH4937">
        <v>-2.58</v>
      </c>
      <c r="AI4937">
        <v>-2.22</v>
      </c>
      <c r="AJ4937">
        <v>1.65</v>
      </c>
      <c r="AK4937">
        <v>4.65</v>
      </c>
      <c r="AL4937">
        <v>1</v>
      </c>
      <c r="AM4937">
        <v>0.27</v>
      </c>
      <c r="AN4937">
        <v>-5.44</v>
      </c>
      <c r="AO4937">
        <v>-0.19</v>
      </c>
      <c r="AP4937">
        <v>-1.31</v>
      </c>
    </row>
    <row r="4938" spans="1:42">
      <c r="A4938">
        <v>4937</v>
      </c>
      <c r="B4938" t="str">
        <f>"600302"</f>
        <v>600302</v>
      </c>
      <c r="C4938" t="s">
        <v>22291</v>
      </c>
      <c r="D4938">
        <v>5.71</v>
      </c>
      <c r="E4938">
        <v>0</v>
      </c>
      <c r="F4938">
        <v>0</v>
      </c>
      <c r="G4938" t="s">
        <v>8050</v>
      </c>
      <c r="H4938">
        <v>698</v>
      </c>
      <c r="I4938">
        <v>5.7</v>
      </c>
      <c r="J4938">
        <v>5.71</v>
      </c>
      <c r="K4938" t="s">
        <v>22289</v>
      </c>
      <c r="L4938">
        <v>0.86</v>
      </c>
      <c r="M4938" t="s">
        <v>46</v>
      </c>
      <c r="N4938" t="s">
        <v>3617</v>
      </c>
      <c r="O4938">
        <v>5.74</v>
      </c>
      <c r="P4938">
        <v>5.64</v>
      </c>
      <c r="Q4938">
        <v>5.67</v>
      </c>
      <c r="R4938">
        <v>5.71</v>
      </c>
      <c r="S4938">
        <v>1.75</v>
      </c>
      <c r="T4938">
        <v>0.77</v>
      </c>
      <c r="U4938">
        <v>-54.72</v>
      </c>
      <c r="V4938">
        <v>-2233</v>
      </c>
      <c r="W4938">
        <v>5.7</v>
      </c>
      <c r="X4938" t="s">
        <v>8212</v>
      </c>
      <c r="Y4938" t="s">
        <v>4105</v>
      </c>
      <c r="Z4938">
        <v>1.1</v>
      </c>
      <c r="AA4938">
        <v>5</v>
      </c>
      <c r="AB4938">
        <v>182</v>
      </c>
      <c r="AC4938">
        <v>2.13</v>
      </c>
      <c r="AD4938" t="s">
        <v>16775</v>
      </c>
      <c r="AE4938" t="s">
        <v>12853</v>
      </c>
      <c r="AF4938" t="s">
        <v>16775</v>
      </c>
      <c r="AG4938" t="s">
        <v>12853</v>
      </c>
      <c r="AH4938">
        <v>-0.17</v>
      </c>
      <c r="AI4938">
        <v>-0.7</v>
      </c>
      <c r="AJ4938">
        <v>2.59</v>
      </c>
      <c r="AK4938">
        <v>6.44</v>
      </c>
      <c r="AL4938">
        <v>0</v>
      </c>
      <c r="AM4938">
        <v>0</v>
      </c>
      <c r="AN4938">
        <v>-2.56</v>
      </c>
      <c r="AO4938">
        <v>3.82</v>
      </c>
      <c r="AP4938">
        <v>-19.8</v>
      </c>
    </row>
    <row r="4939" spans="1:42">
      <c r="A4939">
        <v>4938</v>
      </c>
      <c r="B4939" t="str">
        <f>"688682"</f>
        <v>688682</v>
      </c>
      <c r="C4939" t="s">
        <v>22292</v>
      </c>
      <c r="D4939">
        <v>50.37</v>
      </c>
      <c r="E4939">
        <v>-0.43</v>
      </c>
      <c r="F4939">
        <v>-0.22</v>
      </c>
      <c r="G4939">
        <v>3379</v>
      </c>
      <c r="H4939">
        <v>12</v>
      </c>
      <c r="I4939">
        <v>50.35</v>
      </c>
      <c r="J4939">
        <v>50.37</v>
      </c>
      <c r="K4939" t="s">
        <v>22289</v>
      </c>
      <c r="L4939">
        <v>0.78</v>
      </c>
      <c r="M4939" t="s">
        <v>46</v>
      </c>
      <c r="N4939" t="s">
        <v>2159</v>
      </c>
      <c r="O4939">
        <v>51.09</v>
      </c>
      <c r="P4939">
        <v>49.9</v>
      </c>
      <c r="Q4939">
        <v>50.97</v>
      </c>
      <c r="R4939">
        <v>50.59</v>
      </c>
      <c r="S4939">
        <v>2.35</v>
      </c>
      <c r="T4939">
        <v>0.87</v>
      </c>
      <c r="U4939">
        <v>-45.71</v>
      </c>
      <c r="V4939">
        <v>-30</v>
      </c>
      <c r="W4939">
        <v>50.33</v>
      </c>
      <c r="X4939">
        <v>1871</v>
      </c>
      <c r="Y4939">
        <v>1508</v>
      </c>
      <c r="Z4939">
        <v>1.24</v>
      </c>
      <c r="AA4939">
        <v>8</v>
      </c>
      <c r="AB4939">
        <v>12</v>
      </c>
      <c r="AC4939">
        <v>5.64</v>
      </c>
      <c r="AD4939" t="s">
        <v>22293</v>
      </c>
      <c r="AE4939" t="s">
        <v>22294</v>
      </c>
      <c r="AF4939" t="s">
        <v>22295</v>
      </c>
      <c r="AG4939" t="s">
        <v>18610</v>
      </c>
      <c r="AH4939">
        <v>-2.57</v>
      </c>
      <c r="AI4939">
        <v>-4.04</v>
      </c>
      <c r="AJ4939">
        <v>2.26</v>
      </c>
      <c r="AK4939">
        <v>5.27</v>
      </c>
      <c r="AL4939">
        <v>-4</v>
      </c>
      <c r="AM4939">
        <v>-0.43</v>
      </c>
      <c r="AN4939">
        <v>-10.85</v>
      </c>
      <c r="AO4939">
        <v>0.58</v>
      </c>
      <c r="AP4939">
        <v>-24.89</v>
      </c>
    </row>
    <row r="4940" spans="1:42">
      <c r="A4940">
        <v>4939</v>
      </c>
      <c r="B4940" t="str">
        <f>"300082"</f>
        <v>300082</v>
      </c>
      <c r="C4940" t="s">
        <v>22296</v>
      </c>
      <c r="D4940">
        <v>7.02</v>
      </c>
      <c r="E4940">
        <v>0.14</v>
      </c>
      <c r="F4940">
        <v>0.01</v>
      </c>
      <c r="G4940" t="s">
        <v>4269</v>
      </c>
      <c r="H4940">
        <v>104</v>
      </c>
      <c r="I4940">
        <v>7.02</v>
      </c>
      <c r="J4940">
        <v>7.03</v>
      </c>
      <c r="K4940" t="s">
        <v>22297</v>
      </c>
      <c r="L4940">
        <v>0.36</v>
      </c>
      <c r="M4940" t="s">
        <v>46</v>
      </c>
      <c r="N4940" t="s">
        <v>22087</v>
      </c>
      <c r="O4940">
        <v>7.07</v>
      </c>
      <c r="P4940">
        <v>6.94</v>
      </c>
      <c r="Q4940">
        <v>7.01</v>
      </c>
      <c r="R4940">
        <v>7.01</v>
      </c>
      <c r="S4940">
        <v>1.85</v>
      </c>
      <c r="T4940">
        <v>0.85</v>
      </c>
      <c r="U4940">
        <v>11.72</v>
      </c>
      <c r="V4940">
        <v>269</v>
      </c>
      <c r="W4940">
        <v>6.99</v>
      </c>
      <c r="X4940" t="s">
        <v>7974</v>
      </c>
      <c r="Y4940" t="s">
        <v>1384</v>
      </c>
      <c r="Z4940">
        <v>0.81</v>
      </c>
      <c r="AA4940">
        <v>182</v>
      </c>
      <c r="AB4940">
        <v>134</v>
      </c>
      <c r="AC4940">
        <v>1.56</v>
      </c>
      <c r="AD4940" t="s">
        <v>22298</v>
      </c>
      <c r="AE4940" t="s">
        <v>22299</v>
      </c>
      <c r="AF4940" t="s">
        <v>13255</v>
      </c>
      <c r="AG4940" t="s">
        <v>22300</v>
      </c>
      <c r="AH4940">
        <v>-2.36</v>
      </c>
      <c r="AI4940">
        <v>-2.77</v>
      </c>
      <c r="AJ4940">
        <v>1.04</v>
      </c>
      <c r="AK4940">
        <v>2.46</v>
      </c>
      <c r="AL4940">
        <v>1</v>
      </c>
      <c r="AM4940">
        <v>0.14</v>
      </c>
      <c r="AN4940">
        <v>-10.69</v>
      </c>
      <c r="AO4940">
        <v>-1.68</v>
      </c>
      <c r="AP4940">
        <v>-18.56</v>
      </c>
    </row>
    <row r="4941" spans="1:42">
      <c r="A4941">
        <v>4940</v>
      </c>
      <c r="B4941" t="str">
        <f>"002586"</f>
        <v>002586</v>
      </c>
      <c r="C4941" t="s">
        <v>22301</v>
      </c>
      <c r="D4941">
        <v>3.38</v>
      </c>
      <c r="E4941">
        <v>1.5</v>
      </c>
      <c r="F4941">
        <v>0.05</v>
      </c>
      <c r="G4941" t="s">
        <v>4639</v>
      </c>
      <c r="H4941">
        <v>1238</v>
      </c>
      <c r="I4941">
        <v>3.38</v>
      </c>
      <c r="J4941">
        <v>3.39</v>
      </c>
      <c r="K4941" t="s">
        <v>22302</v>
      </c>
      <c r="L4941">
        <v>0.56</v>
      </c>
      <c r="M4941" t="s">
        <v>46</v>
      </c>
      <c r="N4941" t="s">
        <v>7742</v>
      </c>
      <c r="O4941">
        <v>3.44</v>
      </c>
      <c r="P4941">
        <v>3.36</v>
      </c>
      <c r="Q4941">
        <v>3.37</v>
      </c>
      <c r="R4941">
        <v>3.33</v>
      </c>
      <c r="S4941">
        <v>2.4</v>
      </c>
      <c r="T4941">
        <v>1.02</v>
      </c>
      <c r="U4941">
        <v>-4.95</v>
      </c>
      <c r="V4941">
        <v>-549</v>
      </c>
      <c r="W4941">
        <v>3.39</v>
      </c>
      <c r="X4941" t="s">
        <v>8396</v>
      </c>
      <c r="Y4941" t="s">
        <v>3110</v>
      </c>
      <c r="Z4941">
        <v>0.99</v>
      </c>
      <c r="AA4941">
        <v>629</v>
      </c>
      <c r="AB4941">
        <v>1123</v>
      </c>
      <c r="AC4941">
        <v>1.04</v>
      </c>
      <c r="AD4941" t="s">
        <v>926</v>
      </c>
      <c r="AE4941" t="s">
        <v>22303</v>
      </c>
      <c r="AF4941" t="s">
        <v>22304</v>
      </c>
      <c r="AG4941" t="s">
        <v>9099</v>
      </c>
      <c r="AH4941">
        <v>0.6</v>
      </c>
      <c r="AI4941">
        <v>1.2</v>
      </c>
      <c r="AJ4941">
        <v>1.41</v>
      </c>
      <c r="AK4941">
        <v>3.3</v>
      </c>
      <c r="AL4941">
        <v>1</v>
      </c>
      <c r="AM4941">
        <v>1.5</v>
      </c>
      <c r="AN4941">
        <v>-28.39</v>
      </c>
      <c r="AO4941">
        <v>17.36</v>
      </c>
      <c r="AP4941">
        <v>-22.83</v>
      </c>
    </row>
    <row r="4942" spans="1:42">
      <c r="A4942">
        <v>4941</v>
      </c>
      <c r="B4942" t="str">
        <f>"003018"</f>
        <v>003018</v>
      </c>
      <c r="C4942" t="s">
        <v>22305</v>
      </c>
      <c r="D4942">
        <v>10.49</v>
      </c>
      <c r="E4942">
        <v>-0.85</v>
      </c>
      <c r="F4942">
        <v>-0.09</v>
      </c>
      <c r="G4942" t="s">
        <v>7487</v>
      </c>
      <c r="H4942">
        <v>126</v>
      </c>
      <c r="I4942">
        <v>10.49</v>
      </c>
      <c r="J4942">
        <v>10.5</v>
      </c>
      <c r="K4942" t="s">
        <v>22306</v>
      </c>
      <c r="L4942">
        <v>1.21</v>
      </c>
      <c r="M4942" t="s">
        <v>46</v>
      </c>
      <c r="N4942" t="s">
        <v>9446</v>
      </c>
      <c r="O4942">
        <v>10.64</v>
      </c>
      <c r="P4942">
        <v>10.48</v>
      </c>
      <c r="Q4942">
        <v>10.59</v>
      </c>
      <c r="R4942">
        <v>10.58</v>
      </c>
      <c r="S4942">
        <v>1.51</v>
      </c>
      <c r="T4942">
        <v>0.88</v>
      </c>
      <c r="U4942">
        <v>25.74</v>
      </c>
      <c r="V4942">
        <v>208</v>
      </c>
      <c r="W4942">
        <v>10.55</v>
      </c>
      <c r="X4942">
        <v>8177</v>
      </c>
      <c r="Y4942">
        <v>7908</v>
      </c>
      <c r="Z4942">
        <v>1.03</v>
      </c>
      <c r="AA4942">
        <v>199</v>
      </c>
      <c r="AB4942">
        <v>30</v>
      </c>
      <c r="AC4942">
        <v>1.85</v>
      </c>
      <c r="AD4942" t="s">
        <v>18306</v>
      </c>
      <c r="AE4942" t="s">
        <v>1096</v>
      </c>
      <c r="AF4942" t="s">
        <v>16908</v>
      </c>
      <c r="AG4942" t="s">
        <v>7633</v>
      </c>
      <c r="AH4942">
        <v>-1.22</v>
      </c>
      <c r="AI4942">
        <v>-1.5</v>
      </c>
      <c r="AJ4942">
        <v>3.5</v>
      </c>
      <c r="AK4942">
        <v>8.07</v>
      </c>
      <c r="AL4942">
        <v>-2</v>
      </c>
      <c r="AM4942">
        <v>-0.85</v>
      </c>
      <c r="AN4942">
        <v>12.67</v>
      </c>
      <c r="AO4942">
        <v>1.65</v>
      </c>
      <c r="AP4942">
        <v>0.1</v>
      </c>
    </row>
    <row r="4943" spans="1:42">
      <c r="A4943">
        <v>4942</v>
      </c>
      <c r="B4943" t="str">
        <f>"002949"</f>
        <v>002949</v>
      </c>
      <c r="C4943" t="s">
        <v>22307</v>
      </c>
      <c r="D4943">
        <v>14.87</v>
      </c>
      <c r="E4943">
        <v>0.54</v>
      </c>
      <c r="F4943">
        <v>0.08</v>
      </c>
      <c r="G4943" t="s">
        <v>2667</v>
      </c>
      <c r="H4943">
        <v>119</v>
      </c>
      <c r="I4943">
        <v>14.86</v>
      </c>
      <c r="J4943">
        <v>14.87</v>
      </c>
      <c r="K4943" t="s">
        <v>22306</v>
      </c>
      <c r="L4943">
        <v>0.77</v>
      </c>
      <c r="M4943" t="s">
        <v>46</v>
      </c>
      <c r="N4943" t="s">
        <v>289</v>
      </c>
      <c r="O4943">
        <v>14.97</v>
      </c>
      <c r="P4943">
        <v>14.62</v>
      </c>
      <c r="Q4943">
        <v>14.83</v>
      </c>
      <c r="R4943">
        <v>14.79</v>
      </c>
      <c r="S4943">
        <v>2.37</v>
      </c>
      <c r="T4943">
        <v>0.74</v>
      </c>
      <c r="U4943">
        <v>-38.89</v>
      </c>
      <c r="V4943">
        <v>-112</v>
      </c>
      <c r="W4943">
        <v>14.84</v>
      </c>
      <c r="X4943">
        <v>4661</v>
      </c>
      <c r="Y4943">
        <v>6768</v>
      </c>
      <c r="Z4943">
        <v>0.69</v>
      </c>
      <c r="AA4943">
        <v>29</v>
      </c>
      <c r="AB4943">
        <v>43</v>
      </c>
      <c r="AC4943">
        <v>2.08</v>
      </c>
      <c r="AD4943" t="s">
        <v>20238</v>
      </c>
      <c r="AE4943" t="s">
        <v>21631</v>
      </c>
      <c r="AF4943" t="s">
        <v>20216</v>
      </c>
      <c r="AG4943" t="s">
        <v>22308</v>
      </c>
      <c r="AH4943">
        <v>-1</v>
      </c>
      <c r="AI4943">
        <v>-2.04</v>
      </c>
      <c r="AJ4943">
        <v>2.74</v>
      </c>
      <c r="AK4943">
        <v>5.92</v>
      </c>
      <c r="AL4943">
        <v>2</v>
      </c>
      <c r="AM4943">
        <v>0.54</v>
      </c>
      <c r="AN4943">
        <v>15.81</v>
      </c>
      <c r="AO4943">
        <v>3.99</v>
      </c>
      <c r="AP4943">
        <v>3.34</v>
      </c>
    </row>
    <row r="4944" spans="1:42">
      <c r="A4944">
        <v>4943</v>
      </c>
      <c r="B4944" t="str">
        <f>"001212"</f>
        <v>001212</v>
      </c>
      <c r="C4944" t="s">
        <v>22309</v>
      </c>
      <c r="D4944">
        <v>24.78</v>
      </c>
      <c r="E4944">
        <v>0.45</v>
      </c>
      <c r="F4944">
        <v>0.11</v>
      </c>
      <c r="G4944">
        <v>6864</v>
      </c>
      <c r="H4944">
        <v>60</v>
      </c>
      <c r="I4944">
        <v>24.74</v>
      </c>
      <c r="J4944">
        <v>24.78</v>
      </c>
      <c r="K4944" t="s">
        <v>22310</v>
      </c>
      <c r="L4944">
        <v>1.25</v>
      </c>
      <c r="M4944" t="s">
        <v>46</v>
      </c>
      <c r="N4944" t="s">
        <v>2626</v>
      </c>
      <c r="O4944">
        <v>24.89</v>
      </c>
      <c r="P4944">
        <v>24.52</v>
      </c>
      <c r="Q4944">
        <v>24.73</v>
      </c>
      <c r="R4944">
        <v>24.67</v>
      </c>
      <c r="S4944">
        <v>1.5</v>
      </c>
      <c r="T4944">
        <v>0.74</v>
      </c>
      <c r="U4944">
        <v>-7.11</v>
      </c>
      <c r="V4944">
        <v>-15</v>
      </c>
      <c r="W4944">
        <v>24.7</v>
      </c>
      <c r="X4944">
        <v>3131</v>
      </c>
      <c r="Y4944">
        <v>3733</v>
      </c>
      <c r="Z4944">
        <v>0.84</v>
      </c>
      <c r="AA4944">
        <v>11</v>
      </c>
      <c r="AB4944">
        <v>6</v>
      </c>
      <c r="AC4944">
        <v>1.99</v>
      </c>
      <c r="AD4944" t="s">
        <v>18654</v>
      </c>
      <c r="AE4944" t="s">
        <v>22311</v>
      </c>
      <c r="AF4944" t="s">
        <v>22312</v>
      </c>
      <c r="AG4944" t="s">
        <v>9920</v>
      </c>
      <c r="AH4944">
        <v>-2.4</v>
      </c>
      <c r="AI4944">
        <v>-1.51</v>
      </c>
      <c r="AJ4944">
        <v>3.87</v>
      </c>
      <c r="AK4944">
        <v>9.7</v>
      </c>
      <c r="AL4944">
        <v>1</v>
      </c>
      <c r="AM4944">
        <v>0.45</v>
      </c>
      <c r="AN4944">
        <v>-2.94</v>
      </c>
      <c r="AO4944">
        <v>2.91</v>
      </c>
      <c r="AP4944">
        <v>-10.86</v>
      </c>
    </row>
    <row r="4945" spans="1:42">
      <c r="A4945">
        <v>4944</v>
      </c>
      <c r="B4945" t="str">
        <f>"600505"</f>
        <v>600505</v>
      </c>
      <c r="C4945" t="s">
        <v>22313</v>
      </c>
      <c r="D4945">
        <v>8.01</v>
      </c>
      <c r="E4945">
        <v>0.25</v>
      </c>
      <c r="F4945">
        <v>0.02</v>
      </c>
      <c r="G4945" t="s">
        <v>7210</v>
      </c>
      <c r="H4945">
        <v>211</v>
      </c>
      <c r="I4945">
        <v>8</v>
      </c>
      <c r="J4945">
        <v>8.01</v>
      </c>
      <c r="K4945" t="s">
        <v>22310</v>
      </c>
      <c r="L4945">
        <v>0.58</v>
      </c>
      <c r="M4945" t="s">
        <v>46</v>
      </c>
      <c r="N4945" t="s">
        <v>185</v>
      </c>
      <c r="O4945">
        <v>8.04</v>
      </c>
      <c r="P4945">
        <v>7.93</v>
      </c>
      <c r="Q4945">
        <v>8</v>
      </c>
      <c r="R4945">
        <v>7.99</v>
      </c>
      <c r="S4945">
        <v>1.38</v>
      </c>
      <c r="T4945">
        <v>0.81</v>
      </c>
      <c r="U4945">
        <v>-40.11</v>
      </c>
      <c r="V4945">
        <v>-655</v>
      </c>
      <c r="W4945">
        <v>7.99</v>
      </c>
      <c r="X4945">
        <v>9956</v>
      </c>
      <c r="Y4945" t="s">
        <v>4959</v>
      </c>
      <c r="Z4945">
        <v>0.88</v>
      </c>
      <c r="AA4945">
        <v>123</v>
      </c>
      <c r="AB4945">
        <v>65</v>
      </c>
      <c r="AC4945">
        <v>2.38</v>
      </c>
      <c r="AD4945" t="s">
        <v>22059</v>
      </c>
      <c r="AE4945" t="s">
        <v>16942</v>
      </c>
      <c r="AF4945" t="s">
        <v>22059</v>
      </c>
      <c r="AG4945" t="s">
        <v>16942</v>
      </c>
      <c r="AH4945">
        <v>-0.74</v>
      </c>
      <c r="AI4945">
        <v>0.25</v>
      </c>
      <c r="AJ4945">
        <v>1.87</v>
      </c>
      <c r="AK4945">
        <v>4.17</v>
      </c>
      <c r="AL4945">
        <v>1</v>
      </c>
      <c r="AM4945">
        <v>0.25</v>
      </c>
      <c r="AN4945">
        <v>3.22</v>
      </c>
      <c r="AO4945">
        <v>2.69</v>
      </c>
      <c r="AP4945">
        <v>-0.62</v>
      </c>
    </row>
    <row r="4946" spans="1:42">
      <c r="A4946">
        <v>4945</v>
      </c>
      <c r="B4946" t="str">
        <f>"300334"</f>
        <v>300334</v>
      </c>
      <c r="C4946" t="s">
        <v>22314</v>
      </c>
      <c r="D4946">
        <v>7.83</v>
      </c>
      <c r="E4946">
        <v>0.9</v>
      </c>
      <c r="F4946">
        <v>0.07</v>
      </c>
      <c r="G4946" t="s">
        <v>4963</v>
      </c>
      <c r="H4946">
        <v>215</v>
      </c>
      <c r="I4946">
        <v>7.83</v>
      </c>
      <c r="J4946">
        <v>7.84</v>
      </c>
      <c r="K4946" t="s">
        <v>22315</v>
      </c>
      <c r="L4946">
        <v>0.72</v>
      </c>
      <c r="M4946" t="s">
        <v>46</v>
      </c>
      <c r="N4946" t="s">
        <v>8976</v>
      </c>
      <c r="O4946">
        <v>7.86</v>
      </c>
      <c r="P4946">
        <v>7.74</v>
      </c>
      <c r="Q4946">
        <v>7.78</v>
      </c>
      <c r="R4946">
        <v>7.76</v>
      </c>
      <c r="S4946">
        <v>1.55</v>
      </c>
      <c r="T4946">
        <v>0.67</v>
      </c>
      <c r="U4946">
        <v>11.62</v>
      </c>
      <c r="V4946">
        <v>316</v>
      </c>
      <c r="W4946">
        <v>7.81</v>
      </c>
      <c r="X4946" t="s">
        <v>218</v>
      </c>
      <c r="Y4946" t="s">
        <v>4443</v>
      </c>
      <c r="Z4946">
        <v>0.96</v>
      </c>
      <c r="AA4946">
        <v>294</v>
      </c>
      <c r="AB4946">
        <v>291</v>
      </c>
      <c r="AC4946">
        <v>4.13</v>
      </c>
      <c r="AD4946" t="s">
        <v>22316</v>
      </c>
      <c r="AE4946" t="s">
        <v>22317</v>
      </c>
      <c r="AF4946" t="s">
        <v>22318</v>
      </c>
      <c r="AG4946" t="s">
        <v>22317</v>
      </c>
      <c r="AH4946">
        <v>-0.63</v>
      </c>
      <c r="AI4946">
        <v>-1.26</v>
      </c>
      <c r="AJ4946">
        <v>2.74</v>
      </c>
      <c r="AK4946">
        <v>6.07</v>
      </c>
      <c r="AL4946">
        <v>1</v>
      </c>
      <c r="AM4946">
        <v>0.9</v>
      </c>
      <c r="AN4946">
        <v>25.08</v>
      </c>
      <c r="AO4946">
        <v>3.98</v>
      </c>
      <c r="AP4946">
        <v>14.47</v>
      </c>
    </row>
    <row r="4947" spans="1:42">
      <c r="A4947">
        <v>4946</v>
      </c>
      <c r="B4947" t="str">
        <f>"301006"</f>
        <v>301006</v>
      </c>
      <c r="C4947" t="s">
        <v>22319</v>
      </c>
      <c r="D4947">
        <v>18.64</v>
      </c>
      <c r="E4947">
        <v>-0.11</v>
      </c>
      <c r="F4947">
        <v>-0.02</v>
      </c>
      <c r="G4947">
        <v>9111</v>
      </c>
      <c r="H4947">
        <v>49</v>
      </c>
      <c r="I4947">
        <v>18.64</v>
      </c>
      <c r="J4947">
        <v>18.66</v>
      </c>
      <c r="K4947" t="s">
        <v>22320</v>
      </c>
      <c r="L4947">
        <v>1.42</v>
      </c>
      <c r="M4947" t="s">
        <v>46</v>
      </c>
      <c r="N4947" t="s">
        <v>5134</v>
      </c>
      <c r="O4947">
        <v>18.78</v>
      </c>
      <c r="P4947">
        <v>18.35</v>
      </c>
      <c r="Q4947">
        <v>18.73</v>
      </c>
      <c r="R4947">
        <v>18.66</v>
      </c>
      <c r="S4947">
        <v>2.3</v>
      </c>
      <c r="T4947">
        <v>0.86</v>
      </c>
      <c r="U4947">
        <v>29.11</v>
      </c>
      <c r="V4947">
        <v>46</v>
      </c>
      <c r="W4947">
        <v>18.57</v>
      </c>
      <c r="X4947">
        <v>4660</v>
      </c>
      <c r="Y4947">
        <v>4451</v>
      </c>
      <c r="Z4947">
        <v>1.05</v>
      </c>
      <c r="AA4947">
        <v>74</v>
      </c>
      <c r="AB4947">
        <v>4</v>
      </c>
      <c r="AC4947">
        <v>2.16</v>
      </c>
      <c r="AD4947" t="s">
        <v>22321</v>
      </c>
      <c r="AE4947" t="s">
        <v>22322</v>
      </c>
      <c r="AF4947" t="s">
        <v>22323</v>
      </c>
      <c r="AG4947" t="s">
        <v>5037</v>
      </c>
      <c r="AH4947">
        <v>-2.1</v>
      </c>
      <c r="AI4947">
        <v>-1.43</v>
      </c>
      <c r="AJ4947">
        <v>3.99</v>
      </c>
      <c r="AK4947">
        <v>9.72</v>
      </c>
      <c r="AL4947">
        <v>-3</v>
      </c>
      <c r="AM4947">
        <v>-0.11</v>
      </c>
      <c r="AN4947">
        <v>22.15</v>
      </c>
      <c r="AO4947">
        <v>2.08</v>
      </c>
      <c r="AP4947">
        <v>13.11</v>
      </c>
    </row>
    <row r="4948" spans="1:42">
      <c r="A4948">
        <v>4947</v>
      </c>
      <c r="B4948" t="str">
        <f>"002109"</f>
        <v>002109</v>
      </c>
      <c r="C4948" t="s">
        <v>22324</v>
      </c>
      <c r="D4948">
        <v>4.9</v>
      </c>
      <c r="E4948">
        <v>-0.61</v>
      </c>
      <c r="F4948">
        <v>-0.03</v>
      </c>
      <c r="G4948" t="s">
        <v>4839</v>
      </c>
      <c r="H4948">
        <v>228</v>
      </c>
      <c r="I4948">
        <v>4.89</v>
      </c>
      <c r="J4948">
        <v>4.9</v>
      </c>
      <c r="K4948" t="s">
        <v>22320</v>
      </c>
      <c r="L4948">
        <v>0.33</v>
      </c>
      <c r="M4948" t="s">
        <v>46</v>
      </c>
      <c r="N4948" t="s">
        <v>5034</v>
      </c>
      <c r="O4948">
        <v>4.94</v>
      </c>
      <c r="P4948">
        <v>4.86</v>
      </c>
      <c r="Q4948">
        <v>4.91</v>
      </c>
      <c r="R4948">
        <v>4.93</v>
      </c>
      <c r="S4948">
        <v>1.62</v>
      </c>
      <c r="T4948">
        <v>0.92</v>
      </c>
      <c r="U4948">
        <v>-39.25</v>
      </c>
      <c r="V4948">
        <v>-938</v>
      </c>
      <c r="W4948">
        <v>4.91</v>
      </c>
      <c r="X4948" t="s">
        <v>2575</v>
      </c>
      <c r="Y4948" t="s">
        <v>1110</v>
      </c>
      <c r="Z4948">
        <v>1.04</v>
      </c>
      <c r="AA4948">
        <v>251</v>
      </c>
      <c r="AB4948">
        <v>202</v>
      </c>
      <c r="AC4948">
        <v>1.22</v>
      </c>
      <c r="AD4948" t="s">
        <v>16780</v>
      </c>
      <c r="AE4948" t="s">
        <v>6885</v>
      </c>
      <c r="AF4948" t="s">
        <v>16780</v>
      </c>
      <c r="AG4948" t="s">
        <v>6885</v>
      </c>
      <c r="AH4948">
        <v>-1.01</v>
      </c>
      <c r="AI4948">
        <v>-2.39</v>
      </c>
      <c r="AJ4948">
        <v>1.11</v>
      </c>
      <c r="AK4948">
        <v>2.11</v>
      </c>
      <c r="AL4948">
        <v>-1</v>
      </c>
      <c r="AM4948">
        <v>-0.61</v>
      </c>
      <c r="AN4948">
        <v>-0.2</v>
      </c>
      <c r="AO4948">
        <v>4.7</v>
      </c>
      <c r="AP4948">
        <v>-0.61</v>
      </c>
    </row>
    <row r="4949" spans="1:42">
      <c r="A4949">
        <v>4948</v>
      </c>
      <c r="B4949" t="str">
        <f>"300055"</f>
        <v>300055</v>
      </c>
      <c r="C4949" t="s">
        <v>22325</v>
      </c>
      <c r="D4949">
        <v>6.88</v>
      </c>
      <c r="E4949">
        <v>0</v>
      </c>
      <c r="F4949">
        <v>0</v>
      </c>
      <c r="G4949" t="s">
        <v>3662</v>
      </c>
      <c r="H4949">
        <v>97</v>
      </c>
      <c r="I4949">
        <v>6.88</v>
      </c>
      <c r="J4949">
        <v>6.89</v>
      </c>
      <c r="K4949" t="s">
        <v>22326</v>
      </c>
      <c r="L4949">
        <v>0.39</v>
      </c>
      <c r="M4949" t="s">
        <v>46</v>
      </c>
      <c r="N4949" t="s">
        <v>2212</v>
      </c>
      <c r="O4949">
        <v>6.92</v>
      </c>
      <c r="P4949">
        <v>6.82</v>
      </c>
      <c r="Q4949">
        <v>6.85</v>
      </c>
      <c r="R4949">
        <v>6.88</v>
      </c>
      <c r="S4949">
        <v>1.45</v>
      </c>
      <c r="T4949">
        <v>0.87</v>
      </c>
      <c r="U4949">
        <v>-41.83</v>
      </c>
      <c r="V4949">
        <v>-1073</v>
      </c>
      <c r="W4949">
        <v>6.87</v>
      </c>
      <c r="X4949" t="s">
        <v>2147</v>
      </c>
      <c r="Y4949" t="s">
        <v>10542</v>
      </c>
      <c r="Z4949">
        <v>0.77</v>
      </c>
      <c r="AA4949">
        <v>26</v>
      </c>
      <c r="AB4949">
        <v>124</v>
      </c>
      <c r="AC4949">
        <v>1.07</v>
      </c>
      <c r="AD4949" t="s">
        <v>22327</v>
      </c>
      <c r="AE4949" t="s">
        <v>1194</v>
      </c>
      <c r="AF4949" t="s">
        <v>22328</v>
      </c>
      <c r="AG4949" t="s">
        <v>22329</v>
      </c>
      <c r="AH4949">
        <v>-0.72</v>
      </c>
      <c r="AI4949">
        <v>-1.43</v>
      </c>
      <c r="AJ4949">
        <v>1.3</v>
      </c>
      <c r="AK4949">
        <v>2.66</v>
      </c>
      <c r="AL4949">
        <v>0</v>
      </c>
      <c r="AM4949">
        <v>0</v>
      </c>
      <c r="AN4949">
        <v>-14.64</v>
      </c>
      <c r="AO4949">
        <v>0</v>
      </c>
      <c r="AP4949">
        <v>-24.97</v>
      </c>
    </row>
    <row r="4950" spans="1:42">
      <c r="A4950">
        <v>4949</v>
      </c>
      <c r="B4950" t="str">
        <f>"688610"</f>
        <v>688610</v>
      </c>
      <c r="C4950" t="s">
        <v>22330</v>
      </c>
      <c r="D4950">
        <v>53.37</v>
      </c>
      <c r="E4950">
        <v>-1.22</v>
      </c>
      <c r="F4950">
        <v>-0.66</v>
      </c>
      <c r="G4950">
        <v>3142</v>
      </c>
      <c r="H4950">
        <v>23</v>
      </c>
      <c r="I4950">
        <v>53.37</v>
      </c>
      <c r="J4950">
        <v>53.38</v>
      </c>
      <c r="K4950" t="s">
        <v>22331</v>
      </c>
      <c r="L4950">
        <v>2.32</v>
      </c>
      <c r="M4950" t="s">
        <v>46</v>
      </c>
      <c r="N4950" t="s">
        <v>6883</v>
      </c>
      <c r="O4950">
        <v>54.77</v>
      </c>
      <c r="P4950">
        <v>53.2</v>
      </c>
      <c r="Q4950">
        <v>53.48</v>
      </c>
      <c r="R4950">
        <v>54.03</v>
      </c>
      <c r="S4950">
        <v>2.91</v>
      </c>
      <c r="T4950">
        <v>0.6</v>
      </c>
      <c r="U4950">
        <v>57.34</v>
      </c>
      <c r="V4950">
        <v>48</v>
      </c>
      <c r="W4950">
        <v>53.81</v>
      </c>
      <c r="X4950">
        <v>1616</v>
      </c>
      <c r="Y4950">
        <v>1525</v>
      </c>
      <c r="Z4950">
        <v>1.06</v>
      </c>
      <c r="AA4950">
        <v>8</v>
      </c>
      <c r="AB4950">
        <v>2</v>
      </c>
      <c r="AC4950">
        <v>2.44</v>
      </c>
      <c r="AD4950" t="s">
        <v>8052</v>
      </c>
      <c r="AE4950" t="s">
        <v>15702</v>
      </c>
      <c r="AF4950" t="s">
        <v>22332</v>
      </c>
      <c r="AG4950" t="s">
        <v>22333</v>
      </c>
      <c r="AH4950">
        <v>-0.34</v>
      </c>
      <c r="AI4950">
        <v>-0.47</v>
      </c>
      <c r="AJ4950">
        <v>10.14</v>
      </c>
      <c r="AK4950">
        <v>21.67</v>
      </c>
      <c r="AL4950">
        <v>-1</v>
      </c>
      <c r="AM4950">
        <v>-1.22</v>
      </c>
      <c r="AN4950">
        <v>-27.22</v>
      </c>
      <c r="AO4950">
        <v>13.77</v>
      </c>
      <c r="AP4950">
        <v>-27.22</v>
      </c>
    </row>
    <row r="4951" spans="1:42">
      <c r="A4951">
        <v>4950</v>
      </c>
      <c r="B4951" t="str">
        <f>"300961"</f>
        <v>300961</v>
      </c>
      <c r="C4951" t="s">
        <v>22334</v>
      </c>
      <c r="D4951">
        <v>10.86</v>
      </c>
      <c r="E4951">
        <v>-0.73</v>
      </c>
      <c r="F4951">
        <v>-0.08</v>
      </c>
      <c r="G4951" t="s">
        <v>5951</v>
      </c>
      <c r="H4951">
        <v>93</v>
      </c>
      <c r="I4951">
        <v>10.86</v>
      </c>
      <c r="J4951">
        <v>10.87</v>
      </c>
      <c r="K4951" t="s">
        <v>22331</v>
      </c>
      <c r="L4951">
        <v>1.26</v>
      </c>
      <c r="M4951" t="s">
        <v>46</v>
      </c>
      <c r="N4951" t="s">
        <v>11532</v>
      </c>
      <c r="O4951">
        <v>11.01</v>
      </c>
      <c r="P4951">
        <v>10.84</v>
      </c>
      <c r="Q4951">
        <v>10.96</v>
      </c>
      <c r="R4951">
        <v>10.94</v>
      </c>
      <c r="S4951">
        <v>1.55</v>
      </c>
      <c r="T4951">
        <v>0.85</v>
      </c>
      <c r="U4951">
        <v>6.14</v>
      </c>
      <c r="V4951">
        <v>84</v>
      </c>
      <c r="W4951">
        <v>10.9</v>
      </c>
      <c r="X4951">
        <v>8513</v>
      </c>
      <c r="Y4951">
        <v>6988</v>
      </c>
      <c r="Z4951">
        <v>1.22</v>
      </c>
      <c r="AA4951">
        <v>27</v>
      </c>
      <c r="AB4951">
        <v>19</v>
      </c>
      <c r="AC4951">
        <v>1.9</v>
      </c>
      <c r="AD4951" t="s">
        <v>14658</v>
      </c>
      <c r="AE4951" t="s">
        <v>22335</v>
      </c>
      <c r="AF4951" t="s">
        <v>7766</v>
      </c>
      <c r="AG4951" t="s">
        <v>13672</v>
      </c>
      <c r="AH4951">
        <v>-1.72</v>
      </c>
      <c r="AI4951">
        <v>-1.45</v>
      </c>
      <c r="AJ4951">
        <v>3.93</v>
      </c>
      <c r="AK4951">
        <v>8.68</v>
      </c>
      <c r="AL4951">
        <v>-2</v>
      </c>
      <c r="AM4951">
        <v>-0.73</v>
      </c>
      <c r="AN4951">
        <v>6.05</v>
      </c>
      <c r="AO4951">
        <v>0.84</v>
      </c>
      <c r="AP4951">
        <v>-4.49</v>
      </c>
    </row>
    <row r="4952" spans="1:42">
      <c r="A4952">
        <v>4951</v>
      </c>
      <c r="B4952" t="str">
        <f>"600722"</f>
        <v>600722</v>
      </c>
      <c r="C4952" t="s">
        <v>22336</v>
      </c>
      <c r="D4952">
        <v>4.88</v>
      </c>
      <c r="E4952">
        <v>0.21</v>
      </c>
      <c r="F4952">
        <v>0.01</v>
      </c>
      <c r="G4952" t="s">
        <v>837</v>
      </c>
      <c r="H4952">
        <v>559</v>
      </c>
      <c r="I4952">
        <v>4.87</v>
      </c>
      <c r="J4952">
        <v>4.88</v>
      </c>
      <c r="K4952" t="s">
        <v>22337</v>
      </c>
      <c r="L4952">
        <v>0.51</v>
      </c>
      <c r="M4952" t="s">
        <v>46</v>
      </c>
      <c r="N4952" t="s">
        <v>21874</v>
      </c>
      <c r="O4952">
        <v>4.9</v>
      </c>
      <c r="P4952">
        <v>4.83</v>
      </c>
      <c r="Q4952">
        <v>4.85</v>
      </c>
      <c r="R4952">
        <v>4.87</v>
      </c>
      <c r="S4952">
        <v>1.44</v>
      </c>
      <c r="T4952">
        <v>1.04</v>
      </c>
      <c r="U4952">
        <v>25.02</v>
      </c>
      <c r="V4952">
        <v>1310</v>
      </c>
      <c r="W4952">
        <v>4.88</v>
      </c>
      <c r="X4952" t="s">
        <v>7836</v>
      </c>
      <c r="Y4952" t="s">
        <v>4976</v>
      </c>
      <c r="Z4952">
        <v>0.73</v>
      </c>
      <c r="AA4952">
        <v>869</v>
      </c>
      <c r="AB4952">
        <v>170</v>
      </c>
      <c r="AC4952">
        <v>2.91</v>
      </c>
      <c r="AD4952" t="s">
        <v>276</v>
      </c>
      <c r="AE4952" t="s">
        <v>10372</v>
      </c>
      <c r="AF4952" t="s">
        <v>276</v>
      </c>
      <c r="AG4952" t="s">
        <v>10372</v>
      </c>
      <c r="AH4952">
        <v>-1.01</v>
      </c>
      <c r="AI4952">
        <v>-0.81</v>
      </c>
      <c r="AJ4952">
        <v>1.67</v>
      </c>
      <c r="AK4952">
        <v>2.97</v>
      </c>
      <c r="AL4952">
        <v>1</v>
      </c>
      <c r="AM4952">
        <v>0.21</v>
      </c>
      <c r="AN4952">
        <v>0</v>
      </c>
      <c r="AO4952">
        <v>3.17</v>
      </c>
      <c r="AP4952">
        <v>-3.56</v>
      </c>
    </row>
    <row r="4953" spans="1:42">
      <c r="A4953">
        <v>4952</v>
      </c>
      <c r="B4953" t="str">
        <f>"301280"</f>
        <v>301280</v>
      </c>
      <c r="C4953" t="s">
        <v>22338</v>
      </c>
      <c r="D4953">
        <v>36.84</v>
      </c>
      <c r="E4953">
        <v>-0.41</v>
      </c>
      <c r="F4953">
        <v>-0.15</v>
      </c>
      <c r="G4953">
        <v>4583</v>
      </c>
      <c r="H4953">
        <v>71</v>
      </c>
      <c r="I4953">
        <v>36.83</v>
      </c>
      <c r="J4953">
        <v>36.84</v>
      </c>
      <c r="K4953" t="s">
        <v>22339</v>
      </c>
      <c r="L4953">
        <v>1.95</v>
      </c>
      <c r="M4953" t="s">
        <v>46</v>
      </c>
      <c r="N4953" t="s">
        <v>1336</v>
      </c>
      <c r="O4953">
        <v>37.18</v>
      </c>
      <c r="P4953">
        <v>36.44</v>
      </c>
      <c r="Q4953">
        <v>36.88</v>
      </c>
      <c r="R4953">
        <v>36.99</v>
      </c>
      <c r="S4953">
        <v>2</v>
      </c>
      <c r="T4953">
        <v>0.59</v>
      </c>
      <c r="U4953">
        <v>43.12</v>
      </c>
      <c r="V4953">
        <v>24</v>
      </c>
      <c r="W4953">
        <v>36.82</v>
      </c>
      <c r="X4953">
        <v>2201</v>
      </c>
      <c r="Y4953">
        <v>2382</v>
      </c>
      <c r="Z4953">
        <v>0.92</v>
      </c>
      <c r="AA4953">
        <v>9</v>
      </c>
      <c r="AB4953">
        <v>7</v>
      </c>
      <c r="AC4953">
        <v>2.12</v>
      </c>
      <c r="AD4953" t="s">
        <v>22340</v>
      </c>
      <c r="AE4953" t="s">
        <v>16337</v>
      </c>
      <c r="AF4953" t="s">
        <v>21095</v>
      </c>
      <c r="AG4953" t="s">
        <v>22341</v>
      </c>
      <c r="AH4953">
        <v>-1.92</v>
      </c>
      <c r="AI4953">
        <v>-2</v>
      </c>
      <c r="AJ4953">
        <v>8.08</v>
      </c>
      <c r="AK4953">
        <v>18.4</v>
      </c>
      <c r="AL4953">
        <v>-2</v>
      </c>
      <c r="AM4953">
        <v>-0.41</v>
      </c>
      <c r="AN4953">
        <v>18.19</v>
      </c>
      <c r="AO4953">
        <v>0.11</v>
      </c>
      <c r="AP4953">
        <v>-16.78</v>
      </c>
    </row>
    <row r="4954" spans="1:42">
      <c r="A4954">
        <v>4953</v>
      </c>
      <c r="B4954" t="str">
        <f>"600168"</f>
        <v>600168</v>
      </c>
      <c r="C4954" t="s">
        <v>22342</v>
      </c>
      <c r="D4954">
        <v>6.15</v>
      </c>
      <c r="E4954">
        <v>0.49</v>
      </c>
      <c r="F4954">
        <v>0.03</v>
      </c>
      <c r="G4954" t="s">
        <v>3121</v>
      </c>
      <c r="H4954">
        <v>193</v>
      </c>
      <c r="I4954">
        <v>6.14</v>
      </c>
      <c r="J4954">
        <v>6.15</v>
      </c>
      <c r="K4954" t="s">
        <v>22343</v>
      </c>
      <c r="L4954">
        <v>0.39</v>
      </c>
      <c r="M4954" t="s">
        <v>46</v>
      </c>
      <c r="N4954" t="s">
        <v>17886</v>
      </c>
      <c r="O4954">
        <v>6.18</v>
      </c>
      <c r="P4954">
        <v>6.11</v>
      </c>
      <c r="Q4954">
        <v>6.11</v>
      </c>
      <c r="R4954">
        <v>6.12</v>
      </c>
      <c r="S4954">
        <v>1.14</v>
      </c>
      <c r="T4954">
        <v>0.8</v>
      </c>
      <c r="U4954">
        <v>-8.24</v>
      </c>
      <c r="V4954">
        <v>-391</v>
      </c>
      <c r="W4954">
        <v>6.15</v>
      </c>
      <c r="X4954" t="s">
        <v>1083</v>
      </c>
      <c r="Y4954" t="s">
        <v>8212</v>
      </c>
      <c r="Z4954">
        <v>0.76</v>
      </c>
      <c r="AA4954">
        <v>565</v>
      </c>
      <c r="AB4954">
        <v>109</v>
      </c>
      <c r="AC4954">
        <v>0.81</v>
      </c>
      <c r="AD4954" t="s">
        <v>9329</v>
      </c>
      <c r="AE4954" t="s">
        <v>10001</v>
      </c>
      <c r="AF4954" t="s">
        <v>9329</v>
      </c>
      <c r="AG4954" t="s">
        <v>10001</v>
      </c>
      <c r="AH4954">
        <v>-0.49</v>
      </c>
      <c r="AI4954">
        <v>-0.97</v>
      </c>
      <c r="AJ4954">
        <v>1.23</v>
      </c>
      <c r="AK4954">
        <v>2.79</v>
      </c>
      <c r="AL4954">
        <v>1</v>
      </c>
      <c r="AM4954">
        <v>0.49</v>
      </c>
      <c r="AN4954">
        <v>1.15</v>
      </c>
      <c r="AO4954">
        <v>3.02</v>
      </c>
      <c r="AP4954">
        <v>-0.32</v>
      </c>
    </row>
    <row r="4955" spans="1:42">
      <c r="A4955">
        <v>4954</v>
      </c>
      <c r="B4955" t="str">
        <f>"300321"</f>
        <v>300321</v>
      </c>
      <c r="C4955" t="s">
        <v>22344</v>
      </c>
      <c r="D4955">
        <v>18.72</v>
      </c>
      <c r="E4955">
        <v>0.05</v>
      </c>
      <c r="F4955">
        <v>0.01</v>
      </c>
      <c r="G4955">
        <v>8992</v>
      </c>
      <c r="H4955">
        <v>7</v>
      </c>
      <c r="I4955">
        <v>18.67</v>
      </c>
      <c r="J4955">
        <v>18.72</v>
      </c>
      <c r="K4955" t="s">
        <v>22343</v>
      </c>
      <c r="L4955">
        <v>1.05</v>
      </c>
      <c r="M4955" t="s">
        <v>46</v>
      </c>
      <c r="N4955" t="s">
        <v>5949</v>
      </c>
      <c r="O4955">
        <v>19</v>
      </c>
      <c r="P4955">
        <v>18.58</v>
      </c>
      <c r="Q4955">
        <v>18.79</v>
      </c>
      <c r="R4955">
        <v>18.71</v>
      </c>
      <c r="S4955">
        <v>2.24</v>
      </c>
      <c r="T4955">
        <v>1.14</v>
      </c>
      <c r="U4955">
        <v>33.57</v>
      </c>
      <c r="V4955">
        <v>95</v>
      </c>
      <c r="W4955">
        <v>18.73</v>
      </c>
      <c r="X4955">
        <v>4242</v>
      </c>
      <c r="Y4955">
        <v>4750</v>
      </c>
      <c r="Z4955">
        <v>0.89</v>
      </c>
      <c r="AA4955">
        <v>8</v>
      </c>
      <c r="AB4955">
        <v>15</v>
      </c>
      <c r="AC4955">
        <v>2.66</v>
      </c>
      <c r="AD4955" t="s">
        <v>11784</v>
      </c>
      <c r="AE4955" t="s">
        <v>22120</v>
      </c>
      <c r="AF4955" t="s">
        <v>22345</v>
      </c>
      <c r="AG4955" t="s">
        <v>9037</v>
      </c>
      <c r="AH4955">
        <v>-1.47</v>
      </c>
      <c r="AI4955">
        <v>-0.69</v>
      </c>
      <c r="AJ4955">
        <v>2.9</v>
      </c>
      <c r="AK4955">
        <v>5.69</v>
      </c>
      <c r="AL4955">
        <v>1</v>
      </c>
      <c r="AM4955">
        <v>0.05</v>
      </c>
      <c r="AN4955">
        <v>27.69</v>
      </c>
      <c r="AO4955">
        <v>3.48</v>
      </c>
      <c r="AP4955">
        <v>14.85</v>
      </c>
    </row>
    <row r="4956" spans="1:42">
      <c r="A4956">
        <v>4955</v>
      </c>
      <c r="B4956" t="str">
        <f>"301279"</f>
        <v>301279</v>
      </c>
      <c r="C4956" t="s">
        <v>22346</v>
      </c>
      <c r="D4956">
        <v>25.52</v>
      </c>
      <c r="E4956">
        <v>-1.24</v>
      </c>
      <c r="F4956">
        <v>-0.32</v>
      </c>
      <c r="G4956">
        <v>6621</v>
      </c>
      <c r="H4956">
        <v>74</v>
      </c>
      <c r="I4956">
        <v>25.52</v>
      </c>
      <c r="J4956">
        <v>25.53</v>
      </c>
      <c r="K4956" t="s">
        <v>22347</v>
      </c>
      <c r="L4956">
        <v>2.3</v>
      </c>
      <c r="M4956" t="s">
        <v>46</v>
      </c>
      <c r="N4956" t="s">
        <v>2779</v>
      </c>
      <c r="O4956">
        <v>25.89</v>
      </c>
      <c r="P4956">
        <v>25.15</v>
      </c>
      <c r="Q4956">
        <v>25.85</v>
      </c>
      <c r="R4956">
        <v>25.84</v>
      </c>
      <c r="S4956">
        <v>2.86</v>
      </c>
      <c r="T4956">
        <v>0.85</v>
      </c>
      <c r="U4956">
        <v>33.87</v>
      </c>
      <c r="V4956">
        <v>84</v>
      </c>
      <c r="W4956">
        <v>25.43</v>
      </c>
      <c r="X4956">
        <v>3682</v>
      </c>
      <c r="Y4956">
        <v>2939</v>
      </c>
      <c r="Z4956">
        <v>1.25</v>
      </c>
      <c r="AA4956">
        <v>71</v>
      </c>
      <c r="AB4956">
        <v>9</v>
      </c>
      <c r="AC4956">
        <v>1.94</v>
      </c>
      <c r="AD4956" t="s">
        <v>5976</v>
      </c>
      <c r="AE4956" t="s">
        <v>5739</v>
      </c>
      <c r="AF4956" t="s">
        <v>9507</v>
      </c>
      <c r="AG4956" t="s">
        <v>22348</v>
      </c>
      <c r="AH4956">
        <v>-2.82</v>
      </c>
      <c r="AI4956">
        <v>-1.47</v>
      </c>
      <c r="AJ4956">
        <v>7.07</v>
      </c>
      <c r="AK4956">
        <v>15.91</v>
      </c>
      <c r="AL4956">
        <v>-3</v>
      </c>
      <c r="AM4956">
        <v>-1.24</v>
      </c>
      <c r="AN4956">
        <v>18.59</v>
      </c>
      <c r="AO4956">
        <v>0.59</v>
      </c>
      <c r="AP4956">
        <v>-2.93</v>
      </c>
    </row>
    <row r="4957" spans="1:42">
      <c r="A4957">
        <v>4956</v>
      </c>
      <c r="B4957" t="str">
        <f>"002620"</f>
        <v>002620</v>
      </c>
      <c r="C4957" t="s">
        <v>22349</v>
      </c>
      <c r="D4957">
        <v>5.41</v>
      </c>
      <c r="E4957">
        <v>-0.37</v>
      </c>
      <c r="F4957">
        <v>-0.02</v>
      </c>
      <c r="G4957" t="s">
        <v>5266</v>
      </c>
      <c r="H4957">
        <v>287</v>
      </c>
      <c r="I4957">
        <v>5.41</v>
      </c>
      <c r="J4957">
        <v>5.42</v>
      </c>
      <c r="K4957" t="s">
        <v>9747</v>
      </c>
      <c r="L4957">
        <v>0.99</v>
      </c>
      <c r="M4957" t="s">
        <v>46</v>
      </c>
      <c r="N4957" t="s">
        <v>517</v>
      </c>
      <c r="O4957">
        <v>5.47</v>
      </c>
      <c r="P4957">
        <v>5.35</v>
      </c>
      <c r="Q4957">
        <v>5.44</v>
      </c>
      <c r="R4957">
        <v>5.43</v>
      </c>
      <c r="S4957">
        <v>2.21</v>
      </c>
      <c r="T4957">
        <v>1.28</v>
      </c>
      <c r="U4957">
        <v>-61.61</v>
      </c>
      <c r="V4957">
        <v>-2256</v>
      </c>
      <c r="W4957">
        <v>5.41</v>
      </c>
      <c r="X4957" t="s">
        <v>7487</v>
      </c>
      <c r="Y4957" t="s">
        <v>3793</v>
      </c>
      <c r="Z4957">
        <v>1.08</v>
      </c>
      <c r="AA4957">
        <v>8</v>
      </c>
      <c r="AB4957">
        <v>98</v>
      </c>
      <c r="AC4957">
        <v>3.82</v>
      </c>
      <c r="AD4957" t="s">
        <v>22350</v>
      </c>
      <c r="AE4957" t="s">
        <v>9454</v>
      </c>
      <c r="AF4957" t="s">
        <v>22351</v>
      </c>
      <c r="AG4957" t="s">
        <v>18243</v>
      </c>
      <c r="AH4957">
        <v>-0.55</v>
      </c>
      <c r="AI4957">
        <v>-1.1</v>
      </c>
      <c r="AJ4957">
        <v>2.36</v>
      </c>
      <c r="AK4957">
        <v>4.84</v>
      </c>
      <c r="AL4957">
        <v>-1</v>
      </c>
      <c r="AM4957">
        <v>-0.37</v>
      </c>
      <c r="AN4957">
        <v>3.24</v>
      </c>
      <c r="AO4957">
        <v>5.25</v>
      </c>
      <c r="AP4957">
        <v>-5.42</v>
      </c>
    </row>
    <row r="4958" spans="1:42">
      <c r="A4958">
        <v>4957</v>
      </c>
      <c r="B4958" t="str">
        <f>"688391"</f>
        <v>688391</v>
      </c>
      <c r="C4958" t="s">
        <v>22352</v>
      </c>
      <c r="D4958">
        <v>51.78</v>
      </c>
      <c r="E4958">
        <v>0.15</v>
      </c>
      <c r="F4958">
        <v>0.08</v>
      </c>
      <c r="G4958">
        <v>3263</v>
      </c>
      <c r="H4958">
        <v>58</v>
      </c>
      <c r="I4958">
        <v>51.6</v>
      </c>
      <c r="J4958">
        <v>51.78</v>
      </c>
      <c r="K4958" t="s">
        <v>22353</v>
      </c>
      <c r="L4958">
        <v>0.76</v>
      </c>
      <c r="M4958" t="s">
        <v>46</v>
      </c>
      <c r="N4958" t="s">
        <v>11396</v>
      </c>
      <c r="O4958">
        <v>52.03</v>
      </c>
      <c r="P4958">
        <v>51.04</v>
      </c>
      <c r="Q4958">
        <v>51.75</v>
      </c>
      <c r="R4958">
        <v>51.7</v>
      </c>
      <c r="S4958">
        <v>1.91</v>
      </c>
      <c r="T4958">
        <v>0.57</v>
      </c>
      <c r="U4958">
        <v>-20.73</v>
      </c>
      <c r="V4958">
        <v>-14</v>
      </c>
      <c r="W4958">
        <v>51.48</v>
      </c>
      <c r="X4958">
        <v>1824</v>
      </c>
      <c r="Y4958">
        <v>1439</v>
      </c>
      <c r="Z4958">
        <v>1.27</v>
      </c>
      <c r="AA4958">
        <v>5</v>
      </c>
      <c r="AB4958">
        <v>5</v>
      </c>
      <c r="AC4958">
        <v>2.12</v>
      </c>
      <c r="AD4958" t="s">
        <v>22354</v>
      </c>
      <c r="AE4958" t="s">
        <v>12792</v>
      </c>
      <c r="AF4958" t="s">
        <v>17252</v>
      </c>
      <c r="AG4958" t="s">
        <v>22355</v>
      </c>
      <c r="AH4958">
        <v>-1.76</v>
      </c>
      <c r="AI4958">
        <v>-1.41</v>
      </c>
      <c r="AJ4958">
        <v>3.27</v>
      </c>
      <c r="AK4958">
        <v>7.48</v>
      </c>
      <c r="AL4958">
        <v>1</v>
      </c>
      <c r="AM4958">
        <v>0.15</v>
      </c>
      <c r="AN4958">
        <v>-24.19</v>
      </c>
      <c r="AO4958">
        <v>-0.38</v>
      </c>
      <c r="AP4958">
        <v>-38.93</v>
      </c>
    </row>
    <row r="4959" spans="1:42">
      <c r="A4959">
        <v>4958</v>
      </c>
      <c r="B4959" t="str">
        <f>"300215"</f>
        <v>300215</v>
      </c>
      <c r="C4959" t="s">
        <v>22356</v>
      </c>
      <c r="D4959">
        <v>5.33</v>
      </c>
      <c r="E4959">
        <v>0.38</v>
      </c>
      <c r="F4959">
        <v>0.02</v>
      </c>
      <c r="G4959" t="s">
        <v>4733</v>
      </c>
      <c r="H4959">
        <v>304</v>
      </c>
      <c r="I4959">
        <v>5.32</v>
      </c>
      <c r="J4959">
        <v>5.33</v>
      </c>
      <c r="K4959" t="s">
        <v>22357</v>
      </c>
      <c r="L4959">
        <v>0.45</v>
      </c>
      <c r="M4959" t="s">
        <v>46</v>
      </c>
      <c r="N4959" t="s">
        <v>3272</v>
      </c>
      <c r="O4959">
        <v>5.37</v>
      </c>
      <c r="P4959">
        <v>5.3</v>
      </c>
      <c r="Q4959">
        <v>5.31</v>
      </c>
      <c r="R4959">
        <v>5.31</v>
      </c>
      <c r="S4959">
        <v>1.32</v>
      </c>
      <c r="T4959">
        <v>0.69</v>
      </c>
      <c r="U4959">
        <v>-22.14</v>
      </c>
      <c r="V4959">
        <v>-938</v>
      </c>
      <c r="W4959">
        <v>5.33</v>
      </c>
      <c r="X4959" t="s">
        <v>3069</v>
      </c>
      <c r="Y4959" t="s">
        <v>383</v>
      </c>
      <c r="Z4959">
        <v>1.36</v>
      </c>
      <c r="AA4959">
        <v>149</v>
      </c>
      <c r="AB4959">
        <v>35</v>
      </c>
      <c r="AC4959">
        <v>2.06</v>
      </c>
      <c r="AD4959" t="s">
        <v>22358</v>
      </c>
      <c r="AE4959" t="s">
        <v>11482</v>
      </c>
      <c r="AF4959" t="s">
        <v>22359</v>
      </c>
      <c r="AG4959" t="s">
        <v>16883</v>
      </c>
      <c r="AH4959">
        <v>-0.56</v>
      </c>
      <c r="AI4959">
        <v>0.38</v>
      </c>
      <c r="AJ4959">
        <v>1.51</v>
      </c>
      <c r="AK4959">
        <v>3.71</v>
      </c>
      <c r="AL4959">
        <v>1</v>
      </c>
      <c r="AM4959">
        <v>0.38</v>
      </c>
      <c r="AN4959">
        <v>-3.27</v>
      </c>
      <c r="AO4959">
        <v>5.13</v>
      </c>
      <c r="AP4959">
        <v>-9.51</v>
      </c>
    </row>
    <row r="4960" spans="1:42">
      <c r="A4960">
        <v>4959</v>
      </c>
      <c r="B4960" t="str">
        <f>"831167"</f>
        <v>831167</v>
      </c>
      <c r="C4960" t="s">
        <v>22360</v>
      </c>
      <c r="D4960">
        <v>12.05</v>
      </c>
      <c r="E4960">
        <v>-5.93</v>
      </c>
      <c r="F4960">
        <v>-0.76</v>
      </c>
      <c r="G4960" t="s">
        <v>5183</v>
      </c>
      <c r="H4960">
        <v>24</v>
      </c>
      <c r="I4960">
        <v>12.01</v>
      </c>
      <c r="J4960">
        <v>12.05</v>
      </c>
      <c r="K4960" t="s">
        <v>14051</v>
      </c>
      <c r="L4960">
        <v>6.74</v>
      </c>
      <c r="M4960" t="s">
        <v>46</v>
      </c>
      <c r="N4960" t="s">
        <v>3435</v>
      </c>
      <c r="O4960">
        <v>13.14</v>
      </c>
      <c r="P4960">
        <v>11.8</v>
      </c>
      <c r="Q4960">
        <v>12.8</v>
      </c>
      <c r="R4960">
        <v>12.81</v>
      </c>
      <c r="S4960">
        <v>10.46</v>
      </c>
      <c r="T4960">
        <v>0.53</v>
      </c>
      <c r="U4960">
        <v>47.92</v>
      </c>
      <c r="V4960">
        <v>243</v>
      </c>
      <c r="W4960">
        <v>12.3</v>
      </c>
      <c r="X4960">
        <v>8644</v>
      </c>
      <c r="Y4960">
        <v>4985</v>
      </c>
      <c r="Z4960">
        <v>1.73</v>
      </c>
      <c r="AA4960">
        <v>10</v>
      </c>
      <c r="AB4960">
        <v>10</v>
      </c>
      <c r="AC4960">
        <v>2.38</v>
      </c>
      <c r="AD4960" t="s">
        <v>16091</v>
      </c>
      <c r="AE4960" t="s">
        <v>22361</v>
      </c>
      <c r="AF4960" t="s">
        <v>22362</v>
      </c>
      <c r="AG4960" t="s">
        <v>22006</v>
      </c>
      <c r="AH4960">
        <v>-22.76</v>
      </c>
      <c r="AI4960">
        <v>9.15</v>
      </c>
      <c r="AJ4960">
        <v>24.12</v>
      </c>
      <c r="AK4960">
        <v>70.92</v>
      </c>
      <c r="AL4960">
        <v>-3</v>
      </c>
      <c r="AM4960">
        <v>-5.93</v>
      </c>
      <c r="AN4960">
        <v>35.7</v>
      </c>
      <c r="AO4960">
        <v>30.55</v>
      </c>
      <c r="AP4960">
        <v>23.08</v>
      </c>
    </row>
    <row r="4961" spans="1:42">
      <c r="A4961">
        <v>4960</v>
      </c>
      <c r="B4961" t="str">
        <f>"688021"</f>
        <v>688021</v>
      </c>
      <c r="C4961" t="s">
        <v>22363</v>
      </c>
      <c r="D4961">
        <v>22.62</v>
      </c>
      <c r="E4961">
        <v>-0.35</v>
      </c>
      <c r="F4961">
        <v>-0.08</v>
      </c>
      <c r="G4961">
        <v>7439</v>
      </c>
      <c r="H4961">
        <v>28</v>
      </c>
      <c r="I4961">
        <v>22.53</v>
      </c>
      <c r="J4961">
        <v>22.62</v>
      </c>
      <c r="K4961" t="s">
        <v>22364</v>
      </c>
      <c r="L4961">
        <v>0.96</v>
      </c>
      <c r="M4961" t="s">
        <v>46</v>
      </c>
      <c r="N4961" t="s">
        <v>5735</v>
      </c>
      <c r="O4961">
        <v>22.83</v>
      </c>
      <c r="P4961">
        <v>22.3</v>
      </c>
      <c r="Q4961">
        <v>22.62</v>
      </c>
      <c r="R4961">
        <v>22.7</v>
      </c>
      <c r="S4961">
        <v>2.33</v>
      </c>
      <c r="T4961">
        <v>1.25</v>
      </c>
      <c r="U4961">
        <v>69.89</v>
      </c>
      <c r="V4961">
        <v>175</v>
      </c>
      <c r="W4961">
        <v>22.51</v>
      </c>
      <c r="X4961">
        <v>3868</v>
      </c>
      <c r="Y4961">
        <v>3572</v>
      </c>
      <c r="Z4961">
        <v>1.08</v>
      </c>
      <c r="AA4961">
        <v>150</v>
      </c>
      <c r="AB4961">
        <v>1</v>
      </c>
      <c r="AC4961">
        <v>1.86</v>
      </c>
      <c r="AD4961" t="s">
        <v>15000</v>
      </c>
      <c r="AE4961" t="s">
        <v>22365</v>
      </c>
      <c r="AF4961" t="s">
        <v>15000</v>
      </c>
      <c r="AG4961" t="s">
        <v>22365</v>
      </c>
      <c r="AH4961">
        <v>-2.12</v>
      </c>
      <c r="AI4961">
        <v>-1.65</v>
      </c>
      <c r="AJ4961">
        <v>2.37</v>
      </c>
      <c r="AK4961">
        <v>4.81</v>
      </c>
      <c r="AL4961">
        <v>-3</v>
      </c>
      <c r="AM4961">
        <v>-0.35</v>
      </c>
      <c r="AN4961">
        <v>-9.56</v>
      </c>
      <c r="AO4961">
        <v>4.38</v>
      </c>
      <c r="AP4961">
        <v>-11.12</v>
      </c>
    </row>
    <row r="4962" spans="1:42">
      <c r="A4962">
        <v>4961</v>
      </c>
      <c r="B4962" t="str">
        <f>"300388"</f>
        <v>300388</v>
      </c>
      <c r="C4962" t="s">
        <v>22366</v>
      </c>
      <c r="D4962">
        <v>6.83</v>
      </c>
      <c r="E4962">
        <v>0.74</v>
      </c>
      <c r="F4962">
        <v>0.05</v>
      </c>
      <c r="G4962" t="s">
        <v>9766</v>
      </c>
      <c r="H4962">
        <v>628</v>
      </c>
      <c r="I4962">
        <v>6.83</v>
      </c>
      <c r="J4962">
        <v>6.84</v>
      </c>
      <c r="K4962" t="s">
        <v>22367</v>
      </c>
      <c r="L4962">
        <v>0.35</v>
      </c>
      <c r="M4962" t="s">
        <v>46</v>
      </c>
      <c r="N4962" t="s">
        <v>2909</v>
      </c>
      <c r="O4962">
        <v>6.89</v>
      </c>
      <c r="P4962">
        <v>6.77</v>
      </c>
      <c r="Q4962">
        <v>6.8</v>
      </c>
      <c r="R4962">
        <v>6.78</v>
      </c>
      <c r="S4962">
        <v>1.77</v>
      </c>
      <c r="T4962">
        <v>0.9</v>
      </c>
      <c r="U4962">
        <v>-66</v>
      </c>
      <c r="V4962">
        <v>-4579</v>
      </c>
      <c r="W4962">
        <v>6.84</v>
      </c>
      <c r="X4962" t="s">
        <v>2284</v>
      </c>
      <c r="Y4962" t="s">
        <v>1427</v>
      </c>
      <c r="Z4962">
        <v>0.9</v>
      </c>
      <c r="AA4962">
        <v>177</v>
      </c>
      <c r="AB4962">
        <v>120</v>
      </c>
      <c r="AC4962">
        <v>1.19</v>
      </c>
      <c r="AD4962" t="s">
        <v>22368</v>
      </c>
      <c r="AE4962" t="s">
        <v>22369</v>
      </c>
      <c r="AF4962" t="s">
        <v>22370</v>
      </c>
      <c r="AG4962" t="s">
        <v>6352</v>
      </c>
      <c r="AH4962">
        <v>-0.15</v>
      </c>
      <c r="AI4962">
        <v>-1.16</v>
      </c>
      <c r="AJ4962">
        <v>1.13</v>
      </c>
      <c r="AK4962">
        <v>2.29</v>
      </c>
      <c r="AL4962">
        <v>1</v>
      </c>
      <c r="AM4962">
        <v>0.74</v>
      </c>
      <c r="AN4962">
        <v>13.83</v>
      </c>
      <c r="AO4962">
        <v>2.09</v>
      </c>
      <c r="AP4962">
        <v>9.81</v>
      </c>
    </row>
    <row r="4963" spans="1:42">
      <c r="A4963">
        <v>4962</v>
      </c>
      <c r="B4963" t="str">
        <f>"002718"</f>
        <v>002718</v>
      </c>
      <c r="C4963" t="s">
        <v>22371</v>
      </c>
      <c r="D4963">
        <v>17</v>
      </c>
      <c r="E4963">
        <v>0.35</v>
      </c>
      <c r="F4963">
        <v>0.06</v>
      </c>
      <c r="G4963">
        <v>9867</v>
      </c>
      <c r="H4963">
        <v>32</v>
      </c>
      <c r="I4963">
        <v>16.99</v>
      </c>
      <c r="J4963">
        <v>17</v>
      </c>
      <c r="K4963" t="s">
        <v>22372</v>
      </c>
      <c r="L4963">
        <v>1.6</v>
      </c>
      <c r="M4963" t="s">
        <v>46</v>
      </c>
      <c r="N4963" t="s">
        <v>1916</v>
      </c>
      <c r="O4963">
        <v>17.14</v>
      </c>
      <c r="P4963">
        <v>16.78</v>
      </c>
      <c r="Q4963">
        <v>16.91</v>
      </c>
      <c r="R4963">
        <v>16.94</v>
      </c>
      <c r="S4963">
        <v>2.13</v>
      </c>
      <c r="T4963">
        <v>0.79</v>
      </c>
      <c r="U4963">
        <v>44.81</v>
      </c>
      <c r="V4963">
        <v>242</v>
      </c>
      <c r="W4963">
        <v>16.96</v>
      </c>
      <c r="X4963">
        <v>5043</v>
      </c>
      <c r="Y4963">
        <v>4824</v>
      </c>
      <c r="Z4963">
        <v>1.05</v>
      </c>
      <c r="AA4963">
        <v>20</v>
      </c>
      <c r="AB4963">
        <v>61</v>
      </c>
      <c r="AC4963">
        <v>2.07</v>
      </c>
      <c r="AD4963" t="s">
        <v>11390</v>
      </c>
      <c r="AE4963" t="s">
        <v>22373</v>
      </c>
      <c r="AF4963" t="s">
        <v>14548</v>
      </c>
      <c r="AG4963" t="s">
        <v>5046</v>
      </c>
      <c r="AH4963">
        <v>-1.28</v>
      </c>
      <c r="AI4963">
        <v>-2.07</v>
      </c>
      <c r="AJ4963">
        <v>5.07</v>
      </c>
      <c r="AK4963">
        <v>11.77</v>
      </c>
      <c r="AL4963">
        <v>1</v>
      </c>
      <c r="AM4963">
        <v>0.35</v>
      </c>
      <c r="AN4963">
        <v>30.07</v>
      </c>
      <c r="AO4963">
        <v>1.19</v>
      </c>
      <c r="AP4963">
        <v>19.05</v>
      </c>
    </row>
    <row r="4964" spans="1:42">
      <c r="A4964">
        <v>4963</v>
      </c>
      <c r="B4964" t="str">
        <f>"600117"</f>
        <v>600117</v>
      </c>
      <c r="C4964" t="s">
        <v>22374</v>
      </c>
      <c r="D4964">
        <v>3.08</v>
      </c>
      <c r="E4964">
        <v>-1.91</v>
      </c>
      <c r="F4964">
        <v>-0.06</v>
      </c>
      <c r="G4964" t="s">
        <v>14220</v>
      </c>
      <c r="H4964">
        <v>104</v>
      </c>
      <c r="I4964">
        <v>3.07</v>
      </c>
      <c r="J4964">
        <v>3.08</v>
      </c>
      <c r="K4964" t="s">
        <v>22375</v>
      </c>
      <c r="L4964">
        <v>0.17</v>
      </c>
      <c r="M4964" t="s">
        <v>46</v>
      </c>
      <c r="N4964" t="s">
        <v>9584</v>
      </c>
      <c r="O4964">
        <v>3.13</v>
      </c>
      <c r="P4964">
        <v>3</v>
      </c>
      <c r="Q4964">
        <v>3.13</v>
      </c>
      <c r="R4964">
        <v>3.14</v>
      </c>
      <c r="S4964">
        <v>4.14</v>
      </c>
      <c r="T4964">
        <v>1.5</v>
      </c>
      <c r="U4964">
        <v>5.2</v>
      </c>
      <c r="V4964">
        <v>458</v>
      </c>
      <c r="W4964">
        <v>3.06</v>
      </c>
      <c r="X4964" t="s">
        <v>8663</v>
      </c>
      <c r="Y4964" t="s">
        <v>60</v>
      </c>
      <c r="Z4964">
        <v>2.07</v>
      </c>
      <c r="AA4964">
        <v>444</v>
      </c>
      <c r="AB4964">
        <v>107</v>
      </c>
      <c r="AC4964">
        <v>1.62</v>
      </c>
      <c r="AD4964" t="s">
        <v>20278</v>
      </c>
      <c r="AE4964" t="s">
        <v>7658</v>
      </c>
      <c r="AF4964" t="s">
        <v>20278</v>
      </c>
      <c r="AG4964" t="s">
        <v>7658</v>
      </c>
      <c r="AH4964">
        <v>-1.28</v>
      </c>
      <c r="AI4964">
        <v>-0.96</v>
      </c>
      <c r="AJ4964">
        <v>0.37</v>
      </c>
      <c r="AK4964">
        <v>0.72</v>
      </c>
      <c r="AL4964">
        <v>-1</v>
      </c>
      <c r="AM4964">
        <v>-1.91</v>
      </c>
      <c r="AN4964">
        <v>-0.96</v>
      </c>
      <c r="AO4964">
        <v>-1.91</v>
      </c>
      <c r="AP4964">
        <v>-4.94</v>
      </c>
    </row>
    <row r="4965" spans="1:42">
      <c r="A4965">
        <v>4964</v>
      </c>
      <c r="B4965" t="str">
        <f>"002801"</f>
        <v>002801</v>
      </c>
      <c r="C4965" t="s">
        <v>22376</v>
      </c>
      <c r="D4965">
        <v>21.58</v>
      </c>
      <c r="E4965">
        <v>-0.64</v>
      </c>
      <c r="F4965">
        <v>-0.14</v>
      </c>
      <c r="G4965">
        <v>7737</v>
      </c>
      <c r="H4965">
        <v>69</v>
      </c>
      <c r="I4965">
        <v>21.58</v>
      </c>
      <c r="J4965">
        <v>21.59</v>
      </c>
      <c r="K4965" t="s">
        <v>22377</v>
      </c>
      <c r="L4965">
        <v>0.67</v>
      </c>
      <c r="M4965" t="s">
        <v>46</v>
      </c>
      <c r="N4965" t="s">
        <v>1213</v>
      </c>
      <c r="O4965">
        <v>21.92</v>
      </c>
      <c r="P4965">
        <v>21.31</v>
      </c>
      <c r="Q4965">
        <v>21.72</v>
      </c>
      <c r="R4965">
        <v>21.72</v>
      </c>
      <c r="S4965">
        <v>2.81</v>
      </c>
      <c r="T4965">
        <v>0.92</v>
      </c>
      <c r="U4965">
        <v>43.85</v>
      </c>
      <c r="V4965">
        <v>139</v>
      </c>
      <c r="W4965">
        <v>21.53</v>
      </c>
      <c r="X4965">
        <v>4411</v>
      </c>
      <c r="Y4965">
        <v>3326</v>
      </c>
      <c r="Z4965">
        <v>1.33</v>
      </c>
      <c r="AA4965">
        <v>10</v>
      </c>
      <c r="AB4965">
        <v>4</v>
      </c>
      <c r="AC4965">
        <v>3.09</v>
      </c>
      <c r="AD4965" t="s">
        <v>7657</v>
      </c>
      <c r="AE4965" t="s">
        <v>12494</v>
      </c>
      <c r="AF4965" t="s">
        <v>22378</v>
      </c>
      <c r="AG4965" t="s">
        <v>18100</v>
      </c>
      <c r="AH4965">
        <v>-1.1</v>
      </c>
      <c r="AI4965">
        <v>-1.28</v>
      </c>
      <c r="AJ4965">
        <v>1.95</v>
      </c>
      <c r="AK4965">
        <v>4.3</v>
      </c>
      <c r="AL4965">
        <v>-2</v>
      </c>
      <c r="AM4965">
        <v>-0.64</v>
      </c>
      <c r="AN4965">
        <v>-11.23</v>
      </c>
      <c r="AO4965">
        <v>1.84</v>
      </c>
      <c r="AP4965">
        <v>-22.98</v>
      </c>
    </row>
    <row r="4966" spans="1:42">
      <c r="A4966">
        <v>4965</v>
      </c>
      <c r="B4966" t="str">
        <f>"600617"</f>
        <v>600617</v>
      </c>
      <c r="C4966" t="s">
        <v>22379</v>
      </c>
      <c r="D4966">
        <v>4.09</v>
      </c>
      <c r="E4966">
        <v>0.49</v>
      </c>
      <c r="F4966">
        <v>0.02</v>
      </c>
      <c r="G4966" t="s">
        <v>1320</v>
      </c>
      <c r="H4966">
        <v>118</v>
      </c>
      <c r="I4966">
        <v>4.08</v>
      </c>
      <c r="J4966">
        <v>4.09</v>
      </c>
      <c r="K4966" t="s">
        <v>22380</v>
      </c>
      <c r="L4966">
        <v>0.42</v>
      </c>
      <c r="M4966" t="s">
        <v>46</v>
      </c>
      <c r="N4966" t="s">
        <v>16224</v>
      </c>
      <c r="O4966">
        <v>4.11</v>
      </c>
      <c r="P4966">
        <v>4.06</v>
      </c>
      <c r="Q4966">
        <v>4.1</v>
      </c>
      <c r="R4966">
        <v>4.07</v>
      </c>
      <c r="S4966">
        <v>1.23</v>
      </c>
      <c r="T4966">
        <v>0.69</v>
      </c>
      <c r="U4966">
        <v>-23.53</v>
      </c>
      <c r="V4966">
        <v>-2987</v>
      </c>
      <c r="W4966">
        <v>4.08</v>
      </c>
      <c r="X4966" t="s">
        <v>2723</v>
      </c>
      <c r="Y4966" t="s">
        <v>8267</v>
      </c>
      <c r="Z4966">
        <v>0.84</v>
      </c>
      <c r="AA4966">
        <v>587</v>
      </c>
      <c r="AB4966">
        <v>1945</v>
      </c>
      <c r="AC4966">
        <v>1.56</v>
      </c>
      <c r="AD4966" t="s">
        <v>14450</v>
      </c>
      <c r="AE4966" t="s">
        <v>22381</v>
      </c>
      <c r="AF4966" t="s">
        <v>22382</v>
      </c>
      <c r="AG4966" t="s">
        <v>11958</v>
      </c>
      <c r="AH4966">
        <v>0</v>
      </c>
      <c r="AI4966">
        <v>-1.68</v>
      </c>
      <c r="AJ4966">
        <v>1.45</v>
      </c>
      <c r="AK4966">
        <v>3.45</v>
      </c>
      <c r="AL4966">
        <v>2</v>
      </c>
      <c r="AM4966">
        <v>0.49</v>
      </c>
      <c r="AN4966">
        <v>0.99</v>
      </c>
      <c r="AO4966">
        <v>-1.45</v>
      </c>
      <c r="AP4966">
        <v>-7.26</v>
      </c>
    </row>
    <row r="4967" spans="1:42">
      <c r="A4967">
        <v>4966</v>
      </c>
      <c r="B4967" t="str">
        <f>"600423"</f>
        <v>600423</v>
      </c>
      <c r="C4967" t="s">
        <v>22383</v>
      </c>
      <c r="D4967">
        <v>3.54</v>
      </c>
      <c r="E4967">
        <v>0.85</v>
      </c>
      <c r="F4967">
        <v>0.03</v>
      </c>
      <c r="G4967" t="s">
        <v>6257</v>
      </c>
      <c r="H4967">
        <v>147</v>
      </c>
      <c r="I4967">
        <v>3.53</v>
      </c>
      <c r="J4967">
        <v>3.54</v>
      </c>
      <c r="K4967" t="s">
        <v>22384</v>
      </c>
      <c r="L4967">
        <v>0.59</v>
      </c>
      <c r="M4967" t="s">
        <v>46</v>
      </c>
      <c r="N4967" t="s">
        <v>22385</v>
      </c>
      <c r="O4967">
        <v>3.55</v>
      </c>
      <c r="P4967">
        <v>3.51</v>
      </c>
      <c r="Q4967">
        <v>3.52</v>
      </c>
      <c r="R4967">
        <v>3.51</v>
      </c>
      <c r="S4967">
        <v>1.14</v>
      </c>
      <c r="T4967">
        <v>0.72</v>
      </c>
      <c r="U4967">
        <v>-41.09</v>
      </c>
      <c r="V4967">
        <v>-3282</v>
      </c>
      <c r="W4967">
        <v>3.53</v>
      </c>
      <c r="X4967" t="s">
        <v>587</v>
      </c>
      <c r="Y4967" t="s">
        <v>4037</v>
      </c>
      <c r="Z4967">
        <v>0.95</v>
      </c>
      <c r="AA4967">
        <v>12</v>
      </c>
      <c r="AB4967">
        <v>1501</v>
      </c>
      <c r="AC4967">
        <v>6.32</v>
      </c>
      <c r="AD4967" t="s">
        <v>5991</v>
      </c>
      <c r="AE4967" t="s">
        <v>6275</v>
      </c>
      <c r="AF4967" t="s">
        <v>5991</v>
      </c>
      <c r="AG4967" t="s">
        <v>6275</v>
      </c>
      <c r="AH4967">
        <v>-0.84</v>
      </c>
      <c r="AI4967">
        <v>-0.84</v>
      </c>
      <c r="AJ4967">
        <v>2.22</v>
      </c>
      <c r="AK4967">
        <v>4.66</v>
      </c>
      <c r="AL4967">
        <v>1</v>
      </c>
      <c r="AM4967">
        <v>0.85</v>
      </c>
      <c r="AN4967">
        <v>3.21</v>
      </c>
      <c r="AO4967">
        <v>2.31</v>
      </c>
      <c r="AP4967">
        <v>2.02</v>
      </c>
    </row>
    <row r="4968" spans="1:42">
      <c r="A4968">
        <v>4967</v>
      </c>
      <c r="B4968" t="str">
        <f>"001258"</f>
        <v>001258</v>
      </c>
      <c r="C4968" t="s">
        <v>22386</v>
      </c>
      <c r="D4968">
        <v>7.87</v>
      </c>
      <c r="E4968">
        <v>0</v>
      </c>
      <c r="F4968">
        <v>0</v>
      </c>
      <c r="G4968" t="s">
        <v>7210</v>
      </c>
      <c r="H4968">
        <v>476</v>
      </c>
      <c r="I4968">
        <v>7.87</v>
      </c>
      <c r="J4968">
        <v>7.88</v>
      </c>
      <c r="K4968" t="s">
        <v>16787</v>
      </c>
      <c r="L4968">
        <v>0.45</v>
      </c>
      <c r="M4968" t="s">
        <v>46</v>
      </c>
      <c r="N4968" t="s">
        <v>1685</v>
      </c>
      <c r="O4968">
        <v>7.9</v>
      </c>
      <c r="P4968">
        <v>7.81</v>
      </c>
      <c r="Q4968">
        <v>7.86</v>
      </c>
      <c r="R4968">
        <v>7.87</v>
      </c>
      <c r="S4968">
        <v>1.14</v>
      </c>
      <c r="T4968">
        <v>0.61</v>
      </c>
      <c r="U4968">
        <v>-23.43</v>
      </c>
      <c r="V4968">
        <v>-710</v>
      </c>
      <c r="W4968">
        <v>7.85</v>
      </c>
      <c r="X4968" t="s">
        <v>682</v>
      </c>
      <c r="Y4968">
        <v>8525</v>
      </c>
      <c r="Z4968">
        <v>1.48</v>
      </c>
      <c r="AA4968">
        <v>7</v>
      </c>
      <c r="AB4968">
        <v>493</v>
      </c>
      <c r="AC4968">
        <v>2.44</v>
      </c>
      <c r="AD4968" t="s">
        <v>22387</v>
      </c>
      <c r="AE4968" t="s">
        <v>22388</v>
      </c>
      <c r="AF4968" t="s">
        <v>21193</v>
      </c>
      <c r="AG4968" t="s">
        <v>22389</v>
      </c>
      <c r="AH4968">
        <v>-2.36</v>
      </c>
      <c r="AI4968">
        <v>-2.48</v>
      </c>
      <c r="AJ4968">
        <v>2.04</v>
      </c>
      <c r="AK4968">
        <v>4.15</v>
      </c>
      <c r="AL4968">
        <v>0</v>
      </c>
      <c r="AM4968">
        <v>0</v>
      </c>
      <c r="AN4968">
        <v>-24.33</v>
      </c>
      <c r="AO4968">
        <v>-1.25</v>
      </c>
      <c r="AP4968">
        <v>-32.33</v>
      </c>
    </row>
    <row r="4969" spans="1:42">
      <c r="A4969">
        <v>4968</v>
      </c>
      <c r="B4969" t="str">
        <f>"300867"</f>
        <v>300867</v>
      </c>
      <c r="C4969" t="s">
        <v>22390</v>
      </c>
      <c r="D4969">
        <v>15.98</v>
      </c>
      <c r="E4969">
        <v>-0.13</v>
      </c>
      <c r="F4969">
        <v>-0.02</v>
      </c>
      <c r="G4969" t="s">
        <v>239</v>
      </c>
      <c r="H4969">
        <v>33</v>
      </c>
      <c r="I4969">
        <v>15.98</v>
      </c>
      <c r="J4969">
        <v>15.99</v>
      </c>
      <c r="K4969" t="s">
        <v>22391</v>
      </c>
      <c r="L4969">
        <v>0.54</v>
      </c>
      <c r="M4969" t="s">
        <v>46</v>
      </c>
      <c r="N4969" t="s">
        <v>654</v>
      </c>
      <c r="O4969">
        <v>16.09</v>
      </c>
      <c r="P4969">
        <v>15.93</v>
      </c>
      <c r="Q4969">
        <v>16.03</v>
      </c>
      <c r="R4969">
        <v>16</v>
      </c>
      <c r="S4969">
        <v>1</v>
      </c>
      <c r="T4969">
        <v>0.75</v>
      </c>
      <c r="U4969">
        <v>58.33</v>
      </c>
      <c r="V4969">
        <v>532</v>
      </c>
      <c r="W4969">
        <v>16</v>
      </c>
      <c r="X4969">
        <v>4514</v>
      </c>
      <c r="Y4969">
        <v>5856</v>
      </c>
      <c r="Z4969">
        <v>0.77</v>
      </c>
      <c r="AA4969">
        <v>375</v>
      </c>
      <c r="AB4969">
        <v>35</v>
      </c>
      <c r="AC4969">
        <v>1.25</v>
      </c>
      <c r="AD4969" t="s">
        <v>22392</v>
      </c>
      <c r="AE4969" t="s">
        <v>4853</v>
      </c>
      <c r="AF4969" t="s">
        <v>21306</v>
      </c>
      <c r="AG4969" t="s">
        <v>7425</v>
      </c>
      <c r="AH4969">
        <v>-0.81</v>
      </c>
      <c r="AI4969">
        <v>-0.75</v>
      </c>
      <c r="AJ4969">
        <v>2.16</v>
      </c>
      <c r="AK4969">
        <v>4.13</v>
      </c>
      <c r="AL4969">
        <v>-2</v>
      </c>
      <c r="AM4969">
        <v>-0.13</v>
      </c>
      <c r="AN4969">
        <v>-5.78</v>
      </c>
      <c r="AO4969">
        <v>2.5</v>
      </c>
      <c r="AP4969">
        <v>-10.93</v>
      </c>
    </row>
    <row r="4970" spans="1:42">
      <c r="A4970">
        <v>4969</v>
      </c>
      <c r="B4970" t="str">
        <f>"834415"</f>
        <v>834415</v>
      </c>
      <c r="C4970" t="s">
        <v>22393</v>
      </c>
      <c r="D4970">
        <v>5.09</v>
      </c>
      <c r="E4970">
        <v>-1.17</v>
      </c>
      <c r="F4970">
        <v>-0.06</v>
      </c>
      <c r="G4970" t="s">
        <v>10177</v>
      </c>
      <c r="H4970">
        <v>136</v>
      </c>
      <c r="I4970">
        <v>5.07</v>
      </c>
      <c r="J4970">
        <v>5.09</v>
      </c>
      <c r="K4970" t="s">
        <v>22394</v>
      </c>
      <c r="L4970">
        <v>2.34</v>
      </c>
      <c r="M4970" t="s">
        <v>46</v>
      </c>
      <c r="N4970" t="s">
        <v>9682</v>
      </c>
      <c r="O4970">
        <v>5.29</v>
      </c>
      <c r="P4970">
        <v>5</v>
      </c>
      <c r="Q4970">
        <v>5.21</v>
      </c>
      <c r="R4970">
        <v>5.15</v>
      </c>
      <c r="S4970">
        <v>5.63</v>
      </c>
      <c r="T4970">
        <v>0.42</v>
      </c>
      <c r="U4970">
        <v>10.72</v>
      </c>
      <c r="V4970">
        <v>145</v>
      </c>
      <c r="W4970">
        <v>5.15</v>
      </c>
      <c r="X4970" t="s">
        <v>6580</v>
      </c>
      <c r="Y4970" t="s">
        <v>2667</v>
      </c>
      <c r="Z4970">
        <v>1.83</v>
      </c>
      <c r="AA4970">
        <v>222</v>
      </c>
      <c r="AB4970">
        <v>135</v>
      </c>
      <c r="AC4970">
        <v>1.41</v>
      </c>
      <c r="AD4970" t="s">
        <v>19115</v>
      </c>
      <c r="AE4970" t="s">
        <v>3509</v>
      </c>
      <c r="AF4970" t="s">
        <v>14114</v>
      </c>
      <c r="AG4970" t="s">
        <v>22395</v>
      </c>
      <c r="AH4970">
        <v>-10.86</v>
      </c>
      <c r="AI4970">
        <v>4.95</v>
      </c>
      <c r="AJ4970">
        <v>9.13</v>
      </c>
      <c r="AK4970">
        <v>30.29</v>
      </c>
      <c r="AL4970">
        <v>-1</v>
      </c>
      <c r="AM4970">
        <v>-1.17</v>
      </c>
      <c r="AN4970">
        <v>31.19</v>
      </c>
      <c r="AO4970">
        <v>37.57</v>
      </c>
      <c r="AP4970">
        <v>28.21</v>
      </c>
    </row>
    <row r="4971" spans="1:42">
      <c r="A4971">
        <v>4970</v>
      </c>
      <c r="B4971" t="str">
        <f>"300641"</f>
        <v>300641</v>
      </c>
      <c r="C4971" t="s">
        <v>22396</v>
      </c>
      <c r="D4971">
        <v>5.65</v>
      </c>
      <c r="E4971">
        <v>0</v>
      </c>
      <c r="F4971">
        <v>0</v>
      </c>
      <c r="G4971" t="s">
        <v>8622</v>
      </c>
      <c r="H4971">
        <v>24</v>
      </c>
      <c r="I4971">
        <v>5.64</v>
      </c>
      <c r="J4971">
        <v>5.65</v>
      </c>
      <c r="K4971" t="s">
        <v>22397</v>
      </c>
      <c r="L4971">
        <v>0.6</v>
      </c>
      <c r="M4971" t="s">
        <v>46</v>
      </c>
      <c r="N4971" t="s">
        <v>1778</v>
      </c>
      <c r="O4971">
        <v>5.67</v>
      </c>
      <c r="P4971">
        <v>5.59</v>
      </c>
      <c r="Q4971">
        <v>5.63</v>
      </c>
      <c r="R4971">
        <v>5.65</v>
      </c>
      <c r="S4971">
        <v>1.42</v>
      </c>
      <c r="T4971">
        <v>1.14</v>
      </c>
      <c r="U4971">
        <v>20.95</v>
      </c>
      <c r="V4971">
        <v>326</v>
      </c>
      <c r="W4971">
        <v>5.63</v>
      </c>
      <c r="X4971" t="s">
        <v>1692</v>
      </c>
      <c r="Y4971" t="s">
        <v>1427</v>
      </c>
      <c r="Z4971">
        <v>1.27</v>
      </c>
      <c r="AA4971">
        <v>11</v>
      </c>
      <c r="AB4971">
        <v>41</v>
      </c>
      <c r="AC4971">
        <v>1.85</v>
      </c>
      <c r="AD4971" t="s">
        <v>22398</v>
      </c>
      <c r="AE4971" t="s">
        <v>2728</v>
      </c>
      <c r="AF4971" t="s">
        <v>22398</v>
      </c>
      <c r="AG4971" t="s">
        <v>2728</v>
      </c>
      <c r="AH4971">
        <v>-2.08</v>
      </c>
      <c r="AI4971">
        <v>-1.05</v>
      </c>
      <c r="AJ4971">
        <v>1.66</v>
      </c>
      <c r="AK4971">
        <v>3.24</v>
      </c>
      <c r="AL4971">
        <v>0</v>
      </c>
      <c r="AM4971">
        <v>0</v>
      </c>
      <c r="AN4971">
        <v>12.33</v>
      </c>
      <c r="AO4971">
        <v>1.62</v>
      </c>
      <c r="AP4971">
        <v>4.24</v>
      </c>
    </row>
    <row r="4972" spans="1:42">
      <c r="A4972">
        <v>4971</v>
      </c>
      <c r="B4972" t="str">
        <f>"870726"</f>
        <v>870726</v>
      </c>
      <c r="C4972" t="s">
        <v>22399</v>
      </c>
      <c r="D4972">
        <v>15.46</v>
      </c>
      <c r="E4972">
        <v>-4.57</v>
      </c>
      <c r="F4972">
        <v>-0.74</v>
      </c>
      <c r="G4972" t="s">
        <v>1154</v>
      </c>
      <c r="H4972">
        <v>133</v>
      </c>
      <c r="I4972">
        <v>15.46</v>
      </c>
      <c r="J4972">
        <v>15.69</v>
      </c>
      <c r="K4972" t="s">
        <v>22400</v>
      </c>
      <c r="L4972">
        <v>10.63</v>
      </c>
      <c r="M4972" t="s">
        <v>46</v>
      </c>
      <c r="N4972" t="s">
        <v>4994</v>
      </c>
      <c r="O4972">
        <v>16.79</v>
      </c>
      <c r="P4972">
        <v>15.4</v>
      </c>
      <c r="Q4972">
        <v>16.2</v>
      </c>
      <c r="R4972">
        <v>16.2</v>
      </c>
      <c r="S4972">
        <v>8.58</v>
      </c>
      <c r="T4972">
        <v>0.38</v>
      </c>
      <c r="U4972">
        <v>79.59</v>
      </c>
      <c r="V4972">
        <v>445</v>
      </c>
      <c r="W4972">
        <v>16.09</v>
      </c>
      <c r="X4972">
        <v>5616</v>
      </c>
      <c r="Y4972">
        <v>4639</v>
      </c>
      <c r="Z4972">
        <v>1.21</v>
      </c>
      <c r="AA4972">
        <v>326</v>
      </c>
      <c r="AB4972">
        <v>16</v>
      </c>
      <c r="AC4972">
        <v>2.49</v>
      </c>
      <c r="AD4972" t="s">
        <v>17457</v>
      </c>
      <c r="AE4972" t="s">
        <v>22401</v>
      </c>
      <c r="AF4972" t="s">
        <v>22402</v>
      </c>
      <c r="AG4972" t="s">
        <v>15753</v>
      </c>
      <c r="AH4972">
        <v>-18.37</v>
      </c>
      <c r="AI4972">
        <v>3.97</v>
      </c>
      <c r="AJ4972">
        <v>47.11</v>
      </c>
      <c r="AK4972">
        <v>151.33</v>
      </c>
      <c r="AL4972">
        <v>-1</v>
      </c>
      <c r="AM4972">
        <v>-4.57</v>
      </c>
      <c r="AN4972">
        <v>19.47</v>
      </c>
      <c r="AO4972">
        <v>61.21</v>
      </c>
      <c r="AP4972">
        <v>19.47</v>
      </c>
    </row>
    <row r="4973" spans="1:42">
      <c r="A4973">
        <v>4972</v>
      </c>
      <c r="B4973" t="str">
        <f>"000889"</f>
        <v>000889</v>
      </c>
      <c r="C4973" t="s">
        <v>22403</v>
      </c>
      <c r="D4973">
        <v>2</v>
      </c>
      <c r="E4973">
        <v>1.01</v>
      </c>
      <c r="F4973">
        <v>0.02</v>
      </c>
      <c r="G4973" t="s">
        <v>6356</v>
      </c>
      <c r="H4973">
        <v>1860</v>
      </c>
      <c r="I4973">
        <v>1.99</v>
      </c>
      <c r="J4973">
        <v>2</v>
      </c>
      <c r="K4973" t="s">
        <v>22404</v>
      </c>
      <c r="L4973">
        <v>0.95</v>
      </c>
      <c r="M4973" t="s">
        <v>46</v>
      </c>
      <c r="N4973" t="s">
        <v>5944</v>
      </c>
      <c r="O4973">
        <v>2.01</v>
      </c>
      <c r="P4973">
        <v>1.97</v>
      </c>
      <c r="Q4973">
        <v>1.98</v>
      </c>
      <c r="R4973">
        <v>1.98</v>
      </c>
      <c r="S4973">
        <v>2.02</v>
      </c>
      <c r="T4973">
        <v>0.65</v>
      </c>
      <c r="U4973">
        <v>-18.64</v>
      </c>
      <c r="V4973">
        <v>-7987</v>
      </c>
      <c r="W4973">
        <v>1.99</v>
      </c>
      <c r="X4973" t="s">
        <v>5612</v>
      </c>
      <c r="Y4973" t="s">
        <v>1806</v>
      </c>
      <c r="Z4973">
        <v>1.42</v>
      </c>
      <c r="AA4973">
        <v>2434</v>
      </c>
      <c r="AB4973">
        <v>7631</v>
      </c>
      <c r="AC4973">
        <v>7.94</v>
      </c>
      <c r="AD4973" t="s">
        <v>22405</v>
      </c>
      <c r="AE4973" t="s">
        <v>8686</v>
      </c>
      <c r="AF4973" t="s">
        <v>15151</v>
      </c>
      <c r="AG4973" t="s">
        <v>22406</v>
      </c>
      <c r="AH4973">
        <v>-2.91</v>
      </c>
      <c r="AI4973">
        <v>-0.5</v>
      </c>
      <c r="AJ4973">
        <v>3.65</v>
      </c>
      <c r="AK4973">
        <v>8.29</v>
      </c>
      <c r="AL4973">
        <v>1</v>
      </c>
      <c r="AM4973">
        <v>1.01</v>
      </c>
      <c r="AN4973">
        <v>7.53</v>
      </c>
      <c r="AO4973">
        <v>3.09</v>
      </c>
      <c r="AP4973">
        <v>2.56</v>
      </c>
    </row>
    <row r="4974" spans="1:42">
      <c r="A4974">
        <v>4973</v>
      </c>
      <c r="B4974" t="str">
        <f>"002790"</f>
        <v>002790</v>
      </c>
      <c r="C4974" t="s">
        <v>22407</v>
      </c>
      <c r="D4974">
        <v>11.55</v>
      </c>
      <c r="E4974">
        <v>-0.35</v>
      </c>
      <c r="F4974">
        <v>-0.04</v>
      </c>
      <c r="G4974" t="s">
        <v>4105</v>
      </c>
      <c r="H4974">
        <v>200</v>
      </c>
      <c r="I4974">
        <v>11.55</v>
      </c>
      <c r="J4974">
        <v>11.56</v>
      </c>
      <c r="K4974" t="s">
        <v>18163</v>
      </c>
      <c r="L4974">
        <v>0.54</v>
      </c>
      <c r="M4974" t="s">
        <v>46</v>
      </c>
      <c r="N4974" t="s">
        <v>7188</v>
      </c>
      <c r="O4974">
        <v>11.68</v>
      </c>
      <c r="P4974">
        <v>11.49</v>
      </c>
      <c r="Q4974">
        <v>11.64</v>
      </c>
      <c r="R4974">
        <v>11.59</v>
      </c>
      <c r="S4974">
        <v>1.64</v>
      </c>
      <c r="T4974">
        <v>0.7</v>
      </c>
      <c r="U4974">
        <v>47.84</v>
      </c>
      <c r="V4974">
        <v>536</v>
      </c>
      <c r="W4974">
        <v>11.59</v>
      </c>
      <c r="X4974">
        <v>7236</v>
      </c>
      <c r="Y4974">
        <v>6946</v>
      </c>
      <c r="Z4974">
        <v>1.04</v>
      </c>
      <c r="AA4974">
        <v>155</v>
      </c>
      <c r="AB4974">
        <v>41</v>
      </c>
      <c r="AC4974">
        <v>2.37</v>
      </c>
      <c r="AD4974" t="s">
        <v>22408</v>
      </c>
      <c r="AE4974" t="s">
        <v>20449</v>
      </c>
      <c r="AF4974" t="s">
        <v>3269</v>
      </c>
      <c r="AG4974" t="s">
        <v>22409</v>
      </c>
      <c r="AH4974">
        <v>-0.35</v>
      </c>
      <c r="AI4974">
        <v>-3.59</v>
      </c>
      <c r="AJ4974">
        <v>1.59</v>
      </c>
      <c r="AK4974">
        <v>4.45</v>
      </c>
      <c r="AL4974">
        <v>-1</v>
      </c>
      <c r="AM4974">
        <v>-0.35</v>
      </c>
      <c r="AN4974">
        <v>38.66</v>
      </c>
      <c r="AO4974">
        <v>2.39</v>
      </c>
      <c r="AP4974">
        <v>38.16</v>
      </c>
    </row>
    <row r="4975" spans="1:42">
      <c r="A4975">
        <v>4974</v>
      </c>
      <c r="B4975" t="str">
        <f>"688269"</f>
        <v>688269</v>
      </c>
      <c r="C4975" t="s">
        <v>22410</v>
      </c>
      <c r="D4975">
        <v>40.78</v>
      </c>
      <c r="E4975">
        <v>-1.31</v>
      </c>
      <c r="F4975">
        <v>-0.54</v>
      </c>
      <c r="G4975">
        <v>4034</v>
      </c>
      <c r="H4975">
        <v>40</v>
      </c>
      <c r="I4975">
        <v>40.73</v>
      </c>
      <c r="J4975">
        <v>40.78</v>
      </c>
      <c r="K4975" t="s">
        <v>20591</v>
      </c>
      <c r="L4975">
        <v>0.49</v>
      </c>
      <c r="M4975" t="s">
        <v>46</v>
      </c>
      <c r="N4975" t="s">
        <v>2480</v>
      </c>
      <c r="O4975">
        <v>41.33</v>
      </c>
      <c r="P4975">
        <v>40.4</v>
      </c>
      <c r="Q4975">
        <v>41.13</v>
      </c>
      <c r="R4975">
        <v>41.32</v>
      </c>
      <c r="S4975">
        <v>2.25</v>
      </c>
      <c r="T4975">
        <v>0.99</v>
      </c>
      <c r="U4975">
        <v>-21.05</v>
      </c>
      <c r="V4975">
        <v>-66</v>
      </c>
      <c r="W4975">
        <v>40.73</v>
      </c>
      <c r="X4975">
        <v>1890</v>
      </c>
      <c r="Y4975">
        <v>2144</v>
      </c>
      <c r="Z4975">
        <v>0.88</v>
      </c>
      <c r="AA4975">
        <v>81</v>
      </c>
      <c r="AB4975">
        <v>70</v>
      </c>
      <c r="AC4975">
        <v>5.47</v>
      </c>
      <c r="AD4975" t="s">
        <v>5480</v>
      </c>
      <c r="AE4975" t="s">
        <v>2903</v>
      </c>
      <c r="AF4975" t="s">
        <v>7103</v>
      </c>
      <c r="AG4975" t="s">
        <v>15280</v>
      </c>
      <c r="AH4975">
        <v>-3.59</v>
      </c>
      <c r="AI4975">
        <v>-5.32</v>
      </c>
      <c r="AJ4975">
        <v>1.33</v>
      </c>
      <c r="AK4975">
        <v>2.98</v>
      </c>
      <c r="AL4975">
        <v>-3</v>
      </c>
      <c r="AM4975">
        <v>-1.31</v>
      </c>
      <c r="AN4975">
        <v>-52.08</v>
      </c>
      <c r="AO4975">
        <v>2</v>
      </c>
      <c r="AP4975">
        <v>-52.08</v>
      </c>
    </row>
    <row r="4976" spans="1:42">
      <c r="A4976">
        <v>4975</v>
      </c>
      <c r="B4976" t="str">
        <f>"605033"</f>
        <v>605033</v>
      </c>
      <c r="C4976" t="s">
        <v>22411</v>
      </c>
      <c r="D4976">
        <v>18.52</v>
      </c>
      <c r="E4976">
        <v>-0.91</v>
      </c>
      <c r="F4976">
        <v>-0.17</v>
      </c>
      <c r="G4976">
        <v>8839</v>
      </c>
      <c r="H4976">
        <v>32</v>
      </c>
      <c r="I4976">
        <v>18.52</v>
      </c>
      <c r="J4976">
        <v>18.55</v>
      </c>
      <c r="K4976" t="s">
        <v>22412</v>
      </c>
      <c r="L4976">
        <v>2.62</v>
      </c>
      <c r="M4976" t="s">
        <v>46</v>
      </c>
      <c r="N4976" t="s">
        <v>11780</v>
      </c>
      <c r="O4976">
        <v>18.74</v>
      </c>
      <c r="P4976">
        <v>18.44</v>
      </c>
      <c r="Q4976">
        <v>18.69</v>
      </c>
      <c r="R4976">
        <v>18.69</v>
      </c>
      <c r="S4976">
        <v>1.61</v>
      </c>
      <c r="T4976">
        <v>0.58</v>
      </c>
      <c r="U4976">
        <v>18.85</v>
      </c>
      <c r="V4976">
        <v>85</v>
      </c>
      <c r="W4976">
        <v>18.54</v>
      </c>
      <c r="X4976">
        <v>4598</v>
      </c>
      <c r="Y4976">
        <v>4241</v>
      </c>
      <c r="Z4976">
        <v>1.08</v>
      </c>
      <c r="AA4976">
        <v>207</v>
      </c>
      <c r="AB4976">
        <v>16</v>
      </c>
      <c r="AC4976">
        <v>2.22</v>
      </c>
      <c r="AD4976" t="s">
        <v>21663</v>
      </c>
      <c r="AE4976" t="s">
        <v>14988</v>
      </c>
      <c r="AF4976" t="s">
        <v>22413</v>
      </c>
      <c r="AG4976" t="s">
        <v>13065</v>
      </c>
      <c r="AH4976">
        <v>-1.85</v>
      </c>
      <c r="AI4976">
        <v>-5.41</v>
      </c>
      <c r="AJ4976">
        <v>10.19</v>
      </c>
      <c r="AK4976">
        <v>25.32</v>
      </c>
      <c r="AL4976">
        <v>-6</v>
      </c>
      <c r="AM4976">
        <v>-0.91</v>
      </c>
      <c r="AN4976">
        <v>9.59</v>
      </c>
      <c r="AO4976">
        <v>-4.34</v>
      </c>
      <c r="AP4976">
        <v>-0.96</v>
      </c>
    </row>
    <row r="4977" spans="1:42">
      <c r="A4977">
        <v>4976</v>
      </c>
      <c r="B4977" t="str">
        <f>"688656"</f>
        <v>688656</v>
      </c>
      <c r="C4977" t="s">
        <v>22414</v>
      </c>
      <c r="D4977">
        <v>39.29</v>
      </c>
      <c r="E4977">
        <v>-0.63</v>
      </c>
      <c r="F4977">
        <v>-0.25</v>
      </c>
      <c r="G4977">
        <v>4144</v>
      </c>
      <c r="H4977">
        <v>31</v>
      </c>
      <c r="I4977">
        <v>39.29</v>
      </c>
      <c r="J4977">
        <v>39.3</v>
      </c>
      <c r="K4977" t="s">
        <v>22415</v>
      </c>
      <c r="L4977">
        <v>2.29</v>
      </c>
      <c r="M4977" t="s">
        <v>46</v>
      </c>
      <c r="N4977" t="s">
        <v>4795</v>
      </c>
      <c r="O4977">
        <v>40.08</v>
      </c>
      <c r="P4977">
        <v>39.08</v>
      </c>
      <c r="Q4977">
        <v>39.55</v>
      </c>
      <c r="R4977">
        <v>39.54</v>
      </c>
      <c r="S4977">
        <v>2.53</v>
      </c>
      <c r="T4977">
        <v>1.14</v>
      </c>
      <c r="U4977">
        <v>70.4</v>
      </c>
      <c r="V4977">
        <v>132</v>
      </c>
      <c r="W4977">
        <v>39.5</v>
      </c>
      <c r="X4977">
        <v>2335</v>
      </c>
      <c r="Y4977">
        <v>1810</v>
      </c>
      <c r="Z4977">
        <v>1.29</v>
      </c>
      <c r="AA4977">
        <v>33</v>
      </c>
      <c r="AB4977">
        <v>2</v>
      </c>
      <c r="AC4977">
        <v>3.09</v>
      </c>
      <c r="AD4977" t="s">
        <v>11296</v>
      </c>
      <c r="AE4977" t="s">
        <v>15592</v>
      </c>
      <c r="AF4977" t="s">
        <v>22416</v>
      </c>
      <c r="AG4977" t="s">
        <v>14885</v>
      </c>
      <c r="AH4977">
        <v>-1.92</v>
      </c>
      <c r="AI4977">
        <v>-3.06</v>
      </c>
      <c r="AJ4977">
        <v>5.85</v>
      </c>
      <c r="AK4977">
        <v>12.4</v>
      </c>
      <c r="AL4977">
        <v>-6</v>
      </c>
      <c r="AM4977">
        <v>-0.63</v>
      </c>
      <c r="AN4977">
        <v>18.27</v>
      </c>
      <c r="AO4977">
        <v>0.49</v>
      </c>
      <c r="AP4977">
        <v>5.11</v>
      </c>
    </row>
    <row r="4978" spans="1:42">
      <c r="A4978">
        <v>4977</v>
      </c>
      <c r="B4978" t="str">
        <f>"603177"</f>
        <v>603177</v>
      </c>
      <c r="C4978" t="s">
        <v>22417</v>
      </c>
      <c r="D4978">
        <v>12.45</v>
      </c>
      <c r="E4978">
        <v>0.73</v>
      </c>
      <c r="F4978">
        <v>0.09</v>
      </c>
      <c r="G4978" t="s">
        <v>1967</v>
      </c>
      <c r="H4978">
        <v>13</v>
      </c>
      <c r="I4978">
        <v>12.44</v>
      </c>
      <c r="J4978">
        <v>12.45</v>
      </c>
      <c r="K4978" t="s">
        <v>22418</v>
      </c>
      <c r="L4978">
        <v>0.64</v>
      </c>
      <c r="M4978" t="s">
        <v>46</v>
      </c>
      <c r="N4978" t="s">
        <v>21151</v>
      </c>
      <c r="O4978">
        <v>12.57</v>
      </c>
      <c r="P4978">
        <v>12.23</v>
      </c>
      <c r="Q4978">
        <v>12.35</v>
      </c>
      <c r="R4978">
        <v>12.36</v>
      </c>
      <c r="S4978">
        <v>2.75</v>
      </c>
      <c r="T4978">
        <v>1.01</v>
      </c>
      <c r="U4978">
        <v>3.28</v>
      </c>
      <c r="V4978">
        <v>12</v>
      </c>
      <c r="W4978">
        <v>12.44</v>
      </c>
      <c r="X4978">
        <v>6368</v>
      </c>
      <c r="Y4978">
        <v>6784</v>
      </c>
      <c r="Z4978">
        <v>0.94</v>
      </c>
      <c r="AA4978">
        <v>5</v>
      </c>
      <c r="AB4978">
        <v>45</v>
      </c>
      <c r="AC4978">
        <v>6.3</v>
      </c>
      <c r="AD4978" t="s">
        <v>21889</v>
      </c>
      <c r="AE4978" t="s">
        <v>13151</v>
      </c>
      <c r="AF4978" t="s">
        <v>22419</v>
      </c>
      <c r="AG4978" t="s">
        <v>17830</v>
      </c>
      <c r="AH4978">
        <v>-1.81</v>
      </c>
      <c r="AI4978">
        <v>-1.43</v>
      </c>
      <c r="AJ4978">
        <v>1.76</v>
      </c>
      <c r="AK4978">
        <v>3.82</v>
      </c>
      <c r="AL4978">
        <v>1</v>
      </c>
      <c r="AM4978">
        <v>0.73</v>
      </c>
      <c r="AN4978">
        <v>-24.32</v>
      </c>
      <c r="AO4978">
        <v>-1.89</v>
      </c>
      <c r="AP4978">
        <v>-11.64</v>
      </c>
    </row>
    <row r="4979" spans="1:42">
      <c r="A4979">
        <v>4978</v>
      </c>
      <c r="B4979" t="str">
        <f>"603311"</f>
        <v>603311</v>
      </c>
      <c r="C4979" t="s">
        <v>22420</v>
      </c>
      <c r="D4979">
        <v>11</v>
      </c>
      <c r="E4979">
        <v>0.27</v>
      </c>
      <c r="F4979">
        <v>0.03</v>
      </c>
      <c r="G4979" t="s">
        <v>6595</v>
      </c>
      <c r="H4979">
        <v>101</v>
      </c>
      <c r="I4979">
        <v>10.99</v>
      </c>
      <c r="J4979">
        <v>11</v>
      </c>
      <c r="K4979" t="s">
        <v>22421</v>
      </c>
      <c r="L4979">
        <v>0.63</v>
      </c>
      <c r="M4979" t="s">
        <v>46</v>
      </c>
      <c r="N4979" t="s">
        <v>2441</v>
      </c>
      <c r="O4979">
        <v>11.07</v>
      </c>
      <c r="P4979">
        <v>10.88</v>
      </c>
      <c r="Q4979">
        <v>10.96</v>
      </c>
      <c r="R4979">
        <v>10.97</v>
      </c>
      <c r="S4979">
        <v>1.73</v>
      </c>
      <c r="T4979">
        <v>0.81</v>
      </c>
      <c r="U4979">
        <v>-10.78</v>
      </c>
      <c r="V4979">
        <v>-81</v>
      </c>
      <c r="W4979">
        <v>10.99</v>
      </c>
      <c r="X4979">
        <v>7504</v>
      </c>
      <c r="Y4979">
        <v>7377</v>
      </c>
      <c r="Z4979">
        <v>1.02</v>
      </c>
      <c r="AA4979">
        <v>91</v>
      </c>
      <c r="AB4979">
        <v>66</v>
      </c>
      <c r="AC4979">
        <v>2.1</v>
      </c>
      <c r="AD4979" t="s">
        <v>22422</v>
      </c>
      <c r="AE4979" t="s">
        <v>21854</v>
      </c>
      <c r="AF4979" t="s">
        <v>22422</v>
      </c>
      <c r="AG4979" t="s">
        <v>21854</v>
      </c>
      <c r="AH4979">
        <v>-1.61</v>
      </c>
      <c r="AI4979">
        <v>0.46</v>
      </c>
      <c r="AJ4979">
        <v>1.91</v>
      </c>
      <c r="AK4979">
        <v>4.54</v>
      </c>
      <c r="AL4979">
        <v>1</v>
      </c>
      <c r="AM4979">
        <v>0.27</v>
      </c>
      <c r="AN4979">
        <v>-9.09</v>
      </c>
      <c r="AO4979">
        <v>1.01</v>
      </c>
      <c r="AP4979">
        <v>-23.77</v>
      </c>
    </row>
    <row r="4980" spans="1:42">
      <c r="A4980">
        <v>4979</v>
      </c>
      <c r="B4980" t="str">
        <f>"001323"</f>
        <v>001323</v>
      </c>
      <c r="C4980" t="s">
        <v>22423</v>
      </c>
      <c r="D4980">
        <v>31.83</v>
      </c>
      <c r="E4980">
        <v>0.32</v>
      </c>
      <c r="F4980">
        <v>0.1</v>
      </c>
      <c r="G4980">
        <v>5152</v>
      </c>
      <c r="H4980">
        <v>41</v>
      </c>
      <c r="I4980">
        <v>31.83</v>
      </c>
      <c r="J4980">
        <v>31.84</v>
      </c>
      <c r="K4980" t="s">
        <v>22424</v>
      </c>
      <c r="L4980">
        <v>1.29</v>
      </c>
      <c r="M4980" t="s">
        <v>46</v>
      </c>
      <c r="N4980" t="s">
        <v>17164</v>
      </c>
      <c r="O4980">
        <v>32</v>
      </c>
      <c r="P4980">
        <v>31.51</v>
      </c>
      <c r="Q4980">
        <v>31.73</v>
      </c>
      <c r="R4980">
        <v>31.73</v>
      </c>
      <c r="S4980">
        <v>1.54</v>
      </c>
      <c r="T4980">
        <v>0.92</v>
      </c>
      <c r="U4980">
        <v>-70.55</v>
      </c>
      <c r="V4980">
        <v>-115</v>
      </c>
      <c r="W4980">
        <v>31.69</v>
      </c>
      <c r="X4980">
        <v>2039</v>
      </c>
      <c r="Y4980">
        <v>3113</v>
      </c>
      <c r="Z4980">
        <v>0.65</v>
      </c>
      <c r="AA4980">
        <v>3</v>
      </c>
      <c r="AB4980">
        <v>9</v>
      </c>
      <c r="AC4980">
        <v>2.84</v>
      </c>
      <c r="AD4980" t="s">
        <v>7381</v>
      </c>
      <c r="AE4980" t="s">
        <v>22425</v>
      </c>
      <c r="AF4980" t="s">
        <v>17686</v>
      </c>
      <c r="AG4980" t="s">
        <v>21187</v>
      </c>
      <c r="AH4980">
        <v>-1.09</v>
      </c>
      <c r="AI4980">
        <v>-3.22</v>
      </c>
      <c r="AJ4980">
        <v>3.24</v>
      </c>
      <c r="AK4980">
        <v>8.28</v>
      </c>
      <c r="AL4980">
        <v>1</v>
      </c>
      <c r="AM4980">
        <v>0.32</v>
      </c>
      <c r="AN4980">
        <v>-0.9</v>
      </c>
      <c r="AO4980">
        <v>-4.87</v>
      </c>
      <c r="AP4980">
        <v>-2.24</v>
      </c>
    </row>
    <row r="4981" spans="1:42">
      <c r="A4981">
        <v>4980</v>
      </c>
      <c r="B4981" t="str">
        <f>"603889"</f>
        <v>603889</v>
      </c>
      <c r="C4981" t="s">
        <v>22426</v>
      </c>
      <c r="D4981">
        <v>7.03</v>
      </c>
      <c r="E4981">
        <v>-0.57</v>
      </c>
      <c r="F4981">
        <v>-0.04</v>
      </c>
      <c r="G4981" t="s">
        <v>6266</v>
      </c>
      <c r="H4981">
        <v>50</v>
      </c>
      <c r="I4981">
        <v>7.03</v>
      </c>
      <c r="J4981">
        <v>7.04</v>
      </c>
      <c r="K4981" t="s">
        <v>22427</v>
      </c>
      <c r="L4981">
        <v>0.32</v>
      </c>
      <c r="M4981" t="s">
        <v>46</v>
      </c>
      <c r="N4981" t="s">
        <v>3772</v>
      </c>
      <c r="O4981">
        <v>7.13</v>
      </c>
      <c r="P4981">
        <v>7.02</v>
      </c>
      <c r="Q4981">
        <v>7.06</v>
      </c>
      <c r="R4981">
        <v>7.07</v>
      </c>
      <c r="S4981">
        <v>1.56</v>
      </c>
      <c r="T4981">
        <v>0.82</v>
      </c>
      <c r="U4981">
        <v>30.25</v>
      </c>
      <c r="V4981">
        <v>608</v>
      </c>
      <c r="W4981">
        <v>7.07</v>
      </c>
      <c r="X4981" t="s">
        <v>682</v>
      </c>
      <c r="Y4981" t="s">
        <v>1400</v>
      </c>
      <c r="Z4981">
        <v>1.2</v>
      </c>
      <c r="AA4981">
        <v>86</v>
      </c>
      <c r="AB4981">
        <v>47</v>
      </c>
      <c r="AC4981">
        <v>1.62</v>
      </c>
      <c r="AD4981" t="s">
        <v>22428</v>
      </c>
      <c r="AE4981" t="s">
        <v>22429</v>
      </c>
      <c r="AF4981" t="s">
        <v>22428</v>
      </c>
      <c r="AG4981" t="s">
        <v>22429</v>
      </c>
      <c r="AH4981">
        <v>-1.4</v>
      </c>
      <c r="AI4981">
        <v>-0.99</v>
      </c>
      <c r="AJ4981">
        <v>1.01</v>
      </c>
      <c r="AK4981">
        <v>2.28</v>
      </c>
      <c r="AL4981">
        <v>-3</v>
      </c>
      <c r="AM4981">
        <v>-0.57</v>
      </c>
      <c r="AN4981">
        <v>45.25</v>
      </c>
      <c r="AO4981">
        <v>2.93</v>
      </c>
      <c r="AP4981">
        <v>52.16</v>
      </c>
    </row>
    <row r="4982" spans="1:42">
      <c r="A4982">
        <v>4981</v>
      </c>
      <c r="B4982" t="str">
        <f>"301373"</f>
        <v>301373</v>
      </c>
      <c r="C4982" t="s">
        <v>22430</v>
      </c>
      <c r="D4982">
        <v>30.61</v>
      </c>
      <c r="E4982">
        <v>-0.71</v>
      </c>
      <c r="F4982">
        <v>-0.22</v>
      </c>
      <c r="G4982">
        <v>5317</v>
      </c>
      <c r="H4982">
        <v>59</v>
      </c>
      <c r="I4982">
        <v>30.61</v>
      </c>
      <c r="J4982">
        <v>30.64</v>
      </c>
      <c r="K4982" t="s">
        <v>22431</v>
      </c>
      <c r="L4982">
        <v>1.99</v>
      </c>
      <c r="M4982" t="s">
        <v>46</v>
      </c>
      <c r="N4982" t="s">
        <v>7884</v>
      </c>
      <c r="O4982">
        <v>30.9</v>
      </c>
      <c r="P4982">
        <v>30.36</v>
      </c>
      <c r="Q4982">
        <v>30.79</v>
      </c>
      <c r="R4982">
        <v>30.83</v>
      </c>
      <c r="S4982">
        <v>1.75</v>
      </c>
      <c r="T4982">
        <v>0.91</v>
      </c>
      <c r="U4982">
        <v>84.33</v>
      </c>
      <c r="V4982">
        <v>226</v>
      </c>
      <c r="W4982">
        <v>30.63</v>
      </c>
      <c r="X4982">
        <v>2995</v>
      </c>
      <c r="Y4982">
        <v>2322</v>
      </c>
      <c r="Z4982">
        <v>1.29</v>
      </c>
      <c r="AA4982">
        <v>15</v>
      </c>
      <c r="AB4982">
        <v>1</v>
      </c>
      <c r="AC4982">
        <v>2.27</v>
      </c>
      <c r="AD4982" t="s">
        <v>22432</v>
      </c>
      <c r="AE4982" t="s">
        <v>10372</v>
      </c>
      <c r="AF4982" t="s">
        <v>20342</v>
      </c>
      <c r="AG4982" t="s">
        <v>19728</v>
      </c>
      <c r="AH4982">
        <v>-1.77</v>
      </c>
      <c r="AI4982">
        <v>-1.13</v>
      </c>
      <c r="AJ4982">
        <v>6.01</v>
      </c>
      <c r="AK4982">
        <v>12.93</v>
      </c>
      <c r="AL4982">
        <v>-2</v>
      </c>
      <c r="AM4982">
        <v>-0.71</v>
      </c>
      <c r="AN4982">
        <v>-7.61</v>
      </c>
      <c r="AO4982">
        <v>0.82</v>
      </c>
      <c r="AP4982">
        <v>-7.61</v>
      </c>
    </row>
    <row r="4983" spans="1:42">
      <c r="A4983">
        <v>4982</v>
      </c>
      <c r="B4983" t="str">
        <f>"600671"</f>
        <v>600671</v>
      </c>
      <c r="C4983" t="s">
        <v>22433</v>
      </c>
      <c r="D4983">
        <v>11.49</v>
      </c>
      <c r="E4983">
        <v>-1.79</v>
      </c>
      <c r="F4983">
        <v>-0.21</v>
      </c>
      <c r="G4983" t="s">
        <v>4717</v>
      </c>
      <c r="H4983">
        <v>99</v>
      </c>
      <c r="I4983">
        <v>11.49</v>
      </c>
      <c r="J4983">
        <v>11.5</v>
      </c>
      <c r="K4983" t="s">
        <v>22434</v>
      </c>
      <c r="L4983">
        <v>1.16</v>
      </c>
      <c r="M4983" t="s">
        <v>46</v>
      </c>
      <c r="N4983" t="s">
        <v>11115</v>
      </c>
      <c r="O4983">
        <v>11.71</v>
      </c>
      <c r="P4983">
        <v>11.39</v>
      </c>
      <c r="Q4983">
        <v>11.69</v>
      </c>
      <c r="R4983">
        <v>11.7</v>
      </c>
      <c r="S4983">
        <v>2.74</v>
      </c>
      <c r="T4983">
        <v>0.91</v>
      </c>
      <c r="U4983">
        <v>33.14</v>
      </c>
      <c r="V4983">
        <v>229</v>
      </c>
      <c r="W4983">
        <v>11.51</v>
      </c>
      <c r="X4983">
        <v>9702</v>
      </c>
      <c r="Y4983">
        <v>4444</v>
      </c>
      <c r="Z4983">
        <v>2.18</v>
      </c>
      <c r="AA4983">
        <v>4</v>
      </c>
      <c r="AB4983">
        <v>2</v>
      </c>
      <c r="AC4983">
        <v>-33.25</v>
      </c>
      <c r="AD4983" t="s">
        <v>20858</v>
      </c>
      <c r="AE4983" t="s">
        <v>15884</v>
      </c>
      <c r="AF4983" t="s">
        <v>13298</v>
      </c>
      <c r="AG4983" t="s">
        <v>15884</v>
      </c>
      <c r="AH4983">
        <v>2.77</v>
      </c>
      <c r="AI4983">
        <v>-2.05</v>
      </c>
      <c r="AJ4983">
        <v>2.79</v>
      </c>
      <c r="AK4983">
        <v>7.53</v>
      </c>
      <c r="AL4983">
        <v>-1</v>
      </c>
      <c r="AM4983">
        <v>-1.79</v>
      </c>
      <c r="AN4983">
        <v>20.82</v>
      </c>
      <c r="AO4983">
        <v>8.91</v>
      </c>
      <c r="AP4983">
        <v>44.35</v>
      </c>
    </row>
    <row r="4984" spans="1:42">
      <c r="A4984">
        <v>4983</v>
      </c>
      <c r="B4984" t="str">
        <f>"830779"</f>
        <v>830779</v>
      </c>
      <c r="C4984" t="s">
        <v>22435</v>
      </c>
      <c r="D4984">
        <v>27.97</v>
      </c>
      <c r="E4984">
        <v>-3.75</v>
      </c>
      <c r="F4984">
        <v>-1.09</v>
      </c>
      <c r="G4984">
        <v>5700</v>
      </c>
      <c r="H4984">
        <v>25</v>
      </c>
      <c r="I4984">
        <v>27.95</v>
      </c>
      <c r="J4984">
        <v>27.97</v>
      </c>
      <c r="K4984" t="s">
        <v>16421</v>
      </c>
      <c r="L4984">
        <v>4.68</v>
      </c>
      <c r="M4984" t="s">
        <v>46</v>
      </c>
      <c r="N4984" t="s">
        <v>9102</v>
      </c>
      <c r="O4984">
        <v>29.78</v>
      </c>
      <c r="P4984">
        <v>27.89</v>
      </c>
      <c r="Q4984">
        <v>29.22</v>
      </c>
      <c r="R4984">
        <v>29.06</v>
      </c>
      <c r="S4984">
        <v>6.5</v>
      </c>
      <c r="T4984">
        <v>0.35</v>
      </c>
      <c r="U4984">
        <v>-29.55</v>
      </c>
      <c r="V4984">
        <v>-49</v>
      </c>
      <c r="W4984">
        <v>28.53</v>
      </c>
      <c r="X4984">
        <v>3486</v>
      </c>
      <c r="Y4984">
        <v>2215</v>
      </c>
      <c r="Z4984">
        <v>1.57</v>
      </c>
      <c r="AA4984">
        <v>1</v>
      </c>
      <c r="AB4984">
        <v>7</v>
      </c>
      <c r="AC4984">
        <v>3.32</v>
      </c>
      <c r="AD4984" t="s">
        <v>8034</v>
      </c>
      <c r="AE4984" t="s">
        <v>9465</v>
      </c>
      <c r="AF4984" t="s">
        <v>22436</v>
      </c>
      <c r="AG4984" t="s">
        <v>19633</v>
      </c>
      <c r="AH4984">
        <v>-16.48</v>
      </c>
      <c r="AI4984">
        <v>3.78</v>
      </c>
      <c r="AJ4984">
        <v>21.27</v>
      </c>
      <c r="AK4984">
        <v>72.14</v>
      </c>
      <c r="AL4984">
        <v>-3</v>
      </c>
      <c r="AM4984">
        <v>-3.75</v>
      </c>
      <c r="AN4984">
        <v>-17.98</v>
      </c>
      <c r="AO4984">
        <v>19.02</v>
      </c>
      <c r="AP4984">
        <v>-17.98</v>
      </c>
    </row>
    <row r="4985" spans="1:42">
      <c r="A4985">
        <v>4984</v>
      </c>
      <c r="B4985" t="str">
        <f>"839792"</f>
        <v>839792</v>
      </c>
      <c r="C4985" t="s">
        <v>22437</v>
      </c>
      <c r="D4985">
        <v>6.57</v>
      </c>
      <c r="E4985">
        <v>-5.06</v>
      </c>
      <c r="F4985">
        <v>-0.35</v>
      </c>
      <c r="G4985" t="s">
        <v>4037</v>
      </c>
      <c r="H4985">
        <v>160</v>
      </c>
      <c r="I4985">
        <v>6.57</v>
      </c>
      <c r="J4985">
        <v>6.59</v>
      </c>
      <c r="K4985" t="s">
        <v>16421</v>
      </c>
      <c r="L4985">
        <v>4.47</v>
      </c>
      <c r="M4985" t="s">
        <v>46</v>
      </c>
      <c r="N4985" t="s">
        <v>8167</v>
      </c>
      <c r="O4985">
        <v>7.35</v>
      </c>
      <c r="P4985">
        <v>6.45</v>
      </c>
      <c r="Q4985">
        <v>6.93</v>
      </c>
      <c r="R4985">
        <v>6.92</v>
      </c>
      <c r="S4985">
        <v>13.01</v>
      </c>
      <c r="T4985">
        <v>0.46</v>
      </c>
      <c r="U4985">
        <v>-27.25</v>
      </c>
      <c r="V4985">
        <v>-438</v>
      </c>
      <c r="W4985">
        <v>6.71</v>
      </c>
      <c r="X4985" t="s">
        <v>8212</v>
      </c>
      <c r="Y4985">
        <v>8686</v>
      </c>
      <c r="Z4985">
        <v>1.79</v>
      </c>
      <c r="AA4985">
        <v>357</v>
      </c>
      <c r="AB4985">
        <v>74</v>
      </c>
      <c r="AC4985">
        <v>1.18</v>
      </c>
      <c r="AD4985" t="s">
        <v>12783</v>
      </c>
      <c r="AE4985" t="s">
        <v>5100</v>
      </c>
      <c r="AF4985" t="s">
        <v>15474</v>
      </c>
      <c r="AG4985" t="s">
        <v>22438</v>
      </c>
      <c r="AH4985">
        <v>-9.75</v>
      </c>
      <c r="AI4985">
        <v>8.42</v>
      </c>
      <c r="AJ4985">
        <v>25.04</v>
      </c>
      <c r="AK4985">
        <v>53.31</v>
      </c>
      <c r="AL4985">
        <v>-2</v>
      </c>
      <c r="AM4985">
        <v>-5.06</v>
      </c>
      <c r="AN4985">
        <v>-10</v>
      </c>
      <c r="AO4985">
        <v>24.2</v>
      </c>
      <c r="AP4985">
        <v>-10</v>
      </c>
    </row>
    <row r="4986" spans="1:42">
      <c r="A4986">
        <v>4985</v>
      </c>
      <c r="B4986" t="str">
        <f>"002887"</f>
        <v>002887</v>
      </c>
      <c r="C4986" t="s">
        <v>22439</v>
      </c>
      <c r="D4986">
        <v>8.79</v>
      </c>
      <c r="E4986">
        <v>0.34</v>
      </c>
      <c r="F4986">
        <v>0.03</v>
      </c>
      <c r="G4986" t="s">
        <v>128</v>
      </c>
      <c r="H4986">
        <v>215</v>
      </c>
      <c r="I4986">
        <v>8.79</v>
      </c>
      <c r="J4986">
        <v>8.8</v>
      </c>
      <c r="K4986" t="s">
        <v>22440</v>
      </c>
      <c r="L4986">
        <v>1.12</v>
      </c>
      <c r="M4986" t="s">
        <v>46</v>
      </c>
      <c r="N4986" t="s">
        <v>5854</v>
      </c>
      <c r="O4986">
        <v>8.82</v>
      </c>
      <c r="P4986">
        <v>8.7</v>
      </c>
      <c r="Q4986">
        <v>8.79</v>
      </c>
      <c r="R4986">
        <v>8.76</v>
      </c>
      <c r="S4986">
        <v>1.37</v>
      </c>
      <c r="T4986">
        <v>0.95</v>
      </c>
      <c r="U4986">
        <v>-43.19</v>
      </c>
      <c r="V4986">
        <v>-637</v>
      </c>
      <c r="W4986">
        <v>8.76</v>
      </c>
      <c r="X4986" t="s">
        <v>2074</v>
      </c>
      <c r="Y4986">
        <v>8458</v>
      </c>
      <c r="Z4986">
        <v>1.19</v>
      </c>
      <c r="AA4986">
        <v>68</v>
      </c>
      <c r="AB4986">
        <v>126</v>
      </c>
      <c r="AC4986">
        <v>1.25</v>
      </c>
      <c r="AD4986" t="s">
        <v>4251</v>
      </c>
      <c r="AE4986" t="s">
        <v>20356</v>
      </c>
      <c r="AF4986" t="s">
        <v>12783</v>
      </c>
      <c r="AG4986" t="s">
        <v>800</v>
      </c>
      <c r="AH4986">
        <v>-0.57</v>
      </c>
      <c r="AI4986">
        <v>-1.24</v>
      </c>
      <c r="AJ4986">
        <v>3.49</v>
      </c>
      <c r="AK4986">
        <v>7.01</v>
      </c>
      <c r="AL4986">
        <v>2</v>
      </c>
      <c r="AM4986">
        <v>0.34</v>
      </c>
      <c r="AN4986">
        <v>8.12</v>
      </c>
      <c r="AO4986">
        <v>1.38</v>
      </c>
      <c r="AP4986">
        <v>-1.01</v>
      </c>
    </row>
    <row r="4987" spans="1:42">
      <c r="A4987">
        <v>4986</v>
      </c>
      <c r="B4987" t="str">
        <f>"688529"</f>
        <v>688529</v>
      </c>
      <c r="C4987" t="s">
        <v>22441</v>
      </c>
      <c r="D4987">
        <v>23.54</v>
      </c>
      <c r="E4987">
        <v>-0.38</v>
      </c>
      <c r="F4987">
        <v>-0.09</v>
      </c>
      <c r="G4987">
        <v>6908</v>
      </c>
      <c r="H4987">
        <v>115</v>
      </c>
      <c r="I4987">
        <v>23.53</v>
      </c>
      <c r="J4987">
        <v>23.54</v>
      </c>
      <c r="K4987" t="s">
        <v>22442</v>
      </c>
      <c r="L4987">
        <v>0.54</v>
      </c>
      <c r="M4987" t="s">
        <v>46</v>
      </c>
      <c r="N4987" t="s">
        <v>208</v>
      </c>
      <c r="O4987">
        <v>23.7</v>
      </c>
      <c r="P4987">
        <v>23.33</v>
      </c>
      <c r="Q4987">
        <v>23.67</v>
      </c>
      <c r="R4987">
        <v>23.63</v>
      </c>
      <c r="S4987">
        <v>1.57</v>
      </c>
      <c r="T4987">
        <v>0.72</v>
      </c>
      <c r="U4987">
        <v>41.12</v>
      </c>
      <c r="V4987">
        <v>179</v>
      </c>
      <c r="W4987">
        <v>23.51</v>
      </c>
      <c r="X4987">
        <v>3787</v>
      </c>
      <c r="Y4987">
        <v>3121</v>
      </c>
      <c r="Z4987">
        <v>1.21</v>
      </c>
      <c r="AA4987">
        <v>41</v>
      </c>
      <c r="AB4987">
        <v>61</v>
      </c>
      <c r="AC4987">
        <v>1.84</v>
      </c>
      <c r="AD4987" t="s">
        <v>22443</v>
      </c>
      <c r="AE4987" t="s">
        <v>2948</v>
      </c>
      <c r="AF4987" t="s">
        <v>12486</v>
      </c>
      <c r="AG4987" t="s">
        <v>8751</v>
      </c>
      <c r="AH4987">
        <v>-3.49</v>
      </c>
      <c r="AI4987">
        <v>-2</v>
      </c>
      <c r="AJ4987">
        <v>2.03</v>
      </c>
      <c r="AK4987">
        <v>4.25</v>
      </c>
      <c r="AL4987">
        <v>-3</v>
      </c>
      <c r="AM4987">
        <v>-0.38</v>
      </c>
      <c r="AN4987">
        <v>6.71</v>
      </c>
      <c r="AO4987">
        <v>5.32</v>
      </c>
      <c r="AP4987">
        <v>-11.04</v>
      </c>
    </row>
    <row r="4988" spans="1:42">
      <c r="A4988">
        <v>4987</v>
      </c>
      <c r="B4988" t="str">
        <f>"001366"</f>
        <v>001366</v>
      </c>
      <c r="C4988" t="s">
        <v>22444</v>
      </c>
      <c r="D4988">
        <v>15.39</v>
      </c>
      <c r="E4988">
        <v>-0.13</v>
      </c>
      <c r="F4988">
        <v>-0.02</v>
      </c>
      <c r="G4988" t="s">
        <v>1400</v>
      </c>
      <c r="H4988">
        <v>118</v>
      </c>
      <c r="I4988">
        <v>15.38</v>
      </c>
      <c r="J4988">
        <v>15.39</v>
      </c>
      <c r="K4988" t="s">
        <v>22445</v>
      </c>
      <c r="L4988">
        <v>2.61</v>
      </c>
      <c r="M4988" t="s">
        <v>46</v>
      </c>
      <c r="N4988" t="s">
        <v>3553</v>
      </c>
      <c r="O4988">
        <v>15.53</v>
      </c>
      <c r="P4988">
        <v>15.33</v>
      </c>
      <c r="Q4988">
        <v>15.48</v>
      </c>
      <c r="R4988">
        <v>15.41</v>
      </c>
      <c r="S4988">
        <v>1.3</v>
      </c>
      <c r="T4988">
        <v>0.57</v>
      </c>
      <c r="U4988">
        <v>-14.38</v>
      </c>
      <c r="V4988">
        <v>-89</v>
      </c>
      <c r="W4988">
        <v>15.41</v>
      </c>
      <c r="X4988">
        <v>5000</v>
      </c>
      <c r="Y4988">
        <v>5530</v>
      </c>
      <c r="Z4988">
        <v>0.9</v>
      </c>
      <c r="AA4988">
        <v>20</v>
      </c>
      <c r="AB4988">
        <v>39</v>
      </c>
      <c r="AC4988">
        <v>2.92</v>
      </c>
      <c r="AD4988" t="s">
        <v>22446</v>
      </c>
      <c r="AE4988" t="s">
        <v>15073</v>
      </c>
      <c r="AF4988" t="s">
        <v>22447</v>
      </c>
      <c r="AG4988" t="s">
        <v>22448</v>
      </c>
      <c r="AH4988">
        <v>-1.16</v>
      </c>
      <c r="AI4988">
        <v>-0.06</v>
      </c>
      <c r="AJ4988">
        <v>10.17</v>
      </c>
      <c r="AK4988">
        <v>25.7</v>
      </c>
      <c r="AL4988">
        <v>-3</v>
      </c>
      <c r="AM4988">
        <v>-0.13</v>
      </c>
      <c r="AN4988">
        <v>68.38</v>
      </c>
      <c r="AO4988">
        <v>2.6</v>
      </c>
      <c r="AP4988">
        <v>68.38</v>
      </c>
    </row>
    <row r="4989" spans="1:42">
      <c r="A4989">
        <v>4988</v>
      </c>
      <c r="B4989" t="str">
        <f>"688622"</f>
        <v>688622</v>
      </c>
      <c r="C4989" t="s">
        <v>22449</v>
      </c>
      <c r="D4989">
        <v>36.21</v>
      </c>
      <c r="E4989">
        <v>-0.69</v>
      </c>
      <c r="F4989">
        <v>-0.25</v>
      </c>
      <c r="G4989">
        <v>4491</v>
      </c>
      <c r="H4989">
        <v>19</v>
      </c>
      <c r="I4989">
        <v>36.21</v>
      </c>
      <c r="J4989">
        <v>36.27</v>
      </c>
      <c r="K4989" t="s">
        <v>22450</v>
      </c>
      <c r="L4989">
        <v>1.16</v>
      </c>
      <c r="M4989" t="s">
        <v>46</v>
      </c>
      <c r="N4989" t="s">
        <v>5479</v>
      </c>
      <c r="O4989">
        <v>36.44</v>
      </c>
      <c r="P4989">
        <v>35.69</v>
      </c>
      <c r="Q4989">
        <v>36.38</v>
      </c>
      <c r="R4989">
        <v>36.46</v>
      </c>
      <c r="S4989">
        <v>2.06</v>
      </c>
      <c r="T4989">
        <v>1.18</v>
      </c>
      <c r="U4989">
        <v>-16.48</v>
      </c>
      <c r="V4989">
        <v>-17</v>
      </c>
      <c r="W4989">
        <v>36.03</v>
      </c>
      <c r="X4989">
        <v>2718</v>
      </c>
      <c r="Y4989">
        <v>1773</v>
      </c>
      <c r="Z4989">
        <v>1.53</v>
      </c>
      <c r="AA4989">
        <v>4</v>
      </c>
      <c r="AB4989">
        <v>4</v>
      </c>
      <c r="AC4989">
        <v>5.32</v>
      </c>
      <c r="AD4989" t="s">
        <v>13535</v>
      </c>
      <c r="AE4989" t="s">
        <v>22451</v>
      </c>
      <c r="AF4989" t="s">
        <v>22452</v>
      </c>
      <c r="AG4989" t="s">
        <v>7695</v>
      </c>
      <c r="AH4989">
        <v>-0.25</v>
      </c>
      <c r="AI4989">
        <v>-1.07</v>
      </c>
      <c r="AJ4989">
        <v>3.51</v>
      </c>
      <c r="AK4989">
        <v>6.04</v>
      </c>
      <c r="AL4989">
        <v>-1</v>
      </c>
      <c r="AM4989">
        <v>-0.69</v>
      </c>
      <c r="AN4989">
        <v>11.42</v>
      </c>
      <c r="AO4989">
        <v>5.75</v>
      </c>
      <c r="AP4989">
        <v>-9.93</v>
      </c>
    </row>
    <row r="4990" spans="1:42">
      <c r="A4990">
        <v>4989</v>
      </c>
      <c r="B4990" t="str">
        <f>"603928"</f>
        <v>603928</v>
      </c>
      <c r="C4990" t="s">
        <v>22453</v>
      </c>
      <c r="D4990">
        <v>12.78</v>
      </c>
      <c r="E4990">
        <v>-1.69</v>
      </c>
      <c r="F4990">
        <v>-0.22</v>
      </c>
      <c r="G4990" t="s">
        <v>682</v>
      </c>
      <c r="H4990">
        <v>121</v>
      </c>
      <c r="I4990">
        <v>12.78</v>
      </c>
      <c r="J4990">
        <v>12.79</v>
      </c>
      <c r="K4990" t="s">
        <v>22454</v>
      </c>
      <c r="L4990">
        <v>0.62</v>
      </c>
      <c r="M4990" t="s">
        <v>46</v>
      </c>
      <c r="N4990" t="s">
        <v>1778</v>
      </c>
      <c r="O4990">
        <v>12.99</v>
      </c>
      <c r="P4990">
        <v>12.77</v>
      </c>
      <c r="Q4990">
        <v>12.99</v>
      </c>
      <c r="R4990">
        <v>13</v>
      </c>
      <c r="S4990">
        <v>1.69</v>
      </c>
      <c r="T4990">
        <v>0.79</v>
      </c>
      <c r="U4990">
        <v>45.11</v>
      </c>
      <c r="V4990">
        <v>189</v>
      </c>
      <c r="W4990">
        <v>12.86</v>
      </c>
      <c r="X4990">
        <v>6647</v>
      </c>
      <c r="Y4990">
        <v>5922</v>
      </c>
      <c r="Z4990">
        <v>1.12</v>
      </c>
      <c r="AA4990">
        <v>86</v>
      </c>
      <c r="AB4990">
        <v>18</v>
      </c>
      <c r="AC4990">
        <v>1.71</v>
      </c>
      <c r="AD4990" t="s">
        <v>12432</v>
      </c>
      <c r="AE4990" t="s">
        <v>12203</v>
      </c>
      <c r="AF4990" t="s">
        <v>12432</v>
      </c>
      <c r="AG4990" t="s">
        <v>12203</v>
      </c>
      <c r="AH4990">
        <v>-2.37</v>
      </c>
      <c r="AI4990">
        <v>-1.77</v>
      </c>
      <c r="AJ4990">
        <v>1.81</v>
      </c>
      <c r="AK4990">
        <v>4.59</v>
      </c>
      <c r="AL4990">
        <v>-3</v>
      </c>
      <c r="AM4990">
        <v>-1.69</v>
      </c>
      <c r="AN4990">
        <v>20.45</v>
      </c>
      <c r="AO4990">
        <v>2.65</v>
      </c>
      <c r="AP4990">
        <v>10.46</v>
      </c>
    </row>
    <row r="4991" spans="1:42">
      <c r="A4991">
        <v>4990</v>
      </c>
      <c r="B4991" t="str">
        <f>"831726"</f>
        <v>831726</v>
      </c>
      <c r="C4991" t="s">
        <v>22455</v>
      </c>
      <c r="D4991">
        <v>9.74</v>
      </c>
      <c r="E4991">
        <v>0.52</v>
      </c>
      <c r="F4991">
        <v>0.05</v>
      </c>
      <c r="G4991" t="s">
        <v>7487</v>
      </c>
      <c r="H4991">
        <v>393</v>
      </c>
      <c r="I4991">
        <v>9.74</v>
      </c>
      <c r="J4991">
        <v>9.8</v>
      </c>
      <c r="K4991" t="s">
        <v>22454</v>
      </c>
      <c r="L4991">
        <v>2.88</v>
      </c>
      <c r="M4991" t="s">
        <v>46</v>
      </c>
      <c r="N4991" t="s">
        <v>7323</v>
      </c>
      <c r="O4991">
        <v>10.88</v>
      </c>
      <c r="P4991">
        <v>9.39</v>
      </c>
      <c r="Q4991">
        <v>9.39</v>
      </c>
      <c r="R4991">
        <v>9.69</v>
      </c>
      <c r="S4991">
        <v>15.38</v>
      </c>
      <c r="T4991">
        <v>0.81</v>
      </c>
      <c r="U4991">
        <v>52.06</v>
      </c>
      <c r="V4991">
        <v>71</v>
      </c>
      <c r="W4991">
        <v>10.02</v>
      </c>
      <c r="X4991">
        <v>8195</v>
      </c>
      <c r="Y4991">
        <v>7930</v>
      </c>
      <c r="Z4991">
        <v>1.03</v>
      </c>
      <c r="AA4991">
        <v>50</v>
      </c>
      <c r="AB4991">
        <v>10</v>
      </c>
      <c r="AC4991">
        <v>2.23</v>
      </c>
      <c r="AD4991" t="s">
        <v>10452</v>
      </c>
      <c r="AE4991" t="s">
        <v>22456</v>
      </c>
      <c r="AF4991" t="s">
        <v>22457</v>
      </c>
      <c r="AG4991" t="s">
        <v>22458</v>
      </c>
      <c r="AH4991">
        <v>-6.44</v>
      </c>
      <c r="AI4991">
        <v>7.86</v>
      </c>
      <c r="AJ4991">
        <v>8.05</v>
      </c>
      <c r="AK4991">
        <v>20.74</v>
      </c>
      <c r="AL4991">
        <v>2</v>
      </c>
      <c r="AM4991">
        <v>0.52</v>
      </c>
      <c r="AN4991">
        <v>0.31</v>
      </c>
      <c r="AO4991">
        <v>34.16</v>
      </c>
      <c r="AP4991">
        <v>-5.71</v>
      </c>
    </row>
    <row r="4992" spans="1:42">
      <c r="A4992">
        <v>4991</v>
      </c>
      <c r="B4992" t="str">
        <f>"000017"</f>
        <v>000017</v>
      </c>
      <c r="C4992" t="s">
        <v>22459</v>
      </c>
      <c r="D4992">
        <v>4.44</v>
      </c>
      <c r="E4992">
        <v>0.23</v>
      </c>
      <c r="F4992">
        <v>0.01</v>
      </c>
      <c r="G4992" t="s">
        <v>2464</v>
      </c>
      <c r="H4992">
        <v>125</v>
      </c>
      <c r="I4992">
        <v>4.44</v>
      </c>
      <c r="J4992">
        <v>4.45</v>
      </c>
      <c r="K4992" t="s">
        <v>22460</v>
      </c>
      <c r="L4992">
        <v>1.2</v>
      </c>
      <c r="M4992" t="s">
        <v>46</v>
      </c>
      <c r="N4992" t="s">
        <v>4149</v>
      </c>
      <c r="O4992">
        <v>4.47</v>
      </c>
      <c r="P4992">
        <v>4.41</v>
      </c>
      <c r="Q4992">
        <v>4.45</v>
      </c>
      <c r="R4992">
        <v>4.43</v>
      </c>
      <c r="S4992">
        <v>1.35</v>
      </c>
      <c r="T4992">
        <v>0.79</v>
      </c>
      <c r="U4992">
        <v>-44.49</v>
      </c>
      <c r="V4992">
        <v>-5803</v>
      </c>
      <c r="W4992">
        <v>4.45</v>
      </c>
      <c r="X4992" t="s">
        <v>5446</v>
      </c>
      <c r="Y4992" t="s">
        <v>4509</v>
      </c>
      <c r="Z4992">
        <v>0.63</v>
      </c>
      <c r="AA4992">
        <v>1451</v>
      </c>
      <c r="AB4992">
        <v>1080</v>
      </c>
      <c r="AC4992">
        <v>10.74</v>
      </c>
      <c r="AD4992" t="s">
        <v>16004</v>
      </c>
      <c r="AE4992" t="s">
        <v>14758</v>
      </c>
      <c r="AF4992" t="s">
        <v>22461</v>
      </c>
      <c r="AG4992" t="s">
        <v>4589</v>
      </c>
      <c r="AH4992">
        <v>0</v>
      </c>
      <c r="AI4992">
        <v>-0.89</v>
      </c>
      <c r="AJ4992">
        <v>4.79</v>
      </c>
      <c r="AK4992">
        <v>8.77</v>
      </c>
      <c r="AL4992">
        <v>1</v>
      </c>
      <c r="AM4992">
        <v>0.23</v>
      </c>
      <c r="AN4992">
        <v>-6.72</v>
      </c>
      <c r="AO4992">
        <v>2.54</v>
      </c>
      <c r="AP4992">
        <v>0.68</v>
      </c>
    </row>
    <row r="4993" spans="1:42">
      <c r="A4993">
        <v>4992</v>
      </c>
      <c r="B4993" t="str">
        <f>"603711"</f>
        <v>603711</v>
      </c>
      <c r="C4993" t="s">
        <v>22462</v>
      </c>
      <c r="D4993">
        <v>15.24</v>
      </c>
      <c r="E4993">
        <v>-0.33</v>
      </c>
      <c r="F4993">
        <v>-0.05</v>
      </c>
      <c r="G4993" t="s">
        <v>218</v>
      </c>
      <c r="H4993">
        <v>48</v>
      </c>
      <c r="I4993">
        <v>15.22</v>
      </c>
      <c r="J4993">
        <v>15.24</v>
      </c>
      <c r="K4993" t="s">
        <v>22460</v>
      </c>
      <c r="L4993">
        <v>0.26</v>
      </c>
      <c r="M4993" t="s">
        <v>46</v>
      </c>
      <c r="N4993" t="s">
        <v>3547</v>
      </c>
      <c r="O4993">
        <v>15.37</v>
      </c>
      <c r="P4993">
        <v>15.15</v>
      </c>
      <c r="Q4993">
        <v>15.27</v>
      </c>
      <c r="R4993">
        <v>15.29</v>
      </c>
      <c r="S4993">
        <v>1.44</v>
      </c>
      <c r="T4993">
        <v>0.89</v>
      </c>
      <c r="U4993">
        <v>47.94</v>
      </c>
      <c r="V4993">
        <v>267</v>
      </c>
      <c r="W4993">
        <v>15.25</v>
      </c>
      <c r="X4993">
        <v>5966</v>
      </c>
      <c r="Y4993">
        <v>4623</v>
      </c>
      <c r="Z4993">
        <v>1.29</v>
      </c>
      <c r="AA4993">
        <v>192</v>
      </c>
      <c r="AB4993">
        <v>5</v>
      </c>
      <c r="AC4993">
        <v>2.04</v>
      </c>
      <c r="AD4993" t="s">
        <v>22463</v>
      </c>
      <c r="AE4993" t="s">
        <v>15048</v>
      </c>
      <c r="AF4993" t="s">
        <v>22463</v>
      </c>
      <c r="AG4993" t="s">
        <v>15048</v>
      </c>
      <c r="AH4993">
        <v>-0.97</v>
      </c>
      <c r="AI4993">
        <v>-2.25</v>
      </c>
      <c r="AJ4993">
        <v>0.74</v>
      </c>
      <c r="AK4993">
        <v>1.7</v>
      </c>
      <c r="AL4993">
        <v>-1</v>
      </c>
      <c r="AM4993">
        <v>-0.33</v>
      </c>
      <c r="AN4993">
        <v>2.42</v>
      </c>
      <c r="AO4993">
        <v>-5.4</v>
      </c>
      <c r="AP4993">
        <v>31.27</v>
      </c>
    </row>
    <row r="4994" spans="1:42">
      <c r="A4994">
        <v>4993</v>
      </c>
      <c r="B4994" t="str">
        <f>"601330"</f>
        <v>601330</v>
      </c>
      <c r="C4994" t="s">
        <v>22464</v>
      </c>
      <c r="D4994">
        <v>6.89</v>
      </c>
      <c r="E4994">
        <v>0.15</v>
      </c>
      <c r="F4994">
        <v>0.01</v>
      </c>
      <c r="G4994" t="s">
        <v>3151</v>
      </c>
      <c r="H4994">
        <v>233</v>
      </c>
      <c r="I4994">
        <v>6.89</v>
      </c>
      <c r="J4994">
        <v>6.9</v>
      </c>
      <c r="K4994" t="s">
        <v>22465</v>
      </c>
      <c r="L4994">
        <v>0.24</v>
      </c>
      <c r="M4994" t="s">
        <v>46</v>
      </c>
      <c r="N4994" t="s">
        <v>7648</v>
      </c>
      <c r="O4994">
        <v>6.91</v>
      </c>
      <c r="P4994">
        <v>6.85</v>
      </c>
      <c r="Q4994">
        <v>6.88</v>
      </c>
      <c r="R4994">
        <v>6.88</v>
      </c>
      <c r="S4994">
        <v>0.87</v>
      </c>
      <c r="T4994">
        <v>0.97</v>
      </c>
      <c r="U4994">
        <v>-50.3</v>
      </c>
      <c r="V4994">
        <v>-1854</v>
      </c>
      <c r="W4994">
        <v>6.88</v>
      </c>
      <c r="X4994" t="s">
        <v>5183</v>
      </c>
      <c r="Y4994">
        <v>9873</v>
      </c>
      <c r="Z4994">
        <v>1.38</v>
      </c>
      <c r="AA4994">
        <v>32</v>
      </c>
      <c r="AB4994">
        <v>648</v>
      </c>
      <c r="AC4994">
        <v>1.28</v>
      </c>
      <c r="AD4994" t="s">
        <v>7633</v>
      </c>
      <c r="AE4994" t="s">
        <v>22466</v>
      </c>
      <c r="AF4994" t="s">
        <v>22467</v>
      </c>
      <c r="AG4994" t="s">
        <v>14385</v>
      </c>
      <c r="AH4994">
        <v>-0.14</v>
      </c>
      <c r="AI4994">
        <v>-0.29</v>
      </c>
      <c r="AJ4994">
        <v>0.68</v>
      </c>
      <c r="AK4994">
        <v>1.46</v>
      </c>
      <c r="AL4994">
        <v>2</v>
      </c>
      <c r="AM4994">
        <v>0.15</v>
      </c>
      <c r="AN4994">
        <v>3.61</v>
      </c>
      <c r="AO4994">
        <v>0.73</v>
      </c>
      <c r="AP4994">
        <v>1.32</v>
      </c>
    </row>
    <row r="4995" spans="1:42">
      <c r="A4995">
        <v>4994</v>
      </c>
      <c r="B4995" t="str">
        <f>"600070"</f>
        <v>600070</v>
      </c>
      <c r="C4995" t="s">
        <v>22468</v>
      </c>
      <c r="D4995">
        <v>2.87</v>
      </c>
      <c r="E4995">
        <v>1.41</v>
      </c>
      <c r="F4995">
        <v>0.04</v>
      </c>
      <c r="G4995" t="s">
        <v>2685</v>
      </c>
      <c r="H4995">
        <v>1814</v>
      </c>
      <c r="I4995">
        <v>2.86</v>
      </c>
      <c r="J4995">
        <v>2.87</v>
      </c>
      <c r="K4995" t="s">
        <v>22465</v>
      </c>
      <c r="L4995">
        <v>1.12</v>
      </c>
      <c r="M4995" t="s">
        <v>46</v>
      </c>
      <c r="N4995" t="s">
        <v>22469</v>
      </c>
      <c r="O4995">
        <v>2.88</v>
      </c>
      <c r="P4995">
        <v>2.8</v>
      </c>
      <c r="Q4995">
        <v>2.82</v>
      </c>
      <c r="R4995">
        <v>2.83</v>
      </c>
      <c r="S4995">
        <v>2.83</v>
      </c>
      <c r="T4995">
        <v>0.43</v>
      </c>
      <c r="U4995">
        <v>-37.15</v>
      </c>
      <c r="V4995">
        <v>-3774</v>
      </c>
      <c r="W4995">
        <v>2.83</v>
      </c>
      <c r="X4995" t="s">
        <v>8681</v>
      </c>
      <c r="Y4995" t="s">
        <v>6768</v>
      </c>
      <c r="Z4995">
        <v>0.99</v>
      </c>
      <c r="AA4995">
        <v>646</v>
      </c>
      <c r="AB4995">
        <v>1021</v>
      </c>
      <c r="AC4995">
        <v>1.38</v>
      </c>
      <c r="AD4995" t="s">
        <v>22470</v>
      </c>
      <c r="AE4995" t="s">
        <v>10788</v>
      </c>
      <c r="AF4995" t="s">
        <v>14313</v>
      </c>
      <c r="AG4995" t="s">
        <v>11526</v>
      </c>
      <c r="AH4995">
        <v>2.5</v>
      </c>
      <c r="AI4995">
        <v>3.24</v>
      </c>
      <c r="AJ4995">
        <v>7.53</v>
      </c>
      <c r="AK4995">
        <v>14.17</v>
      </c>
      <c r="AL4995">
        <v>1</v>
      </c>
      <c r="AM4995">
        <v>1.41</v>
      </c>
      <c r="AN4995">
        <v>-48.38</v>
      </c>
      <c r="AO4995">
        <v>5.9</v>
      </c>
      <c r="AP4995">
        <v>-43.17</v>
      </c>
    </row>
    <row r="4996" spans="1:42">
      <c r="A4996">
        <v>4995</v>
      </c>
      <c r="B4996" t="str">
        <f>"838924"</f>
        <v>838924</v>
      </c>
      <c r="C4996" t="s">
        <v>22471</v>
      </c>
      <c r="D4996">
        <v>8.92</v>
      </c>
      <c r="E4996">
        <v>-5.51</v>
      </c>
      <c r="F4996">
        <v>-0.52</v>
      </c>
      <c r="G4996" t="s">
        <v>3165</v>
      </c>
      <c r="H4996">
        <v>514</v>
      </c>
      <c r="I4996">
        <v>8.92</v>
      </c>
      <c r="J4996">
        <v>8.93</v>
      </c>
      <c r="K4996" t="s">
        <v>22472</v>
      </c>
      <c r="L4996">
        <v>3.61</v>
      </c>
      <c r="M4996" t="s">
        <v>46</v>
      </c>
      <c r="N4996" t="s">
        <v>6308</v>
      </c>
      <c r="O4996">
        <v>9.7</v>
      </c>
      <c r="P4996">
        <v>8.69</v>
      </c>
      <c r="Q4996">
        <v>9.6</v>
      </c>
      <c r="R4996">
        <v>9.44</v>
      </c>
      <c r="S4996">
        <v>10.7</v>
      </c>
      <c r="T4996">
        <v>0.35</v>
      </c>
      <c r="U4996">
        <v>-49.48</v>
      </c>
      <c r="V4996">
        <v>-342</v>
      </c>
      <c r="W4996">
        <v>9.1</v>
      </c>
      <c r="X4996" t="s">
        <v>2807</v>
      </c>
      <c r="Y4996">
        <v>6602</v>
      </c>
      <c r="Z4996">
        <v>1.69</v>
      </c>
      <c r="AA4996">
        <v>1</v>
      </c>
      <c r="AB4996">
        <v>254</v>
      </c>
      <c r="AC4996">
        <v>2.76</v>
      </c>
      <c r="AD4996" t="s">
        <v>22473</v>
      </c>
      <c r="AE4996" t="s">
        <v>9952</v>
      </c>
      <c r="AF4996" t="s">
        <v>16223</v>
      </c>
      <c r="AG4996" t="s">
        <v>22474</v>
      </c>
      <c r="AH4996">
        <v>-19.28</v>
      </c>
      <c r="AI4996">
        <v>-12.98</v>
      </c>
      <c r="AJ4996">
        <v>14.75</v>
      </c>
      <c r="AK4996">
        <v>54.7</v>
      </c>
      <c r="AL4996">
        <v>-4</v>
      </c>
      <c r="AM4996">
        <v>-5.51</v>
      </c>
      <c r="AN4996">
        <v>57.04</v>
      </c>
      <c r="AO4996">
        <v>45.75</v>
      </c>
      <c r="AP4996">
        <v>46.95</v>
      </c>
    </row>
    <row r="4997" spans="1:42">
      <c r="A4997">
        <v>4996</v>
      </c>
      <c r="B4997" t="str">
        <f>"603500"</f>
        <v>603500</v>
      </c>
      <c r="C4997" t="s">
        <v>22475</v>
      </c>
      <c r="D4997">
        <v>11.69</v>
      </c>
      <c r="E4997">
        <v>-0.85</v>
      </c>
      <c r="F4997">
        <v>-0.1</v>
      </c>
      <c r="G4997" t="s">
        <v>4525</v>
      </c>
      <c r="H4997">
        <v>38</v>
      </c>
      <c r="I4997">
        <v>11.69</v>
      </c>
      <c r="J4997">
        <v>11.72</v>
      </c>
      <c r="K4997" t="s">
        <v>22476</v>
      </c>
      <c r="L4997">
        <v>0.57</v>
      </c>
      <c r="M4997" t="s">
        <v>46</v>
      </c>
      <c r="N4997" t="s">
        <v>3208</v>
      </c>
      <c r="O4997">
        <v>11.81</v>
      </c>
      <c r="P4997">
        <v>11.56</v>
      </c>
      <c r="Q4997">
        <v>11.81</v>
      </c>
      <c r="R4997">
        <v>11.79</v>
      </c>
      <c r="S4997">
        <v>2.12</v>
      </c>
      <c r="T4997">
        <v>0.93</v>
      </c>
      <c r="U4997">
        <v>-42.7</v>
      </c>
      <c r="V4997">
        <v>-307</v>
      </c>
      <c r="W4997">
        <v>11.67</v>
      </c>
      <c r="X4997">
        <v>8066</v>
      </c>
      <c r="Y4997">
        <v>5742</v>
      </c>
      <c r="Z4997">
        <v>1.4</v>
      </c>
      <c r="AA4997">
        <v>7</v>
      </c>
      <c r="AB4997">
        <v>230</v>
      </c>
      <c r="AC4997">
        <v>3.05</v>
      </c>
      <c r="AD4997" t="s">
        <v>22181</v>
      </c>
      <c r="AE4997" t="s">
        <v>22477</v>
      </c>
      <c r="AF4997" t="s">
        <v>14061</v>
      </c>
      <c r="AG4997" t="s">
        <v>19465</v>
      </c>
      <c r="AH4997">
        <v>-1.68</v>
      </c>
      <c r="AI4997">
        <v>-0.85</v>
      </c>
      <c r="AJ4997">
        <v>1.8</v>
      </c>
      <c r="AK4997">
        <v>3.63</v>
      </c>
      <c r="AL4997">
        <v>-3</v>
      </c>
      <c r="AM4997">
        <v>-0.85</v>
      </c>
      <c r="AN4997">
        <v>4.28</v>
      </c>
      <c r="AO4997">
        <v>1.92</v>
      </c>
      <c r="AP4997">
        <v>-2.99</v>
      </c>
    </row>
    <row r="4998" spans="1:42">
      <c r="A4998">
        <v>4997</v>
      </c>
      <c r="B4998" t="str">
        <f>"300871"</f>
        <v>300871</v>
      </c>
      <c r="C4998" t="s">
        <v>22478</v>
      </c>
      <c r="D4998">
        <v>15.27</v>
      </c>
      <c r="E4998">
        <v>-0.26</v>
      </c>
      <c r="F4998">
        <v>-0.04</v>
      </c>
      <c r="G4998" t="s">
        <v>218</v>
      </c>
      <c r="H4998">
        <v>28</v>
      </c>
      <c r="I4998">
        <v>15.27</v>
      </c>
      <c r="J4998">
        <v>15.28</v>
      </c>
      <c r="K4998" t="s">
        <v>22479</v>
      </c>
      <c r="L4998">
        <v>0.64</v>
      </c>
      <c r="M4998" t="s">
        <v>46</v>
      </c>
      <c r="N4998" t="s">
        <v>14976</v>
      </c>
      <c r="O4998">
        <v>15.38</v>
      </c>
      <c r="P4998">
        <v>15.15</v>
      </c>
      <c r="Q4998">
        <v>15.31</v>
      </c>
      <c r="R4998">
        <v>15.31</v>
      </c>
      <c r="S4998">
        <v>1.5</v>
      </c>
      <c r="T4998">
        <v>0.88</v>
      </c>
      <c r="U4998">
        <v>10.88</v>
      </c>
      <c r="V4998">
        <v>42</v>
      </c>
      <c r="W4998">
        <v>15.26</v>
      </c>
      <c r="X4998">
        <v>5237</v>
      </c>
      <c r="Y4998">
        <v>5321</v>
      </c>
      <c r="Z4998">
        <v>0.98</v>
      </c>
      <c r="AA4998">
        <v>21</v>
      </c>
      <c r="AB4998">
        <v>10</v>
      </c>
      <c r="AC4998">
        <v>1.84</v>
      </c>
      <c r="AD4998" t="s">
        <v>22480</v>
      </c>
      <c r="AE4998" t="s">
        <v>22481</v>
      </c>
      <c r="AF4998" t="s">
        <v>7779</v>
      </c>
      <c r="AG4998" t="s">
        <v>22482</v>
      </c>
      <c r="AH4998">
        <v>-1.48</v>
      </c>
      <c r="AI4998">
        <v>-0.97</v>
      </c>
      <c r="AJ4998">
        <v>2.22</v>
      </c>
      <c r="AK4998">
        <v>4.28</v>
      </c>
      <c r="AL4998">
        <v>-1</v>
      </c>
      <c r="AM4998">
        <v>-0.26</v>
      </c>
      <c r="AN4998">
        <v>-24.03</v>
      </c>
      <c r="AO4998">
        <v>2.9</v>
      </c>
      <c r="AP4998">
        <v>-32.67</v>
      </c>
    </row>
    <row r="4999" spans="1:42">
      <c r="A4999">
        <v>4998</v>
      </c>
      <c r="B4999" t="str">
        <f>"603307"</f>
        <v>603307</v>
      </c>
      <c r="C4999" t="s">
        <v>22483</v>
      </c>
      <c r="D4999">
        <v>45.43</v>
      </c>
      <c r="E4999">
        <v>1</v>
      </c>
      <c r="F4999">
        <v>0.45</v>
      </c>
      <c r="G4999">
        <v>3545</v>
      </c>
      <c r="H4999">
        <v>62</v>
      </c>
      <c r="I4999">
        <v>45.43</v>
      </c>
      <c r="J4999">
        <v>45.45</v>
      </c>
      <c r="K4999" t="s">
        <v>22484</v>
      </c>
      <c r="L4999">
        <v>2.12</v>
      </c>
      <c r="M4999" t="s">
        <v>46</v>
      </c>
      <c r="N4999" t="s">
        <v>22485</v>
      </c>
      <c r="O4999">
        <v>45.73</v>
      </c>
      <c r="P4999">
        <v>44.89</v>
      </c>
      <c r="Q4999">
        <v>44.98</v>
      </c>
      <c r="R4999">
        <v>44.98</v>
      </c>
      <c r="S4999">
        <v>1.87</v>
      </c>
      <c r="T4999">
        <v>0.67</v>
      </c>
      <c r="U4999">
        <v>38.71</v>
      </c>
      <c r="V4999">
        <v>48</v>
      </c>
      <c r="W4999">
        <v>45.39</v>
      </c>
      <c r="X4999">
        <v>1462</v>
      </c>
      <c r="Y4999">
        <v>2083</v>
      </c>
      <c r="Z4999">
        <v>0.7</v>
      </c>
      <c r="AA4999">
        <v>2</v>
      </c>
      <c r="AB4999">
        <v>10</v>
      </c>
      <c r="AC4999">
        <v>2.33</v>
      </c>
      <c r="AD4999" t="s">
        <v>6728</v>
      </c>
      <c r="AE4999" t="s">
        <v>13246</v>
      </c>
      <c r="AF4999" t="s">
        <v>22364</v>
      </c>
      <c r="AG4999" t="s">
        <v>15540</v>
      </c>
      <c r="AH4999">
        <v>-1.69</v>
      </c>
      <c r="AI4999">
        <v>-3.18</v>
      </c>
      <c r="AJ4999">
        <v>8.45</v>
      </c>
      <c r="AK4999">
        <v>17.99</v>
      </c>
      <c r="AL4999">
        <v>1</v>
      </c>
      <c r="AM4999">
        <v>1</v>
      </c>
      <c r="AN4999">
        <v>48.08</v>
      </c>
      <c r="AO4999">
        <v>3.86</v>
      </c>
      <c r="AP4999">
        <v>48.08</v>
      </c>
    </row>
    <row r="5000" spans="1:42">
      <c r="A5000">
        <v>4999</v>
      </c>
      <c r="B5000" t="str">
        <f>"835857"</f>
        <v>835857</v>
      </c>
      <c r="C5000" t="s">
        <v>22486</v>
      </c>
      <c r="D5000">
        <v>3.98</v>
      </c>
      <c r="E5000">
        <v>-1.73</v>
      </c>
      <c r="F5000">
        <v>-0.07</v>
      </c>
      <c r="G5000" t="s">
        <v>8404</v>
      </c>
      <c r="H5000">
        <v>353</v>
      </c>
      <c r="I5000">
        <v>3.97</v>
      </c>
      <c r="J5000">
        <v>3.98</v>
      </c>
      <c r="K5000" t="s">
        <v>22487</v>
      </c>
      <c r="L5000">
        <v>3.83</v>
      </c>
      <c r="M5000" t="s">
        <v>46</v>
      </c>
      <c r="N5000" t="s">
        <v>22047</v>
      </c>
      <c r="O5000">
        <v>4.16</v>
      </c>
      <c r="P5000">
        <v>3.91</v>
      </c>
      <c r="Q5000">
        <v>4.07</v>
      </c>
      <c r="R5000">
        <v>4.05</v>
      </c>
      <c r="S5000">
        <v>6.17</v>
      </c>
      <c r="T5000">
        <v>0.31</v>
      </c>
      <c r="U5000">
        <v>-1.01</v>
      </c>
      <c r="V5000">
        <v>-19</v>
      </c>
      <c r="W5000">
        <v>4.02</v>
      </c>
      <c r="X5000" t="s">
        <v>48</v>
      </c>
      <c r="Y5000" t="s">
        <v>2371</v>
      </c>
      <c r="Z5000">
        <v>1.65</v>
      </c>
      <c r="AA5000">
        <v>131</v>
      </c>
      <c r="AB5000">
        <v>310</v>
      </c>
      <c r="AC5000">
        <v>1.01</v>
      </c>
      <c r="AD5000" t="s">
        <v>22488</v>
      </c>
      <c r="AE5000" t="s">
        <v>22489</v>
      </c>
      <c r="AF5000" t="s">
        <v>14028</v>
      </c>
      <c r="AG5000" t="s">
        <v>13165</v>
      </c>
      <c r="AH5000">
        <v>-12.72</v>
      </c>
      <c r="AI5000">
        <v>-1.49</v>
      </c>
      <c r="AJ5000">
        <v>18.89</v>
      </c>
      <c r="AK5000">
        <v>66</v>
      </c>
      <c r="AL5000">
        <v>-4</v>
      </c>
      <c r="AM5000">
        <v>-1.73</v>
      </c>
      <c r="AN5000">
        <v>7.28</v>
      </c>
      <c r="AO5000">
        <v>30.49</v>
      </c>
      <c r="AP5000">
        <v>7.28</v>
      </c>
    </row>
    <row r="5001" spans="1:42">
      <c r="A5001">
        <v>5000</v>
      </c>
      <c r="B5001" t="str">
        <f>"603458"</f>
        <v>603458</v>
      </c>
      <c r="C5001" t="s">
        <v>22490</v>
      </c>
      <c r="D5001">
        <v>9.08</v>
      </c>
      <c r="E5001">
        <v>0.78</v>
      </c>
      <c r="F5001">
        <v>0.07</v>
      </c>
      <c r="G5001" t="s">
        <v>3165</v>
      </c>
      <c r="H5001">
        <v>168</v>
      </c>
      <c r="I5001">
        <v>9.08</v>
      </c>
      <c r="J5001">
        <v>9.09</v>
      </c>
      <c r="K5001" t="s">
        <v>22491</v>
      </c>
      <c r="L5001">
        <v>0.57</v>
      </c>
      <c r="M5001" t="s">
        <v>46</v>
      </c>
      <c r="N5001" t="s">
        <v>2636</v>
      </c>
      <c r="O5001">
        <v>9.11</v>
      </c>
      <c r="P5001">
        <v>8.98</v>
      </c>
      <c r="Q5001">
        <v>9.04</v>
      </c>
      <c r="R5001">
        <v>9.01</v>
      </c>
      <c r="S5001">
        <v>1.44</v>
      </c>
      <c r="T5001">
        <v>0.88</v>
      </c>
      <c r="U5001">
        <v>-20.87</v>
      </c>
      <c r="V5001">
        <v>-489</v>
      </c>
      <c r="W5001">
        <v>9.05</v>
      </c>
      <c r="X5001">
        <v>7299</v>
      </c>
      <c r="Y5001" t="s">
        <v>239</v>
      </c>
      <c r="Z5001">
        <v>0.7</v>
      </c>
      <c r="AA5001">
        <v>68</v>
      </c>
      <c r="AB5001">
        <v>11</v>
      </c>
      <c r="AC5001">
        <v>0.84</v>
      </c>
      <c r="AD5001" t="s">
        <v>22492</v>
      </c>
      <c r="AE5001" t="s">
        <v>9279</v>
      </c>
      <c r="AF5001" t="s">
        <v>18552</v>
      </c>
      <c r="AG5001" t="s">
        <v>6275</v>
      </c>
      <c r="AH5001">
        <v>-1.09</v>
      </c>
      <c r="AI5001">
        <v>-1.63</v>
      </c>
      <c r="AJ5001">
        <v>1.9</v>
      </c>
      <c r="AK5001">
        <v>3.8</v>
      </c>
      <c r="AL5001">
        <v>1</v>
      </c>
      <c r="AM5001">
        <v>0.78</v>
      </c>
      <c r="AN5001">
        <v>-2.16</v>
      </c>
      <c r="AO5001">
        <v>0.89</v>
      </c>
      <c r="AP5001">
        <v>-9.38</v>
      </c>
    </row>
    <row r="5002" spans="1:42">
      <c r="A5002">
        <v>5001</v>
      </c>
      <c r="B5002" t="str">
        <f>"002039"</f>
        <v>002039</v>
      </c>
      <c r="C5002" t="s">
        <v>22493</v>
      </c>
      <c r="D5002">
        <v>14.07</v>
      </c>
      <c r="E5002">
        <v>0.14</v>
      </c>
      <c r="F5002">
        <v>0.02</v>
      </c>
      <c r="G5002" t="s">
        <v>2667</v>
      </c>
      <c r="H5002">
        <v>95</v>
      </c>
      <c r="I5002">
        <v>14.07</v>
      </c>
      <c r="J5002">
        <v>14.09</v>
      </c>
      <c r="K5002" t="s">
        <v>22494</v>
      </c>
      <c r="L5002">
        <v>0.27</v>
      </c>
      <c r="M5002" t="s">
        <v>46</v>
      </c>
      <c r="N5002" t="s">
        <v>7188</v>
      </c>
      <c r="O5002">
        <v>14.12</v>
      </c>
      <c r="P5002">
        <v>13.94</v>
      </c>
      <c r="Q5002">
        <v>14.06</v>
      </c>
      <c r="R5002">
        <v>14.05</v>
      </c>
      <c r="S5002">
        <v>1.28</v>
      </c>
      <c r="T5002">
        <v>0.8</v>
      </c>
      <c r="U5002">
        <v>-48.17</v>
      </c>
      <c r="V5002">
        <v>-461</v>
      </c>
      <c r="W5002">
        <v>14.06</v>
      </c>
      <c r="X5002">
        <v>5373</v>
      </c>
      <c r="Y5002">
        <v>6022</v>
      </c>
      <c r="Z5002">
        <v>0.89</v>
      </c>
      <c r="AA5002">
        <v>39</v>
      </c>
      <c r="AB5002">
        <v>10</v>
      </c>
      <c r="AC5002">
        <v>1.57</v>
      </c>
      <c r="AD5002" t="s">
        <v>22495</v>
      </c>
      <c r="AE5002" t="s">
        <v>22496</v>
      </c>
      <c r="AF5002" t="s">
        <v>22495</v>
      </c>
      <c r="AG5002" t="s">
        <v>22496</v>
      </c>
      <c r="AH5002">
        <v>-0.14</v>
      </c>
      <c r="AI5002">
        <v>-0.21</v>
      </c>
      <c r="AJ5002">
        <v>0.81</v>
      </c>
      <c r="AK5002">
        <v>1.94</v>
      </c>
      <c r="AL5002">
        <v>2</v>
      </c>
      <c r="AM5002">
        <v>0.14</v>
      </c>
      <c r="AN5002">
        <v>-5.7</v>
      </c>
      <c r="AO5002">
        <v>-1.68</v>
      </c>
      <c r="AP5002">
        <v>4.38</v>
      </c>
    </row>
    <row r="5003" spans="1:42">
      <c r="A5003">
        <v>5002</v>
      </c>
      <c r="B5003" t="str">
        <f>"300930"</f>
        <v>300930</v>
      </c>
      <c r="C5003" t="s">
        <v>22497</v>
      </c>
      <c r="D5003">
        <v>24.98</v>
      </c>
      <c r="E5003">
        <v>-0.4</v>
      </c>
      <c r="F5003">
        <v>-0.1</v>
      </c>
      <c r="G5003">
        <v>6416</v>
      </c>
      <c r="H5003">
        <v>95</v>
      </c>
      <c r="I5003">
        <v>24.91</v>
      </c>
      <c r="J5003">
        <v>24.98</v>
      </c>
      <c r="K5003" t="s">
        <v>22494</v>
      </c>
      <c r="L5003">
        <v>2.17</v>
      </c>
      <c r="M5003" t="s">
        <v>46</v>
      </c>
      <c r="N5003" t="s">
        <v>4781</v>
      </c>
      <c r="O5003">
        <v>25.38</v>
      </c>
      <c r="P5003">
        <v>24.67</v>
      </c>
      <c r="Q5003">
        <v>24.67</v>
      </c>
      <c r="R5003">
        <v>25.08</v>
      </c>
      <c r="S5003">
        <v>2.83</v>
      </c>
      <c r="T5003">
        <v>1.08</v>
      </c>
      <c r="U5003">
        <v>37.59</v>
      </c>
      <c r="V5003">
        <v>53</v>
      </c>
      <c r="W5003">
        <v>24.97</v>
      </c>
      <c r="X5003">
        <v>3217</v>
      </c>
      <c r="Y5003">
        <v>3199</v>
      </c>
      <c r="Z5003">
        <v>1.01</v>
      </c>
      <c r="AA5003">
        <v>1</v>
      </c>
      <c r="AB5003">
        <v>1</v>
      </c>
      <c r="AC5003">
        <v>3</v>
      </c>
      <c r="AD5003" t="s">
        <v>5976</v>
      </c>
      <c r="AE5003" t="s">
        <v>20115</v>
      </c>
      <c r="AF5003" t="s">
        <v>19766</v>
      </c>
      <c r="AG5003" t="s">
        <v>22498</v>
      </c>
      <c r="AH5003">
        <v>-1.54</v>
      </c>
      <c r="AI5003">
        <v>-1.73</v>
      </c>
      <c r="AJ5003">
        <v>5.22</v>
      </c>
      <c r="AK5003">
        <v>12.29</v>
      </c>
      <c r="AL5003">
        <v>-2</v>
      </c>
      <c r="AM5003">
        <v>-0.4</v>
      </c>
      <c r="AN5003">
        <v>4</v>
      </c>
      <c r="AO5003">
        <v>1.46</v>
      </c>
      <c r="AP5003">
        <v>-6.34</v>
      </c>
    </row>
    <row r="5004" spans="1:42">
      <c r="A5004">
        <v>5003</v>
      </c>
      <c r="B5004" t="str">
        <f>"301010"</f>
        <v>301010</v>
      </c>
      <c r="C5004" t="s">
        <v>22499</v>
      </c>
      <c r="D5004">
        <v>18.97</v>
      </c>
      <c r="E5004">
        <v>-0.63</v>
      </c>
      <c r="F5004">
        <v>-0.12</v>
      </c>
      <c r="G5004">
        <v>8447</v>
      </c>
      <c r="H5004">
        <v>19</v>
      </c>
      <c r="I5004">
        <v>18.96</v>
      </c>
      <c r="J5004">
        <v>18.97</v>
      </c>
      <c r="K5004" t="s">
        <v>22500</v>
      </c>
      <c r="L5004">
        <v>1.67</v>
      </c>
      <c r="M5004" t="s">
        <v>46</v>
      </c>
      <c r="N5004" t="s">
        <v>4496</v>
      </c>
      <c r="O5004">
        <v>19.12</v>
      </c>
      <c r="P5004">
        <v>18.74</v>
      </c>
      <c r="Q5004">
        <v>19.11</v>
      </c>
      <c r="R5004">
        <v>19.09</v>
      </c>
      <c r="S5004">
        <v>1.99</v>
      </c>
      <c r="T5004">
        <v>0.72</v>
      </c>
      <c r="U5004">
        <v>64.88</v>
      </c>
      <c r="V5004">
        <v>133</v>
      </c>
      <c r="W5004">
        <v>18.95</v>
      </c>
      <c r="X5004">
        <v>3975</v>
      </c>
      <c r="Y5004">
        <v>4472</v>
      </c>
      <c r="Z5004">
        <v>0.89</v>
      </c>
      <c r="AA5004">
        <v>10</v>
      </c>
      <c r="AB5004">
        <v>1</v>
      </c>
      <c r="AC5004">
        <v>2.52</v>
      </c>
      <c r="AD5004" t="s">
        <v>8391</v>
      </c>
      <c r="AE5004" t="s">
        <v>12715</v>
      </c>
      <c r="AF5004" t="s">
        <v>15979</v>
      </c>
      <c r="AG5004" t="s">
        <v>21371</v>
      </c>
      <c r="AH5004">
        <v>-1.4</v>
      </c>
      <c r="AI5004">
        <v>-2.57</v>
      </c>
      <c r="AJ5004">
        <v>5.89</v>
      </c>
      <c r="AK5004">
        <v>13.23</v>
      </c>
      <c r="AL5004">
        <v>-3</v>
      </c>
      <c r="AM5004">
        <v>-0.63</v>
      </c>
      <c r="AN5004">
        <v>8.09</v>
      </c>
      <c r="AO5004">
        <v>-0.16</v>
      </c>
      <c r="AP5004">
        <v>-6.55</v>
      </c>
    </row>
    <row r="5005" spans="1:42">
      <c r="A5005">
        <v>5004</v>
      </c>
      <c r="B5005" t="str">
        <f>"603181"</f>
        <v>603181</v>
      </c>
      <c r="C5005" t="s">
        <v>22501</v>
      </c>
      <c r="D5005">
        <v>11.24</v>
      </c>
      <c r="E5005">
        <v>-0.88</v>
      </c>
      <c r="F5005">
        <v>-0.1</v>
      </c>
      <c r="G5005" t="s">
        <v>4105</v>
      </c>
      <c r="H5005">
        <v>125</v>
      </c>
      <c r="I5005">
        <v>11.23</v>
      </c>
      <c r="J5005">
        <v>11.24</v>
      </c>
      <c r="K5005" t="s">
        <v>22502</v>
      </c>
      <c r="L5005">
        <v>0.24</v>
      </c>
      <c r="M5005" t="s">
        <v>46</v>
      </c>
      <c r="N5005" t="s">
        <v>4927</v>
      </c>
      <c r="O5005">
        <v>11.4</v>
      </c>
      <c r="P5005">
        <v>11.16</v>
      </c>
      <c r="Q5005">
        <v>11.37</v>
      </c>
      <c r="R5005">
        <v>11.34</v>
      </c>
      <c r="S5005">
        <v>2.12</v>
      </c>
      <c r="T5005">
        <v>1.21</v>
      </c>
      <c r="U5005">
        <v>40.81</v>
      </c>
      <c r="V5005">
        <v>331</v>
      </c>
      <c r="W5005">
        <v>11.23</v>
      </c>
      <c r="X5005">
        <v>8941</v>
      </c>
      <c r="Y5005">
        <v>5301</v>
      </c>
      <c r="Z5005">
        <v>1.69</v>
      </c>
      <c r="AA5005">
        <v>6</v>
      </c>
      <c r="AB5005">
        <v>6</v>
      </c>
      <c r="AC5005">
        <v>2.47</v>
      </c>
      <c r="AD5005" t="s">
        <v>22503</v>
      </c>
      <c r="AE5005" t="s">
        <v>22504</v>
      </c>
      <c r="AF5005" t="s">
        <v>22503</v>
      </c>
      <c r="AG5005" t="s">
        <v>22504</v>
      </c>
      <c r="AH5005">
        <v>-2.09</v>
      </c>
      <c r="AI5005">
        <v>-0.53</v>
      </c>
      <c r="AJ5005">
        <v>0.61</v>
      </c>
      <c r="AK5005">
        <v>1.24</v>
      </c>
      <c r="AL5005">
        <v>-2</v>
      </c>
      <c r="AM5005">
        <v>-0.88</v>
      </c>
      <c r="AN5005">
        <v>-21.07</v>
      </c>
      <c r="AO5005">
        <v>1.17</v>
      </c>
      <c r="AP5005">
        <v>-23.64</v>
      </c>
    </row>
    <row r="5006" spans="1:42">
      <c r="A5006">
        <v>5005</v>
      </c>
      <c r="B5006" t="str">
        <f>"833580"</f>
        <v>833580</v>
      </c>
      <c r="C5006" t="s">
        <v>22505</v>
      </c>
      <c r="D5006">
        <v>6</v>
      </c>
      <c r="E5006">
        <v>0.33</v>
      </c>
      <c r="F5006">
        <v>0.02</v>
      </c>
      <c r="G5006" t="s">
        <v>7160</v>
      </c>
      <c r="H5006">
        <v>728</v>
      </c>
      <c r="I5006">
        <v>6</v>
      </c>
      <c r="J5006">
        <v>6.05</v>
      </c>
      <c r="K5006" t="s">
        <v>22506</v>
      </c>
      <c r="L5006">
        <v>4.72</v>
      </c>
      <c r="M5006" t="s">
        <v>46</v>
      </c>
      <c r="N5006" t="s">
        <v>13233</v>
      </c>
      <c r="O5006">
        <v>6.28</v>
      </c>
      <c r="P5006">
        <v>5.82</v>
      </c>
      <c r="Q5006">
        <v>6.09</v>
      </c>
      <c r="R5006">
        <v>5.98</v>
      </c>
      <c r="S5006">
        <v>7.69</v>
      </c>
      <c r="T5006">
        <v>0.33</v>
      </c>
      <c r="U5006">
        <v>-33.31</v>
      </c>
      <c r="V5006">
        <v>-272</v>
      </c>
      <c r="W5006">
        <v>6.06</v>
      </c>
      <c r="X5006" t="s">
        <v>1110</v>
      </c>
      <c r="Y5006">
        <v>9412</v>
      </c>
      <c r="Z5006">
        <v>1.8</v>
      </c>
      <c r="AA5006">
        <v>14</v>
      </c>
      <c r="AB5006">
        <v>263</v>
      </c>
      <c r="AC5006">
        <v>1.57</v>
      </c>
      <c r="AD5006" t="s">
        <v>22213</v>
      </c>
      <c r="AE5006" t="s">
        <v>22507</v>
      </c>
      <c r="AF5006" t="s">
        <v>22508</v>
      </c>
      <c r="AG5006" t="s">
        <v>18450</v>
      </c>
      <c r="AH5006">
        <v>-15.13</v>
      </c>
      <c r="AI5006">
        <v>17.88</v>
      </c>
      <c r="AJ5006">
        <v>22.49</v>
      </c>
      <c r="AK5006">
        <v>76.33</v>
      </c>
      <c r="AL5006">
        <v>1</v>
      </c>
      <c r="AM5006">
        <v>0.33</v>
      </c>
      <c r="AN5006">
        <v>45.28</v>
      </c>
      <c r="AO5006">
        <v>58.31</v>
      </c>
      <c r="AP5006">
        <v>26.32</v>
      </c>
    </row>
    <row r="5007" spans="1:42">
      <c r="A5007">
        <v>5006</v>
      </c>
      <c r="B5007" t="str">
        <f>"002811"</f>
        <v>002811</v>
      </c>
      <c r="C5007" t="s">
        <v>22509</v>
      </c>
      <c r="D5007">
        <v>9.63</v>
      </c>
      <c r="E5007">
        <v>-0.41</v>
      </c>
      <c r="F5007">
        <v>-0.04</v>
      </c>
      <c r="G5007" t="s">
        <v>390</v>
      </c>
      <c r="H5007">
        <v>79</v>
      </c>
      <c r="I5007">
        <v>9.61</v>
      </c>
      <c r="J5007">
        <v>9.63</v>
      </c>
      <c r="K5007" t="s">
        <v>22510</v>
      </c>
      <c r="L5007">
        <v>0.67</v>
      </c>
      <c r="M5007" t="s">
        <v>46</v>
      </c>
      <c r="N5007" t="s">
        <v>22511</v>
      </c>
      <c r="O5007">
        <v>9.73</v>
      </c>
      <c r="P5007">
        <v>9.52</v>
      </c>
      <c r="Q5007">
        <v>9.69</v>
      </c>
      <c r="R5007">
        <v>9.67</v>
      </c>
      <c r="S5007">
        <v>2.17</v>
      </c>
      <c r="T5007">
        <v>0.82</v>
      </c>
      <c r="U5007">
        <v>46.29</v>
      </c>
      <c r="V5007">
        <v>474</v>
      </c>
      <c r="W5007">
        <v>9.62</v>
      </c>
      <c r="X5007">
        <v>8205</v>
      </c>
      <c r="Y5007">
        <v>8365</v>
      </c>
      <c r="Z5007">
        <v>0.98</v>
      </c>
      <c r="AA5007">
        <v>62</v>
      </c>
      <c r="AB5007">
        <v>75</v>
      </c>
      <c r="AC5007">
        <v>2.38</v>
      </c>
      <c r="AD5007" t="s">
        <v>16525</v>
      </c>
      <c r="AE5007" t="s">
        <v>6452</v>
      </c>
      <c r="AF5007" t="s">
        <v>5107</v>
      </c>
      <c r="AG5007" t="s">
        <v>22512</v>
      </c>
      <c r="AH5007">
        <v>-1.43</v>
      </c>
      <c r="AI5007">
        <v>0.42</v>
      </c>
      <c r="AJ5007">
        <v>1.97</v>
      </c>
      <c r="AK5007">
        <v>4.74</v>
      </c>
      <c r="AL5007">
        <v>-3</v>
      </c>
      <c r="AM5007">
        <v>-0.41</v>
      </c>
      <c r="AN5007">
        <v>33.38</v>
      </c>
      <c r="AO5007">
        <v>7.24</v>
      </c>
      <c r="AP5007">
        <v>21.28</v>
      </c>
    </row>
    <row r="5008" spans="1:42">
      <c r="A5008">
        <v>5007</v>
      </c>
      <c r="B5008" t="str">
        <f>"839790"</f>
        <v>839790</v>
      </c>
      <c r="C5008" t="s">
        <v>22513</v>
      </c>
      <c r="D5008">
        <v>7.43</v>
      </c>
      <c r="E5008">
        <v>-3.13</v>
      </c>
      <c r="F5008">
        <v>-0.24</v>
      </c>
      <c r="G5008" t="s">
        <v>3372</v>
      </c>
      <c r="H5008">
        <v>290</v>
      </c>
      <c r="I5008">
        <v>7.42</v>
      </c>
      <c r="J5008">
        <v>7.43</v>
      </c>
      <c r="K5008" t="s">
        <v>22514</v>
      </c>
      <c r="L5008">
        <v>5.75</v>
      </c>
      <c r="M5008" t="s">
        <v>46</v>
      </c>
      <c r="N5008" t="s">
        <v>3289</v>
      </c>
      <c r="O5008">
        <v>8.19</v>
      </c>
      <c r="P5008">
        <v>7.42</v>
      </c>
      <c r="Q5008">
        <v>7.67</v>
      </c>
      <c r="R5008">
        <v>7.67</v>
      </c>
      <c r="S5008">
        <v>10.04</v>
      </c>
      <c r="T5008">
        <v>0.4</v>
      </c>
      <c r="U5008">
        <v>72.21</v>
      </c>
      <c r="V5008">
        <v>432</v>
      </c>
      <c r="W5008">
        <v>7.78</v>
      </c>
      <c r="X5008" t="s">
        <v>209</v>
      </c>
      <c r="Y5008">
        <v>7627</v>
      </c>
      <c r="Z5008">
        <v>1.68</v>
      </c>
      <c r="AA5008">
        <v>238</v>
      </c>
      <c r="AB5008">
        <v>39</v>
      </c>
      <c r="AC5008">
        <v>1.79</v>
      </c>
      <c r="AD5008" t="s">
        <v>22515</v>
      </c>
      <c r="AE5008" t="s">
        <v>4793</v>
      </c>
      <c r="AF5008" t="s">
        <v>22516</v>
      </c>
      <c r="AG5008" t="s">
        <v>22517</v>
      </c>
      <c r="AH5008">
        <v>-13.6</v>
      </c>
      <c r="AI5008">
        <v>2.06</v>
      </c>
      <c r="AJ5008">
        <v>24.18</v>
      </c>
      <c r="AK5008">
        <v>78.13</v>
      </c>
      <c r="AL5008">
        <v>-1</v>
      </c>
      <c r="AM5008">
        <v>-3.13</v>
      </c>
      <c r="AN5008">
        <v>35.09</v>
      </c>
      <c r="AO5008">
        <v>47.13</v>
      </c>
      <c r="AP5008">
        <v>7.68</v>
      </c>
    </row>
    <row r="5009" spans="1:42">
      <c r="A5009">
        <v>5008</v>
      </c>
      <c r="B5009" t="str">
        <f>"600076"</f>
        <v>600076</v>
      </c>
      <c r="C5009" t="s">
        <v>22518</v>
      </c>
      <c r="D5009">
        <v>2.67</v>
      </c>
      <c r="E5009">
        <v>1.52</v>
      </c>
      <c r="F5009">
        <v>0.04</v>
      </c>
      <c r="G5009" t="s">
        <v>7400</v>
      </c>
      <c r="H5009">
        <v>570</v>
      </c>
      <c r="I5009">
        <v>2.66</v>
      </c>
      <c r="J5009">
        <v>2.67</v>
      </c>
      <c r="K5009" t="s">
        <v>22519</v>
      </c>
      <c r="L5009">
        <v>0.58</v>
      </c>
      <c r="M5009" t="s">
        <v>46</v>
      </c>
      <c r="N5009" t="s">
        <v>22520</v>
      </c>
      <c r="O5009">
        <v>2.69</v>
      </c>
      <c r="P5009">
        <v>2.63</v>
      </c>
      <c r="Q5009">
        <v>2.63</v>
      </c>
      <c r="R5009">
        <v>2.63</v>
      </c>
      <c r="S5009">
        <v>2.28</v>
      </c>
      <c r="T5009">
        <v>0.85</v>
      </c>
      <c r="U5009">
        <v>-52.23</v>
      </c>
      <c r="V5009">
        <v>-9972</v>
      </c>
      <c r="W5009">
        <v>2.67</v>
      </c>
      <c r="X5009" t="s">
        <v>5302</v>
      </c>
      <c r="Y5009" t="s">
        <v>1080</v>
      </c>
      <c r="Z5009">
        <v>1.04</v>
      </c>
      <c r="AA5009">
        <v>1525</v>
      </c>
      <c r="AB5009">
        <v>81</v>
      </c>
      <c r="AC5009">
        <v>0.8</v>
      </c>
      <c r="AD5009" t="s">
        <v>4589</v>
      </c>
      <c r="AE5009" t="s">
        <v>1782</v>
      </c>
      <c r="AF5009" t="s">
        <v>21842</v>
      </c>
      <c r="AG5009" t="s">
        <v>7112</v>
      </c>
      <c r="AH5009">
        <v>-1.48</v>
      </c>
      <c r="AI5009">
        <v>-0.74</v>
      </c>
      <c r="AJ5009">
        <v>1.87</v>
      </c>
      <c r="AK5009">
        <v>3.98</v>
      </c>
      <c r="AL5009">
        <v>1</v>
      </c>
      <c r="AM5009">
        <v>1.52</v>
      </c>
      <c r="AN5009">
        <v>-8.56</v>
      </c>
      <c r="AO5009">
        <v>2.3</v>
      </c>
      <c r="AP5009">
        <v>-11.3</v>
      </c>
    </row>
    <row r="5010" spans="1:42">
      <c r="A5010">
        <v>5009</v>
      </c>
      <c r="B5010" t="str">
        <f>"605003"</f>
        <v>605003</v>
      </c>
      <c r="C5010" t="s">
        <v>22521</v>
      </c>
      <c r="D5010">
        <v>19.94</v>
      </c>
      <c r="E5010">
        <v>0.2</v>
      </c>
      <c r="F5010">
        <v>0.04</v>
      </c>
      <c r="G5010">
        <v>7939</v>
      </c>
      <c r="H5010">
        <v>41</v>
      </c>
      <c r="I5010">
        <v>19.93</v>
      </c>
      <c r="J5010">
        <v>19.94</v>
      </c>
      <c r="K5010" t="s">
        <v>22522</v>
      </c>
      <c r="L5010">
        <v>0.72</v>
      </c>
      <c r="M5010" t="s">
        <v>46</v>
      </c>
      <c r="N5010" t="s">
        <v>6464</v>
      </c>
      <c r="O5010">
        <v>20.16</v>
      </c>
      <c r="P5010">
        <v>19.82</v>
      </c>
      <c r="Q5010">
        <v>19.9</v>
      </c>
      <c r="R5010">
        <v>19.9</v>
      </c>
      <c r="S5010">
        <v>1.71</v>
      </c>
      <c r="T5010">
        <v>1.18</v>
      </c>
      <c r="U5010">
        <v>-16.54</v>
      </c>
      <c r="V5010">
        <v>-21</v>
      </c>
      <c r="W5010">
        <v>20.02</v>
      </c>
      <c r="X5010">
        <v>4473</v>
      </c>
      <c r="Y5010">
        <v>3466</v>
      </c>
      <c r="Z5010">
        <v>1.29</v>
      </c>
      <c r="AA5010">
        <v>3</v>
      </c>
      <c r="AB5010">
        <v>15</v>
      </c>
      <c r="AC5010">
        <v>1.92</v>
      </c>
      <c r="AD5010" t="s">
        <v>3374</v>
      </c>
      <c r="AE5010" t="s">
        <v>15755</v>
      </c>
      <c r="AF5010" t="s">
        <v>3374</v>
      </c>
      <c r="AG5010" t="s">
        <v>15755</v>
      </c>
      <c r="AH5010">
        <v>-0.3</v>
      </c>
      <c r="AI5010">
        <v>-0.75</v>
      </c>
      <c r="AJ5010">
        <v>1.97</v>
      </c>
      <c r="AK5010">
        <v>3.78</v>
      </c>
      <c r="AL5010">
        <v>1</v>
      </c>
      <c r="AM5010">
        <v>0.2</v>
      </c>
      <c r="AN5010">
        <v>14.86</v>
      </c>
      <c r="AO5010">
        <v>0.61</v>
      </c>
      <c r="AP5010">
        <v>2.41</v>
      </c>
    </row>
    <row r="5011" spans="1:42">
      <c r="A5011">
        <v>5010</v>
      </c>
      <c r="B5011" t="str">
        <f>"688450"</f>
        <v>688450</v>
      </c>
      <c r="C5011" t="s">
        <v>22523</v>
      </c>
      <c r="D5011">
        <v>38.92</v>
      </c>
      <c r="E5011">
        <v>-0.66</v>
      </c>
      <c r="F5011">
        <v>-0.26</v>
      </c>
      <c r="G5011">
        <v>4086</v>
      </c>
      <c r="H5011">
        <v>49</v>
      </c>
      <c r="I5011">
        <v>38.92</v>
      </c>
      <c r="J5011">
        <v>39.02</v>
      </c>
      <c r="K5011" t="s">
        <v>22522</v>
      </c>
      <c r="L5011">
        <v>2.76</v>
      </c>
      <c r="M5011" t="s">
        <v>46</v>
      </c>
      <c r="N5011" t="s">
        <v>7685</v>
      </c>
      <c r="O5011">
        <v>39.3</v>
      </c>
      <c r="P5011">
        <v>38.61</v>
      </c>
      <c r="Q5011">
        <v>39.3</v>
      </c>
      <c r="R5011">
        <v>39.18</v>
      </c>
      <c r="S5011">
        <v>1.76</v>
      </c>
      <c r="T5011">
        <v>1.2</v>
      </c>
      <c r="U5011">
        <v>6.68</v>
      </c>
      <c r="V5011">
        <v>4</v>
      </c>
      <c r="W5011">
        <v>38.89</v>
      </c>
      <c r="X5011">
        <v>2355</v>
      </c>
      <c r="Y5011">
        <v>1730</v>
      </c>
      <c r="Z5011">
        <v>1.36</v>
      </c>
      <c r="AA5011">
        <v>0</v>
      </c>
      <c r="AB5011">
        <v>15</v>
      </c>
      <c r="AC5011">
        <v>2.42</v>
      </c>
      <c r="AD5011" t="s">
        <v>20415</v>
      </c>
      <c r="AE5011" t="s">
        <v>22524</v>
      </c>
      <c r="AF5011" t="s">
        <v>22525</v>
      </c>
      <c r="AG5011" t="s">
        <v>22526</v>
      </c>
      <c r="AH5011">
        <v>-2.21</v>
      </c>
      <c r="AI5011">
        <v>-3.35</v>
      </c>
      <c r="AJ5011">
        <v>7.05</v>
      </c>
      <c r="AK5011">
        <v>14.26</v>
      </c>
      <c r="AL5011">
        <v>-3</v>
      </c>
      <c r="AM5011">
        <v>-0.66</v>
      </c>
      <c r="AN5011">
        <v>-26.69</v>
      </c>
      <c r="AO5011">
        <v>-2.65</v>
      </c>
      <c r="AP5011">
        <v>-26.69</v>
      </c>
    </row>
    <row r="5012" spans="1:42">
      <c r="A5012">
        <v>5011</v>
      </c>
      <c r="B5012" t="str">
        <f>"603797"</f>
        <v>603797</v>
      </c>
      <c r="C5012" t="s">
        <v>22527</v>
      </c>
      <c r="D5012">
        <v>5.68</v>
      </c>
      <c r="E5012">
        <v>1.07</v>
      </c>
      <c r="F5012">
        <v>0.06</v>
      </c>
      <c r="G5012" t="s">
        <v>7993</v>
      </c>
      <c r="H5012">
        <v>67</v>
      </c>
      <c r="I5012">
        <v>5.67</v>
      </c>
      <c r="J5012">
        <v>5.68</v>
      </c>
      <c r="K5012" t="s">
        <v>22528</v>
      </c>
      <c r="L5012">
        <v>0.48</v>
      </c>
      <c r="M5012" t="s">
        <v>46</v>
      </c>
      <c r="N5012" t="s">
        <v>185</v>
      </c>
      <c r="O5012">
        <v>5.69</v>
      </c>
      <c r="P5012">
        <v>5.6</v>
      </c>
      <c r="Q5012">
        <v>5.63</v>
      </c>
      <c r="R5012">
        <v>5.62</v>
      </c>
      <c r="S5012">
        <v>1.6</v>
      </c>
      <c r="T5012">
        <v>0.99</v>
      </c>
      <c r="U5012">
        <v>-64.76</v>
      </c>
      <c r="V5012">
        <v>-2892</v>
      </c>
      <c r="W5012">
        <v>5.66</v>
      </c>
      <c r="X5012" t="s">
        <v>1427</v>
      </c>
      <c r="Y5012" t="s">
        <v>2371</v>
      </c>
      <c r="Z5012">
        <v>0.86</v>
      </c>
      <c r="AA5012">
        <v>29</v>
      </c>
      <c r="AB5012">
        <v>425</v>
      </c>
      <c r="AC5012">
        <v>1.13</v>
      </c>
      <c r="AD5012" t="s">
        <v>22529</v>
      </c>
      <c r="AE5012" t="s">
        <v>18565</v>
      </c>
      <c r="AF5012" t="s">
        <v>22529</v>
      </c>
      <c r="AG5012" t="s">
        <v>18565</v>
      </c>
      <c r="AH5012">
        <v>0</v>
      </c>
      <c r="AI5012">
        <v>0.53</v>
      </c>
      <c r="AJ5012">
        <v>1.22</v>
      </c>
      <c r="AK5012">
        <v>2.9</v>
      </c>
      <c r="AL5012">
        <v>1</v>
      </c>
      <c r="AM5012">
        <v>1.07</v>
      </c>
      <c r="AN5012">
        <v>2.9</v>
      </c>
      <c r="AO5012">
        <v>2.71</v>
      </c>
      <c r="AP5012">
        <v>-0.7</v>
      </c>
    </row>
    <row r="5013" spans="1:42">
      <c r="A5013">
        <v>5012</v>
      </c>
      <c r="B5013" t="str">
        <f>"688679"</f>
        <v>688679</v>
      </c>
      <c r="C5013" t="s">
        <v>22530</v>
      </c>
      <c r="D5013">
        <v>13.1</v>
      </c>
      <c r="E5013">
        <v>1</v>
      </c>
      <c r="F5013">
        <v>0.13</v>
      </c>
      <c r="G5013" t="s">
        <v>1052</v>
      </c>
      <c r="H5013">
        <v>80</v>
      </c>
      <c r="I5013">
        <v>13.1</v>
      </c>
      <c r="J5013">
        <v>13.13</v>
      </c>
      <c r="K5013" t="s">
        <v>20070</v>
      </c>
      <c r="L5013">
        <v>2.03</v>
      </c>
      <c r="M5013" t="s">
        <v>46</v>
      </c>
      <c r="N5013" t="s">
        <v>289</v>
      </c>
      <c r="O5013">
        <v>13.2</v>
      </c>
      <c r="P5013">
        <v>12.94</v>
      </c>
      <c r="Q5013">
        <v>12.94</v>
      </c>
      <c r="R5013">
        <v>12.97</v>
      </c>
      <c r="S5013">
        <v>2</v>
      </c>
      <c r="T5013">
        <v>1.31</v>
      </c>
      <c r="U5013">
        <v>11.45</v>
      </c>
      <c r="V5013">
        <v>15</v>
      </c>
      <c r="W5013">
        <v>13.11</v>
      </c>
      <c r="X5013">
        <v>5585</v>
      </c>
      <c r="Y5013">
        <v>6520</v>
      </c>
      <c r="Z5013">
        <v>0.86</v>
      </c>
      <c r="AA5013">
        <v>7</v>
      </c>
      <c r="AB5013">
        <v>8</v>
      </c>
      <c r="AC5013">
        <v>1.54</v>
      </c>
      <c r="AD5013" t="s">
        <v>19846</v>
      </c>
      <c r="AE5013" t="s">
        <v>22531</v>
      </c>
      <c r="AF5013" t="s">
        <v>22532</v>
      </c>
      <c r="AG5013" t="s">
        <v>8631</v>
      </c>
      <c r="AH5013">
        <v>0.15</v>
      </c>
      <c r="AI5013">
        <v>0.92</v>
      </c>
      <c r="AJ5013">
        <v>4.42</v>
      </c>
      <c r="AK5013">
        <v>9.77</v>
      </c>
      <c r="AL5013">
        <v>1</v>
      </c>
      <c r="AM5013">
        <v>1</v>
      </c>
      <c r="AN5013">
        <v>22.32</v>
      </c>
      <c r="AO5013">
        <v>-0.53</v>
      </c>
      <c r="AP5013">
        <v>9.44</v>
      </c>
    </row>
    <row r="5014" spans="1:42">
      <c r="A5014">
        <v>5013</v>
      </c>
      <c r="B5014" t="str">
        <f>"300305"</f>
        <v>300305</v>
      </c>
      <c r="C5014" t="s">
        <v>22533</v>
      </c>
      <c r="D5014">
        <v>10.11</v>
      </c>
      <c r="E5014">
        <v>0.2</v>
      </c>
      <c r="F5014">
        <v>0.02</v>
      </c>
      <c r="G5014" t="s">
        <v>144</v>
      </c>
      <c r="H5014">
        <v>153</v>
      </c>
      <c r="I5014">
        <v>10.1</v>
      </c>
      <c r="J5014">
        <v>10.11</v>
      </c>
      <c r="K5014" t="s">
        <v>22534</v>
      </c>
      <c r="L5014">
        <v>0.68</v>
      </c>
      <c r="M5014" t="s">
        <v>46</v>
      </c>
      <c r="N5014" t="s">
        <v>11419</v>
      </c>
      <c r="O5014">
        <v>10.18</v>
      </c>
      <c r="P5014">
        <v>9.97</v>
      </c>
      <c r="Q5014">
        <v>10.09</v>
      </c>
      <c r="R5014">
        <v>10.09</v>
      </c>
      <c r="S5014">
        <v>2.08</v>
      </c>
      <c r="T5014">
        <v>0.63</v>
      </c>
      <c r="U5014">
        <v>0.97</v>
      </c>
      <c r="V5014">
        <v>15</v>
      </c>
      <c r="W5014">
        <v>10.07</v>
      </c>
      <c r="X5014">
        <v>8388</v>
      </c>
      <c r="Y5014">
        <v>7343</v>
      </c>
      <c r="Z5014">
        <v>1.14</v>
      </c>
      <c r="AA5014">
        <v>93</v>
      </c>
      <c r="AB5014">
        <v>8</v>
      </c>
      <c r="AC5014">
        <v>1.52</v>
      </c>
      <c r="AD5014" t="s">
        <v>22535</v>
      </c>
      <c r="AE5014" t="s">
        <v>22536</v>
      </c>
      <c r="AF5014" t="s">
        <v>18922</v>
      </c>
      <c r="AG5014" t="s">
        <v>8047</v>
      </c>
      <c r="AH5014">
        <v>-2.22</v>
      </c>
      <c r="AI5014">
        <v>-2.32</v>
      </c>
      <c r="AJ5014">
        <v>3.02</v>
      </c>
      <c r="AK5014">
        <v>6.08</v>
      </c>
      <c r="AL5014">
        <v>1</v>
      </c>
      <c r="AM5014">
        <v>0.2</v>
      </c>
      <c r="AN5014">
        <v>-31.18</v>
      </c>
      <c r="AO5014">
        <v>2.22</v>
      </c>
      <c r="AP5014">
        <v>-16.65</v>
      </c>
    </row>
    <row r="5015" spans="1:42">
      <c r="A5015">
        <v>5014</v>
      </c>
      <c r="B5015" t="str">
        <f>"836260"</f>
        <v>836260</v>
      </c>
      <c r="C5015" t="s">
        <v>22537</v>
      </c>
      <c r="D5015">
        <v>6.88</v>
      </c>
      <c r="E5015">
        <v>-6.27</v>
      </c>
      <c r="F5015">
        <v>-0.46</v>
      </c>
      <c r="G5015" t="s">
        <v>4509</v>
      </c>
      <c r="H5015">
        <v>244</v>
      </c>
      <c r="I5015">
        <v>6.88</v>
      </c>
      <c r="J5015">
        <v>6.93</v>
      </c>
      <c r="K5015" t="s">
        <v>22534</v>
      </c>
      <c r="L5015">
        <v>5.44</v>
      </c>
      <c r="M5015" t="s">
        <v>46</v>
      </c>
      <c r="N5015" t="s">
        <v>7077</v>
      </c>
      <c r="O5015">
        <v>7.51</v>
      </c>
      <c r="P5015">
        <v>6.87</v>
      </c>
      <c r="Q5015">
        <v>7.4</v>
      </c>
      <c r="R5015">
        <v>7.34</v>
      </c>
      <c r="S5015">
        <v>8.72</v>
      </c>
      <c r="T5015">
        <v>0.37</v>
      </c>
      <c r="U5015">
        <v>-19.28</v>
      </c>
      <c r="V5015">
        <v>-198</v>
      </c>
      <c r="W5015">
        <v>7.11</v>
      </c>
      <c r="X5015" t="s">
        <v>3130</v>
      </c>
      <c r="Y5015">
        <v>7554</v>
      </c>
      <c r="Z5015">
        <v>1.95</v>
      </c>
      <c r="AA5015">
        <v>144</v>
      </c>
      <c r="AB5015">
        <v>30</v>
      </c>
      <c r="AC5015">
        <v>1.77</v>
      </c>
      <c r="AD5015" t="s">
        <v>22538</v>
      </c>
      <c r="AE5015" t="s">
        <v>10747</v>
      </c>
      <c r="AF5015" t="s">
        <v>22539</v>
      </c>
      <c r="AG5015" t="s">
        <v>18464</v>
      </c>
      <c r="AH5015">
        <v>-16.81</v>
      </c>
      <c r="AI5015">
        <v>2.84</v>
      </c>
      <c r="AJ5015">
        <v>25.08</v>
      </c>
      <c r="AK5015">
        <v>78.53</v>
      </c>
      <c r="AL5015">
        <v>-4</v>
      </c>
      <c r="AM5015">
        <v>-6.27</v>
      </c>
      <c r="AN5015">
        <v>34.38</v>
      </c>
      <c r="AO5015">
        <v>34.9</v>
      </c>
      <c r="AP5015">
        <v>26.94</v>
      </c>
    </row>
    <row r="5016" spans="1:42">
      <c r="A5016">
        <v>5015</v>
      </c>
      <c r="B5016" t="str">
        <f>"688597"</f>
        <v>688597</v>
      </c>
      <c r="C5016" t="s">
        <v>22540</v>
      </c>
      <c r="D5016">
        <v>9</v>
      </c>
      <c r="E5016">
        <v>-0.77</v>
      </c>
      <c r="F5016">
        <v>-0.07</v>
      </c>
      <c r="G5016" t="s">
        <v>1177</v>
      </c>
      <c r="H5016">
        <v>101</v>
      </c>
      <c r="I5016">
        <v>9</v>
      </c>
      <c r="J5016">
        <v>9.01</v>
      </c>
      <c r="K5016" t="s">
        <v>22541</v>
      </c>
      <c r="L5016">
        <v>0.97</v>
      </c>
      <c r="M5016" t="s">
        <v>46</v>
      </c>
      <c r="N5016" t="s">
        <v>3901</v>
      </c>
      <c r="O5016">
        <v>9.07</v>
      </c>
      <c r="P5016">
        <v>8.9</v>
      </c>
      <c r="Q5016">
        <v>9.07</v>
      </c>
      <c r="R5016">
        <v>9.07</v>
      </c>
      <c r="S5016">
        <v>1.87</v>
      </c>
      <c r="T5016">
        <v>0.83</v>
      </c>
      <c r="U5016">
        <v>30.55</v>
      </c>
      <c r="V5016">
        <v>421</v>
      </c>
      <c r="W5016">
        <v>8.99</v>
      </c>
      <c r="X5016">
        <v>9123</v>
      </c>
      <c r="Y5016">
        <v>8493</v>
      </c>
      <c r="Z5016">
        <v>1.07</v>
      </c>
      <c r="AA5016">
        <v>105</v>
      </c>
      <c r="AB5016">
        <v>7</v>
      </c>
      <c r="AC5016">
        <v>2.61</v>
      </c>
      <c r="AD5016" t="s">
        <v>21211</v>
      </c>
      <c r="AE5016" t="s">
        <v>22542</v>
      </c>
      <c r="AF5016" t="s">
        <v>13059</v>
      </c>
      <c r="AG5016" t="s">
        <v>22543</v>
      </c>
      <c r="AH5016">
        <v>-1.64</v>
      </c>
      <c r="AI5016">
        <v>-0.33</v>
      </c>
      <c r="AJ5016">
        <v>3.33</v>
      </c>
      <c r="AK5016">
        <v>6.82</v>
      </c>
      <c r="AL5016">
        <v>-2</v>
      </c>
      <c r="AM5016">
        <v>-0.77</v>
      </c>
      <c r="AN5016">
        <v>-15.49</v>
      </c>
      <c r="AO5016">
        <v>1.93</v>
      </c>
      <c r="AP5016">
        <v>-26.05</v>
      </c>
    </row>
    <row r="5017" spans="1:42">
      <c r="A5017">
        <v>5016</v>
      </c>
      <c r="B5017" t="str">
        <f>"301355"</f>
        <v>301355</v>
      </c>
      <c r="C5017" t="s">
        <v>22544</v>
      </c>
      <c r="D5017">
        <v>15.59</v>
      </c>
      <c r="E5017">
        <v>0.52</v>
      </c>
      <c r="F5017">
        <v>0.08</v>
      </c>
      <c r="G5017" t="s">
        <v>1646</v>
      </c>
      <c r="H5017">
        <v>68</v>
      </c>
      <c r="I5017">
        <v>15.58</v>
      </c>
      <c r="J5017">
        <v>15.59</v>
      </c>
      <c r="K5017" t="s">
        <v>22545</v>
      </c>
      <c r="L5017">
        <v>2.2</v>
      </c>
      <c r="M5017" t="s">
        <v>46</v>
      </c>
      <c r="N5017" t="s">
        <v>1521</v>
      </c>
      <c r="O5017">
        <v>15.67</v>
      </c>
      <c r="P5017">
        <v>15.37</v>
      </c>
      <c r="Q5017">
        <v>15.51</v>
      </c>
      <c r="R5017">
        <v>15.51</v>
      </c>
      <c r="S5017">
        <v>1.93</v>
      </c>
      <c r="T5017">
        <v>0.75</v>
      </c>
      <c r="U5017">
        <v>53.87</v>
      </c>
      <c r="V5017">
        <v>334</v>
      </c>
      <c r="W5017">
        <v>15.54</v>
      </c>
      <c r="X5017">
        <v>4638</v>
      </c>
      <c r="Y5017">
        <v>5551</v>
      </c>
      <c r="Z5017">
        <v>0.84</v>
      </c>
      <c r="AA5017">
        <v>20</v>
      </c>
      <c r="AB5017">
        <v>28</v>
      </c>
      <c r="AC5017">
        <v>2.02</v>
      </c>
      <c r="AD5017" t="s">
        <v>22546</v>
      </c>
      <c r="AE5017" t="s">
        <v>14847</v>
      </c>
      <c r="AF5017" t="s">
        <v>22547</v>
      </c>
      <c r="AG5017" t="s">
        <v>9283</v>
      </c>
      <c r="AH5017">
        <v>-2.13</v>
      </c>
      <c r="AI5017">
        <v>-3.77</v>
      </c>
      <c r="AJ5017">
        <v>7.7</v>
      </c>
      <c r="AK5017">
        <v>16.85</v>
      </c>
      <c r="AL5017">
        <v>1</v>
      </c>
      <c r="AM5017">
        <v>0.52</v>
      </c>
      <c r="AN5017">
        <v>-9.88</v>
      </c>
      <c r="AO5017">
        <v>-2.44</v>
      </c>
      <c r="AP5017">
        <v>-9.88</v>
      </c>
    </row>
    <row r="5018" spans="1:42">
      <c r="A5018">
        <v>5017</v>
      </c>
      <c r="B5018" t="str">
        <f>"000720"</f>
        <v>000720</v>
      </c>
      <c r="C5018" t="s">
        <v>22548</v>
      </c>
      <c r="D5018">
        <v>4.43</v>
      </c>
      <c r="E5018">
        <v>-0.67</v>
      </c>
      <c r="F5018">
        <v>-0.03</v>
      </c>
      <c r="G5018" t="s">
        <v>5693</v>
      </c>
      <c r="H5018">
        <v>271</v>
      </c>
      <c r="I5018">
        <v>4.42</v>
      </c>
      <c r="J5018">
        <v>4.43</v>
      </c>
      <c r="K5018" t="s">
        <v>22549</v>
      </c>
      <c r="L5018">
        <v>0.28</v>
      </c>
      <c r="M5018" t="s">
        <v>46</v>
      </c>
      <c r="N5018" t="s">
        <v>1190</v>
      </c>
      <c r="O5018">
        <v>4.51</v>
      </c>
      <c r="P5018">
        <v>4.41</v>
      </c>
      <c r="Q5018">
        <v>4.46</v>
      </c>
      <c r="R5018">
        <v>4.46</v>
      </c>
      <c r="S5018">
        <v>2.24</v>
      </c>
      <c r="T5018">
        <v>0.79</v>
      </c>
      <c r="U5018">
        <v>10.87</v>
      </c>
      <c r="V5018">
        <v>548</v>
      </c>
      <c r="W5018">
        <v>4.44</v>
      </c>
      <c r="X5018" t="s">
        <v>2976</v>
      </c>
      <c r="Y5018" t="s">
        <v>7178</v>
      </c>
      <c r="Z5018">
        <v>1.31</v>
      </c>
      <c r="AA5018">
        <v>1214</v>
      </c>
      <c r="AB5018">
        <v>221</v>
      </c>
      <c r="AC5018">
        <v>2.22</v>
      </c>
      <c r="AD5018" t="s">
        <v>13977</v>
      </c>
      <c r="AE5018" t="s">
        <v>6304</v>
      </c>
      <c r="AF5018" t="s">
        <v>13977</v>
      </c>
      <c r="AG5018" t="s">
        <v>6304</v>
      </c>
      <c r="AH5018">
        <v>-1.77</v>
      </c>
      <c r="AI5018">
        <v>-0.67</v>
      </c>
      <c r="AJ5018">
        <v>0.83</v>
      </c>
      <c r="AK5018">
        <v>2.09</v>
      </c>
      <c r="AL5018">
        <v>-1</v>
      </c>
      <c r="AM5018">
        <v>-0.67</v>
      </c>
      <c r="AN5018">
        <v>-12.8</v>
      </c>
      <c r="AO5018">
        <v>1.61</v>
      </c>
      <c r="AP5018">
        <v>-10.51</v>
      </c>
    </row>
    <row r="5019" spans="1:42">
      <c r="A5019">
        <v>5018</v>
      </c>
      <c r="B5019" t="str">
        <f>"300673"</f>
        <v>300673</v>
      </c>
      <c r="C5019" t="s">
        <v>22550</v>
      </c>
      <c r="D5019">
        <v>13.36</v>
      </c>
      <c r="E5019">
        <v>-0.67</v>
      </c>
      <c r="F5019">
        <v>-0.09</v>
      </c>
      <c r="G5019" t="s">
        <v>1083</v>
      </c>
      <c r="H5019">
        <v>41</v>
      </c>
      <c r="I5019">
        <v>13.36</v>
      </c>
      <c r="J5019">
        <v>13.37</v>
      </c>
      <c r="K5019" t="s">
        <v>22551</v>
      </c>
      <c r="L5019">
        <v>0.72</v>
      </c>
      <c r="M5019" t="s">
        <v>46</v>
      </c>
      <c r="N5019" t="s">
        <v>10890</v>
      </c>
      <c r="O5019">
        <v>13.59</v>
      </c>
      <c r="P5019">
        <v>13.32</v>
      </c>
      <c r="Q5019">
        <v>13.45</v>
      </c>
      <c r="R5019">
        <v>13.45</v>
      </c>
      <c r="S5019">
        <v>2.01</v>
      </c>
      <c r="T5019">
        <v>0.83</v>
      </c>
      <c r="U5019">
        <v>51.19</v>
      </c>
      <c r="V5019">
        <v>273</v>
      </c>
      <c r="W5019">
        <v>13.43</v>
      </c>
      <c r="X5019">
        <v>6171</v>
      </c>
      <c r="Y5019">
        <v>5595</v>
      </c>
      <c r="Z5019">
        <v>1.1</v>
      </c>
      <c r="AA5019">
        <v>81</v>
      </c>
      <c r="AB5019">
        <v>7</v>
      </c>
      <c r="AC5019">
        <v>1.95</v>
      </c>
      <c r="AD5019" t="s">
        <v>22552</v>
      </c>
      <c r="AE5019" t="s">
        <v>22553</v>
      </c>
      <c r="AF5019" t="s">
        <v>22554</v>
      </c>
      <c r="AG5019" t="s">
        <v>5470</v>
      </c>
      <c r="AH5019">
        <v>-1.33</v>
      </c>
      <c r="AI5019">
        <v>-2.05</v>
      </c>
      <c r="AJ5019">
        <v>2.37</v>
      </c>
      <c r="AK5019">
        <v>5.05</v>
      </c>
      <c r="AL5019">
        <v>-1</v>
      </c>
      <c r="AM5019">
        <v>-0.67</v>
      </c>
      <c r="AN5019">
        <v>-24.31</v>
      </c>
      <c r="AO5019">
        <v>0.68</v>
      </c>
      <c r="AP5019">
        <v>-24.69</v>
      </c>
    </row>
    <row r="5020" spans="1:42">
      <c r="A5020">
        <v>5019</v>
      </c>
      <c r="B5020" t="str">
        <f>"603060"</f>
        <v>603060</v>
      </c>
      <c r="C5020" t="s">
        <v>22555</v>
      </c>
      <c r="D5020">
        <v>9.17</v>
      </c>
      <c r="E5020">
        <v>-0.22</v>
      </c>
      <c r="F5020">
        <v>-0.02</v>
      </c>
      <c r="G5020" t="s">
        <v>1456</v>
      </c>
      <c r="H5020">
        <v>81</v>
      </c>
      <c r="I5020">
        <v>9.17</v>
      </c>
      <c r="J5020">
        <v>9.19</v>
      </c>
      <c r="K5020" t="s">
        <v>22551</v>
      </c>
      <c r="L5020">
        <v>0.21</v>
      </c>
      <c r="M5020" t="s">
        <v>46</v>
      </c>
      <c r="N5020" t="s">
        <v>3024</v>
      </c>
      <c r="O5020">
        <v>9.24</v>
      </c>
      <c r="P5020">
        <v>9.1</v>
      </c>
      <c r="Q5020">
        <v>9.22</v>
      </c>
      <c r="R5020">
        <v>9.19</v>
      </c>
      <c r="S5020">
        <v>1.52</v>
      </c>
      <c r="T5020">
        <v>0.66</v>
      </c>
      <c r="U5020">
        <v>-17.22</v>
      </c>
      <c r="V5020">
        <v>-434</v>
      </c>
      <c r="W5020">
        <v>9.16</v>
      </c>
      <c r="X5020">
        <v>9752</v>
      </c>
      <c r="Y5020">
        <v>7496</v>
      </c>
      <c r="Z5020">
        <v>1.3</v>
      </c>
      <c r="AA5020">
        <v>84</v>
      </c>
      <c r="AB5020">
        <v>241</v>
      </c>
      <c r="AC5020">
        <v>4.22</v>
      </c>
      <c r="AD5020" t="s">
        <v>22556</v>
      </c>
      <c r="AE5020" t="s">
        <v>7744</v>
      </c>
      <c r="AF5020" t="s">
        <v>22556</v>
      </c>
      <c r="AG5020" t="s">
        <v>7744</v>
      </c>
      <c r="AH5020">
        <v>-3.07</v>
      </c>
      <c r="AI5020">
        <v>-2.96</v>
      </c>
      <c r="AJ5020">
        <v>0.94</v>
      </c>
      <c r="AK5020">
        <v>1.84</v>
      </c>
      <c r="AL5020">
        <v>-3</v>
      </c>
      <c r="AM5020">
        <v>-0.22</v>
      </c>
      <c r="AN5020">
        <v>-21.08</v>
      </c>
      <c r="AO5020">
        <v>-5.07</v>
      </c>
      <c r="AP5020">
        <v>-5.27</v>
      </c>
    </row>
    <row r="5021" spans="1:42">
      <c r="A5021">
        <v>5020</v>
      </c>
      <c r="B5021" t="str">
        <f>"301196"</f>
        <v>301196</v>
      </c>
      <c r="C5021" t="s">
        <v>22557</v>
      </c>
      <c r="D5021">
        <v>35.06</v>
      </c>
      <c r="E5021">
        <v>-0.17</v>
      </c>
      <c r="F5021">
        <v>-0.06</v>
      </c>
      <c r="G5021">
        <v>4493</v>
      </c>
      <c r="H5021">
        <v>3</v>
      </c>
      <c r="I5021">
        <v>34.98</v>
      </c>
      <c r="J5021">
        <v>35.06</v>
      </c>
      <c r="K5021" t="s">
        <v>22558</v>
      </c>
      <c r="L5021">
        <v>1.18</v>
      </c>
      <c r="M5021" t="s">
        <v>46</v>
      </c>
      <c r="N5021" t="s">
        <v>22559</v>
      </c>
      <c r="O5021">
        <v>35.31</v>
      </c>
      <c r="P5021">
        <v>34.73</v>
      </c>
      <c r="Q5021">
        <v>35.02</v>
      </c>
      <c r="R5021">
        <v>35.12</v>
      </c>
      <c r="S5021">
        <v>1.65</v>
      </c>
      <c r="T5021">
        <v>0.85</v>
      </c>
      <c r="U5021">
        <v>-1.28</v>
      </c>
      <c r="V5021">
        <v>-2</v>
      </c>
      <c r="W5021">
        <v>35.02</v>
      </c>
      <c r="X5021">
        <v>2481</v>
      </c>
      <c r="Y5021">
        <v>2012</v>
      </c>
      <c r="Z5021">
        <v>1.23</v>
      </c>
      <c r="AA5021">
        <v>10</v>
      </c>
      <c r="AB5021">
        <v>31</v>
      </c>
      <c r="AC5021">
        <v>1.45</v>
      </c>
      <c r="AD5021" t="s">
        <v>4377</v>
      </c>
      <c r="AE5021" t="s">
        <v>22560</v>
      </c>
      <c r="AF5021" t="s">
        <v>18053</v>
      </c>
      <c r="AG5021" t="s">
        <v>18534</v>
      </c>
      <c r="AH5021">
        <v>-1.52</v>
      </c>
      <c r="AI5021">
        <v>-0.82</v>
      </c>
      <c r="AJ5021">
        <v>3.7</v>
      </c>
      <c r="AK5021">
        <v>8.16</v>
      </c>
      <c r="AL5021">
        <v>-3</v>
      </c>
      <c r="AM5021">
        <v>-0.17</v>
      </c>
      <c r="AN5021">
        <v>6.63</v>
      </c>
      <c r="AO5021">
        <v>1.89</v>
      </c>
      <c r="AP5021">
        <v>-2.45</v>
      </c>
    </row>
    <row r="5022" spans="1:42">
      <c r="A5022">
        <v>5021</v>
      </c>
      <c r="B5022" t="str">
        <f>"301163"</f>
        <v>301163</v>
      </c>
      <c r="C5022" t="s">
        <v>22561</v>
      </c>
      <c r="D5022">
        <v>27.97</v>
      </c>
      <c r="E5022">
        <v>-0.89</v>
      </c>
      <c r="F5022">
        <v>-0.25</v>
      </c>
      <c r="G5022">
        <v>5604</v>
      </c>
      <c r="H5022">
        <v>80</v>
      </c>
      <c r="I5022">
        <v>27.97</v>
      </c>
      <c r="J5022">
        <v>28</v>
      </c>
      <c r="K5022" t="s">
        <v>22558</v>
      </c>
      <c r="L5022">
        <v>2.09</v>
      </c>
      <c r="M5022" t="s">
        <v>46</v>
      </c>
      <c r="N5022" t="s">
        <v>2538</v>
      </c>
      <c r="O5022">
        <v>28.38</v>
      </c>
      <c r="P5022">
        <v>27.86</v>
      </c>
      <c r="Q5022">
        <v>28.2</v>
      </c>
      <c r="R5022">
        <v>28.22</v>
      </c>
      <c r="S5022">
        <v>1.84</v>
      </c>
      <c r="T5022">
        <v>0.92</v>
      </c>
      <c r="U5022">
        <v>20.35</v>
      </c>
      <c r="V5022">
        <v>70</v>
      </c>
      <c r="W5022">
        <v>28.07</v>
      </c>
      <c r="X5022">
        <v>2986</v>
      </c>
      <c r="Y5022">
        <v>2618</v>
      </c>
      <c r="Z5022">
        <v>1.14</v>
      </c>
      <c r="AA5022">
        <v>5</v>
      </c>
      <c r="AB5022">
        <v>87</v>
      </c>
      <c r="AC5022">
        <v>2.07</v>
      </c>
      <c r="AD5022" t="s">
        <v>21727</v>
      </c>
      <c r="AE5022" t="s">
        <v>7124</v>
      </c>
      <c r="AF5022" t="s">
        <v>22562</v>
      </c>
      <c r="AG5022" t="s">
        <v>22563</v>
      </c>
      <c r="AH5022">
        <v>-2.92</v>
      </c>
      <c r="AI5022">
        <v>-2.31</v>
      </c>
      <c r="AJ5022">
        <v>6.34</v>
      </c>
      <c r="AK5022">
        <v>13.49</v>
      </c>
      <c r="AL5022">
        <v>-3</v>
      </c>
      <c r="AM5022">
        <v>-0.89</v>
      </c>
      <c r="AN5022">
        <v>7.41</v>
      </c>
      <c r="AO5022">
        <v>-0.46</v>
      </c>
      <c r="AP5022">
        <v>-4.41</v>
      </c>
    </row>
    <row r="5023" spans="1:42">
      <c r="A5023">
        <v>5022</v>
      </c>
      <c r="B5023" t="str">
        <f>"688125"</f>
        <v>688125</v>
      </c>
      <c r="C5023" t="s">
        <v>22564</v>
      </c>
      <c r="D5023">
        <v>39.1</v>
      </c>
      <c r="E5023">
        <v>-0.05</v>
      </c>
      <c r="F5023">
        <v>-0.02</v>
      </c>
      <c r="G5023">
        <v>4037</v>
      </c>
      <c r="H5023">
        <v>16</v>
      </c>
      <c r="I5023">
        <v>39.1</v>
      </c>
      <c r="J5023">
        <v>39.12</v>
      </c>
      <c r="K5023" t="s">
        <v>22558</v>
      </c>
      <c r="L5023">
        <v>1.97</v>
      </c>
      <c r="M5023" t="s">
        <v>46</v>
      </c>
      <c r="N5023" t="s">
        <v>4416</v>
      </c>
      <c r="O5023">
        <v>39.47</v>
      </c>
      <c r="P5023">
        <v>38.56</v>
      </c>
      <c r="Q5023">
        <v>39.15</v>
      </c>
      <c r="R5023">
        <v>39.12</v>
      </c>
      <c r="S5023">
        <v>2.33</v>
      </c>
      <c r="T5023">
        <v>0.6</v>
      </c>
      <c r="U5023">
        <v>38.15</v>
      </c>
      <c r="V5023">
        <v>64</v>
      </c>
      <c r="W5023">
        <v>38.95</v>
      </c>
      <c r="X5023">
        <v>1994</v>
      </c>
      <c r="Y5023">
        <v>2043</v>
      </c>
      <c r="Z5023">
        <v>0.98</v>
      </c>
      <c r="AA5023">
        <v>33</v>
      </c>
      <c r="AB5023">
        <v>1</v>
      </c>
      <c r="AC5023">
        <v>1.66</v>
      </c>
      <c r="AD5023" t="s">
        <v>22565</v>
      </c>
      <c r="AE5023" t="s">
        <v>22566</v>
      </c>
      <c r="AF5023" t="s">
        <v>22567</v>
      </c>
      <c r="AG5023" t="s">
        <v>18087</v>
      </c>
      <c r="AH5023">
        <v>-1.49</v>
      </c>
      <c r="AI5023">
        <v>-2.52</v>
      </c>
      <c r="AJ5023">
        <v>11.04</v>
      </c>
      <c r="AK5023">
        <v>18.53</v>
      </c>
      <c r="AL5023">
        <v>-2</v>
      </c>
      <c r="AM5023">
        <v>-0.05</v>
      </c>
      <c r="AN5023">
        <v>-8.17</v>
      </c>
      <c r="AO5023">
        <v>4.71</v>
      </c>
      <c r="AP5023">
        <v>-25.17</v>
      </c>
    </row>
    <row r="5024" spans="1:42">
      <c r="A5024">
        <v>5023</v>
      </c>
      <c r="B5024" t="str">
        <f>"301353"</f>
        <v>301353</v>
      </c>
      <c r="C5024" t="s">
        <v>22568</v>
      </c>
      <c r="D5024">
        <v>33.81</v>
      </c>
      <c r="E5024">
        <v>0.12</v>
      </c>
      <c r="F5024">
        <v>0.04</v>
      </c>
      <c r="G5024">
        <v>4652</v>
      </c>
      <c r="H5024">
        <v>117</v>
      </c>
      <c r="I5024">
        <v>33.81</v>
      </c>
      <c r="J5024">
        <v>33.91</v>
      </c>
      <c r="K5024" t="s">
        <v>22569</v>
      </c>
      <c r="L5024">
        <v>2.45</v>
      </c>
      <c r="M5024" t="s">
        <v>46</v>
      </c>
      <c r="N5024" t="s">
        <v>2692</v>
      </c>
      <c r="O5024">
        <v>34</v>
      </c>
      <c r="P5024">
        <v>33.5</v>
      </c>
      <c r="Q5024">
        <v>33.78</v>
      </c>
      <c r="R5024">
        <v>33.77</v>
      </c>
      <c r="S5024">
        <v>1.48</v>
      </c>
      <c r="T5024">
        <v>0.67</v>
      </c>
      <c r="U5024">
        <v>46.99</v>
      </c>
      <c r="V5024">
        <v>78</v>
      </c>
      <c r="W5024">
        <v>33.74</v>
      </c>
      <c r="X5024">
        <v>2747</v>
      </c>
      <c r="Y5024">
        <v>1905</v>
      </c>
      <c r="Z5024">
        <v>1.44</v>
      </c>
      <c r="AA5024">
        <v>12</v>
      </c>
      <c r="AB5024">
        <v>7</v>
      </c>
      <c r="AC5024">
        <v>2.05</v>
      </c>
      <c r="AD5024" t="s">
        <v>12800</v>
      </c>
      <c r="AE5024" t="s">
        <v>4875</v>
      </c>
      <c r="AF5024" t="s">
        <v>22570</v>
      </c>
      <c r="AG5024" t="s">
        <v>19575</v>
      </c>
      <c r="AH5024">
        <v>-2.54</v>
      </c>
      <c r="AI5024">
        <v>-3.18</v>
      </c>
      <c r="AJ5024">
        <v>9.11</v>
      </c>
      <c r="AK5024">
        <v>20.84</v>
      </c>
      <c r="AL5024">
        <v>1</v>
      </c>
      <c r="AM5024">
        <v>0.12</v>
      </c>
      <c r="AN5024">
        <v>-4.03</v>
      </c>
      <c r="AO5024">
        <v>0.42</v>
      </c>
      <c r="AP5024">
        <v>-4.03</v>
      </c>
    </row>
    <row r="5025" spans="1:42">
      <c r="A5025">
        <v>5024</v>
      </c>
      <c r="B5025" t="str">
        <f>"603665"</f>
        <v>603665</v>
      </c>
      <c r="C5025" t="s">
        <v>22571</v>
      </c>
      <c r="D5025">
        <v>24.1</v>
      </c>
      <c r="E5025">
        <v>2.12</v>
      </c>
      <c r="F5025">
        <v>0.5</v>
      </c>
      <c r="G5025">
        <v>6567</v>
      </c>
      <c r="H5025">
        <v>252</v>
      </c>
      <c r="I5025">
        <v>23.92</v>
      </c>
      <c r="J5025">
        <v>24.1</v>
      </c>
      <c r="K5025" t="s">
        <v>22572</v>
      </c>
      <c r="L5025">
        <v>0.41</v>
      </c>
      <c r="M5025" t="s">
        <v>46</v>
      </c>
      <c r="N5025" t="s">
        <v>3538</v>
      </c>
      <c r="O5025">
        <v>24.26</v>
      </c>
      <c r="P5025">
        <v>23.35</v>
      </c>
      <c r="Q5025">
        <v>23.6</v>
      </c>
      <c r="R5025">
        <v>23.6</v>
      </c>
      <c r="S5025">
        <v>3.86</v>
      </c>
      <c r="T5025">
        <v>1.09</v>
      </c>
      <c r="U5025">
        <v>-13.97</v>
      </c>
      <c r="V5025">
        <v>-25</v>
      </c>
      <c r="W5025">
        <v>23.86</v>
      </c>
      <c r="X5025">
        <v>2464</v>
      </c>
      <c r="Y5025">
        <v>4103</v>
      </c>
      <c r="Z5025">
        <v>0.6</v>
      </c>
      <c r="AA5025">
        <v>7</v>
      </c>
      <c r="AB5025">
        <v>24</v>
      </c>
      <c r="AC5025">
        <v>2.92</v>
      </c>
      <c r="AD5025" t="s">
        <v>19710</v>
      </c>
      <c r="AE5025" t="s">
        <v>15846</v>
      </c>
      <c r="AF5025" t="s">
        <v>22446</v>
      </c>
      <c r="AG5025" t="s">
        <v>8907</v>
      </c>
      <c r="AH5025">
        <v>0.42</v>
      </c>
      <c r="AI5025">
        <v>-1.07</v>
      </c>
      <c r="AJ5025">
        <v>1.13</v>
      </c>
      <c r="AK5025">
        <v>2.29</v>
      </c>
      <c r="AL5025">
        <v>1</v>
      </c>
      <c r="AM5025">
        <v>2.12</v>
      </c>
      <c r="AN5025">
        <v>-33.66</v>
      </c>
      <c r="AO5025">
        <v>-6.59</v>
      </c>
      <c r="AP5025">
        <v>-35.39</v>
      </c>
    </row>
    <row r="5026" spans="1:42">
      <c r="A5026">
        <v>5025</v>
      </c>
      <c r="B5026" t="str">
        <f>"000545"</f>
        <v>000545</v>
      </c>
      <c r="C5026" t="s">
        <v>22573</v>
      </c>
      <c r="D5026">
        <v>3.1</v>
      </c>
      <c r="E5026">
        <v>0.32</v>
      </c>
      <c r="F5026">
        <v>0.01</v>
      </c>
      <c r="G5026" t="s">
        <v>1708</v>
      </c>
      <c r="H5026">
        <v>749</v>
      </c>
      <c r="I5026">
        <v>3.09</v>
      </c>
      <c r="J5026">
        <v>3.1</v>
      </c>
      <c r="K5026" t="s">
        <v>22574</v>
      </c>
      <c r="L5026">
        <v>0.51</v>
      </c>
      <c r="M5026" t="s">
        <v>46</v>
      </c>
      <c r="N5026" t="s">
        <v>1557</v>
      </c>
      <c r="O5026">
        <v>3.11</v>
      </c>
      <c r="P5026">
        <v>3.06</v>
      </c>
      <c r="Q5026">
        <v>3.09</v>
      </c>
      <c r="R5026">
        <v>3.09</v>
      </c>
      <c r="S5026">
        <v>1.62</v>
      </c>
      <c r="T5026">
        <v>0.67</v>
      </c>
      <c r="U5026">
        <v>34.41</v>
      </c>
      <c r="V5026">
        <v>5270</v>
      </c>
      <c r="W5026">
        <v>3.09</v>
      </c>
      <c r="X5026" t="s">
        <v>4257</v>
      </c>
      <c r="Y5026" t="s">
        <v>3110</v>
      </c>
      <c r="Z5026">
        <v>1.02</v>
      </c>
      <c r="AA5026">
        <v>288</v>
      </c>
      <c r="AB5026">
        <v>2074</v>
      </c>
      <c r="AC5026">
        <v>2.13</v>
      </c>
      <c r="AD5026" t="s">
        <v>22575</v>
      </c>
      <c r="AE5026" t="s">
        <v>22576</v>
      </c>
      <c r="AF5026" t="s">
        <v>16541</v>
      </c>
      <c r="AG5026" t="s">
        <v>3646</v>
      </c>
      <c r="AH5026">
        <v>-2.82</v>
      </c>
      <c r="AI5026">
        <v>-0.96</v>
      </c>
      <c r="AJ5026">
        <v>1.93</v>
      </c>
      <c r="AK5026">
        <v>4.35</v>
      </c>
      <c r="AL5026">
        <v>1</v>
      </c>
      <c r="AM5026">
        <v>0.32</v>
      </c>
      <c r="AN5026">
        <v>-11.68</v>
      </c>
      <c r="AO5026">
        <v>-1.27</v>
      </c>
      <c r="AP5026">
        <v>-20.51</v>
      </c>
    </row>
    <row r="5027" spans="1:42">
      <c r="A5027">
        <v>5026</v>
      </c>
      <c r="B5027" t="str">
        <f>"603789"</f>
        <v>603789</v>
      </c>
      <c r="C5027" t="s">
        <v>22577</v>
      </c>
      <c r="D5027">
        <v>8.87</v>
      </c>
      <c r="E5027">
        <v>0.23</v>
      </c>
      <c r="F5027">
        <v>0.02</v>
      </c>
      <c r="G5027" t="s">
        <v>1177</v>
      </c>
      <c r="H5027">
        <v>163</v>
      </c>
      <c r="I5027">
        <v>8.86</v>
      </c>
      <c r="J5027">
        <v>8.87</v>
      </c>
      <c r="K5027" t="s">
        <v>22578</v>
      </c>
      <c r="L5027">
        <v>0.68</v>
      </c>
      <c r="M5027" t="s">
        <v>46</v>
      </c>
      <c r="N5027" t="s">
        <v>7588</v>
      </c>
      <c r="O5027">
        <v>8.92</v>
      </c>
      <c r="P5027">
        <v>8.77</v>
      </c>
      <c r="Q5027">
        <v>8.87</v>
      </c>
      <c r="R5027">
        <v>8.85</v>
      </c>
      <c r="S5027">
        <v>1.69</v>
      </c>
      <c r="T5027">
        <v>0.84</v>
      </c>
      <c r="U5027">
        <v>-10.44</v>
      </c>
      <c r="V5027">
        <v>-153</v>
      </c>
      <c r="W5027">
        <v>8.84</v>
      </c>
      <c r="X5027">
        <v>8368</v>
      </c>
      <c r="Y5027">
        <v>9220</v>
      </c>
      <c r="Z5027">
        <v>0.91</v>
      </c>
      <c r="AA5027">
        <v>350</v>
      </c>
      <c r="AB5027">
        <v>122</v>
      </c>
      <c r="AC5027">
        <v>5.34</v>
      </c>
      <c r="AD5027" t="s">
        <v>22579</v>
      </c>
      <c r="AE5027" t="s">
        <v>7257</v>
      </c>
      <c r="AF5027" t="s">
        <v>18306</v>
      </c>
      <c r="AG5027" t="s">
        <v>16777</v>
      </c>
      <c r="AH5027">
        <v>-1.77</v>
      </c>
      <c r="AI5027">
        <v>-0.67</v>
      </c>
      <c r="AJ5027">
        <v>2.32</v>
      </c>
      <c r="AK5027">
        <v>4.69</v>
      </c>
      <c r="AL5027">
        <v>1</v>
      </c>
      <c r="AM5027">
        <v>0.23</v>
      </c>
      <c r="AN5027">
        <v>3.14</v>
      </c>
      <c r="AO5027">
        <v>2.66</v>
      </c>
      <c r="AP5027">
        <v>-4.93</v>
      </c>
    </row>
    <row r="5028" spans="1:42">
      <c r="A5028">
        <v>5027</v>
      </c>
      <c r="B5028" t="str">
        <f>"300864"</f>
        <v>300864</v>
      </c>
      <c r="C5028" t="s">
        <v>22580</v>
      </c>
      <c r="D5028">
        <v>23.13</v>
      </c>
      <c r="E5028">
        <v>0.22</v>
      </c>
      <c r="F5028">
        <v>0.05</v>
      </c>
      <c r="G5028">
        <v>6748</v>
      </c>
      <c r="H5028">
        <v>57</v>
      </c>
      <c r="I5028">
        <v>23.12</v>
      </c>
      <c r="J5028">
        <v>23.13</v>
      </c>
      <c r="K5028" t="s">
        <v>22581</v>
      </c>
      <c r="L5028">
        <v>0.44</v>
      </c>
      <c r="M5028" t="s">
        <v>46</v>
      </c>
      <c r="N5028" t="s">
        <v>10917</v>
      </c>
      <c r="O5028">
        <v>23.15</v>
      </c>
      <c r="P5028">
        <v>22.84</v>
      </c>
      <c r="Q5028">
        <v>23.02</v>
      </c>
      <c r="R5028">
        <v>23.08</v>
      </c>
      <c r="S5028">
        <v>1.34</v>
      </c>
      <c r="T5028">
        <v>0.66</v>
      </c>
      <c r="U5028">
        <v>-40.37</v>
      </c>
      <c r="V5028">
        <v>-65</v>
      </c>
      <c r="W5028">
        <v>23</v>
      </c>
      <c r="X5028">
        <v>3331</v>
      </c>
      <c r="Y5028">
        <v>3417</v>
      </c>
      <c r="Z5028">
        <v>0.97</v>
      </c>
      <c r="AA5028">
        <v>3</v>
      </c>
      <c r="AB5028">
        <v>24</v>
      </c>
      <c r="AC5028">
        <v>2.98</v>
      </c>
      <c r="AD5028" t="s">
        <v>10899</v>
      </c>
      <c r="AE5028" t="s">
        <v>22582</v>
      </c>
      <c r="AF5028" t="s">
        <v>10899</v>
      </c>
      <c r="AG5028" t="s">
        <v>22582</v>
      </c>
      <c r="AH5028">
        <v>-0.13</v>
      </c>
      <c r="AI5028">
        <v>-3.14</v>
      </c>
      <c r="AJ5028">
        <v>1.49</v>
      </c>
      <c r="AK5028">
        <v>3.74</v>
      </c>
      <c r="AL5028">
        <v>2</v>
      </c>
      <c r="AM5028">
        <v>0.22</v>
      </c>
      <c r="AN5028">
        <v>29.22</v>
      </c>
      <c r="AO5028">
        <v>3.03</v>
      </c>
      <c r="AP5028">
        <v>14.17</v>
      </c>
    </row>
    <row r="5029" spans="1:42">
      <c r="A5029">
        <v>5028</v>
      </c>
      <c r="B5029" t="str">
        <f>"603693"</f>
        <v>603693</v>
      </c>
      <c r="C5029" t="s">
        <v>22583</v>
      </c>
      <c r="D5029">
        <v>11.35</v>
      </c>
      <c r="E5029">
        <v>0.27</v>
      </c>
      <c r="F5029">
        <v>0.03</v>
      </c>
      <c r="G5029" t="s">
        <v>3284</v>
      </c>
      <c r="H5029">
        <v>126</v>
      </c>
      <c r="I5029">
        <v>11.35</v>
      </c>
      <c r="J5029">
        <v>11.36</v>
      </c>
      <c r="K5029" t="s">
        <v>22584</v>
      </c>
      <c r="L5029">
        <v>0.17</v>
      </c>
      <c r="M5029" t="s">
        <v>46</v>
      </c>
      <c r="N5029" t="s">
        <v>1592</v>
      </c>
      <c r="O5029">
        <v>11.4</v>
      </c>
      <c r="P5029">
        <v>11.28</v>
      </c>
      <c r="Q5029">
        <v>11.28</v>
      </c>
      <c r="R5029">
        <v>11.32</v>
      </c>
      <c r="S5029">
        <v>1.06</v>
      </c>
      <c r="T5029">
        <v>0.8</v>
      </c>
      <c r="U5029">
        <v>-4.73</v>
      </c>
      <c r="V5029">
        <v>-114</v>
      </c>
      <c r="W5029">
        <v>11.35</v>
      </c>
      <c r="X5029">
        <v>6854</v>
      </c>
      <c r="Y5029">
        <v>6802</v>
      </c>
      <c r="Z5029">
        <v>1.01</v>
      </c>
      <c r="AA5029">
        <v>96</v>
      </c>
      <c r="AB5029">
        <v>302</v>
      </c>
      <c r="AC5029">
        <v>1.6</v>
      </c>
      <c r="AD5029" t="s">
        <v>22585</v>
      </c>
      <c r="AE5029" t="s">
        <v>17876</v>
      </c>
      <c r="AF5029" t="s">
        <v>22586</v>
      </c>
      <c r="AG5029" t="s">
        <v>22587</v>
      </c>
      <c r="AH5029">
        <v>-0.79</v>
      </c>
      <c r="AI5029">
        <v>-1.22</v>
      </c>
      <c r="AJ5029">
        <v>0.55</v>
      </c>
      <c r="AK5029">
        <v>1.24</v>
      </c>
      <c r="AL5029">
        <v>1</v>
      </c>
      <c r="AM5029">
        <v>0.27</v>
      </c>
      <c r="AN5029">
        <v>-11.19</v>
      </c>
      <c r="AO5029">
        <v>-1.22</v>
      </c>
      <c r="AP5029">
        <v>-12.02</v>
      </c>
    </row>
    <row r="5030" spans="1:42">
      <c r="A5030">
        <v>5029</v>
      </c>
      <c r="B5030" t="str">
        <f>"605189"</f>
        <v>605189</v>
      </c>
      <c r="C5030" t="s">
        <v>22588</v>
      </c>
      <c r="D5030">
        <v>16.84</v>
      </c>
      <c r="E5030">
        <v>1.2</v>
      </c>
      <c r="F5030">
        <v>0.2</v>
      </c>
      <c r="G5030">
        <v>9200</v>
      </c>
      <c r="H5030">
        <v>32</v>
      </c>
      <c r="I5030">
        <v>16.84</v>
      </c>
      <c r="J5030">
        <v>16.85</v>
      </c>
      <c r="K5030" t="s">
        <v>22589</v>
      </c>
      <c r="L5030">
        <v>1.84</v>
      </c>
      <c r="M5030" t="s">
        <v>46</v>
      </c>
      <c r="N5030" t="s">
        <v>2488</v>
      </c>
      <c r="O5030">
        <v>16.98</v>
      </c>
      <c r="P5030">
        <v>16.58</v>
      </c>
      <c r="Q5030">
        <v>16.68</v>
      </c>
      <c r="R5030">
        <v>16.64</v>
      </c>
      <c r="S5030">
        <v>2.4</v>
      </c>
      <c r="T5030">
        <v>1.22</v>
      </c>
      <c r="U5030">
        <v>56.77</v>
      </c>
      <c r="V5030">
        <v>179</v>
      </c>
      <c r="W5030">
        <v>16.79</v>
      </c>
      <c r="X5030">
        <v>4485</v>
      </c>
      <c r="Y5030">
        <v>4716</v>
      </c>
      <c r="Z5030">
        <v>0.95</v>
      </c>
      <c r="AA5030">
        <v>19</v>
      </c>
      <c r="AB5030">
        <v>44</v>
      </c>
      <c r="AC5030">
        <v>1.51</v>
      </c>
      <c r="AD5030" t="s">
        <v>22590</v>
      </c>
      <c r="AE5030" t="s">
        <v>18698</v>
      </c>
      <c r="AF5030" t="s">
        <v>22591</v>
      </c>
      <c r="AG5030" t="s">
        <v>22592</v>
      </c>
      <c r="AH5030">
        <v>0.6</v>
      </c>
      <c r="AI5030">
        <v>0.6</v>
      </c>
      <c r="AJ5030">
        <v>4.4</v>
      </c>
      <c r="AK5030">
        <v>9.41</v>
      </c>
      <c r="AL5030">
        <v>1</v>
      </c>
      <c r="AM5030">
        <v>1.2</v>
      </c>
      <c r="AN5030">
        <v>11.01</v>
      </c>
      <c r="AO5030">
        <v>5.18</v>
      </c>
      <c r="AP5030">
        <v>7.33</v>
      </c>
    </row>
    <row r="5031" spans="1:42">
      <c r="A5031">
        <v>5030</v>
      </c>
      <c r="B5031" t="str">
        <f>"300813"</f>
        <v>300813</v>
      </c>
      <c r="C5031" t="s">
        <v>22593</v>
      </c>
      <c r="D5031">
        <v>26.45</v>
      </c>
      <c r="E5031">
        <v>-0.19</v>
      </c>
      <c r="F5031">
        <v>-0.05</v>
      </c>
      <c r="G5031">
        <v>5840</v>
      </c>
      <c r="H5031">
        <v>59</v>
      </c>
      <c r="I5031">
        <v>26.42</v>
      </c>
      <c r="J5031">
        <v>26.45</v>
      </c>
      <c r="K5031" t="s">
        <v>22594</v>
      </c>
      <c r="L5031">
        <v>0.99</v>
      </c>
      <c r="M5031" t="s">
        <v>46</v>
      </c>
      <c r="N5031" t="s">
        <v>6815</v>
      </c>
      <c r="O5031">
        <v>26.75</v>
      </c>
      <c r="P5031">
        <v>26.15</v>
      </c>
      <c r="Q5031">
        <v>26.42</v>
      </c>
      <c r="R5031">
        <v>26.5</v>
      </c>
      <c r="S5031">
        <v>2.26</v>
      </c>
      <c r="T5031">
        <v>0.53</v>
      </c>
      <c r="U5031">
        <v>3.38</v>
      </c>
      <c r="V5031">
        <v>13</v>
      </c>
      <c r="W5031">
        <v>26.35</v>
      </c>
      <c r="X5031">
        <v>2937</v>
      </c>
      <c r="Y5031">
        <v>2904</v>
      </c>
      <c r="Z5031">
        <v>1.01</v>
      </c>
      <c r="AA5031">
        <v>140</v>
      </c>
      <c r="AB5031">
        <v>5</v>
      </c>
      <c r="AC5031">
        <v>4.84</v>
      </c>
      <c r="AD5031" t="s">
        <v>22595</v>
      </c>
      <c r="AE5031" t="s">
        <v>22596</v>
      </c>
      <c r="AF5031" t="s">
        <v>22597</v>
      </c>
      <c r="AG5031" t="s">
        <v>22598</v>
      </c>
      <c r="AH5031">
        <v>-1.93</v>
      </c>
      <c r="AI5031">
        <v>-1.38</v>
      </c>
      <c r="AJ5031">
        <v>3.61</v>
      </c>
      <c r="AK5031">
        <v>10.34</v>
      </c>
      <c r="AL5031">
        <v>-1</v>
      </c>
      <c r="AM5031">
        <v>-0.19</v>
      </c>
      <c r="AN5031">
        <v>-25.51</v>
      </c>
      <c r="AO5031">
        <v>5.17</v>
      </c>
      <c r="AP5031">
        <v>-44.36</v>
      </c>
    </row>
    <row r="5032" spans="1:42">
      <c r="A5032">
        <v>5031</v>
      </c>
      <c r="B5032" t="str">
        <f>"000565"</f>
        <v>000565</v>
      </c>
      <c r="C5032" t="s">
        <v>22599</v>
      </c>
      <c r="D5032">
        <v>6.14</v>
      </c>
      <c r="E5032">
        <v>0.49</v>
      </c>
      <c r="F5032">
        <v>0.03</v>
      </c>
      <c r="G5032" t="s">
        <v>3110</v>
      </c>
      <c r="H5032">
        <v>150</v>
      </c>
      <c r="I5032">
        <v>6.13</v>
      </c>
      <c r="J5032">
        <v>6.14</v>
      </c>
      <c r="K5032" t="s">
        <v>22600</v>
      </c>
      <c r="L5032">
        <v>0.58</v>
      </c>
      <c r="M5032" t="s">
        <v>46</v>
      </c>
      <c r="N5032" t="s">
        <v>3901</v>
      </c>
      <c r="O5032">
        <v>6.17</v>
      </c>
      <c r="P5032">
        <v>6.08</v>
      </c>
      <c r="Q5032">
        <v>6.11</v>
      </c>
      <c r="R5032">
        <v>6.11</v>
      </c>
      <c r="S5032">
        <v>1.47</v>
      </c>
      <c r="T5032">
        <v>0.71</v>
      </c>
      <c r="U5032">
        <v>2.13</v>
      </c>
      <c r="V5032">
        <v>49</v>
      </c>
      <c r="W5032">
        <v>6.13</v>
      </c>
      <c r="X5032" t="s">
        <v>4959</v>
      </c>
      <c r="Y5032" t="s">
        <v>4525</v>
      </c>
      <c r="Z5032">
        <v>0.82</v>
      </c>
      <c r="AA5032">
        <v>136</v>
      </c>
      <c r="AB5032">
        <v>7</v>
      </c>
      <c r="AC5032">
        <v>2.08</v>
      </c>
      <c r="AD5032" t="s">
        <v>22601</v>
      </c>
      <c r="AE5032" t="s">
        <v>22602</v>
      </c>
      <c r="AF5032" t="s">
        <v>22601</v>
      </c>
      <c r="AG5032" t="s">
        <v>22602</v>
      </c>
      <c r="AH5032">
        <v>-0.97</v>
      </c>
      <c r="AI5032">
        <v>-0.65</v>
      </c>
      <c r="AJ5032">
        <v>1.99</v>
      </c>
      <c r="AK5032">
        <v>4.67</v>
      </c>
      <c r="AL5032">
        <v>1</v>
      </c>
      <c r="AM5032">
        <v>0.49</v>
      </c>
      <c r="AN5032">
        <v>4.78</v>
      </c>
      <c r="AO5032">
        <v>4.07</v>
      </c>
      <c r="AP5032">
        <v>1.32</v>
      </c>
    </row>
    <row r="5033" spans="1:42">
      <c r="A5033">
        <v>5032</v>
      </c>
      <c r="B5033" t="str">
        <f>"300557"</f>
        <v>300557</v>
      </c>
      <c r="C5033" t="s">
        <v>22603</v>
      </c>
      <c r="D5033">
        <v>36.09</v>
      </c>
      <c r="E5033">
        <v>-0.28</v>
      </c>
      <c r="F5033">
        <v>-0.1</v>
      </c>
      <c r="G5033">
        <v>4273</v>
      </c>
      <c r="H5033">
        <v>73</v>
      </c>
      <c r="I5033">
        <v>36.09</v>
      </c>
      <c r="J5033">
        <v>36.1</v>
      </c>
      <c r="K5033" t="s">
        <v>22604</v>
      </c>
      <c r="L5033">
        <v>0.61</v>
      </c>
      <c r="M5033" t="s">
        <v>46</v>
      </c>
      <c r="N5033" t="s">
        <v>1677</v>
      </c>
      <c r="O5033">
        <v>36.4</v>
      </c>
      <c r="P5033">
        <v>35.58</v>
      </c>
      <c r="Q5033">
        <v>36.25</v>
      </c>
      <c r="R5033">
        <v>36.19</v>
      </c>
      <c r="S5033">
        <v>2.27</v>
      </c>
      <c r="T5033">
        <v>0.59</v>
      </c>
      <c r="U5033">
        <v>7.26</v>
      </c>
      <c r="V5033">
        <v>18</v>
      </c>
      <c r="W5033">
        <v>35.96</v>
      </c>
      <c r="X5033">
        <v>2162</v>
      </c>
      <c r="Y5033">
        <v>2111</v>
      </c>
      <c r="Z5033">
        <v>1.02</v>
      </c>
      <c r="AA5033">
        <v>38</v>
      </c>
      <c r="AB5033">
        <v>8</v>
      </c>
      <c r="AC5033">
        <v>2.76</v>
      </c>
      <c r="AD5033" t="s">
        <v>13361</v>
      </c>
      <c r="AE5033" t="s">
        <v>4737</v>
      </c>
      <c r="AF5033" t="s">
        <v>13557</v>
      </c>
      <c r="AG5033" t="s">
        <v>12762</v>
      </c>
      <c r="AH5033">
        <v>-1.66</v>
      </c>
      <c r="AI5033">
        <v>-1.23</v>
      </c>
      <c r="AJ5033">
        <v>2.31</v>
      </c>
      <c r="AK5033">
        <v>5.84</v>
      </c>
      <c r="AL5033">
        <v>-2</v>
      </c>
      <c r="AM5033">
        <v>-0.28</v>
      </c>
      <c r="AN5033">
        <v>14.83</v>
      </c>
      <c r="AO5033">
        <v>1.35</v>
      </c>
      <c r="AP5033">
        <v>16.12</v>
      </c>
    </row>
    <row r="5034" spans="1:42">
      <c r="A5034">
        <v>5033</v>
      </c>
      <c r="B5034" t="str">
        <f>"605399"</f>
        <v>605399</v>
      </c>
      <c r="C5034" t="s">
        <v>22605</v>
      </c>
      <c r="D5034">
        <v>14.01</v>
      </c>
      <c r="E5034">
        <v>0.5</v>
      </c>
      <c r="F5034">
        <v>0.07</v>
      </c>
      <c r="G5034" t="s">
        <v>4443</v>
      </c>
      <c r="H5034">
        <v>56</v>
      </c>
      <c r="I5034">
        <v>14.01</v>
      </c>
      <c r="J5034">
        <v>14.04</v>
      </c>
      <c r="K5034" t="s">
        <v>22606</v>
      </c>
      <c r="L5034">
        <v>0.35</v>
      </c>
      <c r="M5034" t="s">
        <v>46</v>
      </c>
      <c r="N5034" t="s">
        <v>1460</v>
      </c>
      <c r="O5034">
        <v>14.1</v>
      </c>
      <c r="P5034">
        <v>13.82</v>
      </c>
      <c r="Q5034">
        <v>14</v>
      </c>
      <c r="R5034">
        <v>13.94</v>
      </c>
      <c r="S5034">
        <v>2.01</v>
      </c>
      <c r="T5034">
        <v>0.66</v>
      </c>
      <c r="U5034">
        <v>-39.79</v>
      </c>
      <c r="V5034">
        <v>-87</v>
      </c>
      <c r="W5034">
        <v>13.95</v>
      </c>
      <c r="X5034">
        <v>5454</v>
      </c>
      <c r="Y5034">
        <v>5556</v>
      </c>
      <c r="Z5034">
        <v>0.98</v>
      </c>
      <c r="AA5034">
        <v>11</v>
      </c>
      <c r="AB5034">
        <v>26</v>
      </c>
      <c r="AC5034">
        <v>2.01</v>
      </c>
      <c r="AD5034" t="s">
        <v>18058</v>
      </c>
      <c r="AE5034" t="s">
        <v>10175</v>
      </c>
      <c r="AF5034" t="s">
        <v>18577</v>
      </c>
      <c r="AG5034" t="s">
        <v>10001</v>
      </c>
      <c r="AH5034">
        <v>-1.89</v>
      </c>
      <c r="AI5034">
        <v>-4.04</v>
      </c>
      <c r="AJ5034">
        <v>1.27</v>
      </c>
      <c r="AK5034">
        <v>3.04</v>
      </c>
      <c r="AL5034">
        <v>1</v>
      </c>
      <c r="AM5034">
        <v>0.5</v>
      </c>
      <c r="AN5034">
        <v>-42.91</v>
      </c>
      <c r="AO5034">
        <v>-2.64</v>
      </c>
      <c r="AP5034">
        <v>-47.63</v>
      </c>
    </row>
    <row r="5035" spans="1:42">
      <c r="A5035">
        <v>5034</v>
      </c>
      <c r="B5035" t="str">
        <f>"603922"</f>
        <v>603922</v>
      </c>
      <c r="C5035" t="s">
        <v>22607</v>
      </c>
      <c r="D5035">
        <v>26.41</v>
      </c>
      <c r="E5035">
        <v>0.99</v>
      </c>
      <c r="F5035">
        <v>0.26</v>
      </c>
      <c r="G5035">
        <v>5833</v>
      </c>
      <c r="H5035">
        <v>32</v>
      </c>
      <c r="I5035">
        <v>26.37</v>
      </c>
      <c r="J5035">
        <v>26.41</v>
      </c>
      <c r="K5035" t="s">
        <v>22608</v>
      </c>
      <c r="L5035">
        <v>0.46</v>
      </c>
      <c r="M5035" t="s">
        <v>46</v>
      </c>
      <c r="N5035" t="s">
        <v>897</v>
      </c>
      <c r="O5035">
        <v>26.57</v>
      </c>
      <c r="P5035">
        <v>25.91</v>
      </c>
      <c r="Q5035">
        <v>26.48</v>
      </c>
      <c r="R5035">
        <v>26.15</v>
      </c>
      <c r="S5035">
        <v>2.52</v>
      </c>
      <c r="T5035">
        <v>0.58</v>
      </c>
      <c r="U5035">
        <v>-31.66</v>
      </c>
      <c r="V5035">
        <v>-101</v>
      </c>
      <c r="W5035">
        <v>26.3</v>
      </c>
      <c r="X5035">
        <v>3208</v>
      </c>
      <c r="Y5035">
        <v>2625</v>
      </c>
      <c r="Z5035">
        <v>1.22</v>
      </c>
      <c r="AA5035">
        <v>2</v>
      </c>
      <c r="AB5035">
        <v>4</v>
      </c>
      <c r="AC5035">
        <v>3.39</v>
      </c>
      <c r="AD5035" t="s">
        <v>9252</v>
      </c>
      <c r="AE5035" t="s">
        <v>13121</v>
      </c>
      <c r="AF5035" t="s">
        <v>9252</v>
      </c>
      <c r="AG5035" t="s">
        <v>13121</v>
      </c>
      <c r="AH5035">
        <v>-0.26</v>
      </c>
      <c r="AI5035">
        <v>0.42</v>
      </c>
      <c r="AJ5035">
        <v>1.84</v>
      </c>
      <c r="AK5035">
        <v>4.39</v>
      </c>
      <c r="AL5035">
        <v>1</v>
      </c>
      <c r="AM5035">
        <v>0.99</v>
      </c>
      <c r="AN5035">
        <v>24.69</v>
      </c>
      <c r="AO5035">
        <v>4.93</v>
      </c>
      <c r="AP5035">
        <v>-1.23</v>
      </c>
    </row>
    <row r="5036" spans="1:42">
      <c r="A5036">
        <v>5035</v>
      </c>
      <c r="B5036" t="str">
        <f>"000996"</f>
        <v>000996</v>
      </c>
      <c r="C5036" t="s">
        <v>22609</v>
      </c>
      <c r="D5036">
        <v>4.88</v>
      </c>
      <c r="E5036">
        <v>-1.21</v>
      </c>
      <c r="F5036">
        <v>-0.06</v>
      </c>
      <c r="G5036" t="s">
        <v>4733</v>
      </c>
      <c r="H5036">
        <v>884</v>
      </c>
      <c r="I5036">
        <v>4.88</v>
      </c>
      <c r="J5036">
        <v>4.89</v>
      </c>
      <c r="K5036" t="s">
        <v>22610</v>
      </c>
      <c r="L5036">
        <v>0.91</v>
      </c>
      <c r="M5036" t="s">
        <v>46</v>
      </c>
      <c r="N5036" t="s">
        <v>22611</v>
      </c>
      <c r="O5036">
        <v>4.93</v>
      </c>
      <c r="P5036">
        <v>4.83</v>
      </c>
      <c r="Q5036">
        <v>4.93</v>
      </c>
      <c r="R5036">
        <v>4.94</v>
      </c>
      <c r="S5036">
        <v>2.02</v>
      </c>
      <c r="T5036">
        <v>0.92</v>
      </c>
      <c r="U5036">
        <v>70.41</v>
      </c>
      <c r="V5036">
        <v>2422</v>
      </c>
      <c r="W5036">
        <v>4.86</v>
      </c>
      <c r="X5036" t="s">
        <v>8267</v>
      </c>
      <c r="Y5036">
        <v>9300</v>
      </c>
      <c r="Z5036">
        <v>2.39</v>
      </c>
      <c r="AA5036">
        <v>609</v>
      </c>
      <c r="AB5036">
        <v>205</v>
      </c>
      <c r="AC5036">
        <v>3.48</v>
      </c>
      <c r="AD5036" t="s">
        <v>22612</v>
      </c>
      <c r="AE5036" t="s">
        <v>22613</v>
      </c>
      <c r="AF5036" t="s">
        <v>22612</v>
      </c>
      <c r="AG5036" t="s">
        <v>22613</v>
      </c>
      <c r="AH5036">
        <v>0.62</v>
      </c>
      <c r="AI5036">
        <v>-0.2</v>
      </c>
      <c r="AJ5036">
        <v>3.48</v>
      </c>
      <c r="AK5036">
        <v>5.89</v>
      </c>
      <c r="AL5036">
        <v>-1</v>
      </c>
      <c r="AM5036">
        <v>-1.21</v>
      </c>
      <c r="AN5036">
        <v>-21.54</v>
      </c>
      <c r="AO5036">
        <v>-3.37</v>
      </c>
      <c r="AP5036">
        <v>-27.6</v>
      </c>
    </row>
    <row r="5037" spans="1:42">
      <c r="A5037">
        <v>5036</v>
      </c>
      <c r="B5037" t="str">
        <f>"605268"</f>
        <v>605268</v>
      </c>
      <c r="C5037" t="s">
        <v>22614</v>
      </c>
      <c r="D5037">
        <v>10.25</v>
      </c>
      <c r="E5037">
        <v>-0.49</v>
      </c>
      <c r="F5037">
        <v>-0.05</v>
      </c>
      <c r="G5037" t="s">
        <v>6595</v>
      </c>
      <c r="H5037">
        <v>40</v>
      </c>
      <c r="I5037">
        <v>10.25</v>
      </c>
      <c r="J5037">
        <v>10.26</v>
      </c>
      <c r="K5037" t="s">
        <v>22615</v>
      </c>
      <c r="L5037">
        <v>2</v>
      </c>
      <c r="M5037" t="s">
        <v>46</v>
      </c>
      <c r="N5037" t="s">
        <v>2027</v>
      </c>
      <c r="O5037">
        <v>10.35</v>
      </c>
      <c r="P5037">
        <v>10.16</v>
      </c>
      <c r="Q5037">
        <v>10.27</v>
      </c>
      <c r="R5037">
        <v>10.3</v>
      </c>
      <c r="S5037">
        <v>1.84</v>
      </c>
      <c r="T5037">
        <v>0.84</v>
      </c>
      <c r="U5037">
        <v>8.37</v>
      </c>
      <c r="V5037">
        <v>84</v>
      </c>
      <c r="W5037">
        <v>10.27</v>
      </c>
      <c r="X5037">
        <v>7644</v>
      </c>
      <c r="Y5037">
        <v>7229</v>
      </c>
      <c r="Z5037">
        <v>1.06</v>
      </c>
      <c r="AA5037">
        <v>196</v>
      </c>
      <c r="AB5037">
        <v>12</v>
      </c>
      <c r="AC5037">
        <v>2.71</v>
      </c>
      <c r="AD5037" t="s">
        <v>22616</v>
      </c>
      <c r="AE5037" t="s">
        <v>22617</v>
      </c>
      <c r="AF5037" t="s">
        <v>13053</v>
      </c>
      <c r="AG5037" t="s">
        <v>22618</v>
      </c>
      <c r="AH5037">
        <v>-0.97</v>
      </c>
      <c r="AI5037">
        <v>-1.44</v>
      </c>
      <c r="AJ5037">
        <v>6.36</v>
      </c>
      <c r="AK5037">
        <v>13.97</v>
      </c>
      <c r="AL5037">
        <v>-1</v>
      </c>
      <c r="AM5037">
        <v>-0.49</v>
      </c>
      <c r="AN5037">
        <v>19.19</v>
      </c>
      <c r="AO5037">
        <v>0.29</v>
      </c>
      <c r="AP5037">
        <v>13.13</v>
      </c>
    </row>
    <row r="5038" spans="1:42">
      <c r="A5038">
        <v>5037</v>
      </c>
      <c r="B5038" t="str">
        <f>"601566"</f>
        <v>601566</v>
      </c>
      <c r="C5038" t="s">
        <v>22619</v>
      </c>
      <c r="D5038">
        <v>10.38</v>
      </c>
      <c r="E5038">
        <v>-0.19</v>
      </c>
      <c r="F5038">
        <v>-0.02</v>
      </c>
      <c r="G5038" t="s">
        <v>3130</v>
      </c>
      <c r="H5038">
        <v>68</v>
      </c>
      <c r="I5038">
        <v>10.38</v>
      </c>
      <c r="J5038">
        <v>10.39</v>
      </c>
      <c r="K5038" t="s">
        <v>22620</v>
      </c>
      <c r="L5038">
        <v>0.26</v>
      </c>
      <c r="M5038" t="s">
        <v>46</v>
      </c>
      <c r="N5038" t="s">
        <v>5577</v>
      </c>
      <c r="O5038">
        <v>10.5</v>
      </c>
      <c r="P5038">
        <v>10.31</v>
      </c>
      <c r="Q5038">
        <v>10.37</v>
      </c>
      <c r="R5038">
        <v>10.4</v>
      </c>
      <c r="S5038">
        <v>1.83</v>
      </c>
      <c r="T5038">
        <v>0.64</v>
      </c>
      <c r="U5038">
        <v>14.31</v>
      </c>
      <c r="V5038">
        <v>189</v>
      </c>
      <c r="W5038">
        <v>10.4</v>
      </c>
      <c r="X5038">
        <v>7432</v>
      </c>
      <c r="Y5038">
        <v>7237</v>
      </c>
      <c r="Z5038">
        <v>1.03</v>
      </c>
      <c r="AA5038">
        <v>49</v>
      </c>
      <c r="AB5038">
        <v>37</v>
      </c>
      <c r="AC5038">
        <v>1.56</v>
      </c>
      <c r="AD5038" t="s">
        <v>21819</v>
      </c>
      <c r="AE5038" t="s">
        <v>9147</v>
      </c>
      <c r="AF5038" t="s">
        <v>21819</v>
      </c>
      <c r="AG5038" t="s">
        <v>9147</v>
      </c>
      <c r="AH5038">
        <v>-1.61</v>
      </c>
      <c r="AI5038">
        <v>-2.54</v>
      </c>
      <c r="AJ5038">
        <v>0.91</v>
      </c>
      <c r="AK5038">
        <v>2.24</v>
      </c>
      <c r="AL5038">
        <v>-3</v>
      </c>
      <c r="AM5038">
        <v>-0.19</v>
      </c>
      <c r="AN5038">
        <v>37.85</v>
      </c>
      <c r="AO5038">
        <v>4.95</v>
      </c>
      <c r="AP5038">
        <v>27.68</v>
      </c>
    </row>
    <row r="5039" spans="1:42">
      <c r="A5039">
        <v>5038</v>
      </c>
      <c r="B5039" t="str">
        <f>"300345"</f>
        <v>300345</v>
      </c>
      <c r="C5039" t="s">
        <v>22621</v>
      </c>
      <c r="D5039">
        <v>8.07</v>
      </c>
      <c r="E5039">
        <v>0.62</v>
      </c>
      <c r="F5039">
        <v>0.05</v>
      </c>
      <c r="G5039" t="s">
        <v>2694</v>
      </c>
      <c r="H5039">
        <v>255</v>
      </c>
      <c r="I5039">
        <v>8.07</v>
      </c>
      <c r="J5039">
        <v>8.08</v>
      </c>
      <c r="K5039" t="s">
        <v>22622</v>
      </c>
      <c r="L5039">
        <v>0.43</v>
      </c>
      <c r="M5039" t="s">
        <v>46</v>
      </c>
      <c r="N5039" t="s">
        <v>1484</v>
      </c>
      <c r="O5039">
        <v>8.13</v>
      </c>
      <c r="P5039">
        <v>7.93</v>
      </c>
      <c r="Q5039">
        <v>8.06</v>
      </c>
      <c r="R5039">
        <v>8.02</v>
      </c>
      <c r="S5039">
        <v>2.49</v>
      </c>
      <c r="T5039">
        <v>0.61</v>
      </c>
      <c r="U5039">
        <v>16.03</v>
      </c>
      <c r="V5039">
        <v>361</v>
      </c>
      <c r="W5039">
        <v>8.04</v>
      </c>
      <c r="X5039">
        <v>7732</v>
      </c>
      <c r="Y5039" t="s">
        <v>734</v>
      </c>
      <c r="Z5039">
        <v>0.69</v>
      </c>
      <c r="AA5039">
        <v>36</v>
      </c>
      <c r="AB5039">
        <v>230</v>
      </c>
      <c r="AC5039">
        <v>5.22</v>
      </c>
      <c r="AD5039" t="s">
        <v>21029</v>
      </c>
      <c r="AE5039" t="s">
        <v>22623</v>
      </c>
      <c r="AF5039" t="s">
        <v>22624</v>
      </c>
      <c r="AG5039" t="s">
        <v>10037</v>
      </c>
      <c r="AH5039">
        <v>-1.47</v>
      </c>
      <c r="AI5039">
        <v>-2.18</v>
      </c>
      <c r="AJ5039">
        <v>1.57</v>
      </c>
      <c r="AK5039">
        <v>3.93</v>
      </c>
      <c r="AL5039">
        <v>1</v>
      </c>
      <c r="AM5039">
        <v>0.62</v>
      </c>
      <c r="AN5039">
        <v>-21.5</v>
      </c>
      <c r="AO5039">
        <v>-0.37</v>
      </c>
      <c r="AP5039">
        <v>-10.23</v>
      </c>
    </row>
    <row r="5040" spans="1:42">
      <c r="A5040">
        <v>5039</v>
      </c>
      <c r="B5040" t="str">
        <f>"300891"</f>
        <v>300891</v>
      </c>
      <c r="C5040" t="s">
        <v>22625</v>
      </c>
      <c r="D5040">
        <v>9.81</v>
      </c>
      <c r="E5040">
        <v>-0.1</v>
      </c>
      <c r="F5040">
        <v>-0.01</v>
      </c>
      <c r="G5040" t="s">
        <v>8212</v>
      </c>
      <c r="H5040">
        <v>138</v>
      </c>
      <c r="I5040">
        <v>9.81</v>
      </c>
      <c r="J5040">
        <v>9.82</v>
      </c>
      <c r="K5040" t="s">
        <v>22622</v>
      </c>
      <c r="L5040">
        <v>0.47</v>
      </c>
      <c r="M5040" t="s">
        <v>46</v>
      </c>
      <c r="N5040" t="s">
        <v>4796</v>
      </c>
      <c r="O5040">
        <v>9.87</v>
      </c>
      <c r="P5040">
        <v>9.71</v>
      </c>
      <c r="Q5040">
        <v>9.77</v>
      </c>
      <c r="R5040">
        <v>9.82</v>
      </c>
      <c r="S5040">
        <v>1.63</v>
      </c>
      <c r="T5040">
        <v>0.93</v>
      </c>
      <c r="U5040">
        <v>27.41</v>
      </c>
      <c r="V5040">
        <v>188</v>
      </c>
      <c r="W5040">
        <v>9.8</v>
      </c>
      <c r="X5040">
        <v>6863</v>
      </c>
      <c r="Y5040">
        <v>8700</v>
      </c>
      <c r="Z5040">
        <v>0.79</v>
      </c>
      <c r="AA5040">
        <v>162</v>
      </c>
      <c r="AB5040">
        <v>19</v>
      </c>
      <c r="AC5040">
        <v>3.03</v>
      </c>
      <c r="AD5040" t="s">
        <v>7381</v>
      </c>
      <c r="AE5040" t="s">
        <v>10734</v>
      </c>
      <c r="AF5040" t="s">
        <v>11998</v>
      </c>
      <c r="AG5040" t="s">
        <v>22626</v>
      </c>
      <c r="AH5040">
        <v>-1.8</v>
      </c>
      <c r="AI5040">
        <v>-2.39</v>
      </c>
      <c r="AJ5040">
        <v>1.61</v>
      </c>
      <c r="AK5040">
        <v>2.99</v>
      </c>
      <c r="AL5040">
        <v>-3</v>
      </c>
      <c r="AM5040">
        <v>-0.1</v>
      </c>
      <c r="AN5040">
        <v>2.08</v>
      </c>
      <c r="AO5040">
        <v>0.1</v>
      </c>
      <c r="AP5040">
        <v>-10.66</v>
      </c>
    </row>
    <row r="5041" spans="1:42">
      <c r="A5041">
        <v>5040</v>
      </c>
      <c r="B5041" t="str">
        <f>"301190"</f>
        <v>301190</v>
      </c>
      <c r="C5041" t="s">
        <v>22627</v>
      </c>
      <c r="D5041">
        <v>19.85</v>
      </c>
      <c r="E5041">
        <v>-0.75</v>
      </c>
      <c r="F5041">
        <v>-0.15</v>
      </c>
      <c r="G5041">
        <v>7657</v>
      </c>
      <c r="H5041">
        <v>370</v>
      </c>
      <c r="I5041">
        <v>19.85</v>
      </c>
      <c r="J5041">
        <v>19.86</v>
      </c>
      <c r="K5041" t="s">
        <v>22628</v>
      </c>
      <c r="L5041">
        <v>1.08</v>
      </c>
      <c r="M5041" t="s">
        <v>46</v>
      </c>
      <c r="N5041" t="s">
        <v>4010</v>
      </c>
      <c r="O5041">
        <v>20.15</v>
      </c>
      <c r="P5041">
        <v>19.82</v>
      </c>
      <c r="Q5041">
        <v>20.02</v>
      </c>
      <c r="R5041">
        <v>20</v>
      </c>
      <c r="S5041">
        <v>1.65</v>
      </c>
      <c r="T5041">
        <v>0.67</v>
      </c>
      <c r="U5041">
        <v>85.11</v>
      </c>
      <c r="V5041">
        <v>446</v>
      </c>
      <c r="W5041">
        <v>19.91</v>
      </c>
      <c r="X5041">
        <v>4305</v>
      </c>
      <c r="Y5041">
        <v>3352</v>
      </c>
      <c r="Z5041">
        <v>1.28</v>
      </c>
      <c r="AA5041">
        <v>42</v>
      </c>
      <c r="AB5041">
        <v>6</v>
      </c>
      <c r="AC5041">
        <v>2.11</v>
      </c>
      <c r="AD5041" t="s">
        <v>21060</v>
      </c>
      <c r="AE5041" t="s">
        <v>22629</v>
      </c>
      <c r="AF5041" t="s">
        <v>10388</v>
      </c>
      <c r="AG5041" t="s">
        <v>12938</v>
      </c>
      <c r="AH5041">
        <v>-2.12</v>
      </c>
      <c r="AI5041">
        <v>-1.88</v>
      </c>
      <c r="AJ5041">
        <v>3.5</v>
      </c>
      <c r="AK5041">
        <v>9.07</v>
      </c>
      <c r="AL5041">
        <v>-3</v>
      </c>
      <c r="AM5041">
        <v>-0.75</v>
      </c>
      <c r="AN5041">
        <v>11.33</v>
      </c>
      <c r="AO5041">
        <v>-2.07</v>
      </c>
      <c r="AP5041">
        <v>-1.24</v>
      </c>
    </row>
    <row r="5042" spans="1:42">
      <c r="A5042">
        <v>5041</v>
      </c>
      <c r="B5042" t="str">
        <f>"603551"</f>
        <v>603551</v>
      </c>
      <c r="C5042" t="s">
        <v>22630</v>
      </c>
      <c r="D5042">
        <v>10.76</v>
      </c>
      <c r="E5042">
        <v>-0.19</v>
      </c>
      <c r="F5042">
        <v>-0.02</v>
      </c>
      <c r="G5042" t="s">
        <v>4717</v>
      </c>
      <c r="H5042">
        <v>89</v>
      </c>
      <c r="I5042">
        <v>10.75</v>
      </c>
      <c r="J5042">
        <v>10.76</v>
      </c>
      <c r="K5042" t="s">
        <v>22631</v>
      </c>
      <c r="L5042">
        <v>0.35</v>
      </c>
      <c r="M5042" t="s">
        <v>46</v>
      </c>
      <c r="N5042" t="s">
        <v>3001</v>
      </c>
      <c r="O5042">
        <v>10.82</v>
      </c>
      <c r="P5042">
        <v>10.68</v>
      </c>
      <c r="Q5042">
        <v>10.8</v>
      </c>
      <c r="R5042">
        <v>10.78</v>
      </c>
      <c r="S5042">
        <v>1.3</v>
      </c>
      <c r="T5042">
        <v>0.85</v>
      </c>
      <c r="U5042">
        <v>10.47</v>
      </c>
      <c r="V5042">
        <v>73</v>
      </c>
      <c r="W5042">
        <v>10.76</v>
      </c>
      <c r="X5042">
        <v>6945</v>
      </c>
      <c r="Y5042">
        <v>7202</v>
      </c>
      <c r="Z5042">
        <v>0.96</v>
      </c>
      <c r="AA5042">
        <v>9</v>
      </c>
      <c r="AB5042">
        <v>106</v>
      </c>
      <c r="AC5042">
        <v>2.94</v>
      </c>
      <c r="AD5042" t="s">
        <v>10723</v>
      </c>
      <c r="AE5042" t="s">
        <v>4232</v>
      </c>
      <c r="AF5042" t="s">
        <v>22632</v>
      </c>
      <c r="AG5042" t="s">
        <v>22633</v>
      </c>
      <c r="AH5042">
        <v>-1.74</v>
      </c>
      <c r="AI5042">
        <v>-1.47</v>
      </c>
      <c r="AJ5042">
        <v>0.97</v>
      </c>
      <c r="AK5042">
        <v>2.44</v>
      </c>
      <c r="AL5042">
        <v>-3</v>
      </c>
      <c r="AM5042">
        <v>-0.19</v>
      </c>
      <c r="AN5042">
        <v>19.56</v>
      </c>
      <c r="AO5042">
        <v>2.48</v>
      </c>
      <c r="AP5042">
        <v>41.39</v>
      </c>
    </row>
    <row r="5043" spans="1:42">
      <c r="A5043">
        <v>5042</v>
      </c>
      <c r="B5043" t="str">
        <f>"603685"</f>
        <v>603685</v>
      </c>
      <c r="C5043" t="s">
        <v>22634</v>
      </c>
      <c r="D5043">
        <v>15.12</v>
      </c>
      <c r="E5043">
        <v>0.07</v>
      </c>
      <c r="F5043">
        <v>0.01</v>
      </c>
      <c r="G5043" t="s">
        <v>2074</v>
      </c>
      <c r="H5043">
        <v>57</v>
      </c>
      <c r="I5043">
        <v>15.12</v>
      </c>
      <c r="J5043">
        <v>15.15</v>
      </c>
      <c r="K5043" t="s">
        <v>22635</v>
      </c>
      <c r="L5043">
        <v>0.6</v>
      </c>
      <c r="M5043" t="s">
        <v>46</v>
      </c>
      <c r="N5043" t="s">
        <v>10047</v>
      </c>
      <c r="O5043">
        <v>15.23</v>
      </c>
      <c r="P5043">
        <v>14.81</v>
      </c>
      <c r="Q5043">
        <v>15.11</v>
      </c>
      <c r="R5043">
        <v>15.11</v>
      </c>
      <c r="S5043">
        <v>2.78</v>
      </c>
      <c r="T5043">
        <v>0.86</v>
      </c>
      <c r="U5043">
        <v>66.1</v>
      </c>
      <c r="V5043">
        <v>312</v>
      </c>
      <c r="W5043">
        <v>15.04</v>
      </c>
      <c r="X5043">
        <v>4904</v>
      </c>
      <c r="Y5043">
        <v>5189</v>
      </c>
      <c r="Z5043">
        <v>0.95</v>
      </c>
      <c r="AA5043">
        <v>98</v>
      </c>
      <c r="AB5043">
        <v>18</v>
      </c>
      <c r="AC5043">
        <v>2.33</v>
      </c>
      <c r="AD5043" t="s">
        <v>6378</v>
      </c>
      <c r="AE5043" t="s">
        <v>20538</v>
      </c>
      <c r="AF5043" t="s">
        <v>6378</v>
      </c>
      <c r="AG5043" t="s">
        <v>20538</v>
      </c>
      <c r="AH5043">
        <v>-1.69</v>
      </c>
      <c r="AI5043">
        <v>-0.26</v>
      </c>
      <c r="AJ5043">
        <v>2.21</v>
      </c>
      <c r="AK5043">
        <v>4.06</v>
      </c>
      <c r="AL5043">
        <v>1</v>
      </c>
      <c r="AM5043">
        <v>0.07</v>
      </c>
      <c r="AN5043">
        <v>60.85</v>
      </c>
      <c r="AO5043">
        <v>1.2</v>
      </c>
      <c r="AP5043">
        <v>48.09</v>
      </c>
    </row>
    <row r="5044" spans="1:42">
      <c r="A5044">
        <v>5043</v>
      </c>
      <c r="B5044" t="str">
        <f>"603389"</f>
        <v>603389</v>
      </c>
      <c r="C5044" t="s">
        <v>22636</v>
      </c>
      <c r="D5044">
        <v>6.38</v>
      </c>
      <c r="E5044">
        <v>0</v>
      </c>
      <c r="F5044">
        <v>0</v>
      </c>
      <c r="G5044" t="s">
        <v>3328</v>
      </c>
      <c r="H5044">
        <v>271</v>
      </c>
      <c r="I5044">
        <v>6.36</v>
      </c>
      <c r="J5044">
        <v>6.38</v>
      </c>
      <c r="K5044" t="s">
        <v>22637</v>
      </c>
      <c r="L5044">
        <v>0.91</v>
      </c>
      <c r="M5044" t="s">
        <v>46</v>
      </c>
      <c r="N5044" t="s">
        <v>8531</v>
      </c>
      <c r="O5044">
        <v>6.42</v>
      </c>
      <c r="P5044">
        <v>6.33</v>
      </c>
      <c r="Q5044">
        <v>6.33</v>
      </c>
      <c r="R5044">
        <v>6.38</v>
      </c>
      <c r="S5044">
        <v>1.41</v>
      </c>
      <c r="T5044">
        <v>0.63</v>
      </c>
      <c r="U5044">
        <v>-33.86</v>
      </c>
      <c r="V5044">
        <v>-280</v>
      </c>
      <c r="W5044">
        <v>6.38</v>
      </c>
      <c r="X5044" t="s">
        <v>1254</v>
      </c>
      <c r="Y5044" t="s">
        <v>2284</v>
      </c>
      <c r="Z5044">
        <v>1.06</v>
      </c>
      <c r="AA5044">
        <v>16</v>
      </c>
      <c r="AB5044">
        <v>20</v>
      </c>
      <c r="AC5044">
        <v>3.87</v>
      </c>
      <c r="AD5044" t="s">
        <v>22638</v>
      </c>
      <c r="AE5044" t="s">
        <v>11108</v>
      </c>
      <c r="AF5044" t="s">
        <v>22638</v>
      </c>
      <c r="AG5044" t="s">
        <v>11108</v>
      </c>
      <c r="AH5044">
        <v>0.31</v>
      </c>
      <c r="AI5044">
        <v>0</v>
      </c>
      <c r="AJ5044">
        <v>2.71</v>
      </c>
      <c r="AK5044">
        <v>8.14</v>
      </c>
      <c r="AL5044">
        <v>0</v>
      </c>
      <c r="AM5044">
        <v>0</v>
      </c>
      <c r="AN5044">
        <v>22.93</v>
      </c>
      <c r="AO5044">
        <v>4.42</v>
      </c>
      <c r="AP5044">
        <v>6.33</v>
      </c>
    </row>
    <row r="5045" spans="1:42">
      <c r="A5045">
        <v>5044</v>
      </c>
      <c r="B5045" t="str">
        <f>"603316"</f>
        <v>603316</v>
      </c>
      <c r="C5045" t="s">
        <v>22639</v>
      </c>
      <c r="D5045">
        <v>6.87</v>
      </c>
      <c r="E5045">
        <v>-0.29</v>
      </c>
      <c r="F5045">
        <v>-0.02</v>
      </c>
      <c r="G5045" t="s">
        <v>377</v>
      </c>
      <c r="H5045">
        <v>170</v>
      </c>
      <c r="I5045">
        <v>6.86</v>
      </c>
      <c r="J5045">
        <v>6.87</v>
      </c>
      <c r="K5045" t="s">
        <v>22640</v>
      </c>
      <c r="L5045">
        <v>0.83</v>
      </c>
      <c r="M5045" t="s">
        <v>46</v>
      </c>
      <c r="N5045" t="s">
        <v>4234</v>
      </c>
      <c r="O5045">
        <v>6.91</v>
      </c>
      <c r="P5045">
        <v>6.82</v>
      </c>
      <c r="Q5045">
        <v>6.87</v>
      </c>
      <c r="R5045">
        <v>6.89</v>
      </c>
      <c r="S5045">
        <v>1.31</v>
      </c>
      <c r="T5045">
        <v>0.53</v>
      </c>
      <c r="U5045">
        <v>0.53</v>
      </c>
      <c r="V5045">
        <v>17</v>
      </c>
      <c r="W5045">
        <v>6.88</v>
      </c>
      <c r="X5045" t="s">
        <v>2807</v>
      </c>
      <c r="Y5045" t="s">
        <v>51</v>
      </c>
      <c r="Z5045">
        <v>1.01</v>
      </c>
      <c r="AA5045">
        <v>745</v>
      </c>
      <c r="AB5045">
        <v>62</v>
      </c>
      <c r="AC5045">
        <v>2.21</v>
      </c>
      <c r="AD5045" t="s">
        <v>22641</v>
      </c>
      <c r="AE5045" t="s">
        <v>22642</v>
      </c>
      <c r="AF5045" t="s">
        <v>22641</v>
      </c>
      <c r="AG5045" t="s">
        <v>22642</v>
      </c>
      <c r="AH5045">
        <v>-0.87</v>
      </c>
      <c r="AI5045">
        <v>-1.01</v>
      </c>
      <c r="AJ5045">
        <v>3.28</v>
      </c>
      <c r="AK5045">
        <v>8.68</v>
      </c>
      <c r="AL5045">
        <v>-2</v>
      </c>
      <c r="AM5045">
        <v>-0.29</v>
      </c>
      <c r="AN5045">
        <v>20.53</v>
      </c>
      <c r="AO5045">
        <v>5.05</v>
      </c>
      <c r="AP5045">
        <v>14.31</v>
      </c>
    </row>
    <row r="5046" spans="1:42">
      <c r="A5046">
        <v>5045</v>
      </c>
      <c r="B5046" t="str">
        <f>"688426"</f>
        <v>688426</v>
      </c>
      <c r="C5046" t="s">
        <v>22643</v>
      </c>
      <c r="D5046">
        <v>30.55</v>
      </c>
      <c r="E5046">
        <v>-0.49</v>
      </c>
      <c r="F5046">
        <v>-0.15</v>
      </c>
      <c r="G5046">
        <v>4952</v>
      </c>
      <c r="H5046">
        <v>17</v>
      </c>
      <c r="I5046">
        <v>30.5</v>
      </c>
      <c r="J5046">
        <v>30.55</v>
      </c>
      <c r="K5046" t="s">
        <v>22640</v>
      </c>
      <c r="L5046">
        <v>1.34</v>
      </c>
      <c r="M5046" t="s">
        <v>46</v>
      </c>
      <c r="N5046" t="s">
        <v>8494</v>
      </c>
      <c r="O5046">
        <v>31.15</v>
      </c>
      <c r="P5046">
        <v>30.2</v>
      </c>
      <c r="Q5046">
        <v>30.7</v>
      </c>
      <c r="R5046">
        <v>30.7</v>
      </c>
      <c r="S5046">
        <v>3.09</v>
      </c>
      <c r="T5046">
        <v>0.79</v>
      </c>
      <c r="U5046">
        <v>-28.5</v>
      </c>
      <c r="V5046">
        <v>-114</v>
      </c>
      <c r="W5046">
        <v>30.58</v>
      </c>
      <c r="X5046">
        <v>2285</v>
      </c>
      <c r="Y5046">
        <v>2667</v>
      </c>
      <c r="Z5046">
        <v>0.86</v>
      </c>
      <c r="AA5046">
        <v>55</v>
      </c>
      <c r="AB5046">
        <v>119</v>
      </c>
      <c r="AC5046">
        <v>2.01</v>
      </c>
      <c r="AD5046" t="s">
        <v>9488</v>
      </c>
      <c r="AE5046" t="s">
        <v>15575</v>
      </c>
      <c r="AF5046" t="s">
        <v>22644</v>
      </c>
      <c r="AG5046" t="s">
        <v>7350</v>
      </c>
      <c r="AH5046">
        <v>-1.64</v>
      </c>
      <c r="AI5046">
        <v>-2.52</v>
      </c>
      <c r="AJ5046">
        <v>5.05</v>
      </c>
      <c r="AK5046">
        <v>9.87</v>
      </c>
      <c r="AL5046">
        <v>-1</v>
      </c>
      <c r="AM5046">
        <v>-0.49</v>
      </c>
      <c r="AN5046">
        <v>4.98</v>
      </c>
      <c r="AO5046">
        <v>15.98</v>
      </c>
      <c r="AP5046">
        <v>-24.1</v>
      </c>
    </row>
    <row r="5047" spans="1:42">
      <c r="A5047">
        <v>5046</v>
      </c>
      <c r="B5047" t="str">
        <f>"301429"</f>
        <v>301429</v>
      </c>
      <c r="C5047" t="s">
        <v>22645</v>
      </c>
      <c r="D5047">
        <v>21</v>
      </c>
      <c r="E5047">
        <v>-0.05</v>
      </c>
      <c r="F5047">
        <v>-0.01</v>
      </c>
      <c r="G5047">
        <v>7214</v>
      </c>
      <c r="H5047">
        <v>53</v>
      </c>
      <c r="I5047">
        <v>20.99</v>
      </c>
      <c r="J5047">
        <v>21</v>
      </c>
      <c r="K5047" t="s">
        <v>22646</v>
      </c>
      <c r="L5047">
        <v>2.44</v>
      </c>
      <c r="M5047" t="s">
        <v>46</v>
      </c>
      <c r="N5047" t="s">
        <v>3303</v>
      </c>
      <c r="O5047">
        <v>21.12</v>
      </c>
      <c r="P5047">
        <v>20.84</v>
      </c>
      <c r="Q5047">
        <v>21.09</v>
      </c>
      <c r="R5047">
        <v>21.01</v>
      </c>
      <c r="S5047">
        <v>1.33</v>
      </c>
      <c r="T5047">
        <v>0.61</v>
      </c>
      <c r="U5047">
        <v>38.78</v>
      </c>
      <c r="V5047">
        <v>204</v>
      </c>
      <c r="W5047">
        <v>20.97</v>
      </c>
      <c r="X5047">
        <v>3068</v>
      </c>
      <c r="Y5047">
        <v>4146</v>
      </c>
      <c r="Z5047">
        <v>0.74</v>
      </c>
      <c r="AA5047">
        <v>1</v>
      </c>
      <c r="AB5047">
        <v>50</v>
      </c>
      <c r="AC5047">
        <v>1.86</v>
      </c>
      <c r="AD5047" t="s">
        <v>9372</v>
      </c>
      <c r="AE5047" t="s">
        <v>6076</v>
      </c>
      <c r="AF5047" t="s">
        <v>19746</v>
      </c>
      <c r="AG5047" t="s">
        <v>22647</v>
      </c>
      <c r="AH5047">
        <v>-2.37</v>
      </c>
      <c r="AI5047">
        <v>-4.72</v>
      </c>
      <c r="AJ5047">
        <v>9.88</v>
      </c>
      <c r="AK5047">
        <v>22.62</v>
      </c>
      <c r="AL5047">
        <v>-3</v>
      </c>
      <c r="AM5047">
        <v>-0.05</v>
      </c>
      <c r="AN5047">
        <v>-26.32</v>
      </c>
      <c r="AO5047">
        <v>-2.23</v>
      </c>
      <c r="AP5047">
        <v>-26.32</v>
      </c>
    </row>
    <row r="5048" spans="1:42">
      <c r="A5048">
        <v>5047</v>
      </c>
      <c r="B5048" t="str">
        <f>"688093"</f>
        <v>688093</v>
      </c>
      <c r="C5048" t="s">
        <v>22648</v>
      </c>
      <c r="D5048">
        <v>18.44</v>
      </c>
      <c r="E5048">
        <v>-1.02</v>
      </c>
      <c r="F5048">
        <v>-0.19</v>
      </c>
      <c r="G5048">
        <v>8183</v>
      </c>
      <c r="H5048">
        <v>34</v>
      </c>
      <c r="I5048">
        <v>18.43</v>
      </c>
      <c r="J5048">
        <v>18.44</v>
      </c>
      <c r="K5048" t="s">
        <v>22646</v>
      </c>
      <c r="L5048">
        <v>0.34</v>
      </c>
      <c r="M5048" t="s">
        <v>46</v>
      </c>
      <c r="N5048" t="s">
        <v>3720</v>
      </c>
      <c r="O5048">
        <v>18.69</v>
      </c>
      <c r="P5048">
        <v>18.31</v>
      </c>
      <c r="Q5048">
        <v>18.56</v>
      </c>
      <c r="R5048">
        <v>18.63</v>
      </c>
      <c r="S5048">
        <v>2.04</v>
      </c>
      <c r="T5048">
        <v>0.81</v>
      </c>
      <c r="U5048">
        <v>46.73</v>
      </c>
      <c r="V5048">
        <v>71</v>
      </c>
      <c r="W5048">
        <v>18.48</v>
      </c>
      <c r="X5048">
        <v>4674</v>
      </c>
      <c r="Y5048">
        <v>3508</v>
      </c>
      <c r="Z5048">
        <v>1.33</v>
      </c>
      <c r="AA5048">
        <v>2</v>
      </c>
      <c r="AB5048">
        <v>10</v>
      </c>
      <c r="AC5048">
        <v>2.61</v>
      </c>
      <c r="AD5048" t="s">
        <v>18779</v>
      </c>
      <c r="AE5048" t="s">
        <v>3229</v>
      </c>
      <c r="AF5048" t="s">
        <v>15249</v>
      </c>
      <c r="AG5048" t="s">
        <v>11534</v>
      </c>
      <c r="AH5048">
        <v>-3.81</v>
      </c>
      <c r="AI5048">
        <v>-4.06</v>
      </c>
      <c r="AJ5048">
        <v>1.19</v>
      </c>
      <c r="AK5048">
        <v>2.44</v>
      </c>
      <c r="AL5048">
        <v>-3</v>
      </c>
      <c r="AM5048">
        <v>-1.02</v>
      </c>
      <c r="AN5048">
        <v>6.84</v>
      </c>
      <c r="AO5048">
        <v>-0.59</v>
      </c>
      <c r="AP5048">
        <v>-8.76</v>
      </c>
    </row>
    <row r="5049" spans="1:42">
      <c r="A5049">
        <v>5048</v>
      </c>
      <c r="B5049" t="str">
        <f>"300610"</f>
        <v>300610</v>
      </c>
      <c r="C5049" t="s">
        <v>22649</v>
      </c>
      <c r="D5049">
        <v>11.31</v>
      </c>
      <c r="E5049">
        <v>0.18</v>
      </c>
      <c r="F5049">
        <v>0.02</v>
      </c>
      <c r="G5049" t="s">
        <v>1777</v>
      </c>
      <c r="H5049">
        <v>162</v>
      </c>
      <c r="I5049">
        <v>11.28</v>
      </c>
      <c r="J5049">
        <v>11.31</v>
      </c>
      <c r="K5049" t="s">
        <v>22650</v>
      </c>
      <c r="L5049">
        <v>0.83</v>
      </c>
      <c r="M5049" t="s">
        <v>46</v>
      </c>
      <c r="N5049" t="s">
        <v>1891</v>
      </c>
      <c r="O5049">
        <v>11.4</v>
      </c>
      <c r="P5049">
        <v>11.21</v>
      </c>
      <c r="Q5049">
        <v>11.25</v>
      </c>
      <c r="R5049">
        <v>11.29</v>
      </c>
      <c r="S5049">
        <v>1.68</v>
      </c>
      <c r="T5049">
        <v>0.91</v>
      </c>
      <c r="U5049">
        <v>-32.53</v>
      </c>
      <c r="V5049">
        <v>-162</v>
      </c>
      <c r="W5049">
        <v>11.29</v>
      </c>
      <c r="X5049">
        <v>5954</v>
      </c>
      <c r="Y5049">
        <v>7428</v>
      </c>
      <c r="Z5049">
        <v>0.8</v>
      </c>
      <c r="AA5049">
        <v>1</v>
      </c>
      <c r="AB5049">
        <v>161</v>
      </c>
      <c r="AC5049">
        <v>2.21</v>
      </c>
      <c r="AD5049" t="s">
        <v>22651</v>
      </c>
      <c r="AE5049" t="s">
        <v>18961</v>
      </c>
      <c r="AF5049" t="s">
        <v>19319</v>
      </c>
      <c r="AG5049" t="s">
        <v>22652</v>
      </c>
      <c r="AH5049">
        <v>-1.48</v>
      </c>
      <c r="AI5049">
        <v>-1.31</v>
      </c>
      <c r="AJ5049">
        <v>2.54</v>
      </c>
      <c r="AK5049">
        <v>5.38</v>
      </c>
      <c r="AL5049">
        <v>1</v>
      </c>
      <c r="AM5049">
        <v>0.18</v>
      </c>
      <c r="AN5049">
        <v>-7.37</v>
      </c>
      <c r="AO5049">
        <v>0.98</v>
      </c>
      <c r="AP5049">
        <v>-16.41</v>
      </c>
    </row>
    <row r="5050" spans="1:42">
      <c r="A5050">
        <v>5049</v>
      </c>
      <c r="B5050" t="str">
        <f>"001218"</f>
        <v>001218</v>
      </c>
      <c r="C5050" t="s">
        <v>22653</v>
      </c>
      <c r="D5050">
        <v>22.08</v>
      </c>
      <c r="E5050">
        <v>-0.36</v>
      </c>
      <c r="F5050">
        <v>-0.08</v>
      </c>
      <c r="G5050">
        <v>6831</v>
      </c>
      <c r="H5050">
        <v>53</v>
      </c>
      <c r="I5050">
        <v>22.08</v>
      </c>
      <c r="J5050">
        <v>22.11</v>
      </c>
      <c r="K5050" t="s">
        <v>22654</v>
      </c>
      <c r="L5050">
        <v>0.92</v>
      </c>
      <c r="M5050" t="s">
        <v>46</v>
      </c>
      <c r="N5050" t="s">
        <v>761</v>
      </c>
      <c r="O5050">
        <v>22.28</v>
      </c>
      <c r="P5050">
        <v>21.91</v>
      </c>
      <c r="Q5050">
        <v>22.13</v>
      </c>
      <c r="R5050">
        <v>22.16</v>
      </c>
      <c r="S5050">
        <v>1.67</v>
      </c>
      <c r="T5050">
        <v>1.15</v>
      </c>
      <c r="U5050">
        <v>35.31</v>
      </c>
      <c r="V5050">
        <v>119</v>
      </c>
      <c r="W5050">
        <v>22.11</v>
      </c>
      <c r="X5050">
        <v>3464</v>
      </c>
      <c r="Y5050">
        <v>3367</v>
      </c>
      <c r="Z5050">
        <v>1.03</v>
      </c>
      <c r="AA5050">
        <v>70</v>
      </c>
      <c r="AB5050">
        <v>14</v>
      </c>
      <c r="AC5050">
        <v>1.38</v>
      </c>
      <c r="AD5050" t="s">
        <v>19846</v>
      </c>
      <c r="AE5050" t="s">
        <v>5462</v>
      </c>
      <c r="AF5050" t="s">
        <v>22655</v>
      </c>
      <c r="AG5050" t="s">
        <v>22656</v>
      </c>
      <c r="AH5050">
        <v>-1.69</v>
      </c>
      <c r="AI5050">
        <v>-1.21</v>
      </c>
      <c r="AJ5050">
        <v>2.35</v>
      </c>
      <c r="AK5050">
        <v>4.93</v>
      </c>
      <c r="AL5050">
        <v>-3</v>
      </c>
      <c r="AM5050">
        <v>-0.36</v>
      </c>
      <c r="AN5050">
        <v>6.82</v>
      </c>
      <c r="AO5050">
        <v>1.19</v>
      </c>
      <c r="AP5050">
        <v>10.4</v>
      </c>
    </row>
    <row r="5051" spans="1:42">
      <c r="A5051">
        <v>5050</v>
      </c>
      <c r="B5051" t="str">
        <f>"003037"</f>
        <v>003037</v>
      </c>
      <c r="C5051" t="s">
        <v>22657</v>
      </c>
      <c r="D5051">
        <v>11.55</v>
      </c>
      <c r="E5051">
        <v>-0.86</v>
      </c>
      <c r="F5051">
        <v>-0.1</v>
      </c>
      <c r="G5051" t="s">
        <v>9445</v>
      </c>
      <c r="H5051">
        <v>78</v>
      </c>
      <c r="I5051">
        <v>11.55</v>
      </c>
      <c r="J5051">
        <v>11.56</v>
      </c>
      <c r="K5051" t="s">
        <v>22658</v>
      </c>
      <c r="L5051">
        <v>1.43</v>
      </c>
      <c r="M5051" t="s">
        <v>46</v>
      </c>
      <c r="N5051" t="s">
        <v>22659</v>
      </c>
      <c r="O5051">
        <v>11.7</v>
      </c>
      <c r="P5051">
        <v>11.54</v>
      </c>
      <c r="Q5051">
        <v>11.65</v>
      </c>
      <c r="R5051">
        <v>11.65</v>
      </c>
      <c r="S5051">
        <v>1.37</v>
      </c>
      <c r="T5051">
        <v>0.64</v>
      </c>
      <c r="U5051">
        <v>11.73</v>
      </c>
      <c r="V5051">
        <v>173</v>
      </c>
      <c r="W5051">
        <v>11.59</v>
      </c>
      <c r="X5051">
        <v>8023</v>
      </c>
      <c r="Y5051">
        <v>4984</v>
      </c>
      <c r="Z5051">
        <v>1.61</v>
      </c>
      <c r="AA5051">
        <v>172</v>
      </c>
      <c r="AB5051">
        <v>370</v>
      </c>
      <c r="AC5051">
        <v>2.5</v>
      </c>
      <c r="AD5051" t="s">
        <v>22660</v>
      </c>
      <c r="AE5051" t="s">
        <v>3861</v>
      </c>
      <c r="AF5051" t="s">
        <v>22661</v>
      </c>
      <c r="AG5051" t="s">
        <v>8897</v>
      </c>
      <c r="AH5051">
        <v>-1.45</v>
      </c>
      <c r="AI5051">
        <v>-2.86</v>
      </c>
      <c r="AJ5051">
        <v>5.19</v>
      </c>
      <c r="AK5051">
        <v>12.63</v>
      </c>
      <c r="AL5051">
        <v>-1</v>
      </c>
      <c r="AM5051">
        <v>-0.86</v>
      </c>
      <c r="AN5051">
        <v>3.77</v>
      </c>
      <c r="AO5051">
        <v>1.05</v>
      </c>
      <c r="AP5051">
        <v>-6.25</v>
      </c>
    </row>
    <row r="5052" spans="1:42">
      <c r="A5052">
        <v>5051</v>
      </c>
      <c r="B5052" t="str">
        <f>"603813"</f>
        <v>603813</v>
      </c>
      <c r="C5052" t="s">
        <v>22662</v>
      </c>
      <c r="D5052">
        <v>17.04</v>
      </c>
      <c r="E5052">
        <v>0.53</v>
      </c>
      <c r="F5052">
        <v>0.09</v>
      </c>
      <c r="G5052">
        <v>8882</v>
      </c>
      <c r="H5052">
        <v>33</v>
      </c>
      <c r="I5052">
        <v>17.04</v>
      </c>
      <c r="J5052">
        <v>17.05</v>
      </c>
      <c r="K5052" t="s">
        <v>22663</v>
      </c>
      <c r="L5052">
        <v>0.99</v>
      </c>
      <c r="M5052" t="s">
        <v>46</v>
      </c>
      <c r="N5052" t="s">
        <v>4289</v>
      </c>
      <c r="O5052">
        <v>17.06</v>
      </c>
      <c r="P5052">
        <v>16.77</v>
      </c>
      <c r="Q5052">
        <v>16.93</v>
      </c>
      <c r="R5052">
        <v>16.95</v>
      </c>
      <c r="S5052">
        <v>1.71</v>
      </c>
      <c r="T5052">
        <v>0.8</v>
      </c>
      <c r="U5052">
        <v>37.96</v>
      </c>
      <c r="V5052">
        <v>82</v>
      </c>
      <c r="W5052">
        <v>16.96</v>
      </c>
      <c r="X5052">
        <v>4394</v>
      </c>
      <c r="Y5052">
        <v>4488</v>
      </c>
      <c r="Z5052">
        <v>0.98</v>
      </c>
      <c r="AA5052">
        <v>16</v>
      </c>
      <c r="AB5052">
        <v>1</v>
      </c>
      <c r="AC5052">
        <v>2.73</v>
      </c>
      <c r="AD5052" t="s">
        <v>12551</v>
      </c>
      <c r="AE5052" t="s">
        <v>13130</v>
      </c>
      <c r="AF5052" t="s">
        <v>22664</v>
      </c>
      <c r="AG5052" t="s">
        <v>19081</v>
      </c>
      <c r="AH5052">
        <v>-0.87</v>
      </c>
      <c r="AI5052">
        <v>1.13</v>
      </c>
      <c r="AJ5052">
        <v>3.86</v>
      </c>
      <c r="AK5052">
        <v>7.19</v>
      </c>
      <c r="AL5052">
        <v>1</v>
      </c>
      <c r="AM5052">
        <v>0.53</v>
      </c>
      <c r="AN5052">
        <v>19.66</v>
      </c>
      <c r="AO5052">
        <v>5.38</v>
      </c>
      <c r="AP5052">
        <v>14.75</v>
      </c>
    </row>
    <row r="5053" spans="1:42">
      <c r="A5053">
        <v>5052</v>
      </c>
      <c r="B5053" t="str">
        <f>"871642"</f>
        <v>871642</v>
      </c>
      <c r="C5053" t="s">
        <v>22665</v>
      </c>
      <c r="D5053">
        <v>7.55</v>
      </c>
      <c r="E5053">
        <v>-4.07</v>
      </c>
      <c r="F5053">
        <v>-0.32</v>
      </c>
      <c r="G5053" t="s">
        <v>2924</v>
      </c>
      <c r="H5053">
        <v>145</v>
      </c>
      <c r="I5053">
        <v>7.55</v>
      </c>
      <c r="J5053">
        <v>7.56</v>
      </c>
      <c r="K5053" t="s">
        <v>22663</v>
      </c>
      <c r="L5053">
        <v>3.6</v>
      </c>
      <c r="M5053" t="s">
        <v>46</v>
      </c>
      <c r="N5053" t="s">
        <v>8896</v>
      </c>
      <c r="O5053">
        <v>7.99</v>
      </c>
      <c r="P5053">
        <v>7.4</v>
      </c>
      <c r="Q5053">
        <v>7.85</v>
      </c>
      <c r="R5053">
        <v>7.87</v>
      </c>
      <c r="S5053">
        <v>7.5</v>
      </c>
      <c r="T5053">
        <v>0.44</v>
      </c>
      <c r="U5053">
        <v>-14.5</v>
      </c>
      <c r="V5053">
        <v>-65</v>
      </c>
      <c r="W5053">
        <v>7.64</v>
      </c>
      <c r="X5053" t="s">
        <v>1052</v>
      </c>
      <c r="Y5053">
        <v>7642</v>
      </c>
      <c r="Z5053">
        <v>1.58</v>
      </c>
      <c r="AA5053">
        <v>72</v>
      </c>
      <c r="AB5053">
        <v>25</v>
      </c>
      <c r="AC5053">
        <v>3.32</v>
      </c>
      <c r="AD5053" t="s">
        <v>21179</v>
      </c>
      <c r="AE5053" t="s">
        <v>22666</v>
      </c>
      <c r="AF5053" t="s">
        <v>22312</v>
      </c>
      <c r="AG5053" t="s">
        <v>7023</v>
      </c>
      <c r="AH5053">
        <v>-13.81</v>
      </c>
      <c r="AI5053">
        <v>-1.56</v>
      </c>
      <c r="AJ5053">
        <v>14.08</v>
      </c>
      <c r="AK5053">
        <v>44.35</v>
      </c>
      <c r="AL5053">
        <v>-4</v>
      </c>
      <c r="AM5053">
        <v>-4.07</v>
      </c>
      <c r="AN5053">
        <v>1.89</v>
      </c>
      <c r="AO5053">
        <v>19.46</v>
      </c>
      <c r="AP5053">
        <v>-1.18</v>
      </c>
    </row>
    <row r="5054" spans="1:42">
      <c r="A5054">
        <v>5053</v>
      </c>
      <c r="B5054" t="str">
        <f>"603901"</f>
        <v>603901</v>
      </c>
      <c r="C5054" t="s">
        <v>22667</v>
      </c>
      <c r="D5054">
        <v>11.99</v>
      </c>
      <c r="E5054">
        <v>0.17</v>
      </c>
      <c r="F5054">
        <v>0.02</v>
      </c>
      <c r="G5054" t="s">
        <v>682</v>
      </c>
      <c r="H5054">
        <v>248</v>
      </c>
      <c r="I5054">
        <v>11.99</v>
      </c>
      <c r="J5054">
        <v>12</v>
      </c>
      <c r="K5054" t="s">
        <v>22668</v>
      </c>
      <c r="L5054">
        <v>0.26</v>
      </c>
      <c r="M5054" t="s">
        <v>46</v>
      </c>
      <c r="N5054" t="s">
        <v>6051</v>
      </c>
      <c r="O5054">
        <v>12.03</v>
      </c>
      <c r="P5054">
        <v>11.83</v>
      </c>
      <c r="Q5054">
        <v>11.97</v>
      </c>
      <c r="R5054">
        <v>11.97</v>
      </c>
      <c r="S5054">
        <v>1.67</v>
      </c>
      <c r="T5054">
        <v>1.06</v>
      </c>
      <c r="U5054">
        <v>-53.41</v>
      </c>
      <c r="V5054">
        <v>-509</v>
      </c>
      <c r="W5054">
        <v>11.92</v>
      </c>
      <c r="X5054">
        <v>5291</v>
      </c>
      <c r="Y5054">
        <v>7335</v>
      </c>
      <c r="Z5054">
        <v>0.72</v>
      </c>
      <c r="AA5054">
        <v>9</v>
      </c>
      <c r="AB5054">
        <v>108</v>
      </c>
      <c r="AC5054">
        <v>2.33</v>
      </c>
      <c r="AD5054" t="s">
        <v>22669</v>
      </c>
      <c r="AE5054" t="s">
        <v>6494</v>
      </c>
      <c r="AF5054" t="s">
        <v>2769</v>
      </c>
      <c r="AG5054" t="s">
        <v>22670</v>
      </c>
      <c r="AH5054">
        <v>-1.96</v>
      </c>
      <c r="AI5054">
        <v>-2.36</v>
      </c>
      <c r="AJ5054">
        <v>0.77</v>
      </c>
      <c r="AK5054">
        <v>1.5</v>
      </c>
      <c r="AL5054">
        <v>1</v>
      </c>
      <c r="AM5054">
        <v>0.17</v>
      </c>
      <c r="AN5054">
        <v>-23.48</v>
      </c>
      <c r="AO5054">
        <v>1.44</v>
      </c>
      <c r="AP5054">
        <v>-16.1</v>
      </c>
    </row>
    <row r="5055" spans="1:42">
      <c r="A5055">
        <v>5054</v>
      </c>
      <c r="B5055" t="str">
        <f>"688335"</f>
        <v>688335</v>
      </c>
      <c r="C5055" t="s">
        <v>22671</v>
      </c>
      <c r="D5055">
        <v>13.4</v>
      </c>
      <c r="E5055">
        <v>-1.62</v>
      </c>
      <c r="F5055">
        <v>-0.22</v>
      </c>
      <c r="G5055" t="s">
        <v>2807</v>
      </c>
      <c r="H5055">
        <v>86</v>
      </c>
      <c r="I5055">
        <v>13.37</v>
      </c>
      <c r="J5055">
        <v>13.4</v>
      </c>
      <c r="K5055" t="s">
        <v>22672</v>
      </c>
      <c r="L5055">
        <v>1.1</v>
      </c>
      <c r="M5055" t="s">
        <v>46</v>
      </c>
      <c r="N5055" t="s">
        <v>7884</v>
      </c>
      <c r="O5055">
        <v>13.72</v>
      </c>
      <c r="P5055">
        <v>13.35</v>
      </c>
      <c r="Q5055">
        <v>13.62</v>
      </c>
      <c r="R5055">
        <v>13.62</v>
      </c>
      <c r="S5055">
        <v>2.72</v>
      </c>
      <c r="T5055">
        <v>2</v>
      </c>
      <c r="U5055">
        <v>-14.79</v>
      </c>
      <c r="V5055">
        <v>-51</v>
      </c>
      <c r="W5055">
        <v>13.49</v>
      </c>
      <c r="X5055">
        <v>6732</v>
      </c>
      <c r="Y5055">
        <v>4399</v>
      </c>
      <c r="Z5055">
        <v>1.53</v>
      </c>
      <c r="AA5055">
        <v>32</v>
      </c>
      <c r="AB5055">
        <v>15</v>
      </c>
      <c r="AC5055">
        <v>1.63</v>
      </c>
      <c r="AD5055" t="s">
        <v>4605</v>
      </c>
      <c r="AE5055" t="s">
        <v>22673</v>
      </c>
      <c r="AF5055" t="s">
        <v>22674</v>
      </c>
      <c r="AG5055" t="s">
        <v>22675</v>
      </c>
      <c r="AH5055">
        <v>-3.39</v>
      </c>
      <c r="AI5055">
        <v>-3.39</v>
      </c>
      <c r="AJ5055">
        <v>2.15</v>
      </c>
      <c r="AK5055">
        <v>3.86</v>
      </c>
      <c r="AL5055">
        <v>-3</v>
      </c>
      <c r="AM5055">
        <v>-1.62</v>
      </c>
      <c r="AN5055">
        <v>-4.9</v>
      </c>
      <c r="AO5055">
        <v>2.45</v>
      </c>
      <c r="AP5055">
        <v>-15.03</v>
      </c>
    </row>
    <row r="5056" spans="1:42">
      <c r="A5056">
        <v>5055</v>
      </c>
      <c r="B5056" t="str">
        <f>"301055"</f>
        <v>301055</v>
      </c>
      <c r="C5056" t="s">
        <v>22676</v>
      </c>
      <c r="D5056">
        <v>14.88</v>
      </c>
      <c r="E5056">
        <v>-0.87</v>
      </c>
      <c r="F5056">
        <v>-0.13</v>
      </c>
      <c r="G5056" t="s">
        <v>2615</v>
      </c>
      <c r="H5056">
        <v>84</v>
      </c>
      <c r="I5056">
        <v>14.88</v>
      </c>
      <c r="J5056">
        <v>14.92</v>
      </c>
      <c r="K5056" t="s">
        <v>17370</v>
      </c>
      <c r="L5056">
        <v>1.72</v>
      </c>
      <c r="M5056" t="s">
        <v>46</v>
      </c>
      <c r="N5056" t="s">
        <v>12415</v>
      </c>
      <c r="O5056">
        <v>15.05</v>
      </c>
      <c r="P5056">
        <v>14.87</v>
      </c>
      <c r="Q5056">
        <v>15.01</v>
      </c>
      <c r="R5056">
        <v>15.01</v>
      </c>
      <c r="S5056">
        <v>1.2</v>
      </c>
      <c r="T5056">
        <v>1.04</v>
      </c>
      <c r="U5056">
        <v>17.42</v>
      </c>
      <c r="V5056">
        <v>50</v>
      </c>
      <c r="W5056">
        <v>14.93</v>
      </c>
      <c r="X5056">
        <v>5910</v>
      </c>
      <c r="Y5056">
        <v>4134</v>
      </c>
      <c r="Z5056">
        <v>1.43</v>
      </c>
      <c r="AA5056">
        <v>46</v>
      </c>
      <c r="AB5056">
        <v>38</v>
      </c>
      <c r="AC5056">
        <v>3.54</v>
      </c>
      <c r="AD5056" t="s">
        <v>14866</v>
      </c>
      <c r="AE5056" t="s">
        <v>21388</v>
      </c>
      <c r="AF5056" t="s">
        <v>22677</v>
      </c>
      <c r="AG5056" t="s">
        <v>22678</v>
      </c>
      <c r="AH5056">
        <v>-1.59</v>
      </c>
      <c r="AI5056">
        <v>-1.72</v>
      </c>
      <c r="AJ5056">
        <v>5</v>
      </c>
      <c r="AK5056">
        <v>10.01</v>
      </c>
      <c r="AL5056">
        <v>-3</v>
      </c>
      <c r="AM5056">
        <v>-0.87</v>
      </c>
      <c r="AN5056">
        <v>-0.6</v>
      </c>
      <c r="AO5056">
        <v>0</v>
      </c>
      <c r="AP5056">
        <v>6.13</v>
      </c>
    </row>
    <row r="5057" spans="1:42">
      <c r="A5057">
        <v>5056</v>
      </c>
      <c r="B5057" t="str">
        <f>"836414"</f>
        <v>836414</v>
      </c>
      <c r="C5057" t="s">
        <v>22679</v>
      </c>
      <c r="D5057">
        <v>10.7</v>
      </c>
      <c r="E5057">
        <v>-0.37</v>
      </c>
      <c r="F5057">
        <v>-0.04</v>
      </c>
      <c r="G5057" t="s">
        <v>4525</v>
      </c>
      <c r="H5057">
        <v>180</v>
      </c>
      <c r="I5057">
        <v>10.67</v>
      </c>
      <c r="J5057">
        <v>10.7</v>
      </c>
      <c r="K5057" t="s">
        <v>22680</v>
      </c>
      <c r="L5057">
        <v>3.49</v>
      </c>
      <c r="M5057" t="s">
        <v>46</v>
      </c>
      <c r="N5057" t="s">
        <v>9167</v>
      </c>
      <c r="O5057">
        <v>11.33</v>
      </c>
      <c r="P5057">
        <v>10.28</v>
      </c>
      <c r="Q5057">
        <v>10.77</v>
      </c>
      <c r="R5057">
        <v>10.74</v>
      </c>
      <c r="S5057">
        <v>9.78</v>
      </c>
      <c r="T5057">
        <v>0.32</v>
      </c>
      <c r="U5057">
        <v>-3.26</v>
      </c>
      <c r="V5057">
        <v>-9</v>
      </c>
      <c r="W5057">
        <v>10.86</v>
      </c>
      <c r="X5057">
        <v>7285</v>
      </c>
      <c r="Y5057">
        <v>6484</v>
      </c>
      <c r="Z5057">
        <v>1.12</v>
      </c>
      <c r="AA5057">
        <v>8</v>
      </c>
      <c r="AB5057">
        <v>27</v>
      </c>
      <c r="AC5057">
        <v>2.33</v>
      </c>
      <c r="AD5057" t="s">
        <v>9889</v>
      </c>
      <c r="AE5057" t="s">
        <v>22681</v>
      </c>
      <c r="AF5057" t="s">
        <v>17764</v>
      </c>
      <c r="AG5057" t="s">
        <v>5356</v>
      </c>
      <c r="AH5057">
        <v>-17.63</v>
      </c>
      <c r="AI5057">
        <v>-10.76</v>
      </c>
      <c r="AJ5057">
        <v>15.51</v>
      </c>
      <c r="AK5057">
        <v>58.9</v>
      </c>
      <c r="AL5057">
        <v>-4</v>
      </c>
      <c r="AM5057">
        <v>-0.37</v>
      </c>
      <c r="AN5057">
        <v>5.31</v>
      </c>
      <c r="AO5057">
        <v>30.81</v>
      </c>
      <c r="AP5057">
        <v>-49.95</v>
      </c>
    </row>
    <row r="5058" spans="1:42">
      <c r="A5058">
        <v>5057</v>
      </c>
      <c r="B5058" t="str">
        <f>"301468"</f>
        <v>301468</v>
      </c>
      <c r="C5058" t="s">
        <v>22682</v>
      </c>
      <c r="D5058">
        <v>31.43</v>
      </c>
      <c r="E5058">
        <v>0.22</v>
      </c>
      <c r="F5058">
        <v>0.07</v>
      </c>
      <c r="G5058">
        <v>4772</v>
      </c>
      <c r="H5058">
        <v>43</v>
      </c>
      <c r="I5058">
        <v>31.43</v>
      </c>
      <c r="J5058">
        <v>31.44</v>
      </c>
      <c r="K5058" t="s">
        <v>22683</v>
      </c>
      <c r="L5058">
        <v>1.52</v>
      </c>
      <c r="M5058" t="s">
        <v>46</v>
      </c>
      <c r="N5058" t="s">
        <v>2943</v>
      </c>
      <c r="O5058">
        <v>31.57</v>
      </c>
      <c r="P5058">
        <v>31.03</v>
      </c>
      <c r="Q5058">
        <v>31.36</v>
      </c>
      <c r="R5058">
        <v>31.36</v>
      </c>
      <c r="S5058">
        <v>1.72</v>
      </c>
      <c r="T5058">
        <v>0.82</v>
      </c>
      <c r="U5058">
        <v>71.3</v>
      </c>
      <c r="V5058">
        <v>164</v>
      </c>
      <c r="W5058">
        <v>31.31</v>
      </c>
      <c r="X5058">
        <v>2669</v>
      </c>
      <c r="Y5058">
        <v>2103</v>
      </c>
      <c r="Z5058">
        <v>1.27</v>
      </c>
      <c r="AA5058">
        <v>7</v>
      </c>
      <c r="AB5058">
        <v>13</v>
      </c>
      <c r="AC5058">
        <v>1.81</v>
      </c>
      <c r="AD5058" t="s">
        <v>3221</v>
      </c>
      <c r="AE5058" t="s">
        <v>12009</v>
      </c>
      <c r="AF5058" t="s">
        <v>22684</v>
      </c>
      <c r="AG5058" t="s">
        <v>9569</v>
      </c>
      <c r="AH5058">
        <v>-1.54</v>
      </c>
      <c r="AI5058">
        <v>-2.06</v>
      </c>
      <c r="AJ5058">
        <v>5.07</v>
      </c>
      <c r="AK5058">
        <v>10.86</v>
      </c>
      <c r="AL5058">
        <v>1</v>
      </c>
      <c r="AM5058">
        <v>0.22</v>
      </c>
      <c r="AN5058">
        <v>-33.94</v>
      </c>
      <c r="AO5058">
        <v>-0.47</v>
      </c>
      <c r="AP5058">
        <v>-33.94</v>
      </c>
    </row>
    <row r="5059" spans="1:42">
      <c r="A5059">
        <v>5058</v>
      </c>
      <c r="B5059" t="str">
        <f>"603216"</f>
        <v>603216</v>
      </c>
      <c r="C5059" t="s">
        <v>22685</v>
      </c>
      <c r="D5059">
        <v>13.36</v>
      </c>
      <c r="E5059">
        <v>0.68</v>
      </c>
      <c r="F5059">
        <v>0.09</v>
      </c>
      <c r="G5059" t="s">
        <v>734</v>
      </c>
      <c r="H5059">
        <v>63</v>
      </c>
      <c r="I5059">
        <v>13.33</v>
      </c>
      <c r="J5059">
        <v>13.36</v>
      </c>
      <c r="K5059" t="s">
        <v>22686</v>
      </c>
      <c r="L5059">
        <v>1.98</v>
      </c>
      <c r="M5059" t="s">
        <v>46</v>
      </c>
      <c r="N5059" t="s">
        <v>1591</v>
      </c>
      <c r="O5059">
        <v>13.38</v>
      </c>
      <c r="P5059">
        <v>13.16</v>
      </c>
      <c r="Q5059">
        <v>13.33</v>
      </c>
      <c r="R5059">
        <v>13.27</v>
      </c>
      <c r="S5059">
        <v>1.66</v>
      </c>
      <c r="T5059">
        <v>0.91</v>
      </c>
      <c r="U5059">
        <v>-74.89</v>
      </c>
      <c r="V5059">
        <v>-328</v>
      </c>
      <c r="W5059">
        <v>13.3</v>
      </c>
      <c r="X5059">
        <v>5636</v>
      </c>
      <c r="Y5059">
        <v>5575</v>
      </c>
      <c r="Z5059">
        <v>1.01</v>
      </c>
      <c r="AA5059">
        <v>4</v>
      </c>
      <c r="AB5059">
        <v>4</v>
      </c>
      <c r="AC5059">
        <v>1.71</v>
      </c>
      <c r="AD5059" t="s">
        <v>22687</v>
      </c>
      <c r="AE5059" t="s">
        <v>22688</v>
      </c>
      <c r="AF5059" t="s">
        <v>22689</v>
      </c>
      <c r="AG5059" t="s">
        <v>22690</v>
      </c>
      <c r="AH5059">
        <v>-0.82</v>
      </c>
      <c r="AI5059">
        <v>-1.33</v>
      </c>
      <c r="AJ5059">
        <v>6.59</v>
      </c>
      <c r="AK5059">
        <v>12.85</v>
      </c>
      <c r="AL5059">
        <v>2</v>
      </c>
      <c r="AM5059">
        <v>0.68</v>
      </c>
      <c r="AN5059">
        <v>-0.15</v>
      </c>
      <c r="AO5059">
        <v>1.37</v>
      </c>
      <c r="AP5059">
        <v>-2.62</v>
      </c>
    </row>
    <row r="5060" spans="1:42">
      <c r="A5060">
        <v>5059</v>
      </c>
      <c r="B5060" t="str">
        <f>"301189"</f>
        <v>301189</v>
      </c>
      <c r="C5060" t="s">
        <v>22691</v>
      </c>
      <c r="D5060">
        <v>29.47</v>
      </c>
      <c r="E5060">
        <v>0.27</v>
      </c>
      <c r="F5060">
        <v>0.08</v>
      </c>
      <c r="G5060">
        <v>5070</v>
      </c>
      <c r="H5060">
        <v>39</v>
      </c>
      <c r="I5060">
        <v>29.45</v>
      </c>
      <c r="J5060">
        <v>29.47</v>
      </c>
      <c r="K5060" t="s">
        <v>22692</v>
      </c>
      <c r="L5060">
        <v>1.23</v>
      </c>
      <c r="M5060" t="s">
        <v>46</v>
      </c>
      <c r="N5060" t="s">
        <v>804</v>
      </c>
      <c r="O5060">
        <v>29.71</v>
      </c>
      <c r="P5060">
        <v>29.19</v>
      </c>
      <c r="Q5060">
        <v>29.59</v>
      </c>
      <c r="R5060">
        <v>29.39</v>
      </c>
      <c r="S5060">
        <v>1.77</v>
      </c>
      <c r="T5060">
        <v>0.65</v>
      </c>
      <c r="U5060">
        <v>-40.71</v>
      </c>
      <c r="V5060">
        <v>-92</v>
      </c>
      <c r="W5060">
        <v>29.39</v>
      </c>
      <c r="X5060">
        <v>2227</v>
      </c>
      <c r="Y5060">
        <v>2843</v>
      </c>
      <c r="Z5060">
        <v>0.78</v>
      </c>
      <c r="AA5060">
        <v>9</v>
      </c>
      <c r="AB5060">
        <v>129</v>
      </c>
      <c r="AC5060">
        <v>1.48</v>
      </c>
      <c r="AD5060" t="s">
        <v>22118</v>
      </c>
      <c r="AE5060" t="s">
        <v>22553</v>
      </c>
      <c r="AF5060" t="s">
        <v>17535</v>
      </c>
      <c r="AG5060" t="s">
        <v>9711</v>
      </c>
      <c r="AH5060">
        <v>-2.13</v>
      </c>
      <c r="AI5060">
        <v>-3</v>
      </c>
      <c r="AJ5060">
        <v>4.11</v>
      </c>
      <c r="AK5060">
        <v>10.74</v>
      </c>
      <c r="AL5060">
        <v>1</v>
      </c>
      <c r="AM5060">
        <v>0.27</v>
      </c>
      <c r="AN5060">
        <v>3.84</v>
      </c>
      <c r="AO5060">
        <v>-0.24</v>
      </c>
      <c r="AP5060">
        <v>-3.79</v>
      </c>
    </row>
    <row r="5061" spans="1:42">
      <c r="A5061">
        <v>5060</v>
      </c>
      <c r="B5061" t="str">
        <f>"001332"</f>
        <v>001332</v>
      </c>
      <c r="C5061" t="s">
        <v>22693</v>
      </c>
      <c r="D5061">
        <v>33.73</v>
      </c>
      <c r="E5061">
        <v>-1.6</v>
      </c>
      <c r="F5061">
        <v>-0.55</v>
      </c>
      <c r="G5061">
        <v>4420</v>
      </c>
      <c r="H5061">
        <v>75</v>
      </c>
      <c r="I5061">
        <v>33.72</v>
      </c>
      <c r="J5061">
        <v>33.73</v>
      </c>
      <c r="K5061" t="s">
        <v>22694</v>
      </c>
      <c r="L5061">
        <v>1.64</v>
      </c>
      <c r="M5061" t="s">
        <v>46</v>
      </c>
      <c r="N5061" t="s">
        <v>8835</v>
      </c>
      <c r="O5061">
        <v>34.4</v>
      </c>
      <c r="P5061">
        <v>33.45</v>
      </c>
      <c r="Q5061">
        <v>34.4</v>
      </c>
      <c r="R5061">
        <v>34.28</v>
      </c>
      <c r="S5061">
        <v>2.77</v>
      </c>
      <c r="T5061">
        <v>1.28</v>
      </c>
      <c r="U5061">
        <v>-22.92</v>
      </c>
      <c r="V5061">
        <v>-22</v>
      </c>
      <c r="W5061">
        <v>33.69</v>
      </c>
      <c r="X5061">
        <v>2197</v>
      </c>
      <c r="Y5061">
        <v>2223</v>
      </c>
      <c r="Z5061">
        <v>0.99</v>
      </c>
      <c r="AA5061">
        <v>7</v>
      </c>
      <c r="AB5061">
        <v>10</v>
      </c>
      <c r="AC5061">
        <v>1.68</v>
      </c>
      <c r="AD5061" t="s">
        <v>8391</v>
      </c>
      <c r="AE5061" t="s">
        <v>22695</v>
      </c>
      <c r="AF5061" t="s">
        <v>22696</v>
      </c>
      <c r="AG5061" t="s">
        <v>22697</v>
      </c>
      <c r="AH5061">
        <v>-2.37</v>
      </c>
      <c r="AI5061">
        <v>-2.37</v>
      </c>
      <c r="AJ5061">
        <v>4.2</v>
      </c>
      <c r="AK5061">
        <v>8.05</v>
      </c>
      <c r="AL5061">
        <v>-2</v>
      </c>
      <c r="AM5061">
        <v>-1.6</v>
      </c>
      <c r="AN5061">
        <v>-18.7</v>
      </c>
      <c r="AO5061">
        <v>1.32</v>
      </c>
      <c r="AP5061">
        <v>-38.46</v>
      </c>
    </row>
    <row r="5062" spans="1:42">
      <c r="A5062">
        <v>5061</v>
      </c>
      <c r="B5062" t="str">
        <f>"002972"</f>
        <v>002972</v>
      </c>
      <c r="C5062" t="s">
        <v>22698</v>
      </c>
      <c r="D5062">
        <v>11.95</v>
      </c>
      <c r="E5062">
        <v>-0.08</v>
      </c>
      <c r="F5062">
        <v>-0.01</v>
      </c>
      <c r="G5062" t="s">
        <v>2547</v>
      </c>
      <c r="H5062">
        <v>131</v>
      </c>
      <c r="I5062">
        <v>11.93</v>
      </c>
      <c r="J5062">
        <v>11.95</v>
      </c>
      <c r="K5062" t="s">
        <v>22699</v>
      </c>
      <c r="L5062">
        <v>1.01</v>
      </c>
      <c r="M5062" t="s">
        <v>46</v>
      </c>
      <c r="N5062" t="s">
        <v>2558</v>
      </c>
      <c r="O5062">
        <v>12.08</v>
      </c>
      <c r="P5062">
        <v>11.84</v>
      </c>
      <c r="Q5062">
        <v>11.95</v>
      </c>
      <c r="R5062">
        <v>11.96</v>
      </c>
      <c r="S5062">
        <v>2.01</v>
      </c>
      <c r="T5062">
        <v>0.87</v>
      </c>
      <c r="U5062">
        <v>39.83</v>
      </c>
      <c r="V5062">
        <v>240</v>
      </c>
      <c r="W5062">
        <v>11.93</v>
      </c>
      <c r="X5062">
        <v>5459</v>
      </c>
      <c r="Y5062">
        <v>6995</v>
      </c>
      <c r="Z5062">
        <v>0.78</v>
      </c>
      <c r="AA5062">
        <v>9</v>
      </c>
      <c r="AB5062">
        <v>57</v>
      </c>
      <c r="AC5062">
        <v>2.43</v>
      </c>
      <c r="AD5062" t="s">
        <v>19760</v>
      </c>
      <c r="AE5062" t="s">
        <v>14496</v>
      </c>
      <c r="AF5062" t="s">
        <v>5536</v>
      </c>
      <c r="AG5062" t="s">
        <v>9790</v>
      </c>
      <c r="AH5062">
        <v>-0.91</v>
      </c>
      <c r="AI5062">
        <v>-0.67</v>
      </c>
      <c r="AJ5062">
        <v>3.12</v>
      </c>
      <c r="AK5062">
        <v>6.77</v>
      </c>
      <c r="AL5062">
        <v>-3</v>
      </c>
      <c r="AM5062">
        <v>-0.08</v>
      </c>
      <c r="AN5062">
        <v>6.51</v>
      </c>
      <c r="AO5062">
        <v>2.84</v>
      </c>
      <c r="AP5062">
        <v>-12.07</v>
      </c>
    </row>
    <row r="5063" spans="1:42">
      <c r="A5063">
        <v>5062</v>
      </c>
      <c r="B5063" t="str">
        <f>"300717"</f>
        <v>300717</v>
      </c>
      <c r="C5063" t="s">
        <v>22700</v>
      </c>
      <c r="D5063">
        <v>17.24</v>
      </c>
      <c r="E5063">
        <v>0</v>
      </c>
      <c r="F5063">
        <v>0</v>
      </c>
      <c r="G5063">
        <v>8615</v>
      </c>
      <c r="H5063">
        <v>147</v>
      </c>
      <c r="I5063">
        <v>17.23</v>
      </c>
      <c r="J5063">
        <v>17.24</v>
      </c>
      <c r="K5063" t="s">
        <v>22701</v>
      </c>
      <c r="L5063">
        <v>0.85</v>
      </c>
      <c r="M5063" t="s">
        <v>46</v>
      </c>
      <c r="N5063" t="s">
        <v>6044</v>
      </c>
      <c r="O5063">
        <v>17.41</v>
      </c>
      <c r="P5063">
        <v>17.09</v>
      </c>
      <c r="Q5063">
        <v>17.29</v>
      </c>
      <c r="R5063">
        <v>17.24</v>
      </c>
      <c r="S5063">
        <v>1.86</v>
      </c>
      <c r="T5063">
        <v>0.73</v>
      </c>
      <c r="U5063">
        <v>4.9</v>
      </c>
      <c r="V5063">
        <v>14</v>
      </c>
      <c r="W5063">
        <v>17.2</v>
      </c>
      <c r="X5063">
        <v>4527</v>
      </c>
      <c r="Y5063">
        <v>4088</v>
      </c>
      <c r="Z5063">
        <v>1.11</v>
      </c>
      <c r="AA5063">
        <v>32</v>
      </c>
      <c r="AB5063">
        <v>22</v>
      </c>
      <c r="AC5063">
        <v>2.67</v>
      </c>
      <c r="AD5063" t="s">
        <v>4098</v>
      </c>
      <c r="AE5063" t="s">
        <v>12936</v>
      </c>
      <c r="AF5063" t="s">
        <v>10452</v>
      </c>
      <c r="AG5063" t="s">
        <v>14892</v>
      </c>
      <c r="AH5063">
        <v>-1.93</v>
      </c>
      <c r="AI5063">
        <v>-2.05</v>
      </c>
      <c r="AJ5063">
        <v>3.23</v>
      </c>
      <c r="AK5063">
        <v>6.66</v>
      </c>
      <c r="AL5063">
        <v>0</v>
      </c>
      <c r="AM5063">
        <v>0</v>
      </c>
      <c r="AN5063">
        <v>24.93</v>
      </c>
      <c r="AO5063">
        <v>2.38</v>
      </c>
      <c r="AP5063">
        <v>12.39</v>
      </c>
    </row>
    <row r="5064" spans="1:42">
      <c r="A5064">
        <v>5063</v>
      </c>
      <c r="B5064" t="str">
        <f>"600182"</f>
        <v>600182</v>
      </c>
      <c r="C5064" t="s">
        <v>22702</v>
      </c>
      <c r="D5064">
        <v>15.13</v>
      </c>
      <c r="E5064">
        <v>0.2</v>
      </c>
      <c r="F5064">
        <v>0.03</v>
      </c>
      <c r="G5064">
        <v>9745</v>
      </c>
      <c r="H5064">
        <v>201</v>
      </c>
      <c r="I5064">
        <v>15.13</v>
      </c>
      <c r="J5064">
        <v>15.18</v>
      </c>
      <c r="K5064" t="s">
        <v>22703</v>
      </c>
      <c r="L5064">
        <v>0.57</v>
      </c>
      <c r="M5064" t="s">
        <v>46</v>
      </c>
      <c r="N5064" t="s">
        <v>2693</v>
      </c>
      <c r="O5064">
        <v>15.24</v>
      </c>
      <c r="P5064">
        <v>15.03</v>
      </c>
      <c r="Q5064">
        <v>15.14</v>
      </c>
      <c r="R5064">
        <v>15.1</v>
      </c>
      <c r="S5064">
        <v>1.39</v>
      </c>
      <c r="T5064">
        <v>0.83</v>
      </c>
      <c r="U5064">
        <v>-40.51</v>
      </c>
      <c r="V5064">
        <v>-339</v>
      </c>
      <c r="W5064">
        <v>15.12</v>
      </c>
      <c r="X5064">
        <v>4385</v>
      </c>
      <c r="Y5064">
        <v>5360</v>
      </c>
      <c r="Z5064">
        <v>0.82</v>
      </c>
      <c r="AA5064">
        <v>30</v>
      </c>
      <c r="AB5064">
        <v>221</v>
      </c>
      <c r="AC5064">
        <v>4.42</v>
      </c>
      <c r="AD5064" t="s">
        <v>10714</v>
      </c>
      <c r="AE5064" t="s">
        <v>10437</v>
      </c>
      <c r="AF5064" t="s">
        <v>10659</v>
      </c>
      <c r="AG5064" t="s">
        <v>5241</v>
      </c>
      <c r="AH5064">
        <v>-2.01</v>
      </c>
      <c r="AI5064">
        <v>-1.3</v>
      </c>
      <c r="AJ5064">
        <v>2.18</v>
      </c>
      <c r="AK5064">
        <v>4.03</v>
      </c>
      <c r="AL5064">
        <v>1</v>
      </c>
      <c r="AM5064">
        <v>0.2</v>
      </c>
      <c r="AN5064">
        <v>8.3</v>
      </c>
      <c r="AO5064">
        <v>1.48</v>
      </c>
      <c r="AP5064">
        <v>1.89</v>
      </c>
    </row>
    <row r="5065" spans="1:42">
      <c r="A5065">
        <v>5064</v>
      </c>
      <c r="B5065" t="str">
        <f>"688330"</f>
        <v>688330</v>
      </c>
      <c r="C5065" t="s">
        <v>22704</v>
      </c>
      <c r="D5065">
        <v>30.11</v>
      </c>
      <c r="E5065">
        <v>0.43</v>
      </c>
      <c r="F5065">
        <v>0.13</v>
      </c>
      <c r="G5065">
        <v>4909</v>
      </c>
      <c r="H5065">
        <v>10</v>
      </c>
      <c r="I5065">
        <v>30.11</v>
      </c>
      <c r="J5065">
        <v>30.12</v>
      </c>
      <c r="K5065" t="s">
        <v>22705</v>
      </c>
      <c r="L5065">
        <v>0.61</v>
      </c>
      <c r="M5065" t="s">
        <v>46</v>
      </c>
      <c r="N5065" t="s">
        <v>2165</v>
      </c>
      <c r="O5065">
        <v>30.28</v>
      </c>
      <c r="P5065">
        <v>29.62</v>
      </c>
      <c r="Q5065">
        <v>30.07</v>
      </c>
      <c r="R5065">
        <v>29.98</v>
      </c>
      <c r="S5065">
        <v>2.2</v>
      </c>
      <c r="T5065">
        <v>0.76</v>
      </c>
      <c r="U5065">
        <v>-40.66</v>
      </c>
      <c r="V5065">
        <v>-35</v>
      </c>
      <c r="W5065">
        <v>29.97</v>
      </c>
      <c r="X5065">
        <v>2203</v>
      </c>
      <c r="Y5065">
        <v>2706</v>
      </c>
      <c r="Z5065">
        <v>0.81</v>
      </c>
      <c r="AA5065">
        <v>0</v>
      </c>
      <c r="AB5065">
        <v>3</v>
      </c>
      <c r="AC5065">
        <v>1.19</v>
      </c>
      <c r="AD5065" t="s">
        <v>16649</v>
      </c>
      <c r="AE5065" t="s">
        <v>22706</v>
      </c>
      <c r="AF5065" t="s">
        <v>21888</v>
      </c>
      <c r="AG5065" t="s">
        <v>10353</v>
      </c>
      <c r="AH5065">
        <v>-1.15</v>
      </c>
      <c r="AI5065">
        <v>-2.18</v>
      </c>
      <c r="AJ5065">
        <v>1.98</v>
      </c>
      <c r="AK5065">
        <v>4.66</v>
      </c>
      <c r="AL5065">
        <v>1</v>
      </c>
      <c r="AM5065">
        <v>0.43</v>
      </c>
      <c r="AN5065">
        <v>-32.79</v>
      </c>
      <c r="AO5065">
        <v>-1.28</v>
      </c>
      <c r="AP5065">
        <v>-37.09</v>
      </c>
    </row>
    <row r="5066" spans="1:42">
      <c r="A5066">
        <v>5065</v>
      </c>
      <c r="B5066" t="str">
        <f>"605080"</f>
        <v>605080</v>
      </c>
      <c r="C5066" t="s">
        <v>22707</v>
      </c>
      <c r="D5066">
        <v>22.87</v>
      </c>
      <c r="E5066">
        <v>0.62</v>
      </c>
      <c r="F5066">
        <v>0.14</v>
      </c>
      <c r="G5066">
        <v>6432</v>
      </c>
      <c r="H5066">
        <v>58</v>
      </c>
      <c r="I5066">
        <v>22.87</v>
      </c>
      <c r="J5066">
        <v>22.89</v>
      </c>
      <c r="K5066" t="s">
        <v>22708</v>
      </c>
      <c r="L5066">
        <v>1.37</v>
      </c>
      <c r="M5066" t="s">
        <v>46</v>
      </c>
      <c r="N5066" t="s">
        <v>15896</v>
      </c>
      <c r="O5066">
        <v>22.96</v>
      </c>
      <c r="P5066">
        <v>22.51</v>
      </c>
      <c r="Q5066">
        <v>22.74</v>
      </c>
      <c r="R5066">
        <v>22.73</v>
      </c>
      <c r="S5066">
        <v>1.98</v>
      </c>
      <c r="T5066">
        <v>0.63</v>
      </c>
      <c r="U5066">
        <v>3.16</v>
      </c>
      <c r="V5066">
        <v>6</v>
      </c>
      <c r="W5066">
        <v>22.82</v>
      </c>
      <c r="X5066">
        <v>2787</v>
      </c>
      <c r="Y5066">
        <v>3645</v>
      </c>
      <c r="Z5066">
        <v>0.76</v>
      </c>
      <c r="AA5066">
        <v>49</v>
      </c>
      <c r="AB5066">
        <v>6</v>
      </c>
      <c r="AC5066">
        <v>1.71</v>
      </c>
      <c r="AD5066" t="s">
        <v>19579</v>
      </c>
      <c r="AE5066" t="s">
        <v>18930</v>
      </c>
      <c r="AF5066" t="s">
        <v>22709</v>
      </c>
      <c r="AG5066" t="s">
        <v>8021</v>
      </c>
      <c r="AH5066">
        <v>-1.46</v>
      </c>
      <c r="AI5066">
        <v>-3.58</v>
      </c>
      <c r="AJ5066">
        <v>4.86</v>
      </c>
      <c r="AK5066">
        <v>12.18</v>
      </c>
      <c r="AL5066">
        <v>1</v>
      </c>
      <c r="AM5066">
        <v>0.62</v>
      </c>
      <c r="AN5066">
        <v>-31.85</v>
      </c>
      <c r="AO5066">
        <v>-2.43</v>
      </c>
      <c r="AP5066">
        <v>-28.67</v>
      </c>
    </row>
    <row r="5067" spans="1:42">
      <c r="A5067">
        <v>5066</v>
      </c>
      <c r="B5067" t="str">
        <f>"600834"</f>
        <v>600834</v>
      </c>
      <c r="C5067" t="s">
        <v>22710</v>
      </c>
      <c r="D5067">
        <v>8.24</v>
      </c>
      <c r="E5067">
        <v>0</v>
      </c>
      <c r="F5067">
        <v>0</v>
      </c>
      <c r="G5067" t="s">
        <v>3165</v>
      </c>
      <c r="H5067">
        <v>108</v>
      </c>
      <c r="I5067">
        <v>8.24</v>
      </c>
      <c r="J5067">
        <v>8.25</v>
      </c>
      <c r="K5067" t="s">
        <v>22711</v>
      </c>
      <c r="L5067">
        <v>0.37</v>
      </c>
      <c r="M5067" t="s">
        <v>46</v>
      </c>
      <c r="N5067" t="s">
        <v>5371</v>
      </c>
      <c r="O5067">
        <v>8.28</v>
      </c>
      <c r="P5067">
        <v>8.21</v>
      </c>
      <c r="Q5067">
        <v>8.24</v>
      </c>
      <c r="R5067">
        <v>8.24</v>
      </c>
      <c r="S5067">
        <v>0.85</v>
      </c>
      <c r="T5067">
        <v>0.78</v>
      </c>
      <c r="U5067">
        <v>-27.66</v>
      </c>
      <c r="V5067">
        <v>-819</v>
      </c>
      <c r="W5067">
        <v>8.25</v>
      </c>
      <c r="X5067">
        <v>9241</v>
      </c>
      <c r="Y5067">
        <v>8492</v>
      </c>
      <c r="Z5067">
        <v>1.09</v>
      </c>
      <c r="AA5067">
        <v>157</v>
      </c>
      <c r="AB5067">
        <v>101</v>
      </c>
      <c r="AC5067">
        <v>2.35</v>
      </c>
      <c r="AD5067" t="s">
        <v>20185</v>
      </c>
      <c r="AE5067" t="s">
        <v>7463</v>
      </c>
      <c r="AF5067" t="s">
        <v>20185</v>
      </c>
      <c r="AG5067" t="s">
        <v>7463</v>
      </c>
      <c r="AH5067">
        <v>-0.48</v>
      </c>
      <c r="AI5067">
        <v>-0.24</v>
      </c>
      <c r="AJ5067">
        <v>1.2</v>
      </c>
      <c r="AK5067">
        <v>2.77</v>
      </c>
      <c r="AL5067">
        <v>0</v>
      </c>
      <c r="AM5067">
        <v>0</v>
      </c>
      <c r="AN5067">
        <v>1.35</v>
      </c>
      <c r="AO5067">
        <v>2.49</v>
      </c>
      <c r="AP5067">
        <v>0.73</v>
      </c>
    </row>
    <row r="5068" spans="1:42">
      <c r="A5068">
        <v>5067</v>
      </c>
      <c r="B5068" t="str">
        <f>"300692"</f>
        <v>300692</v>
      </c>
      <c r="C5068" t="s">
        <v>22712</v>
      </c>
      <c r="D5068">
        <v>6.49</v>
      </c>
      <c r="E5068">
        <v>0</v>
      </c>
      <c r="F5068">
        <v>0</v>
      </c>
      <c r="G5068" t="s">
        <v>3327</v>
      </c>
      <c r="H5068">
        <v>77</v>
      </c>
      <c r="I5068">
        <v>6.49</v>
      </c>
      <c r="J5068">
        <v>6.5</v>
      </c>
      <c r="K5068" t="s">
        <v>22711</v>
      </c>
      <c r="L5068">
        <v>0.6</v>
      </c>
      <c r="M5068" t="s">
        <v>46</v>
      </c>
      <c r="N5068" t="s">
        <v>6832</v>
      </c>
      <c r="O5068">
        <v>6.51</v>
      </c>
      <c r="P5068">
        <v>6.46</v>
      </c>
      <c r="Q5068">
        <v>6.48</v>
      </c>
      <c r="R5068">
        <v>6.49</v>
      </c>
      <c r="S5068">
        <v>0.77</v>
      </c>
      <c r="T5068">
        <v>0.9</v>
      </c>
      <c r="U5068">
        <v>-37.06</v>
      </c>
      <c r="V5068">
        <v>-1132</v>
      </c>
      <c r="W5068">
        <v>6.49</v>
      </c>
      <c r="X5068" t="s">
        <v>1646</v>
      </c>
      <c r="Y5068" t="s">
        <v>905</v>
      </c>
      <c r="Z5068">
        <v>0.82</v>
      </c>
      <c r="AA5068">
        <v>65</v>
      </c>
      <c r="AB5068">
        <v>1217</v>
      </c>
      <c r="AC5068">
        <v>1.27</v>
      </c>
      <c r="AD5068" t="s">
        <v>22713</v>
      </c>
      <c r="AE5068" t="s">
        <v>18575</v>
      </c>
      <c r="AF5068" t="s">
        <v>21059</v>
      </c>
      <c r="AG5068" t="s">
        <v>10717</v>
      </c>
      <c r="AH5068">
        <v>-1.22</v>
      </c>
      <c r="AI5068">
        <v>-1.22</v>
      </c>
      <c r="AJ5068">
        <v>1.89</v>
      </c>
      <c r="AK5068">
        <v>3.94</v>
      </c>
      <c r="AL5068">
        <v>0</v>
      </c>
      <c r="AM5068">
        <v>0</v>
      </c>
      <c r="AN5068">
        <v>2.53</v>
      </c>
      <c r="AO5068">
        <v>0.15</v>
      </c>
      <c r="AP5068">
        <v>-6.89</v>
      </c>
    </row>
    <row r="5069" spans="1:42">
      <c r="A5069">
        <v>5068</v>
      </c>
      <c r="B5069" t="str">
        <f>"301388"</f>
        <v>301388</v>
      </c>
      <c r="C5069" t="s">
        <v>22714</v>
      </c>
      <c r="D5069">
        <v>24.91</v>
      </c>
      <c r="E5069">
        <v>-0.91</v>
      </c>
      <c r="F5069">
        <v>-0.23</v>
      </c>
      <c r="G5069">
        <v>5873</v>
      </c>
      <c r="H5069">
        <v>61</v>
      </c>
      <c r="I5069">
        <v>24.9</v>
      </c>
      <c r="J5069">
        <v>24.91</v>
      </c>
      <c r="K5069" t="s">
        <v>22715</v>
      </c>
      <c r="L5069">
        <v>2.29</v>
      </c>
      <c r="M5069" t="s">
        <v>46</v>
      </c>
      <c r="N5069" t="s">
        <v>4501</v>
      </c>
      <c r="O5069">
        <v>25.21</v>
      </c>
      <c r="P5069">
        <v>24.72</v>
      </c>
      <c r="Q5069">
        <v>25.21</v>
      </c>
      <c r="R5069">
        <v>25.14</v>
      </c>
      <c r="S5069">
        <v>1.95</v>
      </c>
      <c r="T5069">
        <v>0.88</v>
      </c>
      <c r="U5069">
        <v>37.46</v>
      </c>
      <c r="V5069">
        <v>133</v>
      </c>
      <c r="W5069">
        <v>24.89</v>
      </c>
      <c r="X5069">
        <v>2894</v>
      </c>
      <c r="Y5069">
        <v>2979</v>
      </c>
      <c r="Z5069">
        <v>0.97</v>
      </c>
      <c r="AA5069">
        <v>78</v>
      </c>
      <c r="AB5069">
        <v>13</v>
      </c>
      <c r="AC5069">
        <v>2.6</v>
      </c>
      <c r="AD5069" t="s">
        <v>13310</v>
      </c>
      <c r="AE5069" t="s">
        <v>5739</v>
      </c>
      <c r="AF5069" t="s">
        <v>22716</v>
      </c>
      <c r="AG5069" t="s">
        <v>7268</v>
      </c>
      <c r="AH5069">
        <v>-2.62</v>
      </c>
      <c r="AI5069">
        <v>-1.58</v>
      </c>
      <c r="AJ5069">
        <v>7.2</v>
      </c>
      <c r="AK5069">
        <v>15.38</v>
      </c>
      <c r="AL5069">
        <v>-3</v>
      </c>
      <c r="AM5069">
        <v>-0.91</v>
      </c>
      <c r="AN5069">
        <v>9.25</v>
      </c>
      <c r="AO5069">
        <v>2.38</v>
      </c>
      <c r="AP5069">
        <v>-8.25</v>
      </c>
    </row>
    <row r="5070" spans="1:42">
      <c r="A5070">
        <v>5069</v>
      </c>
      <c r="B5070" t="str">
        <f>"301037"</f>
        <v>301037</v>
      </c>
      <c r="C5070" t="s">
        <v>22717</v>
      </c>
      <c r="D5070">
        <v>20.23</v>
      </c>
      <c r="E5070">
        <v>0</v>
      </c>
      <c r="F5070">
        <v>0</v>
      </c>
      <c r="G5070">
        <v>7197</v>
      </c>
      <c r="H5070">
        <v>34</v>
      </c>
      <c r="I5070">
        <v>20.23</v>
      </c>
      <c r="J5070">
        <v>20.28</v>
      </c>
      <c r="K5070" t="s">
        <v>22718</v>
      </c>
      <c r="L5070">
        <v>2.55</v>
      </c>
      <c r="M5070" t="s">
        <v>46</v>
      </c>
      <c r="N5070" t="s">
        <v>3355</v>
      </c>
      <c r="O5070">
        <v>20.49</v>
      </c>
      <c r="P5070">
        <v>20.01</v>
      </c>
      <c r="Q5070">
        <v>20.23</v>
      </c>
      <c r="R5070">
        <v>20.23</v>
      </c>
      <c r="S5070">
        <v>2.37</v>
      </c>
      <c r="T5070">
        <v>0.56</v>
      </c>
      <c r="U5070">
        <v>81.25</v>
      </c>
      <c r="V5070">
        <v>338</v>
      </c>
      <c r="W5070">
        <v>20.23</v>
      </c>
      <c r="X5070">
        <v>3767</v>
      </c>
      <c r="Y5070">
        <v>3430</v>
      </c>
      <c r="Z5070">
        <v>1.1</v>
      </c>
      <c r="AA5070">
        <v>5</v>
      </c>
      <c r="AB5070">
        <v>12</v>
      </c>
      <c r="AC5070">
        <v>2.41</v>
      </c>
      <c r="AD5070" t="s">
        <v>22719</v>
      </c>
      <c r="AE5070" t="s">
        <v>5664</v>
      </c>
      <c r="AF5070" t="s">
        <v>22720</v>
      </c>
      <c r="AG5070" t="s">
        <v>22721</v>
      </c>
      <c r="AH5070">
        <v>-0.69</v>
      </c>
      <c r="AI5070">
        <v>-2.74</v>
      </c>
      <c r="AJ5070">
        <v>9.17</v>
      </c>
      <c r="AK5070">
        <v>25.38</v>
      </c>
      <c r="AL5070">
        <v>0</v>
      </c>
      <c r="AM5070">
        <v>0</v>
      </c>
      <c r="AN5070">
        <v>25.89</v>
      </c>
      <c r="AO5070">
        <v>-1.84</v>
      </c>
      <c r="AP5070">
        <v>12.2</v>
      </c>
    </row>
    <row r="5071" spans="1:42">
      <c r="A5071">
        <v>5070</v>
      </c>
      <c r="B5071" t="str">
        <f>"300190"</f>
        <v>300190</v>
      </c>
      <c r="C5071" t="s">
        <v>22722</v>
      </c>
      <c r="D5071">
        <v>4.36</v>
      </c>
      <c r="E5071">
        <v>0.23</v>
      </c>
      <c r="F5071">
        <v>0.01</v>
      </c>
      <c r="G5071" t="s">
        <v>1687</v>
      </c>
      <c r="H5071">
        <v>227</v>
      </c>
      <c r="I5071">
        <v>4.35</v>
      </c>
      <c r="J5071">
        <v>4.36</v>
      </c>
      <c r="K5071" t="s">
        <v>22723</v>
      </c>
      <c r="L5071">
        <v>0.43</v>
      </c>
      <c r="M5071" t="s">
        <v>46</v>
      </c>
      <c r="N5071" t="s">
        <v>5929</v>
      </c>
      <c r="O5071">
        <v>4.38</v>
      </c>
      <c r="P5071">
        <v>4.33</v>
      </c>
      <c r="Q5071">
        <v>4.35</v>
      </c>
      <c r="R5071">
        <v>4.35</v>
      </c>
      <c r="S5071">
        <v>1.15</v>
      </c>
      <c r="T5071">
        <v>0.56</v>
      </c>
      <c r="U5071">
        <v>1.34</v>
      </c>
      <c r="V5071">
        <v>81</v>
      </c>
      <c r="W5071">
        <v>4.36</v>
      </c>
      <c r="X5071" t="s">
        <v>390</v>
      </c>
      <c r="Y5071" t="s">
        <v>5997</v>
      </c>
      <c r="Z5071">
        <v>0.99</v>
      </c>
      <c r="AA5071">
        <v>399</v>
      </c>
      <c r="AB5071">
        <v>180</v>
      </c>
      <c r="AC5071">
        <v>0.9</v>
      </c>
      <c r="AD5071" t="s">
        <v>22724</v>
      </c>
      <c r="AE5071" t="s">
        <v>22725</v>
      </c>
      <c r="AF5071" t="s">
        <v>14291</v>
      </c>
      <c r="AG5071" t="s">
        <v>20755</v>
      </c>
      <c r="AH5071">
        <v>-2.24</v>
      </c>
      <c r="AI5071">
        <v>-0.46</v>
      </c>
      <c r="AJ5071">
        <v>1.8</v>
      </c>
      <c r="AK5071">
        <v>4.28</v>
      </c>
      <c r="AL5071">
        <v>1</v>
      </c>
      <c r="AM5071">
        <v>0.23</v>
      </c>
      <c r="AN5071">
        <v>6.34</v>
      </c>
      <c r="AO5071">
        <v>1.16</v>
      </c>
      <c r="AP5071">
        <v>-1.36</v>
      </c>
    </row>
    <row r="5072" spans="1:42">
      <c r="A5072">
        <v>5071</v>
      </c>
      <c r="B5072" t="str">
        <f>"831304"</f>
        <v>831304</v>
      </c>
      <c r="C5072" t="s">
        <v>22726</v>
      </c>
      <c r="D5072">
        <v>5.52</v>
      </c>
      <c r="E5072">
        <v>-3.66</v>
      </c>
      <c r="F5072">
        <v>-0.21</v>
      </c>
      <c r="G5072" t="s">
        <v>1077</v>
      </c>
      <c r="H5072">
        <v>90</v>
      </c>
      <c r="I5072">
        <v>5.52</v>
      </c>
      <c r="J5072">
        <v>5.54</v>
      </c>
      <c r="K5072" t="s">
        <v>22723</v>
      </c>
      <c r="L5072">
        <v>4</v>
      </c>
      <c r="M5072" t="s">
        <v>46</v>
      </c>
      <c r="N5072" t="s">
        <v>2532</v>
      </c>
      <c r="O5072">
        <v>5.89</v>
      </c>
      <c r="P5072">
        <v>5.47</v>
      </c>
      <c r="Q5072">
        <v>5.73</v>
      </c>
      <c r="R5072">
        <v>5.73</v>
      </c>
      <c r="S5072">
        <v>7.33</v>
      </c>
      <c r="T5072">
        <v>0.32</v>
      </c>
      <c r="U5072">
        <v>4.17</v>
      </c>
      <c r="V5072">
        <v>21</v>
      </c>
      <c r="W5072">
        <v>5.64</v>
      </c>
      <c r="X5072" t="s">
        <v>390</v>
      </c>
      <c r="Y5072">
        <v>9220</v>
      </c>
      <c r="Z5072">
        <v>1.8</v>
      </c>
      <c r="AA5072">
        <v>34</v>
      </c>
      <c r="AB5072">
        <v>26</v>
      </c>
      <c r="AC5072">
        <v>2.05</v>
      </c>
      <c r="AD5072" t="s">
        <v>21979</v>
      </c>
      <c r="AE5072" t="s">
        <v>20217</v>
      </c>
      <c r="AF5072" t="s">
        <v>22017</v>
      </c>
      <c r="AG5072" t="s">
        <v>22727</v>
      </c>
      <c r="AH5072">
        <v>-16.36</v>
      </c>
      <c r="AI5072">
        <v>7.39</v>
      </c>
      <c r="AJ5072">
        <v>20.51</v>
      </c>
      <c r="AK5072">
        <v>66.15</v>
      </c>
      <c r="AL5072">
        <v>-4</v>
      </c>
      <c r="AM5072">
        <v>-3.66</v>
      </c>
      <c r="AN5072">
        <v>-33.97</v>
      </c>
      <c r="AO5072">
        <v>37.31</v>
      </c>
      <c r="AP5072">
        <v>-33.97</v>
      </c>
    </row>
    <row r="5073" spans="1:42">
      <c r="A5073">
        <v>5072</v>
      </c>
      <c r="B5073" t="str">
        <f>"301206"</f>
        <v>301206</v>
      </c>
      <c r="C5073" t="s">
        <v>22728</v>
      </c>
      <c r="D5073">
        <v>29.32</v>
      </c>
      <c r="E5073">
        <v>-0.37</v>
      </c>
      <c r="F5073">
        <v>-0.11</v>
      </c>
      <c r="G5073">
        <v>4964</v>
      </c>
      <c r="H5073">
        <v>46</v>
      </c>
      <c r="I5073">
        <v>29.32</v>
      </c>
      <c r="J5073">
        <v>29.36</v>
      </c>
      <c r="K5073" t="s">
        <v>22729</v>
      </c>
      <c r="L5073">
        <v>0.48</v>
      </c>
      <c r="M5073" t="s">
        <v>46</v>
      </c>
      <c r="N5073" t="s">
        <v>7884</v>
      </c>
      <c r="O5073">
        <v>29.5</v>
      </c>
      <c r="P5073">
        <v>29.15</v>
      </c>
      <c r="Q5073">
        <v>29.38</v>
      </c>
      <c r="R5073">
        <v>29.43</v>
      </c>
      <c r="S5073">
        <v>1.19</v>
      </c>
      <c r="T5073">
        <v>0.7</v>
      </c>
      <c r="U5073">
        <v>-61.17</v>
      </c>
      <c r="V5073">
        <v>-126</v>
      </c>
      <c r="W5073">
        <v>29.29</v>
      </c>
      <c r="X5073">
        <v>2781</v>
      </c>
      <c r="Y5073">
        <v>2183</v>
      </c>
      <c r="Z5073">
        <v>1.27</v>
      </c>
      <c r="AA5073">
        <v>2</v>
      </c>
      <c r="AB5073">
        <v>17</v>
      </c>
      <c r="AC5073">
        <v>1.31</v>
      </c>
      <c r="AD5073" t="s">
        <v>4310</v>
      </c>
      <c r="AE5073" t="s">
        <v>1389</v>
      </c>
      <c r="AF5073" t="s">
        <v>6676</v>
      </c>
      <c r="AG5073" t="s">
        <v>13735</v>
      </c>
      <c r="AH5073">
        <v>-1.48</v>
      </c>
      <c r="AI5073">
        <v>-2.1</v>
      </c>
      <c r="AJ5073">
        <v>1.51</v>
      </c>
      <c r="AK5073">
        <v>3.92</v>
      </c>
      <c r="AL5073">
        <v>-1</v>
      </c>
      <c r="AM5073">
        <v>-0.37</v>
      </c>
      <c r="AN5073">
        <v>-23.45</v>
      </c>
      <c r="AO5073">
        <v>1.42</v>
      </c>
      <c r="AP5073">
        <v>-21.69</v>
      </c>
    </row>
    <row r="5074" spans="1:42">
      <c r="A5074">
        <v>5073</v>
      </c>
      <c r="B5074" t="str">
        <f>"688786"</f>
        <v>688786</v>
      </c>
      <c r="C5074" t="s">
        <v>22730</v>
      </c>
      <c r="D5074">
        <v>44.45</v>
      </c>
      <c r="E5074">
        <v>1.09</v>
      </c>
      <c r="F5074">
        <v>0.48</v>
      </c>
      <c r="G5074">
        <v>3281</v>
      </c>
      <c r="H5074">
        <v>52</v>
      </c>
      <c r="I5074">
        <v>44.25</v>
      </c>
      <c r="J5074">
        <v>44.45</v>
      </c>
      <c r="K5074" t="s">
        <v>22731</v>
      </c>
      <c r="L5074">
        <v>0.61</v>
      </c>
      <c r="M5074" t="s">
        <v>46</v>
      </c>
      <c r="N5074" t="s">
        <v>5382</v>
      </c>
      <c r="O5074">
        <v>44.57</v>
      </c>
      <c r="P5074">
        <v>43.55</v>
      </c>
      <c r="Q5074">
        <v>44.01</v>
      </c>
      <c r="R5074">
        <v>43.97</v>
      </c>
      <c r="S5074">
        <v>2.32</v>
      </c>
      <c r="T5074">
        <v>0.76</v>
      </c>
      <c r="U5074">
        <v>-0.5</v>
      </c>
      <c r="V5074">
        <v>-1</v>
      </c>
      <c r="W5074">
        <v>44.28</v>
      </c>
      <c r="X5074">
        <v>1521</v>
      </c>
      <c r="Y5074">
        <v>1760</v>
      </c>
      <c r="Z5074">
        <v>0.86</v>
      </c>
      <c r="AA5074">
        <v>18</v>
      </c>
      <c r="AB5074">
        <v>17</v>
      </c>
      <c r="AC5074">
        <v>5.64</v>
      </c>
      <c r="AD5074" t="s">
        <v>22732</v>
      </c>
      <c r="AE5074" t="s">
        <v>8053</v>
      </c>
      <c r="AF5074" t="s">
        <v>22146</v>
      </c>
      <c r="AG5074" t="s">
        <v>22512</v>
      </c>
      <c r="AH5074">
        <v>0.14</v>
      </c>
      <c r="AI5074">
        <v>-0.29</v>
      </c>
      <c r="AJ5074">
        <v>2.24</v>
      </c>
      <c r="AK5074">
        <v>4.64</v>
      </c>
      <c r="AL5074">
        <v>1</v>
      </c>
      <c r="AM5074">
        <v>1.09</v>
      </c>
      <c r="AN5074">
        <v>8.76</v>
      </c>
      <c r="AO5074">
        <v>2.92</v>
      </c>
      <c r="AP5074">
        <v>-14.49</v>
      </c>
    </row>
    <row r="5075" spans="1:42">
      <c r="A5075">
        <v>5074</v>
      </c>
      <c r="B5075" t="str">
        <f>"839729"</f>
        <v>839729</v>
      </c>
      <c r="C5075" t="s">
        <v>22733</v>
      </c>
      <c r="D5075">
        <v>8.68</v>
      </c>
      <c r="E5075">
        <v>-4.3</v>
      </c>
      <c r="F5075">
        <v>-0.39</v>
      </c>
      <c r="G5075" t="s">
        <v>8137</v>
      </c>
      <c r="H5075">
        <v>434</v>
      </c>
      <c r="I5075">
        <v>8.67</v>
      </c>
      <c r="J5075">
        <v>8.68</v>
      </c>
      <c r="K5075" t="s">
        <v>22734</v>
      </c>
      <c r="L5075">
        <v>2.05</v>
      </c>
      <c r="M5075" t="s">
        <v>46</v>
      </c>
      <c r="N5075" t="s">
        <v>5717</v>
      </c>
      <c r="O5075">
        <v>9.24</v>
      </c>
      <c r="P5075">
        <v>8.51</v>
      </c>
      <c r="Q5075">
        <v>9.16</v>
      </c>
      <c r="R5075">
        <v>9.07</v>
      </c>
      <c r="S5075">
        <v>8.05</v>
      </c>
      <c r="T5075">
        <v>0.41</v>
      </c>
      <c r="U5075">
        <v>-35.6</v>
      </c>
      <c r="V5075">
        <v>-151</v>
      </c>
      <c r="W5075">
        <v>8.8</v>
      </c>
      <c r="X5075" t="s">
        <v>2147</v>
      </c>
      <c r="Y5075">
        <v>5748</v>
      </c>
      <c r="Z5075">
        <v>1.87</v>
      </c>
      <c r="AA5075">
        <v>1</v>
      </c>
      <c r="AB5075">
        <v>75</v>
      </c>
      <c r="AC5075">
        <v>3.55</v>
      </c>
      <c r="AD5075" t="s">
        <v>3314</v>
      </c>
      <c r="AE5075" t="s">
        <v>21036</v>
      </c>
      <c r="AF5075" t="s">
        <v>12549</v>
      </c>
      <c r="AG5075" t="s">
        <v>22735</v>
      </c>
      <c r="AH5075">
        <v>-11.79</v>
      </c>
      <c r="AI5075">
        <v>3.21</v>
      </c>
      <c r="AJ5075">
        <v>8.5</v>
      </c>
      <c r="AK5075">
        <v>26.89</v>
      </c>
      <c r="AL5075">
        <v>-1</v>
      </c>
      <c r="AM5075">
        <v>-4.3</v>
      </c>
      <c r="AN5075">
        <v>11.42</v>
      </c>
      <c r="AO5075">
        <v>23.12</v>
      </c>
      <c r="AP5075">
        <v>11.42</v>
      </c>
    </row>
    <row r="5076" spans="1:42">
      <c r="A5076">
        <v>5075</v>
      </c>
      <c r="B5076" t="str">
        <f>"838810"</f>
        <v>838810</v>
      </c>
      <c r="C5076" t="s">
        <v>22736</v>
      </c>
      <c r="D5076">
        <v>7.45</v>
      </c>
      <c r="E5076">
        <v>-5.7</v>
      </c>
      <c r="F5076">
        <v>-0.45</v>
      </c>
      <c r="G5076" t="s">
        <v>2329</v>
      </c>
      <c r="H5076">
        <v>500</v>
      </c>
      <c r="I5076">
        <v>7.45</v>
      </c>
      <c r="J5076">
        <v>7.46</v>
      </c>
      <c r="K5076" t="s">
        <v>22737</v>
      </c>
      <c r="L5076">
        <v>7.37</v>
      </c>
      <c r="M5076" t="s">
        <v>46</v>
      </c>
      <c r="N5076" t="s">
        <v>424</v>
      </c>
      <c r="O5076">
        <v>8.1</v>
      </c>
      <c r="P5076">
        <v>7.38</v>
      </c>
      <c r="Q5076">
        <v>7.81</v>
      </c>
      <c r="R5076">
        <v>7.9</v>
      </c>
      <c r="S5076">
        <v>9.11</v>
      </c>
      <c r="T5076">
        <v>0.47</v>
      </c>
      <c r="U5076">
        <v>79.19</v>
      </c>
      <c r="V5076">
        <v>607</v>
      </c>
      <c r="W5076">
        <v>7.59</v>
      </c>
      <c r="X5076" t="s">
        <v>209</v>
      </c>
      <c r="Y5076">
        <v>6286</v>
      </c>
      <c r="Z5076">
        <v>2.04</v>
      </c>
      <c r="AA5076">
        <v>300</v>
      </c>
      <c r="AB5076">
        <v>1</v>
      </c>
      <c r="AC5076">
        <v>1.78</v>
      </c>
      <c r="AD5076" t="s">
        <v>22738</v>
      </c>
      <c r="AE5076" t="s">
        <v>5946</v>
      </c>
      <c r="AF5076" t="s">
        <v>20535</v>
      </c>
      <c r="AG5076" t="s">
        <v>22739</v>
      </c>
      <c r="AH5076">
        <v>-14.47</v>
      </c>
      <c r="AI5076">
        <v>2.34</v>
      </c>
      <c r="AJ5076">
        <v>29.68</v>
      </c>
      <c r="AK5076">
        <v>86.3</v>
      </c>
      <c r="AL5076">
        <v>-1</v>
      </c>
      <c r="AM5076">
        <v>-5.7</v>
      </c>
      <c r="AN5076">
        <v>-8.36</v>
      </c>
      <c r="AO5076">
        <v>15.68</v>
      </c>
      <c r="AP5076">
        <v>-13.87</v>
      </c>
    </row>
    <row r="5077" spans="1:42">
      <c r="A5077">
        <v>5076</v>
      </c>
      <c r="B5077" t="str">
        <f>"688631"</f>
        <v>688631</v>
      </c>
      <c r="C5077" t="s">
        <v>22740</v>
      </c>
      <c r="D5077">
        <v>35.09</v>
      </c>
      <c r="E5077">
        <v>0.66</v>
      </c>
      <c r="F5077">
        <v>0.23</v>
      </c>
      <c r="G5077">
        <v>4155</v>
      </c>
      <c r="H5077">
        <v>88</v>
      </c>
      <c r="I5077">
        <v>35.06</v>
      </c>
      <c r="J5077">
        <v>35.09</v>
      </c>
      <c r="K5077" t="s">
        <v>22741</v>
      </c>
      <c r="L5077">
        <v>1.18</v>
      </c>
      <c r="M5077" t="s">
        <v>46</v>
      </c>
      <c r="N5077" t="s">
        <v>4388</v>
      </c>
      <c r="O5077">
        <v>35.2</v>
      </c>
      <c r="P5077">
        <v>34.29</v>
      </c>
      <c r="Q5077">
        <v>34.86</v>
      </c>
      <c r="R5077">
        <v>34.86</v>
      </c>
      <c r="S5077">
        <v>2.61</v>
      </c>
      <c r="T5077">
        <v>0.44</v>
      </c>
      <c r="U5077">
        <v>4.74</v>
      </c>
      <c r="V5077">
        <v>10</v>
      </c>
      <c r="W5077">
        <v>34.84</v>
      </c>
      <c r="X5077">
        <v>2039</v>
      </c>
      <c r="Y5077">
        <v>2117</v>
      </c>
      <c r="Z5077">
        <v>0.96</v>
      </c>
      <c r="AA5077">
        <v>20</v>
      </c>
      <c r="AB5077">
        <v>2</v>
      </c>
      <c r="AC5077">
        <v>3.29</v>
      </c>
      <c r="AD5077" t="s">
        <v>6172</v>
      </c>
      <c r="AE5077" t="s">
        <v>21789</v>
      </c>
      <c r="AF5077" t="s">
        <v>9418</v>
      </c>
      <c r="AG5077" t="s">
        <v>9594</v>
      </c>
      <c r="AH5077">
        <v>-3.17</v>
      </c>
      <c r="AI5077">
        <v>-3.28</v>
      </c>
      <c r="AJ5077">
        <v>4.69</v>
      </c>
      <c r="AK5077">
        <v>14.64</v>
      </c>
      <c r="AL5077">
        <v>1</v>
      </c>
      <c r="AM5077">
        <v>0.66</v>
      </c>
      <c r="AN5077">
        <v>38.81</v>
      </c>
      <c r="AO5077">
        <v>-3.2</v>
      </c>
      <c r="AP5077">
        <v>38.81</v>
      </c>
    </row>
    <row r="5078" spans="1:42">
      <c r="A5078">
        <v>5077</v>
      </c>
      <c r="B5078" t="str">
        <f>"603086"</f>
        <v>603086</v>
      </c>
      <c r="C5078" t="s">
        <v>22742</v>
      </c>
      <c r="D5078">
        <v>5.97</v>
      </c>
      <c r="E5078">
        <v>-0.5</v>
      </c>
      <c r="F5078">
        <v>-0.03</v>
      </c>
      <c r="G5078" t="s">
        <v>4037</v>
      </c>
      <c r="H5078">
        <v>73</v>
      </c>
      <c r="I5078">
        <v>5.97</v>
      </c>
      <c r="J5078">
        <v>5.98</v>
      </c>
      <c r="K5078" t="s">
        <v>22743</v>
      </c>
      <c r="L5078">
        <v>0.56</v>
      </c>
      <c r="M5078" t="s">
        <v>46</v>
      </c>
      <c r="N5078" t="s">
        <v>7530</v>
      </c>
      <c r="O5078">
        <v>6.02</v>
      </c>
      <c r="P5078">
        <v>5.95</v>
      </c>
      <c r="Q5078">
        <v>5.98</v>
      </c>
      <c r="R5078">
        <v>6</v>
      </c>
      <c r="S5078">
        <v>1.17</v>
      </c>
      <c r="T5078">
        <v>0.67</v>
      </c>
      <c r="U5078">
        <v>12.06</v>
      </c>
      <c r="V5078">
        <v>289</v>
      </c>
      <c r="W5078">
        <v>5.98</v>
      </c>
      <c r="X5078" t="s">
        <v>3284</v>
      </c>
      <c r="Y5078" t="s">
        <v>1400</v>
      </c>
      <c r="Z5078">
        <v>1.31</v>
      </c>
      <c r="AA5078">
        <v>13</v>
      </c>
      <c r="AB5078">
        <v>131</v>
      </c>
      <c r="AC5078">
        <v>1.22</v>
      </c>
      <c r="AD5078" t="s">
        <v>17894</v>
      </c>
      <c r="AE5078" t="s">
        <v>22322</v>
      </c>
      <c r="AF5078" t="s">
        <v>17894</v>
      </c>
      <c r="AG5078" t="s">
        <v>22322</v>
      </c>
      <c r="AH5078">
        <v>-1.81</v>
      </c>
      <c r="AI5078">
        <v>-2.45</v>
      </c>
      <c r="AJ5078">
        <v>2.09</v>
      </c>
      <c r="AK5078">
        <v>4.72</v>
      </c>
      <c r="AL5078">
        <v>-3</v>
      </c>
      <c r="AM5078">
        <v>-0.5</v>
      </c>
      <c r="AN5078">
        <v>-34.9</v>
      </c>
      <c r="AO5078">
        <v>2.75</v>
      </c>
      <c r="AP5078">
        <v>-40.36</v>
      </c>
    </row>
    <row r="5079" spans="1:42">
      <c r="A5079">
        <v>5078</v>
      </c>
      <c r="B5079" t="str">
        <f>"688638"</f>
        <v>688638</v>
      </c>
      <c r="C5079" t="s">
        <v>22744</v>
      </c>
      <c r="D5079">
        <v>61.44</v>
      </c>
      <c r="E5079">
        <v>-0.37</v>
      </c>
      <c r="F5079">
        <v>-0.23</v>
      </c>
      <c r="G5079">
        <v>2354</v>
      </c>
      <c r="H5079">
        <v>3</v>
      </c>
      <c r="I5079">
        <v>61.35</v>
      </c>
      <c r="J5079">
        <v>61.44</v>
      </c>
      <c r="K5079" t="s">
        <v>22745</v>
      </c>
      <c r="L5079">
        <v>2.63</v>
      </c>
      <c r="M5079" t="s">
        <v>46</v>
      </c>
      <c r="N5079" t="s">
        <v>1629</v>
      </c>
      <c r="O5079">
        <v>61.99</v>
      </c>
      <c r="P5079">
        <v>60.75</v>
      </c>
      <c r="Q5079">
        <v>61.99</v>
      </c>
      <c r="R5079">
        <v>61.67</v>
      </c>
      <c r="S5079">
        <v>2.01</v>
      </c>
      <c r="T5079">
        <v>0.59</v>
      </c>
      <c r="U5079">
        <v>74.96</v>
      </c>
      <c r="V5079">
        <v>106</v>
      </c>
      <c r="W5079">
        <v>61.4</v>
      </c>
      <c r="X5079">
        <v>1298</v>
      </c>
      <c r="Y5079">
        <v>1056</v>
      </c>
      <c r="Z5079">
        <v>1.23</v>
      </c>
      <c r="AA5079">
        <v>1</v>
      </c>
      <c r="AB5079">
        <v>4</v>
      </c>
      <c r="AC5079">
        <v>2.23</v>
      </c>
      <c r="AD5079" t="s">
        <v>6569</v>
      </c>
      <c r="AE5079" t="s">
        <v>7257</v>
      </c>
      <c r="AF5079" t="s">
        <v>22746</v>
      </c>
      <c r="AG5079" t="s">
        <v>22747</v>
      </c>
      <c r="AH5079">
        <v>-2.07</v>
      </c>
      <c r="AI5079">
        <v>-0.9</v>
      </c>
      <c r="AJ5079">
        <v>8.82</v>
      </c>
      <c r="AK5079">
        <v>24.87</v>
      </c>
      <c r="AL5079">
        <v>-1</v>
      </c>
      <c r="AM5079">
        <v>-0.37</v>
      </c>
      <c r="AN5079">
        <v>-26.77</v>
      </c>
      <c r="AO5079">
        <v>2.95</v>
      </c>
      <c r="AP5079">
        <v>-26.77</v>
      </c>
    </row>
    <row r="5080" spans="1:42">
      <c r="A5080">
        <v>5079</v>
      </c>
      <c r="B5080" t="str">
        <f>"832651"</f>
        <v>832651</v>
      </c>
      <c r="C5080" t="s">
        <v>22748</v>
      </c>
      <c r="D5080">
        <v>14.61</v>
      </c>
      <c r="E5080">
        <v>-4.38</v>
      </c>
      <c r="F5080">
        <v>-0.67</v>
      </c>
      <c r="G5080">
        <v>9658</v>
      </c>
      <c r="H5080">
        <v>142</v>
      </c>
      <c r="I5080">
        <v>14.54</v>
      </c>
      <c r="J5080">
        <v>14.61</v>
      </c>
      <c r="K5080" t="s">
        <v>22749</v>
      </c>
      <c r="L5080">
        <v>6.8</v>
      </c>
      <c r="M5080" t="s">
        <v>46</v>
      </c>
      <c r="N5080" t="s">
        <v>7040</v>
      </c>
      <c r="O5080">
        <v>15.7</v>
      </c>
      <c r="P5080">
        <v>14.44</v>
      </c>
      <c r="Q5080">
        <v>15.47</v>
      </c>
      <c r="R5080">
        <v>15.28</v>
      </c>
      <c r="S5080">
        <v>8.25</v>
      </c>
      <c r="T5080">
        <v>0.39</v>
      </c>
      <c r="U5080">
        <v>-40.56</v>
      </c>
      <c r="V5080">
        <v>-95</v>
      </c>
      <c r="W5080">
        <v>14.92</v>
      </c>
      <c r="X5080">
        <v>6430</v>
      </c>
      <c r="Y5080">
        <v>3229</v>
      </c>
      <c r="Z5080">
        <v>1.99</v>
      </c>
      <c r="AA5080">
        <v>10</v>
      </c>
      <c r="AB5080">
        <v>22</v>
      </c>
      <c r="AC5080">
        <v>1.98</v>
      </c>
      <c r="AD5080" t="s">
        <v>6009</v>
      </c>
      <c r="AE5080" t="s">
        <v>22750</v>
      </c>
      <c r="AF5080" t="s">
        <v>22751</v>
      </c>
      <c r="AG5080" t="s">
        <v>22752</v>
      </c>
      <c r="AH5080">
        <v>-17.92</v>
      </c>
      <c r="AI5080">
        <v>-4.07</v>
      </c>
      <c r="AJ5080">
        <v>28.9</v>
      </c>
      <c r="AK5080">
        <v>94.01</v>
      </c>
      <c r="AL5080">
        <v>-4</v>
      </c>
      <c r="AM5080">
        <v>-4.38</v>
      </c>
      <c r="AN5080">
        <v>9.85</v>
      </c>
      <c r="AO5080">
        <v>23.92</v>
      </c>
      <c r="AP5080">
        <v>51.4</v>
      </c>
    </row>
    <row r="5081" spans="1:42">
      <c r="A5081">
        <v>5080</v>
      </c>
      <c r="B5081" t="str">
        <f>"301077"</f>
        <v>301077</v>
      </c>
      <c r="C5081" t="s">
        <v>22753</v>
      </c>
      <c r="D5081">
        <v>21.04</v>
      </c>
      <c r="E5081">
        <v>-0.57</v>
      </c>
      <c r="F5081">
        <v>-0.12</v>
      </c>
      <c r="G5081">
        <v>6842</v>
      </c>
      <c r="H5081">
        <v>57</v>
      </c>
      <c r="I5081">
        <v>21.03</v>
      </c>
      <c r="J5081">
        <v>21.09</v>
      </c>
      <c r="K5081" t="s">
        <v>22754</v>
      </c>
      <c r="L5081">
        <v>1.6</v>
      </c>
      <c r="M5081" t="s">
        <v>46</v>
      </c>
      <c r="N5081" t="s">
        <v>9420</v>
      </c>
      <c r="O5081">
        <v>21.23</v>
      </c>
      <c r="P5081">
        <v>20.85</v>
      </c>
      <c r="Q5081">
        <v>21.23</v>
      </c>
      <c r="R5081">
        <v>21.16</v>
      </c>
      <c r="S5081">
        <v>1.8</v>
      </c>
      <c r="T5081">
        <v>0.9</v>
      </c>
      <c r="U5081">
        <v>94.69</v>
      </c>
      <c r="V5081">
        <v>1534</v>
      </c>
      <c r="W5081">
        <v>21</v>
      </c>
      <c r="X5081">
        <v>3117</v>
      </c>
      <c r="Y5081">
        <v>3725</v>
      </c>
      <c r="Z5081">
        <v>0.84</v>
      </c>
      <c r="AA5081">
        <v>15</v>
      </c>
      <c r="AB5081">
        <v>3</v>
      </c>
      <c r="AC5081">
        <v>2.1</v>
      </c>
      <c r="AD5081" t="s">
        <v>5210</v>
      </c>
      <c r="AE5081" t="s">
        <v>19289</v>
      </c>
      <c r="AF5081" t="s">
        <v>22755</v>
      </c>
      <c r="AG5081" t="s">
        <v>16911</v>
      </c>
      <c r="AH5081">
        <v>-3.04</v>
      </c>
      <c r="AI5081">
        <v>-3.04</v>
      </c>
      <c r="AJ5081">
        <v>5.76</v>
      </c>
      <c r="AK5081">
        <v>10.5</v>
      </c>
      <c r="AL5081">
        <v>-3</v>
      </c>
      <c r="AM5081">
        <v>-0.57</v>
      </c>
      <c r="AN5081">
        <v>0.86</v>
      </c>
      <c r="AO5081">
        <v>-0.66</v>
      </c>
      <c r="AP5081">
        <v>-8.12</v>
      </c>
    </row>
    <row r="5082" spans="1:42">
      <c r="A5082">
        <v>5081</v>
      </c>
      <c r="B5082" t="str">
        <f>"688096"</f>
        <v>688096</v>
      </c>
      <c r="C5082" t="s">
        <v>22756</v>
      </c>
      <c r="D5082">
        <v>9.75</v>
      </c>
      <c r="E5082">
        <v>0.1</v>
      </c>
      <c r="F5082">
        <v>0.01</v>
      </c>
      <c r="G5082" t="s">
        <v>3130</v>
      </c>
      <c r="H5082">
        <v>41</v>
      </c>
      <c r="I5082">
        <v>9.74</v>
      </c>
      <c r="J5082">
        <v>9.75</v>
      </c>
      <c r="K5082" t="s">
        <v>22757</v>
      </c>
      <c r="L5082">
        <v>0.97</v>
      </c>
      <c r="M5082" t="s">
        <v>46</v>
      </c>
      <c r="N5082" t="s">
        <v>4803</v>
      </c>
      <c r="O5082">
        <v>9.79</v>
      </c>
      <c r="P5082">
        <v>9.68</v>
      </c>
      <c r="Q5082">
        <v>9.75</v>
      </c>
      <c r="R5082">
        <v>9.74</v>
      </c>
      <c r="S5082">
        <v>1.13</v>
      </c>
      <c r="T5082">
        <v>1.15</v>
      </c>
      <c r="U5082">
        <v>-41.32</v>
      </c>
      <c r="V5082">
        <v>-505</v>
      </c>
      <c r="W5082">
        <v>9.74</v>
      </c>
      <c r="X5082">
        <v>7766</v>
      </c>
      <c r="Y5082">
        <v>6946</v>
      </c>
      <c r="Z5082">
        <v>1.12</v>
      </c>
      <c r="AA5082">
        <v>20</v>
      </c>
      <c r="AB5082">
        <v>16</v>
      </c>
      <c r="AC5082">
        <v>1.81</v>
      </c>
      <c r="AD5082" t="s">
        <v>4767</v>
      </c>
      <c r="AE5082" t="s">
        <v>7368</v>
      </c>
      <c r="AF5082" t="s">
        <v>4767</v>
      </c>
      <c r="AG5082" t="s">
        <v>7368</v>
      </c>
      <c r="AH5082">
        <v>-1.22</v>
      </c>
      <c r="AI5082">
        <v>-0.81</v>
      </c>
      <c r="AJ5082">
        <v>2.51</v>
      </c>
      <c r="AK5082">
        <v>5.19</v>
      </c>
      <c r="AL5082">
        <v>1</v>
      </c>
      <c r="AM5082">
        <v>0.1</v>
      </c>
      <c r="AN5082">
        <v>14.57</v>
      </c>
      <c r="AO5082">
        <v>1.56</v>
      </c>
      <c r="AP5082">
        <v>4.61</v>
      </c>
    </row>
    <row r="5083" spans="1:42">
      <c r="A5083">
        <v>5082</v>
      </c>
      <c r="B5083" t="str">
        <f>"300512"</f>
        <v>300512</v>
      </c>
      <c r="C5083" t="s">
        <v>22758</v>
      </c>
      <c r="D5083">
        <v>8.38</v>
      </c>
      <c r="E5083">
        <v>-0.24</v>
      </c>
      <c r="F5083">
        <v>-0.02</v>
      </c>
      <c r="G5083" t="s">
        <v>2397</v>
      </c>
      <c r="H5083">
        <v>408</v>
      </c>
      <c r="I5083">
        <v>8.37</v>
      </c>
      <c r="J5083">
        <v>8.38</v>
      </c>
      <c r="K5083" t="s">
        <v>22757</v>
      </c>
      <c r="L5083">
        <v>0.52</v>
      </c>
      <c r="M5083" t="s">
        <v>46</v>
      </c>
      <c r="N5083" t="s">
        <v>16241</v>
      </c>
      <c r="O5083">
        <v>8.46</v>
      </c>
      <c r="P5083">
        <v>8.31</v>
      </c>
      <c r="Q5083">
        <v>8.34</v>
      </c>
      <c r="R5083">
        <v>8.4</v>
      </c>
      <c r="S5083">
        <v>1.79</v>
      </c>
      <c r="T5083">
        <v>0.84</v>
      </c>
      <c r="U5083">
        <v>4.37</v>
      </c>
      <c r="V5083">
        <v>73</v>
      </c>
      <c r="W5083">
        <v>8.37</v>
      </c>
      <c r="X5083">
        <v>8056</v>
      </c>
      <c r="Y5083">
        <v>9060</v>
      </c>
      <c r="Z5083">
        <v>0.89</v>
      </c>
      <c r="AA5083">
        <v>334</v>
      </c>
      <c r="AB5083">
        <v>57</v>
      </c>
      <c r="AC5083">
        <v>2.09</v>
      </c>
      <c r="AD5083" t="s">
        <v>21723</v>
      </c>
      <c r="AE5083" t="s">
        <v>16455</v>
      </c>
      <c r="AF5083" t="s">
        <v>22759</v>
      </c>
      <c r="AG5083" t="s">
        <v>20356</v>
      </c>
      <c r="AH5083">
        <v>-0.59</v>
      </c>
      <c r="AI5083">
        <v>0</v>
      </c>
      <c r="AJ5083">
        <v>1.79</v>
      </c>
      <c r="AK5083">
        <v>3.64</v>
      </c>
      <c r="AL5083">
        <v>-1</v>
      </c>
      <c r="AM5083">
        <v>-0.24</v>
      </c>
      <c r="AN5083">
        <v>22.51</v>
      </c>
      <c r="AO5083">
        <v>3.97</v>
      </c>
      <c r="AP5083">
        <v>10.99</v>
      </c>
    </row>
    <row r="5084" spans="1:42">
      <c r="A5084">
        <v>5083</v>
      </c>
      <c r="B5084" t="str">
        <f>"605599"</f>
        <v>605599</v>
      </c>
      <c r="C5084" t="s">
        <v>22760</v>
      </c>
      <c r="D5084">
        <v>13.6</v>
      </c>
      <c r="E5084">
        <v>0.89</v>
      </c>
      <c r="F5084">
        <v>0.12</v>
      </c>
      <c r="G5084" t="s">
        <v>218</v>
      </c>
      <c r="H5084">
        <v>79</v>
      </c>
      <c r="I5084">
        <v>13.6</v>
      </c>
      <c r="J5084">
        <v>13.61</v>
      </c>
      <c r="K5084" t="s">
        <v>22761</v>
      </c>
      <c r="L5084">
        <v>0.18</v>
      </c>
      <c r="M5084" t="s">
        <v>46</v>
      </c>
      <c r="N5084" t="s">
        <v>3965</v>
      </c>
      <c r="O5084">
        <v>13.67</v>
      </c>
      <c r="P5084">
        <v>13.34</v>
      </c>
      <c r="Q5084">
        <v>13.48</v>
      </c>
      <c r="R5084">
        <v>13.48</v>
      </c>
      <c r="S5084">
        <v>2.45</v>
      </c>
      <c r="T5084">
        <v>0.64</v>
      </c>
      <c r="U5084">
        <v>-74.77</v>
      </c>
      <c r="V5084">
        <v>-1366</v>
      </c>
      <c r="W5084">
        <v>13.56</v>
      </c>
      <c r="X5084">
        <v>4405</v>
      </c>
      <c r="Y5084">
        <v>6154</v>
      </c>
      <c r="Z5084">
        <v>0.72</v>
      </c>
      <c r="AA5084">
        <v>68</v>
      </c>
      <c r="AB5084">
        <v>141</v>
      </c>
      <c r="AC5084">
        <v>2.9</v>
      </c>
      <c r="AD5084" t="s">
        <v>22762</v>
      </c>
      <c r="AE5084" t="s">
        <v>6248</v>
      </c>
      <c r="AF5084" t="s">
        <v>4793</v>
      </c>
      <c r="AG5084" t="s">
        <v>22763</v>
      </c>
      <c r="AH5084">
        <v>1.49</v>
      </c>
      <c r="AI5084">
        <v>1.64</v>
      </c>
      <c r="AJ5084">
        <v>0.76</v>
      </c>
      <c r="AK5084">
        <v>1.59</v>
      </c>
      <c r="AL5084">
        <v>1</v>
      </c>
      <c r="AM5084">
        <v>0.89</v>
      </c>
      <c r="AN5084">
        <v>39.92</v>
      </c>
      <c r="AO5084">
        <v>-0.73</v>
      </c>
      <c r="AP5084">
        <v>53.67</v>
      </c>
    </row>
    <row r="5085" spans="1:42">
      <c r="A5085">
        <v>5084</v>
      </c>
      <c r="B5085" t="str">
        <f>"603235"</f>
        <v>603235</v>
      </c>
      <c r="C5085" t="s">
        <v>22764</v>
      </c>
      <c r="D5085">
        <v>26.38</v>
      </c>
      <c r="E5085">
        <v>0.11</v>
      </c>
      <c r="F5085">
        <v>0.03</v>
      </c>
      <c r="G5085">
        <v>5429</v>
      </c>
      <c r="H5085">
        <v>61</v>
      </c>
      <c r="I5085">
        <v>26.38</v>
      </c>
      <c r="J5085">
        <v>26.42</v>
      </c>
      <c r="K5085" t="s">
        <v>22761</v>
      </c>
      <c r="L5085">
        <v>1.24</v>
      </c>
      <c r="M5085" t="s">
        <v>46</v>
      </c>
      <c r="N5085" t="s">
        <v>2959</v>
      </c>
      <c r="O5085">
        <v>26.54</v>
      </c>
      <c r="P5085">
        <v>26.23</v>
      </c>
      <c r="Q5085">
        <v>26.48</v>
      </c>
      <c r="R5085">
        <v>26.35</v>
      </c>
      <c r="S5085">
        <v>1.18</v>
      </c>
      <c r="T5085">
        <v>0.68</v>
      </c>
      <c r="U5085">
        <v>-44.44</v>
      </c>
      <c r="V5085">
        <v>-64</v>
      </c>
      <c r="W5085">
        <v>26.37</v>
      </c>
      <c r="X5085">
        <v>2617</v>
      </c>
      <c r="Y5085">
        <v>2812</v>
      </c>
      <c r="Z5085">
        <v>0.93</v>
      </c>
      <c r="AA5085">
        <v>2</v>
      </c>
      <c r="AB5085">
        <v>10</v>
      </c>
      <c r="AC5085">
        <v>2.77</v>
      </c>
      <c r="AD5085" t="s">
        <v>22765</v>
      </c>
      <c r="AE5085" t="s">
        <v>4125</v>
      </c>
      <c r="AF5085" t="s">
        <v>22766</v>
      </c>
      <c r="AG5085" t="s">
        <v>16556</v>
      </c>
      <c r="AH5085">
        <v>-1.2</v>
      </c>
      <c r="AI5085">
        <v>-1.64</v>
      </c>
      <c r="AJ5085">
        <v>4.2</v>
      </c>
      <c r="AK5085">
        <v>10.32</v>
      </c>
      <c r="AL5085">
        <v>1</v>
      </c>
      <c r="AM5085">
        <v>0.11</v>
      </c>
      <c r="AN5085">
        <v>-7.15</v>
      </c>
      <c r="AO5085">
        <v>0.42</v>
      </c>
      <c r="AP5085">
        <v>-13.88</v>
      </c>
    </row>
    <row r="5086" spans="1:42">
      <c r="A5086">
        <v>5085</v>
      </c>
      <c r="B5086" t="str">
        <f>"688119"</f>
        <v>688119</v>
      </c>
      <c r="C5086" t="s">
        <v>22767</v>
      </c>
      <c r="D5086">
        <v>5.08</v>
      </c>
      <c r="E5086">
        <v>0.4</v>
      </c>
      <c r="F5086">
        <v>0.02</v>
      </c>
      <c r="G5086" t="s">
        <v>7993</v>
      </c>
      <c r="H5086">
        <v>397</v>
      </c>
      <c r="I5086">
        <v>5.08</v>
      </c>
      <c r="J5086">
        <v>5.09</v>
      </c>
      <c r="K5086" t="s">
        <v>22768</v>
      </c>
      <c r="L5086">
        <v>0.5</v>
      </c>
      <c r="M5086" t="s">
        <v>46</v>
      </c>
      <c r="N5086" t="s">
        <v>4516</v>
      </c>
      <c r="O5086">
        <v>5.11</v>
      </c>
      <c r="P5086">
        <v>5.04</v>
      </c>
      <c r="Q5086">
        <v>5.08</v>
      </c>
      <c r="R5086">
        <v>5.06</v>
      </c>
      <c r="S5086">
        <v>1.38</v>
      </c>
      <c r="T5086">
        <v>0.69</v>
      </c>
      <c r="U5086">
        <v>-24.22</v>
      </c>
      <c r="V5086">
        <v>-1910</v>
      </c>
      <c r="W5086">
        <v>5.07</v>
      </c>
      <c r="X5086" t="s">
        <v>4792</v>
      </c>
      <c r="Y5086" t="s">
        <v>141</v>
      </c>
      <c r="Z5086">
        <v>0.78</v>
      </c>
      <c r="AA5086">
        <v>994</v>
      </c>
      <c r="AB5086">
        <v>744</v>
      </c>
      <c r="AC5086">
        <v>1.86</v>
      </c>
      <c r="AD5086" t="s">
        <v>6730</v>
      </c>
      <c r="AE5086" t="s">
        <v>22769</v>
      </c>
      <c r="AF5086" t="s">
        <v>12894</v>
      </c>
      <c r="AG5086" t="s">
        <v>17977</v>
      </c>
      <c r="AH5086">
        <v>-1.74</v>
      </c>
      <c r="AI5086">
        <v>-2.12</v>
      </c>
      <c r="AJ5086">
        <v>2.13</v>
      </c>
      <c r="AK5086">
        <v>4.1</v>
      </c>
      <c r="AL5086">
        <v>1</v>
      </c>
      <c r="AM5086">
        <v>0.4</v>
      </c>
      <c r="AN5086">
        <v>-17.8</v>
      </c>
      <c r="AO5086">
        <v>2.01</v>
      </c>
      <c r="AP5086">
        <v>-24.07</v>
      </c>
    </row>
    <row r="5087" spans="1:42">
      <c r="A5087">
        <v>5086</v>
      </c>
      <c r="B5087" t="str">
        <f>"300196"</f>
        <v>300196</v>
      </c>
      <c r="C5087" t="s">
        <v>22770</v>
      </c>
      <c r="D5087">
        <v>11.76</v>
      </c>
      <c r="E5087">
        <v>0.26</v>
      </c>
      <c r="F5087">
        <v>0.03</v>
      </c>
      <c r="G5087" t="s">
        <v>1254</v>
      </c>
      <c r="H5087">
        <v>129</v>
      </c>
      <c r="I5087">
        <v>11.75</v>
      </c>
      <c r="J5087">
        <v>11.76</v>
      </c>
      <c r="K5087" t="s">
        <v>22771</v>
      </c>
      <c r="L5087">
        <v>0.49</v>
      </c>
      <c r="M5087" t="s">
        <v>46</v>
      </c>
      <c r="N5087" t="s">
        <v>507</v>
      </c>
      <c r="O5087">
        <v>11.79</v>
      </c>
      <c r="P5087">
        <v>11.65</v>
      </c>
      <c r="Q5087">
        <v>11.69</v>
      </c>
      <c r="R5087">
        <v>11.73</v>
      </c>
      <c r="S5087">
        <v>1.19</v>
      </c>
      <c r="T5087">
        <v>0.73</v>
      </c>
      <c r="U5087">
        <v>30.9</v>
      </c>
      <c r="V5087">
        <v>458</v>
      </c>
      <c r="W5087">
        <v>11.72</v>
      </c>
      <c r="X5087">
        <v>6392</v>
      </c>
      <c r="Y5087">
        <v>5782</v>
      </c>
      <c r="Z5087">
        <v>1.11</v>
      </c>
      <c r="AA5087">
        <v>426</v>
      </c>
      <c r="AB5087">
        <v>4</v>
      </c>
      <c r="AC5087">
        <v>1.1</v>
      </c>
      <c r="AD5087" t="s">
        <v>21040</v>
      </c>
      <c r="AE5087" t="s">
        <v>13691</v>
      </c>
      <c r="AF5087" t="s">
        <v>1910</v>
      </c>
      <c r="AG5087" t="s">
        <v>902</v>
      </c>
      <c r="AH5087">
        <v>-3.29</v>
      </c>
      <c r="AI5087">
        <v>-4.7</v>
      </c>
      <c r="AJ5087">
        <v>2.39</v>
      </c>
      <c r="AK5087">
        <v>3.88</v>
      </c>
      <c r="AL5087">
        <v>1</v>
      </c>
      <c r="AM5087">
        <v>0.26</v>
      </c>
      <c r="AN5087">
        <v>-15.58</v>
      </c>
      <c r="AO5087">
        <v>-5.31</v>
      </c>
      <c r="AP5087">
        <v>-21.76</v>
      </c>
    </row>
    <row r="5088" spans="1:42">
      <c r="A5088">
        <v>5087</v>
      </c>
      <c r="B5088" t="str">
        <f>"301296"</f>
        <v>301296</v>
      </c>
      <c r="C5088" t="s">
        <v>22772</v>
      </c>
      <c r="D5088">
        <v>11.99</v>
      </c>
      <c r="E5088">
        <v>0.5</v>
      </c>
      <c r="F5088">
        <v>0.06</v>
      </c>
      <c r="G5088" t="s">
        <v>718</v>
      </c>
      <c r="H5088">
        <v>35</v>
      </c>
      <c r="I5088">
        <v>11.98</v>
      </c>
      <c r="J5088">
        <v>11.99</v>
      </c>
      <c r="K5088" t="s">
        <v>22773</v>
      </c>
      <c r="L5088">
        <v>0.44</v>
      </c>
      <c r="M5088" t="s">
        <v>46</v>
      </c>
      <c r="N5088" t="s">
        <v>5397</v>
      </c>
      <c r="O5088">
        <v>12.02</v>
      </c>
      <c r="P5088">
        <v>11.87</v>
      </c>
      <c r="Q5088">
        <v>11.96</v>
      </c>
      <c r="R5088">
        <v>11.93</v>
      </c>
      <c r="S5088">
        <v>1.26</v>
      </c>
      <c r="T5088">
        <v>0.8</v>
      </c>
      <c r="U5088">
        <v>-49.9</v>
      </c>
      <c r="V5088">
        <v>-596</v>
      </c>
      <c r="W5088">
        <v>11.94</v>
      </c>
      <c r="X5088">
        <v>5901</v>
      </c>
      <c r="Y5088">
        <v>6031</v>
      </c>
      <c r="Z5088">
        <v>0.98</v>
      </c>
      <c r="AA5088">
        <v>8</v>
      </c>
      <c r="AB5088">
        <v>10</v>
      </c>
      <c r="AC5088">
        <v>2.02</v>
      </c>
      <c r="AD5088" t="s">
        <v>7825</v>
      </c>
      <c r="AE5088" t="s">
        <v>22774</v>
      </c>
      <c r="AF5088" t="s">
        <v>22392</v>
      </c>
      <c r="AG5088" t="s">
        <v>13617</v>
      </c>
      <c r="AH5088">
        <v>-2.28</v>
      </c>
      <c r="AI5088">
        <v>-3.38</v>
      </c>
      <c r="AJ5088">
        <v>1.54</v>
      </c>
      <c r="AK5088">
        <v>3.17</v>
      </c>
      <c r="AL5088">
        <v>1</v>
      </c>
      <c r="AM5088">
        <v>0.5</v>
      </c>
      <c r="AN5088">
        <v>-22.19</v>
      </c>
      <c r="AO5088">
        <v>-1.64</v>
      </c>
      <c r="AP5088">
        <v>-31.64</v>
      </c>
    </row>
    <row r="5089" spans="1:42">
      <c r="A5089">
        <v>5088</v>
      </c>
      <c r="B5089" t="str">
        <f>"002694"</f>
        <v>002694</v>
      </c>
      <c r="C5089" t="s">
        <v>22775</v>
      </c>
      <c r="D5089">
        <v>6.42</v>
      </c>
      <c r="E5089">
        <v>0.78</v>
      </c>
      <c r="F5089">
        <v>0.05</v>
      </c>
      <c r="G5089" t="s">
        <v>8267</v>
      </c>
      <c r="H5089">
        <v>144</v>
      </c>
      <c r="I5089">
        <v>6.42</v>
      </c>
      <c r="J5089">
        <v>6.43</v>
      </c>
      <c r="K5089" t="s">
        <v>22773</v>
      </c>
      <c r="L5089">
        <v>0.41</v>
      </c>
      <c r="M5089" t="s">
        <v>46</v>
      </c>
      <c r="N5089" t="s">
        <v>22079</v>
      </c>
      <c r="O5089">
        <v>6.45</v>
      </c>
      <c r="P5089">
        <v>6.35</v>
      </c>
      <c r="Q5089">
        <v>6.39</v>
      </c>
      <c r="R5089">
        <v>6.37</v>
      </c>
      <c r="S5089">
        <v>1.57</v>
      </c>
      <c r="T5089">
        <v>0.79</v>
      </c>
      <c r="U5089">
        <v>7.91</v>
      </c>
      <c r="V5089">
        <v>399</v>
      </c>
      <c r="W5089">
        <v>6.41</v>
      </c>
      <c r="X5089" t="s">
        <v>209</v>
      </c>
      <c r="Y5089">
        <v>9456</v>
      </c>
      <c r="Z5089">
        <v>1.35</v>
      </c>
      <c r="AA5089">
        <v>1256</v>
      </c>
      <c r="AB5089">
        <v>487</v>
      </c>
      <c r="AC5089">
        <v>7.94</v>
      </c>
      <c r="AD5089" t="s">
        <v>22776</v>
      </c>
      <c r="AE5089" t="s">
        <v>22777</v>
      </c>
      <c r="AF5089" t="s">
        <v>22778</v>
      </c>
      <c r="AG5089" t="s">
        <v>6315</v>
      </c>
      <c r="AH5089">
        <v>-1.08</v>
      </c>
      <c r="AI5089">
        <v>-2.58</v>
      </c>
      <c r="AJ5089">
        <v>1.6</v>
      </c>
      <c r="AK5089">
        <v>3.01</v>
      </c>
      <c r="AL5089">
        <v>1</v>
      </c>
      <c r="AM5089">
        <v>0.78</v>
      </c>
      <c r="AN5089">
        <v>36.02</v>
      </c>
      <c r="AO5089">
        <v>-0.31</v>
      </c>
      <c r="AP5089">
        <v>22.29</v>
      </c>
    </row>
    <row r="5090" spans="1:42">
      <c r="A5090">
        <v>5089</v>
      </c>
      <c r="B5090" t="str">
        <f>"603948"</f>
        <v>603948</v>
      </c>
      <c r="C5090" t="s">
        <v>22779</v>
      </c>
      <c r="D5090">
        <v>23.23</v>
      </c>
      <c r="E5090">
        <v>-0.34</v>
      </c>
      <c r="F5090">
        <v>-0.08</v>
      </c>
      <c r="G5090">
        <v>6137</v>
      </c>
      <c r="H5090">
        <v>64</v>
      </c>
      <c r="I5090">
        <v>23.22</v>
      </c>
      <c r="J5090">
        <v>23.23</v>
      </c>
      <c r="K5090" t="s">
        <v>22780</v>
      </c>
      <c r="L5090">
        <v>0.38</v>
      </c>
      <c r="M5090" t="s">
        <v>46</v>
      </c>
      <c r="N5090" t="s">
        <v>4193</v>
      </c>
      <c r="O5090">
        <v>23.39</v>
      </c>
      <c r="P5090">
        <v>23.05</v>
      </c>
      <c r="Q5090">
        <v>23.32</v>
      </c>
      <c r="R5090">
        <v>23.31</v>
      </c>
      <c r="S5090">
        <v>1.46</v>
      </c>
      <c r="T5090">
        <v>0.75</v>
      </c>
      <c r="U5090">
        <v>-68.2</v>
      </c>
      <c r="V5090">
        <v>-193</v>
      </c>
      <c r="W5090">
        <v>23.21</v>
      </c>
      <c r="X5090">
        <v>2783</v>
      </c>
      <c r="Y5090">
        <v>3354</v>
      </c>
      <c r="Z5090">
        <v>0.83</v>
      </c>
      <c r="AA5090">
        <v>5</v>
      </c>
      <c r="AB5090">
        <v>38</v>
      </c>
      <c r="AC5090">
        <v>1.95</v>
      </c>
      <c r="AD5090" t="s">
        <v>16853</v>
      </c>
      <c r="AE5090" t="s">
        <v>10623</v>
      </c>
      <c r="AF5090" t="s">
        <v>21103</v>
      </c>
      <c r="AG5090" t="s">
        <v>22781</v>
      </c>
      <c r="AH5090">
        <v>-1.86</v>
      </c>
      <c r="AI5090">
        <v>-3.45</v>
      </c>
      <c r="AJ5090">
        <v>1.33</v>
      </c>
      <c r="AK5090">
        <v>2.92</v>
      </c>
      <c r="AL5090">
        <v>-2</v>
      </c>
      <c r="AM5090">
        <v>-0.34</v>
      </c>
      <c r="AN5090">
        <v>17.03</v>
      </c>
      <c r="AO5090">
        <v>2.56</v>
      </c>
      <c r="AP5090">
        <v>7.65</v>
      </c>
    </row>
    <row r="5091" spans="1:42">
      <c r="A5091">
        <v>5090</v>
      </c>
      <c r="B5091" t="str">
        <f>"002789"</f>
        <v>002789</v>
      </c>
      <c r="C5091" t="s">
        <v>22782</v>
      </c>
      <c r="D5091">
        <v>14.49</v>
      </c>
      <c r="E5091">
        <v>0.84</v>
      </c>
      <c r="F5091">
        <v>0.12</v>
      </c>
      <c r="G5091">
        <v>9849</v>
      </c>
      <c r="H5091">
        <v>86</v>
      </c>
      <c r="I5091">
        <v>14.49</v>
      </c>
      <c r="J5091">
        <v>14.5</v>
      </c>
      <c r="K5091" t="s">
        <v>20140</v>
      </c>
      <c r="L5091">
        <v>0.76</v>
      </c>
      <c r="M5091" t="s">
        <v>46</v>
      </c>
      <c r="N5091" t="s">
        <v>1805</v>
      </c>
      <c r="O5091">
        <v>14.56</v>
      </c>
      <c r="P5091">
        <v>14.21</v>
      </c>
      <c r="Q5091">
        <v>14.44</v>
      </c>
      <c r="R5091">
        <v>14.37</v>
      </c>
      <c r="S5091">
        <v>2.44</v>
      </c>
      <c r="T5091">
        <v>0.82</v>
      </c>
      <c r="U5091">
        <v>59.06</v>
      </c>
      <c r="V5091">
        <v>225</v>
      </c>
      <c r="W5091">
        <v>14.44</v>
      </c>
      <c r="X5091">
        <v>3997</v>
      </c>
      <c r="Y5091">
        <v>5852</v>
      </c>
      <c r="Z5091">
        <v>0.68</v>
      </c>
      <c r="AA5091">
        <v>15</v>
      </c>
      <c r="AB5091">
        <v>3</v>
      </c>
      <c r="AC5091">
        <v>11.91</v>
      </c>
      <c r="AD5091" t="s">
        <v>20444</v>
      </c>
      <c r="AE5091" t="s">
        <v>22783</v>
      </c>
      <c r="AF5091" t="s">
        <v>16327</v>
      </c>
      <c r="AG5091" t="s">
        <v>2173</v>
      </c>
      <c r="AH5091">
        <v>-1.02</v>
      </c>
      <c r="AI5091">
        <v>-1.7</v>
      </c>
      <c r="AJ5091">
        <v>2.7</v>
      </c>
      <c r="AK5091">
        <v>5.41</v>
      </c>
      <c r="AL5091">
        <v>1</v>
      </c>
      <c r="AM5091">
        <v>0.84</v>
      </c>
      <c r="AN5091">
        <v>0.21</v>
      </c>
      <c r="AO5091">
        <v>0.28</v>
      </c>
      <c r="AP5091">
        <v>2.33</v>
      </c>
    </row>
    <row r="5092" spans="1:42">
      <c r="A5092">
        <v>5091</v>
      </c>
      <c r="B5092" t="str">
        <f>"688718"</f>
        <v>688718</v>
      </c>
      <c r="C5092" t="s">
        <v>22784</v>
      </c>
      <c r="D5092">
        <v>15.22</v>
      </c>
      <c r="E5092">
        <v>-0.13</v>
      </c>
      <c r="F5092">
        <v>-0.02</v>
      </c>
      <c r="G5092">
        <v>9361</v>
      </c>
      <c r="H5092">
        <v>31</v>
      </c>
      <c r="I5092">
        <v>15.22</v>
      </c>
      <c r="J5092">
        <v>15.23</v>
      </c>
      <c r="K5092" t="s">
        <v>22785</v>
      </c>
      <c r="L5092">
        <v>1.65</v>
      </c>
      <c r="M5092" t="s">
        <v>46</v>
      </c>
      <c r="N5092" t="s">
        <v>5008</v>
      </c>
      <c r="O5092">
        <v>15.38</v>
      </c>
      <c r="P5092">
        <v>15</v>
      </c>
      <c r="Q5092">
        <v>15.24</v>
      </c>
      <c r="R5092">
        <v>15.24</v>
      </c>
      <c r="S5092">
        <v>2.49</v>
      </c>
      <c r="T5092">
        <v>1.31</v>
      </c>
      <c r="U5092">
        <v>-19.59</v>
      </c>
      <c r="V5092">
        <v>-60</v>
      </c>
      <c r="W5092">
        <v>15.17</v>
      </c>
      <c r="X5092">
        <v>5340</v>
      </c>
      <c r="Y5092">
        <v>4021</v>
      </c>
      <c r="Z5092">
        <v>1.33</v>
      </c>
      <c r="AA5092">
        <v>33</v>
      </c>
      <c r="AB5092">
        <v>95</v>
      </c>
      <c r="AC5092">
        <v>3.49</v>
      </c>
      <c r="AD5092" t="s">
        <v>22786</v>
      </c>
      <c r="AE5092" t="s">
        <v>17836</v>
      </c>
      <c r="AF5092" t="s">
        <v>13976</v>
      </c>
      <c r="AG5092" t="s">
        <v>22787</v>
      </c>
      <c r="AH5092">
        <v>-3.06</v>
      </c>
      <c r="AI5092">
        <v>-3.49</v>
      </c>
      <c r="AJ5092">
        <v>3.93</v>
      </c>
      <c r="AK5092">
        <v>7.97</v>
      </c>
      <c r="AL5092">
        <v>-3</v>
      </c>
      <c r="AM5092">
        <v>-0.13</v>
      </c>
      <c r="AN5092">
        <v>-23.56</v>
      </c>
      <c r="AO5092">
        <v>2.98</v>
      </c>
      <c r="AP5092">
        <v>-33.39</v>
      </c>
    </row>
    <row r="5093" spans="1:42">
      <c r="A5093">
        <v>5092</v>
      </c>
      <c r="B5093" t="str">
        <f>"688230"</f>
        <v>688230</v>
      </c>
      <c r="C5093" t="s">
        <v>22788</v>
      </c>
      <c r="D5093">
        <v>43.26</v>
      </c>
      <c r="E5093">
        <v>-0.05</v>
      </c>
      <c r="F5093">
        <v>-0.02</v>
      </c>
      <c r="G5093">
        <v>3288</v>
      </c>
      <c r="H5093">
        <v>21</v>
      </c>
      <c r="I5093">
        <v>43.17</v>
      </c>
      <c r="J5093">
        <v>43.26</v>
      </c>
      <c r="K5093" t="s">
        <v>22789</v>
      </c>
      <c r="L5093">
        <v>1.12</v>
      </c>
      <c r="M5093" t="s">
        <v>46</v>
      </c>
      <c r="N5093" t="s">
        <v>6308</v>
      </c>
      <c r="O5093">
        <v>43.49</v>
      </c>
      <c r="P5093">
        <v>42.79</v>
      </c>
      <c r="Q5093">
        <v>43.28</v>
      </c>
      <c r="R5093">
        <v>43.28</v>
      </c>
      <c r="S5093">
        <v>1.62</v>
      </c>
      <c r="T5093">
        <v>0.7</v>
      </c>
      <c r="U5093">
        <v>20.4</v>
      </c>
      <c r="V5093">
        <v>14</v>
      </c>
      <c r="W5093">
        <v>43.11</v>
      </c>
      <c r="X5093">
        <v>1650</v>
      </c>
      <c r="Y5093">
        <v>1639</v>
      </c>
      <c r="Z5093">
        <v>1.01</v>
      </c>
      <c r="AA5093">
        <v>10</v>
      </c>
      <c r="AB5093">
        <v>6</v>
      </c>
      <c r="AC5093">
        <v>2.32</v>
      </c>
      <c r="AD5093" t="s">
        <v>8889</v>
      </c>
      <c r="AE5093" t="s">
        <v>17715</v>
      </c>
      <c r="AF5093" t="s">
        <v>22790</v>
      </c>
      <c r="AG5093" t="s">
        <v>18215</v>
      </c>
      <c r="AH5093">
        <v>-2.22</v>
      </c>
      <c r="AI5093">
        <v>-1.84</v>
      </c>
      <c r="AJ5093">
        <v>4.22</v>
      </c>
      <c r="AK5093">
        <v>9.08</v>
      </c>
      <c r="AL5093">
        <v>-3</v>
      </c>
      <c r="AM5093">
        <v>-0.05</v>
      </c>
      <c r="AN5093">
        <v>13.36</v>
      </c>
      <c r="AO5093">
        <v>-2.13</v>
      </c>
      <c r="AP5093">
        <v>-3.5</v>
      </c>
    </row>
    <row r="5094" spans="1:42">
      <c r="A5094">
        <v>5093</v>
      </c>
      <c r="B5094" t="str">
        <f>"688429"</f>
        <v>688429</v>
      </c>
      <c r="C5094" t="s">
        <v>22791</v>
      </c>
      <c r="D5094">
        <v>20.32</v>
      </c>
      <c r="E5094">
        <v>-0.44</v>
      </c>
      <c r="F5094">
        <v>-0.09</v>
      </c>
      <c r="G5094">
        <v>7010</v>
      </c>
      <c r="H5094">
        <v>38</v>
      </c>
      <c r="I5094">
        <v>20.31</v>
      </c>
      <c r="J5094">
        <v>20.32</v>
      </c>
      <c r="K5094" t="s">
        <v>22792</v>
      </c>
      <c r="L5094">
        <v>2.21</v>
      </c>
      <c r="M5094" t="s">
        <v>46</v>
      </c>
      <c r="N5094" t="s">
        <v>2900</v>
      </c>
      <c r="O5094">
        <v>20.56</v>
      </c>
      <c r="P5094">
        <v>20.08</v>
      </c>
      <c r="Q5094">
        <v>20.56</v>
      </c>
      <c r="R5094">
        <v>20.41</v>
      </c>
      <c r="S5094">
        <v>2.35</v>
      </c>
      <c r="T5094">
        <v>0.94</v>
      </c>
      <c r="U5094">
        <v>48.08</v>
      </c>
      <c r="V5094">
        <v>105</v>
      </c>
      <c r="W5094">
        <v>20.2</v>
      </c>
      <c r="X5094">
        <v>3614</v>
      </c>
      <c r="Y5094">
        <v>3396</v>
      </c>
      <c r="Z5094">
        <v>1.06</v>
      </c>
      <c r="AA5094">
        <v>93</v>
      </c>
      <c r="AB5094">
        <v>21</v>
      </c>
      <c r="AC5094">
        <v>3.56</v>
      </c>
      <c r="AD5094" t="s">
        <v>7381</v>
      </c>
      <c r="AE5094" t="s">
        <v>15326</v>
      </c>
      <c r="AF5094" t="s">
        <v>22793</v>
      </c>
      <c r="AG5094" t="s">
        <v>22401</v>
      </c>
      <c r="AH5094">
        <v>-3.88</v>
      </c>
      <c r="AI5094">
        <v>-5.22</v>
      </c>
      <c r="AJ5094">
        <v>6.33</v>
      </c>
      <c r="AK5094">
        <v>14.01</v>
      </c>
      <c r="AL5094">
        <v>-3</v>
      </c>
      <c r="AM5094">
        <v>-0.44</v>
      </c>
      <c r="AN5094">
        <v>5.83</v>
      </c>
      <c r="AO5094">
        <v>-1.69</v>
      </c>
      <c r="AP5094">
        <v>5.83</v>
      </c>
    </row>
    <row r="5095" spans="1:42">
      <c r="A5095">
        <v>5094</v>
      </c>
      <c r="B5095" t="str">
        <f>"600462"</f>
        <v>600462</v>
      </c>
      <c r="C5095" t="s">
        <v>22794</v>
      </c>
      <c r="D5095">
        <v>2.38</v>
      </c>
      <c r="E5095">
        <v>1.71</v>
      </c>
      <c r="F5095">
        <v>0.04</v>
      </c>
      <c r="G5095" t="s">
        <v>7400</v>
      </c>
      <c r="H5095">
        <v>1035</v>
      </c>
      <c r="I5095">
        <v>2.38</v>
      </c>
      <c r="J5095">
        <v>2.39</v>
      </c>
      <c r="K5095" t="s">
        <v>22795</v>
      </c>
      <c r="L5095">
        <v>0.99</v>
      </c>
      <c r="M5095" t="s">
        <v>46</v>
      </c>
      <c r="N5095" t="s">
        <v>4444</v>
      </c>
      <c r="O5095">
        <v>2.4</v>
      </c>
      <c r="P5095">
        <v>2.32</v>
      </c>
      <c r="Q5095">
        <v>2.34</v>
      </c>
      <c r="R5095">
        <v>2.34</v>
      </c>
      <c r="S5095">
        <v>3.42</v>
      </c>
      <c r="T5095">
        <v>1.36</v>
      </c>
      <c r="U5095">
        <v>-37.7</v>
      </c>
      <c r="V5095">
        <v>-9680</v>
      </c>
      <c r="W5095">
        <v>2.37</v>
      </c>
      <c r="X5095" t="s">
        <v>7058</v>
      </c>
      <c r="Y5095" t="s">
        <v>4257</v>
      </c>
      <c r="Z5095">
        <v>1.34</v>
      </c>
      <c r="AA5095">
        <v>327</v>
      </c>
      <c r="AB5095">
        <v>2588</v>
      </c>
      <c r="AC5095">
        <v>29.41</v>
      </c>
      <c r="AD5095" t="s">
        <v>22796</v>
      </c>
      <c r="AE5095" t="s">
        <v>7990</v>
      </c>
      <c r="AF5095" t="s">
        <v>22797</v>
      </c>
      <c r="AG5095" t="s">
        <v>7013</v>
      </c>
      <c r="AH5095">
        <v>3.48</v>
      </c>
      <c r="AI5095">
        <v>0.85</v>
      </c>
      <c r="AJ5095">
        <v>2.19</v>
      </c>
      <c r="AK5095">
        <v>4.64</v>
      </c>
      <c r="AL5095">
        <v>3</v>
      </c>
      <c r="AM5095">
        <v>1.71</v>
      </c>
      <c r="AN5095">
        <v>14.98</v>
      </c>
      <c r="AO5095">
        <v>16.67</v>
      </c>
      <c r="AP5095">
        <v>19</v>
      </c>
    </row>
    <row r="5096" spans="1:42">
      <c r="A5096">
        <v>5095</v>
      </c>
      <c r="B5096" t="str">
        <f>"000504"</f>
        <v>000504</v>
      </c>
      <c r="C5096" t="s">
        <v>22798</v>
      </c>
      <c r="D5096">
        <v>11.94</v>
      </c>
      <c r="E5096">
        <v>0.25</v>
      </c>
      <c r="F5096">
        <v>0.03</v>
      </c>
      <c r="G5096" t="s">
        <v>1083</v>
      </c>
      <c r="H5096">
        <v>54</v>
      </c>
      <c r="I5096">
        <v>11.92</v>
      </c>
      <c r="J5096">
        <v>11.94</v>
      </c>
      <c r="K5096" t="s">
        <v>22799</v>
      </c>
      <c r="L5096">
        <v>0.38</v>
      </c>
      <c r="M5096" t="s">
        <v>46</v>
      </c>
      <c r="N5096" t="s">
        <v>10614</v>
      </c>
      <c r="O5096">
        <v>12.04</v>
      </c>
      <c r="P5096">
        <v>11.88</v>
      </c>
      <c r="Q5096">
        <v>11.93</v>
      </c>
      <c r="R5096">
        <v>11.91</v>
      </c>
      <c r="S5096">
        <v>1.34</v>
      </c>
      <c r="T5096">
        <v>0.64</v>
      </c>
      <c r="U5096">
        <v>-45.99</v>
      </c>
      <c r="V5096">
        <v>-344</v>
      </c>
      <c r="W5096">
        <v>11.94</v>
      </c>
      <c r="X5096">
        <v>5395</v>
      </c>
      <c r="Y5096">
        <v>6406</v>
      </c>
      <c r="Z5096">
        <v>0.84</v>
      </c>
      <c r="AA5096">
        <v>85</v>
      </c>
      <c r="AB5096">
        <v>32</v>
      </c>
      <c r="AC5096">
        <v>260.93</v>
      </c>
      <c r="AD5096" t="s">
        <v>22800</v>
      </c>
      <c r="AE5096" t="s">
        <v>18398</v>
      </c>
      <c r="AF5096" t="s">
        <v>22801</v>
      </c>
      <c r="AG5096" t="s">
        <v>18839</v>
      </c>
      <c r="AH5096">
        <v>-0.83</v>
      </c>
      <c r="AI5096">
        <v>-0.42</v>
      </c>
      <c r="AJ5096">
        <v>1.43</v>
      </c>
      <c r="AK5096">
        <v>3.35</v>
      </c>
      <c r="AL5096">
        <v>1</v>
      </c>
      <c r="AM5096">
        <v>0.25</v>
      </c>
      <c r="AN5096">
        <v>2.58</v>
      </c>
      <c r="AO5096">
        <v>4.28</v>
      </c>
      <c r="AP5096">
        <v>-10.36</v>
      </c>
    </row>
    <row r="5097" spans="1:42">
      <c r="A5097">
        <v>5096</v>
      </c>
      <c r="B5097" t="str">
        <f>"301220"</f>
        <v>301220</v>
      </c>
      <c r="C5097" t="s">
        <v>22802</v>
      </c>
      <c r="D5097">
        <v>33.42</v>
      </c>
      <c r="E5097">
        <v>0.09</v>
      </c>
      <c r="F5097">
        <v>0.03</v>
      </c>
      <c r="G5097">
        <v>4227</v>
      </c>
      <c r="H5097">
        <v>13</v>
      </c>
      <c r="I5097">
        <v>33.42</v>
      </c>
      <c r="J5097">
        <v>33.44</v>
      </c>
      <c r="K5097" t="s">
        <v>22799</v>
      </c>
      <c r="L5097">
        <v>1</v>
      </c>
      <c r="M5097" t="s">
        <v>46</v>
      </c>
      <c r="N5097" t="s">
        <v>3017</v>
      </c>
      <c r="O5097">
        <v>33.68</v>
      </c>
      <c r="P5097">
        <v>32.8</v>
      </c>
      <c r="Q5097">
        <v>33.29</v>
      </c>
      <c r="R5097">
        <v>33.39</v>
      </c>
      <c r="S5097">
        <v>2.64</v>
      </c>
      <c r="T5097">
        <v>0.75</v>
      </c>
      <c r="U5097">
        <v>66.38</v>
      </c>
      <c r="V5097">
        <v>154</v>
      </c>
      <c r="W5097">
        <v>33.33</v>
      </c>
      <c r="X5097">
        <v>1927</v>
      </c>
      <c r="Y5097">
        <v>2300</v>
      </c>
      <c r="Z5097">
        <v>0.84</v>
      </c>
      <c r="AA5097">
        <v>32</v>
      </c>
      <c r="AB5097">
        <v>2</v>
      </c>
      <c r="AC5097">
        <v>1.73</v>
      </c>
      <c r="AD5097" t="s">
        <v>21006</v>
      </c>
      <c r="AE5097" t="s">
        <v>7595</v>
      </c>
      <c r="AF5097" t="s">
        <v>17417</v>
      </c>
      <c r="AG5097" t="s">
        <v>3085</v>
      </c>
      <c r="AH5097">
        <v>-1.12</v>
      </c>
      <c r="AI5097">
        <v>-1.27</v>
      </c>
      <c r="AJ5097">
        <v>3.74</v>
      </c>
      <c r="AK5097">
        <v>7.69</v>
      </c>
      <c r="AL5097">
        <v>1</v>
      </c>
      <c r="AM5097">
        <v>0.09</v>
      </c>
      <c r="AN5097">
        <v>-8.51</v>
      </c>
      <c r="AO5097">
        <v>1.03</v>
      </c>
      <c r="AP5097">
        <v>-11.59</v>
      </c>
    </row>
    <row r="5098" spans="1:42">
      <c r="A5098">
        <v>5097</v>
      </c>
      <c r="B5098" t="str">
        <f>"300801"</f>
        <v>300801</v>
      </c>
      <c r="C5098" t="s">
        <v>22803</v>
      </c>
      <c r="D5098">
        <v>16.22</v>
      </c>
      <c r="E5098">
        <v>-0.92</v>
      </c>
      <c r="F5098">
        <v>-0.15</v>
      </c>
      <c r="G5098">
        <v>8655</v>
      </c>
      <c r="H5098">
        <v>414</v>
      </c>
      <c r="I5098">
        <v>16.22</v>
      </c>
      <c r="J5098">
        <v>16.23</v>
      </c>
      <c r="K5098" t="s">
        <v>22804</v>
      </c>
      <c r="L5098">
        <v>0.64</v>
      </c>
      <c r="M5098" t="s">
        <v>46</v>
      </c>
      <c r="N5098" t="s">
        <v>2751</v>
      </c>
      <c r="O5098">
        <v>16.44</v>
      </c>
      <c r="P5098">
        <v>16.19</v>
      </c>
      <c r="Q5098">
        <v>16.38</v>
      </c>
      <c r="R5098">
        <v>16.37</v>
      </c>
      <c r="S5098">
        <v>1.53</v>
      </c>
      <c r="T5098">
        <v>0.93</v>
      </c>
      <c r="U5098">
        <v>17.03</v>
      </c>
      <c r="V5098">
        <v>108</v>
      </c>
      <c r="W5098">
        <v>16.27</v>
      </c>
      <c r="X5098">
        <v>4430</v>
      </c>
      <c r="Y5098">
        <v>4225</v>
      </c>
      <c r="Z5098">
        <v>1.05</v>
      </c>
      <c r="AA5098">
        <v>38</v>
      </c>
      <c r="AB5098">
        <v>170</v>
      </c>
      <c r="AC5098">
        <v>1.51</v>
      </c>
      <c r="AD5098" t="s">
        <v>15064</v>
      </c>
      <c r="AE5098" t="s">
        <v>11201</v>
      </c>
      <c r="AF5098" t="s">
        <v>21663</v>
      </c>
      <c r="AG5098" t="s">
        <v>15755</v>
      </c>
      <c r="AH5098">
        <v>-1.58</v>
      </c>
      <c r="AI5098">
        <v>-2.29</v>
      </c>
      <c r="AJ5098">
        <v>2.07</v>
      </c>
      <c r="AK5098">
        <v>4.09</v>
      </c>
      <c r="AL5098">
        <v>-2</v>
      </c>
      <c r="AM5098">
        <v>-0.92</v>
      </c>
      <c r="AN5098">
        <v>-21.68</v>
      </c>
      <c r="AO5098">
        <v>0.5</v>
      </c>
      <c r="AP5098">
        <v>-29.75</v>
      </c>
    </row>
    <row r="5099" spans="1:42">
      <c r="A5099">
        <v>5098</v>
      </c>
      <c r="B5099" t="str">
        <f>"603790"</f>
        <v>603790</v>
      </c>
      <c r="C5099" t="s">
        <v>22805</v>
      </c>
      <c r="D5099">
        <v>14.35</v>
      </c>
      <c r="E5099">
        <v>0.28</v>
      </c>
      <c r="F5099">
        <v>0.04</v>
      </c>
      <c r="G5099">
        <v>9787</v>
      </c>
      <c r="H5099">
        <v>52</v>
      </c>
      <c r="I5099">
        <v>14.35</v>
      </c>
      <c r="J5099">
        <v>14.36</v>
      </c>
      <c r="K5099" t="s">
        <v>22806</v>
      </c>
      <c r="L5099">
        <v>0.51</v>
      </c>
      <c r="M5099" t="s">
        <v>46</v>
      </c>
      <c r="N5099" t="s">
        <v>2656</v>
      </c>
      <c r="O5099">
        <v>14.45</v>
      </c>
      <c r="P5099">
        <v>14.28</v>
      </c>
      <c r="Q5099">
        <v>14.28</v>
      </c>
      <c r="R5099">
        <v>14.31</v>
      </c>
      <c r="S5099">
        <v>1.19</v>
      </c>
      <c r="T5099">
        <v>0.81</v>
      </c>
      <c r="U5099">
        <v>23.66</v>
      </c>
      <c r="V5099">
        <v>210</v>
      </c>
      <c r="W5099">
        <v>14.35</v>
      </c>
      <c r="X5099">
        <v>5474</v>
      </c>
      <c r="Y5099">
        <v>4314</v>
      </c>
      <c r="Z5099">
        <v>1.27</v>
      </c>
      <c r="AA5099">
        <v>88</v>
      </c>
      <c r="AB5099">
        <v>2</v>
      </c>
      <c r="AC5099">
        <v>2.24</v>
      </c>
      <c r="AD5099" t="s">
        <v>17325</v>
      </c>
      <c r="AE5099" t="s">
        <v>16849</v>
      </c>
      <c r="AF5099" t="s">
        <v>17325</v>
      </c>
      <c r="AG5099" t="s">
        <v>16849</v>
      </c>
      <c r="AH5099">
        <v>-0.55</v>
      </c>
      <c r="AI5099">
        <v>0.7</v>
      </c>
      <c r="AJ5099">
        <v>1.56</v>
      </c>
      <c r="AK5099">
        <v>3.67</v>
      </c>
      <c r="AL5099">
        <v>1</v>
      </c>
      <c r="AM5099">
        <v>0.28</v>
      </c>
      <c r="AN5099">
        <v>44.51</v>
      </c>
      <c r="AO5099">
        <v>2.72</v>
      </c>
      <c r="AP5099">
        <v>32.99</v>
      </c>
    </row>
    <row r="5100" spans="1:42">
      <c r="A5100">
        <v>5099</v>
      </c>
      <c r="B5100" t="str">
        <f>"300886"</f>
        <v>300886</v>
      </c>
      <c r="C5100" t="s">
        <v>22807</v>
      </c>
      <c r="D5100">
        <v>24.79</v>
      </c>
      <c r="E5100">
        <v>0.2</v>
      </c>
      <c r="F5100">
        <v>0.05</v>
      </c>
      <c r="G5100">
        <v>5693</v>
      </c>
      <c r="H5100">
        <v>279</v>
      </c>
      <c r="I5100">
        <v>24.75</v>
      </c>
      <c r="J5100">
        <v>24.79</v>
      </c>
      <c r="K5100" t="s">
        <v>22806</v>
      </c>
      <c r="L5100">
        <v>1.34</v>
      </c>
      <c r="M5100" t="s">
        <v>46</v>
      </c>
      <c r="N5100" t="s">
        <v>1752</v>
      </c>
      <c r="O5100">
        <v>24.88</v>
      </c>
      <c r="P5100">
        <v>24.51</v>
      </c>
      <c r="Q5100">
        <v>24.74</v>
      </c>
      <c r="R5100">
        <v>24.74</v>
      </c>
      <c r="S5100">
        <v>1.5</v>
      </c>
      <c r="T5100">
        <v>0.98</v>
      </c>
      <c r="U5100">
        <v>-35.1</v>
      </c>
      <c r="V5100">
        <v>-146</v>
      </c>
      <c r="W5100">
        <v>24.66</v>
      </c>
      <c r="X5100">
        <v>2942</v>
      </c>
      <c r="Y5100">
        <v>2751</v>
      </c>
      <c r="Z5100">
        <v>1.07</v>
      </c>
      <c r="AA5100">
        <v>107</v>
      </c>
      <c r="AB5100">
        <v>88</v>
      </c>
      <c r="AC5100">
        <v>3.41</v>
      </c>
      <c r="AD5100" t="s">
        <v>22808</v>
      </c>
      <c r="AE5100" t="s">
        <v>13439</v>
      </c>
      <c r="AF5100" t="s">
        <v>17311</v>
      </c>
      <c r="AG5100" t="s">
        <v>13695</v>
      </c>
      <c r="AH5100">
        <v>-0.4</v>
      </c>
      <c r="AI5100">
        <v>0.2</v>
      </c>
      <c r="AJ5100">
        <v>4.42</v>
      </c>
      <c r="AK5100">
        <v>8.18</v>
      </c>
      <c r="AL5100">
        <v>1</v>
      </c>
      <c r="AM5100">
        <v>0.2</v>
      </c>
      <c r="AN5100">
        <v>14.03</v>
      </c>
      <c r="AO5100">
        <v>2.1</v>
      </c>
      <c r="AP5100">
        <v>2.86</v>
      </c>
    </row>
    <row r="5101" spans="1:42">
      <c r="A5101">
        <v>5100</v>
      </c>
      <c r="B5101" t="str">
        <f>"605138"</f>
        <v>605138</v>
      </c>
      <c r="C5101" t="s">
        <v>22809</v>
      </c>
      <c r="D5101">
        <v>8.1</v>
      </c>
      <c r="E5101">
        <v>1</v>
      </c>
      <c r="F5101">
        <v>0.08</v>
      </c>
      <c r="G5101" t="s">
        <v>6656</v>
      </c>
      <c r="H5101">
        <v>269</v>
      </c>
      <c r="I5101">
        <v>8.09</v>
      </c>
      <c r="J5101">
        <v>8.1</v>
      </c>
      <c r="K5101" t="s">
        <v>22810</v>
      </c>
      <c r="L5101">
        <v>0.58</v>
      </c>
      <c r="M5101" t="s">
        <v>46</v>
      </c>
      <c r="N5101" t="s">
        <v>1814</v>
      </c>
      <c r="O5101">
        <v>8.14</v>
      </c>
      <c r="P5101">
        <v>7.98</v>
      </c>
      <c r="Q5101">
        <v>8.02</v>
      </c>
      <c r="R5101">
        <v>8.02</v>
      </c>
      <c r="S5101">
        <v>2</v>
      </c>
      <c r="T5101">
        <v>0.97</v>
      </c>
      <c r="U5101">
        <v>-26.36</v>
      </c>
      <c r="V5101">
        <v>-716</v>
      </c>
      <c r="W5101">
        <v>8.09</v>
      </c>
      <c r="X5101">
        <v>6839</v>
      </c>
      <c r="Y5101" t="s">
        <v>1400</v>
      </c>
      <c r="Z5101">
        <v>0.65</v>
      </c>
      <c r="AA5101">
        <v>54</v>
      </c>
      <c r="AB5101">
        <v>18</v>
      </c>
      <c r="AC5101">
        <v>1.75</v>
      </c>
      <c r="AD5101" t="s">
        <v>22811</v>
      </c>
      <c r="AE5101" t="s">
        <v>22812</v>
      </c>
      <c r="AF5101" t="s">
        <v>22813</v>
      </c>
      <c r="AG5101" t="s">
        <v>17662</v>
      </c>
      <c r="AH5101">
        <v>0.25</v>
      </c>
      <c r="AI5101">
        <v>0.62</v>
      </c>
      <c r="AJ5101">
        <v>1.47</v>
      </c>
      <c r="AK5101">
        <v>3.57</v>
      </c>
      <c r="AL5101">
        <v>2</v>
      </c>
      <c r="AM5101">
        <v>1</v>
      </c>
      <c r="AN5101">
        <v>-23.3</v>
      </c>
      <c r="AO5101">
        <v>3.32</v>
      </c>
      <c r="AP5101">
        <v>-24.65</v>
      </c>
    </row>
    <row r="5102" spans="1:42">
      <c r="A5102">
        <v>5101</v>
      </c>
      <c r="B5102" t="str">
        <f>"301115"</f>
        <v>301115</v>
      </c>
      <c r="C5102" t="s">
        <v>22814</v>
      </c>
      <c r="D5102">
        <v>18.7</v>
      </c>
      <c r="E5102">
        <v>0.54</v>
      </c>
      <c r="F5102">
        <v>0.1</v>
      </c>
      <c r="G5102">
        <v>7484</v>
      </c>
      <c r="H5102">
        <v>36</v>
      </c>
      <c r="I5102">
        <v>18.7</v>
      </c>
      <c r="J5102">
        <v>18.71</v>
      </c>
      <c r="K5102" t="s">
        <v>22815</v>
      </c>
      <c r="L5102">
        <v>0.76</v>
      </c>
      <c r="M5102" t="s">
        <v>46</v>
      </c>
      <c r="N5102" t="s">
        <v>1546</v>
      </c>
      <c r="O5102">
        <v>18.83</v>
      </c>
      <c r="P5102">
        <v>18.51</v>
      </c>
      <c r="Q5102">
        <v>18.53</v>
      </c>
      <c r="R5102">
        <v>18.6</v>
      </c>
      <c r="S5102">
        <v>1.72</v>
      </c>
      <c r="T5102">
        <v>0.96</v>
      </c>
      <c r="U5102">
        <v>7.45</v>
      </c>
      <c r="V5102">
        <v>38</v>
      </c>
      <c r="W5102">
        <v>18.67</v>
      </c>
      <c r="X5102">
        <v>3263</v>
      </c>
      <c r="Y5102">
        <v>4221</v>
      </c>
      <c r="Z5102">
        <v>0.77</v>
      </c>
      <c r="AA5102">
        <v>83</v>
      </c>
      <c r="AB5102">
        <v>14</v>
      </c>
      <c r="AC5102">
        <v>1.31</v>
      </c>
      <c r="AD5102" t="s">
        <v>22816</v>
      </c>
      <c r="AE5102" t="s">
        <v>22817</v>
      </c>
      <c r="AF5102" t="s">
        <v>22818</v>
      </c>
      <c r="AG5102" t="s">
        <v>12434</v>
      </c>
      <c r="AH5102">
        <v>-0.9</v>
      </c>
      <c r="AI5102">
        <v>-1.58</v>
      </c>
      <c r="AJ5102">
        <v>2.06</v>
      </c>
      <c r="AK5102">
        <v>4.7</v>
      </c>
      <c r="AL5102">
        <v>1</v>
      </c>
      <c r="AM5102">
        <v>0.54</v>
      </c>
      <c r="AN5102">
        <v>-23.61</v>
      </c>
      <c r="AO5102">
        <v>1.41</v>
      </c>
      <c r="AP5102">
        <v>-30.17</v>
      </c>
    </row>
    <row r="5103" spans="1:42">
      <c r="A5103">
        <v>5102</v>
      </c>
      <c r="B5103" t="str">
        <f>"832110"</f>
        <v>832110</v>
      </c>
      <c r="C5103" t="s">
        <v>22819</v>
      </c>
      <c r="D5103">
        <v>15.46</v>
      </c>
      <c r="E5103">
        <v>-2.89</v>
      </c>
      <c r="F5103">
        <v>-0.46</v>
      </c>
      <c r="G5103">
        <v>8802</v>
      </c>
      <c r="H5103">
        <v>104</v>
      </c>
      <c r="I5103">
        <v>15.25</v>
      </c>
      <c r="J5103">
        <v>15.46</v>
      </c>
      <c r="K5103" t="s">
        <v>22815</v>
      </c>
      <c r="L5103">
        <v>7.32</v>
      </c>
      <c r="M5103" t="s">
        <v>46</v>
      </c>
      <c r="N5103" t="s">
        <v>9800</v>
      </c>
      <c r="O5103">
        <v>16.68</v>
      </c>
      <c r="P5103">
        <v>15.2</v>
      </c>
      <c r="Q5103">
        <v>15.92</v>
      </c>
      <c r="R5103">
        <v>15.92</v>
      </c>
      <c r="S5103">
        <v>9.3</v>
      </c>
      <c r="T5103">
        <v>0.46</v>
      </c>
      <c r="U5103">
        <v>-33.15</v>
      </c>
      <c r="V5103">
        <v>-184</v>
      </c>
      <c r="W5103">
        <v>15.87</v>
      </c>
      <c r="X5103">
        <v>5012</v>
      </c>
      <c r="Y5103">
        <v>3789</v>
      </c>
      <c r="Z5103">
        <v>1.32</v>
      </c>
      <c r="AA5103">
        <v>19</v>
      </c>
      <c r="AB5103">
        <v>289</v>
      </c>
      <c r="AC5103">
        <v>1.8</v>
      </c>
      <c r="AD5103" t="s">
        <v>16654</v>
      </c>
      <c r="AE5103" t="s">
        <v>22820</v>
      </c>
      <c r="AF5103" t="s">
        <v>22821</v>
      </c>
      <c r="AG5103" t="s">
        <v>22822</v>
      </c>
      <c r="AH5103">
        <v>-14.63</v>
      </c>
      <c r="AI5103">
        <v>6.62</v>
      </c>
      <c r="AJ5103">
        <v>29.41</v>
      </c>
      <c r="AK5103">
        <v>86.71</v>
      </c>
      <c r="AL5103">
        <v>-4</v>
      </c>
      <c r="AM5103">
        <v>-2.89</v>
      </c>
      <c r="AN5103">
        <v>-0.64</v>
      </c>
      <c r="AO5103">
        <v>21.06</v>
      </c>
      <c r="AP5103">
        <v>-33.65</v>
      </c>
    </row>
    <row r="5104" spans="1:42">
      <c r="A5104">
        <v>5103</v>
      </c>
      <c r="B5104" t="str">
        <f>"603137"</f>
        <v>603137</v>
      </c>
      <c r="C5104" t="s">
        <v>22823</v>
      </c>
      <c r="D5104">
        <v>18.88</v>
      </c>
      <c r="E5104">
        <v>-0.53</v>
      </c>
      <c r="F5104">
        <v>-0.1</v>
      </c>
      <c r="G5104">
        <v>7385</v>
      </c>
      <c r="H5104">
        <v>315</v>
      </c>
      <c r="I5104">
        <v>18.87</v>
      </c>
      <c r="J5104">
        <v>18.88</v>
      </c>
      <c r="K5104" t="s">
        <v>22815</v>
      </c>
      <c r="L5104">
        <v>2.26</v>
      </c>
      <c r="M5104" t="s">
        <v>46</v>
      </c>
      <c r="N5104" t="s">
        <v>5941</v>
      </c>
      <c r="O5104">
        <v>19.02</v>
      </c>
      <c r="P5104">
        <v>18.82</v>
      </c>
      <c r="Q5104">
        <v>18.96</v>
      </c>
      <c r="R5104">
        <v>18.98</v>
      </c>
      <c r="S5104">
        <v>1.05</v>
      </c>
      <c r="T5104">
        <v>0.69</v>
      </c>
      <c r="U5104">
        <v>5.84</v>
      </c>
      <c r="V5104">
        <v>15</v>
      </c>
      <c r="W5104">
        <v>18.92</v>
      </c>
      <c r="X5104">
        <v>3995</v>
      </c>
      <c r="Y5104">
        <v>3390</v>
      </c>
      <c r="Z5104">
        <v>1.18</v>
      </c>
      <c r="AA5104">
        <v>74</v>
      </c>
      <c r="AB5104">
        <v>40</v>
      </c>
      <c r="AC5104">
        <v>2.24</v>
      </c>
      <c r="AD5104" t="s">
        <v>5480</v>
      </c>
      <c r="AE5104" t="s">
        <v>5886</v>
      </c>
      <c r="AF5104" t="s">
        <v>19110</v>
      </c>
      <c r="AG5104" t="s">
        <v>19111</v>
      </c>
      <c r="AH5104">
        <v>-2.23</v>
      </c>
      <c r="AI5104">
        <v>-2.88</v>
      </c>
      <c r="AJ5104">
        <v>7.75</v>
      </c>
      <c r="AK5104">
        <v>18.72</v>
      </c>
      <c r="AL5104">
        <v>-3</v>
      </c>
      <c r="AM5104">
        <v>-0.53</v>
      </c>
      <c r="AN5104">
        <v>18.74</v>
      </c>
      <c r="AO5104">
        <v>-0.53</v>
      </c>
      <c r="AP5104">
        <v>18.74</v>
      </c>
    </row>
    <row r="5105" spans="1:42">
      <c r="A5105">
        <v>5104</v>
      </c>
      <c r="B5105" t="str">
        <f>"837046"</f>
        <v>837046</v>
      </c>
      <c r="C5105" t="s">
        <v>22824</v>
      </c>
      <c r="D5105">
        <v>6.06</v>
      </c>
      <c r="E5105">
        <v>-4.11</v>
      </c>
      <c r="F5105">
        <v>-0.26</v>
      </c>
      <c r="G5105" t="s">
        <v>1212</v>
      </c>
      <c r="H5105">
        <v>299</v>
      </c>
      <c r="I5105">
        <v>6.06</v>
      </c>
      <c r="J5105">
        <v>6.07</v>
      </c>
      <c r="K5105" t="s">
        <v>19793</v>
      </c>
      <c r="L5105">
        <v>7</v>
      </c>
      <c r="M5105" t="s">
        <v>46</v>
      </c>
      <c r="N5105" t="s">
        <v>8349</v>
      </c>
      <c r="O5105">
        <v>6.5</v>
      </c>
      <c r="P5105">
        <v>5.93</v>
      </c>
      <c r="Q5105">
        <v>6.33</v>
      </c>
      <c r="R5105">
        <v>6.32</v>
      </c>
      <c r="S5105">
        <v>9.02</v>
      </c>
      <c r="T5105">
        <v>0.46</v>
      </c>
      <c r="U5105">
        <v>65.62</v>
      </c>
      <c r="V5105">
        <v>1020</v>
      </c>
      <c r="W5105">
        <v>6.22</v>
      </c>
      <c r="X5105" t="s">
        <v>7836</v>
      </c>
      <c r="Y5105">
        <v>7821</v>
      </c>
      <c r="Z5105">
        <v>1.87</v>
      </c>
      <c r="AA5105">
        <v>201</v>
      </c>
      <c r="AB5105">
        <v>40</v>
      </c>
      <c r="AC5105">
        <v>1.88</v>
      </c>
      <c r="AD5105" t="s">
        <v>22825</v>
      </c>
      <c r="AE5105" t="s">
        <v>22765</v>
      </c>
      <c r="AF5105" t="s">
        <v>22826</v>
      </c>
      <c r="AG5105" t="s">
        <v>8714</v>
      </c>
      <c r="AH5105">
        <v>-18.66</v>
      </c>
      <c r="AI5105">
        <v>5.39</v>
      </c>
      <c r="AJ5105">
        <v>29.25</v>
      </c>
      <c r="AK5105">
        <v>82.84</v>
      </c>
      <c r="AL5105">
        <v>-4</v>
      </c>
      <c r="AM5105">
        <v>-4.11</v>
      </c>
      <c r="AN5105">
        <v>22.18</v>
      </c>
      <c r="AO5105">
        <v>31.74</v>
      </c>
      <c r="AP5105">
        <v>3.41</v>
      </c>
    </row>
    <row r="5106" spans="1:42">
      <c r="A5106">
        <v>5105</v>
      </c>
      <c r="B5106" t="str">
        <f>"830879"</f>
        <v>830879</v>
      </c>
      <c r="C5106" t="s">
        <v>22827</v>
      </c>
      <c r="D5106">
        <v>8.8</v>
      </c>
      <c r="E5106">
        <v>-4.86</v>
      </c>
      <c r="F5106">
        <v>-0.45</v>
      </c>
      <c r="G5106" t="s">
        <v>5951</v>
      </c>
      <c r="H5106">
        <v>134</v>
      </c>
      <c r="I5106">
        <v>8.79</v>
      </c>
      <c r="J5106">
        <v>8.8</v>
      </c>
      <c r="K5106" t="s">
        <v>22828</v>
      </c>
      <c r="L5106">
        <v>2.95</v>
      </c>
      <c r="M5106" t="s">
        <v>46</v>
      </c>
      <c r="N5106" t="s">
        <v>2519</v>
      </c>
      <c r="O5106">
        <v>9.49</v>
      </c>
      <c r="P5106">
        <v>8.8</v>
      </c>
      <c r="Q5106">
        <v>9.1</v>
      </c>
      <c r="R5106">
        <v>9.25</v>
      </c>
      <c r="S5106">
        <v>7.46</v>
      </c>
      <c r="T5106">
        <v>0.31</v>
      </c>
      <c r="U5106">
        <v>32.45</v>
      </c>
      <c r="V5106">
        <v>274</v>
      </c>
      <c r="W5106">
        <v>9.01</v>
      </c>
      <c r="X5106" t="s">
        <v>2667</v>
      </c>
      <c r="Y5106">
        <v>4074</v>
      </c>
      <c r="Z5106">
        <v>2.79</v>
      </c>
      <c r="AA5106">
        <v>84</v>
      </c>
      <c r="AB5106">
        <v>241</v>
      </c>
      <c r="AC5106">
        <v>2.32</v>
      </c>
      <c r="AD5106" t="s">
        <v>6303</v>
      </c>
      <c r="AE5106" t="s">
        <v>813</v>
      </c>
      <c r="AF5106" t="s">
        <v>22829</v>
      </c>
      <c r="AG5106" t="s">
        <v>22830</v>
      </c>
      <c r="AH5106">
        <v>-15.95</v>
      </c>
      <c r="AI5106">
        <v>4.39</v>
      </c>
      <c r="AJ5106">
        <v>15.99</v>
      </c>
      <c r="AK5106">
        <v>50.35</v>
      </c>
      <c r="AL5106">
        <v>-1</v>
      </c>
      <c r="AM5106">
        <v>-4.86</v>
      </c>
      <c r="AN5106">
        <v>66.67</v>
      </c>
      <c r="AO5106">
        <v>33.54</v>
      </c>
      <c r="AP5106">
        <v>-3.3</v>
      </c>
    </row>
    <row r="5107" spans="1:42">
      <c r="A5107">
        <v>5106</v>
      </c>
      <c r="B5107" t="str">
        <f>"838275"</f>
        <v>838275</v>
      </c>
      <c r="C5107" t="s">
        <v>22831</v>
      </c>
      <c r="D5107">
        <v>3.55</v>
      </c>
      <c r="E5107">
        <v>-7.07</v>
      </c>
      <c r="F5107">
        <v>-0.27</v>
      </c>
      <c r="G5107" t="s">
        <v>1566</v>
      </c>
      <c r="H5107">
        <v>1147</v>
      </c>
      <c r="I5107">
        <v>3.55</v>
      </c>
      <c r="J5107">
        <v>3.56</v>
      </c>
      <c r="K5107" t="s">
        <v>22832</v>
      </c>
      <c r="L5107">
        <v>4.22</v>
      </c>
      <c r="M5107" t="s">
        <v>46</v>
      </c>
      <c r="N5107" t="s">
        <v>9894</v>
      </c>
      <c r="O5107">
        <v>3.88</v>
      </c>
      <c r="P5107">
        <v>3.53</v>
      </c>
      <c r="Q5107">
        <v>3.8</v>
      </c>
      <c r="R5107">
        <v>3.82</v>
      </c>
      <c r="S5107">
        <v>9.16</v>
      </c>
      <c r="T5107">
        <v>0.54</v>
      </c>
      <c r="U5107">
        <v>33.81</v>
      </c>
      <c r="V5107">
        <v>733</v>
      </c>
      <c r="W5107">
        <v>3.66</v>
      </c>
      <c r="X5107" t="s">
        <v>3151</v>
      </c>
      <c r="Y5107" t="s">
        <v>1769</v>
      </c>
      <c r="Z5107">
        <v>1.62</v>
      </c>
      <c r="AA5107">
        <v>411</v>
      </c>
      <c r="AB5107">
        <v>161</v>
      </c>
      <c r="AC5107">
        <v>2.49</v>
      </c>
      <c r="AD5107" t="s">
        <v>7074</v>
      </c>
      <c r="AE5107" t="s">
        <v>22833</v>
      </c>
      <c r="AF5107" t="s">
        <v>22834</v>
      </c>
      <c r="AG5107" t="s">
        <v>284</v>
      </c>
      <c r="AH5107">
        <v>-21.98</v>
      </c>
      <c r="AI5107">
        <v>-2.74</v>
      </c>
      <c r="AJ5107">
        <v>13.66</v>
      </c>
      <c r="AK5107">
        <v>43.3</v>
      </c>
      <c r="AL5107">
        <v>-4</v>
      </c>
      <c r="AM5107">
        <v>-7.07</v>
      </c>
      <c r="AN5107">
        <v>10.94</v>
      </c>
      <c r="AO5107">
        <v>32.46</v>
      </c>
      <c r="AP5107">
        <v>3.2</v>
      </c>
    </row>
    <row r="5108" spans="1:42">
      <c r="A5108">
        <v>5107</v>
      </c>
      <c r="B5108" t="str">
        <f>"300804"</f>
        <v>300804</v>
      </c>
      <c r="C5108" t="s">
        <v>22835</v>
      </c>
      <c r="D5108">
        <v>32.6</v>
      </c>
      <c r="E5108">
        <v>0.77</v>
      </c>
      <c r="F5108">
        <v>0.25</v>
      </c>
      <c r="G5108">
        <v>4256</v>
      </c>
      <c r="H5108">
        <v>66</v>
      </c>
      <c r="I5108">
        <v>32.6</v>
      </c>
      <c r="J5108">
        <v>32.63</v>
      </c>
      <c r="K5108" t="s">
        <v>22836</v>
      </c>
      <c r="L5108">
        <v>2.43</v>
      </c>
      <c r="M5108" t="s">
        <v>46</v>
      </c>
      <c r="N5108" t="s">
        <v>4094</v>
      </c>
      <c r="O5108">
        <v>32.82</v>
      </c>
      <c r="P5108">
        <v>32.2</v>
      </c>
      <c r="Q5108">
        <v>32.29</v>
      </c>
      <c r="R5108">
        <v>32.35</v>
      </c>
      <c r="S5108">
        <v>1.92</v>
      </c>
      <c r="T5108">
        <v>0.77</v>
      </c>
      <c r="U5108">
        <v>-28</v>
      </c>
      <c r="V5108">
        <v>-28</v>
      </c>
      <c r="W5108">
        <v>32.53</v>
      </c>
      <c r="X5108">
        <v>1723</v>
      </c>
      <c r="Y5108">
        <v>2533</v>
      </c>
      <c r="Z5108">
        <v>0.68</v>
      </c>
      <c r="AA5108">
        <v>1</v>
      </c>
      <c r="AB5108">
        <v>3</v>
      </c>
      <c r="AC5108">
        <v>1.82</v>
      </c>
      <c r="AD5108" t="s">
        <v>22837</v>
      </c>
      <c r="AE5108" t="s">
        <v>7839</v>
      </c>
      <c r="AF5108" t="s">
        <v>22217</v>
      </c>
      <c r="AG5108" t="s">
        <v>22721</v>
      </c>
      <c r="AH5108">
        <v>-1.18</v>
      </c>
      <c r="AI5108">
        <v>-0.58</v>
      </c>
      <c r="AJ5108">
        <v>7.53</v>
      </c>
      <c r="AK5108">
        <v>18.16</v>
      </c>
      <c r="AL5108">
        <v>1</v>
      </c>
      <c r="AM5108">
        <v>0.77</v>
      </c>
      <c r="AN5108">
        <v>-21.97</v>
      </c>
      <c r="AO5108">
        <v>3.13</v>
      </c>
      <c r="AP5108">
        <v>-21.97</v>
      </c>
    </row>
    <row r="5109" spans="1:42">
      <c r="A5109">
        <v>5108</v>
      </c>
      <c r="B5109" t="str">
        <f>"002721"</f>
        <v>002721</v>
      </c>
      <c r="C5109" t="s">
        <v>22838</v>
      </c>
      <c r="D5109">
        <v>3.08</v>
      </c>
      <c r="E5109">
        <v>0.33</v>
      </c>
      <c r="F5109">
        <v>0.01</v>
      </c>
      <c r="G5109" t="s">
        <v>11158</v>
      </c>
      <c r="H5109">
        <v>1179</v>
      </c>
      <c r="I5109">
        <v>3.07</v>
      </c>
      <c r="J5109">
        <v>3.08</v>
      </c>
      <c r="K5109" t="s">
        <v>22839</v>
      </c>
      <c r="L5109">
        <v>0.17</v>
      </c>
      <c r="M5109" t="s">
        <v>46</v>
      </c>
      <c r="N5109" t="s">
        <v>4069</v>
      </c>
      <c r="O5109">
        <v>3.09</v>
      </c>
      <c r="P5109">
        <v>3.04</v>
      </c>
      <c r="Q5109">
        <v>3.07</v>
      </c>
      <c r="R5109">
        <v>3.07</v>
      </c>
      <c r="S5109">
        <v>1.63</v>
      </c>
      <c r="T5109">
        <v>0.93</v>
      </c>
      <c r="U5109">
        <v>9.28</v>
      </c>
      <c r="V5109">
        <v>715</v>
      </c>
      <c r="W5109">
        <v>3.06</v>
      </c>
      <c r="X5109" t="s">
        <v>1251</v>
      </c>
      <c r="Y5109" t="s">
        <v>61</v>
      </c>
      <c r="Z5109">
        <v>1.97</v>
      </c>
      <c r="AA5109">
        <v>424</v>
      </c>
      <c r="AB5109">
        <v>399</v>
      </c>
      <c r="AC5109">
        <v>-2.24</v>
      </c>
      <c r="AD5109" t="s">
        <v>22840</v>
      </c>
      <c r="AE5109" t="s">
        <v>22841</v>
      </c>
      <c r="AF5109" t="s">
        <v>22840</v>
      </c>
      <c r="AG5109" t="s">
        <v>22841</v>
      </c>
      <c r="AH5109">
        <v>0</v>
      </c>
      <c r="AI5109">
        <v>0</v>
      </c>
      <c r="AJ5109">
        <v>0.51</v>
      </c>
      <c r="AK5109">
        <v>1.08</v>
      </c>
      <c r="AL5109">
        <v>2</v>
      </c>
      <c r="AM5109">
        <v>0.33</v>
      </c>
      <c r="AN5109">
        <v>-5.52</v>
      </c>
      <c r="AO5109">
        <v>-2.22</v>
      </c>
      <c r="AP5109">
        <v>1.32</v>
      </c>
    </row>
    <row r="5110" spans="1:42">
      <c r="A5110">
        <v>5109</v>
      </c>
      <c r="B5110" t="str">
        <f>"871970"</f>
        <v>871970</v>
      </c>
      <c r="C5110" t="s">
        <v>22842</v>
      </c>
      <c r="D5110">
        <v>4.22</v>
      </c>
      <c r="E5110">
        <v>-7.86</v>
      </c>
      <c r="F5110">
        <v>-0.36</v>
      </c>
      <c r="G5110" t="s">
        <v>3260</v>
      </c>
      <c r="H5110">
        <v>484</v>
      </c>
      <c r="I5110">
        <v>4.21</v>
      </c>
      <c r="J5110">
        <v>4.22</v>
      </c>
      <c r="K5110" t="s">
        <v>22843</v>
      </c>
      <c r="L5110">
        <v>5.92</v>
      </c>
      <c r="M5110" t="s">
        <v>46</v>
      </c>
      <c r="N5110" t="s">
        <v>10106</v>
      </c>
      <c r="O5110">
        <v>4.69</v>
      </c>
      <c r="P5110">
        <v>4.2</v>
      </c>
      <c r="Q5110">
        <v>4.58</v>
      </c>
      <c r="R5110">
        <v>4.58</v>
      </c>
      <c r="S5110">
        <v>10.7</v>
      </c>
      <c r="T5110">
        <v>0.35</v>
      </c>
      <c r="U5110">
        <v>32.26</v>
      </c>
      <c r="V5110">
        <v>556</v>
      </c>
      <c r="W5110">
        <v>4.41</v>
      </c>
      <c r="X5110" t="s">
        <v>2924</v>
      </c>
      <c r="Y5110" t="s">
        <v>1743</v>
      </c>
      <c r="Z5110">
        <v>1.7</v>
      </c>
      <c r="AA5110">
        <v>340</v>
      </c>
      <c r="AB5110">
        <v>398</v>
      </c>
      <c r="AC5110">
        <v>1.5</v>
      </c>
      <c r="AD5110" t="s">
        <v>19687</v>
      </c>
      <c r="AE5110" t="s">
        <v>21031</v>
      </c>
      <c r="AF5110" t="s">
        <v>22844</v>
      </c>
      <c r="AG5110" t="s">
        <v>15587</v>
      </c>
      <c r="AH5110">
        <v>-21.12</v>
      </c>
      <c r="AI5110">
        <v>4.98</v>
      </c>
      <c r="AJ5110">
        <v>24.98</v>
      </c>
      <c r="AK5110">
        <v>90.21</v>
      </c>
      <c r="AL5110">
        <v>-1</v>
      </c>
      <c r="AM5110">
        <v>-7.86</v>
      </c>
      <c r="AN5110">
        <v>13.14</v>
      </c>
      <c r="AO5110">
        <v>32.29</v>
      </c>
      <c r="AP5110">
        <v>1.2</v>
      </c>
    </row>
    <row r="5111" spans="1:42">
      <c r="A5111">
        <v>5110</v>
      </c>
      <c r="B5111" t="str">
        <f>"600734"</f>
        <v>600734</v>
      </c>
      <c r="C5111" t="s">
        <v>22845</v>
      </c>
      <c r="D5111">
        <v>3.74</v>
      </c>
      <c r="E5111">
        <v>-0.27</v>
      </c>
      <c r="F5111">
        <v>-0.01</v>
      </c>
      <c r="G5111" t="s">
        <v>2189</v>
      </c>
      <c r="H5111">
        <v>883</v>
      </c>
      <c r="I5111">
        <v>3.73</v>
      </c>
      <c r="J5111">
        <v>3.74</v>
      </c>
      <c r="K5111" t="s">
        <v>22846</v>
      </c>
      <c r="L5111">
        <v>0.18</v>
      </c>
      <c r="M5111" t="s">
        <v>46</v>
      </c>
      <c r="N5111" t="s">
        <v>6674</v>
      </c>
      <c r="O5111">
        <v>3.78</v>
      </c>
      <c r="P5111">
        <v>3.69</v>
      </c>
      <c r="Q5111">
        <v>3.74</v>
      </c>
      <c r="R5111">
        <v>3.75</v>
      </c>
      <c r="S5111">
        <v>2.4</v>
      </c>
      <c r="T5111">
        <v>1.11</v>
      </c>
      <c r="U5111">
        <v>18.93</v>
      </c>
      <c r="V5111">
        <v>2100</v>
      </c>
      <c r="W5111">
        <v>3.73</v>
      </c>
      <c r="X5111" t="s">
        <v>9024</v>
      </c>
      <c r="Y5111" t="s">
        <v>1118</v>
      </c>
      <c r="Z5111">
        <v>1.28</v>
      </c>
      <c r="AA5111">
        <v>2442</v>
      </c>
      <c r="AB5111">
        <v>601</v>
      </c>
      <c r="AC5111">
        <v>21.81</v>
      </c>
      <c r="AD5111" t="s">
        <v>17022</v>
      </c>
      <c r="AE5111" t="s">
        <v>22847</v>
      </c>
      <c r="AF5111" t="s">
        <v>13799</v>
      </c>
      <c r="AG5111" t="s">
        <v>22848</v>
      </c>
      <c r="AH5111">
        <v>-0.53</v>
      </c>
      <c r="AI5111">
        <v>-0.27</v>
      </c>
      <c r="AJ5111">
        <v>0.49</v>
      </c>
      <c r="AK5111">
        <v>0.97</v>
      </c>
      <c r="AL5111">
        <v>-2</v>
      </c>
      <c r="AM5111">
        <v>-0.27</v>
      </c>
      <c r="AN5111">
        <v>1.63</v>
      </c>
      <c r="AO5111">
        <v>0.54</v>
      </c>
      <c r="AP5111">
        <v>-17.44</v>
      </c>
    </row>
    <row r="5112" spans="1:42">
      <c r="A5112">
        <v>5111</v>
      </c>
      <c r="B5112" t="str">
        <f>"603557"</f>
        <v>603557</v>
      </c>
      <c r="C5112" t="s">
        <v>22849</v>
      </c>
      <c r="D5112">
        <v>2.27</v>
      </c>
      <c r="E5112">
        <v>-0.87</v>
      </c>
      <c r="F5112">
        <v>-0.02</v>
      </c>
      <c r="G5112" t="s">
        <v>5962</v>
      </c>
      <c r="H5112">
        <v>2201</v>
      </c>
      <c r="I5112">
        <v>2.27</v>
      </c>
      <c r="J5112">
        <v>2.28</v>
      </c>
      <c r="K5112" t="s">
        <v>22850</v>
      </c>
      <c r="L5112">
        <v>1.22</v>
      </c>
      <c r="M5112" t="s">
        <v>46</v>
      </c>
      <c r="N5112" t="s">
        <v>6531</v>
      </c>
      <c r="O5112">
        <v>2.31</v>
      </c>
      <c r="P5112">
        <v>2.26</v>
      </c>
      <c r="Q5112">
        <v>2.31</v>
      </c>
      <c r="R5112">
        <v>2.29</v>
      </c>
      <c r="S5112">
        <v>2.18</v>
      </c>
      <c r="T5112">
        <v>0.67</v>
      </c>
      <c r="U5112">
        <v>19.02</v>
      </c>
      <c r="V5112">
        <v>4199</v>
      </c>
      <c r="W5112">
        <v>2.28</v>
      </c>
      <c r="X5112" t="s">
        <v>6912</v>
      </c>
      <c r="Y5112" t="s">
        <v>6419</v>
      </c>
      <c r="Z5112">
        <v>1.54</v>
      </c>
      <c r="AA5112">
        <v>3084</v>
      </c>
      <c r="AB5112">
        <v>1967</v>
      </c>
      <c r="AC5112">
        <v>3.08</v>
      </c>
      <c r="AD5112" t="s">
        <v>397</v>
      </c>
      <c r="AE5112" t="s">
        <v>957</v>
      </c>
      <c r="AF5112" t="s">
        <v>397</v>
      </c>
      <c r="AG5112" t="s">
        <v>957</v>
      </c>
      <c r="AH5112">
        <v>3.65</v>
      </c>
      <c r="AI5112">
        <v>0.89</v>
      </c>
      <c r="AJ5112">
        <v>5.93</v>
      </c>
      <c r="AK5112">
        <v>10.3</v>
      </c>
      <c r="AL5112">
        <v>-1</v>
      </c>
      <c r="AM5112">
        <v>-0.87</v>
      </c>
      <c r="AN5112">
        <v>-33.04</v>
      </c>
      <c r="AO5112">
        <v>1.34</v>
      </c>
      <c r="AP5112">
        <v>-39.63</v>
      </c>
    </row>
    <row r="5113" spans="1:42">
      <c r="A5113">
        <v>5112</v>
      </c>
      <c r="B5113" t="str">
        <f>"603385"</f>
        <v>603385</v>
      </c>
      <c r="C5113" t="s">
        <v>22851</v>
      </c>
      <c r="D5113">
        <v>8.22</v>
      </c>
      <c r="E5113">
        <v>0.86</v>
      </c>
      <c r="F5113">
        <v>0.07</v>
      </c>
      <c r="G5113" t="s">
        <v>5997</v>
      </c>
      <c r="H5113">
        <v>49</v>
      </c>
      <c r="I5113">
        <v>8.21</v>
      </c>
      <c r="J5113">
        <v>8.22</v>
      </c>
      <c r="K5113" t="s">
        <v>22852</v>
      </c>
      <c r="L5113">
        <v>0.45</v>
      </c>
      <c r="M5113" t="s">
        <v>46</v>
      </c>
      <c r="N5113" t="s">
        <v>19968</v>
      </c>
      <c r="O5113">
        <v>8.25</v>
      </c>
      <c r="P5113">
        <v>8.1</v>
      </c>
      <c r="Q5113">
        <v>8.15</v>
      </c>
      <c r="R5113">
        <v>8.15</v>
      </c>
      <c r="S5113">
        <v>1.84</v>
      </c>
      <c r="T5113">
        <v>0.83</v>
      </c>
      <c r="U5113">
        <v>-2.13</v>
      </c>
      <c r="V5113">
        <v>-45</v>
      </c>
      <c r="W5113">
        <v>8.18</v>
      </c>
      <c r="X5113">
        <v>7899</v>
      </c>
      <c r="Y5113">
        <v>8884</v>
      </c>
      <c r="Z5113">
        <v>0.89</v>
      </c>
      <c r="AA5113">
        <v>112</v>
      </c>
      <c r="AB5113">
        <v>32</v>
      </c>
      <c r="AC5113">
        <v>0.82</v>
      </c>
      <c r="AD5113" t="s">
        <v>21240</v>
      </c>
      <c r="AE5113" t="s">
        <v>4870</v>
      </c>
      <c r="AF5113" t="s">
        <v>17850</v>
      </c>
      <c r="AG5113" t="s">
        <v>22853</v>
      </c>
      <c r="AH5113">
        <v>-0.12</v>
      </c>
      <c r="AI5113">
        <v>1.99</v>
      </c>
      <c r="AJ5113">
        <v>1.26</v>
      </c>
      <c r="AK5113">
        <v>3.17</v>
      </c>
      <c r="AL5113">
        <v>1</v>
      </c>
      <c r="AM5113">
        <v>0.86</v>
      </c>
      <c r="AN5113">
        <v>20.18</v>
      </c>
      <c r="AO5113">
        <v>8.73</v>
      </c>
      <c r="AP5113">
        <v>13.22</v>
      </c>
    </row>
    <row r="5114" spans="1:42">
      <c r="A5114">
        <v>5113</v>
      </c>
      <c r="B5114" t="str">
        <f>"002742"</f>
        <v>002742</v>
      </c>
      <c r="C5114" t="s">
        <v>22854</v>
      </c>
      <c r="D5114">
        <v>3.4</v>
      </c>
      <c r="E5114">
        <v>-1.16</v>
      </c>
      <c r="F5114">
        <v>-0.04</v>
      </c>
      <c r="G5114" t="s">
        <v>5383</v>
      </c>
      <c r="H5114">
        <v>897</v>
      </c>
      <c r="I5114">
        <v>3.4</v>
      </c>
      <c r="J5114">
        <v>3.41</v>
      </c>
      <c r="K5114" t="s">
        <v>22855</v>
      </c>
      <c r="L5114">
        <v>0.93</v>
      </c>
      <c r="M5114" t="s">
        <v>46</v>
      </c>
      <c r="N5114" t="s">
        <v>5941</v>
      </c>
      <c r="O5114">
        <v>3.44</v>
      </c>
      <c r="P5114">
        <v>3.39</v>
      </c>
      <c r="Q5114">
        <v>3.44</v>
      </c>
      <c r="R5114">
        <v>3.44</v>
      </c>
      <c r="S5114">
        <v>1.45</v>
      </c>
      <c r="T5114">
        <v>0.99</v>
      </c>
      <c r="U5114">
        <v>22.44</v>
      </c>
      <c r="V5114">
        <v>2132</v>
      </c>
      <c r="W5114">
        <v>3.41</v>
      </c>
      <c r="X5114" t="s">
        <v>2628</v>
      </c>
      <c r="Y5114">
        <v>8946</v>
      </c>
      <c r="Z5114">
        <v>3.5</v>
      </c>
      <c r="AA5114">
        <v>747</v>
      </c>
      <c r="AB5114">
        <v>1335</v>
      </c>
      <c r="AC5114">
        <v>2.18</v>
      </c>
      <c r="AD5114" t="s">
        <v>4815</v>
      </c>
      <c r="AE5114" t="s">
        <v>7990</v>
      </c>
      <c r="AF5114" t="s">
        <v>22856</v>
      </c>
      <c r="AG5114" t="s">
        <v>22857</v>
      </c>
      <c r="AH5114">
        <v>-2.58</v>
      </c>
      <c r="AI5114">
        <v>-2.02</v>
      </c>
      <c r="AJ5114">
        <v>2.68</v>
      </c>
      <c r="AK5114">
        <v>5.65</v>
      </c>
      <c r="AL5114">
        <v>-2</v>
      </c>
      <c r="AM5114">
        <v>-1.16</v>
      </c>
      <c r="AN5114">
        <v>-25.11</v>
      </c>
      <c r="AO5114">
        <v>-4.23</v>
      </c>
      <c r="AP5114">
        <v>-24.78</v>
      </c>
    </row>
    <row r="5115" spans="1:42">
      <c r="A5115">
        <v>5114</v>
      </c>
      <c r="B5115" t="str">
        <f>"836419"</f>
        <v>836419</v>
      </c>
      <c r="C5115" t="s">
        <v>22858</v>
      </c>
      <c r="D5115">
        <v>8.58</v>
      </c>
      <c r="E5115">
        <v>-2.72</v>
      </c>
      <c r="F5115">
        <v>-0.24</v>
      </c>
      <c r="G5115" t="s">
        <v>8212</v>
      </c>
      <c r="H5115">
        <v>250</v>
      </c>
      <c r="I5115">
        <v>8.58</v>
      </c>
      <c r="J5115">
        <v>8.6</v>
      </c>
      <c r="K5115" t="s">
        <v>11243</v>
      </c>
      <c r="L5115">
        <v>4.25</v>
      </c>
      <c r="M5115" t="s">
        <v>46</v>
      </c>
      <c r="N5115" t="s">
        <v>3688</v>
      </c>
      <c r="O5115">
        <v>9.09</v>
      </c>
      <c r="P5115">
        <v>8.51</v>
      </c>
      <c r="Q5115">
        <v>8.94</v>
      </c>
      <c r="R5115">
        <v>8.82</v>
      </c>
      <c r="S5115">
        <v>6.58</v>
      </c>
      <c r="T5115">
        <v>0.34</v>
      </c>
      <c r="U5115">
        <v>28.9</v>
      </c>
      <c r="V5115">
        <v>204</v>
      </c>
      <c r="W5115">
        <v>8.79</v>
      </c>
      <c r="X5115">
        <v>9589</v>
      </c>
      <c r="Y5115">
        <v>5969</v>
      </c>
      <c r="Z5115">
        <v>1.61</v>
      </c>
      <c r="AA5115">
        <v>291</v>
      </c>
      <c r="AB5115">
        <v>60</v>
      </c>
      <c r="AC5115">
        <v>1.56</v>
      </c>
      <c r="AD5115" t="s">
        <v>22859</v>
      </c>
      <c r="AE5115" t="s">
        <v>22860</v>
      </c>
      <c r="AF5115" t="s">
        <v>18359</v>
      </c>
      <c r="AG5115" t="s">
        <v>22861</v>
      </c>
      <c r="AH5115">
        <v>-15.47</v>
      </c>
      <c r="AI5115">
        <v>0.35</v>
      </c>
      <c r="AJ5115">
        <v>19.17</v>
      </c>
      <c r="AK5115">
        <v>66.39</v>
      </c>
      <c r="AL5115">
        <v>-4</v>
      </c>
      <c r="AM5115">
        <v>-2.72</v>
      </c>
      <c r="AN5115">
        <v>-22.07</v>
      </c>
      <c r="AO5115">
        <v>22.22</v>
      </c>
      <c r="AP5115">
        <v>-22.07</v>
      </c>
    </row>
    <row r="5116" spans="1:42">
      <c r="A5116">
        <v>5115</v>
      </c>
      <c r="B5116" t="str">
        <f>"833523"</f>
        <v>833523</v>
      </c>
      <c r="C5116" t="s">
        <v>22862</v>
      </c>
      <c r="D5116">
        <v>11.27</v>
      </c>
      <c r="E5116">
        <v>-3.18</v>
      </c>
      <c r="F5116">
        <v>-0.37</v>
      </c>
      <c r="G5116" t="s">
        <v>8636</v>
      </c>
      <c r="H5116">
        <v>233</v>
      </c>
      <c r="I5116">
        <v>11.27</v>
      </c>
      <c r="J5116">
        <v>11.28</v>
      </c>
      <c r="K5116" t="s">
        <v>22863</v>
      </c>
      <c r="L5116">
        <v>2.66</v>
      </c>
      <c r="M5116" t="s">
        <v>46</v>
      </c>
      <c r="N5116" t="s">
        <v>5854</v>
      </c>
      <c r="O5116">
        <v>11.83</v>
      </c>
      <c r="P5116">
        <v>11.06</v>
      </c>
      <c r="Q5116">
        <v>11.78</v>
      </c>
      <c r="R5116">
        <v>11.64</v>
      </c>
      <c r="S5116">
        <v>6.62</v>
      </c>
      <c r="T5116">
        <v>0.39</v>
      </c>
      <c r="U5116">
        <v>0.58</v>
      </c>
      <c r="V5116">
        <v>3</v>
      </c>
      <c r="W5116">
        <v>11.38</v>
      </c>
      <c r="X5116">
        <v>6740</v>
      </c>
      <c r="Y5116">
        <v>5267</v>
      </c>
      <c r="Z5116">
        <v>1.28</v>
      </c>
      <c r="AA5116">
        <v>9</v>
      </c>
      <c r="AB5116">
        <v>173</v>
      </c>
      <c r="AC5116">
        <v>2.02</v>
      </c>
      <c r="AD5116" t="s">
        <v>22864</v>
      </c>
      <c r="AE5116" t="s">
        <v>22865</v>
      </c>
      <c r="AF5116" t="s">
        <v>16872</v>
      </c>
      <c r="AG5116" t="s">
        <v>22866</v>
      </c>
      <c r="AH5116">
        <v>-13.84</v>
      </c>
      <c r="AI5116">
        <v>-4.89</v>
      </c>
      <c r="AJ5116">
        <v>11.66</v>
      </c>
      <c r="AK5116">
        <v>36.89</v>
      </c>
      <c r="AL5116">
        <v>-4</v>
      </c>
      <c r="AM5116">
        <v>-3.18</v>
      </c>
      <c r="AN5116">
        <v>-3.68</v>
      </c>
      <c r="AO5116">
        <v>20.41</v>
      </c>
      <c r="AP5116">
        <v>-13.84</v>
      </c>
    </row>
    <row r="5117" spans="1:42">
      <c r="A5117">
        <v>5116</v>
      </c>
      <c r="B5117" t="str">
        <f>"301097"</f>
        <v>301097</v>
      </c>
      <c r="C5117" t="s">
        <v>22867</v>
      </c>
      <c r="D5117">
        <v>55.07</v>
      </c>
      <c r="E5117">
        <v>-0.24</v>
      </c>
      <c r="F5117">
        <v>-0.13</v>
      </c>
      <c r="G5117">
        <v>2470</v>
      </c>
      <c r="H5117">
        <v>2</v>
      </c>
      <c r="I5117">
        <v>54.95</v>
      </c>
      <c r="J5117">
        <v>55.07</v>
      </c>
      <c r="K5117" t="s">
        <v>22868</v>
      </c>
      <c r="L5117">
        <v>1.35</v>
      </c>
      <c r="M5117" t="s">
        <v>46</v>
      </c>
      <c r="N5117" t="s">
        <v>3818</v>
      </c>
      <c r="O5117">
        <v>56.1</v>
      </c>
      <c r="P5117">
        <v>54.73</v>
      </c>
      <c r="Q5117">
        <v>55.6</v>
      </c>
      <c r="R5117">
        <v>55.2</v>
      </c>
      <c r="S5117">
        <v>2.48</v>
      </c>
      <c r="T5117">
        <v>0.74</v>
      </c>
      <c r="U5117">
        <v>53.13</v>
      </c>
      <c r="V5117">
        <v>34</v>
      </c>
      <c r="W5117">
        <v>55.27</v>
      </c>
      <c r="X5117">
        <v>1160</v>
      </c>
      <c r="Y5117">
        <v>1310</v>
      </c>
      <c r="Z5117">
        <v>0.89</v>
      </c>
      <c r="AA5117">
        <v>11</v>
      </c>
      <c r="AB5117">
        <v>5</v>
      </c>
      <c r="AC5117">
        <v>2.56</v>
      </c>
      <c r="AD5117" t="s">
        <v>22869</v>
      </c>
      <c r="AE5117" t="s">
        <v>19192</v>
      </c>
      <c r="AF5117" t="s">
        <v>22870</v>
      </c>
      <c r="AG5117" t="s">
        <v>7758</v>
      </c>
      <c r="AH5117">
        <v>-1.68</v>
      </c>
      <c r="AI5117">
        <v>-3.39</v>
      </c>
      <c r="AJ5117">
        <v>4.76</v>
      </c>
      <c r="AK5117">
        <v>10.41</v>
      </c>
      <c r="AL5117">
        <v>-1</v>
      </c>
      <c r="AM5117">
        <v>-0.24</v>
      </c>
      <c r="AN5117">
        <v>-1.63</v>
      </c>
      <c r="AO5117">
        <v>8.94</v>
      </c>
      <c r="AP5117">
        <v>-11.11</v>
      </c>
    </row>
    <row r="5118" spans="1:42">
      <c r="A5118">
        <v>5117</v>
      </c>
      <c r="B5118" t="str">
        <f>"300955"</f>
        <v>300955</v>
      </c>
      <c r="C5118" t="s">
        <v>22871</v>
      </c>
      <c r="D5118">
        <v>22.86</v>
      </c>
      <c r="E5118">
        <v>-0.52</v>
      </c>
      <c r="F5118">
        <v>-0.12</v>
      </c>
      <c r="G5118">
        <v>5935</v>
      </c>
      <c r="H5118">
        <v>34</v>
      </c>
      <c r="I5118">
        <v>22.86</v>
      </c>
      <c r="J5118">
        <v>22.89</v>
      </c>
      <c r="K5118" t="s">
        <v>22872</v>
      </c>
      <c r="L5118">
        <v>1.32</v>
      </c>
      <c r="M5118" t="s">
        <v>46</v>
      </c>
      <c r="N5118" t="s">
        <v>1365</v>
      </c>
      <c r="O5118">
        <v>23.19</v>
      </c>
      <c r="P5118">
        <v>22.72</v>
      </c>
      <c r="Q5118">
        <v>23.19</v>
      </c>
      <c r="R5118">
        <v>22.98</v>
      </c>
      <c r="S5118">
        <v>2.05</v>
      </c>
      <c r="T5118">
        <v>0.93</v>
      </c>
      <c r="U5118">
        <v>-5.35</v>
      </c>
      <c r="V5118">
        <v>-13</v>
      </c>
      <c r="W5118">
        <v>22.93</v>
      </c>
      <c r="X5118">
        <v>2646</v>
      </c>
      <c r="Y5118">
        <v>3289</v>
      </c>
      <c r="Z5118">
        <v>0.8</v>
      </c>
      <c r="AA5118">
        <v>9</v>
      </c>
      <c r="AB5118">
        <v>37</v>
      </c>
      <c r="AC5118">
        <v>2.35</v>
      </c>
      <c r="AD5118" t="s">
        <v>20562</v>
      </c>
      <c r="AE5118" t="s">
        <v>409</v>
      </c>
      <c r="AF5118" t="s">
        <v>22873</v>
      </c>
      <c r="AG5118" t="s">
        <v>6086</v>
      </c>
      <c r="AH5118">
        <v>-1.51</v>
      </c>
      <c r="AI5118">
        <v>-0.78</v>
      </c>
      <c r="AJ5118">
        <v>3.84</v>
      </c>
      <c r="AK5118">
        <v>8.41</v>
      </c>
      <c r="AL5118">
        <v>-3</v>
      </c>
      <c r="AM5118">
        <v>-0.52</v>
      </c>
      <c r="AN5118">
        <v>-4.39</v>
      </c>
      <c r="AO5118">
        <v>2.65</v>
      </c>
      <c r="AP5118">
        <v>-17.86</v>
      </c>
    </row>
    <row r="5119" spans="1:42">
      <c r="A5119">
        <v>5118</v>
      </c>
      <c r="B5119" t="str">
        <f>"688500"</f>
        <v>688500</v>
      </c>
      <c r="C5119" t="s">
        <v>22874</v>
      </c>
      <c r="D5119">
        <v>29.55</v>
      </c>
      <c r="E5119">
        <v>-1.17</v>
      </c>
      <c r="F5119">
        <v>-0.35</v>
      </c>
      <c r="G5119">
        <v>4572</v>
      </c>
      <c r="H5119">
        <v>23</v>
      </c>
      <c r="I5119">
        <v>29.55</v>
      </c>
      <c r="J5119">
        <v>29.72</v>
      </c>
      <c r="K5119" t="s">
        <v>22875</v>
      </c>
      <c r="L5119">
        <v>0.62</v>
      </c>
      <c r="M5119" t="s">
        <v>46</v>
      </c>
      <c r="N5119" t="s">
        <v>4284</v>
      </c>
      <c r="O5119">
        <v>29.97</v>
      </c>
      <c r="P5119">
        <v>29.15</v>
      </c>
      <c r="Q5119">
        <v>29.92</v>
      </c>
      <c r="R5119">
        <v>29.9</v>
      </c>
      <c r="S5119">
        <v>2.74</v>
      </c>
      <c r="T5119">
        <v>0.78</v>
      </c>
      <c r="U5119">
        <v>59.75</v>
      </c>
      <c r="V5119">
        <v>122</v>
      </c>
      <c r="W5119">
        <v>29.59</v>
      </c>
      <c r="X5119">
        <v>2650</v>
      </c>
      <c r="Y5119">
        <v>1923</v>
      </c>
      <c r="Z5119">
        <v>1.38</v>
      </c>
      <c r="AA5119">
        <v>4</v>
      </c>
      <c r="AB5119">
        <v>10</v>
      </c>
      <c r="AC5119">
        <v>2.54</v>
      </c>
      <c r="AD5119" t="s">
        <v>12527</v>
      </c>
      <c r="AE5119" t="s">
        <v>9685</v>
      </c>
      <c r="AF5119" t="s">
        <v>12527</v>
      </c>
      <c r="AG5119" t="s">
        <v>9685</v>
      </c>
      <c r="AH5119">
        <v>8.96</v>
      </c>
      <c r="AI5119">
        <v>8.84</v>
      </c>
      <c r="AJ5119">
        <v>2.94</v>
      </c>
      <c r="AK5119">
        <v>4.55</v>
      </c>
      <c r="AL5119">
        <v>-1</v>
      </c>
      <c r="AM5119">
        <v>-1.17</v>
      </c>
      <c r="AN5119">
        <v>24.68</v>
      </c>
      <c r="AO5119">
        <v>23.54</v>
      </c>
      <c r="AP5119">
        <v>37.83</v>
      </c>
    </row>
    <row r="5120" spans="1:42">
      <c r="A5120">
        <v>5119</v>
      </c>
      <c r="B5120" t="str">
        <f>"836871"</f>
        <v>836871</v>
      </c>
      <c r="C5120" t="s">
        <v>22876</v>
      </c>
      <c r="D5120">
        <v>6.03</v>
      </c>
      <c r="E5120">
        <v>-6.66</v>
      </c>
      <c r="F5120">
        <v>-0.43</v>
      </c>
      <c r="G5120" t="s">
        <v>4963</v>
      </c>
      <c r="H5120">
        <v>256</v>
      </c>
      <c r="I5120">
        <v>6</v>
      </c>
      <c r="J5120">
        <v>6.03</v>
      </c>
      <c r="K5120" t="s">
        <v>22877</v>
      </c>
      <c r="L5120">
        <v>5.48</v>
      </c>
      <c r="M5120" t="s">
        <v>46</v>
      </c>
      <c r="N5120" t="s">
        <v>1694</v>
      </c>
      <c r="O5120">
        <v>6.65</v>
      </c>
      <c r="P5120">
        <v>5.9</v>
      </c>
      <c r="Q5120">
        <v>6.48</v>
      </c>
      <c r="R5120">
        <v>6.46</v>
      </c>
      <c r="S5120">
        <v>11.61</v>
      </c>
      <c r="T5120">
        <v>0.42</v>
      </c>
      <c r="U5120">
        <v>62.39</v>
      </c>
      <c r="V5120">
        <v>547</v>
      </c>
      <c r="W5120">
        <v>6.2</v>
      </c>
      <c r="X5120" t="s">
        <v>209</v>
      </c>
      <c r="Y5120">
        <v>8962</v>
      </c>
      <c r="Z5120">
        <v>1.42</v>
      </c>
      <c r="AA5120">
        <v>104</v>
      </c>
      <c r="AB5120">
        <v>31</v>
      </c>
      <c r="AC5120">
        <v>1.87</v>
      </c>
      <c r="AD5120" t="s">
        <v>22878</v>
      </c>
      <c r="AE5120" t="s">
        <v>5914</v>
      </c>
      <c r="AF5120" t="s">
        <v>22879</v>
      </c>
      <c r="AG5120" t="s">
        <v>6982</v>
      </c>
      <c r="AH5120">
        <v>-24.15</v>
      </c>
      <c r="AI5120">
        <v>-4.29</v>
      </c>
      <c r="AJ5120">
        <v>22.81</v>
      </c>
      <c r="AK5120">
        <v>70.69</v>
      </c>
      <c r="AL5120">
        <v>-4</v>
      </c>
      <c r="AM5120">
        <v>-6.66</v>
      </c>
      <c r="AN5120">
        <v>27.22</v>
      </c>
      <c r="AO5120">
        <v>43.57</v>
      </c>
      <c r="AP5120">
        <v>7.49</v>
      </c>
    </row>
    <row r="5121" spans="1:42">
      <c r="A5121">
        <v>5120</v>
      </c>
      <c r="B5121" t="str">
        <f>"002808"</f>
        <v>002808</v>
      </c>
      <c r="C5121" t="s">
        <v>22880</v>
      </c>
      <c r="D5121">
        <v>5.62</v>
      </c>
      <c r="E5121">
        <v>1.63</v>
      </c>
      <c r="F5121">
        <v>0.09</v>
      </c>
      <c r="G5121" t="s">
        <v>8211</v>
      </c>
      <c r="H5121">
        <v>79</v>
      </c>
      <c r="I5121">
        <v>5.61</v>
      </c>
      <c r="J5121">
        <v>5.62</v>
      </c>
      <c r="K5121" t="s">
        <v>22881</v>
      </c>
      <c r="L5121">
        <v>1.3</v>
      </c>
      <c r="M5121" t="s">
        <v>46</v>
      </c>
      <c r="N5121" t="s">
        <v>10557</v>
      </c>
      <c r="O5121">
        <v>5.64</v>
      </c>
      <c r="P5121">
        <v>5.53</v>
      </c>
      <c r="Q5121">
        <v>5.54</v>
      </c>
      <c r="R5121">
        <v>5.53</v>
      </c>
      <c r="S5121">
        <v>1.99</v>
      </c>
      <c r="T5121">
        <v>0.83</v>
      </c>
      <c r="U5121">
        <v>-50.74</v>
      </c>
      <c r="V5121">
        <v>-1993</v>
      </c>
      <c r="W5121">
        <v>5.58</v>
      </c>
      <c r="X5121">
        <v>9957</v>
      </c>
      <c r="Y5121" t="s">
        <v>4105</v>
      </c>
      <c r="Z5121">
        <v>0.7</v>
      </c>
      <c r="AA5121">
        <v>116</v>
      </c>
      <c r="AB5121">
        <v>453</v>
      </c>
      <c r="AC5121">
        <v>4.16</v>
      </c>
      <c r="AD5121" t="s">
        <v>20221</v>
      </c>
      <c r="AE5121" t="s">
        <v>14172</v>
      </c>
      <c r="AF5121" t="s">
        <v>5151</v>
      </c>
      <c r="AG5121" t="s">
        <v>22882</v>
      </c>
      <c r="AH5121">
        <v>0.18</v>
      </c>
      <c r="AI5121">
        <v>-0.71</v>
      </c>
      <c r="AJ5121">
        <v>3.77</v>
      </c>
      <c r="AK5121">
        <v>9.11</v>
      </c>
      <c r="AL5121">
        <v>1</v>
      </c>
      <c r="AM5121">
        <v>1.63</v>
      </c>
      <c r="AN5121">
        <v>-21.62</v>
      </c>
      <c r="AO5121">
        <v>-3.1</v>
      </c>
      <c r="AP5121">
        <v>-35.62</v>
      </c>
    </row>
    <row r="5122" spans="1:42">
      <c r="A5122">
        <v>5121</v>
      </c>
      <c r="B5122" t="str">
        <f>"688011"</f>
        <v>688011</v>
      </c>
      <c r="C5122" t="s">
        <v>22883</v>
      </c>
      <c r="D5122">
        <v>24.77</v>
      </c>
      <c r="E5122">
        <v>1.23</v>
      </c>
      <c r="F5122">
        <v>0.3</v>
      </c>
      <c r="G5122">
        <v>5482</v>
      </c>
      <c r="H5122">
        <v>31</v>
      </c>
      <c r="I5122">
        <v>24.65</v>
      </c>
      <c r="J5122">
        <v>24.77</v>
      </c>
      <c r="K5122" t="s">
        <v>22884</v>
      </c>
      <c r="L5122">
        <v>0.55</v>
      </c>
      <c r="M5122" t="s">
        <v>46</v>
      </c>
      <c r="N5122" t="s">
        <v>22885</v>
      </c>
      <c r="O5122">
        <v>24.96</v>
      </c>
      <c r="P5122">
        <v>24.2</v>
      </c>
      <c r="Q5122">
        <v>24.36</v>
      </c>
      <c r="R5122">
        <v>24.47</v>
      </c>
      <c r="S5122">
        <v>3.11</v>
      </c>
      <c r="T5122">
        <v>0.92</v>
      </c>
      <c r="U5122">
        <v>52.21</v>
      </c>
      <c r="V5122">
        <v>105</v>
      </c>
      <c r="W5122">
        <v>24.54</v>
      </c>
      <c r="X5122">
        <v>2738</v>
      </c>
      <c r="Y5122">
        <v>2743</v>
      </c>
      <c r="Z5122">
        <v>1</v>
      </c>
      <c r="AA5122">
        <v>8</v>
      </c>
      <c r="AB5122">
        <v>9</v>
      </c>
      <c r="AC5122">
        <v>2.13</v>
      </c>
      <c r="AD5122" t="s">
        <v>5976</v>
      </c>
      <c r="AE5122" t="s">
        <v>17152</v>
      </c>
      <c r="AF5122" t="s">
        <v>5976</v>
      </c>
      <c r="AG5122" t="s">
        <v>17152</v>
      </c>
      <c r="AH5122">
        <v>-1.24</v>
      </c>
      <c r="AI5122">
        <v>0.32</v>
      </c>
      <c r="AJ5122">
        <v>1.64</v>
      </c>
      <c r="AK5122">
        <v>3.53</v>
      </c>
      <c r="AL5122">
        <v>1</v>
      </c>
      <c r="AM5122">
        <v>1.23</v>
      </c>
      <c r="AN5122">
        <v>14.89</v>
      </c>
      <c r="AO5122">
        <v>3.6</v>
      </c>
      <c r="AP5122">
        <v>-0.68</v>
      </c>
    </row>
    <row r="5123" spans="1:42">
      <c r="A5123">
        <v>5122</v>
      </c>
      <c r="B5123" t="str">
        <f>"301003"</f>
        <v>301003</v>
      </c>
      <c r="C5123" t="s">
        <v>22886</v>
      </c>
      <c r="D5123">
        <v>25</v>
      </c>
      <c r="E5123">
        <v>-0.44</v>
      </c>
      <c r="F5123">
        <v>-0.11</v>
      </c>
      <c r="G5123">
        <v>5363</v>
      </c>
      <c r="H5123">
        <v>104</v>
      </c>
      <c r="I5123">
        <v>25</v>
      </c>
      <c r="J5123">
        <v>25.01</v>
      </c>
      <c r="K5123" t="s">
        <v>22887</v>
      </c>
      <c r="L5123">
        <v>0.78</v>
      </c>
      <c r="M5123" t="s">
        <v>46</v>
      </c>
      <c r="N5123" t="s">
        <v>3995</v>
      </c>
      <c r="O5123">
        <v>25.37</v>
      </c>
      <c r="P5123">
        <v>24.85</v>
      </c>
      <c r="Q5123">
        <v>25.17</v>
      </c>
      <c r="R5123">
        <v>25.11</v>
      </c>
      <c r="S5123">
        <v>2.07</v>
      </c>
      <c r="T5123">
        <v>0.77</v>
      </c>
      <c r="U5123">
        <v>27.27</v>
      </c>
      <c r="V5123">
        <v>42</v>
      </c>
      <c r="W5123">
        <v>25.01</v>
      </c>
      <c r="X5123">
        <v>2624</v>
      </c>
      <c r="Y5123">
        <v>2740</v>
      </c>
      <c r="Z5123">
        <v>0.96</v>
      </c>
      <c r="AA5123">
        <v>14</v>
      </c>
      <c r="AB5123">
        <v>25</v>
      </c>
      <c r="AC5123">
        <v>2.14</v>
      </c>
      <c r="AD5123" t="s">
        <v>22888</v>
      </c>
      <c r="AE5123" t="s">
        <v>21836</v>
      </c>
      <c r="AF5123" t="s">
        <v>22889</v>
      </c>
      <c r="AG5123" t="s">
        <v>22890</v>
      </c>
      <c r="AH5123">
        <v>-2.65</v>
      </c>
      <c r="AI5123">
        <v>-3.1</v>
      </c>
      <c r="AJ5123">
        <v>2.91</v>
      </c>
      <c r="AK5123">
        <v>5.86</v>
      </c>
      <c r="AL5123">
        <v>-3</v>
      </c>
      <c r="AM5123">
        <v>-0.44</v>
      </c>
      <c r="AN5123">
        <v>12.11</v>
      </c>
      <c r="AO5123">
        <v>0.04</v>
      </c>
      <c r="AP5123">
        <v>2.5</v>
      </c>
    </row>
    <row r="5124" spans="1:42">
      <c r="A5124">
        <v>5123</v>
      </c>
      <c r="B5124" t="str">
        <f>"301049"</f>
        <v>301049</v>
      </c>
      <c r="C5124" t="s">
        <v>22891</v>
      </c>
      <c r="D5124">
        <v>23.98</v>
      </c>
      <c r="E5124">
        <v>-0.08</v>
      </c>
      <c r="F5124">
        <v>-0.02</v>
      </c>
      <c r="G5124">
        <v>5588</v>
      </c>
      <c r="H5124">
        <v>61</v>
      </c>
      <c r="I5124">
        <v>23.97</v>
      </c>
      <c r="J5124">
        <v>23.98</v>
      </c>
      <c r="K5124" t="s">
        <v>22892</v>
      </c>
      <c r="L5124">
        <v>2.18</v>
      </c>
      <c r="M5124" t="s">
        <v>46</v>
      </c>
      <c r="N5124" t="s">
        <v>7323</v>
      </c>
      <c r="O5124">
        <v>24.19</v>
      </c>
      <c r="P5124">
        <v>23.8</v>
      </c>
      <c r="Q5124">
        <v>24.02</v>
      </c>
      <c r="R5124">
        <v>24</v>
      </c>
      <c r="S5124">
        <v>1.63</v>
      </c>
      <c r="T5124">
        <v>0.68</v>
      </c>
      <c r="U5124">
        <v>32</v>
      </c>
      <c r="V5124">
        <v>64</v>
      </c>
      <c r="W5124">
        <v>23.97</v>
      </c>
      <c r="X5124">
        <v>2785</v>
      </c>
      <c r="Y5124">
        <v>2803</v>
      </c>
      <c r="Z5124">
        <v>0.99</v>
      </c>
      <c r="AA5124">
        <v>12</v>
      </c>
      <c r="AB5124">
        <v>9</v>
      </c>
      <c r="AC5124">
        <v>2.78</v>
      </c>
      <c r="AD5124" t="s">
        <v>22893</v>
      </c>
      <c r="AE5124" t="s">
        <v>2163</v>
      </c>
      <c r="AF5124" t="s">
        <v>22894</v>
      </c>
      <c r="AG5124" t="s">
        <v>19490</v>
      </c>
      <c r="AH5124">
        <v>-1.8</v>
      </c>
      <c r="AI5124">
        <v>-1.44</v>
      </c>
      <c r="AJ5124">
        <v>7.6</v>
      </c>
      <c r="AK5124">
        <v>18.25</v>
      </c>
      <c r="AL5124">
        <v>-3</v>
      </c>
      <c r="AM5124">
        <v>-0.08</v>
      </c>
      <c r="AN5124">
        <v>13.81</v>
      </c>
      <c r="AO5124">
        <v>-0.17</v>
      </c>
      <c r="AP5124">
        <v>-4.5</v>
      </c>
    </row>
    <row r="5125" spans="1:42">
      <c r="A5125">
        <v>5124</v>
      </c>
      <c r="B5125" t="str">
        <f>"688267"</f>
        <v>688267</v>
      </c>
      <c r="C5125" t="s">
        <v>22895</v>
      </c>
      <c r="D5125">
        <v>20.17</v>
      </c>
      <c r="E5125">
        <v>-0.2</v>
      </c>
      <c r="F5125">
        <v>-0.04</v>
      </c>
      <c r="G5125">
        <v>6640</v>
      </c>
      <c r="H5125">
        <v>17</v>
      </c>
      <c r="I5125">
        <v>20.15</v>
      </c>
      <c r="J5125">
        <v>20.17</v>
      </c>
      <c r="K5125" t="s">
        <v>22896</v>
      </c>
      <c r="L5125">
        <v>0.81</v>
      </c>
      <c r="M5125" t="s">
        <v>46</v>
      </c>
      <c r="N5125" t="s">
        <v>3995</v>
      </c>
      <c r="O5125">
        <v>20.3</v>
      </c>
      <c r="P5125">
        <v>20</v>
      </c>
      <c r="Q5125">
        <v>20.3</v>
      </c>
      <c r="R5125">
        <v>20.21</v>
      </c>
      <c r="S5125">
        <v>1.48</v>
      </c>
      <c r="T5125">
        <v>1.09</v>
      </c>
      <c r="U5125">
        <v>-35.23</v>
      </c>
      <c r="V5125">
        <v>-70</v>
      </c>
      <c r="W5125">
        <v>20.1</v>
      </c>
      <c r="X5125">
        <v>3930</v>
      </c>
      <c r="Y5125">
        <v>2710</v>
      </c>
      <c r="Z5125">
        <v>1.45</v>
      </c>
      <c r="AA5125">
        <v>13</v>
      </c>
      <c r="AB5125">
        <v>10</v>
      </c>
      <c r="AC5125">
        <v>1.35</v>
      </c>
      <c r="AD5125" t="s">
        <v>22897</v>
      </c>
      <c r="AE5125" t="s">
        <v>22898</v>
      </c>
      <c r="AF5125" t="s">
        <v>22899</v>
      </c>
      <c r="AG5125" t="s">
        <v>22900</v>
      </c>
      <c r="AH5125">
        <v>-2.23</v>
      </c>
      <c r="AI5125">
        <v>-1.66</v>
      </c>
      <c r="AJ5125">
        <v>2.21</v>
      </c>
      <c r="AK5125">
        <v>4.51</v>
      </c>
      <c r="AL5125">
        <v>-3</v>
      </c>
      <c r="AM5125">
        <v>-0.2</v>
      </c>
      <c r="AN5125">
        <v>-45.16</v>
      </c>
      <c r="AO5125">
        <v>2.44</v>
      </c>
      <c r="AP5125">
        <v>-52.44</v>
      </c>
    </row>
    <row r="5126" spans="1:42">
      <c r="A5126">
        <v>5125</v>
      </c>
      <c r="B5126" t="str">
        <f>"002485"</f>
        <v>002485</v>
      </c>
      <c r="C5126" t="s">
        <v>22901</v>
      </c>
      <c r="D5126">
        <v>5.2</v>
      </c>
      <c r="E5126">
        <v>2.56</v>
      </c>
      <c r="F5126">
        <v>0.13</v>
      </c>
      <c r="G5126" t="s">
        <v>1077</v>
      </c>
      <c r="H5126">
        <v>354</v>
      </c>
      <c r="I5126">
        <v>5.19</v>
      </c>
      <c r="J5126">
        <v>5.2</v>
      </c>
      <c r="K5126" t="s">
        <v>17636</v>
      </c>
      <c r="L5126">
        <v>0.47</v>
      </c>
      <c r="M5126" t="s">
        <v>46</v>
      </c>
      <c r="N5126" t="s">
        <v>13389</v>
      </c>
      <c r="O5126">
        <v>5.22</v>
      </c>
      <c r="P5126">
        <v>5.05</v>
      </c>
      <c r="Q5126">
        <v>5.06</v>
      </c>
      <c r="R5126">
        <v>5.07</v>
      </c>
      <c r="S5126">
        <v>3.35</v>
      </c>
      <c r="T5126">
        <v>1.93</v>
      </c>
      <c r="U5126">
        <v>-76.57</v>
      </c>
      <c r="V5126">
        <v>-5682</v>
      </c>
      <c r="W5126">
        <v>5.16</v>
      </c>
      <c r="X5126">
        <v>9995</v>
      </c>
      <c r="Y5126" t="s">
        <v>141</v>
      </c>
      <c r="Z5126">
        <v>0.63</v>
      </c>
      <c r="AA5126">
        <v>435</v>
      </c>
      <c r="AB5126">
        <v>248</v>
      </c>
      <c r="AC5126">
        <v>2</v>
      </c>
      <c r="AD5126" t="s">
        <v>19805</v>
      </c>
      <c r="AE5126" t="s">
        <v>19465</v>
      </c>
      <c r="AF5126" t="s">
        <v>19805</v>
      </c>
      <c r="AG5126" t="s">
        <v>19465</v>
      </c>
      <c r="AH5126">
        <v>1.96</v>
      </c>
      <c r="AI5126">
        <v>0.97</v>
      </c>
      <c r="AJ5126">
        <v>0.87</v>
      </c>
      <c r="AK5126">
        <v>1.7</v>
      </c>
      <c r="AL5126">
        <v>1</v>
      </c>
      <c r="AM5126">
        <v>2.56</v>
      </c>
      <c r="AN5126">
        <v>68.83</v>
      </c>
      <c r="AO5126">
        <v>3.79</v>
      </c>
      <c r="AP5126">
        <v>52.05</v>
      </c>
    </row>
    <row r="5127" spans="1:42">
      <c r="A5127">
        <v>5126</v>
      </c>
      <c r="B5127" t="str">
        <f>"301176"</f>
        <v>301176</v>
      </c>
      <c r="C5127" t="s">
        <v>22902</v>
      </c>
      <c r="D5127">
        <v>17.45</v>
      </c>
      <c r="E5127">
        <v>-0.17</v>
      </c>
      <c r="F5127">
        <v>-0.03</v>
      </c>
      <c r="G5127">
        <v>7570</v>
      </c>
      <c r="H5127">
        <v>156</v>
      </c>
      <c r="I5127">
        <v>17.44</v>
      </c>
      <c r="J5127">
        <v>17.46</v>
      </c>
      <c r="K5127" t="s">
        <v>22903</v>
      </c>
      <c r="L5127">
        <v>1.34</v>
      </c>
      <c r="M5127" t="s">
        <v>46</v>
      </c>
      <c r="N5127" t="s">
        <v>11954</v>
      </c>
      <c r="O5127">
        <v>17.66</v>
      </c>
      <c r="P5127">
        <v>17.29</v>
      </c>
      <c r="Q5127">
        <v>17.49</v>
      </c>
      <c r="R5127">
        <v>17.48</v>
      </c>
      <c r="S5127">
        <v>2.12</v>
      </c>
      <c r="T5127">
        <v>0.63</v>
      </c>
      <c r="U5127">
        <v>-17.35</v>
      </c>
      <c r="V5127">
        <v>-34</v>
      </c>
      <c r="W5127">
        <v>17.44</v>
      </c>
      <c r="X5127">
        <v>3361</v>
      </c>
      <c r="Y5127">
        <v>4209</v>
      </c>
      <c r="Z5127">
        <v>0.8</v>
      </c>
      <c r="AA5127">
        <v>4</v>
      </c>
      <c r="AB5127">
        <v>8</v>
      </c>
      <c r="AC5127">
        <v>1.81</v>
      </c>
      <c r="AD5127" t="s">
        <v>11549</v>
      </c>
      <c r="AE5127" t="s">
        <v>11118</v>
      </c>
      <c r="AF5127" t="s">
        <v>22904</v>
      </c>
      <c r="AG5127" t="s">
        <v>22905</v>
      </c>
      <c r="AH5127">
        <v>-2.35</v>
      </c>
      <c r="AI5127">
        <v>-1.47</v>
      </c>
      <c r="AJ5127">
        <v>4.96</v>
      </c>
      <c r="AK5127">
        <v>12.04</v>
      </c>
      <c r="AL5127">
        <v>-3</v>
      </c>
      <c r="AM5127">
        <v>-0.17</v>
      </c>
      <c r="AN5127">
        <v>0.4</v>
      </c>
      <c r="AO5127">
        <v>0.46</v>
      </c>
      <c r="AP5127">
        <v>-10.47</v>
      </c>
    </row>
    <row r="5128" spans="1:42">
      <c r="A5128">
        <v>5127</v>
      </c>
      <c r="B5128" t="str">
        <f>"833943"</f>
        <v>833943</v>
      </c>
      <c r="C5128" t="s">
        <v>22906</v>
      </c>
      <c r="D5128">
        <v>9.54</v>
      </c>
      <c r="E5128">
        <v>-3.25</v>
      </c>
      <c r="F5128">
        <v>-0.32</v>
      </c>
      <c r="G5128" t="s">
        <v>1777</v>
      </c>
      <c r="H5128">
        <v>456</v>
      </c>
      <c r="I5128">
        <v>9.53</v>
      </c>
      <c r="J5128">
        <v>9.54</v>
      </c>
      <c r="K5128" t="s">
        <v>22907</v>
      </c>
      <c r="L5128">
        <v>3.26</v>
      </c>
      <c r="M5128" t="s">
        <v>46</v>
      </c>
      <c r="N5128" t="s">
        <v>22908</v>
      </c>
      <c r="O5128">
        <v>10.25</v>
      </c>
      <c r="P5128">
        <v>9.52</v>
      </c>
      <c r="Q5128">
        <v>9.98</v>
      </c>
      <c r="R5128">
        <v>9.86</v>
      </c>
      <c r="S5128">
        <v>7.4</v>
      </c>
      <c r="T5128">
        <v>0.33</v>
      </c>
      <c r="U5128">
        <v>-57.86</v>
      </c>
      <c r="V5128">
        <v>-434</v>
      </c>
      <c r="W5128">
        <v>9.82</v>
      </c>
      <c r="X5128">
        <v>9135</v>
      </c>
      <c r="Y5128">
        <v>4285</v>
      </c>
      <c r="Z5128">
        <v>2.13</v>
      </c>
      <c r="AA5128">
        <v>39</v>
      </c>
      <c r="AB5128">
        <v>255</v>
      </c>
      <c r="AC5128">
        <v>1.81</v>
      </c>
      <c r="AD5128" t="s">
        <v>22250</v>
      </c>
      <c r="AE5128" t="s">
        <v>22909</v>
      </c>
      <c r="AF5128" t="s">
        <v>11835</v>
      </c>
      <c r="AG5128" t="s">
        <v>7728</v>
      </c>
      <c r="AH5128">
        <v>-17.69</v>
      </c>
      <c r="AI5128">
        <v>12.77</v>
      </c>
      <c r="AJ5128">
        <v>17.4</v>
      </c>
      <c r="AK5128">
        <v>51.95</v>
      </c>
      <c r="AL5128">
        <v>-4</v>
      </c>
      <c r="AM5128">
        <v>-3.25</v>
      </c>
      <c r="AN5128">
        <v>77.32</v>
      </c>
      <c r="AO5128">
        <v>39.47</v>
      </c>
      <c r="AP5128">
        <v>62.24</v>
      </c>
    </row>
    <row r="5129" spans="1:42">
      <c r="A5129">
        <v>5128</v>
      </c>
      <c r="B5129" t="str">
        <f>"688455"</f>
        <v>688455</v>
      </c>
      <c r="C5129" t="s">
        <v>22910</v>
      </c>
      <c r="D5129">
        <v>13.32</v>
      </c>
      <c r="E5129">
        <v>0.83</v>
      </c>
      <c r="F5129">
        <v>0.11</v>
      </c>
      <c r="G5129">
        <v>9894</v>
      </c>
      <c r="H5129">
        <v>263</v>
      </c>
      <c r="I5129">
        <v>13.3</v>
      </c>
      <c r="J5129">
        <v>13.32</v>
      </c>
      <c r="K5129" t="s">
        <v>22911</v>
      </c>
      <c r="L5129">
        <v>0.77</v>
      </c>
      <c r="M5129" t="s">
        <v>46</v>
      </c>
      <c r="N5129" t="s">
        <v>1501</v>
      </c>
      <c r="O5129">
        <v>13.44</v>
      </c>
      <c r="P5129">
        <v>13.07</v>
      </c>
      <c r="Q5129">
        <v>13.13</v>
      </c>
      <c r="R5129">
        <v>13.21</v>
      </c>
      <c r="S5129">
        <v>2.8</v>
      </c>
      <c r="T5129">
        <v>1.29</v>
      </c>
      <c r="U5129">
        <v>71.39</v>
      </c>
      <c r="V5129">
        <v>2575</v>
      </c>
      <c r="W5129">
        <v>13.29</v>
      </c>
      <c r="X5129">
        <v>5064</v>
      </c>
      <c r="Y5129">
        <v>4829</v>
      </c>
      <c r="Z5129">
        <v>1.05</v>
      </c>
      <c r="AA5129">
        <v>137</v>
      </c>
      <c r="AB5129">
        <v>350</v>
      </c>
      <c r="AC5129">
        <v>1.95</v>
      </c>
      <c r="AD5129" t="s">
        <v>22912</v>
      </c>
      <c r="AE5129" t="s">
        <v>19503</v>
      </c>
      <c r="AF5129" t="s">
        <v>9252</v>
      </c>
      <c r="AG5129" t="s">
        <v>18243</v>
      </c>
      <c r="AH5129">
        <v>0</v>
      </c>
      <c r="AI5129">
        <v>0.91</v>
      </c>
      <c r="AJ5129">
        <v>1.81</v>
      </c>
      <c r="AK5129">
        <v>3.77</v>
      </c>
      <c r="AL5129">
        <v>1</v>
      </c>
      <c r="AM5129">
        <v>0.83</v>
      </c>
      <c r="AN5129">
        <v>-0.67</v>
      </c>
      <c r="AO5129">
        <v>3.58</v>
      </c>
      <c r="AP5129">
        <v>-12.48</v>
      </c>
    </row>
    <row r="5130" spans="1:42">
      <c r="A5130">
        <v>5129</v>
      </c>
      <c r="B5130" t="str">
        <f>"603898"</f>
        <v>603898</v>
      </c>
      <c r="C5130" t="s">
        <v>22913</v>
      </c>
      <c r="D5130">
        <v>11.07</v>
      </c>
      <c r="E5130">
        <v>0.18</v>
      </c>
      <c r="F5130">
        <v>0.02</v>
      </c>
      <c r="G5130" t="s">
        <v>1083</v>
      </c>
      <c r="H5130">
        <v>88</v>
      </c>
      <c r="I5130">
        <v>11.07</v>
      </c>
      <c r="J5130">
        <v>11.09</v>
      </c>
      <c r="K5130" t="s">
        <v>22914</v>
      </c>
      <c r="L5130">
        <v>0.38</v>
      </c>
      <c r="M5130" t="s">
        <v>46</v>
      </c>
      <c r="N5130" t="s">
        <v>6370</v>
      </c>
      <c r="O5130">
        <v>11.17</v>
      </c>
      <c r="P5130">
        <v>10.93</v>
      </c>
      <c r="Q5130">
        <v>11.03</v>
      </c>
      <c r="R5130">
        <v>11.05</v>
      </c>
      <c r="S5130">
        <v>2.17</v>
      </c>
      <c r="T5130">
        <v>0.88</v>
      </c>
      <c r="U5130">
        <v>-22.24</v>
      </c>
      <c r="V5130">
        <v>-139</v>
      </c>
      <c r="W5130">
        <v>11.08</v>
      </c>
      <c r="X5130">
        <v>6145</v>
      </c>
      <c r="Y5130">
        <v>5683</v>
      </c>
      <c r="Z5130">
        <v>1.08</v>
      </c>
      <c r="AA5130">
        <v>61</v>
      </c>
      <c r="AB5130">
        <v>78</v>
      </c>
      <c r="AC5130">
        <v>1.19</v>
      </c>
      <c r="AD5130" t="s">
        <v>18552</v>
      </c>
      <c r="AE5130" t="s">
        <v>7706</v>
      </c>
      <c r="AF5130" t="s">
        <v>18552</v>
      </c>
      <c r="AG5130" t="s">
        <v>7706</v>
      </c>
      <c r="AH5130">
        <v>-1.25</v>
      </c>
      <c r="AI5130">
        <v>-2.21</v>
      </c>
      <c r="AJ5130">
        <v>1.3</v>
      </c>
      <c r="AK5130">
        <v>2.53</v>
      </c>
      <c r="AL5130">
        <v>1</v>
      </c>
      <c r="AM5130">
        <v>0.18</v>
      </c>
      <c r="AN5130">
        <v>4.43</v>
      </c>
      <c r="AO5130">
        <v>0.45</v>
      </c>
      <c r="AP5130">
        <v>2.59</v>
      </c>
    </row>
    <row r="5131" spans="1:42">
      <c r="A5131">
        <v>5130</v>
      </c>
      <c r="B5131" t="str">
        <f>"003008"</f>
        <v>003008</v>
      </c>
      <c r="C5131" t="s">
        <v>22915</v>
      </c>
      <c r="D5131">
        <v>27.8</v>
      </c>
      <c r="E5131">
        <v>0.43</v>
      </c>
      <c r="F5131">
        <v>0.12</v>
      </c>
      <c r="G5131">
        <v>4720</v>
      </c>
      <c r="H5131">
        <v>2</v>
      </c>
      <c r="I5131">
        <v>27.77</v>
      </c>
      <c r="J5131">
        <v>27.8</v>
      </c>
      <c r="K5131" t="s">
        <v>22916</v>
      </c>
      <c r="L5131">
        <v>0.8</v>
      </c>
      <c r="M5131" t="s">
        <v>46</v>
      </c>
      <c r="N5131" t="s">
        <v>9288</v>
      </c>
      <c r="O5131">
        <v>27.9</v>
      </c>
      <c r="P5131">
        <v>27.5</v>
      </c>
      <c r="Q5131">
        <v>27.68</v>
      </c>
      <c r="R5131">
        <v>27.68</v>
      </c>
      <c r="S5131">
        <v>1.45</v>
      </c>
      <c r="T5131">
        <v>1.15</v>
      </c>
      <c r="U5131">
        <v>-1.92</v>
      </c>
      <c r="V5131">
        <v>-2</v>
      </c>
      <c r="W5131">
        <v>27.73</v>
      </c>
      <c r="X5131">
        <v>2241</v>
      </c>
      <c r="Y5131">
        <v>2479</v>
      </c>
      <c r="Z5131">
        <v>0.9</v>
      </c>
      <c r="AA5131">
        <v>4</v>
      </c>
      <c r="AB5131">
        <v>4</v>
      </c>
      <c r="AC5131">
        <v>2.11</v>
      </c>
      <c r="AD5131" t="s">
        <v>3612</v>
      </c>
      <c r="AE5131" t="s">
        <v>22542</v>
      </c>
      <c r="AF5131" t="s">
        <v>14887</v>
      </c>
      <c r="AG5131" t="s">
        <v>22917</v>
      </c>
      <c r="AH5131">
        <v>-0.36</v>
      </c>
      <c r="AI5131">
        <v>-0.25</v>
      </c>
      <c r="AJ5131">
        <v>2</v>
      </c>
      <c r="AK5131">
        <v>4.29</v>
      </c>
      <c r="AL5131">
        <v>1</v>
      </c>
      <c r="AM5131">
        <v>0.43</v>
      </c>
      <c r="AN5131">
        <v>15.54</v>
      </c>
      <c r="AO5131">
        <v>2.77</v>
      </c>
      <c r="AP5131">
        <v>8.93</v>
      </c>
    </row>
    <row r="5132" spans="1:42">
      <c r="A5132">
        <v>5131</v>
      </c>
      <c r="B5132" t="str">
        <f>"688353"</f>
        <v>688353</v>
      </c>
      <c r="C5132" t="s">
        <v>22918</v>
      </c>
      <c r="D5132">
        <v>29.18</v>
      </c>
      <c r="E5132">
        <v>-0.03</v>
      </c>
      <c r="F5132">
        <v>-0.01</v>
      </c>
      <c r="G5132">
        <v>4499</v>
      </c>
      <c r="H5132">
        <v>65</v>
      </c>
      <c r="I5132">
        <v>29.18</v>
      </c>
      <c r="J5132">
        <v>29.25</v>
      </c>
      <c r="K5132" t="s">
        <v>22919</v>
      </c>
      <c r="L5132">
        <v>0.81</v>
      </c>
      <c r="M5132" t="s">
        <v>46</v>
      </c>
      <c r="N5132" t="s">
        <v>3631</v>
      </c>
      <c r="O5132">
        <v>29.45</v>
      </c>
      <c r="P5132">
        <v>28.72</v>
      </c>
      <c r="Q5132">
        <v>29.02</v>
      </c>
      <c r="R5132">
        <v>29.19</v>
      </c>
      <c r="S5132">
        <v>2.5</v>
      </c>
      <c r="T5132">
        <v>0.86</v>
      </c>
      <c r="U5132">
        <v>24.97</v>
      </c>
      <c r="V5132">
        <v>33</v>
      </c>
      <c r="W5132">
        <v>29.04</v>
      </c>
      <c r="X5132">
        <v>2456</v>
      </c>
      <c r="Y5132">
        <v>2043</v>
      </c>
      <c r="Z5132">
        <v>1.2</v>
      </c>
      <c r="AA5132">
        <v>6</v>
      </c>
      <c r="AB5132">
        <v>8</v>
      </c>
      <c r="AC5132">
        <v>1.23</v>
      </c>
      <c r="AD5132" t="s">
        <v>22920</v>
      </c>
      <c r="AE5132" t="s">
        <v>8406</v>
      </c>
      <c r="AF5132" t="s">
        <v>22921</v>
      </c>
      <c r="AG5132" t="s">
        <v>5142</v>
      </c>
      <c r="AH5132">
        <v>-5.26</v>
      </c>
      <c r="AI5132">
        <v>-3.82</v>
      </c>
      <c r="AJ5132">
        <v>2.63</v>
      </c>
      <c r="AK5132">
        <v>5.53</v>
      </c>
      <c r="AL5132">
        <v>-3</v>
      </c>
      <c r="AM5132">
        <v>-0.03</v>
      </c>
      <c r="AN5132">
        <v>-33.59</v>
      </c>
      <c r="AO5132">
        <v>-3.63</v>
      </c>
      <c r="AP5132">
        <v>-36.13</v>
      </c>
    </row>
    <row r="5133" spans="1:42">
      <c r="A5133">
        <v>5132</v>
      </c>
      <c r="B5133" t="str">
        <f>"688236"</f>
        <v>688236</v>
      </c>
      <c r="C5133" t="s">
        <v>22922</v>
      </c>
      <c r="D5133">
        <v>27.59</v>
      </c>
      <c r="E5133">
        <v>-0.54</v>
      </c>
      <c r="F5133">
        <v>-0.15</v>
      </c>
      <c r="G5133">
        <v>4751</v>
      </c>
      <c r="H5133">
        <v>45</v>
      </c>
      <c r="I5133">
        <v>27.58</v>
      </c>
      <c r="J5133">
        <v>27.59</v>
      </c>
      <c r="K5133" t="s">
        <v>15577</v>
      </c>
      <c r="L5133">
        <v>0.61</v>
      </c>
      <c r="M5133" t="s">
        <v>46</v>
      </c>
      <c r="N5133" t="s">
        <v>22923</v>
      </c>
      <c r="O5133">
        <v>27.8</v>
      </c>
      <c r="P5133">
        <v>27.1</v>
      </c>
      <c r="Q5133">
        <v>27.75</v>
      </c>
      <c r="R5133">
        <v>27.74</v>
      </c>
      <c r="S5133">
        <v>2.52</v>
      </c>
      <c r="T5133">
        <v>0.52</v>
      </c>
      <c r="U5133">
        <v>-47.74</v>
      </c>
      <c r="V5133">
        <v>-54</v>
      </c>
      <c r="W5133">
        <v>27.44</v>
      </c>
      <c r="X5133">
        <v>2455</v>
      </c>
      <c r="Y5133">
        <v>2296</v>
      </c>
      <c r="Z5133">
        <v>1.07</v>
      </c>
      <c r="AA5133">
        <v>9</v>
      </c>
      <c r="AB5133">
        <v>11</v>
      </c>
      <c r="AC5133">
        <v>3.81</v>
      </c>
      <c r="AD5133" t="s">
        <v>22924</v>
      </c>
      <c r="AE5133" t="s">
        <v>6248</v>
      </c>
      <c r="AF5133" t="s">
        <v>22925</v>
      </c>
      <c r="AG5133" t="s">
        <v>169</v>
      </c>
      <c r="AH5133">
        <v>-2.51</v>
      </c>
      <c r="AI5133">
        <v>-0.54</v>
      </c>
      <c r="AJ5133">
        <v>2.56</v>
      </c>
      <c r="AK5133">
        <v>6.54</v>
      </c>
      <c r="AL5133">
        <v>-2</v>
      </c>
      <c r="AM5133">
        <v>-0.54</v>
      </c>
      <c r="AN5133">
        <v>17.4</v>
      </c>
      <c r="AO5133">
        <v>-3.93</v>
      </c>
      <c r="AP5133">
        <v>11.16</v>
      </c>
    </row>
    <row r="5134" spans="1:42">
      <c r="A5134">
        <v>5133</v>
      </c>
      <c r="B5134" t="str">
        <f>"001333"</f>
        <v>001333</v>
      </c>
      <c r="C5134" t="s">
        <v>22926</v>
      </c>
      <c r="D5134">
        <v>22.65</v>
      </c>
      <c r="E5134">
        <v>-0.44</v>
      </c>
      <c r="F5134">
        <v>-0.1</v>
      </c>
      <c r="G5134">
        <v>5745</v>
      </c>
      <c r="H5134">
        <v>89</v>
      </c>
      <c r="I5134">
        <v>22.64</v>
      </c>
      <c r="J5134">
        <v>22.65</v>
      </c>
      <c r="K5134" t="s">
        <v>22927</v>
      </c>
      <c r="L5134">
        <v>1.8</v>
      </c>
      <c r="M5134" t="s">
        <v>46</v>
      </c>
      <c r="N5134" t="s">
        <v>3553</v>
      </c>
      <c r="O5134">
        <v>22.9</v>
      </c>
      <c r="P5134">
        <v>22.54</v>
      </c>
      <c r="Q5134">
        <v>22.75</v>
      </c>
      <c r="R5134">
        <v>22.75</v>
      </c>
      <c r="S5134">
        <v>1.58</v>
      </c>
      <c r="T5134">
        <v>0.94</v>
      </c>
      <c r="U5134">
        <v>15.46</v>
      </c>
      <c r="V5134">
        <v>45</v>
      </c>
      <c r="W5134">
        <v>22.66</v>
      </c>
      <c r="X5134">
        <v>2861</v>
      </c>
      <c r="Y5134">
        <v>2885</v>
      </c>
      <c r="Z5134">
        <v>0.99</v>
      </c>
      <c r="AA5134">
        <v>6</v>
      </c>
      <c r="AB5134">
        <v>38</v>
      </c>
      <c r="AC5134">
        <v>1.85</v>
      </c>
      <c r="AD5134" t="s">
        <v>9252</v>
      </c>
      <c r="AE5134" t="s">
        <v>8874</v>
      </c>
      <c r="AF5134" t="s">
        <v>21320</v>
      </c>
      <c r="AG5134" t="s">
        <v>22928</v>
      </c>
      <c r="AH5134">
        <v>-3.04</v>
      </c>
      <c r="AI5134">
        <v>-2.71</v>
      </c>
      <c r="AJ5134">
        <v>5.56</v>
      </c>
      <c r="AK5134">
        <v>11.38</v>
      </c>
      <c r="AL5134">
        <v>-3</v>
      </c>
      <c r="AM5134">
        <v>-0.44</v>
      </c>
      <c r="AN5134">
        <v>-20.39</v>
      </c>
      <c r="AO5134">
        <v>0.22</v>
      </c>
      <c r="AP5134">
        <v>-16.91</v>
      </c>
    </row>
    <row r="5135" spans="1:42">
      <c r="A5135">
        <v>5134</v>
      </c>
      <c r="B5135" t="str">
        <f>"688060"</f>
        <v>688060</v>
      </c>
      <c r="C5135" t="s">
        <v>22929</v>
      </c>
      <c r="D5135">
        <v>49.18</v>
      </c>
      <c r="E5135">
        <v>2.37</v>
      </c>
      <c r="F5135">
        <v>1.14</v>
      </c>
      <c r="G5135">
        <v>2668</v>
      </c>
      <c r="H5135">
        <v>16</v>
      </c>
      <c r="I5135">
        <v>49.18</v>
      </c>
      <c r="J5135">
        <v>49.2</v>
      </c>
      <c r="K5135" t="s">
        <v>22930</v>
      </c>
      <c r="L5135">
        <v>0.44</v>
      </c>
      <c r="M5135" t="s">
        <v>46</v>
      </c>
      <c r="N5135" t="s">
        <v>5956</v>
      </c>
      <c r="O5135">
        <v>49.53</v>
      </c>
      <c r="P5135">
        <v>47.92</v>
      </c>
      <c r="Q5135">
        <v>48.88</v>
      </c>
      <c r="R5135">
        <v>48.04</v>
      </c>
      <c r="S5135">
        <v>3.35</v>
      </c>
      <c r="T5135">
        <v>0.91</v>
      </c>
      <c r="U5135">
        <v>19.42</v>
      </c>
      <c r="V5135">
        <v>23</v>
      </c>
      <c r="W5135">
        <v>48.73</v>
      </c>
      <c r="X5135">
        <v>1192</v>
      </c>
      <c r="Y5135">
        <v>1475</v>
      </c>
      <c r="Z5135">
        <v>0.81</v>
      </c>
      <c r="AA5135">
        <v>20</v>
      </c>
      <c r="AB5135">
        <v>5</v>
      </c>
      <c r="AC5135">
        <v>3.03</v>
      </c>
      <c r="AD5135" t="s">
        <v>14722</v>
      </c>
      <c r="AE5135" t="s">
        <v>13774</v>
      </c>
      <c r="AF5135" t="s">
        <v>14722</v>
      </c>
      <c r="AG5135" t="s">
        <v>13774</v>
      </c>
      <c r="AH5135">
        <v>-1.13</v>
      </c>
      <c r="AI5135">
        <v>-1.34</v>
      </c>
      <c r="AJ5135">
        <v>1.42</v>
      </c>
      <c r="AK5135">
        <v>2.89</v>
      </c>
      <c r="AL5135">
        <v>1</v>
      </c>
      <c r="AM5135">
        <v>2.37</v>
      </c>
      <c r="AN5135">
        <v>-15.93</v>
      </c>
      <c r="AO5135">
        <v>1.3</v>
      </c>
      <c r="AP5135">
        <v>-20.55</v>
      </c>
    </row>
    <row r="5136" spans="1:42">
      <c r="A5136">
        <v>5135</v>
      </c>
      <c r="B5136" t="str">
        <f>"600421"</f>
        <v>600421</v>
      </c>
      <c r="C5136" t="s">
        <v>22931</v>
      </c>
      <c r="D5136">
        <v>10.62</v>
      </c>
      <c r="E5136">
        <v>0.28</v>
      </c>
      <c r="F5136">
        <v>0.03</v>
      </c>
      <c r="G5136" t="s">
        <v>1254</v>
      </c>
      <c r="H5136">
        <v>97</v>
      </c>
      <c r="I5136">
        <v>10.61</v>
      </c>
      <c r="J5136">
        <v>10.62</v>
      </c>
      <c r="K5136" t="s">
        <v>22932</v>
      </c>
      <c r="L5136">
        <v>0.63</v>
      </c>
      <c r="M5136" t="s">
        <v>46</v>
      </c>
      <c r="N5136" t="s">
        <v>22933</v>
      </c>
      <c r="O5136">
        <v>10.65</v>
      </c>
      <c r="P5136">
        <v>10.45</v>
      </c>
      <c r="Q5136">
        <v>10.59</v>
      </c>
      <c r="R5136">
        <v>10.59</v>
      </c>
      <c r="S5136">
        <v>1.89</v>
      </c>
      <c r="T5136">
        <v>0.68</v>
      </c>
      <c r="U5136">
        <v>-19.67</v>
      </c>
      <c r="V5136">
        <v>-215</v>
      </c>
      <c r="W5136">
        <v>10.57</v>
      </c>
      <c r="X5136">
        <v>6354</v>
      </c>
      <c r="Y5136">
        <v>5894</v>
      </c>
      <c r="Z5136">
        <v>1.08</v>
      </c>
      <c r="AA5136">
        <v>47</v>
      </c>
      <c r="AB5136">
        <v>7</v>
      </c>
      <c r="AC5136">
        <v>119.5</v>
      </c>
      <c r="AD5136" t="s">
        <v>22934</v>
      </c>
      <c r="AE5136" t="s">
        <v>270</v>
      </c>
      <c r="AF5136" t="s">
        <v>22934</v>
      </c>
      <c r="AG5136" t="s">
        <v>270</v>
      </c>
      <c r="AH5136">
        <v>-1.39</v>
      </c>
      <c r="AI5136">
        <v>0.09</v>
      </c>
      <c r="AJ5136">
        <v>1.95</v>
      </c>
      <c r="AK5136">
        <v>5.21</v>
      </c>
      <c r="AL5136">
        <v>1</v>
      </c>
      <c r="AM5136">
        <v>0.28</v>
      </c>
      <c r="AN5136">
        <v>-1.58</v>
      </c>
      <c r="AO5136">
        <v>7.27</v>
      </c>
      <c r="AP5136">
        <v>-15.71</v>
      </c>
    </row>
    <row r="5137" spans="1:42">
      <c r="A5137">
        <v>5136</v>
      </c>
      <c r="B5137" t="str">
        <f>"688056"</f>
        <v>688056</v>
      </c>
      <c r="C5137" t="s">
        <v>22935</v>
      </c>
      <c r="D5137">
        <v>36.76</v>
      </c>
      <c r="E5137">
        <v>0.33</v>
      </c>
      <c r="F5137">
        <v>0.12</v>
      </c>
      <c r="G5137">
        <v>3514</v>
      </c>
      <c r="H5137">
        <v>28</v>
      </c>
      <c r="I5137">
        <v>36.76</v>
      </c>
      <c r="J5137">
        <v>36.89</v>
      </c>
      <c r="K5137" t="s">
        <v>22936</v>
      </c>
      <c r="L5137">
        <v>0.52</v>
      </c>
      <c r="M5137" t="s">
        <v>46</v>
      </c>
      <c r="N5137" t="s">
        <v>4795</v>
      </c>
      <c r="O5137">
        <v>37.38</v>
      </c>
      <c r="P5137">
        <v>36.27</v>
      </c>
      <c r="Q5137">
        <v>37.38</v>
      </c>
      <c r="R5137">
        <v>36.64</v>
      </c>
      <c r="S5137">
        <v>3.03</v>
      </c>
      <c r="T5137">
        <v>1.06</v>
      </c>
      <c r="U5137">
        <v>-30.9</v>
      </c>
      <c r="V5137">
        <v>-28</v>
      </c>
      <c r="W5137">
        <v>36.62</v>
      </c>
      <c r="X5137">
        <v>1686</v>
      </c>
      <c r="Y5137">
        <v>1828</v>
      </c>
      <c r="Z5137">
        <v>0.92</v>
      </c>
      <c r="AA5137">
        <v>2</v>
      </c>
      <c r="AB5137">
        <v>5</v>
      </c>
      <c r="AC5137">
        <v>2.91</v>
      </c>
      <c r="AD5137" t="s">
        <v>16463</v>
      </c>
      <c r="AE5137" t="s">
        <v>19647</v>
      </c>
      <c r="AF5137" t="s">
        <v>16463</v>
      </c>
      <c r="AG5137" t="s">
        <v>19647</v>
      </c>
      <c r="AH5137">
        <v>-2.67</v>
      </c>
      <c r="AI5137">
        <v>-2.08</v>
      </c>
      <c r="AJ5137">
        <v>1.45</v>
      </c>
      <c r="AK5137">
        <v>3</v>
      </c>
      <c r="AL5137">
        <v>1</v>
      </c>
      <c r="AM5137">
        <v>0.33</v>
      </c>
      <c r="AN5137">
        <v>-8.74</v>
      </c>
      <c r="AO5137">
        <v>3.61</v>
      </c>
      <c r="AP5137">
        <v>-8.42</v>
      </c>
    </row>
    <row r="5138" spans="1:42">
      <c r="A5138">
        <v>5137</v>
      </c>
      <c r="B5138" t="str">
        <f>"688528"</f>
        <v>688528</v>
      </c>
      <c r="C5138" t="s">
        <v>22937</v>
      </c>
      <c r="D5138">
        <v>11.13</v>
      </c>
      <c r="E5138">
        <v>-1.5</v>
      </c>
      <c r="F5138">
        <v>-0.17</v>
      </c>
      <c r="G5138" t="s">
        <v>2284</v>
      </c>
      <c r="H5138">
        <v>214</v>
      </c>
      <c r="I5138">
        <v>11.13</v>
      </c>
      <c r="J5138">
        <v>11.14</v>
      </c>
      <c r="K5138" t="s">
        <v>22938</v>
      </c>
      <c r="L5138">
        <v>1.72</v>
      </c>
      <c r="M5138" t="s">
        <v>46</v>
      </c>
      <c r="N5138" t="s">
        <v>5496</v>
      </c>
      <c r="O5138">
        <v>11.34</v>
      </c>
      <c r="P5138">
        <v>11.07</v>
      </c>
      <c r="Q5138">
        <v>11.33</v>
      </c>
      <c r="R5138">
        <v>11.3</v>
      </c>
      <c r="S5138">
        <v>2.39</v>
      </c>
      <c r="T5138">
        <v>1.23</v>
      </c>
      <c r="U5138">
        <v>1.2</v>
      </c>
      <c r="V5138">
        <v>5</v>
      </c>
      <c r="W5138">
        <v>11.18</v>
      </c>
      <c r="X5138">
        <v>7690</v>
      </c>
      <c r="Y5138">
        <v>3813</v>
      </c>
      <c r="Z5138">
        <v>2.02</v>
      </c>
      <c r="AA5138">
        <v>2</v>
      </c>
      <c r="AB5138">
        <v>6</v>
      </c>
      <c r="AC5138">
        <v>2.65</v>
      </c>
      <c r="AD5138" t="s">
        <v>2651</v>
      </c>
      <c r="AE5138" t="s">
        <v>20678</v>
      </c>
      <c r="AF5138" t="s">
        <v>22939</v>
      </c>
      <c r="AG5138" t="s">
        <v>22940</v>
      </c>
      <c r="AH5138">
        <v>-1.42</v>
      </c>
      <c r="AI5138">
        <v>0.54</v>
      </c>
      <c r="AJ5138">
        <v>4.61</v>
      </c>
      <c r="AK5138">
        <v>8.71</v>
      </c>
      <c r="AL5138">
        <v>-2</v>
      </c>
      <c r="AM5138">
        <v>-1.5</v>
      </c>
      <c r="AN5138">
        <v>9.22</v>
      </c>
      <c r="AO5138">
        <v>4.31</v>
      </c>
      <c r="AP5138">
        <v>5.2</v>
      </c>
    </row>
    <row r="5139" spans="1:42">
      <c r="A5139">
        <v>5138</v>
      </c>
      <c r="B5139" t="str">
        <f>"300715"</f>
        <v>300715</v>
      </c>
      <c r="C5139" t="s">
        <v>22941</v>
      </c>
      <c r="D5139">
        <v>12.28</v>
      </c>
      <c r="E5139">
        <v>-0.49</v>
      </c>
      <c r="F5139">
        <v>-0.06</v>
      </c>
      <c r="G5139" t="s">
        <v>239</v>
      </c>
      <c r="H5139">
        <v>51</v>
      </c>
      <c r="I5139">
        <v>12.28</v>
      </c>
      <c r="J5139">
        <v>12.29</v>
      </c>
      <c r="K5139" t="s">
        <v>22942</v>
      </c>
      <c r="L5139">
        <v>0.37</v>
      </c>
      <c r="M5139" t="s">
        <v>46</v>
      </c>
      <c r="N5139" t="s">
        <v>5403</v>
      </c>
      <c r="O5139">
        <v>12.47</v>
      </c>
      <c r="P5139">
        <v>12.19</v>
      </c>
      <c r="Q5139">
        <v>12.47</v>
      </c>
      <c r="R5139">
        <v>12.34</v>
      </c>
      <c r="S5139">
        <v>2.27</v>
      </c>
      <c r="T5139">
        <v>1.1</v>
      </c>
      <c r="U5139">
        <v>39.26</v>
      </c>
      <c r="V5139">
        <v>201</v>
      </c>
      <c r="W5139">
        <v>12.28</v>
      </c>
      <c r="X5139">
        <v>4946</v>
      </c>
      <c r="Y5139">
        <v>5493</v>
      </c>
      <c r="Z5139">
        <v>0.9</v>
      </c>
      <c r="AA5139">
        <v>7</v>
      </c>
      <c r="AB5139">
        <v>41</v>
      </c>
      <c r="AC5139">
        <v>1.91</v>
      </c>
      <c r="AD5139" t="s">
        <v>22943</v>
      </c>
      <c r="AE5139" t="s">
        <v>22944</v>
      </c>
      <c r="AF5139" t="s">
        <v>22945</v>
      </c>
      <c r="AG5139" t="s">
        <v>6756</v>
      </c>
      <c r="AH5139">
        <v>-3</v>
      </c>
      <c r="AI5139">
        <v>-3.46</v>
      </c>
      <c r="AJ5139">
        <v>1.09</v>
      </c>
      <c r="AK5139">
        <v>2.08</v>
      </c>
      <c r="AL5139">
        <v>-3</v>
      </c>
      <c r="AM5139">
        <v>-0.49</v>
      </c>
      <c r="AN5139">
        <v>-8.7</v>
      </c>
      <c r="AO5139">
        <v>-1.52</v>
      </c>
      <c r="AP5139">
        <v>-11.59</v>
      </c>
    </row>
    <row r="5140" spans="1:42">
      <c r="A5140">
        <v>5139</v>
      </c>
      <c r="B5140" t="str">
        <f>"603272"</f>
        <v>603272</v>
      </c>
      <c r="C5140" t="s">
        <v>22946</v>
      </c>
      <c r="D5140">
        <v>17.73</v>
      </c>
      <c r="E5140">
        <v>1.08</v>
      </c>
      <c r="F5140">
        <v>0.19</v>
      </c>
      <c r="G5140">
        <v>7253</v>
      </c>
      <c r="H5140">
        <v>182</v>
      </c>
      <c r="I5140">
        <v>17.64</v>
      </c>
      <c r="J5140">
        <v>17.73</v>
      </c>
      <c r="K5140" t="s">
        <v>22947</v>
      </c>
      <c r="L5140">
        <v>1.71</v>
      </c>
      <c r="M5140" t="s">
        <v>46</v>
      </c>
      <c r="N5140" t="s">
        <v>9457</v>
      </c>
      <c r="O5140">
        <v>17.77</v>
      </c>
      <c r="P5140">
        <v>17.5</v>
      </c>
      <c r="Q5140">
        <v>17.55</v>
      </c>
      <c r="R5140">
        <v>17.54</v>
      </c>
      <c r="S5140">
        <v>1.54</v>
      </c>
      <c r="T5140">
        <v>0.93</v>
      </c>
      <c r="U5140">
        <v>0.58</v>
      </c>
      <c r="V5140">
        <v>2</v>
      </c>
      <c r="W5140">
        <v>17.66</v>
      </c>
      <c r="X5140">
        <v>3622</v>
      </c>
      <c r="Y5140">
        <v>3631</v>
      </c>
      <c r="Z5140">
        <v>1</v>
      </c>
      <c r="AA5140">
        <v>2</v>
      </c>
      <c r="AB5140">
        <v>50</v>
      </c>
      <c r="AC5140">
        <v>2.87</v>
      </c>
      <c r="AD5140" t="s">
        <v>22538</v>
      </c>
      <c r="AE5140" t="s">
        <v>9788</v>
      </c>
      <c r="AF5140" t="s">
        <v>17329</v>
      </c>
      <c r="AG5140" t="s">
        <v>22948</v>
      </c>
      <c r="AH5140">
        <v>-0.45</v>
      </c>
      <c r="AI5140">
        <v>-0.67</v>
      </c>
      <c r="AJ5140">
        <v>5.05</v>
      </c>
      <c r="AK5140">
        <v>10.87</v>
      </c>
      <c r="AL5140">
        <v>1</v>
      </c>
      <c r="AM5140">
        <v>1.08</v>
      </c>
      <c r="AN5140">
        <v>3.62</v>
      </c>
      <c r="AO5140">
        <v>2.25</v>
      </c>
      <c r="AP5140">
        <v>-7.42</v>
      </c>
    </row>
    <row r="5141" spans="1:42">
      <c r="A5141">
        <v>5140</v>
      </c>
      <c r="B5141" t="str">
        <f>"300927"</f>
        <v>300927</v>
      </c>
      <c r="C5141" t="s">
        <v>22949</v>
      </c>
      <c r="D5141">
        <v>17.08</v>
      </c>
      <c r="E5141">
        <v>-0.41</v>
      </c>
      <c r="F5141">
        <v>-0.07</v>
      </c>
      <c r="G5141">
        <v>7465</v>
      </c>
      <c r="H5141">
        <v>42</v>
      </c>
      <c r="I5141">
        <v>17.03</v>
      </c>
      <c r="J5141">
        <v>17.08</v>
      </c>
      <c r="K5141" t="s">
        <v>13307</v>
      </c>
      <c r="L5141">
        <v>0.86</v>
      </c>
      <c r="M5141" t="s">
        <v>46</v>
      </c>
      <c r="N5141" t="s">
        <v>5837</v>
      </c>
      <c r="O5141">
        <v>17.3</v>
      </c>
      <c r="P5141">
        <v>17.01</v>
      </c>
      <c r="Q5141">
        <v>17.15</v>
      </c>
      <c r="R5141">
        <v>17.15</v>
      </c>
      <c r="S5141">
        <v>1.69</v>
      </c>
      <c r="T5141">
        <v>0.62</v>
      </c>
      <c r="U5141">
        <v>21.21</v>
      </c>
      <c r="V5141">
        <v>49</v>
      </c>
      <c r="W5141">
        <v>17.1</v>
      </c>
      <c r="X5141">
        <v>3349</v>
      </c>
      <c r="Y5141">
        <v>4116</v>
      </c>
      <c r="Z5141">
        <v>0.81</v>
      </c>
      <c r="AA5141">
        <v>47</v>
      </c>
      <c r="AB5141">
        <v>2</v>
      </c>
      <c r="AC5141">
        <v>3.67</v>
      </c>
      <c r="AD5141" t="s">
        <v>19288</v>
      </c>
      <c r="AE5141" t="s">
        <v>22082</v>
      </c>
      <c r="AF5141" t="s">
        <v>22950</v>
      </c>
      <c r="AG5141" t="s">
        <v>623</v>
      </c>
      <c r="AH5141">
        <v>-1.39</v>
      </c>
      <c r="AI5141">
        <v>-0.47</v>
      </c>
      <c r="AJ5141">
        <v>3.03</v>
      </c>
      <c r="AK5141">
        <v>7.87</v>
      </c>
      <c r="AL5141">
        <v>-3</v>
      </c>
      <c r="AM5141">
        <v>-0.41</v>
      </c>
      <c r="AN5141">
        <v>4.66</v>
      </c>
      <c r="AO5141">
        <v>4.46</v>
      </c>
      <c r="AP5141">
        <v>12.44</v>
      </c>
    </row>
    <row r="5142" spans="1:42">
      <c r="A5142">
        <v>5141</v>
      </c>
      <c r="B5142" t="str">
        <f>"688350"</f>
        <v>688350</v>
      </c>
      <c r="C5142" t="s">
        <v>22951</v>
      </c>
      <c r="D5142">
        <v>17.18</v>
      </c>
      <c r="E5142">
        <v>1</v>
      </c>
      <c r="F5142">
        <v>0.17</v>
      </c>
      <c r="G5142">
        <v>7445</v>
      </c>
      <c r="H5142">
        <v>84</v>
      </c>
      <c r="I5142">
        <v>17.16</v>
      </c>
      <c r="J5142">
        <v>17.18</v>
      </c>
      <c r="K5142" t="s">
        <v>22952</v>
      </c>
      <c r="L5142">
        <v>1.19</v>
      </c>
      <c r="M5142" t="s">
        <v>46</v>
      </c>
      <c r="N5142" t="s">
        <v>1568</v>
      </c>
      <c r="O5142">
        <v>17.27</v>
      </c>
      <c r="P5142">
        <v>16.83</v>
      </c>
      <c r="Q5142">
        <v>17</v>
      </c>
      <c r="R5142">
        <v>17.01</v>
      </c>
      <c r="S5142">
        <v>2.59</v>
      </c>
      <c r="T5142">
        <v>1.36</v>
      </c>
      <c r="U5142">
        <v>8.89</v>
      </c>
      <c r="V5142">
        <v>40</v>
      </c>
      <c r="W5142">
        <v>17.12</v>
      </c>
      <c r="X5142">
        <v>3858</v>
      </c>
      <c r="Y5142">
        <v>3586</v>
      </c>
      <c r="Z5142">
        <v>1.08</v>
      </c>
      <c r="AA5142">
        <v>48</v>
      </c>
      <c r="AB5142">
        <v>59</v>
      </c>
      <c r="AC5142">
        <v>1.46</v>
      </c>
      <c r="AD5142" t="s">
        <v>12471</v>
      </c>
      <c r="AE5142" t="s">
        <v>19754</v>
      </c>
      <c r="AF5142" t="s">
        <v>22953</v>
      </c>
      <c r="AG5142" t="s">
        <v>8021</v>
      </c>
      <c r="AH5142">
        <v>-1.26</v>
      </c>
      <c r="AI5142">
        <v>-0.98</v>
      </c>
      <c r="AJ5142">
        <v>3.03</v>
      </c>
      <c r="AK5142">
        <v>5.56</v>
      </c>
      <c r="AL5142">
        <v>1</v>
      </c>
      <c r="AM5142">
        <v>1</v>
      </c>
      <c r="AN5142">
        <v>6.11</v>
      </c>
      <c r="AO5142">
        <v>0.94</v>
      </c>
      <c r="AP5142">
        <v>-7.49</v>
      </c>
    </row>
    <row r="5143" spans="1:42">
      <c r="A5143">
        <v>5142</v>
      </c>
      <c r="B5143" t="str">
        <f>"605166"</f>
        <v>605166</v>
      </c>
      <c r="C5143" t="s">
        <v>22954</v>
      </c>
      <c r="D5143">
        <v>10.02</v>
      </c>
      <c r="E5143">
        <v>0</v>
      </c>
      <c r="F5143">
        <v>0</v>
      </c>
      <c r="G5143" t="s">
        <v>6212</v>
      </c>
      <c r="H5143">
        <v>163</v>
      </c>
      <c r="I5143">
        <v>9.99</v>
      </c>
      <c r="J5143">
        <v>10.02</v>
      </c>
      <c r="K5143" t="s">
        <v>22955</v>
      </c>
      <c r="L5143">
        <v>0.4</v>
      </c>
      <c r="M5143" t="s">
        <v>46</v>
      </c>
      <c r="N5143" t="s">
        <v>11051</v>
      </c>
      <c r="O5143">
        <v>10.1</v>
      </c>
      <c r="P5143">
        <v>9.94</v>
      </c>
      <c r="Q5143">
        <v>10.02</v>
      </c>
      <c r="R5143">
        <v>10.02</v>
      </c>
      <c r="S5143">
        <v>1.6</v>
      </c>
      <c r="T5143">
        <v>0.82</v>
      </c>
      <c r="U5143">
        <v>-12.52</v>
      </c>
      <c r="V5143">
        <v>-101</v>
      </c>
      <c r="W5143">
        <v>10.03</v>
      </c>
      <c r="X5143">
        <v>5520</v>
      </c>
      <c r="Y5143">
        <v>7178</v>
      </c>
      <c r="Z5143">
        <v>0.77</v>
      </c>
      <c r="AA5143">
        <v>61</v>
      </c>
      <c r="AB5143">
        <v>69</v>
      </c>
      <c r="AC5143">
        <v>1.93</v>
      </c>
      <c r="AD5143" t="s">
        <v>20448</v>
      </c>
      <c r="AE5143" t="s">
        <v>6937</v>
      </c>
      <c r="AF5143" t="s">
        <v>20448</v>
      </c>
      <c r="AG5143" t="s">
        <v>6937</v>
      </c>
      <c r="AH5143">
        <v>-0.89</v>
      </c>
      <c r="AI5143">
        <v>-0.69</v>
      </c>
      <c r="AJ5143">
        <v>1.32</v>
      </c>
      <c r="AK5143">
        <v>2.86</v>
      </c>
      <c r="AL5143">
        <v>0</v>
      </c>
      <c r="AM5143">
        <v>0</v>
      </c>
      <c r="AN5143">
        <v>-16.5</v>
      </c>
      <c r="AO5143">
        <v>3.83</v>
      </c>
      <c r="AP5143">
        <v>-21.72</v>
      </c>
    </row>
    <row r="5144" spans="1:42">
      <c r="A5144">
        <v>5143</v>
      </c>
      <c r="B5144" t="str">
        <f>"300824"</f>
        <v>300824</v>
      </c>
      <c r="C5144" t="s">
        <v>22956</v>
      </c>
      <c r="D5144">
        <v>9.77</v>
      </c>
      <c r="E5144">
        <v>-0.31</v>
      </c>
      <c r="F5144">
        <v>-0.03</v>
      </c>
      <c r="G5144" t="s">
        <v>9445</v>
      </c>
      <c r="H5144">
        <v>53</v>
      </c>
      <c r="I5144">
        <v>9.77</v>
      </c>
      <c r="J5144">
        <v>9.78</v>
      </c>
      <c r="K5144" t="s">
        <v>22957</v>
      </c>
      <c r="L5144">
        <v>0.41</v>
      </c>
      <c r="M5144" t="s">
        <v>46</v>
      </c>
      <c r="N5144" t="s">
        <v>14440</v>
      </c>
      <c r="O5144">
        <v>9.89</v>
      </c>
      <c r="P5144">
        <v>9.72</v>
      </c>
      <c r="Q5144">
        <v>9.88</v>
      </c>
      <c r="R5144">
        <v>9.8</v>
      </c>
      <c r="S5144">
        <v>1.73</v>
      </c>
      <c r="T5144">
        <v>0.86</v>
      </c>
      <c r="U5144">
        <v>59.66</v>
      </c>
      <c r="V5144">
        <v>420</v>
      </c>
      <c r="W5144">
        <v>9.8</v>
      </c>
      <c r="X5144">
        <v>6413</v>
      </c>
      <c r="Y5144">
        <v>6569</v>
      </c>
      <c r="Z5144">
        <v>0.98</v>
      </c>
      <c r="AA5144">
        <v>31</v>
      </c>
      <c r="AB5144">
        <v>1</v>
      </c>
      <c r="AC5144">
        <v>4.38</v>
      </c>
      <c r="AD5144" t="s">
        <v>4418</v>
      </c>
      <c r="AE5144" t="s">
        <v>8458</v>
      </c>
      <c r="AF5144" t="s">
        <v>22958</v>
      </c>
      <c r="AG5144" t="s">
        <v>11782</v>
      </c>
      <c r="AH5144">
        <v>-2.01</v>
      </c>
      <c r="AI5144">
        <v>-2.3</v>
      </c>
      <c r="AJ5144">
        <v>1.24</v>
      </c>
      <c r="AK5144">
        <v>2.8</v>
      </c>
      <c r="AL5144">
        <v>-2</v>
      </c>
      <c r="AM5144">
        <v>-0.31</v>
      </c>
      <c r="AN5144">
        <v>11.53</v>
      </c>
      <c r="AO5144">
        <v>-0.71</v>
      </c>
      <c r="AP5144">
        <v>11.15</v>
      </c>
    </row>
    <row r="5145" spans="1:42">
      <c r="A5145">
        <v>5144</v>
      </c>
      <c r="B5145" t="str">
        <f>"001217"</f>
        <v>001217</v>
      </c>
      <c r="C5145" t="s">
        <v>22959</v>
      </c>
      <c r="D5145">
        <v>11.82</v>
      </c>
      <c r="E5145">
        <v>-0.25</v>
      </c>
      <c r="F5145">
        <v>-0.03</v>
      </c>
      <c r="G5145" t="s">
        <v>2147</v>
      </c>
      <c r="H5145">
        <v>14</v>
      </c>
      <c r="I5145">
        <v>11.81</v>
      </c>
      <c r="J5145">
        <v>11.84</v>
      </c>
      <c r="K5145" t="s">
        <v>22960</v>
      </c>
      <c r="L5145">
        <v>0.81</v>
      </c>
      <c r="M5145" t="s">
        <v>46</v>
      </c>
      <c r="N5145" t="s">
        <v>4069</v>
      </c>
      <c r="O5145">
        <v>11.89</v>
      </c>
      <c r="P5145">
        <v>11.77</v>
      </c>
      <c r="Q5145">
        <v>11.89</v>
      </c>
      <c r="R5145">
        <v>11.85</v>
      </c>
      <c r="S5145">
        <v>1.01</v>
      </c>
      <c r="T5145">
        <v>0.9</v>
      </c>
      <c r="U5145">
        <v>58.18</v>
      </c>
      <c r="V5145">
        <v>370</v>
      </c>
      <c r="W5145">
        <v>11.82</v>
      </c>
      <c r="X5145">
        <v>5741</v>
      </c>
      <c r="Y5145">
        <v>4967</v>
      </c>
      <c r="Z5145">
        <v>1.16</v>
      </c>
      <c r="AA5145">
        <v>9</v>
      </c>
      <c r="AB5145">
        <v>6</v>
      </c>
      <c r="AC5145">
        <v>1.83</v>
      </c>
      <c r="AD5145" t="s">
        <v>3113</v>
      </c>
      <c r="AE5145" t="s">
        <v>20886</v>
      </c>
      <c r="AF5145" t="s">
        <v>22961</v>
      </c>
      <c r="AG5145" t="s">
        <v>12321</v>
      </c>
      <c r="AH5145">
        <v>-1.42</v>
      </c>
      <c r="AI5145">
        <v>-1.25</v>
      </c>
      <c r="AJ5145">
        <v>2.44</v>
      </c>
      <c r="AK5145">
        <v>5.28</v>
      </c>
      <c r="AL5145">
        <v>-3</v>
      </c>
      <c r="AM5145">
        <v>-0.25</v>
      </c>
      <c r="AN5145">
        <v>-8.94</v>
      </c>
      <c r="AO5145">
        <v>0.42</v>
      </c>
      <c r="AP5145">
        <v>-3.35</v>
      </c>
    </row>
    <row r="5146" spans="1:42">
      <c r="A5146">
        <v>5145</v>
      </c>
      <c r="B5146" t="str">
        <f>"603282"</f>
        <v>603282</v>
      </c>
      <c r="C5146" t="s">
        <v>22962</v>
      </c>
      <c r="D5146">
        <v>27.03</v>
      </c>
      <c r="E5146">
        <v>-0.73</v>
      </c>
      <c r="F5146">
        <v>-0.2</v>
      </c>
      <c r="G5146">
        <v>4695</v>
      </c>
      <c r="H5146">
        <v>39</v>
      </c>
      <c r="I5146">
        <v>27.03</v>
      </c>
      <c r="J5146">
        <v>27.04</v>
      </c>
      <c r="K5146" t="s">
        <v>22960</v>
      </c>
      <c r="L5146">
        <v>1.4</v>
      </c>
      <c r="M5146" t="s">
        <v>46</v>
      </c>
      <c r="N5146" t="s">
        <v>3384</v>
      </c>
      <c r="O5146">
        <v>27.19</v>
      </c>
      <c r="P5146">
        <v>26.72</v>
      </c>
      <c r="Q5146">
        <v>27.01</v>
      </c>
      <c r="R5146">
        <v>27.23</v>
      </c>
      <c r="S5146">
        <v>1.73</v>
      </c>
      <c r="T5146">
        <v>0.73</v>
      </c>
      <c r="U5146">
        <v>82.73</v>
      </c>
      <c r="V5146">
        <v>230</v>
      </c>
      <c r="W5146">
        <v>26.94</v>
      </c>
      <c r="X5146">
        <v>2368</v>
      </c>
      <c r="Y5146">
        <v>2327</v>
      </c>
      <c r="Z5146">
        <v>1.02</v>
      </c>
      <c r="AA5146">
        <v>167</v>
      </c>
      <c r="AB5146">
        <v>1</v>
      </c>
      <c r="AC5146">
        <v>3.04</v>
      </c>
      <c r="AD5146" t="s">
        <v>21339</v>
      </c>
      <c r="AE5146" t="s">
        <v>19737</v>
      </c>
      <c r="AF5146" t="s">
        <v>18984</v>
      </c>
      <c r="AG5146" t="s">
        <v>15530</v>
      </c>
      <c r="AH5146">
        <v>-1.67</v>
      </c>
      <c r="AI5146">
        <v>-1.82</v>
      </c>
      <c r="AJ5146">
        <v>5.08</v>
      </c>
      <c r="AK5146">
        <v>11.04</v>
      </c>
      <c r="AL5146">
        <v>-3</v>
      </c>
      <c r="AM5146">
        <v>-0.73</v>
      </c>
      <c r="AN5146">
        <v>52.71</v>
      </c>
      <c r="AO5146">
        <v>-1.13</v>
      </c>
      <c r="AP5146">
        <v>52.71</v>
      </c>
    </row>
    <row r="5147" spans="1:42">
      <c r="A5147">
        <v>5146</v>
      </c>
      <c r="B5147" t="str">
        <f>"872351"</f>
        <v>872351</v>
      </c>
      <c r="C5147" t="s">
        <v>22963</v>
      </c>
      <c r="D5147">
        <v>6.01</v>
      </c>
      <c r="E5147">
        <v>-4.3</v>
      </c>
      <c r="F5147">
        <v>-0.27</v>
      </c>
      <c r="G5147" t="s">
        <v>985</v>
      </c>
      <c r="H5147">
        <v>161</v>
      </c>
      <c r="I5147">
        <v>6</v>
      </c>
      <c r="J5147">
        <v>6.01</v>
      </c>
      <c r="K5147" t="s">
        <v>22964</v>
      </c>
      <c r="L5147">
        <v>5.3</v>
      </c>
      <c r="M5147" t="s">
        <v>46</v>
      </c>
      <c r="N5147" t="s">
        <v>966</v>
      </c>
      <c r="O5147">
        <v>6.59</v>
      </c>
      <c r="P5147">
        <v>5.89</v>
      </c>
      <c r="Q5147">
        <v>6.35</v>
      </c>
      <c r="R5147">
        <v>6.28</v>
      </c>
      <c r="S5147">
        <v>11.15</v>
      </c>
      <c r="T5147">
        <v>0.4</v>
      </c>
      <c r="U5147">
        <v>26.42</v>
      </c>
      <c r="V5147">
        <v>143</v>
      </c>
      <c r="W5147">
        <v>6.17</v>
      </c>
      <c r="X5147" t="s">
        <v>1743</v>
      </c>
      <c r="Y5147">
        <v>8751</v>
      </c>
      <c r="Z5147">
        <v>1.32</v>
      </c>
      <c r="AA5147">
        <v>120</v>
      </c>
      <c r="AB5147">
        <v>19</v>
      </c>
      <c r="AC5147">
        <v>1.26</v>
      </c>
      <c r="AD5147" t="s">
        <v>22965</v>
      </c>
      <c r="AE5147" t="s">
        <v>5598</v>
      </c>
      <c r="AF5147" t="s">
        <v>17994</v>
      </c>
      <c r="AG5147" t="s">
        <v>3782</v>
      </c>
      <c r="AH5147">
        <v>-14.14</v>
      </c>
      <c r="AI5147">
        <v>8.48</v>
      </c>
      <c r="AJ5147">
        <v>20.92</v>
      </c>
      <c r="AK5147">
        <v>71.48</v>
      </c>
      <c r="AL5147">
        <v>-1</v>
      </c>
      <c r="AM5147">
        <v>-4.3</v>
      </c>
      <c r="AN5147">
        <v>10.68</v>
      </c>
      <c r="AO5147">
        <v>25.73</v>
      </c>
      <c r="AP5147">
        <v>3.62</v>
      </c>
    </row>
    <row r="5148" spans="1:42">
      <c r="A5148">
        <v>5147</v>
      </c>
      <c r="B5148" t="str">
        <f>"688459"</f>
        <v>688459</v>
      </c>
      <c r="C5148" t="s">
        <v>22966</v>
      </c>
      <c r="D5148">
        <v>9.44</v>
      </c>
      <c r="E5148">
        <v>0.32</v>
      </c>
      <c r="F5148">
        <v>0.03</v>
      </c>
      <c r="G5148" t="s">
        <v>383</v>
      </c>
      <c r="H5148">
        <v>179</v>
      </c>
      <c r="I5148">
        <v>9.43</v>
      </c>
      <c r="J5148">
        <v>9.44</v>
      </c>
      <c r="K5148" t="s">
        <v>22967</v>
      </c>
      <c r="L5148">
        <v>1.15</v>
      </c>
      <c r="M5148" t="s">
        <v>46</v>
      </c>
      <c r="N5148" t="s">
        <v>3561</v>
      </c>
      <c r="O5148">
        <v>9.46</v>
      </c>
      <c r="P5148">
        <v>9.34</v>
      </c>
      <c r="Q5148">
        <v>9.42</v>
      </c>
      <c r="R5148">
        <v>9.41</v>
      </c>
      <c r="S5148">
        <v>1.28</v>
      </c>
      <c r="T5148">
        <v>0.99</v>
      </c>
      <c r="U5148">
        <v>-60.29</v>
      </c>
      <c r="V5148">
        <v>-2325</v>
      </c>
      <c r="W5148">
        <v>9.42</v>
      </c>
      <c r="X5148">
        <v>5471</v>
      </c>
      <c r="Y5148">
        <v>7835</v>
      </c>
      <c r="Z5148">
        <v>0.7</v>
      </c>
      <c r="AA5148">
        <v>144</v>
      </c>
      <c r="AB5148">
        <v>177</v>
      </c>
      <c r="AC5148">
        <v>1.39</v>
      </c>
      <c r="AD5148" t="s">
        <v>8794</v>
      </c>
      <c r="AE5148" t="s">
        <v>7079</v>
      </c>
      <c r="AF5148" t="s">
        <v>6305</v>
      </c>
      <c r="AG5148" t="s">
        <v>12512</v>
      </c>
      <c r="AH5148">
        <v>-0.42</v>
      </c>
      <c r="AI5148">
        <v>-0.53</v>
      </c>
      <c r="AJ5148">
        <v>3.01</v>
      </c>
      <c r="AK5148">
        <v>6.98</v>
      </c>
      <c r="AL5148">
        <v>1</v>
      </c>
      <c r="AM5148">
        <v>0.32</v>
      </c>
      <c r="AN5148">
        <v>5.12</v>
      </c>
      <c r="AO5148">
        <v>1.07</v>
      </c>
      <c r="AP5148">
        <v>-0.11</v>
      </c>
    </row>
    <row r="5149" spans="1:42">
      <c r="A5149">
        <v>5148</v>
      </c>
      <c r="B5149" t="str">
        <f>"688087"</f>
        <v>688087</v>
      </c>
      <c r="C5149" t="s">
        <v>22968</v>
      </c>
      <c r="D5149">
        <v>24.25</v>
      </c>
      <c r="E5149">
        <v>-0.37</v>
      </c>
      <c r="F5149">
        <v>-0.09</v>
      </c>
      <c r="G5149">
        <v>5180</v>
      </c>
      <c r="H5149">
        <v>15</v>
      </c>
      <c r="I5149">
        <v>24.24</v>
      </c>
      <c r="J5149">
        <v>24.25</v>
      </c>
      <c r="K5149" t="s">
        <v>22969</v>
      </c>
      <c r="L5149">
        <v>0.51</v>
      </c>
      <c r="M5149" t="s">
        <v>46</v>
      </c>
      <c r="N5149" t="s">
        <v>6377</v>
      </c>
      <c r="O5149">
        <v>24.5</v>
      </c>
      <c r="P5149">
        <v>24</v>
      </c>
      <c r="Q5149">
        <v>24.5</v>
      </c>
      <c r="R5149">
        <v>24.34</v>
      </c>
      <c r="S5149">
        <v>2.05</v>
      </c>
      <c r="T5149">
        <v>0.58</v>
      </c>
      <c r="U5149">
        <v>33.92</v>
      </c>
      <c r="V5149">
        <v>50</v>
      </c>
      <c r="W5149">
        <v>24.18</v>
      </c>
      <c r="X5149">
        <v>3138</v>
      </c>
      <c r="Y5149">
        <v>2041</v>
      </c>
      <c r="Z5149">
        <v>1.54</v>
      </c>
      <c r="AA5149">
        <v>20</v>
      </c>
      <c r="AB5149">
        <v>1</v>
      </c>
      <c r="AC5149">
        <v>2.06</v>
      </c>
      <c r="AD5149" t="s">
        <v>9650</v>
      </c>
      <c r="AE5149" t="s">
        <v>3763</v>
      </c>
      <c r="AF5149" t="s">
        <v>13310</v>
      </c>
      <c r="AG5149" t="s">
        <v>6076</v>
      </c>
      <c r="AH5149">
        <v>-1.78</v>
      </c>
      <c r="AI5149">
        <v>-0.86</v>
      </c>
      <c r="AJ5149">
        <v>2.22</v>
      </c>
      <c r="AK5149">
        <v>4.86</v>
      </c>
      <c r="AL5149">
        <v>-1</v>
      </c>
      <c r="AM5149">
        <v>-0.37</v>
      </c>
      <c r="AN5149">
        <v>-1.74</v>
      </c>
      <c r="AO5149">
        <v>7.3</v>
      </c>
      <c r="AP5149">
        <v>-13.27</v>
      </c>
    </row>
    <row r="5150" spans="1:42">
      <c r="A5150">
        <v>5149</v>
      </c>
      <c r="B5150" t="str">
        <f>"688215"</f>
        <v>688215</v>
      </c>
      <c r="C5150" t="s">
        <v>22970</v>
      </c>
      <c r="D5150">
        <v>36.93</v>
      </c>
      <c r="E5150">
        <v>-0.22</v>
      </c>
      <c r="F5150">
        <v>-0.08</v>
      </c>
      <c r="G5150">
        <v>3402</v>
      </c>
      <c r="H5150">
        <v>8</v>
      </c>
      <c r="I5150">
        <v>36.76</v>
      </c>
      <c r="J5150">
        <v>36.93</v>
      </c>
      <c r="K5150" t="s">
        <v>22969</v>
      </c>
      <c r="L5150">
        <v>0.85</v>
      </c>
      <c r="M5150" t="s">
        <v>46</v>
      </c>
      <c r="N5150" t="s">
        <v>5479</v>
      </c>
      <c r="O5150">
        <v>37.13</v>
      </c>
      <c r="P5150">
        <v>36.05</v>
      </c>
      <c r="Q5150">
        <v>37.1</v>
      </c>
      <c r="R5150">
        <v>37.01</v>
      </c>
      <c r="S5150">
        <v>2.92</v>
      </c>
      <c r="T5150">
        <v>0.63</v>
      </c>
      <c r="U5150">
        <v>37.19</v>
      </c>
      <c r="V5150">
        <v>66</v>
      </c>
      <c r="W5150">
        <v>36.79</v>
      </c>
      <c r="X5150">
        <v>1564</v>
      </c>
      <c r="Y5150">
        <v>1839</v>
      </c>
      <c r="Z5150">
        <v>0.85</v>
      </c>
      <c r="AA5150">
        <v>10</v>
      </c>
      <c r="AB5150">
        <v>5</v>
      </c>
      <c r="AC5150">
        <v>3.29</v>
      </c>
      <c r="AD5150" t="s">
        <v>22971</v>
      </c>
      <c r="AE5150" t="s">
        <v>2597</v>
      </c>
      <c r="AF5150" t="s">
        <v>22971</v>
      </c>
      <c r="AG5150" t="s">
        <v>2597</v>
      </c>
      <c r="AH5150">
        <v>-3.07</v>
      </c>
      <c r="AI5150">
        <v>0.35</v>
      </c>
      <c r="AJ5150">
        <v>3.91</v>
      </c>
      <c r="AK5150">
        <v>7.62</v>
      </c>
      <c r="AL5150">
        <v>-2</v>
      </c>
      <c r="AM5150">
        <v>-0.22</v>
      </c>
      <c r="AN5150">
        <v>20.57</v>
      </c>
      <c r="AO5150">
        <v>3.77</v>
      </c>
      <c r="AP5150">
        <v>13.46</v>
      </c>
    </row>
    <row r="5151" spans="1:42">
      <c r="A5151">
        <v>5150</v>
      </c>
      <c r="B5151" t="str">
        <f>"001210"</f>
        <v>001210</v>
      </c>
      <c r="C5151" t="s">
        <v>22972</v>
      </c>
      <c r="D5151">
        <v>20.64</v>
      </c>
      <c r="E5151">
        <v>-0.29</v>
      </c>
      <c r="F5151">
        <v>-0.06</v>
      </c>
      <c r="G5151">
        <v>6036</v>
      </c>
      <c r="H5151">
        <v>23</v>
      </c>
      <c r="I5151">
        <v>20.64</v>
      </c>
      <c r="J5151">
        <v>20.65</v>
      </c>
      <c r="K5151" t="s">
        <v>22973</v>
      </c>
      <c r="L5151">
        <v>1.25</v>
      </c>
      <c r="M5151" t="s">
        <v>46</v>
      </c>
      <c r="N5151" t="s">
        <v>7476</v>
      </c>
      <c r="O5151">
        <v>20.86</v>
      </c>
      <c r="P5151">
        <v>20.61</v>
      </c>
      <c r="Q5151">
        <v>20.71</v>
      </c>
      <c r="R5151">
        <v>20.7</v>
      </c>
      <c r="S5151">
        <v>1.21</v>
      </c>
      <c r="T5151">
        <v>0.76</v>
      </c>
      <c r="U5151">
        <v>-24.33</v>
      </c>
      <c r="V5151">
        <v>-134</v>
      </c>
      <c r="W5151">
        <v>20.71</v>
      </c>
      <c r="X5151">
        <v>2824</v>
      </c>
      <c r="Y5151">
        <v>3212</v>
      </c>
      <c r="Z5151">
        <v>0.88</v>
      </c>
      <c r="AA5151">
        <v>4</v>
      </c>
      <c r="AB5151">
        <v>111</v>
      </c>
      <c r="AC5151">
        <v>1.77</v>
      </c>
      <c r="AD5151" t="s">
        <v>10218</v>
      </c>
      <c r="AE5151" t="s">
        <v>22974</v>
      </c>
      <c r="AF5151" t="s">
        <v>22975</v>
      </c>
      <c r="AG5151" t="s">
        <v>7106</v>
      </c>
      <c r="AH5151">
        <v>-1.48</v>
      </c>
      <c r="AI5151">
        <v>-1.9</v>
      </c>
      <c r="AJ5151">
        <v>3.86</v>
      </c>
      <c r="AK5151">
        <v>9.48</v>
      </c>
      <c r="AL5151">
        <v>-3</v>
      </c>
      <c r="AM5151">
        <v>-0.29</v>
      </c>
      <c r="AN5151">
        <v>-0.86</v>
      </c>
      <c r="AO5151">
        <v>1.38</v>
      </c>
      <c r="AP5151">
        <v>3.61</v>
      </c>
    </row>
    <row r="5152" spans="1:42">
      <c r="A5152">
        <v>5151</v>
      </c>
      <c r="B5152" t="str">
        <f>"605366"</f>
        <v>605366</v>
      </c>
      <c r="C5152" t="s">
        <v>22976</v>
      </c>
      <c r="D5152">
        <v>8.28</v>
      </c>
      <c r="E5152">
        <v>0.12</v>
      </c>
      <c r="F5152">
        <v>0.01</v>
      </c>
      <c r="G5152" t="s">
        <v>2371</v>
      </c>
      <c r="H5152">
        <v>265</v>
      </c>
      <c r="I5152">
        <v>8.27</v>
      </c>
      <c r="J5152">
        <v>8.28</v>
      </c>
      <c r="K5152" t="s">
        <v>22977</v>
      </c>
      <c r="L5152">
        <v>0.25</v>
      </c>
      <c r="M5152" t="s">
        <v>46</v>
      </c>
      <c r="N5152" t="s">
        <v>185</v>
      </c>
      <c r="O5152">
        <v>8.33</v>
      </c>
      <c r="P5152">
        <v>8.21</v>
      </c>
      <c r="Q5152">
        <v>8.28</v>
      </c>
      <c r="R5152">
        <v>8.27</v>
      </c>
      <c r="S5152">
        <v>1.45</v>
      </c>
      <c r="T5152">
        <v>0.87</v>
      </c>
      <c r="U5152">
        <v>-36.23</v>
      </c>
      <c r="V5152">
        <v>-641</v>
      </c>
      <c r="W5152">
        <v>8.27</v>
      </c>
      <c r="X5152">
        <v>7962</v>
      </c>
      <c r="Y5152">
        <v>7150</v>
      </c>
      <c r="Z5152">
        <v>1.11</v>
      </c>
      <c r="AA5152">
        <v>253</v>
      </c>
      <c r="AB5152">
        <v>12</v>
      </c>
      <c r="AC5152">
        <v>2.57</v>
      </c>
      <c r="AD5152" t="s">
        <v>22978</v>
      </c>
      <c r="AE5152" t="s">
        <v>22979</v>
      </c>
      <c r="AF5152" t="s">
        <v>22980</v>
      </c>
      <c r="AG5152" t="s">
        <v>22981</v>
      </c>
      <c r="AH5152">
        <v>-1.19</v>
      </c>
      <c r="AI5152">
        <v>-1.66</v>
      </c>
      <c r="AJ5152">
        <v>0.75</v>
      </c>
      <c r="AK5152">
        <v>1.68</v>
      </c>
      <c r="AL5152">
        <v>1</v>
      </c>
      <c r="AM5152">
        <v>0.12</v>
      </c>
      <c r="AN5152">
        <v>-19.92</v>
      </c>
      <c r="AO5152">
        <v>1.6</v>
      </c>
      <c r="AP5152">
        <v>-33.81</v>
      </c>
    </row>
    <row r="5153" spans="1:42">
      <c r="A5153">
        <v>5152</v>
      </c>
      <c r="B5153" t="str">
        <f>"603976"</f>
        <v>603976</v>
      </c>
      <c r="C5153" t="s">
        <v>22982</v>
      </c>
      <c r="D5153">
        <v>20.88</v>
      </c>
      <c r="E5153">
        <v>0.29</v>
      </c>
      <c r="F5153">
        <v>0.06</v>
      </c>
      <c r="G5153">
        <v>5953</v>
      </c>
      <c r="H5153">
        <v>34</v>
      </c>
      <c r="I5153">
        <v>20.87</v>
      </c>
      <c r="J5153">
        <v>20.88</v>
      </c>
      <c r="K5153" t="s">
        <v>22983</v>
      </c>
      <c r="L5153">
        <v>0.39</v>
      </c>
      <c r="M5153" t="s">
        <v>46</v>
      </c>
      <c r="N5153" t="s">
        <v>7570</v>
      </c>
      <c r="O5153">
        <v>21</v>
      </c>
      <c r="P5153">
        <v>20.71</v>
      </c>
      <c r="Q5153">
        <v>20.88</v>
      </c>
      <c r="R5153">
        <v>20.82</v>
      </c>
      <c r="S5153">
        <v>1.39</v>
      </c>
      <c r="T5153">
        <v>0.66</v>
      </c>
      <c r="U5153">
        <v>28</v>
      </c>
      <c r="V5153">
        <v>105</v>
      </c>
      <c r="W5153">
        <v>20.85</v>
      </c>
      <c r="X5153">
        <v>3124</v>
      </c>
      <c r="Y5153">
        <v>2829</v>
      </c>
      <c r="Z5153">
        <v>1.1</v>
      </c>
      <c r="AA5153">
        <v>67</v>
      </c>
      <c r="AB5153">
        <v>22</v>
      </c>
      <c r="AC5153">
        <v>2.66</v>
      </c>
      <c r="AD5153" t="s">
        <v>4767</v>
      </c>
      <c r="AE5153" t="s">
        <v>22984</v>
      </c>
      <c r="AF5153" t="s">
        <v>4767</v>
      </c>
      <c r="AG5153" t="s">
        <v>22984</v>
      </c>
      <c r="AH5153">
        <v>-0.33</v>
      </c>
      <c r="AI5153">
        <v>-2.16</v>
      </c>
      <c r="AJ5153">
        <v>1.32</v>
      </c>
      <c r="AK5153">
        <v>3.4</v>
      </c>
      <c r="AL5153">
        <v>2</v>
      </c>
      <c r="AM5153">
        <v>0.29</v>
      </c>
      <c r="AN5153">
        <v>1.9</v>
      </c>
      <c r="AO5153">
        <v>3.93</v>
      </c>
      <c r="AP5153">
        <v>-7.24</v>
      </c>
    </row>
    <row r="5154" spans="1:42">
      <c r="A5154">
        <v>5153</v>
      </c>
      <c r="B5154" t="str">
        <f>"870299"</f>
        <v>870299</v>
      </c>
      <c r="C5154" t="s">
        <v>22985</v>
      </c>
      <c r="D5154">
        <v>5.81</v>
      </c>
      <c r="E5154">
        <v>-4.75</v>
      </c>
      <c r="F5154">
        <v>-0.29</v>
      </c>
      <c r="G5154" t="s">
        <v>9024</v>
      </c>
      <c r="H5154">
        <v>303</v>
      </c>
      <c r="I5154">
        <v>5.8</v>
      </c>
      <c r="J5154">
        <v>5.81</v>
      </c>
      <c r="K5154" t="s">
        <v>22986</v>
      </c>
      <c r="L5154">
        <v>7.63</v>
      </c>
      <c r="M5154" t="s">
        <v>46</v>
      </c>
      <c r="N5154" t="s">
        <v>22987</v>
      </c>
      <c r="O5154">
        <v>6.19</v>
      </c>
      <c r="P5154">
        <v>5.7</v>
      </c>
      <c r="Q5154">
        <v>6.19</v>
      </c>
      <c r="R5154">
        <v>6.1</v>
      </c>
      <c r="S5154">
        <v>8.03</v>
      </c>
      <c r="T5154">
        <v>0.33</v>
      </c>
      <c r="U5154">
        <v>-45.92</v>
      </c>
      <c r="V5154">
        <v>-734</v>
      </c>
      <c r="W5154">
        <v>5.98</v>
      </c>
      <c r="X5154" t="s">
        <v>3284</v>
      </c>
      <c r="Y5154">
        <v>7035</v>
      </c>
      <c r="Z5154">
        <v>1.95</v>
      </c>
      <c r="AA5154">
        <v>100</v>
      </c>
      <c r="AB5154">
        <v>1101</v>
      </c>
      <c r="AC5154">
        <v>1.88</v>
      </c>
      <c r="AD5154" t="s">
        <v>22988</v>
      </c>
      <c r="AE5154" t="s">
        <v>6806</v>
      </c>
      <c r="AF5154" t="s">
        <v>22989</v>
      </c>
      <c r="AG5154" t="s">
        <v>22990</v>
      </c>
      <c r="AH5154">
        <v>-18.97</v>
      </c>
      <c r="AI5154">
        <v>15.28</v>
      </c>
      <c r="AJ5154">
        <v>36.68</v>
      </c>
      <c r="AK5154">
        <v>124.44</v>
      </c>
      <c r="AL5154">
        <v>-1</v>
      </c>
      <c r="AM5154">
        <v>-4.75</v>
      </c>
      <c r="AN5154">
        <v>37.68</v>
      </c>
      <c r="AO5154">
        <v>47.46</v>
      </c>
      <c r="AP5154">
        <v>28.54</v>
      </c>
    </row>
    <row r="5155" spans="1:42">
      <c r="A5155">
        <v>5154</v>
      </c>
      <c r="B5155" t="str">
        <f>"603007"</f>
        <v>603007</v>
      </c>
      <c r="C5155" t="s">
        <v>22991</v>
      </c>
      <c r="D5155">
        <v>4.67</v>
      </c>
      <c r="E5155">
        <v>0</v>
      </c>
      <c r="F5155">
        <v>0</v>
      </c>
      <c r="G5155" t="s">
        <v>914</v>
      </c>
      <c r="H5155">
        <v>439</v>
      </c>
      <c r="I5155">
        <v>4.67</v>
      </c>
      <c r="J5155">
        <v>4.68</v>
      </c>
      <c r="K5155" t="s">
        <v>22986</v>
      </c>
      <c r="L5155">
        <v>0.76</v>
      </c>
      <c r="M5155" t="s">
        <v>46</v>
      </c>
      <c r="N5155" t="s">
        <v>7102</v>
      </c>
      <c r="O5155">
        <v>4.69</v>
      </c>
      <c r="P5155">
        <v>4.62</v>
      </c>
      <c r="Q5155">
        <v>4.66</v>
      </c>
      <c r="R5155">
        <v>4.67</v>
      </c>
      <c r="S5155">
        <v>1.5</v>
      </c>
      <c r="T5155">
        <v>0.42</v>
      </c>
      <c r="U5155">
        <v>-6.29</v>
      </c>
      <c r="V5155">
        <v>-496</v>
      </c>
      <c r="W5155">
        <v>4.66</v>
      </c>
      <c r="X5155" t="s">
        <v>4105</v>
      </c>
      <c r="Y5155" t="s">
        <v>905</v>
      </c>
      <c r="Z5155">
        <v>1.14</v>
      </c>
      <c r="AA5155">
        <v>991</v>
      </c>
      <c r="AB5155">
        <v>578</v>
      </c>
      <c r="AC5155">
        <v>5.32</v>
      </c>
      <c r="AD5155" t="s">
        <v>22992</v>
      </c>
      <c r="AE5155" t="s">
        <v>22656</v>
      </c>
      <c r="AF5155" t="s">
        <v>22992</v>
      </c>
      <c r="AG5155" t="s">
        <v>22656</v>
      </c>
      <c r="AH5155">
        <v>-0.64</v>
      </c>
      <c r="AI5155">
        <v>7.36</v>
      </c>
      <c r="AJ5155">
        <v>4.64</v>
      </c>
      <c r="AK5155">
        <v>9.89</v>
      </c>
      <c r="AL5155">
        <v>0</v>
      </c>
      <c r="AM5155">
        <v>0</v>
      </c>
      <c r="AN5155">
        <v>20.05</v>
      </c>
      <c r="AO5155">
        <v>14.18</v>
      </c>
      <c r="AP5155">
        <v>9.11</v>
      </c>
    </row>
    <row r="5156" spans="1:42">
      <c r="A5156">
        <v>5155</v>
      </c>
      <c r="B5156" t="str">
        <f>"301118"</f>
        <v>301118</v>
      </c>
      <c r="C5156" t="s">
        <v>22993</v>
      </c>
      <c r="D5156">
        <v>23.35</v>
      </c>
      <c r="E5156">
        <v>-0.43</v>
      </c>
      <c r="F5156">
        <v>-0.1</v>
      </c>
      <c r="G5156">
        <v>5288</v>
      </c>
      <c r="H5156">
        <v>134</v>
      </c>
      <c r="I5156">
        <v>23.34</v>
      </c>
      <c r="J5156">
        <v>23.35</v>
      </c>
      <c r="K5156" t="s">
        <v>22994</v>
      </c>
      <c r="L5156">
        <v>0.98</v>
      </c>
      <c r="M5156" t="s">
        <v>46</v>
      </c>
      <c r="N5156" t="s">
        <v>4116</v>
      </c>
      <c r="O5156">
        <v>23.58</v>
      </c>
      <c r="P5156">
        <v>23.2</v>
      </c>
      <c r="Q5156">
        <v>23.5</v>
      </c>
      <c r="R5156">
        <v>23.45</v>
      </c>
      <c r="S5156">
        <v>1.62</v>
      </c>
      <c r="T5156">
        <v>0.64</v>
      </c>
      <c r="U5156">
        <v>-10.41</v>
      </c>
      <c r="V5156">
        <v>-23</v>
      </c>
      <c r="W5156">
        <v>23.36</v>
      </c>
      <c r="X5156">
        <v>3258</v>
      </c>
      <c r="Y5156">
        <v>2029</v>
      </c>
      <c r="Z5156">
        <v>1.61</v>
      </c>
      <c r="AA5156">
        <v>11</v>
      </c>
      <c r="AB5156">
        <v>50</v>
      </c>
      <c r="AC5156">
        <v>1.76</v>
      </c>
      <c r="AD5156" t="s">
        <v>4856</v>
      </c>
      <c r="AE5156" t="s">
        <v>7296</v>
      </c>
      <c r="AF5156" t="s">
        <v>22995</v>
      </c>
      <c r="AG5156" t="s">
        <v>12224</v>
      </c>
      <c r="AH5156">
        <v>-2.67</v>
      </c>
      <c r="AI5156">
        <v>-3.47</v>
      </c>
      <c r="AJ5156">
        <v>3.87</v>
      </c>
      <c r="AK5156">
        <v>8.61</v>
      </c>
      <c r="AL5156">
        <v>-3</v>
      </c>
      <c r="AM5156">
        <v>-0.43</v>
      </c>
      <c r="AN5156">
        <v>-21.41</v>
      </c>
      <c r="AO5156">
        <v>-2.06</v>
      </c>
      <c r="AP5156">
        <v>-21.67</v>
      </c>
    </row>
    <row r="5157" spans="1:42">
      <c r="A5157">
        <v>5156</v>
      </c>
      <c r="B5157" t="str">
        <f>"838262"</f>
        <v>838262</v>
      </c>
      <c r="C5157" t="s">
        <v>22996</v>
      </c>
      <c r="D5157">
        <v>11.75</v>
      </c>
      <c r="E5157">
        <v>-0.34</v>
      </c>
      <c r="F5157">
        <v>-0.04</v>
      </c>
      <c r="G5157" t="s">
        <v>239</v>
      </c>
      <c r="H5157">
        <v>70</v>
      </c>
      <c r="I5157">
        <v>11.75</v>
      </c>
      <c r="J5157">
        <v>11.79</v>
      </c>
      <c r="K5157" t="s">
        <v>22997</v>
      </c>
      <c r="L5157">
        <v>6.7</v>
      </c>
      <c r="M5157" t="s">
        <v>46</v>
      </c>
      <c r="N5157" t="s">
        <v>1993</v>
      </c>
      <c r="O5157">
        <v>12.28</v>
      </c>
      <c r="P5157">
        <v>11.39</v>
      </c>
      <c r="Q5157">
        <v>11.66</v>
      </c>
      <c r="R5157">
        <v>11.79</v>
      </c>
      <c r="S5157">
        <v>7.55</v>
      </c>
      <c r="T5157">
        <v>0.51</v>
      </c>
      <c r="U5157">
        <v>-10.21</v>
      </c>
      <c r="V5157">
        <v>-23</v>
      </c>
      <c r="W5157">
        <v>11.87</v>
      </c>
      <c r="X5157">
        <v>5650</v>
      </c>
      <c r="Y5157">
        <v>4726</v>
      </c>
      <c r="Z5157">
        <v>1.2</v>
      </c>
      <c r="AA5157">
        <v>69</v>
      </c>
      <c r="AB5157">
        <v>50</v>
      </c>
      <c r="AC5157">
        <v>2</v>
      </c>
      <c r="AD5157" t="s">
        <v>15634</v>
      </c>
      <c r="AE5157" t="s">
        <v>22998</v>
      </c>
      <c r="AF5157" t="s">
        <v>22584</v>
      </c>
      <c r="AG5157" t="s">
        <v>17787</v>
      </c>
      <c r="AH5157">
        <v>-11.32</v>
      </c>
      <c r="AI5157">
        <v>13.64</v>
      </c>
      <c r="AJ5157">
        <v>23.74</v>
      </c>
      <c r="AK5157">
        <v>72.91</v>
      </c>
      <c r="AL5157">
        <v>-1</v>
      </c>
      <c r="AM5157">
        <v>-0.34</v>
      </c>
      <c r="AN5157">
        <v>27.3</v>
      </c>
      <c r="AO5157">
        <v>32.32</v>
      </c>
      <c r="AP5157">
        <v>36.15</v>
      </c>
    </row>
    <row r="5158" spans="1:42">
      <c r="A5158">
        <v>5157</v>
      </c>
      <c r="B5158" t="str">
        <f>"301161"</f>
        <v>301161</v>
      </c>
      <c r="C5158" t="s">
        <v>22999</v>
      </c>
      <c r="D5158">
        <v>20.23</v>
      </c>
      <c r="E5158">
        <v>-0.25</v>
      </c>
      <c r="F5158">
        <v>-0.05</v>
      </c>
      <c r="G5158">
        <v>6087</v>
      </c>
      <c r="H5158">
        <v>153</v>
      </c>
      <c r="I5158">
        <v>20.21</v>
      </c>
      <c r="J5158">
        <v>20.23</v>
      </c>
      <c r="K5158" t="s">
        <v>23000</v>
      </c>
      <c r="L5158">
        <v>1.14</v>
      </c>
      <c r="M5158" t="s">
        <v>46</v>
      </c>
      <c r="N5158" t="s">
        <v>5433</v>
      </c>
      <c r="O5158">
        <v>20.44</v>
      </c>
      <c r="P5158">
        <v>20.03</v>
      </c>
      <c r="Q5158">
        <v>20.33</v>
      </c>
      <c r="R5158">
        <v>20.28</v>
      </c>
      <c r="S5158">
        <v>2.02</v>
      </c>
      <c r="T5158">
        <v>0.78</v>
      </c>
      <c r="U5158">
        <v>-12.04</v>
      </c>
      <c r="V5158">
        <v>-23</v>
      </c>
      <c r="W5158">
        <v>20.22</v>
      </c>
      <c r="X5158">
        <v>2973</v>
      </c>
      <c r="Y5158">
        <v>3114</v>
      </c>
      <c r="Z5158">
        <v>0.95</v>
      </c>
      <c r="AA5158">
        <v>11</v>
      </c>
      <c r="AB5158">
        <v>38</v>
      </c>
      <c r="AC5158">
        <v>2.62</v>
      </c>
      <c r="AD5158" t="s">
        <v>5210</v>
      </c>
      <c r="AE5158" t="s">
        <v>15313</v>
      </c>
      <c r="AF5158" t="s">
        <v>15606</v>
      </c>
      <c r="AG5158" t="s">
        <v>7009</v>
      </c>
      <c r="AH5158">
        <v>-2.13</v>
      </c>
      <c r="AI5158">
        <v>-2.41</v>
      </c>
      <c r="AJ5158">
        <v>3.52</v>
      </c>
      <c r="AK5158">
        <v>8.48</v>
      </c>
      <c r="AL5158">
        <v>-3</v>
      </c>
      <c r="AM5158">
        <v>-0.25</v>
      </c>
      <c r="AN5158">
        <v>-13.29</v>
      </c>
      <c r="AO5158">
        <v>-3.34</v>
      </c>
      <c r="AP5158">
        <v>-15.99</v>
      </c>
    </row>
    <row r="5159" spans="1:42">
      <c r="A5159">
        <v>5158</v>
      </c>
      <c r="B5159" t="str">
        <f>"002779"</f>
        <v>002779</v>
      </c>
      <c r="C5159" t="s">
        <v>23001</v>
      </c>
      <c r="D5159">
        <v>21.3</v>
      </c>
      <c r="E5159">
        <v>-0.7</v>
      </c>
      <c r="F5159">
        <v>-0.15</v>
      </c>
      <c r="G5159">
        <v>5766</v>
      </c>
      <c r="H5159">
        <v>442</v>
      </c>
      <c r="I5159">
        <v>21.3</v>
      </c>
      <c r="J5159">
        <v>21.34</v>
      </c>
      <c r="K5159" t="s">
        <v>23002</v>
      </c>
      <c r="L5159">
        <v>0.49</v>
      </c>
      <c r="M5159" t="s">
        <v>46</v>
      </c>
      <c r="N5159" t="s">
        <v>1214</v>
      </c>
      <c r="O5159">
        <v>21.6</v>
      </c>
      <c r="P5159">
        <v>21.21</v>
      </c>
      <c r="Q5159">
        <v>21.45</v>
      </c>
      <c r="R5159">
        <v>21.45</v>
      </c>
      <c r="S5159">
        <v>1.82</v>
      </c>
      <c r="T5159">
        <v>0.99</v>
      </c>
      <c r="U5159">
        <v>22.47</v>
      </c>
      <c r="V5159">
        <v>40</v>
      </c>
      <c r="W5159">
        <v>21.32</v>
      </c>
      <c r="X5159">
        <v>3203</v>
      </c>
      <c r="Y5159">
        <v>2563</v>
      </c>
      <c r="Z5159">
        <v>1.25</v>
      </c>
      <c r="AA5159">
        <v>37</v>
      </c>
      <c r="AB5159">
        <v>2</v>
      </c>
      <c r="AC5159">
        <v>4.02</v>
      </c>
      <c r="AD5159" t="s">
        <v>3221</v>
      </c>
      <c r="AE5159" t="s">
        <v>8059</v>
      </c>
      <c r="AF5159" t="s">
        <v>9988</v>
      </c>
      <c r="AG5159" t="s">
        <v>16800</v>
      </c>
      <c r="AH5159">
        <v>-1.3</v>
      </c>
      <c r="AI5159">
        <v>-0.93</v>
      </c>
      <c r="AJ5159">
        <v>1.29</v>
      </c>
      <c r="AK5159">
        <v>2.94</v>
      </c>
      <c r="AL5159">
        <v>-3</v>
      </c>
      <c r="AM5159">
        <v>-0.7</v>
      </c>
      <c r="AN5159">
        <v>-9.44</v>
      </c>
      <c r="AO5159">
        <v>8.67</v>
      </c>
      <c r="AP5159">
        <v>-17.89</v>
      </c>
    </row>
    <row r="5160" spans="1:42">
      <c r="A5160">
        <v>5159</v>
      </c>
      <c r="B5160" t="str">
        <f>"688683"</f>
        <v>688683</v>
      </c>
      <c r="C5160" t="s">
        <v>23003</v>
      </c>
      <c r="D5160">
        <v>26.77</v>
      </c>
      <c r="E5160">
        <v>-0.85</v>
      </c>
      <c r="F5160">
        <v>-0.23</v>
      </c>
      <c r="G5160">
        <v>4584</v>
      </c>
      <c r="H5160">
        <v>24</v>
      </c>
      <c r="I5160">
        <v>26.77</v>
      </c>
      <c r="J5160">
        <v>26.8</v>
      </c>
      <c r="K5160" t="s">
        <v>23002</v>
      </c>
      <c r="L5160">
        <v>0.73</v>
      </c>
      <c r="M5160" t="s">
        <v>46</v>
      </c>
      <c r="N5160" t="s">
        <v>2373</v>
      </c>
      <c r="O5160">
        <v>27.16</v>
      </c>
      <c r="P5160">
        <v>26.61</v>
      </c>
      <c r="Q5160">
        <v>26.89</v>
      </c>
      <c r="R5160">
        <v>27</v>
      </c>
      <c r="S5160">
        <v>2.04</v>
      </c>
      <c r="T5160">
        <v>0.51</v>
      </c>
      <c r="U5160">
        <v>61.94</v>
      </c>
      <c r="V5160">
        <v>239</v>
      </c>
      <c r="W5160">
        <v>26.81</v>
      </c>
      <c r="X5160">
        <v>3268</v>
      </c>
      <c r="Y5160">
        <v>1316</v>
      </c>
      <c r="Z5160">
        <v>2.48</v>
      </c>
      <c r="AA5160">
        <v>46</v>
      </c>
      <c r="AB5160">
        <v>30</v>
      </c>
      <c r="AC5160">
        <v>4.15</v>
      </c>
      <c r="AD5160" t="s">
        <v>14973</v>
      </c>
      <c r="AE5160" t="s">
        <v>22007</v>
      </c>
      <c r="AF5160" t="s">
        <v>23004</v>
      </c>
      <c r="AG5160" t="s">
        <v>9281</v>
      </c>
      <c r="AH5160">
        <v>-0.3</v>
      </c>
      <c r="AI5160">
        <v>0.98</v>
      </c>
      <c r="AJ5160">
        <v>4.03</v>
      </c>
      <c r="AK5160">
        <v>7.91</v>
      </c>
      <c r="AL5160">
        <v>-2</v>
      </c>
      <c r="AM5160">
        <v>-0.85</v>
      </c>
      <c r="AN5160">
        <v>34.46</v>
      </c>
      <c r="AO5160">
        <v>12.01</v>
      </c>
      <c r="AP5160">
        <v>17.57</v>
      </c>
    </row>
    <row r="5161" spans="1:42">
      <c r="A5161">
        <v>5160</v>
      </c>
      <c r="B5161" t="str">
        <f>"603133"</f>
        <v>603133</v>
      </c>
      <c r="C5161" t="s">
        <v>23005</v>
      </c>
      <c r="D5161">
        <v>7.43</v>
      </c>
      <c r="E5161">
        <v>1.64</v>
      </c>
      <c r="F5161">
        <v>0.12</v>
      </c>
      <c r="G5161" t="s">
        <v>390</v>
      </c>
      <c r="H5161">
        <v>707</v>
      </c>
      <c r="I5161">
        <v>7.43</v>
      </c>
      <c r="J5161">
        <v>7.44</v>
      </c>
      <c r="K5161" t="s">
        <v>23006</v>
      </c>
      <c r="L5161">
        <v>0.8</v>
      </c>
      <c r="M5161" t="s">
        <v>46</v>
      </c>
      <c r="N5161" t="s">
        <v>23007</v>
      </c>
      <c r="O5161">
        <v>7.43</v>
      </c>
      <c r="P5161">
        <v>7.26</v>
      </c>
      <c r="Q5161">
        <v>7.28</v>
      </c>
      <c r="R5161">
        <v>7.31</v>
      </c>
      <c r="S5161">
        <v>2.33</v>
      </c>
      <c r="T5161">
        <v>0.71</v>
      </c>
      <c r="U5161">
        <v>3.6</v>
      </c>
      <c r="V5161">
        <v>77</v>
      </c>
      <c r="W5161">
        <v>7.37</v>
      </c>
      <c r="X5161">
        <v>7419</v>
      </c>
      <c r="Y5161">
        <v>9213</v>
      </c>
      <c r="Z5161">
        <v>0.81</v>
      </c>
      <c r="AA5161">
        <v>4</v>
      </c>
      <c r="AB5161">
        <v>335</v>
      </c>
      <c r="AC5161">
        <v>6.21</v>
      </c>
      <c r="AD5161" t="s">
        <v>5218</v>
      </c>
      <c r="AE5161" t="s">
        <v>14181</v>
      </c>
      <c r="AF5161" t="s">
        <v>5218</v>
      </c>
      <c r="AG5161" t="s">
        <v>14181</v>
      </c>
      <c r="AH5161">
        <v>1.09</v>
      </c>
      <c r="AI5161">
        <v>0.54</v>
      </c>
      <c r="AJ5161">
        <v>2.05</v>
      </c>
      <c r="AK5161">
        <v>6.43</v>
      </c>
      <c r="AL5161">
        <v>2</v>
      </c>
      <c r="AM5161">
        <v>1.64</v>
      </c>
      <c r="AN5161">
        <v>-38.24</v>
      </c>
      <c r="AO5161">
        <v>2.91</v>
      </c>
      <c r="AP5161">
        <v>-40.08</v>
      </c>
    </row>
    <row r="5162" spans="1:42">
      <c r="A5162">
        <v>5161</v>
      </c>
      <c r="B5162" t="str">
        <f>"605389"</f>
        <v>605389</v>
      </c>
      <c r="C5162" t="s">
        <v>23008</v>
      </c>
      <c r="D5162">
        <v>25.54</v>
      </c>
      <c r="E5162">
        <v>-1.12</v>
      </c>
      <c r="F5162">
        <v>-0.29</v>
      </c>
      <c r="G5162">
        <v>4801</v>
      </c>
      <c r="H5162">
        <v>27</v>
      </c>
      <c r="I5162">
        <v>25.53</v>
      </c>
      <c r="J5162">
        <v>25.54</v>
      </c>
      <c r="K5162" t="s">
        <v>23009</v>
      </c>
      <c r="L5162">
        <v>1.41</v>
      </c>
      <c r="M5162" t="s">
        <v>46</v>
      </c>
      <c r="N5162" t="s">
        <v>2473</v>
      </c>
      <c r="O5162">
        <v>26.03</v>
      </c>
      <c r="P5162">
        <v>25.3</v>
      </c>
      <c r="Q5162">
        <v>25.81</v>
      </c>
      <c r="R5162">
        <v>25.83</v>
      </c>
      <c r="S5162">
        <v>2.83</v>
      </c>
      <c r="T5162">
        <v>1.01</v>
      </c>
      <c r="U5162">
        <v>43.07</v>
      </c>
      <c r="V5162">
        <v>126</v>
      </c>
      <c r="W5162">
        <v>25.52</v>
      </c>
      <c r="X5162">
        <v>2595</v>
      </c>
      <c r="Y5162">
        <v>2205</v>
      </c>
      <c r="Z5162">
        <v>1.18</v>
      </c>
      <c r="AA5162">
        <v>32</v>
      </c>
      <c r="AB5162">
        <v>25</v>
      </c>
      <c r="AC5162">
        <v>1.76</v>
      </c>
      <c r="AD5162" t="s">
        <v>23010</v>
      </c>
      <c r="AE5162" t="s">
        <v>16953</v>
      </c>
      <c r="AF5162" t="s">
        <v>18878</v>
      </c>
      <c r="AG5162" t="s">
        <v>23011</v>
      </c>
      <c r="AH5162">
        <v>-2.48</v>
      </c>
      <c r="AI5162">
        <v>-2.33</v>
      </c>
      <c r="AJ5162">
        <v>4.02</v>
      </c>
      <c r="AK5162">
        <v>8.41</v>
      </c>
      <c r="AL5162">
        <v>-3</v>
      </c>
      <c r="AM5162">
        <v>-1.12</v>
      </c>
      <c r="AN5162">
        <v>0.71</v>
      </c>
      <c r="AO5162">
        <v>-0.82</v>
      </c>
      <c r="AP5162">
        <v>2.65</v>
      </c>
    </row>
    <row r="5163" spans="1:42">
      <c r="A5163">
        <v>5162</v>
      </c>
      <c r="B5163" t="str">
        <f>"001255"</f>
        <v>001255</v>
      </c>
      <c r="C5163" t="s">
        <v>23012</v>
      </c>
      <c r="D5163">
        <v>34.22</v>
      </c>
      <c r="E5163">
        <v>0.2</v>
      </c>
      <c r="F5163">
        <v>0.07</v>
      </c>
      <c r="G5163">
        <v>3590</v>
      </c>
      <c r="H5163">
        <v>60</v>
      </c>
      <c r="I5163">
        <v>34.22</v>
      </c>
      <c r="J5163">
        <v>34.31</v>
      </c>
      <c r="K5163" t="s">
        <v>23013</v>
      </c>
      <c r="L5163">
        <v>1.79</v>
      </c>
      <c r="M5163" t="s">
        <v>46</v>
      </c>
      <c r="N5163" t="s">
        <v>5707</v>
      </c>
      <c r="O5163">
        <v>34.47</v>
      </c>
      <c r="P5163">
        <v>33.85</v>
      </c>
      <c r="Q5163">
        <v>34.15</v>
      </c>
      <c r="R5163">
        <v>34.15</v>
      </c>
      <c r="S5163">
        <v>1.82</v>
      </c>
      <c r="T5163">
        <v>0.72</v>
      </c>
      <c r="U5163">
        <v>24.32</v>
      </c>
      <c r="V5163">
        <v>27</v>
      </c>
      <c r="W5163">
        <v>34.1</v>
      </c>
      <c r="X5163">
        <v>1549</v>
      </c>
      <c r="Y5163">
        <v>2041</v>
      </c>
      <c r="Z5163">
        <v>0.76</v>
      </c>
      <c r="AA5163">
        <v>4</v>
      </c>
      <c r="AB5163">
        <v>2</v>
      </c>
      <c r="AC5163">
        <v>3.6</v>
      </c>
      <c r="AD5163" t="s">
        <v>3612</v>
      </c>
      <c r="AE5163" t="s">
        <v>17498</v>
      </c>
      <c r="AF5163" t="s">
        <v>3614</v>
      </c>
      <c r="AG5163" t="s">
        <v>23014</v>
      </c>
      <c r="AH5163">
        <v>-1.44</v>
      </c>
      <c r="AI5163">
        <v>-1.69</v>
      </c>
      <c r="AJ5163">
        <v>5.71</v>
      </c>
      <c r="AK5163">
        <v>14.29</v>
      </c>
      <c r="AL5163">
        <v>1</v>
      </c>
      <c r="AM5163">
        <v>0.2</v>
      </c>
      <c r="AN5163">
        <v>3.04</v>
      </c>
      <c r="AO5163">
        <v>0.82</v>
      </c>
      <c r="AP5163">
        <v>-3.98</v>
      </c>
    </row>
    <row r="5164" spans="1:42">
      <c r="A5164">
        <v>5163</v>
      </c>
      <c r="B5164" t="str">
        <f>"873169"</f>
        <v>873169</v>
      </c>
      <c r="C5164" t="s">
        <v>23015</v>
      </c>
      <c r="D5164">
        <v>6</v>
      </c>
      <c r="E5164">
        <v>-4.76</v>
      </c>
      <c r="F5164">
        <v>-0.3</v>
      </c>
      <c r="G5164" t="s">
        <v>1590</v>
      </c>
      <c r="H5164">
        <v>216</v>
      </c>
      <c r="I5164">
        <v>6</v>
      </c>
      <c r="J5164">
        <v>6.02</v>
      </c>
      <c r="K5164" t="s">
        <v>23016</v>
      </c>
      <c r="L5164">
        <v>4.16</v>
      </c>
      <c r="M5164" t="s">
        <v>46</v>
      </c>
      <c r="N5164" t="s">
        <v>9622</v>
      </c>
      <c r="O5164">
        <v>6.48</v>
      </c>
      <c r="P5164">
        <v>5.98</v>
      </c>
      <c r="Q5164">
        <v>6.38</v>
      </c>
      <c r="R5164">
        <v>6.3</v>
      </c>
      <c r="S5164">
        <v>7.94</v>
      </c>
      <c r="T5164">
        <v>0.35</v>
      </c>
      <c r="U5164">
        <v>83.56</v>
      </c>
      <c r="V5164">
        <v>865</v>
      </c>
      <c r="W5164">
        <v>6.14</v>
      </c>
      <c r="X5164" t="s">
        <v>4792</v>
      </c>
      <c r="Y5164">
        <v>7621</v>
      </c>
      <c r="Z5164">
        <v>1.61</v>
      </c>
      <c r="AA5164">
        <v>280</v>
      </c>
      <c r="AB5164">
        <v>30</v>
      </c>
      <c r="AC5164">
        <v>1.61</v>
      </c>
      <c r="AD5164" t="s">
        <v>23017</v>
      </c>
      <c r="AE5164" t="s">
        <v>23018</v>
      </c>
      <c r="AF5164" t="s">
        <v>16450</v>
      </c>
      <c r="AG5164" t="s">
        <v>23019</v>
      </c>
      <c r="AH5164">
        <v>-15.49</v>
      </c>
      <c r="AI5164">
        <v>-6.69</v>
      </c>
      <c r="AJ5164">
        <v>16.14</v>
      </c>
      <c r="AK5164">
        <v>63.09</v>
      </c>
      <c r="AL5164">
        <v>-4</v>
      </c>
      <c r="AM5164">
        <v>-4.76</v>
      </c>
      <c r="AN5164">
        <v>3.45</v>
      </c>
      <c r="AO5164">
        <v>31</v>
      </c>
      <c r="AP5164">
        <v>-6.25</v>
      </c>
    </row>
    <row r="5165" spans="1:42">
      <c r="A5165">
        <v>5164</v>
      </c>
      <c r="B5165" t="str">
        <f>"688367"</f>
        <v>688367</v>
      </c>
      <c r="C5165" t="s">
        <v>23020</v>
      </c>
      <c r="D5165">
        <v>18.28</v>
      </c>
      <c r="E5165">
        <v>-0.05</v>
      </c>
      <c r="F5165">
        <v>-0.01</v>
      </c>
      <c r="G5165">
        <v>6702</v>
      </c>
      <c r="H5165">
        <v>4</v>
      </c>
      <c r="I5165">
        <v>18.27</v>
      </c>
      <c r="J5165">
        <v>18.28</v>
      </c>
      <c r="K5165" t="s">
        <v>23021</v>
      </c>
      <c r="L5165">
        <v>1.02</v>
      </c>
      <c r="M5165" t="s">
        <v>46</v>
      </c>
      <c r="N5165" t="s">
        <v>9457</v>
      </c>
      <c r="O5165">
        <v>18.36</v>
      </c>
      <c r="P5165">
        <v>18.1</v>
      </c>
      <c r="Q5165">
        <v>18.29</v>
      </c>
      <c r="R5165">
        <v>18.29</v>
      </c>
      <c r="S5165">
        <v>1.42</v>
      </c>
      <c r="T5165">
        <v>0.76</v>
      </c>
      <c r="U5165">
        <v>17.83</v>
      </c>
      <c r="V5165">
        <v>49</v>
      </c>
      <c r="W5165">
        <v>18.24</v>
      </c>
      <c r="X5165">
        <v>3319</v>
      </c>
      <c r="Y5165">
        <v>3382</v>
      </c>
      <c r="Z5165">
        <v>0.98</v>
      </c>
      <c r="AA5165">
        <v>11</v>
      </c>
      <c r="AB5165">
        <v>26</v>
      </c>
      <c r="AC5165">
        <v>2.83</v>
      </c>
      <c r="AD5165" t="s">
        <v>23022</v>
      </c>
      <c r="AE5165" t="s">
        <v>7788</v>
      </c>
      <c r="AF5165" t="s">
        <v>23023</v>
      </c>
      <c r="AG5165" t="s">
        <v>8865</v>
      </c>
      <c r="AH5165">
        <v>-0.38</v>
      </c>
      <c r="AI5165">
        <v>0.05</v>
      </c>
      <c r="AJ5165">
        <v>3.72</v>
      </c>
      <c r="AK5165">
        <v>7.77</v>
      </c>
      <c r="AL5165">
        <v>-2</v>
      </c>
      <c r="AM5165">
        <v>-0.05</v>
      </c>
      <c r="AN5165">
        <v>17.03</v>
      </c>
      <c r="AO5165">
        <v>5.06</v>
      </c>
      <c r="AP5165">
        <v>7.21</v>
      </c>
    </row>
    <row r="5166" spans="1:42">
      <c r="A5166">
        <v>5165</v>
      </c>
      <c r="B5166" t="str">
        <f>"430198"</f>
        <v>430198</v>
      </c>
      <c r="C5166" t="s">
        <v>23024</v>
      </c>
      <c r="D5166">
        <v>5.05</v>
      </c>
      <c r="E5166">
        <v>-5.25</v>
      </c>
      <c r="F5166">
        <v>-0.28</v>
      </c>
      <c r="G5166" t="s">
        <v>2818</v>
      </c>
      <c r="H5166">
        <v>245</v>
      </c>
      <c r="I5166">
        <v>5.04</v>
      </c>
      <c r="J5166">
        <v>5.05</v>
      </c>
      <c r="K5166" t="s">
        <v>23021</v>
      </c>
      <c r="L5166">
        <v>3.73</v>
      </c>
      <c r="M5166" t="s">
        <v>46</v>
      </c>
      <c r="N5166" t="s">
        <v>4700</v>
      </c>
      <c r="O5166">
        <v>5.46</v>
      </c>
      <c r="P5166">
        <v>5</v>
      </c>
      <c r="Q5166">
        <v>5.32</v>
      </c>
      <c r="R5166">
        <v>5.33</v>
      </c>
      <c r="S5166">
        <v>8.63</v>
      </c>
      <c r="T5166">
        <v>0.37</v>
      </c>
      <c r="U5166">
        <v>6.3</v>
      </c>
      <c r="V5166">
        <v>82</v>
      </c>
      <c r="W5166">
        <v>5.19</v>
      </c>
      <c r="X5166" t="s">
        <v>3793</v>
      </c>
      <c r="Y5166">
        <v>8532</v>
      </c>
      <c r="Z5166">
        <v>1.76</v>
      </c>
      <c r="AA5166">
        <v>116</v>
      </c>
      <c r="AB5166">
        <v>518</v>
      </c>
      <c r="AC5166">
        <v>1.37</v>
      </c>
      <c r="AD5166" t="s">
        <v>23025</v>
      </c>
      <c r="AE5166" t="s">
        <v>23026</v>
      </c>
      <c r="AF5166" t="s">
        <v>23027</v>
      </c>
      <c r="AG5166" t="s">
        <v>9798</v>
      </c>
      <c r="AH5166">
        <v>-16.8</v>
      </c>
      <c r="AI5166">
        <v>4.77</v>
      </c>
      <c r="AJ5166">
        <v>18.61</v>
      </c>
      <c r="AK5166">
        <v>54.84</v>
      </c>
      <c r="AL5166">
        <v>-1</v>
      </c>
      <c r="AM5166">
        <v>-5.25</v>
      </c>
      <c r="AN5166">
        <v>7.68</v>
      </c>
      <c r="AO5166">
        <v>31.85</v>
      </c>
      <c r="AP5166">
        <v>2.64</v>
      </c>
    </row>
    <row r="5167" spans="1:42">
      <c r="A5167">
        <v>5166</v>
      </c>
      <c r="B5167" t="str">
        <f>"688130"</f>
        <v>688130</v>
      </c>
      <c r="C5167" t="s">
        <v>23028</v>
      </c>
      <c r="D5167">
        <v>43.98</v>
      </c>
      <c r="E5167">
        <v>0.41</v>
      </c>
      <c r="F5167">
        <v>0.18</v>
      </c>
      <c r="G5167">
        <v>2797</v>
      </c>
      <c r="H5167">
        <v>16</v>
      </c>
      <c r="I5167">
        <v>43.98</v>
      </c>
      <c r="J5167">
        <v>44.01</v>
      </c>
      <c r="K5167" t="s">
        <v>23029</v>
      </c>
      <c r="L5167">
        <v>1.75</v>
      </c>
      <c r="M5167" t="s">
        <v>46</v>
      </c>
      <c r="N5167" t="s">
        <v>9533</v>
      </c>
      <c r="O5167">
        <v>44.18</v>
      </c>
      <c r="P5167">
        <v>43.25</v>
      </c>
      <c r="Q5167">
        <v>43.99</v>
      </c>
      <c r="R5167">
        <v>43.8</v>
      </c>
      <c r="S5167">
        <v>2.12</v>
      </c>
      <c r="T5167">
        <v>0.7</v>
      </c>
      <c r="U5167">
        <v>-17.29</v>
      </c>
      <c r="V5167">
        <v>-19</v>
      </c>
      <c r="W5167">
        <v>43.64</v>
      </c>
      <c r="X5167">
        <v>1601</v>
      </c>
      <c r="Y5167">
        <v>1196</v>
      </c>
      <c r="Z5167">
        <v>1.34</v>
      </c>
      <c r="AA5167">
        <v>4</v>
      </c>
      <c r="AB5167">
        <v>41</v>
      </c>
      <c r="AC5167">
        <v>2.26</v>
      </c>
      <c r="AD5167" t="s">
        <v>23030</v>
      </c>
      <c r="AE5167" t="s">
        <v>23031</v>
      </c>
      <c r="AF5167" t="s">
        <v>23032</v>
      </c>
      <c r="AG5167" t="s">
        <v>23033</v>
      </c>
      <c r="AH5167">
        <v>-1.92</v>
      </c>
      <c r="AI5167">
        <v>-1.9</v>
      </c>
      <c r="AJ5167">
        <v>6.68</v>
      </c>
      <c r="AK5167">
        <v>14.19</v>
      </c>
      <c r="AL5167">
        <v>1</v>
      </c>
      <c r="AM5167">
        <v>0.41</v>
      </c>
      <c r="AN5167">
        <v>3.78</v>
      </c>
      <c r="AO5167">
        <v>-1.24</v>
      </c>
      <c r="AP5167">
        <v>-7.8</v>
      </c>
    </row>
    <row r="5168" spans="1:42">
      <c r="A5168">
        <v>5167</v>
      </c>
      <c r="B5168" t="str">
        <f>"603980"</f>
        <v>603980</v>
      </c>
      <c r="C5168" t="s">
        <v>23034</v>
      </c>
      <c r="D5168">
        <v>4.74</v>
      </c>
      <c r="E5168">
        <v>0.21</v>
      </c>
      <c r="F5168">
        <v>0.01</v>
      </c>
      <c r="G5168" t="s">
        <v>1077</v>
      </c>
      <c r="H5168">
        <v>156</v>
      </c>
      <c r="I5168">
        <v>4.73</v>
      </c>
      <c r="J5168">
        <v>4.74</v>
      </c>
      <c r="K5168" t="s">
        <v>23029</v>
      </c>
      <c r="L5168">
        <v>0.37</v>
      </c>
      <c r="M5168" t="s">
        <v>46</v>
      </c>
      <c r="N5168" t="s">
        <v>5022</v>
      </c>
      <c r="O5168">
        <v>4.76</v>
      </c>
      <c r="P5168">
        <v>4.69</v>
      </c>
      <c r="Q5168">
        <v>4.74</v>
      </c>
      <c r="R5168">
        <v>4.73</v>
      </c>
      <c r="S5168">
        <v>1.48</v>
      </c>
      <c r="T5168">
        <v>0.96</v>
      </c>
      <c r="U5168">
        <v>-56.17</v>
      </c>
      <c r="V5168">
        <v>-2796</v>
      </c>
      <c r="W5168">
        <v>4.74</v>
      </c>
      <c r="X5168" t="s">
        <v>4959</v>
      </c>
      <c r="Y5168" t="s">
        <v>1769</v>
      </c>
      <c r="Z5168">
        <v>0.78</v>
      </c>
      <c r="AA5168">
        <v>55</v>
      </c>
      <c r="AB5168">
        <v>115</v>
      </c>
      <c r="AC5168">
        <v>0.82</v>
      </c>
      <c r="AD5168" t="s">
        <v>18896</v>
      </c>
      <c r="AE5168" t="s">
        <v>18565</v>
      </c>
      <c r="AF5168" t="s">
        <v>18896</v>
      </c>
      <c r="AG5168" t="s">
        <v>18565</v>
      </c>
      <c r="AH5168">
        <v>-1.46</v>
      </c>
      <c r="AI5168">
        <v>-1.04</v>
      </c>
      <c r="AJ5168">
        <v>1.11</v>
      </c>
      <c r="AK5168">
        <v>2.28</v>
      </c>
      <c r="AL5168">
        <v>1</v>
      </c>
      <c r="AM5168">
        <v>0.21</v>
      </c>
      <c r="AN5168">
        <v>3.72</v>
      </c>
      <c r="AO5168">
        <v>1.07</v>
      </c>
      <c r="AP5168">
        <v>-0.84</v>
      </c>
    </row>
    <row r="5169" spans="1:42">
      <c r="A5169">
        <v>5168</v>
      </c>
      <c r="B5169" t="str">
        <f>"600714"</f>
        <v>600714</v>
      </c>
      <c r="C5169" t="s">
        <v>23035</v>
      </c>
      <c r="D5169">
        <v>9.18</v>
      </c>
      <c r="E5169">
        <v>0.11</v>
      </c>
      <c r="F5169">
        <v>0.01</v>
      </c>
      <c r="G5169" t="s">
        <v>383</v>
      </c>
      <c r="H5169">
        <v>11</v>
      </c>
      <c r="I5169">
        <v>9.16</v>
      </c>
      <c r="J5169">
        <v>9.18</v>
      </c>
      <c r="K5169" t="s">
        <v>23036</v>
      </c>
      <c r="L5169">
        <v>0.46</v>
      </c>
      <c r="M5169" t="s">
        <v>46</v>
      </c>
      <c r="N5169" t="s">
        <v>7305</v>
      </c>
      <c r="O5169">
        <v>9.24</v>
      </c>
      <c r="P5169">
        <v>9.12</v>
      </c>
      <c r="Q5169">
        <v>9.17</v>
      </c>
      <c r="R5169">
        <v>9.17</v>
      </c>
      <c r="S5169">
        <v>1.31</v>
      </c>
      <c r="T5169">
        <v>0.96</v>
      </c>
      <c r="U5169">
        <v>5.22</v>
      </c>
      <c r="V5169">
        <v>51</v>
      </c>
      <c r="W5169">
        <v>9.17</v>
      </c>
      <c r="X5169">
        <v>6641</v>
      </c>
      <c r="Y5169">
        <v>6638</v>
      </c>
      <c r="Z5169">
        <v>1</v>
      </c>
      <c r="AA5169">
        <v>22</v>
      </c>
      <c r="AB5169">
        <v>121</v>
      </c>
      <c r="AC5169">
        <v>3.59</v>
      </c>
      <c r="AD5169" t="s">
        <v>11004</v>
      </c>
      <c r="AE5169" t="s">
        <v>17836</v>
      </c>
      <c r="AF5169" t="s">
        <v>11004</v>
      </c>
      <c r="AG5169" t="s">
        <v>17836</v>
      </c>
      <c r="AH5169">
        <v>-0.86</v>
      </c>
      <c r="AI5169">
        <v>-0.65</v>
      </c>
      <c r="AJ5169">
        <v>1.39</v>
      </c>
      <c r="AK5169">
        <v>2.85</v>
      </c>
      <c r="AL5169">
        <v>1</v>
      </c>
      <c r="AM5169">
        <v>0.11</v>
      </c>
      <c r="AN5169">
        <v>6</v>
      </c>
      <c r="AO5169">
        <v>0.33</v>
      </c>
      <c r="AP5169">
        <v>-2.24</v>
      </c>
    </row>
    <row r="5170" spans="1:42">
      <c r="A5170">
        <v>5169</v>
      </c>
      <c r="B5170" t="str">
        <f>"603669"</f>
        <v>603669</v>
      </c>
      <c r="C5170" t="s">
        <v>23037</v>
      </c>
      <c r="D5170">
        <v>5.7</v>
      </c>
      <c r="E5170">
        <v>-1.21</v>
      </c>
      <c r="F5170">
        <v>-0.07</v>
      </c>
      <c r="G5170" t="s">
        <v>7210</v>
      </c>
      <c r="H5170">
        <v>428</v>
      </c>
      <c r="I5170">
        <v>5.69</v>
      </c>
      <c r="J5170">
        <v>5.7</v>
      </c>
      <c r="K5170" t="s">
        <v>23038</v>
      </c>
      <c r="L5170">
        <v>0.29</v>
      </c>
      <c r="M5170" t="s">
        <v>46</v>
      </c>
      <c r="N5170" t="s">
        <v>8494</v>
      </c>
      <c r="O5170">
        <v>5.8</v>
      </c>
      <c r="P5170">
        <v>5.69</v>
      </c>
      <c r="Q5170">
        <v>5.77</v>
      </c>
      <c r="R5170">
        <v>5.77</v>
      </c>
      <c r="S5170">
        <v>1.91</v>
      </c>
      <c r="T5170">
        <v>0.55</v>
      </c>
      <c r="U5170">
        <v>-20.29</v>
      </c>
      <c r="V5170">
        <v>-397</v>
      </c>
      <c r="W5170">
        <v>5.73</v>
      </c>
      <c r="X5170" t="s">
        <v>8636</v>
      </c>
      <c r="Y5170">
        <v>9211</v>
      </c>
      <c r="Z5170">
        <v>1.31</v>
      </c>
      <c r="AA5170">
        <v>343</v>
      </c>
      <c r="AB5170">
        <v>90</v>
      </c>
      <c r="AC5170">
        <v>4.37</v>
      </c>
      <c r="AD5170" t="s">
        <v>23039</v>
      </c>
      <c r="AE5170" t="s">
        <v>23040</v>
      </c>
      <c r="AF5170" t="s">
        <v>23039</v>
      </c>
      <c r="AG5170" t="s">
        <v>23040</v>
      </c>
      <c r="AH5170">
        <v>-1.55</v>
      </c>
      <c r="AI5170">
        <v>-1.72</v>
      </c>
      <c r="AJ5170">
        <v>1.06</v>
      </c>
      <c r="AK5170">
        <v>2.97</v>
      </c>
      <c r="AL5170">
        <v>-1</v>
      </c>
      <c r="AM5170">
        <v>-1.21</v>
      </c>
      <c r="AN5170">
        <v>-0.7</v>
      </c>
      <c r="AO5170">
        <v>3.64</v>
      </c>
      <c r="AP5170">
        <v>-13.77</v>
      </c>
    </row>
    <row r="5171" spans="1:42">
      <c r="A5171">
        <v>5170</v>
      </c>
      <c r="B5171" t="str">
        <f>"301365"</f>
        <v>301365</v>
      </c>
      <c r="C5171" t="s">
        <v>23041</v>
      </c>
      <c r="D5171">
        <v>15.58</v>
      </c>
      <c r="E5171">
        <v>1.17</v>
      </c>
      <c r="F5171">
        <v>0.18</v>
      </c>
      <c r="G5171">
        <v>7830</v>
      </c>
      <c r="H5171">
        <v>55</v>
      </c>
      <c r="I5171">
        <v>15.58</v>
      </c>
      <c r="J5171">
        <v>15.59</v>
      </c>
      <c r="K5171" t="s">
        <v>23042</v>
      </c>
      <c r="L5171">
        <v>1.69</v>
      </c>
      <c r="M5171" t="s">
        <v>46</v>
      </c>
      <c r="N5171" t="s">
        <v>2259</v>
      </c>
      <c r="O5171">
        <v>15.65</v>
      </c>
      <c r="P5171">
        <v>15.32</v>
      </c>
      <c r="Q5171">
        <v>15.41</v>
      </c>
      <c r="R5171">
        <v>15.4</v>
      </c>
      <c r="S5171">
        <v>2.14</v>
      </c>
      <c r="T5171">
        <v>0.81</v>
      </c>
      <c r="U5171">
        <v>-70.21</v>
      </c>
      <c r="V5171">
        <v>-311</v>
      </c>
      <c r="W5171">
        <v>15.5</v>
      </c>
      <c r="X5171">
        <v>3359</v>
      </c>
      <c r="Y5171">
        <v>4472</v>
      </c>
      <c r="Z5171">
        <v>0.75</v>
      </c>
      <c r="AA5171">
        <v>7</v>
      </c>
      <c r="AB5171">
        <v>72</v>
      </c>
      <c r="AC5171">
        <v>1.6</v>
      </c>
      <c r="AD5171" t="s">
        <v>8722</v>
      </c>
      <c r="AE5171" t="s">
        <v>15784</v>
      </c>
      <c r="AF5171" t="s">
        <v>23043</v>
      </c>
      <c r="AG5171" t="s">
        <v>3198</v>
      </c>
      <c r="AH5171">
        <v>-0.19</v>
      </c>
      <c r="AI5171">
        <v>-1.33</v>
      </c>
      <c r="AJ5171">
        <v>5.43</v>
      </c>
      <c r="AK5171">
        <v>12.17</v>
      </c>
      <c r="AL5171">
        <v>1</v>
      </c>
      <c r="AM5171">
        <v>1.17</v>
      </c>
      <c r="AN5171">
        <v>-4.94</v>
      </c>
      <c r="AO5171">
        <v>2.64</v>
      </c>
      <c r="AP5171">
        <v>-29.85</v>
      </c>
    </row>
    <row r="5172" spans="1:42">
      <c r="A5172">
        <v>5171</v>
      </c>
      <c r="B5172" t="str">
        <f>"301305"</f>
        <v>301305</v>
      </c>
      <c r="C5172" t="s">
        <v>23044</v>
      </c>
      <c r="D5172">
        <v>18.71</v>
      </c>
      <c r="E5172">
        <v>-0.43</v>
      </c>
      <c r="F5172">
        <v>-0.08</v>
      </c>
      <c r="G5172">
        <v>6483</v>
      </c>
      <c r="H5172">
        <v>109</v>
      </c>
      <c r="I5172">
        <v>18.71</v>
      </c>
      <c r="J5172">
        <v>18.72</v>
      </c>
      <c r="K5172" t="s">
        <v>23042</v>
      </c>
      <c r="L5172">
        <v>1.1</v>
      </c>
      <c r="M5172" t="s">
        <v>46</v>
      </c>
      <c r="N5172" t="s">
        <v>5022</v>
      </c>
      <c r="O5172">
        <v>18.85</v>
      </c>
      <c r="P5172">
        <v>18.57</v>
      </c>
      <c r="Q5172">
        <v>18.65</v>
      </c>
      <c r="R5172">
        <v>18.79</v>
      </c>
      <c r="S5172">
        <v>1.49</v>
      </c>
      <c r="T5172">
        <v>0.54</v>
      </c>
      <c r="U5172">
        <v>-8.94</v>
      </c>
      <c r="V5172">
        <v>-32</v>
      </c>
      <c r="W5172">
        <v>18.72</v>
      </c>
      <c r="X5172">
        <v>3776</v>
      </c>
      <c r="Y5172">
        <v>2707</v>
      </c>
      <c r="Z5172">
        <v>1.4</v>
      </c>
      <c r="AA5172">
        <v>22</v>
      </c>
      <c r="AB5172">
        <v>5</v>
      </c>
      <c r="AC5172">
        <v>1.35</v>
      </c>
      <c r="AD5172" t="s">
        <v>22006</v>
      </c>
      <c r="AE5172" t="s">
        <v>18644</v>
      </c>
      <c r="AF5172" t="s">
        <v>23045</v>
      </c>
      <c r="AG5172" t="s">
        <v>85</v>
      </c>
      <c r="AH5172">
        <v>-2.04</v>
      </c>
      <c r="AI5172">
        <v>-1.94</v>
      </c>
      <c r="AJ5172">
        <v>4.2</v>
      </c>
      <c r="AK5172">
        <v>11.2</v>
      </c>
      <c r="AL5172">
        <v>-3</v>
      </c>
      <c r="AM5172">
        <v>-0.43</v>
      </c>
      <c r="AN5172">
        <v>-25.31</v>
      </c>
      <c r="AO5172">
        <v>-1.06</v>
      </c>
      <c r="AP5172">
        <v>-25.31</v>
      </c>
    </row>
    <row r="5173" spans="1:42">
      <c r="A5173">
        <v>5172</v>
      </c>
      <c r="B5173" t="str">
        <f>"688585"</f>
        <v>688585</v>
      </c>
      <c r="C5173" t="s">
        <v>23046</v>
      </c>
      <c r="D5173">
        <v>8.48</v>
      </c>
      <c r="E5173">
        <v>-0.24</v>
      </c>
      <c r="F5173">
        <v>-0.02</v>
      </c>
      <c r="G5173" t="s">
        <v>5900</v>
      </c>
      <c r="H5173">
        <v>201</v>
      </c>
      <c r="I5173">
        <v>8.46</v>
      </c>
      <c r="J5173">
        <v>8.48</v>
      </c>
      <c r="K5173" t="s">
        <v>23047</v>
      </c>
      <c r="L5173">
        <v>0.35</v>
      </c>
      <c r="M5173" t="s">
        <v>46</v>
      </c>
      <c r="N5173" t="s">
        <v>119</v>
      </c>
      <c r="O5173">
        <v>8.64</v>
      </c>
      <c r="P5173">
        <v>8.41</v>
      </c>
      <c r="Q5173">
        <v>8.6</v>
      </c>
      <c r="R5173">
        <v>8.5</v>
      </c>
      <c r="S5173">
        <v>2.71</v>
      </c>
      <c r="T5173">
        <v>0.78</v>
      </c>
      <c r="U5173">
        <v>-24.95</v>
      </c>
      <c r="V5173">
        <v>-97</v>
      </c>
      <c r="W5173">
        <v>8.48</v>
      </c>
      <c r="X5173">
        <v>6893</v>
      </c>
      <c r="Y5173">
        <v>7400</v>
      </c>
      <c r="Z5173">
        <v>0.93</v>
      </c>
      <c r="AA5173">
        <v>3</v>
      </c>
      <c r="AB5173">
        <v>25</v>
      </c>
      <c r="AC5173">
        <v>2.86</v>
      </c>
      <c r="AD5173" t="s">
        <v>23048</v>
      </c>
      <c r="AE5173" t="s">
        <v>1872</v>
      </c>
      <c r="AF5173" t="s">
        <v>23048</v>
      </c>
      <c r="AG5173" t="s">
        <v>1872</v>
      </c>
      <c r="AH5173">
        <v>-2.64</v>
      </c>
      <c r="AI5173">
        <v>-1.28</v>
      </c>
      <c r="AJ5173">
        <v>1.04</v>
      </c>
      <c r="AK5173">
        <v>2.64</v>
      </c>
      <c r="AL5173">
        <v>-3</v>
      </c>
      <c r="AM5173">
        <v>-0.24</v>
      </c>
      <c r="AN5173">
        <v>6.13</v>
      </c>
      <c r="AO5173">
        <v>0.71</v>
      </c>
      <c r="AP5173">
        <v>-10.17</v>
      </c>
    </row>
    <row r="5174" spans="1:42">
      <c r="A5174">
        <v>5173</v>
      </c>
      <c r="B5174" t="str">
        <f>"831305"</f>
        <v>831305</v>
      </c>
      <c r="C5174" t="s">
        <v>23049</v>
      </c>
      <c r="D5174">
        <v>10.61</v>
      </c>
      <c r="E5174">
        <v>-3.11</v>
      </c>
      <c r="F5174">
        <v>-0.34</v>
      </c>
      <c r="G5174" t="s">
        <v>734</v>
      </c>
      <c r="H5174">
        <v>259</v>
      </c>
      <c r="I5174">
        <v>10.61</v>
      </c>
      <c r="J5174">
        <v>10.7</v>
      </c>
      <c r="K5174" t="s">
        <v>23050</v>
      </c>
      <c r="L5174">
        <v>1.02</v>
      </c>
      <c r="M5174" t="s">
        <v>46</v>
      </c>
      <c r="N5174" t="s">
        <v>7741</v>
      </c>
      <c r="O5174">
        <v>11.25</v>
      </c>
      <c r="P5174">
        <v>10.58</v>
      </c>
      <c r="Q5174">
        <v>11.1</v>
      </c>
      <c r="R5174">
        <v>10.95</v>
      </c>
      <c r="S5174">
        <v>6.12</v>
      </c>
      <c r="T5174">
        <v>0.35</v>
      </c>
      <c r="U5174">
        <v>58.29</v>
      </c>
      <c r="V5174">
        <v>346</v>
      </c>
      <c r="W5174">
        <v>10.85</v>
      </c>
      <c r="X5174">
        <v>7319</v>
      </c>
      <c r="Y5174">
        <v>3860</v>
      </c>
      <c r="Z5174">
        <v>1.9</v>
      </c>
      <c r="AA5174">
        <v>80</v>
      </c>
      <c r="AB5174">
        <v>0</v>
      </c>
      <c r="AC5174">
        <v>1.96</v>
      </c>
      <c r="AD5174" t="s">
        <v>4989</v>
      </c>
      <c r="AE5174" t="s">
        <v>14632</v>
      </c>
      <c r="AF5174" t="s">
        <v>16441</v>
      </c>
      <c r="AG5174" t="s">
        <v>5722</v>
      </c>
      <c r="AH5174">
        <v>-12.67</v>
      </c>
      <c r="AI5174">
        <v>-2.48</v>
      </c>
      <c r="AJ5174">
        <v>4.68</v>
      </c>
      <c r="AK5174">
        <v>15.43</v>
      </c>
      <c r="AL5174">
        <v>-4</v>
      </c>
      <c r="AM5174">
        <v>-3.11</v>
      </c>
      <c r="AN5174">
        <v>40.53</v>
      </c>
      <c r="AO5174">
        <v>6.63</v>
      </c>
      <c r="AP5174">
        <v>45.14</v>
      </c>
    </row>
    <row r="5175" spans="1:42">
      <c r="A5175">
        <v>5174</v>
      </c>
      <c r="B5175" t="str">
        <f>"688251"</f>
        <v>688251</v>
      </c>
      <c r="C5175" t="s">
        <v>23051</v>
      </c>
      <c r="D5175">
        <v>29.21</v>
      </c>
      <c r="E5175">
        <v>-1.08</v>
      </c>
      <c r="F5175">
        <v>-0.32</v>
      </c>
      <c r="G5175">
        <v>4154</v>
      </c>
      <c r="H5175">
        <v>35</v>
      </c>
      <c r="I5175">
        <v>29.16</v>
      </c>
      <c r="J5175">
        <v>29.21</v>
      </c>
      <c r="K5175" t="s">
        <v>23052</v>
      </c>
      <c r="L5175">
        <v>1.19</v>
      </c>
      <c r="M5175" t="s">
        <v>46</v>
      </c>
      <c r="N5175" t="s">
        <v>4010</v>
      </c>
      <c r="O5175">
        <v>29.82</v>
      </c>
      <c r="P5175">
        <v>28.91</v>
      </c>
      <c r="Q5175">
        <v>29.53</v>
      </c>
      <c r="R5175">
        <v>29.53</v>
      </c>
      <c r="S5175">
        <v>3.08</v>
      </c>
      <c r="T5175">
        <v>0.94</v>
      </c>
      <c r="U5175">
        <v>45.89</v>
      </c>
      <c r="V5175">
        <v>76</v>
      </c>
      <c r="W5175">
        <v>29.15</v>
      </c>
      <c r="X5175">
        <v>2101</v>
      </c>
      <c r="Y5175">
        <v>2054</v>
      </c>
      <c r="Z5175">
        <v>1.02</v>
      </c>
      <c r="AA5175">
        <v>36</v>
      </c>
      <c r="AB5175">
        <v>4</v>
      </c>
      <c r="AC5175">
        <v>2.24</v>
      </c>
      <c r="AD5175" t="s">
        <v>14806</v>
      </c>
      <c r="AE5175" t="s">
        <v>23053</v>
      </c>
      <c r="AF5175" t="s">
        <v>23054</v>
      </c>
      <c r="AG5175" t="s">
        <v>1099</v>
      </c>
      <c r="AH5175">
        <v>-3.37</v>
      </c>
      <c r="AI5175">
        <v>-1.68</v>
      </c>
      <c r="AJ5175">
        <v>3.47</v>
      </c>
      <c r="AK5175">
        <v>7.56</v>
      </c>
      <c r="AL5175">
        <v>-3</v>
      </c>
      <c r="AM5175">
        <v>-1.08</v>
      </c>
      <c r="AN5175">
        <v>-1.42</v>
      </c>
      <c r="AO5175">
        <v>0.27</v>
      </c>
      <c r="AP5175">
        <v>-18.32</v>
      </c>
    </row>
    <row r="5176" spans="1:42">
      <c r="A5176">
        <v>5175</v>
      </c>
      <c r="B5176" t="str">
        <f>"831768"</f>
        <v>831768</v>
      </c>
      <c r="C5176" t="s">
        <v>23055</v>
      </c>
      <c r="D5176">
        <v>5.04</v>
      </c>
      <c r="E5176">
        <v>-4.91</v>
      </c>
      <c r="F5176">
        <v>-0.26</v>
      </c>
      <c r="G5176" t="s">
        <v>314</v>
      </c>
      <c r="H5176">
        <v>388</v>
      </c>
      <c r="I5176">
        <v>5.03</v>
      </c>
      <c r="J5176">
        <v>5.04</v>
      </c>
      <c r="K5176" t="s">
        <v>23052</v>
      </c>
      <c r="L5176">
        <v>3.04</v>
      </c>
      <c r="M5176" t="s">
        <v>46</v>
      </c>
      <c r="N5176" t="s">
        <v>23056</v>
      </c>
      <c r="O5176">
        <v>5.4</v>
      </c>
      <c r="P5176">
        <v>5.03</v>
      </c>
      <c r="Q5176">
        <v>5.35</v>
      </c>
      <c r="R5176">
        <v>5.3</v>
      </c>
      <c r="S5176">
        <v>6.98</v>
      </c>
      <c r="T5176">
        <v>0.45</v>
      </c>
      <c r="U5176">
        <v>-1.92</v>
      </c>
      <c r="V5176">
        <v>-25</v>
      </c>
      <c r="W5176">
        <v>5.18</v>
      </c>
      <c r="X5176" t="s">
        <v>1692</v>
      </c>
      <c r="Y5176">
        <v>6969</v>
      </c>
      <c r="Z5176">
        <v>2.35</v>
      </c>
      <c r="AA5176">
        <v>123</v>
      </c>
      <c r="AB5176">
        <v>115</v>
      </c>
      <c r="AC5176">
        <v>0.85</v>
      </c>
      <c r="AD5176" t="s">
        <v>21907</v>
      </c>
      <c r="AE5176" t="s">
        <v>7795</v>
      </c>
      <c r="AF5176" t="s">
        <v>19825</v>
      </c>
      <c r="AG5176" t="s">
        <v>23057</v>
      </c>
      <c r="AH5176">
        <v>-13.7</v>
      </c>
      <c r="AI5176">
        <v>-1.37</v>
      </c>
      <c r="AJ5176">
        <v>11.8</v>
      </c>
      <c r="AK5176">
        <v>36.9</v>
      </c>
      <c r="AL5176">
        <v>-1</v>
      </c>
      <c r="AM5176">
        <v>-4.91</v>
      </c>
      <c r="AN5176">
        <v>-5.26</v>
      </c>
      <c r="AO5176">
        <v>27.92</v>
      </c>
      <c r="AP5176">
        <v>-9.68</v>
      </c>
    </row>
    <row r="5177" spans="1:42">
      <c r="A5177">
        <v>5176</v>
      </c>
      <c r="B5177" t="str">
        <f>"300187"</f>
        <v>300187</v>
      </c>
      <c r="C5177" t="s">
        <v>23058</v>
      </c>
      <c r="D5177">
        <v>5.68</v>
      </c>
      <c r="E5177">
        <v>0.18</v>
      </c>
      <c r="F5177">
        <v>0.01</v>
      </c>
      <c r="G5177" t="s">
        <v>3116</v>
      </c>
      <c r="H5177">
        <v>491</v>
      </c>
      <c r="I5177">
        <v>5.68</v>
      </c>
      <c r="J5177">
        <v>5.69</v>
      </c>
      <c r="K5177" t="s">
        <v>23059</v>
      </c>
      <c r="L5177">
        <v>0.33</v>
      </c>
      <c r="M5177" t="s">
        <v>46</v>
      </c>
      <c r="N5177" t="s">
        <v>281</v>
      </c>
      <c r="O5177">
        <v>5.72</v>
      </c>
      <c r="P5177">
        <v>5.65</v>
      </c>
      <c r="Q5177">
        <v>5.7</v>
      </c>
      <c r="R5177">
        <v>5.67</v>
      </c>
      <c r="S5177">
        <v>1.23</v>
      </c>
      <c r="T5177">
        <v>0.75</v>
      </c>
      <c r="U5177">
        <v>24.82</v>
      </c>
      <c r="V5177">
        <v>1270</v>
      </c>
      <c r="W5177">
        <v>5.69</v>
      </c>
      <c r="X5177">
        <v>9508</v>
      </c>
      <c r="Y5177" t="s">
        <v>1083</v>
      </c>
      <c r="Z5177">
        <v>0.81</v>
      </c>
      <c r="AA5177">
        <v>347</v>
      </c>
      <c r="AB5177">
        <v>134</v>
      </c>
      <c r="AC5177">
        <v>3.55</v>
      </c>
      <c r="AD5177" t="s">
        <v>23060</v>
      </c>
      <c r="AE5177" t="s">
        <v>10333</v>
      </c>
      <c r="AF5177" t="s">
        <v>23061</v>
      </c>
      <c r="AG5177" t="s">
        <v>14202</v>
      </c>
      <c r="AH5177">
        <v>-1.05</v>
      </c>
      <c r="AI5177">
        <v>-2.41</v>
      </c>
      <c r="AJ5177">
        <v>1.13</v>
      </c>
      <c r="AK5177">
        <v>2.54</v>
      </c>
      <c r="AL5177">
        <v>1</v>
      </c>
      <c r="AM5177">
        <v>0.18</v>
      </c>
      <c r="AN5177">
        <v>-0.53</v>
      </c>
      <c r="AO5177">
        <v>1.25</v>
      </c>
      <c r="AP5177">
        <v>-8.83</v>
      </c>
    </row>
    <row r="5178" spans="1:42">
      <c r="A5178">
        <v>5177</v>
      </c>
      <c r="B5178" t="str">
        <f>"300385"</f>
        <v>300385</v>
      </c>
      <c r="C5178" t="s">
        <v>23062</v>
      </c>
      <c r="D5178">
        <v>6.72</v>
      </c>
      <c r="E5178">
        <v>0.3</v>
      </c>
      <c r="F5178">
        <v>0.02</v>
      </c>
      <c r="G5178" t="s">
        <v>432</v>
      </c>
      <c r="H5178">
        <v>465</v>
      </c>
      <c r="I5178">
        <v>6.7</v>
      </c>
      <c r="J5178">
        <v>6.72</v>
      </c>
      <c r="K5178" t="s">
        <v>23063</v>
      </c>
      <c r="L5178">
        <v>0.62</v>
      </c>
      <c r="M5178" t="s">
        <v>46</v>
      </c>
      <c r="N5178" t="s">
        <v>1345</v>
      </c>
      <c r="O5178">
        <v>6.73</v>
      </c>
      <c r="P5178">
        <v>6.66</v>
      </c>
      <c r="Q5178">
        <v>6.71</v>
      </c>
      <c r="R5178">
        <v>6.7</v>
      </c>
      <c r="S5178">
        <v>1.04</v>
      </c>
      <c r="T5178">
        <v>0.88</v>
      </c>
      <c r="U5178">
        <v>-19.97</v>
      </c>
      <c r="V5178">
        <v>-609</v>
      </c>
      <c r="W5178">
        <v>6.7</v>
      </c>
      <c r="X5178">
        <v>8395</v>
      </c>
      <c r="Y5178">
        <v>9611</v>
      </c>
      <c r="Z5178">
        <v>0.87</v>
      </c>
      <c r="AA5178">
        <v>125</v>
      </c>
      <c r="AB5178">
        <v>337</v>
      </c>
      <c r="AC5178">
        <v>3.01</v>
      </c>
      <c r="AD5178" t="s">
        <v>19592</v>
      </c>
      <c r="AE5178" t="s">
        <v>328</v>
      </c>
      <c r="AF5178" t="s">
        <v>23064</v>
      </c>
      <c r="AG5178" t="s">
        <v>19148</v>
      </c>
      <c r="AH5178">
        <v>0</v>
      </c>
      <c r="AI5178">
        <v>0.9</v>
      </c>
      <c r="AJ5178">
        <v>1.94</v>
      </c>
      <c r="AK5178">
        <v>4.18</v>
      </c>
      <c r="AL5178">
        <v>1</v>
      </c>
      <c r="AM5178">
        <v>0.3</v>
      </c>
      <c r="AN5178">
        <v>14.09</v>
      </c>
      <c r="AO5178">
        <v>4.51</v>
      </c>
      <c r="AP5178">
        <v>5.33</v>
      </c>
    </row>
    <row r="5179" spans="1:42">
      <c r="A5179">
        <v>5178</v>
      </c>
      <c r="B5179" t="str">
        <f>"600387"</f>
        <v>600387</v>
      </c>
      <c r="C5179" t="s">
        <v>23065</v>
      </c>
      <c r="D5179">
        <v>5.87</v>
      </c>
      <c r="E5179">
        <v>1.73</v>
      </c>
      <c r="F5179">
        <v>0.1</v>
      </c>
      <c r="G5179" t="s">
        <v>9024</v>
      </c>
      <c r="H5179">
        <v>171</v>
      </c>
      <c r="I5179">
        <v>5.86</v>
      </c>
      <c r="J5179">
        <v>5.87</v>
      </c>
      <c r="K5179" t="s">
        <v>23063</v>
      </c>
      <c r="L5179">
        <v>0.51</v>
      </c>
      <c r="M5179" t="s">
        <v>46</v>
      </c>
      <c r="N5179" t="s">
        <v>5809</v>
      </c>
      <c r="O5179">
        <v>5.88</v>
      </c>
      <c r="P5179">
        <v>5.75</v>
      </c>
      <c r="Q5179">
        <v>5.78</v>
      </c>
      <c r="R5179">
        <v>5.77</v>
      </c>
      <c r="S5179">
        <v>2.25</v>
      </c>
      <c r="T5179">
        <v>0.89</v>
      </c>
      <c r="U5179">
        <v>-24.32</v>
      </c>
      <c r="V5179">
        <v>-1040</v>
      </c>
      <c r="W5179">
        <v>5.84</v>
      </c>
      <c r="X5179">
        <v>9025</v>
      </c>
      <c r="Y5179" t="s">
        <v>1743</v>
      </c>
      <c r="Z5179">
        <v>0.78</v>
      </c>
      <c r="AA5179">
        <v>403</v>
      </c>
      <c r="AB5179">
        <v>467</v>
      </c>
      <c r="AC5179">
        <v>0.87</v>
      </c>
      <c r="AD5179" t="s">
        <v>16605</v>
      </c>
      <c r="AE5179" t="s">
        <v>16768</v>
      </c>
      <c r="AF5179" t="s">
        <v>1562</v>
      </c>
      <c r="AG5179" t="s">
        <v>8246</v>
      </c>
      <c r="AH5179">
        <v>-0.17</v>
      </c>
      <c r="AI5179">
        <v>-1.84</v>
      </c>
      <c r="AJ5179">
        <v>1.93</v>
      </c>
      <c r="AK5179">
        <v>3.38</v>
      </c>
      <c r="AL5179">
        <v>1</v>
      </c>
      <c r="AM5179">
        <v>1.73</v>
      </c>
      <c r="AN5179">
        <v>-17.09</v>
      </c>
      <c r="AO5179">
        <v>3.89</v>
      </c>
      <c r="AP5179">
        <v>-47.07</v>
      </c>
    </row>
    <row r="5180" spans="1:42">
      <c r="A5180">
        <v>5179</v>
      </c>
      <c r="B5180" t="str">
        <f>"605006"</f>
        <v>605006</v>
      </c>
      <c r="C5180" t="s">
        <v>23066</v>
      </c>
      <c r="D5180">
        <v>7.02</v>
      </c>
      <c r="E5180">
        <v>-0.14</v>
      </c>
      <c r="F5180">
        <v>-0.01</v>
      </c>
      <c r="G5180" t="s">
        <v>2397</v>
      </c>
      <c r="H5180">
        <v>660</v>
      </c>
      <c r="I5180">
        <v>7.01</v>
      </c>
      <c r="J5180">
        <v>7.02</v>
      </c>
      <c r="K5180" t="s">
        <v>23067</v>
      </c>
      <c r="L5180">
        <v>0.29</v>
      </c>
      <c r="M5180" t="s">
        <v>46</v>
      </c>
      <c r="N5180" t="s">
        <v>4071</v>
      </c>
      <c r="O5180">
        <v>7.04</v>
      </c>
      <c r="P5180">
        <v>6.95</v>
      </c>
      <c r="Q5180">
        <v>7.02</v>
      </c>
      <c r="R5180">
        <v>7.03</v>
      </c>
      <c r="S5180">
        <v>1.28</v>
      </c>
      <c r="T5180">
        <v>1.01</v>
      </c>
      <c r="U5180">
        <v>74</v>
      </c>
      <c r="V5180">
        <v>2411</v>
      </c>
      <c r="W5180">
        <v>7</v>
      </c>
      <c r="X5180">
        <v>7784</v>
      </c>
      <c r="Y5180">
        <v>9352</v>
      </c>
      <c r="Z5180">
        <v>0.83</v>
      </c>
      <c r="AA5180">
        <v>1338</v>
      </c>
      <c r="AB5180">
        <v>10</v>
      </c>
      <c r="AC5180">
        <v>1.6</v>
      </c>
      <c r="AD5180" t="s">
        <v>23068</v>
      </c>
      <c r="AE5180" t="s">
        <v>23069</v>
      </c>
      <c r="AF5180" t="s">
        <v>6426</v>
      </c>
      <c r="AG5180" t="s">
        <v>14346</v>
      </c>
      <c r="AH5180">
        <v>-1.27</v>
      </c>
      <c r="AI5180">
        <v>-3.04</v>
      </c>
      <c r="AJ5180">
        <v>0.93</v>
      </c>
      <c r="AK5180">
        <v>1.71</v>
      </c>
      <c r="AL5180">
        <v>-3</v>
      </c>
      <c r="AM5180">
        <v>-0.14</v>
      </c>
      <c r="AN5180">
        <v>-10.91</v>
      </c>
      <c r="AO5180">
        <v>-1.27</v>
      </c>
      <c r="AP5180">
        <v>-17.51</v>
      </c>
    </row>
    <row r="5181" spans="1:42">
      <c r="A5181">
        <v>5180</v>
      </c>
      <c r="B5181" t="str">
        <f>"688633"</f>
        <v>688633</v>
      </c>
      <c r="C5181" t="s">
        <v>23070</v>
      </c>
      <c r="D5181">
        <v>32.54</v>
      </c>
      <c r="E5181">
        <v>0</v>
      </c>
      <c r="F5181">
        <v>0</v>
      </c>
      <c r="G5181">
        <v>3693</v>
      </c>
      <c r="H5181">
        <v>44</v>
      </c>
      <c r="I5181">
        <v>32.54</v>
      </c>
      <c r="J5181">
        <v>32.55</v>
      </c>
      <c r="K5181" t="s">
        <v>23071</v>
      </c>
      <c r="L5181">
        <v>1.07</v>
      </c>
      <c r="M5181" t="s">
        <v>46</v>
      </c>
      <c r="N5181" t="s">
        <v>11780</v>
      </c>
      <c r="O5181">
        <v>32.86</v>
      </c>
      <c r="P5181">
        <v>32.06</v>
      </c>
      <c r="Q5181">
        <v>32.54</v>
      </c>
      <c r="R5181">
        <v>32.54</v>
      </c>
      <c r="S5181">
        <v>2.46</v>
      </c>
      <c r="T5181">
        <v>1.06</v>
      </c>
      <c r="U5181">
        <v>-4.9</v>
      </c>
      <c r="V5181">
        <v>-5</v>
      </c>
      <c r="W5181">
        <v>32.45</v>
      </c>
      <c r="X5181">
        <v>2325</v>
      </c>
      <c r="Y5181">
        <v>1368</v>
      </c>
      <c r="Z5181">
        <v>1.7</v>
      </c>
      <c r="AA5181">
        <v>14</v>
      </c>
      <c r="AB5181">
        <v>8</v>
      </c>
      <c r="AC5181">
        <v>2.34</v>
      </c>
      <c r="AD5181" t="s">
        <v>23072</v>
      </c>
      <c r="AE5181" t="s">
        <v>15447</v>
      </c>
      <c r="AF5181" t="s">
        <v>23073</v>
      </c>
      <c r="AG5181" t="s">
        <v>12466</v>
      </c>
      <c r="AH5181">
        <v>-1.6</v>
      </c>
      <c r="AI5181">
        <v>-1.72</v>
      </c>
      <c r="AJ5181">
        <v>2.66</v>
      </c>
      <c r="AK5181">
        <v>6.13</v>
      </c>
      <c r="AL5181">
        <v>0</v>
      </c>
      <c r="AM5181">
        <v>0</v>
      </c>
      <c r="AN5181">
        <v>3.27</v>
      </c>
      <c r="AO5181">
        <v>0.49</v>
      </c>
      <c r="AP5181">
        <v>-3.3</v>
      </c>
    </row>
    <row r="5182" spans="1:42">
      <c r="A5182">
        <v>5181</v>
      </c>
      <c r="B5182" t="str">
        <f>"300214"</f>
        <v>300214</v>
      </c>
      <c r="C5182" t="s">
        <v>23074</v>
      </c>
      <c r="D5182">
        <v>6.42</v>
      </c>
      <c r="E5182">
        <v>1.1</v>
      </c>
      <c r="F5182">
        <v>0.07</v>
      </c>
      <c r="G5182" t="s">
        <v>1072</v>
      </c>
      <c r="H5182">
        <v>164</v>
      </c>
      <c r="I5182">
        <v>6.4</v>
      </c>
      <c r="J5182">
        <v>6.42</v>
      </c>
      <c r="K5182" t="s">
        <v>23075</v>
      </c>
      <c r="L5182">
        <v>0.46</v>
      </c>
      <c r="M5182" t="s">
        <v>46</v>
      </c>
      <c r="N5182" t="s">
        <v>1511</v>
      </c>
      <c r="O5182">
        <v>6.44</v>
      </c>
      <c r="P5182">
        <v>6.35</v>
      </c>
      <c r="Q5182">
        <v>6.37</v>
      </c>
      <c r="R5182">
        <v>6.35</v>
      </c>
      <c r="S5182">
        <v>1.42</v>
      </c>
      <c r="T5182">
        <v>0.83</v>
      </c>
      <c r="U5182">
        <v>-8.45</v>
      </c>
      <c r="V5182">
        <v>-177</v>
      </c>
      <c r="W5182">
        <v>6.39</v>
      </c>
      <c r="X5182">
        <v>7517</v>
      </c>
      <c r="Y5182" t="s">
        <v>2807</v>
      </c>
      <c r="Z5182">
        <v>0.67</v>
      </c>
      <c r="AA5182">
        <v>35</v>
      </c>
      <c r="AB5182">
        <v>134</v>
      </c>
      <c r="AC5182">
        <v>1.16</v>
      </c>
      <c r="AD5182" t="s">
        <v>2306</v>
      </c>
      <c r="AE5182" t="s">
        <v>8851</v>
      </c>
      <c r="AF5182" t="s">
        <v>9274</v>
      </c>
      <c r="AG5182" t="s">
        <v>6622</v>
      </c>
      <c r="AH5182">
        <v>-0.93</v>
      </c>
      <c r="AI5182">
        <v>-1.23</v>
      </c>
      <c r="AJ5182">
        <v>1.36</v>
      </c>
      <c r="AK5182">
        <v>3.26</v>
      </c>
      <c r="AL5182">
        <v>1</v>
      </c>
      <c r="AM5182">
        <v>1.1</v>
      </c>
      <c r="AN5182">
        <v>-1.08</v>
      </c>
      <c r="AO5182">
        <v>1.42</v>
      </c>
      <c r="AP5182">
        <v>-1.98</v>
      </c>
    </row>
    <row r="5183" spans="1:42">
      <c r="A5183">
        <v>5182</v>
      </c>
      <c r="B5183" t="str">
        <f>"833873"</f>
        <v>833873</v>
      </c>
      <c r="C5183" t="s">
        <v>23076</v>
      </c>
      <c r="D5183">
        <v>3.43</v>
      </c>
      <c r="E5183">
        <v>-4.46</v>
      </c>
      <c r="F5183">
        <v>-0.16</v>
      </c>
      <c r="G5183" t="s">
        <v>3211</v>
      </c>
      <c r="H5183">
        <v>250</v>
      </c>
      <c r="I5183">
        <v>3.43</v>
      </c>
      <c r="J5183">
        <v>3.45</v>
      </c>
      <c r="K5183" t="s">
        <v>23077</v>
      </c>
      <c r="L5183">
        <v>3.19</v>
      </c>
      <c r="M5183" t="s">
        <v>46</v>
      </c>
      <c r="N5183" t="s">
        <v>10902</v>
      </c>
      <c r="O5183">
        <v>3.69</v>
      </c>
      <c r="P5183">
        <v>3.42</v>
      </c>
      <c r="Q5183">
        <v>3.55</v>
      </c>
      <c r="R5183">
        <v>3.59</v>
      </c>
      <c r="S5183">
        <v>7.52</v>
      </c>
      <c r="T5183">
        <v>0.3</v>
      </c>
      <c r="U5183">
        <v>40.54</v>
      </c>
      <c r="V5183">
        <v>939</v>
      </c>
      <c r="W5183">
        <v>3.52</v>
      </c>
      <c r="X5183" t="s">
        <v>377</v>
      </c>
      <c r="Y5183" t="s">
        <v>1083</v>
      </c>
      <c r="Z5183">
        <v>1.87</v>
      </c>
      <c r="AA5183">
        <v>151</v>
      </c>
      <c r="AB5183">
        <v>35</v>
      </c>
      <c r="AC5183">
        <v>1.27</v>
      </c>
      <c r="AD5183" t="s">
        <v>11113</v>
      </c>
      <c r="AE5183" t="s">
        <v>23078</v>
      </c>
      <c r="AF5183" t="s">
        <v>21378</v>
      </c>
      <c r="AG5183" t="s">
        <v>23079</v>
      </c>
      <c r="AH5183">
        <v>-16.95</v>
      </c>
      <c r="AI5183">
        <v>-0.58</v>
      </c>
      <c r="AJ5183">
        <v>16.62</v>
      </c>
      <c r="AK5183">
        <v>56.88</v>
      </c>
      <c r="AL5183">
        <v>-4</v>
      </c>
      <c r="AM5183">
        <v>-4.46</v>
      </c>
      <c r="AN5183">
        <v>5.21</v>
      </c>
      <c r="AO5183">
        <v>20.35</v>
      </c>
      <c r="AP5183">
        <v>-7.55</v>
      </c>
    </row>
    <row r="5184" spans="1:42">
      <c r="A5184">
        <v>5183</v>
      </c>
      <c r="B5184" t="str">
        <f>"835892"</f>
        <v>835892</v>
      </c>
      <c r="C5184" t="s">
        <v>23080</v>
      </c>
      <c r="D5184">
        <v>8.72</v>
      </c>
      <c r="E5184">
        <v>-4.39</v>
      </c>
      <c r="F5184">
        <v>-0.4</v>
      </c>
      <c r="G5184" t="s">
        <v>1777</v>
      </c>
      <c r="H5184">
        <v>103</v>
      </c>
      <c r="I5184">
        <v>8.72</v>
      </c>
      <c r="J5184">
        <v>8.76</v>
      </c>
      <c r="K5184" t="s">
        <v>23081</v>
      </c>
      <c r="L5184">
        <v>4.81</v>
      </c>
      <c r="M5184" t="s">
        <v>46</v>
      </c>
      <c r="N5184" t="s">
        <v>6235</v>
      </c>
      <c r="O5184">
        <v>9.38</v>
      </c>
      <c r="P5184">
        <v>8.51</v>
      </c>
      <c r="Q5184">
        <v>9.12</v>
      </c>
      <c r="R5184">
        <v>9.12</v>
      </c>
      <c r="S5184">
        <v>9.54</v>
      </c>
      <c r="T5184">
        <v>0.41</v>
      </c>
      <c r="U5184">
        <v>63.01</v>
      </c>
      <c r="V5184">
        <v>148</v>
      </c>
      <c r="W5184">
        <v>8.86</v>
      </c>
      <c r="X5184">
        <v>7270</v>
      </c>
      <c r="Y5184">
        <v>6143</v>
      </c>
      <c r="Z5184">
        <v>1.18</v>
      </c>
      <c r="AA5184">
        <v>126</v>
      </c>
      <c r="AB5184">
        <v>12</v>
      </c>
      <c r="AC5184">
        <v>1.41</v>
      </c>
      <c r="AD5184" t="s">
        <v>23082</v>
      </c>
      <c r="AE5184" t="s">
        <v>23083</v>
      </c>
      <c r="AF5184" t="s">
        <v>20086</v>
      </c>
      <c r="AG5184" t="s">
        <v>3593</v>
      </c>
      <c r="AH5184">
        <v>-16.79</v>
      </c>
      <c r="AI5184">
        <v>-0.57</v>
      </c>
      <c r="AJ5184">
        <v>18.68</v>
      </c>
      <c r="AK5184">
        <v>62.92</v>
      </c>
      <c r="AL5184">
        <v>-4</v>
      </c>
      <c r="AM5184">
        <v>-4.39</v>
      </c>
      <c r="AN5184">
        <v>-24.04</v>
      </c>
      <c r="AO5184">
        <v>32.32</v>
      </c>
      <c r="AP5184">
        <v>-41.44</v>
      </c>
    </row>
    <row r="5185" spans="1:42">
      <c r="A5185">
        <v>5184</v>
      </c>
      <c r="B5185" t="str">
        <f>"301063"</f>
        <v>301063</v>
      </c>
      <c r="C5185" t="s">
        <v>23084</v>
      </c>
      <c r="D5185">
        <v>25.18</v>
      </c>
      <c r="E5185">
        <v>-0.75</v>
      </c>
      <c r="F5185">
        <v>-0.19</v>
      </c>
      <c r="G5185">
        <v>4726</v>
      </c>
      <c r="H5185">
        <v>28</v>
      </c>
      <c r="I5185">
        <v>25.16</v>
      </c>
      <c r="J5185">
        <v>25.18</v>
      </c>
      <c r="K5185" t="s">
        <v>23081</v>
      </c>
      <c r="L5185">
        <v>1.15</v>
      </c>
      <c r="M5185" t="s">
        <v>46</v>
      </c>
      <c r="N5185" t="s">
        <v>12070</v>
      </c>
      <c r="O5185">
        <v>25.55</v>
      </c>
      <c r="P5185">
        <v>24.97</v>
      </c>
      <c r="Q5185">
        <v>25.55</v>
      </c>
      <c r="R5185">
        <v>25.37</v>
      </c>
      <c r="S5185">
        <v>2.29</v>
      </c>
      <c r="T5185">
        <v>0.84</v>
      </c>
      <c r="U5185">
        <v>-60.23</v>
      </c>
      <c r="V5185">
        <v>-103</v>
      </c>
      <c r="W5185">
        <v>25.13</v>
      </c>
      <c r="X5185">
        <v>2015</v>
      </c>
      <c r="Y5185">
        <v>2711</v>
      </c>
      <c r="Z5185">
        <v>0.74</v>
      </c>
      <c r="AA5185">
        <v>1</v>
      </c>
      <c r="AB5185">
        <v>3</v>
      </c>
      <c r="AC5185">
        <v>1.7</v>
      </c>
      <c r="AD5185" t="s">
        <v>23072</v>
      </c>
      <c r="AE5185" t="s">
        <v>18210</v>
      </c>
      <c r="AF5185" t="s">
        <v>17559</v>
      </c>
      <c r="AG5185" t="s">
        <v>9131</v>
      </c>
      <c r="AH5185">
        <v>-2.63</v>
      </c>
      <c r="AI5185">
        <v>-2.06</v>
      </c>
      <c r="AJ5185">
        <v>4</v>
      </c>
      <c r="AK5185">
        <v>8.05</v>
      </c>
      <c r="AL5185">
        <v>-3</v>
      </c>
      <c r="AM5185">
        <v>-0.75</v>
      </c>
      <c r="AN5185">
        <v>-25.66</v>
      </c>
      <c r="AO5185">
        <v>3.03</v>
      </c>
      <c r="AP5185">
        <v>-25.52</v>
      </c>
    </row>
    <row r="5186" spans="1:42">
      <c r="A5186">
        <v>5185</v>
      </c>
      <c r="B5186" t="str">
        <f>"873305"</f>
        <v>873305</v>
      </c>
      <c r="C5186" t="s">
        <v>23085</v>
      </c>
      <c r="D5186">
        <v>14.85</v>
      </c>
      <c r="E5186">
        <v>-6.37</v>
      </c>
      <c r="F5186">
        <v>-1.01</v>
      </c>
      <c r="G5186">
        <v>7625</v>
      </c>
      <c r="H5186">
        <v>53</v>
      </c>
      <c r="I5186">
        <v>14.85</v>
      </c>
      <c r="J5186">
        <v>14.9</v>
      </c>
      <c r="K5186" t="s">
        <v>23086</v>
      </c>
      <c r="L5186">
        <v>6.8</v>
      </c>
      <c r="M5186" t="s">
        <v>46</v>
      </c>
      <c r="N5186" t="s">
        <v>23087</v>
      </c>
      <c r="O5186">
        <v>16.6</v>
      </c>
      <c r="P5186">
        <v>14.6</v>
      </c>
      <c r="Q5186">
        <v>15.6</v>
      </c>
      <c r="R5186">
        <v>15.86</v>
      </c>
      <c r="S5186">
        <v>12.61</v>
      </c>
      <c r="T5186">
        <v>0.34</v>
      </c>
      <c r="U5186">
        <v>26.95</v>
      </c>
      <c r="V5186">
        <v>42</v>
      </c>
      <c r="W5186">
        <v>15.51</v>
      </c>
      <c r="X5186">
        <v>5015</v>
      </c>
      <c r="Y5186">
        <v>2609</v>
      </c>
      <c r="Z5186">
        <v>1.92</v>
      </c>
      <c r="AA5186">
        <v>38</v>
      </c>
      <c r="AB5186">
        <v>25</v>
      </c>
      <c r="AC5186">
        <v>2.18</v>
      </c>
      <c r="AD5186" t="s">
        <v>23088</v>
      </c>
      <c r="AE5186" t="s">
        <v>23089</v>
      </c>
      <c r="AF5186" t="s">
        <v>23090</v>
      </c>
      <c r="AG5186" t="s">
        <v>23091</v>
      </c>
      <c r="AH5186">
        <v>-17.13</v>
      </c>
      <c r="AI5186">
        <v>4.65</v>
      </c>
      <c r="AJ5186">
        <v>35.06</v>
      </c>
      <c r="AK5186">
        <v>105.54</v>
      </c>
      <c r="AL5186">
        <v>-1</v>
      </c>
      <c r="AM5186">
        <v>-6.37</v>
      </c>
      <c r="AN5186">
        <v>52.78</v>
      </c>
      <c r="AO5186">
        <v>47.03</v>
      </c>
      <c r="AP5186">
        <v>26.81</v>
      </c>
    </row>
    <row r="5187" spans="1:42">
      <c r="A5187">
        <v>5186</v>
      </c>
      <c r="B5187" t="str">
        <f>"688203"</f>
        <v>688203</v>
      </c>
      <c r="C5187" t="s">
        <v>23092</v>
      </c>
      <c r="D5187">
        <v>13.43</v>
      </c>
      <c r="E5187">
        <v>0.15</v>
      </c>
      <c r="F5187">
        <v>0.02</v>
      </c>
      <c r="G5187">
        <v>8806</v>
      </c>
      <c r="H5187">
        <v>94</v>
      </c>
      <c r="I5187">
        <v>13.39</v>
      </c>
      <c r="J5187">
        <v>13.43</v>
      </c>
      <c r="K5187" t="s">
        <v>23086</v>
      </c>
      <c r="L5187">
        <v>1.2</v>
      </c>
      <c r="M5187" t="s">
        <v>46</v>
      </c>
      <c r="N5187" t="s">
        <v>2557</v>
      </c>
      <c r="O5187">
        <v>13.56</v>
      </c>
      <c r="P5187">
        <v>13.32</v>
      </c>
      <c r="Q5187">
        <v>13.43</v>
      </c>
      <c r="R5187">
        <v>13.41</v>
      </c>
      <c r="S5187">
        <v>1.79</v>
      </c>
      <c r="T5187">
        <v>0.78</v>
      </c>
      <c r="U5187">
        <v>44.6</v>
      </c>
      <c r="V5187">
        <v>221</v>
      </c>
      <c r="W5187">
        <v>13.42</v>
      </c>
      <c r="X5187">
        <v>4492</v>
      </c>
      <c r="Y5187">
        <v>4315</v>
      </c>
      <c r="Z5187">
        <v>1.04</v>
      </c>
      <c r="AA5187">
        <v>2</v>
      </c>
      <c r="AB5187">
        <v>4</v>
      </c>
      <c r="AC5187">
        <v>1.85</v>
      </c>
      <c r="AD5187" t="s">
        <v>16469</v>
      </c>
      <c r="AE5187" t="s">
        <v>23093</v>
      </c>
      <c r="AF5187" t="s">
        <v>23094</v>
      </c>
      <c r="AG5187" t="s">
        <v>23095</v>
      </c>
      <c r="AH5187">
        <v>-1.4</v>
      </c>
      <c r="AI5187">
        <v>-0.52</v>
      </c>
      <c r="AJ5187">
        <v>4.17</v>
      </c>
      <c r="AK5187">
        <v>8.89</v>
      </c>
      <c r="AL5187">
        <v>1</v>
      </c>
      <c r="AM5187">
        <v>0.15</v>
      </c>
      <c r="AN5187">
        <v>-13.8</v>
      </c>
      <c r="AO5187">
        <v>2.36</v>
      </c>
      <c r="AP5187">
        <v>-31.76</v>
      </c>
    </row>
    <row r="5188" spans="1:42">
      <c r="A5188">
        <v>5187</v>
      </c>
      <c r="B5188" t="str">
        <f>"300301"</f>
        <v>300301</v>
      </c>
      <c r="C5188" t="s">
        <v>23096</v>
      </c>
      <c r="D5188">
        <v>1.81</v>
      </c>
      <c r="E5188">
        <v>0.56</v>
      </c>
      <c r="F5188">
        <v>0.01</v>
      </c>
      <c r="G5188" t="s">
        <v>2132</v>
      </c>
      <c r="H5188">
        <v>2169</v>
      </c>
      <c r="I5188">
        <v>1.81</v>
      </c>
      <c r="J5188">
        <v>1.82</v>
      </c>
      <c r="K5188" t="s">
        <v>23097</v>
      </c>
      <c r="L5188">
        <v>0.82</v>
      </c>
      <c r="M5188" t="s">
        <v>46</v>
      </c>
      <c r="N5188" t="s">
        <v>17480</v>
      </c>
      <c r="O5188">
        <v>1.82</v>
      </c>
      <c r="P5188">
        <v>1.79</v>
      </c>
      <c r="Q5188">
        <v>1.8</v>
      </c>
      <c r="R5188">
        <v>1.8</v>
      </c>
      <c r="S5188">
        <v>1.67</v>
      </c>
      <c r="T5188">
        <v>0.54</v>
      </c>
      <c r="U5188">
        <v>5.91</v>
      </c>
      <c r="V5188">
        <v>3201</v>
      </c>
      <c r="W5188">
        <v>1.8</v>
      </c>
      <c r="X5188" t="s">
        <v>1566</v>
      </c>
      <c r="Y5188" t="s">
        <v>2388</v>
      </c>
      <c r="Z5188">
        <v>1.4</v>
      </c>
      <c r="AA5188">
        <v>5833</v>
      </c>
      <c r="AB5188">
        <v>7621</v>
      </c>
      <c r="AC5188">
        <v>12.7</v>
      </c>
      <c r="AD5188" t="s">
        <v>23098</v>
      </c>
      <c r="AE5188" t="s">
        <v>16878</v>
      </c>
      <c r="AF5188" t="s">
        <v>23098</v>
      </c>
      <c r="AG5188" t="s">
        <v>16878</v>
      </c>
      <c r="AH5188">
        <v>-0.55</v>
      </c>
      <c r="AI5188">
        <v>-4.23</v>
      </c>
      <c r="AJ5188">
        <v>3.19</v>
      </c>
      <c r="AK5188">
        <v>8.42</v>
      </c>
      <c r="AL5188">
        <v>2</v>
      </c>
      <c r="AM5188">
        <v>0.56</v>
      </c>
      <c r="AN5188">
        <v>-2.16</v>
      </c>
      <c r="AO5188">
        <v>-3.72</v>
      </c>
      <c r="AP5188">
        <v>-12.56</v>
      </c>
    </row>
    <row r="5189" spans="1:42">
      <c r="A5189">
        <v>5188</v>
      </c>
      <c r="B5189" t="str">
        <f>"605259"</f>
        <v>605259</v>
      </c>
      <c r="C5189" t="s">
        <v>23099</v>
      </c>
      <c r="D5189">
        <v>23.12</v>
      </c>
      <c r="E5189">
        <v>-0.22</v>
      </c>
      <c r="F5189">
        <v>-0.05</v>
      </c>
      <c r="G5189">
        <v>5113</v>
      </c>
      <c r="H5189">
        <v>33</v>
      </c>
      <c r="I5189">
        <v>23.1</v>
      </c>
      <c r="J5189">
        <v>23.12</v>
      </c>
      <c r="K5189" t="s">
        <v>23097</v>
      </c>
      <c r="L5189">
        <v>0.95</v>
      </c>
      <c r="M5189" t="s">
        <v>46</v>
      </c>
      <c r="N5189" t="s">
        <v>3125</v>
      </c>
      <c r="O5189">
        <v>23.21</v>
      </c>
      <c r="P5189">
        <v>22.82</v>
      </c>
      <c r="Q5189">
        <v>23.05</v>
      </c>
      <c r="R5189">
        <v>23.17</v>
      </c>
      <c r="S5189">
        <v>1.68</v>
      </c>
      <c r="T5189">
        <v>0.85</v>
      </c>
      <c r="U5189">
        <v>-46.81</v>
      </c>
      <c r="V5189">
        <v>-68</v>
      </c>
      <c r="W5189">
        <v>22.98</v>
      </c>
      <c r="X5189">
        <v>2635</v>
      </c>
      <c r="Y5189">
        <v>2478</v>
      </c>
      <c r="Z5189">
        <v>1.06</v>
      </c>
      <c r="AA5189">
        <v>10</v>
      </c>
      <c r="AB5189">
        <v>43</v>
      </c>
      <c r="AC5189">
        <v>1.85</v>
      </c>
      <c r="AD5189" t="s">
        <v>10868</v>
      </c>
      <c r="AE5189" t="s">
        <v>23100</v>
      </c>
      <c r="AF5189" t="s">
        <v>23101</v>
      </c>
      <c r="AG5189" t="s">
        <v>14727</v>
      </c>
      <c r="AH5189">
        <v>-1.62</v>
      </c>
      <c r="AI5189">
        <v>-1.58</v>
      </c>
      <c r="AJ5189">
        <v>2.87</v>
      </c>
      <c r="AK5189">
        <v>6.53</v>
      </c>
      <c r="AL5189">
        <v>-2</v>
      </c>
      <c r="AM5189">
        <v>-0.22</v>
      </c>
      <c r="AN5189">
        <v>-0.43</v>
      </c>
      <c r="AO5189">
        <v>1</v>
      </c>
      <c r="AP5189">
        <v>-5.28</v>
      </c>
    </row>
    <row r="5190" spans="1:42">
      <c r="A5190">
        <v>5189</v>
      </c>
      <c r="B5190" t="str">
        <f>"600241"</f>
        <v>600241</v>
      </c>
      <c r="C5190" t="s">
        <v>23102</v>
      </c>
      <c r="D5190">
        <v>8.2</v>
      </c>
      <c r="E5190">
        <v>0.99</v>
      </c>
      <c r="F5190">
        <v>0.08</v>
      </c>
      <c r="G5190" t="s">
        <v>6867</v>
      </c>
      <c r="H5190">
        <v>132</v>
      </c>
      <c r="I5190">
        <v>8.16</v>
      </c>
      <c r="J5190">
        <v>8.2</v>
      </c>
      <c r="K5190" t="s">
        <v>23097</v>
      </c>
      <c r="L5190">
        <v>0.49</v>
      </c>
      <c r="M5190" t="s">
        <v>46</v>
      </c>
      <c r="N5190" t="s">
        <v>2682</v>
      </c>
      <c r="O5190">
        <v>8.24</v>
      </c>
      <c r="P5190">
        <v>8.11</v>
      </c>
      <c r="Q5190">
        <v>8.2</v>
      </c>
      <c r="R5190">
        <v>8.12</v>
      </c>
      <c r="S5190">
        <v>1.6</v>
      </c>
      <c r="T5190">
        <v>0.62</v>
      </c>
      <c r="U5190">
        <v>22.48</v>
      </c>
      <c r="V5190">
        <v>268</v>
      </c>
      <c r="W5190">
        <v>8.17</v>
      </c>
      <c r="X5190">
        <v>7661</v>
      </c>
      <c r="Y5190">
        <v>6724</v>
      </c>
      <c r="Z5190">
        <v>1.14</v>
      </c>
      <c r="AA5190">
        <v>33</v>
      </c>
      <c r="AB5190">
        <v>71</v>
      </c>
      <c r="AC5190">
        <v>2.16</v>
      </c>
      <c r="AD5190" t="s">
        <v>23103</v>
      </c>
      <c r="AE5190" t="s">
        <v>14516</v>
      </c>
      <c r="AF5190" t="s">
        <v>23103</v>
      </c>
      <c r="AG5190" t="s">
        <v>14516</v>
      </c>
      <c r="AH5190">
        <v>0</v>
      </c>
      <c r="AI5190">
        <v>0.12</v>
      </c>
      <c r="AJ5190">
        <v>2.2</v>
      </c>
      <c r="AK5190">
        <v>4.4</v>
      </c>
      <c r="AL5190">
        <v>1</v>
      </c>
      <c r="AM5190">
        <v>0.99</v>
      </c>
      <c r="AN5190">
        <v>-15.98</v>
      </c>
      <c r="AO5190">
        <v>5.81</v>
      </c>
      <c r="AP5190">
        <v>-10.48</v>
      </c>
    </row>
    <row r="5191" spans="1:42">
      <c r="A5191">
        <v>5190</v>
      </c>
      <c r="B5191" t="str">
        <f>"301009"</f>
        <v>301009</v>
      </c>
      <c r="C5191" t="s">
        <v>23104</v>
      </c>
      <c r="D5191">
        <v>11.92</v>
      </c>
      <c r="E5191">
        <v>0.42</v>
      </c>
      <c r="F5191">
        <v>0.05</v>
      </c>
      <c r="G5191">
        <v>9837</v>
      </c>
      <c r="H5191">
        <v>204</v>
      </c>
      <c r="I5191">
        <v>11.89</v>
      </c>
      <c r="J5191">
        <v>11.92</v>
      </c>
      <c r="K5191" t="s">
        <v>23105</v>
      </c>
      <c r="L5191">
        <v>1.01</v>
      </c>
      <c r="M5191" t="s">
        <v>46</v>
      </c>
      <c r="N5191" t="s">
        <v>1653</v>
      </c>
      <c r="O5191">
        <v>11.99</v>
      </c>
      <c r="P5191">
        <v>11.78</v>
      </c>
      <c r="Q5191">
        <v>11.87</v>
      </c>
      <c r="R5191">
        <v>11.87</v>
      </c>
      <c r="S5191">
        <v>1.77</v>
      </c>
      <c r="T5191">
        <v>0.72</v>
      </c>
      <c r="U5191">
        <v>37.74</v>
      </c>
      <c r="V5191">
        <v>280</v>
      </c>
      <c r="W5191">
        <v>11.91</v>
      </c>
      <c r="X5191">
        <v>4665</v>
      </c>
      <c r="Y5191">
        <v>5172</v>
      </c>
      <c r="Z5191">
        <v>0.9</v>
      </c>
      <c r="AA5191">
        <v>60</v>
      </c>
      <c r="AB5191">
        <v>58</v>
      </c>
      <c r="AC5191">
        <v>2.35</v>
      </c>
      <c r="AD5191" t="s">
        <v>23106</v>
      </c>
      <c r="AE5191" t="s">
        <v>18909</v>
      </c>
      <c r="AF5191" t="s">
        <v>11063</v>
      </c>
      <c r="AG5191" t="s">
        <v>7996</v>
      </c>
      <c r="AH5191">
        <v>-0.83</v>
      </c>
      <c r="AI5191">
        <v>-1.32</v>
      </c>
      <c r="AJ5191">
        <v>3.26</v>
      </c>
      <c r="AK5191">
        <v>8.05</v>
      </c>
      <c r="AL5191">
        <v>1</v>
      </c>
      <c r="AM5191">
        <v>0.42</v>
      </c>
      <c r="AN5191">
        <v>-0.67</v>
      </c>
      <c r="AO5191">
        <v>-0.25</v>
      </c>
      <c r="AP5191">
        <v>5.11</v>
      </c>
    </row>
    <row r="5192" spans="1:42">
      <c r="A5192">
        <v>5191</v>
      </c>
      <c r="B5192" t="str">
        <f>"002678"</f>
        <v>002678</v>
      </c>
      <c r="C5192" t="s">
        <v>23107</v>
      </c>
      <c r="D5192">
        <v>5.64</v>
      </c>
      <c r="E5192">
        <v>0.89</v>
      </c>
      <c r="F5192">
        <v>0.05</v>
      </c>
      <c r="G5192" t="s">
        <v>6580</v>
      </c>
      <c r="H5192">
        <v>250</v>
      </c>
      <c r="I5192">
        <v>5.63</v>
      </c>
      <c r="J5192">
        <v>5.64</v>
      </c>
      <c r="K5192" t="s">
        <v>23108</v>
      </c>
      <c r="L5192">
        <v>0.15</v>
      </c>
      <c r="M5192" t="s">
        <v>46</v>
      </c>
      <c r="N5192" t="s">
        <v>23109</v>
      </c>
      <c r="O5192">
        <v>5.68</v>
      </c>
      <c r="P5192">
        <v>5.57</v>
      </c>
      <c r="Q5192">
        <v>5.57</v>
      </c>
      <c r="R5192">
        <v>5.59</v>
      </c>
      <c r="S5192">
        <v>1.97</v>
      </c>
      <c r="T5192">
        <v>0.91</v>
      </c>
      <c r="U5192">
        <v>-56.34</v>
      </c>
      <c r="V5192">
        <v>-2981</v>
      </c>
      <c r="W5192">
        <v>5.64</v>
      </c>
      <c r="X5192">
        <v>7279</v>
      </c>
      <c r="Y5192" t="s">
        <v>1384</v>
      </c>
      <c r="Z5192">
        <v>0.54</v>
      </c>
      <c r="AA5192">
        <v>171</v>
      </c>
      <c r="AB5192">
        <v>56</v>
      </c>
      <c r="AC5192">
        <v>2.08</v>
      </c>
      <c r="AD5192" t="s">
        <v>7252</v>
      </c>
      <c r="AE5192" t="s">
        <v>12569</v>
      </c>
      <c r="AF5192" t="s">
        <v>9920</v>
      </c>
      <c r="AG5192" t="s">
        <v>23110</v>
      </c>
      <c r="AH5192">
        <v>0.36</v>
      </c>
      <c r="AI5192">
        <v>0.53</v>
      </c>
      <c r="AJ5192">
        <v>0.45</v>
      </c>
      <c r="AK5192">
        <v>0.99</v>
      </c>
      <c r="AL5192">
        <v>2</v>
      </c>
      <c r="AM5192">
        <v>0.89</v>
      </c>
      <c r="AN5192">
        <v>-5.05</v>
      </c>
      <c r="AO5192">
        <v>3.49</v>
      </c>
      <c r="AP5192">
        <v>-1.05</v>
      </c>
    </row>
    <row r="5193" spans="1:42">
      <c r="A5193">
        <v>5192</v>
      </c>
      <c r="B5193" t="str">
        <f>"836263"</f>
        <v>836263</v>
      </c>
      <c r="C5193" t="s">
        <v>23111</v>
      </c>
      <c r="D5193">
        <v>6.07</v>
      </c>
      <c r="E5193">
        <v>-4.41</v>
      </c>
      <c r="F5193">
        <v>-0.28</v>
      </c>
      <c r="G5193" t="s">
        <v>1072</v>
      </c>
      <c r="H5193">
        <v>143</v>
      </c>
      <c r="I5193">
        <v>6.06</v>
      </c>
      <c r="J5193">
        <v>6.07</v>
      </c>
      <c r="K5193" t="s">
        <v>23112</v>
      </c>
      <c r="L5193">
        <v>1.84</v>
      </c>
      <c r="M5193" t="s">
        <v>46</v>
      </c>
      <c r="N5193" t="s">
        <v>4149</v>
      </c>
      <c r="O5193">
        <v>6.48</v>
      </c>
      <c r="P5193">
        <v>6.05</v>
      </c>
      <c r="Q5193">
        <v>6.29</v>
      </c>
      <c r="R5193">
        <v>6.35</v>
      </c>
      <c r="S5193">
        <v>6.77</v>
      </c>
      <c r="T5193">
        <v>0.32</v>
      </c>
      <c r="U5193">
        <v>-30.06</v>
      </c>
      <c r="V5193">
        <v>-296</v>
      </c>
      <c r="W5193">
        <v>6.24</v>
      </c>
      <c r="X5193" t="s">
        <v>8636</v>
      </c>
      <c r="Y5193">
        <v>6743</v>
      </c>
      <c r="Z5193">
        <v>1.78</v>
      </c>
      <c r="AA5193">
        <v>162</v>
      </c>
      <c r="AB5193">
        <v>62</v>
      </c>
      <c r="AC5193">
        <v>1.66</v>
      </c>
      <c r="AD5193" t="s">
        <v>16649</v>
      </c>
      <c r="AE5193" t="s">
        <v>2190</v>
      </c>
      <c r="AF5193" t="s">
        <v>14880</v>
      </c>
      <c r="AG5193" t="s">
        <v>72</v>
      </c>
      <c r="AH5193">
        <v>-15.22</v>
      </c>
      <c r="AI5193">
        <v>5.57</v>
      </c>
      <c r="AJ5193">
        <v>9.3</v>
      </c>
      <c r="AK5193">
        <v>30.2</v>
      </c>
      <c r="AL5193">
        <v>-4</v>
      </c>
      <c r="AM5193">
        <v>-4.41</v>
      </c>
      <c r="AN5193">
        <v>24.9</v>
      </c>
      <c r="AO5193">
        <v>30.54</v>
      </c>
      <c r="AP5193">
        <v>20.68</v>
      </c>
    </row>
    <row r="5194" spans="1:42">
      <c r="A5194">
        <v>5193</v>
      </c>
      <c r="B5194" t="str">
        <f>"600396"</f>
        <v>600396</v>
      </c>
      <c r="C5194" t="s">
        <v>23113</v>
      </c>
      <c r="D5194">
        <v>2.58</v>
      </c>
      <c r="E5194">
        <v>0.78</v>
      </c>
      <c r="F5194">
        <v>0.02</v>
      </c>
      <c r="G5194" t="s">
        <v>3304</v>
      </c>
      <c r="H5194">
        <v>957</v>
      </c>
      <c r="I5194">
        <v>2.57</v>
      </c>
      <c r="J5194">
        <v>2.58</v>
      </c>
      <c r="K5194" t="s">
        <v>23114</v>
      </c>
      <c r="L5194">
        <v>0.31</v>
      </c>
      <c r="M5194" t="s">
        <v>46</v>
      </c>
      <c r="N5194" t="s">
        <v>14137</v>
      </c>
      <c r="O5194">
        <v>2.58</v>
      </c>
      <c r="P5194">
        <v>2.55</v>
      </c>
      <c r="Q5194">
        <v>2.56</v>
      </c>
      <c r="R5194">
        <v>2.56</v>
      </c>
      <c r="S5194">
        <v>1.17</v>
      </c>
      <c r="T5194">
        <v>0.68</v>
      </c>
      <c r="U5194">
        <v>33.15</v>
      </c>
      <c r="V5194">
        <v>6497</v>
      </c>
      <c r="W5194">
        <v>2.56</v>
      </c>
      <c r="X5194" t="s">
        <v>48</v>
      </c>
      <c r="Y5194" t="s">
        <v>8073</v>
      </c>
      <c r="Z5194">
        <v>1.21</v>
      </c>
      <c r="AA5194">
        <v>1314</v>
      </c>
      <c r="AB5194">
        <v>2112</v>
      </c>
      <c r="AC5194">
        <v>9.76</v>
      </c>
      <c r="AD5194" t="s">
        <v>23115</v>
      </c>
      <c r="AE5194" t="s">
        <v>23116</v>
      </c>
      <c r="AF5194" t="s">
        <v>23115</v>
      </c>
      <c r="AG5194" t="s">
        <v>23116</v>
      </c>
      <c r="AH5194">
        <v>-1.53</v>
      </c>
      <c r="AI5194">
        <v>-0.77</v>
      </c>
      <c r="AJ5194">
        <v>1.35</v>
      </c>
      <c r="AK5194">
        <v>2.59</v>
      </c>
      <c r="AL5194">
        <v>1</v>
      </c>
      <c r="AM5194">
        <v>0.78</v>
      </c>
      <c r="AN5194">
        <v>-10.73</v>
      </c>
      <c r="AO5194">
        <v>1.57</v>
      </c>
      <c r="AP5194">
        <v>-5.49</v>
      </c>
    </row>
    <row r="5195" spans="1:42">
      <c r="A5195">
        <v>5194</v>
      </c>
      <c r="B5195" t="str">
        <f>"833781"</f>
        <v>833781</v>
      </c>
      <c r="C5195" t="s">
        <v>23117</v>
      </c>
      <c r="D5195">
        <v>4.8</v>
      </c>
      <c r="E5195">
        <v>-2.44</v>
      </c>
      <c r="F5195">
        <v>-0.12</v>
      </c>
      <c r="G5195" t="s">
        <v>8211</v>
      </c>
      <c r="H5195">
        <v>256</v>
      </c>
      <c r="I5195">
        <v>4.79</v>
      </c>
      <c r="J5195">
        <v>4.8</v>
      </c>
      <c r="K5195" t="s">
        <v>23118</v>
      </c>
      <c r="L5195">
        <v>2.62</v>
      </c>
      <c r="M5195" t="s">
        <v>46</v>
      </c>
      <c r="N5195" t="s">
        <v>5496</v>
      </c>
      <c r="O5195">
        <v>4.99</v>
      </c>
      <c r="P5195">
        <v>4.68</v>
      </c>
      <c r="Q5195">
        <v>4.93</v>
      </c>
      <c r="R5195">
        <v>4.92</v>
      </c>
      <c r="S5195">
        <v>6.3</v>
      </c>
      <c r="T5195">
        <v>0.35</v>
      </c>
      <c r="U5195">
        <v>-58.53</v>
      </c>
      <c r="V5195">
        <v>-745</v>
      </c>
      <c r="W5195">
        <v>4.81</v>
      </c>
      <c r="X5195" t="s">
        <v>383</v>
      </c>
      <c r="Y5195" t="s">
        <v>2147</v>
      </c>
      <c r="Z5195">
        <v>1.24</v>
      </c>
      <c r="AA5195">
        <v>5</v>
      </c>
      <c r="AB5195">
        <v>57</v>
      </c>
      <c r="AC5195">
        <v>1.73</v>
      </c>
      <c r="AD5195" t="s">
        <v>19115</v>
      </c>
      <c r="AE5195" t="s">
        <v>23119</v>
      </c>
      <c r="AF5195" t="s">
        <v>23120</v>
      </c>
      <c r="AG5195" t="s">
        <v>1543</v>
      </c>
      <c r="AH5195">
        <v>-15.19</v>
      </c>
      <c r="AI5195">
        <v>-3.03</v>
      </c>
      <c r="AJ5195">
        <v>11.42</v>
      </c>
      <c r="AK5195">
        <v>40.58</v>
      </c>
      <c r="AL5195">
        <v>-4</v>
      </c>
      <c r="AM5195">
        <v>-2.44</v>
      </c>
      <c r="AN5195">
        <v>-18.92</v>
      </c>
      <c r="AO5195">
        <v>26.32</v>
      </c>
      <c r="AP5195">
        <v>-29.41</v>
      </c>
    </row>
    <row r="5196" spans="1:42">
      <c r="A5196">
        <v>5195</v>
      </c>
      <c r="B5196" t="str">
        <f>"688015"</f>
        <v>688015</v>
      </c>
      <c r="C5196" t="s">
        <v>23121</v>
      </c>
      <c r="D5196">
        <v>19.02</v>
      </c>
      <c r="E5196">
        <v>-0.99</v>
      </c>
      <c r="F5196">
        <v>-0.19</v>
      </c>
      <c r="G5196">
        <v>6060</v>
      </c>
      <c r="H5196">
        <v>224</v>
      </c>
      <c r="I5196">
        <v>18.95</v>
      </c>
      <c r="J5196">
        <v>19.02</v>
      </c>
      <c r="K5196" t="s">
        <v>23122</v>
      </c>
      <c r="L5196">
        <v>0.32</v>
      </c>
      <c r="M5196" t="s">
        <v>46</v>
      </c>
      <c r="N5196" t="s">
        <v>1568</v>
      </c>
      <c r="O5196">
        <v>19.27</v>
      </c>
      <c r="P5196">
        <v>18.93</v>
      </c>
      <c r="Q5196">
        <v>19.2</v>
      </c>
      <c r="R5196">
        <v>19.21</v>
      </c>
      <c r="S5196">
        <v>1.77</v>
      </c>
      <c r="T5196">
        <v>0.91</v>
      </c>
      <c r="U5196">
        <v>48.61</v>
      </c>
      <c r="V5196">
        <v>142</v>
      </c>
      <c r="W5196">
        <v>19.05</v>
      </c>
      <c r="X5196">
        <v>3371</v>
      </c>
      <c r="Y5196">
        <v>2689</v>
      </c>
      <c r="Z5196">
        <v>1.25</v>
      </c>
      <c r="AA5196">
        <v>21</v>
      </c>
      <c r="AB5196">
        <v>6</v>
      </c>
      <c r="AC5196">
        <v>1.47</v>
      </c>
      <c r="AD5196" t="s">
        <v>18908</v>
      </c>
      <c r="AE5196" t="s">
        <v>10947</v>
      </c>
      <c r="AF5196" t="s">
        <v>18908</v>
      </c>
      <c r="AG5196" t="s">
        <v>10947</v>
      </c>
      <c r="AH5196">
        <v>-2.11</v>
      </c>
      <c r="AI5196">
        <v>0.05</v>
      </c>
      <c r="AJ5196">
        <v>0.99</v>
      </c>
      <c r="AK5196">
        <v>2.09</v>
      </c>
      <c r="AL5196">
        <v>-3</v>
      </c>
      <c r="AM5196">
        <v>-0.99</v>
      </c>
      <c r="AN5196">
        <v>-19.51</v>
      </c>
      <c r="AO5196">
        <v>3.43</v>
      </c>
      <c r="AP5196">
        <v>-14.01</v>
      </c>
    </row>
    <row r="5197" spans="1:42">
      <c r="A5197">
        <v>5196</v>
      </c>
      <c r="B5197" t="str">
        <f>"301024"</f>
        <v>301024</v>
      </c>
      <c r="C5197" t="s">
        <v>23123</v>
      </c>
      <c r="D5197">
        <v>29.65</v>
      </c>
      <c r="E5197">
        <v>0.17</v>
      </c>
      <c r="F5197">
        <v>0.05</v>
      </c>
      <c r="G5197">
        <v>3876</v>
      </c>
      <c r="H5197">
        <v>18</v>
      </c>
      <c r="I5197">
        <v>29.63</v>
      </c>
      <c r="J5197">
        <v>29.65</v>
      </c>
      <c r="K5197" t="s">
        <v>23124</v>
      </c>
      <c r="L5197">
        <v>2.19</v>
      </c>
      <c r="M5197" t="s">
        <v>46</v>
      </c>
      <c r="N5197" t="s">
        <v>8967</v>
      </c>
      <c r="O5197">
        <v>29.9</v>
      </c>
      <c r="P5197">
        <v>29.39</v>
      </c>
      <c r="Q5197">
        <v>29.59</v>
      </c>
      <c r="R5197">
        <v>29.6</v>
      </c>
      <c r="S5197">
        <v>1.72</v>
      </c>
      <c r="T5197">
        <v>0.8</v>
      </c>
      <c r="U5197">
        <v>51.06</v>
      </c>
      <c r="V5197">
        <v>48</v>
      </c>
      <c r="W5197">
        <v>29.66</v>
      </c>
      <c r="X5197">
        <v>1660</v>
      </c>
      <c r="Y5197">
        <v>2217</v>
      </c>
      <c r="Z5197">
        <v>0.75</v>
      </c>
      <c r="AA5197">
        <v>1</v>
      </c>
      <c r="AB5197">
        <v>2</v>
      </c>
      <c r="AC5197">
        <v>3.1</v>
      </c>
      <c r="AD5197" t="s">
        <v>14282</v>
      </c>
      <c r="AE5197" t="s">
        <v>5863</v>
      </c>
      <c r="AF5197" t="s">
        <v>22183</v>
      </c>
      <c r="AG5197" t="s">
        <v>23125</v>
      </c>
      <c r="AH5197">
        <v>-2.11</v>
      </c>
      <c r="AI5197">
        <v>-3.23</v>
      </c>
      <c r="AJ5197">
        <v>7.1</v>
      </c>
      <c r="AK5197">
        <v>15.9</v>
      </c>
      <c r="AL5197">
        <v>1</v>
      </c>
      <c r="AM5197">
        <v>0.17</v>
      </c>
      <c r="AN5197">
        <v>36.01</v>
      </c>
      <c r="AO5197">
        <v>0.58</v>
      </c>
      <c r="AP5197">
        <v>13.56</v>
      </c>
    </row>
    <row r="5198" spans="1:42">
      <c r="A5198">
        <v>5197</v>
      </c>
      <c r="B5198" t="str">
        <f>"688485"</f>
        <v>688485</v>
      </c>
      <c r="C5198" t="s">
        <v>23126</v>
      </c>
      <c r="D5198">
        <v>14.48</v>
      </c>
      <c r="E5198">
        <v>-0.41</v>
      </c>
      <c r="F5198">
        <v>-0.06</v>
      </c>
      <c r="G5198">
        <v>7911</v>
      </c>
      <c r="H5198">
        <v>39</v>
      </c>
      <c r="I5198">
        <v>14.48</v>
      </c>
      <c r="J5198">
        <v>14.5</v>
      </c>
      <c r="K5198" t="s">
        <v>23127</v>
      </c>
      <c r="L5198">
        <v>2.37</v>
      </c>
      <c r="M5198" t="s">
        <v>46</v>
      </c>
      <c r="N5198" t="s">
        <v>7362</v>
      </c>
      <c r="O5198">
        <v>14.65</v>
      </c>
      <c r="P5198">
        <v>14.4</v>
      </c>
      <c r="Q5198">
        <v>14.6</v>
      </c>
      <c r="R5198">
        <v>14.54</v>
      </c>
      <c r="S5198">
        <v>1.72</v>
      </c>
      <c r="T5198">
        <v>0.56</v>
      </c>
      <c r="U5198">
        <v>-34.81</v>
      </c>
      <c r="V5198">
        <v>-302</v>
      </c>
      <c r="W5198">
        <v>14.52</v>
      </c>
      <c r="X5198">
        <v>3253</v>
      </c>
      <c r="Y5198">
        <v>4658</v>
      </c>
      <c r="Z5198">
        <v>0.7</v>
      </c>
      <c r="AA5198">
        <v>78</v>
      </c>
      <c r="AB5198">
        <v>30</v>
      </c>
      <c r="AC5198">
        <v>1.65</v>
      </c>
      <c r="AD5198" t="s">
        <v>23128</v>
      </c>
      <c r="AE5198" t="s">
        <v>8745</v>
      </c>
      <c r="AF5198" t="s">
        <v>18997</v>
      </c>
      <c r="AG5198" t="s">
        <v>20634</v>
      </c>
      <c r="AH5198">
        <v>-3.27</v>
      </c>
      <c r="AI5198">
        <v>-4.17</v>
      </c>
      <c r="AJ5198">
        <v>8.07</v>
      </c>
      <c r="AK5198">
        <v>23.6</v>
      </c>
      <c r="AL5198">
        <v>-3</v>
      </c>
      <c r="AM5198">
        <v>-0.41</v>
      </c>
      <c r="AN5198">
        <v>-16.49</v>
      </c>
      <c r="AO5198">
        <v>3.58</v>
      </c>
      <c r="AP5198">
        <v>-16.49</v>
      </c>
    </row>
    <row r="5199" spans="1:42">
      <c r="A5199">
        <v>5198</v>
      </c>
      <c r="B5199" t="str">
        <f>"832419"</f>
        <v>832419</v>
      </c>
      <c r="C5199" t="s">
        <v>23129</v>
      </c>
      <c r="D5199">
        <v>9.21</v>
      </c>
      <c r="E5199">
        <v>-2.64</v>
      </c>
      <c r="F5199">
        <v>-0.25</v>
      </c>
      <c r="G5199" t="s">
        <v>4792</v>
      </c>
      <c r="H5199">
        <v>144</v>
      </c>
      <c r="I5199">
        <v>9.21</v>
      </c>
      <c r="J5199">
        <v>9.23</v>
      </c>
      <c r="K5199" t="s">
        <v>23127</v>
      </c>
      <c r="L5199">
        <v>1.32</v>
      </c>
      <c r="M5199" t="s">
        <v>46</v>
      </c>
      <c r="N5199" t="s">
        <v>2767</v>
      </c>
      <c r="O5199">
        <v>9.64</v>
      </c>
      <c r="P5199">
        <v>9.12</v>
      </c>
      <c r="Q5199">
        <v>9.54</v>
      </c>
      <c r="R5199">
        <v>9.46</v>
      </c>
      <c r="S5199">
        <v>5.5</v>
      </c>
      <c r="T5199">
        <v>0.33</v>
      </c>
      <c r="U5199">
        <v>71.85</v>
      </c>
      <c r="V5199">
        <v>306</v>
      </c>
      <c r="W5199">
        <v>9.35</v>
      </c>
      <c r="X5199">
        <v>8882</v>
      </c>
      <c r="Y5199">
        <v>3393</v>
      </c>
      <c r="Z5199">
        <v>2.62</v>
      </c>
      <c r="AA5199">
        <v>17</v>
      </c>
      <c r="AB5199">
        <v>10</v>
      </c>
      <c r="AC5199">
        <v>2.06</v>
      </c>
      <c r="AD5199" t="s">
        <v>6676</v>
      </c>
      <c r="AE5199" t="s">
        <v>23130</v>
      </c>
      <c r="AF5199" t="s">
        <v>23131</v>
      </c>
      <c r="AG5199" t="s">
        <v>23132</v>
      </c>
      <c r="AH5199">
        <v>-5.83</v>
      </c>
      <c r="AI5199">
        <v>8.23</v>
      </c>
      <c r="AJ5199">
        <v>6.88</v>
      </c>
      <c r="AK5199">
        <v>21.38</v>
      </c>
      <c r="AL5199">
        <v>-1</v>
      </c>
      <c r="AM5199">
        <v>-2.64</v>
      </c>
      <c r="AN5199">
        <v>57.17</v>
      </c>
      <c r="AO5199">
        <v>32.52</v>
      </c>
      <c r="AP5199">
        <v>51.98</v>
      </c>
    </row>
    <row r="5200" spans="1:42">
      <c r="A5200">
        <v>5199</v>
      </c>
      <c r="B5200" t="str">
        <f>"600112"</f>
        <v>600112</v>
      </c>
      <c r="C5200" t="s">
        <v>23133</v>
      </c>
      <c r="D5200">
        <v>2.93</v>
      </c>
      <c r="E5200">
        <v>1.03</v>
      </c>
      <c r="F5200">
        <v>0.03</v>
      </c>
      <c r="G5200" t="s">
        <v>4811</v>
      </c>
      <c r="H5200">
        <v>539</v>
      </c>
      <c r="I5200">
        <v>2.93</v>
      </c>
      <c r="J5200">
        <v>2.94</v>
      </c>
      <c r="K5200" t="s">
        <v>23134</v>
      </c>
      <c r="L5200">
        <v>0.76</v>
      </c>
      <c r="M5200" t="s">
        <v>46</v>
      </c>
      <c r="N5200" t="s">
        <v>10902</v>
      </c>
      <c r="O5200">
        <v>3.03</v>
      </c>
      <c r="P5200">
        <v>2.9</v>
      </c>
      <c r="Q5200">
        <v>2.9</v>
      </c>
      <c r="R5200">
        <v>2.9</v>
      </c>
      <c r="S5200">
        <v>4.48</v>
      </c>
      <c r="T5200">
        <v>1.48</v>
      </c>
      <c r="U5200">
        <v>-46.66</v>
      </c>
      <c r="V5200">
        <v>-4014</v>
      </c>
      <c r="W5200">
        <v>2.96</v>
      </c>
      <c r="X5200" t="s">
        <v>5578</v>
      </c>
      <c r="Y5200" t="s">
        <v>1590</v>
      </c>
      <c r="Z5200">
        <v>0.95</v>
      </c>
      <c r="AA5200">
        <v>1360</v>
      </c>
      <c r="AB5200">
        <v>349</v>
      </c>
      <c r="AC5200">
        <v>441.27</v>
      </c>
      <c r="AD5200" t="s">
        <v>23135</v>
      </c>
      <c r="AE5200" t="s">
        <v>614</v>
      </c>
      <c r="AF5200" t="s">
        <v>23135</v>
      </c>
      <c r="AG5200" t="s">
        <v>614</v>
      </c>
      <c r="AH5200">
        <v>-0.68</v>
      </c>
      <c r="AI5200">
        <v>0.69</v>
      </c>
      <c r="AJ5200">
        <v>1.78</v>
      </c>
      <c r="AK5200">
        <v>3.33</v>
      </c>
      <c r="AL5200">
        <v>1</v>
      </c>
      <c r="AM5200">
        <v>1.03</v>
      </c>
      <c r="AN5200">
        <v>-38.45</v>
      </c>
      <c r="AO5200">
        <v>-2.98</v>
      </c>
      <c r="AP5200">
        <v>-40.81</v>
      </c>
    </row>
    <row r="5201" spans="1:42">
      <c r="A5201">
        <v>5200</v>
      </c>
      <c r="B5201" t="str">
        <f>"301237"</f>
        <v>301237</v>
      </c>
      <c r="C5201" t="s">
        <v>23136</v>
      </c>
      <c r="D5201">
        <v>31.51</v>
      </c>
      <c r="E5201">
        <v>0.06</v>
      </c>
      <c r="F5201">
        <v>0.02</v>
      </c>
      <c r="G5201">
        <v>3622</v>
      </c>
      <c r="H5201">
        <v>39</v>
      </c>
      <c r="I5201">
        <v>31.47</v>
      </c>
      <c r="J5201">
        <v>31.51</v>
      </c>
      <c r="K5201" t="s">
        <v>11796</v>
      </c>
      <c r="L5201">
        <v>0.93</v>
      </c>
      <c r="M5201" t="s">
        <v>46</v>
      </c>
      <c r="N5201" t="s">
        <v>3583</v>
      </c>
      <c r="O5201">
        <v>31.72</v>
      </c>
      <c r="P5201">
        <v>31.22</v>
      </c>
      <c r="Q5201">
        <v>31.52</v>
      </c>
      <c r="R5201">
        <v>31.49</v>
      </c>
      <c r="S5201">
        <v>1.59</v>
      </c>
      <c r="T5201">
        <v>0.82</v>
      </c>
      <c r="U5201">
        <v>-13.14</v>
      </c>
      <c r="V5201">
        <v>-23</v>
      </c>
      <c r="W5201">
        <v>31.48</v>
      </c>
      <c r="X5201">
        <v>1917</v>
      </c>
      <c r="Y5201">
        <v>1705</v>
      </c>
      <c r="Z5201">
        <v>1.12</v>
      </c>
      <c r="AA5201">
        <v>4</v>
      </c>
      <c r="AB5201">
        <v>18</v>
      </c>
      <c r="AC5201">
        <v>1.75</v>
      </c>
      <c r="AD5201" t="s">
        <v>3612</v>
      </c>
      <c r="AE5201" t="s">
        <v>10694</v>
      </c>
      <c r="AF5201" t="s">
        <v>17846</v>
      </c>
      <c r="AG5201" t="s">
        <v>13872</v>
      </c>
      <c r="AH5201">
        <v>-1.53</v>
      </c>
      <c r="AI5201">
        <v>-1.78</v>
      </c>
      <c r="AJ5201">
        <v>3.41</v>
      </c>
      <c r="AK5201">
        <v>6.62</v>
      </c>
      <c r="AL5201">
        <v>1</v>
      </c>
      <c r="AM5201">
        <v>0.06</v>
      </c>
      <c r="AN5201">
        <v>10.45</v>
      </c>
      <c r="AO5201">
        <v>0.93</v>
      </c>
      <c r="AP5201">
        <v>-1.16</v>
      </c>
    </row>
    <row r="5202" spans="1:42">
      <c r="A5202">
        <v>5201</v>
      </c>
      <c r="B5202" t="str">
        <f>"300530"</f>
        <v>300530</v>
      </c>
      <c r="C5202" t="s">
        <v>23137</v>
      </c>
      <c r="D5202">
        <v>17.3</v>
      </c>
      <c r="E5202">
        <v>-1.54</v>
      </c>
      <c r="F5202">
        <v>-0.27</v>
      </c>
      <c r="G5202">
        <v>6594</v>
      </c>
      <c r="H5202">
        <v>161</v>
      </c>
      <c r="I5202">
        <v>17.28</v>
      </c>
      <c r="J5202">
        <v>17.3</v>
      </c>
      <c r="K5202" t="s">
        <v>23138</v>
      </c>
      <c r="L5202">
        <v>0.42</v>
      </c>
      <c r="M5202" t="s">
        <v>46</v>
      </c>
      <c r="N5202" t="s">
        <v>9238</v>
      </c>
      <c r="O5202">
        <v>17.68</v>
      </c>
      <c r="P5202">
        <v>14.44</v>
      </c>
      <c r="Q5202">
        <v>17.68</v>
      </c>
      <c r="R5202">
        <v>17.57</v>
      </c>
      <c r="S5202">
        <v>18.44</v>
      </c>
      <c r="T5202">
        <v>1.16</v>
      </c>
      <c r="U5202">
        <v>-48.69</v>
      </c>
      <c r="V5202">
        <v>-93</v>
      </c>
      <c r="W5202">
        <v>17.25</v>
      </c>
      <c r="X5202">
        <v>3628</v>
      </c>
      <c r="Y5202">
        <v>2966</v>
      </c>
      <c r="Z5202">
        <v>1.22</v>
      </c>
      <c r="AA5202">
        <v>3</v>
      </c>
      <c r="AB5202">
        <v>37</v>
      </c>
      <c r="AC5202">
        <v>10.37</v>
      </c>
      <c r="AD5202" t="s">
        <v>23139</v>
      </c>
      <c r="AE5202" t="s">
        <v>17906</v>
      </c>
      <c r="AF5202" t="s">
        <v>938</v>
      </c>
      <c r="AG5202" t="s">
        <v>18455</v>
      </c>
      <c r="AH5202">
        <v>-2.92</v>
      </c>
      <c r="AI5202">
        <v>-2.37</v>
      </c>
      <c r="AJ5202">
        <v>1.14</v>
      </c>
      <c r="AK5202">
        <v>2.22</v>
      </c>
      <c r="AL5202">
        <v>-3</v>
      </c>
      <c r="AM5202">
        <v>-1.54</v>
      </c>
      <c r="AN5202">
        <v>-28.07</v>
      </c>
      <c r="AO5202">
        <v>-3.41</v>
      </c>
      <c r="AP5202">
        <v>-34.12</v>
      </c>
    </row>
    <row r="5203" spans="1:42">
      <c r="A5203">
        <v>5202</v>
      </c>
      <c r="B5203" t="str">
        <f>"688701"</f>
        <v>688701</v>
      </c>
      <c r="C5203" t="s">
        <v>23140</v>
      </c>
      <c r="D5203">
        <v>9.32</v>
      </c>
      <c r="E5203">
        <v>-0.11</v>
      </c>
      <c r="F5203">
        <v>-0.01</v>
      </c>
      <c r="G5203" t="s">
        <v>1254</v>
      </c>
      <c r="H5203">
        <v>89</v>
      </c>
      <c r="I5203">
        <v>9.3</v>
      </c>
      <c r="J5203">
        <v>9.32</v>
      </c>
      <c r="K5203" t="s">
        <v>23138</v>
      </c>
      <c r="L5203">
        <v>1.81</v>
      </c>
      <c r="M5203" t="s">
        <v>46</v>
      </c>
      <c r="N5203" t="s">
        <v>2001</v>
      </c>
      <c r="O5203">
        <v>9.45</v>
      </c>
      <c r="P5203">
        <v>9.26</v>
      </c>
      <c r="Q5203">
        <v>9.34</v>
      </c>
      <c r="R5203">
        <v>9.33</v>
      </c>
      <c r="S5203">
        <v>2.04</v>
      </c>
      <c r="T5203">
        <v>0.72</v>
      </c>
      <c r="U5203">
        <v>26.01</v>
      </c>
      <c r="V5203">
        <v>124</v>
      </c>
      <c r="W5203">
        <v>9.36</v>
      </c>
      <c r="X5203">
        <v>6169</v>
      </c>
      <c r="Y5203">
        <v>5984</v>
      </c>
      <c r="Z5203">
        <v>1.03</v>
      </c>
      <c r="AA5203">
        <v>19</v>
      </c>
      <c r="AB5203">
        <v>99</v>
      </c>
      <c r="AC5203">
        <v>3.64</v>
      </c>
      <c r="AD5203" t="s">
        <v>23141</v>
      </c>
      <c r="AE5203" t="s">
        <v>6688</v>
      </c>
      <c r="AF5203" t="s">
        <v>23142</v>
      </c>
      <c r="AG5203" t="s">
        <v>23143</v>
      </c>
      <c r="AH5203">
        <v>-2.92</v>
      </c>
      <c r="AI5203">
        <v>-2.51</v>
      </c>
      <c r="AJ5203">
        <v>7.67</v>
      </c>
      <c r="AK5203">
        <v>14.36</v>
      </c>
      <c r="AL5203">
        <v>-3</v>
      </c>
      <c r="AM5203">
        <v>-0.11</v>
      </c>
      <c r="AN5203">
        <v>13.52</v>
      </c>
      <c r="AO5203">
        <v>0.54</v>
      </c>
      <c r="AP5203">
        <v>-6.8</v>
      </c>
    </row>
    <row r="5204" spans="1:42">
      <c r="A5204">
        <v>5203</v>
      </c>
      <c r="B5204" t="str">
        <f>"688625"</f>
        <v>688625</v>
      </c>
      <c r="C5204" t="s">
        <v>23144</v>
      </c>
      <c r="D5204">
        <v>39.78</v>
      </c>
      <c r="E5204">
        <v>-0.2</v>
      </c>
      <c r="F5204">
        <v>-0.08</v>
      </c>
      <c r="G5204">
        <v>2846</v>
      </c>
      <c r="H5204">
        <v>9</v>
      </c>
      <c r="I5204">
        <v>39.73</v>
      </c>
      <c r="J5204">
        <v>39.78</v>
      </c>
      <c r="K5204" t="s">
        <v>23145</v>
      </c>
      <c r="L5204">
        <v>0.35</v>
      </c>
      <c r="M5204" t="s">
        <v>46</v>
      </c>
      <c r="N5204" t="s">
        <v>2403</v>
      </c>
      <c r="O5204">
        <v>40.38</v>
      </c>
      <c r="P5204">
        <v>39.42</v>
      </c>
      <c r="Q5204">
        <v>40.38</v>
      </c>
      <c r="R5204">
        <v>39.86</v>
      </c>
      <c r="S5204">
        <v>2.41</v>
      </c>
      <c r="T5204">
        <v>0.77</v>
      </c>
      <c r="U5204">
        <v>7.22</v>
      </c>
      <c r="V5204">
        <v>14</v>
      </c>
      <c r="W5204">
        <v>39.81</v>
      </c>
      <c r="X5204">
        <v>1434</v>
      </c>
      <c r="Y5204">
        <v>1413</v>
      </c>
      <c r="Z5204">
        <v>1.02</v>
      </c>
      <c r="AA5204">
        <v>12</v>
      </c>
      <c r="AB5204">
        <v>22</v>
      </c>
      <c r="AC5204">
        <v>4.33</v>
      </c>
      <c r="AD5204" t="s">
        <v>3514</v>
      </c>
      <c r="AE5204" t="s">
        <v>19764</v>
      </c>
      <c r="AF5204" t="s">
        <v>23146</v>
      </c>
      <c r="AG5204" t="s">
        <v>4082</v>
      </c>
      <c r="AH5204">
        <v>-1.07</v>
      </c>
      <c r="AI5204">
        <v>-1.53</v>
      </c>
      <c r="AJ5204">
        <v>0.83</v>
      </c>
      <c r="AK5204">
        <v>2.6</v>
      </c>
      <c r="AL5204">
        <v>-3</v>
      </c>
      <c r="AM5204">
        <v>-0.2</v>
      </c>
      <c r="AN5204">
        <v>-17.67</v>
      </c>
      <c r="AO5204">
        <v>-2.62</v>
      </c>
      <c r="AP5204">
        <v>-18.77</v>
      </c>
    </row>
    <row r="5205" spans="1:42">
      <c r="A5205">
        <v>5204</v>
      </c>
      <c r="B5205" t="str">
        <f>"605303"</f>
        <v>605303</v>
      </c>
      <c r="C5205" t="s">
        <v>23147</v>
      </c>
      <c r="D5205">
        <v>12.16</v>
      </c>
      <c r="E5205">
        <v>1</v>
      </c>
      <c r="F5205">
        <v>0.12</v>
      </c>
      <c r="G5205">
        <v>9302</v>
      </c>
      <c r="H5205">
        <v>118</v>
      </c>
      <c r="I5205">
        <v>12.16</v>
      </c>
      <c r="J5205">
        <v>12.18</v>
      </c>
      <c r="K5205" t="s">
        <v>23148</v>
      </c>
      <c r="L5205">
        <v>1.37</v>
      </c>
      <c r="M5205" t="s">
        <v>46</v>
      </c>
      <c r="N5205" t="s">
        <v>3156</v>
      </c>
      <c r="O5205">
        <v>12.22</v>
      </c>
      <c r="P5205">
        <v>12.06</v>
      </c>
      <c r="Q5205">
        <v>12.1</v>
      </c>
      <c r="R5205">
        <v>12.04</v>
      </c>
      <c r="S5205">
        <v>1.33</v>
      </c>
      <c r="T5205">
        <v>1.02</v>
      </c>
      <c r="U5205">
        <v>-74.13</v>
      </c>
      <c r="V5205">
        <v>-963</v>
      </c>
      <c r="W5205">
        <v>12.16</v>
      </c>
      <c r="X5205">
        <v>4556</v>
      </c>
      <c r="Y5205">
        <v>4746</v>
      </c>
      <c r="Z5205">
        <v>0.96</v>
      </c>
      <c r="AA5205">
        <v>6</v>
      </c>
      <c r="AB5205">
        <v>146</v>
      </c>
      <c r="AC5205">
        <v>1.53</v>
      </c>
      <c r="AD5205" t="s">
        <v>19319</v>
      </c>
      <c r="AE5205" t="s">
        <v>546</v>
      </c>
      <c r="AF5205" t="s">
        <v>13764</v>
      </c>
      <c r="AG5205" t="s">
        <v>12180</v>
      </c>
      <c r="AH5205">
        <v>0.33</v>
      </c>
      <c r="AI5205">
        <v>-0.73</v>
      </c>
      <c r="AJ5205">
        <v>4.36</v>
      </c>
      <c r="AK5205">
        <v>8.06</v>
      </c>
      <c r="AL5205">
        <v>1</v>
      </c>
      <c r="AM5205">
        <v>1</v>
      </c>
      <c r="AN5205">
        <v>12.18</v>
      </c>
      <c r="AO5205">
        <v>4.47</v>
      </c>
      <c r="AP5205">
        <v>2.62</v>
      </c>
    </row>
    <row r="5206" spans="1:42">
      <c r="A5206">
        <v>5205</v>
      </c>
      <c r="B5206" t="str">
        <f>"603822"</f>
        <v>603822</v>
      </c>
      <c r="C5206" t="s">
        <v>23149</v>
      </c>
      <c r="D5206">
        <v>30.38</v>
      </c>
      <c r="E5206">
        <v>0</v>
      </c>
      <c r="F5206">
        <v>0</v>
      </c>
      <c r="G5206">
        <v>3714</v>
      </c>
      <c r="H5206">
        <v>63</v>
      </c>
      <c r="I5206">
        <v>30.31</v>
      </c>
      <c r="J5206">
        <v>30.38</v>
      </c>
      <c r="K5206" t="s">
        <v>23150</v>
      </c>
      <c r="L5206">
        <v>0.48</v>
      </c>
      <c r="M5206" t="s">
        <v>46</v>
      </c>
      <c r="N5206" t="s">
        <v>4975</v>
      </c>
      <c r="O5206">
        <v>30.7</v>
      </c>
      <c r="P5206">
        <v>30.17</v>
      </c>
      <c r="Q5206">
        <v>30.62</v>
      </c>
      <c r="R5206">
        <v>30.38</v>
      </c>
      <c r="S5206">
        <v>1.74</v>
      </c>
      <c r="T5206">
        <v>0.58</v>
      </c>
      <c r="U5206">
        <v>19.72</v>
      </c>
      <c r="V5206">
        <v>28</v>
      </c>
      <c r="W5206">
        <v>30.36</v>
      </c>
      <c r="X5206">
        <v>2151</v>
      </c>
      <c r="Y5206">
        <v>1563</v>
      </c>
      <c r="Z5206">
        <v>1.38</v>
      </c>
      <c r="AA5206">
        <v>2</v>
      </c>
      <c r="AB5206">
        <v>16</v>
      </c>
      <c r="AC5206">
        <v>2.17</v>
      </c>
      <c r="AD5206" t="s">
        <v>23151</v>
      </c>
      <c r="AE5206" t="s">
        <v>8089</v>
      </c>
      <c r="AF5206" t="s">
        <v>12812</v>
      </c>
      <c r="AG5206" t="s">
        <v>18709</v>
      </c>
      <c r="AH5206">
        <v>-2.66</v>
      </c>
      <c r="AI5206">
        <v>-3.25</v>
      </c>
      <c r="AJ5206">
        <v>2.33</v>
      </c>
      <c r="AK5206">
        <v>4.63</v>
      </c>
      <c r="AL5206">
        <v>0</v>
      </c>
      <c r="AM5206">
        <v>0</v>
      </c>
      <c r="AN5206">
        <v>-11.22</v>
      </c>
      <c r="AO5206">
        <v>-2.09</v>
      </c>
      <c r="AP5206">
        <v>-24.56</v>
      </c>
    </row>
    <row r="5207" spans="1:42">
      <c r="A5207">
        <v>5206</v>
      </c>
      <c r="B5207" t="str">
        <f>"603261"</f>
        <v>603261</v>
      </c>
      <c r="C5207" t="s">
        <v>23152</v>
      </c>
      <c r="D5207">
        <v>34.15</v>
      </c>
      <c r="E5207">
        <v>-0.03</v>
      </c>
      <c r="F5207">
        <v>-0.01</v>
      </c>
      <c r="G5207">
        <v>3311</v>
      </c>
      <c r="H5207">
        <v>40</v>
      </c>
      <c r="I5207">
        <v>34.08</v>
      </c>
      <c r="J5207">
        <v>34.15</v>
      </c>
      <c r="K5207" t="s">
        <v>20551</v>
      </c>
      <c r="L5207">
        <v>1.26</v>
      </c>
      <c r="M5207" t="s">
        <v>46</v>
      </c>
      <c r="N5207" t="s">
        <v>8976</v>
      </c>
      <c r="O5207">
        <v>34.21</v>
      </c>
      <c r="P5207">
        <v>33.72</v>
      </c>
      <c r="Q5207">
        <v>34.12</v>
      </c>
      <c r="R5207">
        <v>34.16</v>
      </c>
      <c r="S5207">
        <v>1.43</v>
      </c>
      <c r="T5207">
        <v>0.71</v>
      </c>
      <c r="U5207">
        <v>20.33</v>
      </c>
      <c r="V5207">
        <v>49</v>
      </c>
      <c r="W5207">
        <v>33.96</v>
      </c>
      <c r="X5207">
        <v>1529</v>
      </c>
      <c r="Y5207">
        <v>1782</v>
      </c>
      <c r="Z5207">
        <v>0.86</v>
      </c>
      <c r="AA5207">
        <v>46</v>
      </c>
      <c r="AB5207">
        <v>13</v>
      </c>
      <c r="AC5207">
        <v>3.05</v>
      </c>
      <c r="AD5207" t="s">
        <v>12685</v>
      </c>
      <c r="AE5207" t="s">
        <v>4857</v>
      </c>
      <c r="AF5207" t="s">
        <v>23153</v>
      </c>
      <c r="AG5207" t="s">
        <v>6029</v>
      </c>
      <c r="AH5207">
        <v>-0.44</v>
      </c>
      <c r="AI5207">
        <v>-0.44</v>
      </c>
      <c r="AJ5207">
        <v>4.81</v>
      </c>
      <c r="AK5207">
        <v>10.15</v>
      </c>
      <c r="AL5207">
        <v>-3</v>
      </c>
      <c r="AM5207">
        <v>-0.03</v>
      </c>
      <c r="AN5207">
        <v>-0.55</v>
      </c>
      <c r="AO5207">
        <v>0.59</v>
      </c>
      <c r="AP5207">
        <v>-10.79</v>
      </c>
    </row>
    <row r="5208" spans="1:42">
      <c r="A5208">
        <v>5207</v>
      </c>
      <c r="B5208" t="str">
        <f>"688283"</f>
        <v>688283</v>
      </c>
      <c r="C5208" t="s">
        <v>23154</v>
      </c>
      <c r="D5208">
        <v>61.5</v>
      </c>
      <c r="E5208">
        <v>-0.61</v>
      </c>
      <c r="F5208">
        <v>-0.38</v>
      </c>
      <c r="G5208">
        <v>1821</v>
      </c>
      <c r="H5208">
        <v>91</v>
      </c>
      <c r="I5208">
        <v>61.5</v>
      </c>
      <c r="J5208">
        <v>61.53</v>
      </c>
      <c r="K5208" t="s">
        <v>23090</v>
      </c>
      <c r="L5208">
        <v>0.31</v>
      </c>
      <c r="M5208" t="s">
        <v>46</v>
      </c>
      <c r="N5208" t="s">
        <v>7998</v>
      </c>
      <c r="O5208">
        <v>62.77</v>
      </c>
      <c r="P5208">
        <v>60.66</v>
      </c>
      <c r="Q5208">
        <v>62</v>
      </c>
      <c r="R5208">
        <v>61.88</v>
      </c>
      <c r="S5208">
        <v>3.41</v>
      </c>
      <c r="T5208">
        <v>0.78</v>
      </c>
      <c r="U5208">
        <v>40.92</v>
      </c>
      <c r="V5208">
        <v>36</v>
      </c>
      <c r="W5208">
        <v>61.63</v>
      </c>
      <c r="X5208">
        <v>825</v>
      </c>
      <c r="Y5208">
        <v>996</v>
      </c>
      <c r="Z5208">
        <v>0.83</v>
      </c>
      <c r="AA5208">
        <v>47</v>
      </c>
      <c r="AB5208">
        <v>2</v>
      </c>
      <c r="AC5208">
        <v>5.54</v>
      </c>
      <c r="AD5208" t="s">
        <v>9437</v>
      </c>
      <c r="AE5208" t="s">
        <v>23155</v>
      </c>
      <c r="AF5208" t="s">
        <v>23156</v>
      </c>
      <c r="AG5208" t="s">
        <v>17168</v>
      </c>
      <c r="AH5208">
        <v>0.1</v>
      </c>
      <c r="AI5208">
        <v>0.23</v>
      </c>
      <c r="AJ5208">
        <v>0.97</v>
      </c>
      <c r="AK5208">
        <v>2.34</v>
      </c>
      <c r="AL5208">
        <v>-1</v>
      </c>
      <c r="AM5208">
        <v>-0.61</v>
      </c>
      <c r="AN5208">
        <v>6.2</v>
      </c>
      <c r="AO5208">
        <v>3.81</v>
      </c>
      <c r="AP5208">
        <v>-10.11</v>
      </c>
    </row>
    <row r="5209" spans="1:42">
      <c r="A5209">
        <v>5208</v>
      </c>
      <c r="B5209" t="str">
        <f>"002087"</f>
        <v>002087</v>
      </c>
      <c r="C5209" t="s">
        <v>23157</v>
      </c>
      <c r="D5209">
        <v>2.18</v>
      </c>
      <c r="E5209">
        <v>1.87</v>
      </c>
      <c r="F5209">
        <v>0.04</v>
      </c>
      <c r="G5209" t="s">
        <v>6392</v>
      </c>
      <c r="H5209">
        <v>2458</v>
      </c>
      <c r="I5209">
        <v>2.17</v>
      </c>
      <c r="J5209">
        <v>2.18</v>
      </c>
      <c r="K5209" t="s">
        <v>23158</v>
      </c>
      <c r="L5209">
        <v>0.64</v>
      </c>
      <c r="M5209" t="s">
        <v>46</v>
      </c>
      <c r="N5209" t="s">
        <v>3039</v>
      </c>
      <c r="O5209">
        <v>2.18</v>
      </c>
      <c r="P5209">
        <v>2.13</v>
      </c>
      <c r="Q5209">
        <v>2.14</v>
      </c>
      <c r="R5209">
        <v>2.14</v>
      </c>
      <c r="S5209">
        <v>2.34</v>
      </c>
      <c r="T5209">
        <v>0.89</v>
      </c>
      <c r="U5209">
        <v>15.64</v>
      </c>
      <c r="V5209">
        <v>1896</v>
      </c>
      <c r="W5209">
        <v>2.15</v>
      </c>
      <c r="X5209" t="s">
        <v>6419</v>
      </c>
      <c r="Y5209" t="s">
        <v>8966</v>
      </c>
      <c r="Z5209">
        <v>0.84</v>
      </c>
      <c r="AA5209">
        <v>1063</v>
      </c>
      <c r="AB5209">
        <v>1382</v>
      </c>
      <c r="AC5209">
        <v>3.08</v>
      </c>
      <c r="AD5209" t="s">
        <v>17742</v>
      </c>
      <c r="AE5209" t="s">
        <v>8947</v>
      </c>
      <c r="AF5209" t="s">
        <v>23159</v>
      </c>
      <c r="AG5209" t="s">
        <v>11786</v>
      </c>
      <c r="AH5209">
        <v>-3.11</v>
      </c>
      <c r="AI5209">
        <v>-2.24</v>
      </c>
      <c r="AJ5209">
        <v>2.28</v>
      </c>
      <c r="AK5209">
        <v>4.21</v>
      </c>
      <c r="AL5209">
        <v>1</v>
      </c>
      <c r="AM5209">
        <v>1.87</v>
      </c>
      <c r="AN5209">
        <v>-30.79</v>
      </c>
      <c r="AO5209">
        <v>0.93</v>
      </c>
      <c r="AP5209">
        <v>-32.09</v>
      </c>
    </row>
    <row r="5210" spans="1:42">
      <c r="A5210">
        <v>5209</v>
      </c>
      <c r="B5210" t="str">
        <f>"300599"</f>
        <v>300599</v>
      </c>
      <c r="C5210" t="s">
        <v>23160</v>
      </c>
      <c r="D5210">
        <v>8.15</v>
      </c>
      <c r="E5210">
        <v>0.37</v>
      </c>
      <c r="F5210">
        <v>0.03</v>
      </c>
      <c r="G5210" t="s">
        <v>4525</v>
      </c>
      <c r="H5210">
        <v>414</v>
      </c>
      <c r="I5210">
        <v>8.12</v>
      </c>
      <c r="J5210">
        <v>8.16</v>
      </c>
      <c r="K5210" t="s">
        <v>23161</v>
      </c>
      <c r="L5210">
        <v>0.65</v>
      </c>
      <c r="M5210" t="s">
        <v>46</v>
      </c>
      <c r="N5210" t="s">
        <v>1189</v>
      </c>
      <c r="O5210">
        <v>8.18</v>
      </c>
      <c r="P5210">
        <v>8.06</v>
      </c>
      <c r="Q5210">
        <v>8.1</v>
      </c>
      <c r="R5210">
        <v>8.12</v>
      </c>
      <c r="S5210">
        <v>1.48</v>
      </c>
      <c r="T5210">
        <v>0.68</v>
      </c>
      <c r="U5210">
        <v>7.12</v>
      </c>
      <c r="V5210">
        <v>82</v>
      </c>
      <c r="W5210">
        <v>8.13</v>
      </c>
      <c r="X5210">
        <v>6449</v>
      </c>
      <c r="Y5210">
        <v>7322</v>
      </c>
      <c r="Z5210">
        <v>0.88</v>
      </c>
      <c r="AA5210">
        <v>74</v>
      </c>
      <c r="AB5210">
        <v>78</v>
      </c>
      <c r="AC5210">
        <v>1.29</v>
      </c>
      <c r="AD5210" t="s">
        <v>23162</v>
      </c>
      <c r="AE5210" t="s">
        <v>22536</v>
      </c>
      <c r="AF5210" t="s">
        <v>4932</v>
      </c>
      <c r="AG5210" t="s">
        <v>7303</v>
      </c>
      <c r="AH5210">
        <v>-0.85</v>
      </c>
      <c r="AI5210">
        <v>-0.85</v>
      </c>
      <c r="AJ5210">
        <v>2.63</v>
      </c>
      <c r="AK5210">
        <v>5.43</v>
      </c>
      <c r="AL5210">
        <v>1</v>
      </c>
      <c r="AM5210">
        <v>0.37</v>
      </c>
      <c r="AN5210">
        <v>11.34</v>
      </c>
      <c r="AO5210">
        <v>2</v>
      </c>
      <c r="AP5210">
        <v>5.71</v>
      </c>
    </row>
    <row r="5211" spans="1:42">
      <c r="A5211">
        <v>5210</v>
      </c>
      <c r="B5211" t="str">
        <f>"834261"</f>
        <v>834261</v>
      </c>
      <c r="C5211" t="s">
        <v>23163</v>
      </c>
      <c r="D5211">
        <v>7.63</v>
      </c>
      <c r="E5211">
        <v>-5.1</v>
      </c>
      <c r="F5211">
        <v>-0.41</v>
      </c>
      <c r="G5211" t="s">
        <v>6867</v>
      </c>
      <c r="H5211">
        <v>392</v>
      </c>
      <c r="I5211">
        <v>7.63</v>
      </c>
      <c r="J5211">
        <v>7.68</v>
      </c>
      <c r="K5211" t="s">
        <v>23164</v>
      </c>
      <c r="L5211">
        <v>1.16</v>
      </c>
      <c r="M5211" t="s">
        <v>46</v>
      </c>
      <c r="N5211" t="s">
        <v>15095</v>
      </c>
      <c r="O5211">
        <v>8.15</v>
      </c>
      <c r="P5211">
        <v>7.53</v>
      </c>
      <c r="Q5211">
        <v>8.15</v>
      </c>
      <c r="R5211">
        <v>8.04</v>
      </c>
      <c r="S5211">
        <v>7.71</v>
      </c>
      <c r="T5211">
        <v>0.32</v>
      </c>
      <c r="U5211">
        <v>81.21</v>
      </c>
      <c r="V5211">
        <v>1281</v>
      </c>
      <c r="W5211">
        <v>7.77</v>
      </c>
      <c r="X5211">
        <v>8563</v>
      </c>
      <c r="Y5211">
        <v>5830</v>
      </c>
      <c r="Z5211">
        <v>1.47</v>
      </c>
      <c r="AA5211">
        <v>946</v>
      </c>
      <c r="AB5211">
        <v>50</v>
      </c>
      <c r="AC5211">
        <v>1.58</v>
      </c>
      <c r="AD5211" t="s">
        <v>12618</v>
      </c>
      <c r="AE5211" t="s">
        <v>19039</v>
      </c>
      <c r="AF5211" t="s">
        <v>2294</v>
      </c>
      <c r="AG5211" t="s">
        <v>10438</v>
      </c>
      <c r="AH5211">
        <v>-15.5</v>
      </c>
      <c r="AI5211">
        <v>0</v>
      </c>
      <c r="AJ5211">
        <v>5.87</v>
      </c>
      <c r="AK5211">
        <v>19.38</v>
      </c>
      <c r="AL5211">
        <v>-1</v>
      </c>
      <c r="AM5211">
        <v>-5.1</v>
      </c>
      <c r="AN5211">
        <v>-57.68</v>
      </c>
      <c r="AO5211">
        <v>17.75</v>
      </c>
      <c r="AP5211">
        <v>-57.68</v>
      </c>
    </row>
    <row r="5212" spans="1:42">
      <c r="A5212">
        <v>5211</v>
      </c>
      <c r="B5212" t="str">
        <f>"301108"</f>
        <v>301108</v>
      </c>
      <c r="C5212" t="s">
        <v>23165</v>
      </c>
      <c r="D5212">
        <v>36.15</v>
      </c>
      <c r="E5212">
        <v>-0.19</v>
      </c>
      <c r="F5212">
        <v>-0.07</v>
      </c>
      <c r="G5212">
        <v>3088</v>
      </c>
      <c r="H5212">
        <v>19</v>
      </c>
      <c r="I5212">
        <v>36.15</v>
      </c>
      <c r="J5212">
        <v>36.16</v>
      </c>
      <c r="K5212" t="s">
        <v>23164</v>
      </c>
      <c r="L5212">
        <v>0.88</v>
      </c>
      <c r="M5212" t="s">
        <v>46</v>
      </c>
      <c r="N5212" t="s">
        <v>5305</v>
      </c>
      <c r="O5212">
        <v>36.46</v>
      </c>
      <c r="P5212">
        <v>35.82</v>
      </c>
      <c r="Q5212">
        <v>36.09</v>
      </c>
      <c r="R5212">
        <v>36.22</v>
      </c>
      <c r="S5212">
        <v>1.77</v>
      </c>
      <c r="T5212">
        <v>0.82</v>
      </c>
      <c r="U5212">
        <v>23.81</v>
      </c>
      <c r="V5212">
        <v>25</v>
      </c>
      <c r="W5212">
        <v>36.2</v>
      </c>
      <c r="X5212">
        <v>1857</v>
      </c>
      <c r="Y5212">
        <v>1231</v>
      </c>
      <c r="Z5212">
        <v>1.51</v>
      </c>
      <c r="AA5212">
        <v>35</v>
      </c>
      <c r="AB5212">
        <v>4</v>
      </c>
      <c r="AC5212">
        <v>1.59</v>
      </c>
      <c r="AD5212" t="s">
        <v>12461</v>
      </c>
      <c r="AE5212" t="s">
        <v>19589</v>
      </c>
      <c r="AF5212" t="s">
        <v>23166</v>
      </c>
      <c r="AG5212" t="s">
        <v>21187</v>
      </c>
      <c r="AH5212">
        <v>-1.44</v>
      </c>
      <c r="AI5212">
        <v>-0.8</v>
      </c>
      <c r="AJ5212">
        <v>2.57</v>
      </c>
      <c r="AK5212">
        <v>6.25</v>
      </c>
      <c r="AL5212">
        <v>-3</v>
      </c>
      <c r="AM5212">
        <v>-0.19</v>
      </c>
      <c r="AN5212">
        <v>8.69</v>
      </c>
      <c r="AO5212">
        <v>3.55</v>
      </c>
      <c r="AP5212">
        <v>2.15</v>
      </c>
    </row>
    <row r="5213" spans="1:42">
      <c r="A5213">
        <v>5212</v>
      </c>
      <c r="B5213" t="str">
        <f>"831152"</f>
        <v>831152</v>
      </c>
      <c r="C5213" t="s">
        <v>23167</v>
      </c>
      <c r="D5213">
        <v>17.7</v>
      </c>
      <c r="E5213">
        <v>0.74</v>
      </c>
      <c r="F5213">
        <v>0.13</v>
      </c>
      <c r="G5213">
        <v>6298</v>
      </c>
      <c r="H5213">
        <v>199</v>
      </c>
      <c r="I5213">
        <v>17.7</v>
      </c>
      <c r="J5213">
        <v>17.71</v>
      </c>
      <c r="K5213" t="s">
        <v>23168</v>
      </c>
      <c r="L5213">
        <v>0.75</v>
      </c>
      <c r="M5213" t="s">
        <v>46</v>
      </c>
      <c r="N5213" t="s">
        <v>3624</v>
      </c>
      <c r="O5213">
        <v>18.13</v>
      </c>
      <c r="P5213">
        <v>17.52</v>
      </c>
      <c r="Q5213">
        <v>17.79</v>
      </c>
      <c r="R5213">
        <v>17.57</v>
      </c>
      <c r="S5213">
        <v>3.47</v>
      </c>
      <c r="T5213">
        <v>0.33</v>
      </c>
      <c r="U5213">
        <v>-24.37</v>
      </c>
      <c r="V5213">
        <v>-65</v>
      </c>
      <c r="W5213">
        <v>17.74</v>
      </c>
      <c r="X5213">
        <v>3916</v>
      </c>
      <c r="Y5213">
        <v>2382</v>
      </c>
      <c r="Z5213">
        <v>1.64</v>
      </c>
      <c r="AA5213">
        <v>42</v>
      </c>
      <c r="AB5213">
        <v>30</v>
      </c>
      <c r="AC5213">
        <v>4.22</v>
      </c>
      <c r="AD5213" t="s">
        <v>23169</v>
      </c>
      <c r="AE5213" t="s">
        <v>12814</v>
      </c>
      <c r="AF5213" t="s">
        <v>23170</v>
      </c>
      <c r="AG5213" t="s">
        <v>623</v>
      </c>
      <c r="AH5213">
        <v>-11.72</v>
      </c>
      <c r="AI5213">
        <v>-4.94</v>
      </c>
      <c r="AJ5213">
        <v>3.64</v>
      </c>
      <c r="AK5213">
        <v>12.12</v>
      </c>
      <c r="AL5213">
        <v>1</v>
      </c>
      <c r="AM5213">
        <v>0.74</v>
      </c>
      <c r="AN5213">
        <v>21.4</v>
      </c>
      <c r="AO5213">
        <v>24.82</v>
      </c>
      <c r="AP5213">
        <v>17.61</v>
      </c>
    </row>
    <row r="5214" spans="1:42">
      <c r="A5214">
        <v>5213</v>
      </c>
      <c r="B5214" t="str">
        <f>"301317"</f>
        <v>301317</v>
      </c>
      <c r="C5214" t="s">
        <v>23171</v>
      </c>
      <c r="D5214">
        <v>20.55</v>
      </c>
      <c r="E5214">
        <v>-1.39</v>
      </c>
      <c r="F5214">
        <v>-0.29</v>
      </c>
      <c r="G5214">
        <v>5390</v>
      </c>
      <c r="H5214">
        <v>60</v>
      </c>
      <c r="I5214">
        <v>20.55</v>
      </c>
      <c r="J5214">
        <v>20.56</v>
      </c>
      <c r="K5214" t="s">
        <v>23172</v>
      </c>
      <c r="L5214">
        <v>1.37</v>
      </c>
      <c r="M5214" t="s">
        <v>46</v>
      </c>
      <c r="N5214" t="s">
        <v>18551</v>
      </c>
      <c r="O5214">
        <v>20.9</v>
      </c>
      <c r="P5214">
        <v>20.5</v>
      </c>
      <c r="Q5214">
        <v>20.81</v>
      </c>
      <c r="R5214">
        <v>20.84</v>
      </c>
      <c r="S5214">
        <v>1.92</v>
      </c>
      <c r="T5214">
        <v>0.72</v>
      </c>
      <c r="U5214">
        <v>60</v>
      </c>
      <c r="V5214">
        <v>120</v>
      </c>
      <c r="W5214">
        <v>20.64</v>
      </c>
      <c r="X5214">
        <v>2750</v>
      </c>
      <c r="Y5214">
        <v>2640</v>
      </c>
      <c r="Z5214">
        <v>1.04</v>
      </c>
      <c r="AA5214">
        <v>66</v>
      </c>
      <c r="AB5214">
        <v>15</v>
      </c>
      <c r="AC5214">
        <v>2.96</v>
      </c>
      <c r="AD5214" t="s">
        <v>23173</v>
      </c>
      <c r="AE5214" t="s">
        <v>20318</v>
      </c>
      <c r="AF5214" t="s">
        <v>23174</v>
      </c>
      <c r="AG5214" t="s">
        <v>6166</v>
      </c>
      <c r="AH5214">
        <v>-3.97</v>
      </c>
      <c r="AI5214">
        <v>-4.42</v>
      </c>
      <c r="AJ5214">
        <v>4.47</v>
      </c>
      <c r="AK5214">
        <v>10.86</v>
      </c>
      <c r="AL5214">
        <v>-3</v>
      </c>
      <c r="AM5214">
        <v>-1.39</v>
      </c>
      <c r="AN5214">
        <v>0.88</v>
      </c>
      <c r="AO5214">
        <v>-2.42</v>
      </c>
      <c r="AP5214">
        <v>0.88</v>
      </c>
    </row>
    <row r="5215" spans="1:42">
      <c r="A5215">
        <v>5214</v>
      </c>
      <c r="B5215" t="str">
        <f>"688377"</f>
        <v>688377</v>
      </c>
      <c r="C5215" t="s">
        <v>23175</v>
      </c>
      <c r="D5215">
        <v>26.15</v>
      </c>
      <c r="E5215">
        <v>-0.3</v>
      </c>
      <c r="F5215">
        <v>-0.08</v>
      </c>
      <c r="G5215">
        <v>4253</v>
      </c>
      <c r="H5215">
        <v>93</v>
      </c>
      <c r="I5215">
        <v>26.15</v>
      </c>
      <c r="J5215">
        <v>26.19</v>
      </c>
      <c r="K5215" t="s">
        <v>23176</v>
      </c>
      <c r="L5215">
        <v>0.22</v>
      </c>
      <c r="M5215" t="s">
        <v>46</v>
      </c>
      <c r="N5215" t="s">
        <v>23177</v>
      </c>
      <c r="O5215">
        <v>26.49</v>
      </c>
      <c r="P5215">
        <v>25.88</v>
      </c>
      <c r="Q5215">
        <v>26</v>
      </c>
      <c r="R5215">
        <v>26.23</v>
      </c>
      <c r="S5215">
        <v>2.33</v>
      </c>
      <c r="T5215">
        <v>0.33</v>
      </c>
      <c r="U5215">
        <v>-9.9</v>
      </c>
      <c r="V5215">
        <v>-22</v>
      </c>
      <c r="W5215">
        <v>26.11</v>
      </c>
      <c r="X5215">
        <v>1989</v>
      </c>
      <c r="Y5215">
        <v>2263</v>
      </c>
      <c r="Z5215">
        <v>0.88</v>
      </c>
      <c r="AA5215">
        <v>25</v>
      </c>
      <c r="AB5215">
        <v>26</v>
      </c>
      <c r="AC5215">
        <v>2.96</v>
      </c>
      <c r="AD5215" t="s">
        <v>4091</v>
      </c>
      <c r="AE5215" t="s">
        <v>9688</v>
      </c>
      <c r="AF5215" t="s">
        <v>4091</v>
      </c>
      <c r="AG5215" t="s">
        <v>9688</v>
      </c>
      <c r="AH5215">
        <v>1.2</v>
      </c>
      <c r="AI5215">
        <v>4.47</v>
      </c>
      <c r="AJ5215">
        <v>1.32</v>
      </c>
      <c r="AK5215">
        <v>3.57</v>
      </c>
      <c r="AL5215">
        <v>-1</v>
      </c>
      <c r="AM5215">
        <v>-0.3</v>
      </c>
      <c r="AN5215">
        <v>-40.32</v>
      </c>
      <c r="AO5215">
        <v>11.47</v>
      </c>
      <c r="AP5215">
        <v>-33.81</v>
      </c>
    </row>
    <row r="5216" spans="1:42">
      <c r="A5216">
        <v>5215</v>
      </c>
      <c r="B5216" t="str">
        <f>"870508"</f>
        <v>870508</v>
      </c>
      <c r="C5216" t="s">
        <v>23178</v>
      </c>
      <c r="D5216">
        <v>8.29</v>
      </c>
      <c r="E5216">
        <v>-1.89</v>
      </c>
      <c r="F5216">
        <v>-0.16</v>
      </c>
      <c r="G5216" t="s">
        <v>1170</v>
      </c>
      <c r="H5216">
        <v>56</v>
      </c>
      <c r="I5216">
        <v>8.29</v>
      </c>
      <c r="J5216">
        <v>8.3</v>
      </c>
      <c r="K5216" t="s">
        <v>23179</v>
      </c>
      <c r="L5216">
        <v>5.01</v>
      </c>
      <c r="M5216" t="s">
        <v>46</v>
      </c>
      <c r="N5216" t="s">
        <v>23180</v>
      </c>
      <c r="O5216">
        <v>8.66</v>
      </c>
      <c r="P5216">
        <v>8.06</v>
      </c>
      <c r="Q5216">
        <v>8.48</v>
      </c>
      <c r="R5216">
        <v>8.45</v>
      </c>
      <c r="S5216">
        <v>7.1</v>
      </c>
      <c r="T5216">
        <v>0.44</v>
      </c>
      <c r="U5216">
        <v>6.89</v>
      </c>
      <c r="V5216">
        <v>23</v>
      </c>
      <c r="W5216">
        <v>8.34</v>
      </c>
      <c r="X5216">
        <v>7883</v>
      </c>
      <c r="Y5216">
        <v>5198</v>
      </c>
      <c r="Z5216">
        <v>1.52</v>
      </c>
      <c r="AA5216">
        <v>56</v>
      </c>
      <c r="AB5216">
        <v>91</v>
      </c>
      <c r="AC5216">
        <v>1.17</v>
      </c>
      <c r="AD5216" t="s">
        <v>14444</v>
      </c>
      <c r="AE5216" t="s">
        <v>22507</v>
      </c>
      <c r="AF5216" t="s">
        <v>20482</v>
      </c>
      <c r="AG5216" t="s">
        <v>23181</v>
      </c>
      <c r="AH5216">
        <v>-14.54</v>
      </c>
      <c r="AI5216">
        <v>2.22</v>
      </c>
      <c r="AJ5216">
        <v>18.57</v>
      </c>
      <c r="AK5216">
        <v>61.84</v>
      </c>
      <c r="AL5216">
        <v>-4</v>
      </c>
      <c r="AM5216">
        <v>-1.89</v>
      </c>
      <c r="AN5216">
        <v>-0.48</v>
      </c>
      <c r="AO5216">
        <v>21.38</v>
      </c>
      <c r="AP5216">
        <v>-29.75</v>
      </c>
    </row>
    <row r="5217" spans="1:42">
      <c r="A5217">
        <v>5216</v>
      </c>
      <c r="B5217" t="str">
        <f>"603511"</f>
        <v>603511</v>
      </c>
      <c r="C5217" t="s">
        <v>23182</v>
      </c>
      <c r="D5217">
        <v>16.37</v>
      </c>
      <c r="E5217">
        <v>0.24</v>
      </c>
      <c r="F5217">
        <v>0.04</v>
      </c>
      <c r="G5217">
        <v>6622</v>
      </c>
      <c r="H5217">
        <v>31</v>
      </c>
      <c r="I5217">
        <v>16.37</v>
      </c>
      <c r="J5217">
        <v>16.4</v>
      </c>
      <c r="K5217" t="s">
        <v>23183</v>
      </c>
      <c r="L5217">
        <v>1.22</v>
      </c>
      <c r="M5217" t="s">
        <v>46</v>
      </c>
      <c r="N5217" t="s">
        <v>9759</v>
      </c>
      <c r="O5217">
        <v>16.54</v>
      </c>
      <c r="P5217">
        <v>16.24</v>
      </c>
      <c r="Q5217">
        <v>16.33</v>
      </c>
      <c r="R5217">
        <v>16.33</v>
      </c>
      <c r="S5217">
        <v>1.84</v>
      </c>
      <c r="T5217">
        <v>0.78</v>
      </c>
      <c r="U5217">
        <v>-20.44</v>
      </c>
      <c r="V5217">
        <v>-93</v>
      </c>
      <c r="W5217">
        <v>16.42</v>
      </c>
      <c r="X5217">
        <v>3096</v>
      </c>
      <c r="Y5217">
        <v>3526</v>
      </c>
      <c r="Z5217">
        <v>0.88</v>
      </c>
      <c r="AA5217">
        <v>94</v>
      </c>
      <c r="AB5217">
        <v>33</v>
      </c>
      <c r="AC5217">
        <v>1.51</v>
      </c>
      <c r="AD5217" t="s">
        <v>20316</v>
      </c>
      <c r="AE5217" t="s">
        <v>23184</v>
      </c>
      <c r="AF5217" t="s">
        <v>23185</v>
      </c>
      <c r="AG5217" t="s">
        <v>23186</v>
      </c>
      <c r="AH5217">
        <v>-1.21</v>
      </c>
      <c r="AI5217">
        <v>-1.03</v>
      </c>
      <c r="AJ5217">
        <v>3.8</v>
      </c>
      <c r="AK5217">
        <v>9.05</v>
      </c>
      <c r="AL5217">
        <v>1</v>
      </c>
      <c r="AM5217">
        <v>0.24</v>
      </c>
      <c r="AN5217">
        <v>10.16</v>
      </c>
      <c r="AO5217">
        <v>1.87</v>
      </c>
      <c r="AP5217">
        <v>9.72</v>
      </c>
    </row>
    <row r="5218" spans="1:42">
      <c r="A5218">
        <v>5217</v>
      </c>
      <c r="B5218" t="str">
        <f>"430489"</f>
        <v>430489</v>
      </c>
      <c r="C5218" t="s">
        <v>23187</v>
      </c>
      <c r="D5218">
        <v>5.5</v>
      </c>
      <c r="E5218">
        <v>-2.31</v>
      </c>
      <c r="F5218">
        <v>-0.13</v>
      </c>
      <c r="G5218" t="s">
        <v>5585</v>
      </c>
      <c r="H5218">
        <v>356</v>
      </c>
      <c r="I5218">
        <v>5.49</v>
      </c>
      <c r="J5218">
        <v>5.5</v>
      </c>
      <c r="K5218" t="s">
        <v>23188</v>
      </c>
      <c r="L5218">
        <v>2.27</v>
      </c>
      <c r="M5218" t="s">
        <v>46</v>
      </c>
      <c r="N5218" t="s">
        <v>3720</v>
      </c>
      <c r="O5218">
        <v>5.73</v>
      </c>
      <c r="P5218">
        <v>5.49</v>
      </c>
      <c r="Q5218">
        <v>5.54</v>
      </c>
      <c r="R5218">
        <v>5.63</v>
      </c>
      <c r="S5218">
        <v>4.26</v>
      </c>
      <c r="T5218">
        <v>0.26</v>
      </c>
      <c r="U5218">
        <v>-5.1</v>
      </c>
      <c r="V5218">
        <v>-56</v>
      </c>
      <c r="W5218">
        <v>5.57</v>
      </c>
      <c r="X5218" t="s">
        <v>1743</v>
      </c>
      <c r="Y5218">
        <v>7839</v>
      </c>
      <c r="Z5218">
        <v>1.48</v>
      </c>
      <c r="AA5218">
        <v>120</v>
      </c>
      <c r="AB5218">
        <v>347</v>
      </c>
      <c r="AC5218">
        <v>1.44</v>
      </c>
      <c r="AD5218" t="s">
        <v>5309</v>
      </c>
      <c r="AE5218" t="s">
        <v>23189</v>
      </c>
      <c r="AF5218" t="s">
        <v>23190</v>
      </c>
      <c r="AG5218" t="s">
        <v>21493</v>
      </c>
      <c r="AH5218">
        <v>-13.25</v>
      </c>
      <c r="AI5218">
        <v>-1.96</v>
      </c>
      <c r="AJ5218">
        <v>12.21</v>
      </c>
      <c r="AK5218">
        <v>45.82</v>
      </c>
      <c r="AL5218">
        <v>-4</v>
      </c>
      <c r="AM5218">
        <v>-2.31</v>
      </c>
      <c r="AN5218">
        <v>-6.62</v>
      </c>
      <c r="AO5218">
        <v>18.28</v>
      </c>
      <c r="AP5218">
        <v>-10.13</v>
      </c>
    </row>
    <row r="5219" spans="1:42">
      <c r="A5219">
        <v>5218</v>
      </c>
      <c r="B5219" t="str">
        <f>"832145"</f>
        <v>832145</v>
      </c>
      <c r="C5219" t="s">
        <v>23191</v>
      </c>
      <c r="D5219">
        <v>5.55</v>
      </c>
      <c r="E5219">
        <v>-6.88</v>
      </c>
      <c r="F5219">
        <v>-0.41</v>
      </c>
      <c r="G5219" t="s">
        <v>2694</v>
      </c>
      <c r="H5219">
        <v>125</v>
      </c>
      <c r="I5219">
        <v>5.55</v>
      </c>
      <c r="J5219">
        <v>5.56</v>
      </c>
      <c r="K5219" t="s">
        <v>23192</v>
      </c>
      <c r="L5219">
        <v>4.23</v>
      </c>
      <c r="M5219" t="s">
        <v>46</v>
      </c>
      <c r="N5219" t="s">
        <v>19026</v>
      </c>
      <c r="O5219">
        <v>6.06</v>
      </c>
      <c r="P5219">
        <v>5.5</v>
      </c>
      <c r="Q5219">
        <v>6.01</v>
      </c>
      <c r="R5219">
        <v>5.96</v>
      </c>
      <c r="S5219">
        <v>9.4</v>
      </c>
      <c r="T5219">
        <v>0.45</v>
      </c>
      <c r="U5219">
        <v>-20.14</v>
      </c>
      <c r="V5219">
        <v>-231</v>
      </c>
      <c r="W5219">
        <v>5.71</v>
      </c>
      <c r="X5219" t="s">
        <v>189</v>
      </c>
      <c r="Y5219">
        <v>7293</v>
      </c>
      <c r="Z5219">
        <v>1.6</v>
      </c>
      <c r="AA5219">
        <v>49</v>
      </c>
      <c r="AB5219">
        <v>35</v>
      </c>
      <c r="AC5219">
        <v>1.41</v>
      </c>
      <c r="AD5219" t="s">
        <v>23193</v>
      </c>
      <c r="AE5219" t="s">
        <v>23194</v>
      </c>
      <c r="AF5219" t="s">
        <v>16930</v>
      </c>
      <c r="AG5219" t="s">
        <v>23195</v>
      </c>
      <c r="AH5219">
        <v>-20.49</v>
      </c>
      <c r="AI5219">
        <v>0.36</v>
      </c>
      <c r="AJ5219">
        <v>15.93</v>
      </c>
      <c r="AK5219">
        <v>51.6</v>
      </c>
      <c r="AL5219">
        <v>-4</v>
      </c>
      <c r="AM5219">
        <v>-6.88</v>
      </c>
      <c r="AN5219">
        <v>13.73</v>
      </c>
      <c r="AO5219">
        <v>25.57</v>
      </c>
      <c r="AP5219">
        <v>2.78</v>
      </c>
    </row>
    <row r="5220" spans="1:42">
      <c r="A5220">
        <v>5219</v>
      </c>
      <c r="B5220" t="str">
        <f>"688175"</f>
        <v>688175</v>
      </c>
      <c r="C5220" t="s">
        <v>23196</v>
      </c>
      <c r="D5220">
        <v>30.47</v>
      </c>
      <c r="E5220">
        <v>0.53</v>
      </c>
      <c r="F5220">
        <v>0.16</v>
      </c>
      <c r="G5220">
        <v>3564</v>
      </c>
      <c r="H5220">
        <v>22</v>
      </c>
      <c r="I5220">
        <v>30.47</v>
      </c>
      <c r="J5220">
        <v>30.49</v>
      </c>
      <c r="K5220" t="s">
        <v>23197</v>
      </c>
      <c r="L5220">
        <v>0.85</v>
      </c>
      <c r="M5220" t="s">
        <v>46</v>
      </c>
      <c r="N5220" t="s">
        <v>7215</v>
      </c>
      <c r="O5220">
        <v>30.66</v>
      </c>
      <c r="P5220">
        <v>29.6</v>
      </c>
      <c r="Q5220">
        <v>30.32</v>
      </c>
      <c r="R5220">
        <v>30.31</v>
      </c>
      <c r="S5220">
        <v>3.5</v>
      </c>
      <c r="T5220">
        <v>0.83</v>
      </c>
      <c r="U5220">
        <v>-62.48</v>
      </c>
      <c r="V5220">
        <v>-130</v>
      </c>
      <c r="W5220">
        <v>30.34</v>
      </c>
      <c r="X5220">
        <v>1809</v>
      </c>
      <c r="Y5220">
        <v>1754</v>
      </c>
      <c r="Z5220">
        <v>1.03</v>
      </c>
      <c r="AA5220">
        <v>31</v>
      </c>
      <c r="AB5220">
        <v>5</v>
      </c>
      <c r="AC5220">
        <v>1.54</v>
      </c>
      <c r="AD5220" t="s">
        <v>12117</v>
      </c>
      <c r="AE5220" t="s">
        <v>7301</v>
      </c>
      <c r="AF5220" t="s">
        <v>14023</v>
      </c>
      <c r="AG5220" t="s">
        <v>23198</v>
      </c>
      <c r="AH5220">
        <v>-1.23</v>
      </c>
      <c r="AI5220">
        <v>-1.49</v>
      </c>
      <c r="AJ5220">
        <v>2.74</v>
      </c>
      <c r="AK5220">
        <v>6.01</v>
      </c>
      <c r="AL5220">
        <v>1</v>
      </c>
      <c r="AM5220">
        <v>0.53</v>
      </c>
      <c r="AN5220">
        <v>-12.47</v>
      </c>
      <c r="AO5220">
        <v>3.32</v>
      </c>
      <c r="AP5220">
        <v>-25.39</v>
      </c>
    </row>
    <row r="5221" spans="1:42">
      <c r="A5221">
        <v>5220</v>
      </c>
      <c r="B5221" t="str">
        <f>"600193"</f>
        <v>600193</v>
      </c>
      <c r="C5221" t="s">
        <v>23199</v>
      </c>
      <c r="D5221">
        <v>5.25</v>
      </c>
      <c r="E5221">
        <v>0.38</v>
      </c>
      <c r="F5221">
        <v>0.02</v>
      </c>
      <c r="G5221" t="s">
        <v>3372</v>
      </c>
      <c r="H5221">
        <v>472</v>
      </c>
      <c r="I5221">
        <v>5.25</v>
      </c>
      <c r="J5221">
        <v>5.26</v>
      </c>
      <c r="K5221" t="s">
        <v>23200</v>
      </c>
      <c r="L5221">
        <v>0.48</v>
      </c>
      <c r="M5221" t="s">
        <v>46</v>
      </c>
      <c r="N5221" t="s">
        <v>8896</v>
      </c>
      <c r="O5221">
        <v>5.29</v>
      </c>
      <c r="P5221">
        <v>5.2</v>
      </c>
      <c r="Q5221">
        <v>5.2</v>
      </c>
      <c r="R5221">
        <v>5.23</v>
      </c>
      <c r="S5221">
        <v>1.72</v>
      </c>
      <c r="T5221">
        <v>0.63</v>
      </c>
      <c r="U5221">
        <v>-51.45</v>
      </c>
      <c r="V5221">
        <v>-3321</v>
      </c>
      <c r="W5221">
        <v>5.25</v>
      </c>
      <c r="X5221" t="s">
        <v>1646</v>
      </c>
      <c r="Y5221" t="s">
        <v>239</v>
      </c>
      <c r="Z5221">
        <v>0.98</v>
      </c>
      <c r="AA5221">
        <v>405</v>
      </c>
      <c r="AB5221">
        <v>169</v>
      </c>
      <c r="AC5221">
        <v>7.2</v>
      </c>
      <c r="AD5221" t="s">
        <v>23201</v>
      </c>
      <c r="AE5221" t="s">
        <v>18010</v>
      </c>
      <c r="AF5221" t="s">
        <v>23201</v>
      </c>
      <c r="AG5221" t="s">
        <v>18010</v>
      </c>
      <c r="AH5221">
        <v>0</v>
      </c>
      <c r="AI5221">
        <v>0.57</v>
      </c>
      <c r="AJ5221">
        <v>2.08</v>
      </c>
      <c r="AK5221">
        <v>4.32</v>
      </c>
      <c r="AL5221">
        <v>1</v>
      </c>
      <c r="AM5221">
        <v>0.38</v>
      </c>
      <c r="AN5221">
        <v>-10.71</v>
      </c>
      <c r="AO5221">
        <v>1.35</v>
      </c>
      <c r="AP5221">
        <v>-22.34</v>
      </c>
    </row>
    <row r="5222" spans="1:42">
      <c r="A5222">
        <v>5221</v>
      </c>
      <c r="B5222" t="str">
        <f>"688211"</f>
        <v>688211</v>
      </c>
      <c r="C5222" t="s">
        <v>23202</v>
      </c>
      <c r="D5222">
        <v>37.05</v>
      </c>
      <c r="E5222">
        <v>-0.05</v>
      </c>
      <c r="F5222">
        <v>-0.02</v>
      </c>
      <c r="G5222">
        <v>2921</v>
      </c>
      <c r="H5222">
        <v>21</v>
      </c>
      <c r="I5222">
        <v>37.04</v>
      </c>
      <c r="J5222">
        <v>37.05</v>
      </c>
      <c r="K5222" t="s">
        <v>22611</v>
      </c>
      <c r="L5222">
        <v>0.45</v>
      </c>
      <c r="M5222" t="s">
        <v>46</v>
      </c>
      <c r="N5222" t="s">
        <v>10267</v>
      </c>
      <c r="O5222">
        <v>37.2</v>
      </c>
      <c r="P5222">
        <v>36.6</v>
      </c>
      <c r="Q5222">
        <v>37.2</v>
      </c>
      <c r="R5222">
        <v>37.07</v>
      </c>
      <c r="S5222">
        <v>1.62</v>
      </c>
      <c r="T5222">
        <v>0.76</v>
      </c>
      <c r="U5222">
        <v>17.36</v>
      </c>
      <c r="V5222">
        <v>13</v>
      </c>
      <c r="W5222">
        <v>36.84</v>
      </c>
      <c r="X5222">
        <v>1318</v>
      </c>
      <c r="Y5222">
        <v>1603</v>
      </c>
      <c r="Z5222">
        <v>0.82</v>
      </c>
      <c r="AA5222">
        <v>5</v>
      </c>
      <c r="AB5222">
        <v>9</v>
      </c>
      <c r="AC5222">
        <v>1.37</v>
      </c>
      <c r="AD5222" t="s">
        <v>11862</v>
      </c>
      <c r="AE5222" t="s">
        <v>5442</v>
      </c>
      <c r="AF5222" t="s">
        <v>14105</v>
      </c>
      <c r="AG5222" t="s">
        <v>19503</v>
      </c>
      <c r="AH5222">
        <v>-1.67</v>
      </c>
      <c r="AI5222">
        <v>-0.27</v>
      </c>
      <c r="AJ5222">
        <v>1.5</v>
      </c>
      <c r="AK5222">
        <v>3.42</v>
      </c>
      <c r="AL5222">
        <v>-3</v>
      </c>
      <c r="AM5222">
        <v>-0.05</v>
      </c>
      <c r="AN5222">
        <v>-10.96</v>
      </c>
      <c r="AO5222">
        <v>1.53</v>
      </c>
      <c r="AP5222">
        <v>-10.38</v>
      </c>
    </row>
    <row r="5223" spans="1:42">
      <c r="A5223">
        <v>5222</v>
      </c>
      <c r="B5223" t="str">
        <f>"300517"</f>
        <v>300517</v>
      </c>
      <c r="C5223" t="s">
        <v>23203</v>
      </c>
      <c r="D5223">
        <v>12.94</v>
      </c>
      <c r="E5223">
        <v>0.62</v>
      </c>
      <c r="F5223">
        <v>0.08</v>
      </c>
      <c r="G5223">
        <v>8364</v>
      </c>
      <c r="H5223">
        <v>150</v>
      </c>
      <c r="I5223">
        <v>12.92</v>
      </c>
      <c r="J5223">
        <v>12.94</v>
      </c>
      <c r="K5223" t="s">
        <v>22611</v>
      </c>
      <c r="L5223">
        <v>0.67</v>
      </c>
      <c r="M5223" t="s">
        <v>46</v>
      </c>
      <c r="N5223" t="s">
        <v>4468</v>
      </c>
      <c r="O5223">
        <v>12.98</v>
      </c>
      <c r="P5223">
        <v>12.71</v>
      </c>
      <c r="Q5223">
        <v>12.97</v>
      </c>
      <c r="R5223">
        <v>12.86</v>
      </c>
      <c r="S5223">
        <v>2.1</v>
      </c>
      <c r="T5223">
        <v>0.64</v>
      </c>
      <c r="U5223">
        <v>-60.37</v>
      </c>
      <c r="V5223">
        <v>-326</v>
      </c>
      <c r="W5223">
        <v>12.86</v>
      </c>
      <c r="X5223">
        <v>4368</v>
      </c>
      <c r="Y5223">
        <v>3996</v>
      </c>
      <c r="Z5223">
        <v>1.09</v>
      </c>
      <c r="AA5223">
        <v>2</v>
      </c>
      <c r="AB5223">
        <v>24</v>
      </c>
      <c r="AC5223">
        <v>2.46</v>
      </c>
      <c r="AD5223" t="s">
        <v>3738</v>
      </c>
      <c r="AE5223" t="s">
        <v>18665</v>
      </c>
      <c r="AF5223" t="s">
        <v>4954</v>
      </c>
      <c r="AG5223" t="s">
        <v>551</v>
      </c>
      <c r="AH5223">
        <v>-1.22</v>
      </c>
      <c r="AI5223">
        <v>-1.75</v>
      </c>
      <c r="AJ5223">
        <v>3.07</v>
      </c>
      <c r="AK5223">
        <v>5.93</v>
      </c>
      <c r="AL5223">
        <v>1</v>
      </c>
      <c r="AM5223">
        <v>0.62</v>
      </c>
      <c r="AN5223">
        <v>-19.98</v>
      </c>
      <c r="AO5223">
        <v>1.25</v>
      </c>
      <c r="AP5223">
        <v>-7.57</v>
      </c>
    </row>
    <row r="5224" spans="1:42">
      <c r="A5224">
        <v>5223</v>
      </c>
      <c r="B5224" t="str">
        <f>"301212"</f>
        <v>301212</v>
      </c>
      <c r="C5224" t="s">
        <v>23204</v>
      </c>
      <c r="D5224">
        <v>28.13</v>
      </c>
      <c r="E5224">
        <v>-0.14</v>
      </c>
      <c r="F5224">
        <v>-0.04</v>
      </c>
      <c r="G5224">
        <v>3799</v>
      </c>
      <c r="H5224">
        <v>54</v>
      </c>
      <c r="I5224">
        <v>28.13</v>
      </c>
      <c r="J5224">
        <v>28.17</v>
      </c>
      <c r="K5224" t="s">
        <v>23205</v>
      </c>
      <c r="L5224">
        <v>1.41</v>
      </c>
      <c r="M5224" t="s">
        <v>46</v>
      </c>
      <c r="N5224" t="s">
        <v>9420</v>
      </c>
      <c r="O5224">
        <v>28.33</v>
      </c>
      <c r="P5224">
        <v>27.78</v>
      </c>
      <c r="Q5224">
        <v>28.28</v>
      </c>
      <c r="R5224">
        <v>28.17</v>
      </c>
      <c r="S5224">
        <v>1.95</v>
      </c>
      <c r="T5224">
        <v>0.75</v>
      </c>
      <c r="U5224">
        <v>39.73</v>
      </c>
      <c r="V5224">
        <v>29</v>
      </c>
      <c r="W5224">
        <v>27.99</v>
      </c>
      <c r="X5224">
        <v>2344</v>
      </c>
      <c r="Y5224">
        <v>1455</v>
      </c>
      <c r="Z5224">
        <v>1.61</v>
      </c>
      <c r="AA5224">
        <v>1</v>
      </c>
      <c r="AB5224">
        <v>1</v>
      </c>
      <c r="AC5224">
        <v>2.27</v>
      </c>
      <c r="AD5224" t="s">
        <v>8391</v>
      </c>
      <c r="AE5224" t="s">
        <v>23206</v>
      </c>
      <c r="AF5224" t="s">
        <v>22696</v>
      </c>
      <c r="AG5224" t="s">
        <v>23207</v>
      </c>
      <c r="AH5224">
        <v>-2.83</v>
      </c>
      <c r="AI5224">
        <v>-3.53</v>
      </c>
      <c r="AJ5224">
        <v>5.34</v>
      </c>
      <c r="AK5224">
        <v>10.8</v>
      </c>
      <c r="AL5224">
        <v>-3</v>
      </c>
      <c r="AM5224">
        <v>-0.14</v>
      </c>
      <c r="AN5224">
        <v>-14.37</v>
      </c>
      <c r="AO5224">
        <v>-1.37</v>
      </c>
      <c r="AP5224">
        <v>-27.96</v>
      </c>
    </row>
    <row r="5225" spans="1:42">
      <c r="A5225">
        <v>5224</v>
      </c>
      <c r="B5225" t="str">
        <f>"001222"</f>
        <v>001222</v>
      </c>
      <c r="C5225" t="s">
        <v>23208</v>
      </c>
      <c r="D5225">
        <v>15.15</v>
      </c>
      <c r="E5225">
        <v>-0.46</v>
      </c>
      <c r="F5225">
        <v>-0.07</v>
      </c>
      <c r="G5225">
        <v>6992</v>
      </c>
      <c r="H5225">
        <v>148</v>
      </c>
      <c r="I5225">
        <v>15.15</v>
      </c>
      <c r="J5225">
        <v>15.18</v>
      </c>
      <c r="K5225" t="s">
        <v>23209</v>
      </c>
      <c r="L5225">
        <v>1.07</v>
      </c>
      <c r="M5225" t="s">
        <v>46</v>
      </c>
      <c r="N5225" t="s">
        <v>7655</v>
      </c>
      <c r="O5225">
        <v>15.29</v>
      </c>
      <c r="P5225">
        <v>15.06</v>
      </c>
      <c r="Q5225">
        <v>15.24</v>
      </c>
      <c r="R5225">
        <v>15.22</v>
      </c>
      <c r="S5225">
        <v>1.51</v>
      </c>
      <c r="T5225">
        <v>0.79</v>
      </c>
      <c r="U5225">
        <v>61.54</v>
      </c>
      <c r="V5225">
        <v>448</v>
      </c>
      <c r="W5225">
        <v>15.18</v>
      </c>
      <c r="X5225">
        <v>3722</v>
      </c>
      <c r="Y5225">
        <v>3270</v>
      </c>
      <c r="Z5225">
        <v>1.14</v>
      </c>
      <c r="AA5225">
        <v>449</v>
      </c>
      <c r="AB5225">
        <v>7</v>
      </c>
      <c r="AC5225">
        <v>2.4</v>
      </c>
      <c r="AD5225" t="s">
        <v>23210</v>
      </c>
      <c r="AE5225" t="s">
        <v>23211</v>
      </c>
      <c r="AF5225" t="s">
        <v>23212</v>
      </c>
      <c r="AG5225" t="s">
        <v>7809</v>
      </c>
      <c r="AH5225">
        <v>0</v>
      </c>
      <c r="AI5225">
        <v>-0.39</v>
      </c>
      <c r="AJ5225">
        <v>3.7</v>
      </c>
      <c r="AK5225">
        <v>7.83</v>
      </c>
      <c r="AL5225">
        <v>-1</v>
      </c>
      <c r="AM5225">
        <v>-0.46</v>
      </c>
      <c r="AN5225">
        <v>-13.03</v>
      </c>
      <c r="AO5225">
        <v>3.48</v>
      </c>
      <c r="AP5225">
        <v>-22.47</v>
      </c>
    </row>
    <row r="5226" spans="1:42">
      <c r="A5226">
        <v>5225</v>
      </c>
      <c r="B5226" t="str">
        <f>"300069"</f>
        <v>300069</v>
      </c>
      <c r="C5226" t="s">
        <v>23213</v>
      </c>
      <c r="D5226">
        <v>15.55</v>
      </c>
      <c r="E5226">
        <v>-0.77</v>
      </c>
      <c r="F5226">
        <v>-0.12</v>
      </c>
      <c r="G5226">
        <v>6803</v>
      </c>
      <c r="H5226">
        <v>84</v>
      </c>
      <c r="I5226">
        <v>15.55</v>
      </c>
      <c r="J5226">
        <v>15.56</v>
      </c>
      <c r="K5226" t="s">
        <v>23214</v>
      </c>
      <c r="L5226">
        <v>0.58</v>
      </c>
      <c r="M5226" t="s">
        <v>46</v>
      </c>
      <c r="N5226" t="s">
        <v>9964</v>
      </c>
      <c r="O5226">
        <v>15.72</v>
      </c>
      <c r="P5226">
        <v>15.51</v>
      </c>
      <c r="Q5226">
        <v>15.57</v>
      </c>
      <c r="R5226">
        <v>15.67</v>
      </c>
      <c r="S5226">
        <v>1.34</v>
      </c>
      <c r="T5226">
        <v>0.72</v>
      </c>
      <c r="U5226">
        <v>29.81</v>
      </c>
      <c r="V5226">
        <v>96</v>
      </c>
      <c r="W5226">
        <v>15.59</v>
      </c>
      <c r="X5226">
        <v>3175</v>
      </c>
      <c r="Y5226">
        <v>3628</v>
      </c>
      <c r="Z5226">
        <v>0.88</v>
      </c>
      <c r="AA5226">
        <v>17</v>
      </c>
      <c r="AB5226">
        <v>15</v>
      </c>
      <c r="AC5226">
        <v>7.76</v>
      </c>
      <c r="AD5226" t="s">
        <v>15359</v>
      </c>
      <c r="AE5226" t="s">
        <v>548</v>
      </c>
      <c r="AF5226" t="s">
        <v>15359</v>
      </c>
      <c r="AG5226" t="s">
        <v>548</v>
      </c>
      <c r="AH5226">
        <v>-2.32</v>
      </c>
      <c r="AI5226">
        <v>-0.77</v>
      </c>
      <c r="AJ5226">
        <v>2.1</v>
      </c>
      <c r="AK5226">
        <v>4.61</v>
      </c>
      <c r="AL5226">
        <v>-3</v>
      </c>
      <c r="AM5226">
        <v>-0.77</v>
      </c>
      <c r="AN5226">
        <v>24.1</v>
      </c>
      <c r="AO5226">
        <v>3.81</v>
      </c>
      <c r="AP5226">
        <v>14.51</v>
      </c>
    </row>
    <row r="5227" spans="1:42">
      <c r="A5227">
        <v>5226</v>
      </c>
      <c r="B5227" t="str">
        <f>"600136"</f>
        <v>600136</v>
      </c>
      <c r="C5227" t="s">
        <v>23215</v>
      </c>
      <c r="D5227">
        <v>2.4</v>
      </c>
      <c r="E5227">
        <v>1.27</v>
      </c>
      <c r="F5227">
        <v>0.03</v>
      </c>
      <c r="G5227" t="s">
        <v>1165</v>
      </c>
      <c r="H5227">
        <v>1262</v>
      </c>
      <c r="I5227">
        <v>2.39</v>
      </c>
      <c r="J5227">
        <v>2.4</v>
      </c>
      <c r="K5227" t="s">
        <v>23214</v>
      </c>
      <c r="L5227">
        <v>0.91</v>
      </c>
      <c r="M5227" t="s">
        <v>46</v>
      </c>
      <c r="N5227" t="s">
        <v>3910</v>
      </c>
      <c r="O5227">
        <v>2.41</v>
      </c>
      <c r="P5227">
        <v>2.36</v>
      </c>
      <c r="Q5227">
        <v>2.37</v>
      </c>
      <c r="R5227">
        <v>2.37</v>
      </c>
      <c r="S5227">
        <v>2.11</v>
      </c>
      <c r="T5227">
        <v>0.85</v>
      </c>
      <c r="U5227">
        <v>-12.78</v>
      </c>
      <c r="V5227">
        <v>-3347</v>
      </c>
      <c r="W5227">
        <v>2.39</v>
      </c>
      <c r="X5227" t="s">
        <v>325</v>
      </c>
      <c r="Y5227" t="s">
        <v>4012</v>
      </c>
      <c r="Z5227">
        <v>0.7</v>
      </c>
      <c r="AA5227">
        <v>2281</v>
      </c>
      <c r="AB5227">
        <v>255</v>
      </c>
      <c r="AC5227">
        <v>-0.21</v>
      </c>
      <c r="AD5227" t="s">
        <v>23216</v>
      </c>
      <c r="AE5227" t="s">
        <v>15884</v>
      </c>
      <c r="AF5227" t="s">
        <v>23217</v>
      </c>
      <c r="AG5227" t="s">
        <v>113</v>
      </c>
      <c r="AH5227">
        <v>0</v>
      </c>
      <c r="AI5227">
        <v>-1.23</v>
      </c>
      <c r="AJ5227">
        <v>3</v>
      </c>
      <c r="AK5227">
        <v>6.27</v>
      </c>
      <c r="AL5227">
        <v>1</v>
      </c>
      <c r="AM5227">
        <v>1.27</v>
      </c>
      <c r="AN5227">
        <v>34.08</v>
      </c>
      <c r="AO5227">
        <v>1.27</v>
      </c>
      <c r="AP5227">
        <v>17.07</v>
      </c>
    </row>
    <row r="5228" spans="1:42">
      <c r="A5228">
        <v>5227</v>
      </c>
      <c r="B5228" t="str">
        <f>"836208"</f>
        <v>836208</v>
      </c>
      <c r="C5228" t="s">
        <v>23218</v>
      </c>
      <c r="D5228">
        <v>32.4</v>
      </c>
      <c r="E5228">
        <v>-3.57</v>
      </c>
      <c r="F5228">
        <v>-1.2</v>
      </c>
      <c r="G5228">
        <v>3209</v>
      </c>
      <c r="H5228">
        <v>22</v>
      </c>
      <c r="I5228">
        <v>32.35</v>
      </c>
      <c r="J5228">
        <v>32.4</v>
      </c>
      <c r="K5228" t="s">
        <v>23219</v>
      </c>
      <c r="L5228">
        <v>2.84</v>
      </c>
      <c r="M5228" t="s">
        <v>46</v>
      </c>
      <c r="N5228" t="s">
        <v>2532</v>
      </c>
      <c r="O5228">
        <v>34.37</v>
      </c>
      <c r="P5228">
        <v>32.18</v>
      </c>
      <c r="Q5228">
        <v>33.6</v>
      </c>
      <c r="R5228">
        <v>33.6</v>
      </c>
      <c r="S5228">
        <v>6.52</v>
      </c>
      <c r="T5228">
        <v>0.26</v>
      </c>
      <c r="U5228">
        <v>-3.42</v>
      </c>
      <c r="V5228">
        <v>-13</v>
      </c>
      <c r="W5228">
        <v>32.98</v>
      </c>
      <c r="X5228">
        <v>1719</v>
      </c>
      <c r="Y5228">
        <v>1490</v>
      </c>
      <c r="Z5228">
        <v>1.15</v>
      </c>
      <c r="AA5228">
        <v>80</v>
      </c>
      <c r="AB5228">
        <v>1</v>
      </c>
      <c r="AC5228">
        <v>2.63</v>
      </c>
      <c r="AD5228" t="s">
        <v>22110</v>
      </c>
      <c r="AE5228" t="s">
        <v>12707</v>
      </c>
      <c r="AF5228" t="s">
        <v>23220</v>
      </c>
      <c r="AG5228" t="s">
        <v>23221</v>
      </c>
      <c r="AH5228">
        <v>-16.73</v>
      </c>
      <c r="AI5228">
        <v>-0.61</v>
      </c>
      <c r="AJ5228">
        <v>17.9</v>
      </c>
      <c r="AK5228">
        <v>57.29</v>
      </c>
      <c r="AL5228">
        <v>-1</v>
      </c>
      <c r="AM5228">
        <v>-3.57</v>
      </c>
      <c r="AN5228">
        <v>-11.11</v>
      </c>
      <c r="AO5228">
        <v>14.61</v>
      </c>
      <c r="AP5228">
        <v>-11.11</v>
      </c>
    </row>
    <row r="5229" spans="1:42">
      <c r="A5229">
        <v>5228</v>
      </c>
      <c r="B5229" t="str">
        <f>"603968"</f>
        <v>603968</v>
      </c>
      <c r="C5229" t="s">
        <v>23222</v>
      </c>
      <c r="D5229">
        <v>15.1</v>
      </c>
      <c r="E5229">
        <v>0.73</v>
      </c>
      <c r="F5229">
        <v>0.11</v>
      </c>
      <c r="G5229">
        <v>7017</v>
      </c>
      <c r="H5229">
        <v>59</v>
      </c>
      <c r="I5229">
        <v>15.1</v>
      </c>
      <c r="J5229">
        <v>15.12</v>
      </c>
      <c r="K5229" t="s">
        <v>23223</v>
      </c>
      <c r="L5229">
        <v>0.34</v>
      </c>
      <c r="M5229" t="s">
        <v>46</v>
      </c>
      <c r="N5229" t="s">
        <v>16388</v>
      </c>
      <c r="O5229">
        <v>15.16</v>
      </c>
      <c r="P5229">
        <v>14.89</v>
      </c>
      <c r="Q5229">
        <v>14.99</v>
      </c>
      <c r="R5229">
        <v>14.99</v>
      </c>
      <c r="S5229">
        <v>1.8</v>
      </c>
      <c r="T5229">
        <v>0.89</v>
      </c>
      <c r="U5229">
        <v>-67.14</v>
      </c>
      <c r="V5229">
        <v>-474</v>
      </c>
      <c r="W5229">
        <v>15.06</v>
      </c>
      <c r="X5229">
        <v>2513</v>
      </c>
      <c r="Y5229">
        <v>4504</v>
      </c>
      <c r="Z5229">
        <v>0.56</v>
      </c>
      <c r="AA5229">
        <v>8</v>
      </c>
      <c r="AB5229">
        <v>135</v>
      </c>
      <c r="AC5229">
        <v>1.56</v>
      </c>
      <c r="AD5229" t="s">
        <v>23224</v>
      </c>
      <c r="AE5229" t="s">
        <v>23225</v>
      </c>
      <c r="AF5229" t="s">
        <v>15099</v>
      </c>
      <c r="AG5229" t="s">
        <v>11782</v>
      </c>
      <c r="AH5229">
        <v>-0.46</v>
      </c>
      <c r="AI5229">
        <v>0.33</v>
      </c>
      <c r="AJ5229">
        <v>0.99</v>
      </c>
      <c r="AK5229">
        <v>2.27</v>
      </c>
      <c r="AL5229">
        <v>1</v>
      </c>
      <c r="AM5229">
        <v>0.73</v>
      </c>
      <c r="AN5229">
        <v>-27.85</v>
      </c>
      <c r="AO5229">
        <v>2.44</v>
      </c>
      <c r="AP5229">
        <v>-28.47</v>
      </c>
    </row>
    <row r="5230" spans="1:42">
      <c r="A5230">
        <v>5229</v>
      </c>
      <c r="B5230" t="str">
        <f>"836149"</f>
        <v>836149</v>
      </c>
      <c r="C5230" t="s">
        <v>23226</v>
      </c>
      <c r="D5230">
        <v>5.39</v>
      </c>
      <c r="E5230">
        <v>-5.11</v>
      </c>
      <c r="F5230">
        <v>-0.29</v>
      </c>
      <c r="G5230" t="s">
        <v>2694</v>
      </c>
      <c r="H5230">
        <v>338</v>
      </c>
      <c r="I5230">
        <v>5.39</v>
      </c>
      <c r="J5230">
        <v>5.4</v>
      </c>
      <c r="K5230" t="s">
        <v>23227</v>
      </c>
      <c r="L5230">
        <v>3.96</v>
      </c>
      <c r="M5230" t="s">
        <v>46</v>
      </c>
      <c r="N5230" t="s">
        <v>2779</v>
      </c>
      <c r="O5230">
        <v>5.95</v>
      </c>
      <c r="P5230">
        <v>5.31</v>
      </c>
      <c r="Q5230">
        <v>5.75</v>
      </c>
      <c r="R5230">
        <v>5.68</v>
      </c>
      <c r="S5230">
        <v>11.27</v>
      </c>
      <c r="T5230">
        <v>0.28</v>
      </c>
      <c r="U5230">
        <v>20.98</v>
      </c>
      <c r="V5230">
        <v>260</v>
      </c>
      <c r="W5230">
        <v>5.55</v>
      </c>
      <c r="X5230" t="s">
        <v>1400</v>
      </c>
      <c r="Y5230">
        <v>8443</v>
      </c>
      <c r="Z5230">
        <v>1.24</v>
      </c>
      <c r="AA5230">
        <v>80</v>
      </c>
      <c r="AB5230">
        <v>56</v>
      </c>
      <c r="AC5230">
        <v>2.25</v>
      </c>
      <c r="AD5230" t="s">
        <v>23228</v>
      </c>
      <c r="AE5230" t="s">
        <v>23229</v>
      </c>
      <c r="AF5230" t="s">
        <v>16459</v>
      </c>
      <c r="AG5230" t="s">
        <v>23230</v>
      </c>
      <c r="AH5230">
        <v>-18.33</v>
      </c>
      <c r="AI5230">
        <v>-10.32</v>
      </c>
      <c r="AJ5230">
        <v>19.75</v>
      </c>
      <c r="AK5230">
        <v>74.77</v>
      </c>
      <c r="AL5230">
        <v>-4</v>
      </c>
      <c r="AM5230">
        <v>-5.11</v>
      </c>
      <c r="AN5230">
        <v>38.21</v>
      </c>
      <c r="AO5230">
        <v>45.28</v>
      </c>
      <c r="AP5230">
        <v>23.91</v>
      </c>
    </row>
    <row r="5231" spans="1:42">
      <c r="A5231">
        <v>5230</v>
      </c>
      <c r="B5231" t="str">
        <f>"001231"</f>
        <v>001231</v>
      </c>
      <c r="C5231" t="s">
        <v>23231</v>
      </c>
      <c r="D5231">
        <v>21.44</v>
      </c>
      <c r="E5231">
        <v>-0.46</v>
      </c>
      <c r="F5231">
        <v>-0.1</v>
      </c>
      <c r="G5231">
        <v>4858</v>
      </c>
      <c r="H5231">
        <v>46</v>
      </c>
      <c r="I5231">
        <v>21.42</v>
      </c>
      <c r="J5231">
        <v>21.44</v>
      </c>
      <c r="K5231" t="s">
        <v>23232</v>
      </c>
      <c r="L5231">
        <v>1.37</v>
      </c>
      <c r="M5231" t="s">
        <v>46</v>
      </c>
      <c r="N5231" t="s">
        <v>3202</v>
      </c>
      <c r="O5231">
        <v>21.58</v>
      </c>
      <c r="P5231">
        <v>21.24</v>
      </c>
      <c r="Q5231">
        <v>21.57</v>
      </c>
      <c r="R5231">
        <v>21.54</v>
      </c>
      <c r="S5231">
        <v>1.58</v>
      </c>
      <c r="T5231">
        <v>0.7</v>
      </c>
      <c r="U5231">
        <v>-40.15</v>
      </c>
      <c r="V5231">
        <v>-55</v>
      </c>
      <c r="W5231">
        <v>21.44</v>
      </c>
      <c r="X5231">
        <v>2698</v>
      </c>
      <c r="Y5231">
        <v>2160</v>
      </c>
      <c r="Z5231">
        <v>1.25</v>
      </c>
      <c r="AA5231">
        <v>16</v>
      </c>
      <c r="AB5231">
        <v>23</v>
      </c>
      <c r="AC5231">
        <v>2.32</v>
      </c>
      <c r="AD5231" t="s">
        <v>5976</v>
      </c>
      <c r="AE5231" t="s">
        <v>7926</v>
      </c>
      <c r="AF5231" t="s">
        <v>18622</v>
      </c>
      <c r="AG5231" t="s">
        <v>23233</v>
      </c>
      <c r="AH5231">
        <v>-2.06</v>
      </c>
      <c r="AI5231">
        <v>-1.92</v>
      </c>
      <c r="AJ5231">
        <v>4.64</v>
      </c>
      <c r="AK5231">
        <v>11.22</v>
      </c>
      <c r="AL5231">
        <v>-3</v>
      </c>
      <c r="AM5231">
        <v>-0.46</v>
      </c>
      <c r="AN5231">
        <v>-4.46</v>
      </c>
      <c r="AO5231">
        <v>1.42</v>
      </c>
      <c r="AP5231">
        <v>-8.92</v>
      </c>
    </row>
    <row r="5232" spans="1:42">
      <c r="A5232">
        <v>5231</v>
      </c>
      <c r="B5232" t="str">
        <f>"301309"</f>
        <v>301309</v>
      </c>
      <c r="C5232" t="s">
        <v>23234</v>
      </c>
      <c r="D5232">
        <v>27.42</v>
      </c>
      <c r="E5232">
        <v>0.15</v>
      </c>
      <c r="F5232">
        <v>0.04</v>
      </c>
      <c r="G5232">
        <v>3786</v>
      </c>
      <c r="H5232">
        <v>34</v>
      </c>
      <c r="I5232">
        <v>27.42</v>
      </c>
      <c r="J5232">
        <v>27.44</v>
      </c>
      <c r="K5232" t="s">
        <v>23235</v>
      </c>
      <c r="L5232">
        <v>1.51</v>
      </c>
      <c r="M5232" t="s">
        <v>46</v>
      </c>
      <c r="N5232" t="s">
        <v>2922</v>
      </c>
      <c r="O5232">
        <v>27.64</v>
      </c>
      <c r="P5232">
        <v>27.1</v>
      </c>
      <c r="Q5232">
        <v>27.37</v>
      </c>
      <c r="R5232">
        <v>27.38</v>
      </c>
      <c r="S5232">
        <v>1.97</v>
      </c>
      <c r="T5232">
        <v>0.88</v>
      </c>
      <c r="U5232">
        <v>35.8</v>
      </c>
      <c r="V5232">
        <v>58</v>
      </c>
      <c r="W5232">
        <v>27.34</v>
      </c>
      <c r="X5232">
        <v>1786</v>
      </c>
      <c r="Y5232">
        <v>2000</v>
      </c>
      <c r="Z5232">
        <v>0.89</v>
      </c>
      <c r="AA5232">
        <v>3</v>
      </c>
      <c r="AB5232">
        <v>7</v>
      </c>
      <c r="AC5232">
        <v>1.95</v>
      </c>
      <c r="AD5232" t="s">
        <v>5976</v>
      </c>
      <c r="AE5232" t="s">
        <v>20356</v>
      </c>
      <c r="AF5232" t="s">
        <v>15162</v>
      </c>
      <c r="AG5232" t="s">
        <v>23236</v>
      </c>
      <c r="AH5232">
        <v>-1.08</v>
      </c>
      <c r="AI5232">
        <v>-1.61</v>
      </c>
      <c r="AJ5232">
        <v>4.22</v>
      </c>
      <c r="AK5232">
        <v>10.17</v>
      </c>
      <c r="AL5232">
        <v>1</v>
      </c>
      <c r="AM5232">
        <v>0.15</v>
      </c>
      <c r="AN5232">
        <v>12.29</v>
      </c>
      <c r="AO5232">
        <v>-0.15</v>
      </c>
      <c r="AP5232">
        <v>-0.22</v>
      </c>
    </row>
    <row r="5233" spans="1:42">
      <c r="A5233">
        <v>5232</v>
      </c>
      <c r="B5233" t="str">
        <f>"603585"</f>
        <v>603585</v>
      </c>
      <c r="C5233" t="s">
        <v>23237</v>
      </c>
      <c r="D5233">
        <v>14.84</v>
      </c>
      <c r="E5233">
        <v>0.34</v>
      </c>
      <c r="F5233">
        <v>0.05</v>
      </c>
      <c r="G5233">
        <v>6986</v>
      </c>
      <c r="H5233">
        <v>101</v>
      </c>
      <c r="I5233">
        <v>14.84</v>
      </c>
      <c r="J5233">
        <v>14.85</v>
      </c>
      <c r="K5233" t="s">
        <v>23238</v>
      </c>
      <c r="L5233">
        <v>0.39</v>
      </c>
      <c r="M5233" t="s">
        <v>46</v>
      </c>
      <c r="N5233" t="s">
        <v>2591</v>
      </c>
      <c r="O5233">
        <v>14.9</v>
      </c>
      <c r="P5233">
        <v>14.62</v>
      </c>
      <c r="Q5233">
        <v>14.83</v>
      </c>
      <c r="R5233">
        <v>14.79</v>
      </c>
      <c r="S5233">
        <v>1.89</v>
      </c>
      <c r="T5233">
        <v>1</v>
      </c>
      <c r="U5233">
        <v>-6.74</v>
      </c>
      <c r="V5233">
        <v>-26</v>
      </c>
      <c r="W5233">
        <v>14.79</v>
      </c>
      <c r="X5233">
        <v>2910</v>
      </c>
      <c r="Y5233">
        <v>4075</v>
      </c>
      <c r="Z5233">
        <v>0.71</v>
      </c>
      <c r="AA5233">
        <v>83</v>
      </c>
      <c r="AB5233">
        <v>10</v>
      </c>
      <c r="AC5233">
        <v>1.12</v>
      </c>
      <c r="AD5233" t="s">
        <v>8722</v>
      </c>
      <c r="AE5233" t="s">
        <v>8816</v>
      </c>
      <c r="AF5233" t="s">
        <v>8722</v>
      </c>
      <c r="AG5233" t="s">
        <v>8816</v>
      </c>
      <c r="AH5233">
        <v>-0.74</v>
      </c>
      <c r="AI5233">
        <v>-0.8</v>
      </c>
      <c r="AJ5233">
        <v>1.08</v>
      </c>
      <c r="AK5233">
        <v>2.33</v>
      </c>
      <c r="AL5233">
        <v>1</v>
      </c>
      <c r="AM5233">
        <v>0.34</v>
      </c>
      <c r="AN5233">
        <v>-13.62</v>
      </c>
      <c r="AO5233">
        <v>-0.07</v>
      </c>
      <c r="AP5233">
        <v>-19.52</v>
      </c>
    </row>
    <row r="5234" spans="1:42">
      <c r="A5234">
        <v>5233</v>
      </c>
      <c r="B5234" t="str">
        <f>"871857"</f>
        <v>871857</v>
      </c>
      <c r="C5234" t="s">
        <v>23239</v>
      </c>
      <c r="D5234">
        <v>9.97</v>
      </c>
      <c r="E5234">
        <v>-2.35</v>
      </c>
      <c r="F5234">
        <v>-0.24</v>
      </c>
      <c r="G5234" t="s">
        <v>1646</v>
      </c>
      <c r="H5234">
        <v>20</v>
      </c>
      <c r="I5234">
        <v>9.97</v>
      </c>
      <c r="J5234">
        <v>10</v>
      </c>
      <c r="K5234" t="s">
        <v>23240</v>
      </c>
      <c r="L5234">
        <v>1.37</v>
      </c>
      <c r="M5234" t="s">
        <v>46</v>
      </c>
      <c r="N5234" t="s">
        <v>4277</v>
      </c>
      <c r="O5234">
        <v>10.47</v>
      </c>
      <c r="P5234">
        <v>9.95</v>
      </c>
      <c r="Q5234">
        <v>10.33</v>
      </c>
      <c r="R5234">
        <v>10.21</v>
      </c>
      <c r="S5234">
        <v>5.09</v>
      </c>
      <c r="T5234">
        <v>0.32</v>
      </c>
      <c r="U5234">
        <v>-11.44</v>
      </c>
      <c r="V5234">
        <v>-31</v>
      </c>
      <c r="W5234">
        <v>10.14</v>
      </c>
      <c r="X5234">
        <v>6281</v>
      </c>
      <c r="Y5234">
        <v>3892</v>
      </c>
      <c r="Z5234">
        <v>1.61</v>
      </c>
      <c r="AA5234">
        <v>24</v>
      </c>
      <c r="AB5234">
        <v>28</v>
      </c>
      <c r="AC5234">
        <v>1.9</v>
      </c>
      <c r="AD5234" t="s">
        <v>13081</v>
      </c>
      <c r="AE5234" t="s">
        <v>23241</v>
      </c>
      <c r="AF5234" t="s">
        <v>13081</v>
      </c>
      <c r="AG5234" t="s">
        <v>23241</v>
      </c>
      <c r="AH5234">
        <v>-12.47</v>
      </c>
      <c r="AI5234">
        <v>0.71</v>
      </c>
      <c r="AJ5234">
        <v>6.3</v>
      </c>
      <c r="AK5234">
        <v>22.94</v>
      </c>
      <c r="AL5234">
        <v>-4</v>
      </c>
      <c r="AM5234">
        <v>-2.35</v>
      </c>
      <c r="AN5234">
        <v>16.2</v>
      </c>
      <c r="AO5234">
        <v>32.58</v>
      </c>
      <c r="AP5234">
        <v>14.07</v>
      </c>
    </row>
    <row r="5235" spans="1:42">
      <c r="A5235">
        <v>5234</v>
      </c>
      <c r="B5235" t="str">
        <f>"688466"</f>
        <v>688466</v>
      </c>
      <c r="C5235" t="s">
        <v>23242</v>
      </c>
      <c r="D5235">
        <v>18.92</v>
      </c>
      <c r="E5235">
        <v>-1.66</v>
      </c>
      <c r="F5235">
        <v>-0.32</v>
      </c>
      <c r="G5235">
        <v>5408</v>
      </c>
      <c r="H5235">
        <v>15</v>
      </c>
      <c r="I5235">
        <v>18.92</v>
      </c>
      <c r="J5235">
        <v>18.93</v>
      </c>
      <c r="K5235" t="s">
        <v>23240</v>
      </c>
      <c r="L5235">
        <v>0.44</v>
      </c>
      <c r="M5235" t="s">
        <v>46</v>
      </c>
      <c r="N5235" t="s">
        <v>3631</v>
      </c>
      <c r="O5235">
        <v>19.36</v>
      </c>
      <c r="P5235">
        <v>18.89</v>
      </c>
      <c r="Q5235">
        <v>19.36</v>
      </c>
      <c r="R5235">
        <v>19.24</v>
      </c>
      <c r="S5235">
        <v>2.44</v>
      </c>
      <c r="T5235">
        <v>0.9</v>
      </c>
      <c r="U5235">
        <v>-66.24</v>
      </c>
      <c r="V5235">
        <v>-485</v>
      </c>
      <c r="W5235">
        <v>19.07</v>
      </c>
      <c r="X5235">
        <v>2981</v>
      </c>
      <c r="Y5235">
        <v>2427</v>
      </c>
      <c r="Z5235">
        <v>1.23</v>
      </c>
      <c r="AA5235">
        <v>25</v>
      </c>
      <c r="AB5235">
        <v>86</v>
      </c>
      <c r="AC5235">
        <v>2.05</v>
      </c>
      <c r="AD5235" t="s">
        <v>15393</v>
      </c>
      <c r="AE5235" t="s">
        <v>5806</v>
      </c>
      <c r="AF5235" t="s">
        <v>15393</v>
      </c>
      <c r="AG5235" t="s">
        <v>5806</v>
      </c>
      <c r="AH5235">
        <v>-2.12</v>
      </c>
      <c r="AI5235">
        <v>-2.62</v>
      </c>
      <c r="AJ5235">
        <v>1.38</v>
      </c>
      <c r="AK5235">
        <v>2.89</v>
      </c>
      <c r="AL5235">
        <v>-3</v>
      </c>
      <c r="AM5235">
        <v>-1.66</v>
      </c>
      <c r="AN5235">
        <v>50.4</v>
      </c>
      <c r="AO5235">
        <v>-0.11</v>
      </c>
      <c r="AP5235">
        <v>39.63</v>
      </c>
    </row>
    <row r="5236" spans="1:42">
      <c r="A5236">
        <v>5235</v>
      </c>
      <c r="B5236" t="str">
        <f>"301395"</f>
        <v>301395</v>
      </c>
      <c r="C5236" t="s">
        <v>23243</v>
      </c>
      <c r="D5236">
        <v>19.59</v>
      </c>
      <c r="E5236">
        <v>0.05</v>
      </c>
      <c r="F5236">
        <v>0.01</v>
      </c>
      <c r="G5236">
        <v>5220</v>
      </c>
      <c r="H5236">
        <v>89</v>
      </c>
      <c r="I5236">
        <v>19.58</v>
      </c>
      <c r="J5236">
        <v>19.6</v>
      </c>
      <c r="K5236" t="s">
        <v>23244</v>
      </c>
      <c r="L5236">
        <v>1.52</v>
      </c>
      <c r="M5236" t="s">
        <v>46</v>
      </c>
      <c r="N5236" t="s">
        <v>2959</v>
      </c>
      <c r="O5236">
        <v>19.72</v>
      </c>
      <c r="P5236">
        <v>19.45</v>
      </c>
      <c r="Q5236">
        <v>19.57</v>
      </c>
      <c r="R5236">
        <v>19.58</v>
      </c>
      <c r="S5236">
        <v>1.38</v>
      </c>
      <c r="T5236">
        <v>0.78</v>
      </c>
      <c r="U5236">
        <v>17.28</v>
      </c>
      <c r="V5236">
        <v>56</v>
      </c>
      <c r="W5236">
        <v>19.56</v>
      </c>
      <c r="X5236">
        <v>2510</v>
      </c>
      <c r="Y5236">
        <v>2710</v>
      </c>
      <c r="Z5236">
        <v>0.93</v>
      </c>
      <c r="AA5236">
        <v>42</v>
      </c>
      <c r="AB5236">
        <v>25</v>
      </c>
      <c r="AC5236">
        <v>1.74</v>
      </c>
      <c r="AD5236" t="s">
        <v>23245</v>
      </c>
      <c r="AE5236" t="s">
        <v>4652</v>
      </c>
      <c r="AF5236" t="s">
        <v>23246</v>
      </c>
      <c r="AG5236" t="s">
        <v>12276</v>
      </c>
      <c r="AH5236">
        <v>-2.05</v>
      </c>
      <c r="AI5236">
        <v>-3.16</v>
      </c>
      <c r="AJ5236">
        <v>5.16</v>
      </c>
      <c r="AK5236">
        <v>11.26</v>
      </c>
      <c r="AL5236">
        <v>1</v>
      </c>
      <c r="AM5236">
        <v>0.05</v>
      </c>
      <c r="AN5236">
        <v>-26.57</v>
      </c>
      <c r="AO5236">
        <v>-1.01</v>
      </c>
      <c r="AP5236">
        <v>-26.57</v>
      </c>
    </row>
    <row r="5237" spans="1:42">
      <c r="A5237">
        <v>5236</v>
      </c>
      <c r="B5237" t="str">
        <f>"603580"</f>
        <v>603580</v>
      </c>
      <c r="C5237" t="s">
        <v>23247</v>
      </c>
      <c r="D5237">
        <v>14.18</v>
      </c>
      <c r="E5237">
        <v>-0.98</v>
      </c>
      <c r="F5237">
        <v>-0.14</v>
      </c>
      <c r="G5237">
        <v>7135</v>
      </c>
      <c r="H5237">
        <v>89</v>
      </c>
      <c r="I5237">
        <v>14.17</v>
      </c>
      <c r="J5237">
        <v>14.18</v>
      </c>
      <c r="K5237" t="s">
        <v>23248</v>
      </c>
      <c r="L5237">
        <v>0.55</v>
      </c>
      <c r="M5237" t="s">
        <v>46</v>
      </c>
      <c r="N5237" t="s">
        <v>9994</v>
      </c>
      <c r="O5237">
        <v>14.35</v>
      </c>
      <c r="P5237">
        <v>14.16</v>
      </c>
      <c r="Q5237">
        <v>14.35</v>
      </c>
      <c r="R5237">
        <v>14.32</v>
      </c>
      <c r="S5237">
        <v>1.33</v>
      </c>
      <c r="T5237">
        <v>0.5</v>
      </c>
      <c r="U5237">
        <v>-57.69</v>
      </c>
      <c r="V5237">
        <v>-90</v>
      </c>
      <c r="W5237">
        <v>14.24</v>
      </c>
      <c r="X5237">
        <v>3373</v>
      </c>
      <c r="Y5237">
        <v>3762</v>
      </c>
      <c r="Z5237">
        <v>0.9</v>
      </c>
      <c r="AA5237">
        <v>4</v>
      </c>
      <c r="AB5237">
        <v>86</v>
      </c>
      <c r="AC5237">
        <v>4.2</v>
      </c>
      <c r="AD5237" t="s">
        <v>5480</v>
      </c>
      <c r="AE5237" t="s">
        <v>8597</v>
      </c>
      <c r="AF5237" t="s">
        <v>5480</v>
      </c>
      <c r="AG5237" t="s">
        <v>8597</v>
      </c>
      <c r="AH5237">
        <v>-2.81</v>
      </c>
      <c r="AI5237">
        <v>-0.98</v>
      </c>
      <c r="AJ5237">
        <v>2.47</v>
      </c>
      <c r="AK5237">
        <v>6.03</v>
      </c>
      <c r="AL5237">
        <v>-3</v>
      </c>
      <c r="AM5237">
        <v>-0.98</v>
      </c>
      <c r="AN5237">
        <v>-2.41</v>
      </c>
      <c r="AO5237">
        <v>2.53</v>
      </c>
      <c r="AP5237">
        <v>19.66</v>
      </c>
    </row>
    <row r="5238" spans="1:42">
      <c r="A5238">
        <v>5237</v>
      </c>
      <c r="B5238" t="str">
        <f>"603151"</f>
        <v>603151</v>
      </c>
      <c r="C5238" t="s">
        <v>23249</v>
      </c>
      <c r="D5238">
        <v>15.39</v>
      </c>
      <c r="E5238">
        <v>0.07</v>
      </c>
      <c r="F5238">
        <v>0.01</v>
      </c>
      <c r="G5238">
        <v>6587</v>
      </c>
      <c r="H5238">
        <v>60</v>
      </c>
      <c r="I5238">
        <v>15.38</v>
      </c>
      <c r="J5238">
        <v>15.39</v>
      </c>
      <c r="K5238" t="s">
        <v>23250</v>
      </c>
      <c r="L5238">
        <v>0.81</v>
      </c>
      <c r="M5238" t="s">
        <v>46</v>
      </c>
      <c r="N5238" t="s">
        <v>5453</v>
      </c>
      <c r="O5238">
        <v>15.5</v>
      </c>
      <c r="P5238">
        <v>15.28</v>
      </c>
      <c r="Q5238">
        <v>15.31</v>
      </c>
      <c r="R5238">
        <v>15.38</v>
      </c>
      <c r="S5238">
        <v>1.43</v>
      </c>
      <c r="T5238">
        <v>0.91</v>
      </c>
      <c r="U5238">
        <v>6.6</v>
      </c>
      <c r="V5238">
        <v>14</v>
      </c>
      <c r="W5238">
        <v>15.38</v>
      </c>
      <c r="X5238">
        <v>3550</v>
      </c>
      <c r="Y5238">
        <v>3037</v>
      </c>
      <c r="Z5238">
        <v>1.17</v>
      </c>
      <c r="AA5238">
        <v>51</v>
      </c>
      <c r="AB5238">
        <v>6</v>
      </c>
      <c r="AC5238">
        <v>2.13</v>
      </c>
      <c r="AD5238" t="s">
        <v>2651</v>
      </c>
      <c r="AE5238" t="s">
        <v>23251</v>
      </c>
      <c r="AF5238" t="s">
        <v>12490</v>
      </c>
      <c r="AG5238" t="s">
        <v>5080</v>
      </c>
      <c r="AH5238">
        <v>-1.47</v>
      </c>
      <c r="AI5238">
        <v>-0.52</v>
      </c>
      <c r="AJ5238">
        <v>2.27</v>
      </c>
      <c r="AK5238">
        <v>5.3</v>
      </c>
      <c r="AL5238">
        <v>1</v>
      </c>
      <c r="AM5238">
        <v>0.07</v>
      </c>
      <c r="AN5238">
        <v>-25.07</v>
      </c>
      <c r="AO5238">
        <v>0.98</v>
      </c>
      <c r="AP5238">
        <v>-36.25</v>
      </c>
    </row>
    <row r="5239" spans="1:42">
      <c r="A5239">
        <v>5238</v>
      </c>
      <c r="B5239" t="str">
        <f>"600666"</f>
        <v>600666</v>
      </c>
      <c r="C5239" t="s">
        <v>23252</v>
      </c>
      <c r="D5239">
        <v>2.16</v>
      </c>
      <c r="E5239">
        <v>0</v>
      </c>
      <c r="F5239">
        <v>0</v>
      </c>
      <c r="G5239" t="s">
        <v>7735</v>
      </c>
      <c r="H5239">
        <v>1244</v>
      </c>
      <c r="I5239">
        <v>2.16</v>
      </c>
      <c r="J5239">
        <v>2.17</v>
      </c>
      <c r="K5239" t="s">
        <v>23253</v>
      </c>
      <c r="L5239">
        <v>0.19</v>
      </c>
      <c r="M5239" t="s">
        <v>46</v>
      </c>
      <c r="N5239" t="s">
        <v>5906</v>
      </c>
      <c r="O5239">
        <v>2.17</v>
      </c>
      <c r="P5239">
        <v>2.14</v>
      </c>
      <c r="Q5239">
        <v>2.17</v>
      </c>
      <c r="R5239">
        <v>2.16</v>
      </c>
      <c r="S5239">
        <v>1.39</v>
      </c>
      <c r="T5239">
        <v>0.6</v>
      </c>
      <c r="U5239">
        <v>9.97</v>
      </c>
      <c r="V5239">
        <v>2507</v>
      </c>
      <c r="W5239">
        <v>2.16</v>
      </c>
      <c r="X5239" t="s">
        <v>6395</v>
      </c>
      <c r="Y5239" t="s">
        <v>60</v>
      </c>
      <c r="Z5239">
        <v>1.63</v>
      </c>
      <c r="AA5239">
        <v>3879</v>
      </c>
      <c r="AB5239">
        <v>2572</v>
      </c>
      <c r="AC5239">
        <v>3.81</v>
      </c>
      <c r="AD5239" t="s">
        <v>12718</v>
      </c>
      <c r="AE5239" t="s">
        <v>17948</v>
      </c>
      <c r="AF5239" t="s">
        <v>23254</v>
      </c>
      <c r="AG5239" t="s">
        <v>9286</v>
      </c>
      <c r="AH5239">
        <v>-1.82</v>
      </c>
      <c r="AI5239">
        <v>-4.42</v>
      </c>
      <c r="AJ5239">
        <v>0.71</v>
      </c>
      <c r="AK5239">
        <v>1.82</v>
      </c>
      <c r="AL5239">
        <v>0</v>
      </c>
      <c r="AM5239">
        <v>0</v>
      </c>
      <c r="AN5239">
        <v>43.05</v>
      </c>
      <c r="AO5239">
        <v>-3.14</v>
      </c>
      <c r="AP5239">
        <v>43.05</v>
      </c>
    </row>
    <row r="5240" spans="1:42">
      <c r="A5240">
        <v>5239</v>
      </c>
      <c r="B5240" t="str">
        <f>"600793"</f>
        <v>600793</v>
      </c>
      <c r="C5240" t="s">
        <v>23255</v>
      </c>
      <c r="D5240">
        <v>11.79</v>
      </c>
      <c r="E5240">
        <v>0.43</v>
      </c>
      <c r="F5240">
        <v>0.05</v>
      </c>
      <c r="G5240">
        <v>8579</v>
      </c>
      <c r="H5240">
        <v>61</v>
      </c>
      <c r="I5240">
        <v>11.79</v>
      </c>
      <c r="J5240">
        <v>11.81</v>
      </c>
      <c r="K5240" t="s">
        <v>23256</v>
      </c>
      <c r="L5240">
        <v>0.48</v>
      </c>
      <c r="M5240" t="s">
        <v>46</v>
      </c>
      <c r="N5240" t="s">
        <v>9029</v>
      </c>
      <c r="O5240">
        <v>11.83</v>
      </c>
      <c r="P5240">
        <v>11.7</v>
      </c>
      <c r="Q5240">
        <v>11.76</v>
      </c>
      <c r="R5240">
        <v>11.74</v>
      </c>
      <c r="S5240">
        <v>1.11</v>
      </c>
      <c r="T5240">
        <v>0.78</v>
      </c>
      <c r="U5240">
        <v>-58.35</v>
      </c>
      <c r="V5240">
        <v>-395</v>
      </c>
      <c r="W5240">
        <v>11.78</v>
      </c>
      <c r="X5240">
        <v>3154</v>
      </c>
      <c r="Y5240">
        <v>5425</v>
      </c>
      <c r="Z5240">
        <v>0.58</v>
      </c>
      <c r="AA5240">
        <v>58</v>
      </c>
      <c r="AB5240">
        <v>55</v>
      </c>
      <c r="AC5240">
        <v>3.48</v>
      </c>
      <c r="AD5240" t="s">
        <v>9364</v>
      </c>
      <c r="AE5240" t="s">
        <v>21741</v>
      </c>
      <c r="AF5240" t="s">
        <v>9364</v>
      </c>
      <c r="AG5240" t="s">
        <v>21741</v>
      </c>
      <c r="AH5240">
        <v>-0.67</v>
      </c>
      <c r="AI5240">
        <v>-0.67</v>
      </c>
      <c r="AJ5240">
        <v>1.55</v>
      </c>
      <c r="AK5240">
        <v>3.58</v>
      </c>
      <c r="AL5240">
        <v>1</v>
      </c>
      <c r="AM5240">
        <v>0.43</v>
      </c>
      <c r="AN5240">
        <v>-10.61</v>
      </c>
      <c r="AO5240">
        <v>1.38</v>
      </c>
      <c r="AP5240">
        <v>-11.29</v>
      </c>
    </row>
    <row r="5241" spans="1:42">
      <c r="A5241">
        <v>5240</v>
      </c>
      <c r="B5241" t="str">
        <f>"301273"</f>
        <v>301273</v>
      </c>
      <c r="C5241" t="s">
        <v>23257</v>
      </c>
      <c r="D5241">
        <v>27.72</v>
      </c>
      <c r="E5241">
        <v>-0.86</v>
      </c>
      <c r="F5241">
        <v>-0.24</v>
      </c>
      <c r="G5241">
        <v>3605</v>
      </c>
      <c r="H5241">
        <v>45</v>
      </c>
      <c r="I5241">
        <v>27.72</v>
      </c>
      <c r="J5241">
        <v>27.79</v>
      </c>
      <c r="K5241" t="s">
        <v>23258</v>
      </c>
      <c r="L5241">
        <v>1.04</v>
      </c>
      <c r="M5241" t="s">
        <v>46</v>
      </c>
      <c r="N5241" t="s">
        <v>6946</v>
      </c>
      <c r="O5241">
        <v>27.97</v>
      </c>
      <c r="P5241">
        <v>27.51</v>
      </c>
      <c r="Q5241">
        <v>27.97</v>
      </c>
      <c r="R5241">
        <v>27.96</v>
      </c>
      <c r="S5241">
        <v>1.65</v>
      </c>
      <c r="T5241">
        <v>0.81</v>
      </c>
      <c r="U5241">
        <v>4.35</v>
      </c>
      <c r="V5241">
        <v>3</v>
      </c>
      <c r="W5241">
        <v>27.69</v>
      </c>
      <c r="X5241">
        <v>1934</v>
      </c>
      <c r="Y5241">
        <v>1671</v>
      </c>
      <c r="Z5241">
        <v>1.16</v>
      </c>
      <c r="AA5241">
        <v>13</v>
      </c>
      <c r="AB5241">
        <v>12</v>
      </c>
      <c r="AC5241">
        <v>2</v>
      </c>
      <c r="AD5241" t="s">
        <v>23259</v>
      </c>
      <c r="AE5241" t="s">
        <v>349</v>
      </c>
      <c r="AF5241" t="s">
        <v>20946</v>
      </c>
      <c r="AG5241" t="s">
        <v>23260</v>
      </c>
      <c r="AH5241">
        <v>-2.57</v>
      </c>
      <c r="AI5241">
        <v>-2.33</v>
      </c>
      <c r="AJ5241">
        <v>2.74</v>
      </c>
      <c r="AK5241">
        <v>7.48</v>
      </c>
      <c r="AL5241">
        <v>-3</v>
      </c>
      <c r="AM5241">
        <v>-0.86</v>
      </c>
      <c r="AN5241">
        <v>-32.26</v>
      </c>
      <c r="AO5241">
        <v>0.8</v>
      </c>
      <c r="AP5241">
        <v>-28.3</v>
      </c>
    </row>
    <row r="5242" spans="1:42">
      <c r="A5242">
        <v>5241</v>
      </c>
      <c r="B5242" t="str">
        <f>"688623"</f>
        <v>688623</v>
      </c>
      <c r="C5242" t="s">
        <v>23261</v>
      </c>
      <c r="D5242">
        <v>74.47</v>
      </c>
      <c r="E5242">
        <v>-0.33</v>
      </c>
      <c r="F5242">
        <v>-0.25</v>
      </c>
      <c r="G5242">
        <v>1339</v>
      </c>
      <c r="H5242">
        <v>20</v>
      </c>
      <c r="I5242">
        <v>74.47</v>
      </c>
      <c r="J5242">
        <v>74.48</v>
      </c>
      <c r="K5242" t="s">
        <v>23262</v>
      </c>
      <c r="L5242">
        <v>0.97</v>
      </c>
      <c r="M5242" t="s">
        <v>46</v>
      </c>
      <c r="N5242" t="s">
        <v>4134</v>
      </c>
      <c r="O5242">
        <v>74.83</v>
      </c>
      <c r="P5242">
        <v>74.05</v>
      </c>
      <c r="Q5242">
        <v>74.5</v>
      </c>
      <c r="R5242">
        <v>74.72</v>
      </c>
      <c r="S5242">
        <v>1.04</v>
      </c>
      <c r="T5242">
        <v>0.61</v>
      </c>
      <c r="U5242">
        <v>20.99</v>
      </c>
      <c r="V5242">
        <v>17</v>
      </c>
      <c r="W5242">
        <v>74.33</v>
      </c>
      <c r="X5242">
        <v>863</v>
      </c>
      <c r="Y5242">
        <v>476</v>
      </c>
      <c r="Z5242">
        <v>1.81</v>
      </c>
      <c r="AA5242">
        <v>33</v>
      </c>
      <c r="AB5242">
        <v>18</v>
      </c>
      <c r="AC5242">
        <v>2.05</v>
      </c>
      <c r="AD5242" t="s">
        <v>23045</v>
      </c>
      <c r="AE5242" t="s">
        <v>23263</v>
      </c>
      <c r="AF5242" t="s">
        <v>23264</v>
      </c>
      <c r="AG5242" t="s">
        <v>2553</v>
      </c>
      <c r="AH5242">
        <v>-1.79</v>
      </c>
      <c r="AI5242">
        <v>-1.78</v>
      </c>
      <c r="AJ5242">
        <v>3.51</v>
      </c>
      <c r="AK5242">
        <v>8.89</v>
      </c>
      <c r="AL5242">
        <v>-3</v>
      </c>
      <c r="AM5242">
        <v>-0.33</v>
      </c>
      <c r="AN5242">
        <v>-40.84</v>
      </c>
      <c r="AO5242">
        <v>-1.39</v>
      </c>
      <c r="AP5242">
        <v>-40.84</v>
      </c>
    </row>
    <row r="5243" spans="1:42">
      <c r="A5243">
        <v>5242</v>
      </c>
      <c r="B5243" t="str">
        <f>"836422"</f>
        <v>836422</v>
      </c>
      <c r="C5243" t="s">
        <v>23265</v>
      </c>
      <c r="D5243">
        <v>6.57</v>
      </c>
      <c r="E5243">
        <v>-3.95</v>
      </c>
      <c r="F5243">
        <v>-0.27</v>
      </c>
      <c r="G5243" t="s">
        <v>7836</v>
      </c>
      <c r="H5243">
        <v>228</v>
      </c>
      <c r="I5243">
        <v>6.57</v>
      </c>
      <c r="J5243">
        <v>6.61</v>
      </c>
      <c r="K5243" t="s">
        <v>23266</v>
      </c>
      <c r="L5243">
        <v>4.78</v>
      </c>
      <c r="M5243" t="s">
        <v>46</v>
      </c>
      <c r="N5243" t="s">
        <v>3688</v>
      </c>
      <c r="O5243">
        <v>7.1</v>
      </c>
      <c r="P5243">
        <v>6.57</v>
      </c>
      <c r="Q5243">
        <v>6.69</v>
      </c>
      <c r="R5243">
        <v>6.84</v>
      </c>
      <c r="S5243">
        <v>7.75</v>
      </c>
      <c r="T5243">
        <v>0.39</v>
      </c>
      <c r="U5243">
        <v>9.09</v>
      </c>
      <c r="V5243">
        <v>38</v>
      </c>
      <c r="W5243">
        <v>6.8</v>
      </c>
      <c r="X5243">
        <v>9286</v>
      </c>
      <c r="Y5243">
        <v>5341</v>
      </c>
      <c r="Z5243">
        <v>1.74</v>
      </c>
      <c r="AA5243">
        <v>149</v>
      </c>
      <c r="AB5243">
        <v>74</v>
      </c>
      <c r="AC5243">
        <v>1.34</v>
      </c>
      <c r="AD5243" t="s">
        <v>11809</v>
      </c>
      <c r="AE5243" t="s">
        <v>23267</v>
      </c>
      <c r="AF5243" t="s">
        <v>19492</v>
      </c>
      <c r="AG5243" t="s">
        <v>9683</v>
      </c>
      <c r="AH5243">
        <v>-12.4</v>
      </c>
      <c r="AI5243">
        <v>9.87</v>
      </c>
      <c r="AJ5243">
        <v>19.5</v>
      </c>
      <c r="AK5243">
        <v>66.48</v>
      </c>
      <c r="AL5243">
        <v>-1</v>
      </c>
      <c r="AM5243">
        <v>-3.95</v>
      </c>
      <c r="AN5243">
        <v>-53.73</v>
      </c>
      <c r="AO5243">
        <v>31.66</v>
      </c>
      <c r="AP5243">
        <v>-53.73</v>
      </c>
    </row>
    <row r="5244" spans="1:42">
      <c r="A5244">
        <v>5243</v>
      </c>
      <c r="B5244" t="str">
        <f>"003027"</f>
        <v>003027</v>
      </c>
      <c r="C5244" t="s">
        <v>23268</v>
      </c>
      <c r="D5244">
        <v>18.51</v>
      </c>
      <c r="E5244">
        <v>0.16</v>
      </c>
      <c r="F5244">
        <v>0.03</v>
      </c>
      <c r="G5244">
        <v>5378</v>
      </c>
      <c r="H5244">
        <v>41</v>
      </c>
      <c r="I5244">
        <v>18.51</v>
      </c>
      <c r="J5244">
        <v>18.52</v>
      </c>
      <c r="K5244" t="s">
        <v>23269</v>
      </c>
      <c r="L5244">
        <v>0.81</v>
      </c>
      <c r="M5244" t="s">
        <v>46</v>
      </c>
      <c r="N5244" t="s">
        <v>2607</v>
      </c>
      <c r="O5244">
        <v>18.63</v>
      </c>
      <c r="P5244">
        <v>18.33</v>
      </c>
      <c r="Q5244">
        <v>18.51</v>
      </c>
      <c r="R5244">
        <v>18.48</v>
      </c>
      <c r="S5244">
        <v>1.62</v>
      </c>
      <c r="T5244">
        <v>0.59</v>
      </c>
      <c r="U5244">
        <v>-10.58</v>
      </c>
      <c r="V5244">
        <v>-22</v>
      </c>
      <c r="W5244">
        <v>18.48</v>
      </c>
      <c r="X5244">
        <v>2629</v>
      </c>
      <c r="Y5244">
        <v>2749</v>
      </c>
      <c r="Z5244">
        <v>0.96</v>
      </c>
      <c r="AA5244">
        <v>1</v>
      </c>
      <c r="AB5244">
        <v>10</v>
      </c>
      <c r="AC5244">
        <v>1.43</v>
      </c>
      <c r="AD5244" t="s">
        <v>11862</v>
      </c>
      <c r="AE5244" t="s">
        <v>23270</v>
      </c>
      <c r="AF5244" t="s">
        <v>9889</v>
      </c>
      <c r="AG5244" t="s">
        <v>9594</v>
      </c>
      <c r="AH5244">
        <v>-1.65</v>
      </c>
      <c r="AI5244">
        <v>-1.86</v>
      </c>
      <c r="AJ5244">
        <v>3.16</v>
      </c>
      <c r="AK5244">
        <v>7.71</v>
      </c>
      <c r="AL5244">
        <v>1</v>
      </c>
      <c r="AM5244">
        <v>0.16</v>
      </c>
      <c r="AN5244">
        <v>-23.48</v>
      </c>
      <c r="AO5244">
        <v>1.59</v>
      </c>
      <c r="AP5244">
        <v>-12.85</v>
      </c>
    </row>
    <row r="5245" spans="1:42">
      <c r="A5245">
        <v>5244</v>
      </c>
      <c r="B5245" t="str">
        <f>"603176"</f>
        <v>603176</v>
      </c>
      <c r="C5245" t="s">
        <v>23271</v>
      </c>
      <c r="D5245">
        <v>6.31</v>
      </c>
      <c r="E5245">
        <v>0</v>
      </c>
      <c r="F5245">
        <v>0</v>
      </c>
      <c r="G5245" t="s">
        <v>141</v>
      </c>
      <c r="H5245">
        <v>162</v>
      </c>
      <c r="I5245">
        <v>6.3</v>
      </c>
      <c r="J5245">
        <v>6.31</v>
      </c>
      <c r="K5245" t="s">
        <v>23269</v>
      </c>
      <c r="L5245">
        <v>1.05</v>
      </c>
      <c r="M5245" t="s">
        <v>46</v>
      </c>
      <c r="N5245" t="s">
        <v>3547</v>
      </c>
      <c r="O5245">
        <v>6.34</v>
      </c>
      <c r="P5245">
        <v>6.22</v>
      </c>
      <c r="Q5245">
        <v>6.25</v>
      </c>
      <c r="R5245">
        <v>6.31</v>
      </c>
      <c r="S5245">
        <v>1.9</v>
      </c>
      <c r="T5245">
        <v>0.72</v>
      </c>
      <c r="U5245">
        <v>-14.2</v>
      </c>
      <c r="V5245">
        <v>-332</v>
      </c>
      <c r="W5245">
        <v>6.3</v>
      </c>
      <c r="X5245">
        <v>6634</v>
      </c>
      <c r="Y5245">
        <v>9130</v>
      </c>
      <c r="Z5245">
        <v>0.73</v>
      </c>
      <c r="AA5245">
        <v>572</v>
      </c>
      <c r="AB5245">
        <v>264</v>
      </c>
      <c r="AC5245">
        <v>2.87</v>
      </c>
      <c r="AD5245" t="s">
        <v>7611</v>
      </c>
      <c r="AE5245" t="s">
        <v>16964</v>
      </c>
      <c r="AF5245" t="s">
        <v>3403</v>
      </c>
      <c r="AG5245" t="s">
        <v>23272</v>
      </c>
      <c r="AH5245">
        <v>-0.79</v>
      </c>
      <c r="AI5245">
        <v>-2.32</v>
      </c>
      <c r="AJ5245">
        <v>3.7</v>
      </c>
      <c r="AK5245">
        <v>8.36</v>
      </c>
      <c r="AL5245">
        <v>0</v>
      </c>
      <c r="AM5245">
        <v>0</v>
      </c>
      <c r="AN5245">
        <v>-8.55</v>
      </c>
      <c r="AO5245">
        <v>3.1</v>
      </c>
      <c r="AP5245">
        <v>-18.89</v>
      </c>
    </row>
    <row r="5246" spans="1:42">
      <c r="A5246">
        <v>5245</v>
      </c>
      <c r="B5246" t="str">
        <f>"301232"</f>
        <v>301232</v>
      </c>
      <c r="C5246" t="s">
        <v>23273</v>
      </c>
      <c r="D5246">
        <v>50.36</v>
      </c>
      <c r="E5246">
        <v>-0.12</v>
      </c>
      <c r="F5246">
        <v>-0.06</v>
      </c>
      <c r="G5246">
        <v>1968</v>
      </c>
      <c r="H5246">
        <v>30</v>
      </c>
      <c r="I5246">
        <v>50.36</v>
      </c>
      <c r="J5246">
        <v>50.4</v>
      </c>
      <c r="K5246" t="s">
        <v>23274</v>
      </c>
      <c r="L5246">
        <v>1.54</v>
      </c>
      <c r="M5246" t="s">
        <v>46</v>
      </c>
      <c r="N5246" t="s">
        <v>654</v>
      </c>
      <c r="O5246">
        <v>50.7</v>
      </c>
      <c r="P5246">
        <v>49.92</v>
      </c>
      <c r="Q5246">
        <v>50.21</v>
      </c>
      <c r="R5246">
        <v>50.42</v>
      </c>
      <c r="S5246">
        <v>1.55</v>
      </c>
      <c r="T5246">
        <v>0.67</v>
      </c>
      <c r="U5246">
        <v>45.16</v>
      </c>
      <c r="V5246">
        <v>28</v>
      </c>
      <c r="W5246">
        <v>50.23</v>
      </c>
      <c r="X5246">
        <v>1024</v>
      </c>
      <c r="Y5246">
        <v>944</v>
      </c>
      <c r="Z5246">
        <v>1.08</v>
      </c>
      <c r="AA5246">
        <v>5</v>
      </c>
      <c r="AB5246">
        <v>4</v>
      </c>
      <c r="AC5246">
        <v>1.76</v>
      </c>
      <c r="AD5246" t="s">
        <v>23275</v>
      </c>
      <c r="AE5246" t="s">
        <v>6440</v>
      </c>
      <c r="AF5246" t="s">
        <v>23276</v>
      </c>
      <c r="AG5246" t="s">
        <v>23277</v>
      </c>
      <c r="AH5246">
        <v>-2</v>
      </c>
      <c r="AI5246">
        <v>-3.34</v>
      </c>
      <c r="AJ5246">
        <v>5.64</v>
      </c>
      <c r="AK5246">
        <v>13.06</v>
      </c>
      <c r="AL5246">
        <v>-3</v>
      </c>
      <c r="AM5246">
        <v>-0.12</v>
      </c>
      <c r="AN5246">
        <v>-29.76</v>
      </c>
      <c r="AO5246">
        <v>0.58</v>
      </c>
      <c r="AP5246">
        <v>-29.76</v>
      </c>
    </row>
    <row r="5247" spans="1:42">
      <c r="A5247">
        <v>5246</v>
      </c>
      <c r="B5247" t="str">
        <f>"605099"</f>
        <v>605099</v>
      </c>
      <c r="C5247" t="s">
        <v>23278</v>
      </c>
      <c r="D5247">
        <v>20.85</v>
      </c>
      <c r="E5247">
        <v>-0.24</v>
      </c>
      <c r="F5247">
        <v>-0.05</v>
      </c>
      <c r="G5247">
        <v>4740</v>
      </c>
      <c r="H5247">
        <v>168</v>
      </c>
      <c r="I5247">
        <v>20.85</v>
      </c>
      <c r="J5247">
        <v>20.88</v>
      </c>
      <c r="K5247" t="s">
        <v>23279</v>
      </c>
      <c r="L5247">
        <v>0.12</v>
      </c>
      <c r="M5247" t="s">
        <v>46</v>
      </c>
      <c r="N5247" t="s">
        <v>4428</v>
      </c>
      <c r="O5247">
        <v>20.94</v>
      </c>
      <c r="P5247">
        <v>20.73</v>
      </c>
      <c r="Q5247">
        <v>20.8</v>
      </c>
      <c r="R5247">
        <v>20.9</v>
      </c>
      <c r="S5247">
        <v>1</v>
      </c>
      <c r="T5247">
        <v>0.77</v>
      </c>
      <c r="U5247">
        <v>-29.73</v>
      </c>
      <c r="V5247">
        <v>-99</v>
      </c>
      <c r="W5247">
        <v>20.81</v>
      </c>
      <c r="X5247">
        <v>2700</v>
      </c>
      <c r="Y5247">
        <v>2040</v>
      </c>
      <c r="Z5247">
        <v>1.32</v>
      </c>
      <c r="AA5247">
        <v>42</v>
      </c>
      <c r="AB5247">
        <v>14</v>
      </c>
      <c r="AC5247">
        <v>3.45</v>
      </c>
      <c r="AD5247" t="s">
        <v>5024</v>
      </c>
      <c r="AE5247" t="s">
        <v>23280</v>
      </c>
      <c r="AF5247" t="s">
        <v>5024</v>
      </c>
      <c r="AG5247" t="s">
        <v>23280</v>
      </c>
      <c r="AH5247">
        <v>0.14</v>
      </c>
      <c r="AI5247">
        <v>-0.62</v>
      </c>
      <c r="AJ5247">
        <v>0.41</v>
      </c>
      <c r="AK5247">
        <v>0.88</v>
      </c>
      <c r="AL5247">
        <v>-2</v>
      </c>
      <c r="AM5247">
        <v>-0.24</v>
      </c>
      <c r="AN5247">
        <v>-7.91</v>
      </c>
      <c r="AO5247">
        <v>3.58</v>
      </c>
      <c r="AP5247">
        <v>-14.79</v>
      </c>
    </row>
    <row r="5248" spans="1:42">
      <c r="A5248">
        <v>5247</v>
      </c>
      <c r="B5248" t="str">
        <f>"870866"</f>
        <v>870866</v>
      </c>
      <c r="C5248" t="s">
        <v>23281</v>
      </c>
      <c r="D5248">
        <v>6.21</v>
      </c>
      <c r="E5248">
        <v>-2.82</v>
      </c>
      <c r="F5248">
        <v>-0.18</v>
      </c>
      <c r="G5248" t="s">
        <v>5951</v>
      </c>
      <c r="H5248">
        <v>1250</v>
      </c>
      <c r="I5248">
        <v>6.21</v>
      </c>
      <c r="J5248">
        <v>6.22</v>
      </c>
      <c r="K5248" t="s">
        <v>23282</v>
      </c>
      <c r="L5248">
        <v>2.82</v>
      </c>
      <c r="M5248" t="s">
        <v>46</v>
      </c>
      <c r="N5248" t="s">
        <v>4803</v>
      </c>
      <c r="O5248">
        <v>6.58</v>
      </c>
      <c r="P5248">
        <v>6.18</v>
      </c>
      <c r="Q5248">
        <v>6.45</v>
      </c>
      <c r="R5248">
        <v>6.39</v>
      </c>
      <c r="S5248">
        <v>6.26</v>
      </c>
      <c r="T5248">
        <v>0.31</v>
      </c>
      <c r="U5248">
        <v>87.93</v>
      </c>
      <c r="V5248">
        <v>819</v>
      </c>
      <c r="W5248">
        <v>6.34</v>
      </c>
      <c r="X5248" t="s">
        <v>2807</v>
      </c>
      <c r="Y5248">
        <v>4384</v>
      </c>
      <c r="Z5248">
        <v>2.53</v>
      </c>
      <c r="AA5248">
        <v>37</v>
      </c>
      <c r="AB5248">
        <v>8</v>
      </c>
      <c r="AC5248">
        <v>1.48</v>
      </c>
      <c r="AD5248" t="s">
        <v>21098</v>
      </c>
      <c r="AE5248" t="s">
        <v>965</v>
      </c>
      <c r="AF5248" t="s">
        <v>23283</v>
      </c>
      <c r="AG5248" t="s">
        <v>23284</v>
      </c>
      <c r="AH5248">
        <v>-10.52</v>
      </c>
      <c r="AI5248">
        <v>2.81</v>
      </c>
      <c r="AJ5248">
        <v>13.79</v>
      </c>
      <c r="AK5248">
        <v>48.65</v>
      </c>
      <c r="AL5248">
        <v>-4</v>
      </c>
      <c r="AM5248">
        <v>-2.82</v>
      </c>
      <c r="AN5248">
        <v>1.47</v>
      </c>
      <c r="AO5248">
        <v>15.64</v>
      </c>
      <c r="AP5248">
        <v>-33.08</v>
      </c>
    </row>
    <row r="5249" spans="1:42">
      <c r="A5249">
        <v>5248</v>
      </c>
      <c r="B5249" t="str">
        <f>"600543"</f>
        <v>600543</v>
      </c>
      <c r="C5249" t="s">
        <v>23285</v>
      </c>
      <c r="D5249">
        <v>5.82</v>
      </c>
      <c r="E5249">
        <v>0.52</v>
      </c>
      <c r="F5249">
        <v>0.03</v>
      </c>
      <c r="G5249" t="s">
        <v>1110</v>
      </c>
      <c r="H5249">
        <v>301</v>
      </c>
      <c r="I5249">
        <v>5.81</v>
      </c>
      <c r="J5249">
        <v>5.82</v>
      </c>
      <c r="K5249" t="s">
        <v>23286</v>
      </c>
      <c r="L5249">
        <v>0.52</v>
      </c>
      <c r="M5249" t="s">
        <v>46</v>
      </c>
      <c r="N5249" t="s">
        <v>8967</v>
      </c>
      <c r="O5249">
        <v>5.83</v>
      </c>
      <c r="P5249">
        <v>5.78</v>
      </c>
      <c r="Q5249">
        <v>5.79</v>
      </c>
      <c r="R5249">
        <v>5.79</v>
      </c>
      <c r="S5249">
        <v>0.86</v>
      </c>
      <c r="T5249">
        <v>0.81</v>
      </c>
      <c r="U5249">
        <v>-40.82</v>
      </c>
      <c r="V5249">
        <v>-1752</v>
      </c>
      <c r="W5249">
        <v>5.81</v>
      </c>
      <c r="X5249">
        <v>9244</v>
      </c>
      <c r="Y5249">
        <v>7610</v>
      </c>
      <c r="Z5249">
        <v>1.21</v>
      </c>
      <c r="AA5249">
        <v>175</v>
      </c>
      <c r="AB5249">
        <v>609</v>
      </c>
      <c r="AC5249">
        <v>1.99</v>
      </c>
      <c r="AD5249" t="s">
        <v>23287</v>
      </c>
      <c r="AE5249" t="s">
        <v>11691</v>
      </c>
      <c r="AF5249" t="s">
        <v>23287</v>
      </c>
      <c r="AG5249" t="s">
        <v>11691</v>
      </c>
      <c r="AH5249">
        <v>-0.51</v>
      </c>
      <c r="AI5249">
        <v>-0.68</v>
      </c>
      <c r="AJ5249">
        <v>1.79</v>
      </c>
      <c r="AK5249">
        <v>3.77</v>
      </c>
      <c r="AL5249">
        <v>1</v>
      </c>
      <c r="AM5249">
        <v>0.52</v>
      </c>
      <c r="AN5249">
        <v>-7.32</v>
      </c>
      <c r="AO5249">
        <v>2.28</v>
      </c>
      <c r="AP5249">
        <v>3.19</v>
      </c>
    </row>
    <row r="5250" spans="1:42">
      <c r="A5250">
        <v>5249</v>
      </c>
      <c r="B5250" t="str">
        <f>"430685"</f>
        <v>430685</v>
      </c>
      <c r="C5250" t="s">
        <v>23288</v>
      </c>
      <c r="D5250">
        <v>10.8</v>
      </c>
      <c r="E5250">
        <v>-3.66</v>
      </c>
      <c r="F5250">
        <v>-0.41</v>
      </c>
      <c r="G5250">
        <v>8880</v>
      </c>
      <c r="H5250">
        <v>81</v>
      </c>
      <c r="I5250">
        <v>10.8</v>
      </c>
      <c r="J5250">
        <v>10.84</v>
      </c>
      <c r="K5250" t="s">
        <v>23289</v>
      </c>
      <c r="L5250">
        <v>1.99</v>
      </c>
      <c r="M5250" t="s">
        <v>46</v>
      </c>
      <c r="N5250" t="s">
        <v>9321</v>
      </c>
      <c r="O5250">
        <v>11.53</v>
      </c>
      <c r="P5250">
        <v>10.68</v>
      </c>
      <c r="Q5250">
        <v>11.35</v>
      </c>
      <c r="R5250">
        <v>11.21</v>
      </c>
      <c r="S5250">
        <v>7.58</v>
      </c>
      <c r="T5250">
        <v>0.24</v>
      </c>
      <c r="U5250">
        <v>-21.47</v>
      </c>
      <c r="V5250">
        <v>-49</v>
      </c>
      <c r="W5250">
        <v>11</v>
      </c>
      <c r="X5250">
        <v>5421</v>
      </c>
      <c r="Y5250">
        <v>3459</v>
      </c>
      <c r="Z5250">
        <v>1.57</v>
      </c>
      <c r="AA5250">
        <v>35</v>
      </c>
      <c r="AB5250">
        <v>20</v>
      </c>
      <c r="AC5250">
        <v>1.92</v>
      </c>
      <c r="AD5250" t="s">
        <v>11519</v>
      </c>
      <c r="AE5250" t="s">
        <v>7809</v>
      </c>
      <c r="AF5250" t="s">
        <v>16952</v>
      </c>
      <c r="AG5250" t="s">
        <v>23290</v>
      </c>
      <c r="AH5250">
        <v>-12.76</v>
      </c>
      <c r="AI5250">
        <v>-0.18</v>
      </c>
      <c r="AJ5250">
        <v>11.76</v>
      </c>
      <c r="AK5250">
        <v>42.86</v>
      </c>
      <c r="AL5250">
        <v>-1</v>
      </c>
      <c r="AM5250">
        <v>-3.66</v>
      </c>
      <c r="AN5250">
        <v>-24.21</v>
      </c>
      <c r="AO5250">
        <v>33.33</v>
      </c>
      <c r="AP5250">
        <v>-33.5</v>
      </c>
    </row>
    <row r="5251" spans="1:42">
      <c r="A5251">
        <v>5250</v>
      </c>
      <c r="B5251" t="str">
        <f>"603351"</f>
        <v>603351</v>
      </c>
      <c r="C5251" t="s">
        <v>23291</v>
      </c>
      <c r="D5251">
        <v>27.4</v>
      </c>
      <c r="E5251">
        <v>-0.44</v>
      </c>
      <c r="F5251">
        <v>-0.12</v>
      </c>
      <c r="G5251">
        <v>3446</v>
      </c>
      <c r="H5251">
        <v>20</v>
      </c>
      <c r="I5251">
        <v>27.39</v>
      </c>
      <c r="J5251">
        <v>27.44</v>
      </c>
      <c r="K5251" t="s">
        <v>23292</v>
      </c>
      <c r="L5251">
        <v>0.26</v>
      </c>
      <c r="M5251" t="s">
        <v>46</v>
      </c>
      <c r="N5251" t="s">
        <v>1477</v>
      </c>
      <c r="O5251">
        <v>27.73</v>
      </c>
      <c r="P5251">
        <v>27.3</v>
      </c>
      <c r="Q5251">
        <v>27.57</v>
      </c>
      <c r="R5251">
        <v>27.52</v>
      </c>
      <c r="S5251">
        <v>1.56</v>
      </c>
      <c r="T5251">
        <v>0.67</v>
      </c>
      <c r="U5251">
        <v>68.14</v>
      </c>
      <c r="V5251">
        <v>154</v>
      </c>
      <c r="W5251">
        <v>27.44</v>
      </c>
      <c r="X5251">
        <v>1829</v>
      </c>
      <c r="Y5251">
        <v>1616</v>
      </c>
      <c r="Z5251">
        <v>1.13</v>
      </c>
      <c r="AA5251">
        <v>41</v>
      </c>
      <c r="AB5251">
        <v>1</v>
      </c>
      <c r="AC5251">
        <v>2.39</v>
      </c>
      <c r="AD5251" t="s">
        <v>8609</v>
      </c>
      <c r="AE5251" t="s">
        <v>19157</v>
      </c>
      <c r="AF5251" t="s">
        <v>11171</v>
      </c>
      <c r="AG5251" t="s">
        <v>23293</v>
      </c>
      <c r="AH5251">
        <v>-0.69</v>
      </c>
      <c r="AI5251">
        <v>0</v>
      </c>
      <c r="AJ5251">
        <v>0.72</v>
      </c>
      <c r="AK5251">
        <v>2.17</v>
      </c>
      <c r="AL5251">
        <v>-1</v>
      </c>
      <c r="AM5251">
        <v>-0.44</v>
      </c>
      <c r="AN5251">
        <v>28.34</v>
      </c>
      <c r="AO5251">
        <v>3.55</v>
      </c>
      <c r="AP5251">
        <v>-1.79</v>
      </c>
    </row>
    <row r="5252" spans="1:42">
      <c r="A5252">
        <v>5251</v>
      </c>
      <c r="B5252" t="str">
        <f>"871553"</f>
        <v>871553</v>
      </c>
      <c r="C5252" t="s">
        <v>23294</v>
      </c>
      <c r="D5252">
        <v>4.12</v>
      </c>
      <c r="E5252">
        <v>-7.21</v>
      </c>
      <c r="F5252">
        <v>-0.32</v>
      </c>
      <c r="G5252" t="s">
        <v>2102</v>
      </c>
      <c r="H5252">
        <v>304</v>
      </c>
      <c r="I5252">
        <v>4.11</v>
      </c>
      <c r="J5252">
        <v>4.12</v>
      </c>
      <c r="K5252" t="s">
        <v>23295</v>
      </c>
      <c r="L5252">
        <v>2.37</v>
      </c>
      <c r="M5252" t="s">
        <v>46</v>
      </c>
      <c r="N5252" t="s">
        <v>4676</v>
      </c>
      <c r="O5252">
        <v>4.52</v>
      </c>
      <c r="P5252">
        <v>4.08</v>
      </c>
      <c r="Q5252">
        <v>4.52</v>
      </c>
      <c r="R5252">
        <v>4.44</v>
      </c>
      <c r="S5252">
        <v>9.91</v>
      </c>
      <c r="T5252">
        <v>0.4</v>
      </c>
      <c r="U5252">
        <v>31.69</v>
      </c>
      <c r="V5252">
        <v>291</v>
      </c>
      <c r="W5252">
        <v>4.28</v>
      </c>
      <c r="X5252" t="s">
        <v>61</v>
      </c>
      <c r="Y5252">
        <v>6704</v>
      </c>
      <c r="Z5252">
        <v>2.27</v>
      </c>
      <c r="AA5252">
        <v>200</v>
      </c>
      <c r="AB5252">
        <v>124</v>
      </c>
      <c r="AC5252">
        <v>1.75</v>
      </c>
      <c r="AD5252" t="s">
        <v>23296</v>
      </c>
      <c r="AE5252" t="s">
        <v>23297</v>
      </c>
      <c r="AF5252" t="s">
        <v>4423</v>
      </c>
      <c r="AG5252" t="s">
        <v>23298</v>
      </c>
      <c r="AH5252">
        <v>-19.37</v>
      </c>
      <c r="AI5252">
        <v>-3.06</v>
      </c>
      <c r="AJ5252">
        <v>9.15</v>
      </c>
      <c r="AK5252">
        <v>32.31</v>
      </c>
      <c r="AL5252">
        <v>-4</v>
      </c>
      <c r="AM5252">
        <v>-7.21</v>
      </c>
      <c r="AN5252">
        <v>27.16</v>
      </c>
      <c r="AO5252">
        <v>39.66</v>
      </c>
      <c r="AP5252">
        <v>18.05</v>
      </c>
    </row>
    <row r="5253" spans="1:42">
      <c r="A5253">
        <v>5252</v>
      </c>
      <c r="B5253" t="str">
        <f>"688069"</f>
        <v>688069</v>
      </c>
      <c r="C5253" t="s">
        <v>23299</v>
      </c>
      <c r="D5253">
        <v>20.8</v>
      </c>
      <c r="E5253">
        <v>-0.62</v>
      </c>
      <c r="F5253">
        <v>-0.13</v>
      </c>
      <c r="G5253">
        <v>4478</v>
      </c>
      <c r="H5253">
        <v>68</v>
      </c>
      <c r="I5253">
        <v>20.74</v>
      </c>
      <c r="J5253">
        <v>20.8</v>
      </c>
      <c r="K5253" t="s">
        <v>23300</v>
      </c>
      <c r="L5253">
        <v>0.39</v>
      </c>
      <c r="M5253" t="s">
        <v>46</v>
      </c>
      <c r="N5253" t="s">
        <v>8475</v>
      </c>
      <c r="O5253">
        <v>21</v>
      </c>
      <c r="P5253">
        <v>20.29</v>
      </c>
      <c r="Q5253">
        <v>21</v>
      </c>
      <c r="R5253">
        <v>20.93</v>
      </c>
      <c r="S5253">
        <v>3.39</v>
      </c>
      <c r="T5253">
        <v>1.62</v>
      </c>
      <c r="U5253">
        <v>-63.37</v>
      </c>
      <c r="V5253">
        <v>-114</v>
      </c>
      <c r="W5253">
        <v>20.74</v>
      </c>
      <c r="X5253">
        <v>2880</v>
      </c>
      <c r="Y5253">
        <v>1599</v>
      </c>
      <c r="Z5253">
        <v>1.8</v>
      </c>
      <c r="AA5253">
        <v>5</v>
      </c>
      <c r="AB5253">
        <v>26</v>
      </c>
      <c r="AC5253">
        <v>1.69</v>
      </c>
      <c r="AD5253" t="s">
        <v>22378</v>
      </c>
      <c r="AE5253" t="s">
        <v>19503</v>
      </c>
      <c r="AF5253" t="s">
        <v>22378</v>
      </c>
      <c r="AG5253" t="s">
        <v>19503</v>
      </c>
      <c r="AH5253">
        <v>-0.95</v>
      </c>
      <c r="AI5253">
        <v>-1.75</v>
      </c>
      <c r="AJ5253">
        <v>0.73</v>
      </c>
      <c r="AK5253">
        <v>1.58</v>
      </c>
      <c r="AL5253">
        <v>-3</v>
      </c>
      <c r="AM5253">
        <v>-0.62</v>
      </c>
      <c r="AN5253">
        <v>13.72</v>
      </c>
      <c r="AO5253">
        <v>3.64</v>
      </c>
      <c r="AP5253">
        <v>1.76</v>
      </c>
    </row>
    <row r="5254" spans="1:42">
      <c r="A5254">
        <v>5253</v>
      </c>
      <c r="B5254" t="str">
        <f>"688184"</f>
        <v>688184</v>
      </c>
      <c r="C5254" t="s">
        <v>23301</v>
      </c>
      <c r="D5254">
        <v>20.97</v>
      </c>
      <c r="E5254">
        <v>-1.04</v>
      </c>
      <c r="F5254">
        <v>-0.22</v>
      </c>
      <c r="G5254">
        <v>4415</v>
      </c>
      <c r="H5254">
        <v>11</v>
      </c>
      <c r="I5254">
        <v>20.96</v>
      </c>
      <c r="J5254">
        <v>20.97</v>
      </c>
      <c r="K5254" t="s">
        <v>23302</v>
      </c>
      <c r="L5254">
        <v>0.74</v>
      </c>
      <c r="M5254" t="s">
        <v>46</v>
      </c>
      <c r="N5254" t="s">
        <v>1787</v>
      </c>
      <c r="O5254">
        <v>21.28</v>
      </c>
      <c r="P5254">
        <v>20.81</v>
      </c>
      <c r="Q5254">
        <v>21.01</v>
      </c>
      <c r="R5254">
        <v>21.19</v>
      </c>
      <c r="S5254">
        <v>2.22</v>
      </c>
      <c r="T5254">
        <v>0.73</v>
      </c>
      <c r="U5254">
        <v>33.3</v>
      </c>
      <c r="V5254">
        <v>70</v>
      </c>
      <c r="W5254">
        <v>20.95</v>
      </c>
      <c r="X5254">
        <v>2753</v>
      </c>
      <c r="Y5254">
        <v>1662</v>
      </c>
      <c r="Z5254">
        <v>1.66</v>
      </c>
      <c r="AA5254">
        <v>36</v>
      </c>
      <c r="AB5254">
        <v>10</v>
      </c>
      <c r="AC5254">
        <v>1.09</v>
      </c>
      <c r="AD5254" t="s">
        <v>21103</v>
      </c>
      <c r="AE5254" t="s">
        <v>13585</v>
      </c>
      <c r="AF5254" t="s">
        <v>23303</v>
      </c>
      <c r="AG5254" t="s">
        <v>23304</v>
      </c>
      <c r="AH5254">
        <v>-3.5</v>
      </c>
      <c r="AI5254">
        <v>-3.98</v>
      </c>
      <c r="AJ5254">
        <v>1.94</v>
      </c>
      <c r="AK5254">
        <v>5.82</v>
      </c>
      <c r="AL5254">
        <v>-3</v>
      </c>
      <c r="AM5254">
        <v>-1.04</v>
      </c>
      <c r="AN5254">
        <v>-26.86</v>
      </c>
      <c r="AO5254">
        <v>-0.85</v>
      </c>
      <c r="AP5254">
        <v>-30.97</v>
      </c>
    </row>
    <row r="5255" spans="1:42">
      <c r="A5255">
        <v>5254</v>
      </c>
      <c r="B5255" t="str">
        <f>"301105"</f>
        <v>301105</v>
      </c>
      <c r="C5255" t="s">
        <v>23305</v>
      </c>
      <c r="D5255">
        <v>37.49</v>
      </c>
      <c r="E5255">
        <v>-0.61</v>
      </c>
      <c r="F5255">
        <v>-0.23</v>
      </c>
      <c r="G5255">
        <v>2464</v>
      </c>
      <c r="H5255">
        <v>51</v>
      </c>
      <c r="I5255">
        <v>37.49</v>
      </c>
      <c r="J5255">
        <v>37.5</v>
      </c>
      <c r="K5255" t="s">
        <v>23306</v>
      </c>
      <c r="L5255">
        <v>1.97</v>
      </c>
      <c r="M5255" t="s">
        <v>46</v>
      </c>
      <c r="N5255" t="s">
        <v>8725</v>
      </c>
      <c r="O5255">
        <v>37.83</v>
      </c>
      <c r="P5255">
        <v>37.25</v>
      </c>
      <c r="Q5255">
        <v>37.83</v>
      </c>
      <c r="R5255">
        <v>37.72</v>
      </c>
      <c r="S5255">
        <v>1.54</v>
      </c>
      <c r="T5255">
        <v>0.75</v>
      </c>
      <c r="U5255">
        <v>18.26</v>
      </c>
      <c r="V5255">
        <v>21</v>
      </c>
      <c r="W5255">
        <v>37.42</v>
      </c>
      <c r="X5255">
        <v>1360</v>
      </c>
      <c r="Y5255">
        <v>1104</v>
      </c>
      <c r="Z5255">
        <v>1.23</v>
      </c>
      <c r="AA5255">
        <v>51</v>
      </c>
      <c r="AB5255">
        <v>15</v>
      </c>
      <c r="AC5255">
        <v>2.16</v>
      </c>
      <c r="AD5255" t="s">
        <v>21851</v>
      </c>
      <c r="AE5255" t="s">
        <v>17762</v>
      </c>
      <c r="AF5255" t="s">
        <v>22977</v>
      </c>
      <c r="AG5255" t="s">
        <v>23307</v>
      </c>
      <c r="AH5255">
        <v>-1.16</v>
      </c>
      <c r="AI5255">
        <v>-1.16</v>
      </c>
      <c r="AJ5255">
        <v>6.56</v>
      </c>
      <c r="AK5255">
        <v>15.05</v>
      </c>
      <c r="AL5255">
        <v>-3</v>
      </c>
      <c r="AM5255">
        <v>-0.61</v>
      </c>
      <c r="AN5255">
        <v>0.81</v>
      </c>
      <c r="AO5255">
        <v>1.38</v>
      </c>
      <c r="AP5255">
        <v>-5.09</v>
      </c>
    </row>
    <row r="5256" spans="1:42">
      <c r="A5256">
        <v>5255</v>
      </c>
      <c r="B5256" t="str">
        <f>"300834"</f>
        <v>300834</v>
      </c>
      <c r="C5256" t="s">
        <v>23308</v>
      </c>
      <c r="D5256">
        <v>22.49</v>
      </c>
      <c r="E5256">
        <v>-0.09</v>
      </c>
      <c r="F5256">
        <v>-0.02</v>
      </c>
      <c r="G5256">
        <v>4029</v>
      </c>
      <c r="H5256">
        <v>29</v>
      </c>
      <c r="I5256">
        <v>22.48</v>
      </c>
      <c r="J5256">
        <v>22.49</v>
      </c>
      <c r="K5256" t="s">
        <v>23309</v>
      </c>
      <c r="L5256">
        <v>0.66</v>
      </c>
      <c r="M5256" t="s">
        <v>46</v>
      </c>
      <c r="N5256" t="s">
        <v>4336</v>
      </c>
      <c r="O5256">
        <v>22.58</v>
      </c>
      <c r="P5256">
        <v>22.3</v>
      </c>
      <c r="Q5256">
        <v>22.58</v>
      </c>
      <c r="R5256">
        <v>22.51</v>
      </c>
      <c r="S5256">
        <v>1.24</v>
      </c>
      <c r="T5256">
        <v>0.61</v>
      </c>
      <c r="U5256">
        <v>-60</v>
      </c>
      <c r="V5256">
        <v>-99</v>
      </c>
      <c r="W5256">
        <v>22.46</v>
      </c>
      <c r="X5256">
        <v>2186</v>
      </c>
      <c r="Y5256">
        <v>1843</v>
      </c>
      <c r="Z5256">
        <v>1.19</v>
      </c>
      <c r="AA5256">
        <v>18</v>
      </c>
      <c r="AB5256">
        <v>24</v>
      </c>
      <c r="AC5256">
        <v>1.46</v>
      </c>
      <c r="AD5256" t="s">
        <v>15217</v>
      </c>
      <c r="AE5256" t="s">
        <v>20083</v>
      </c>
      <c r="AF5256" t="s">
        <v>23310</v>
      </c>
      <c r="AG5256" t="s">
        <v>6725</v>
      </c>
      <c r="AH5256">
        <v>-1.7</v>
      </c>
      <c r="AI5256">
        <v>-2.05</v>
      </c>
      <c r="AJ5256">
        <v>2.65</v>
      </c>
      <c r="AK5256">
        <v>6.02</v>
      </c>
      <c r="AL5256">
        <v>-3</v>
      </c>
      <c r="AM5256">
        <v>-0.09</v>
      </c>
      <c r="AN5256">
        <v>-8.17</v>
      </c>
      <c r="AO5256">
        <v>-0.49</v>
      </c>
      <c r="AP5256">
        <v>-13.23</v>
      </c>
    </row>
    <row r="5257" spans="1:42">
      <c r="A5257">
        <v>5256</v>
      </c>
      <c r="B5257" t="str">
        <f>"300495"</f>
        <v>300495</v>
      </c>
      <c r="C5257" t="s">
        <v>23311</v>
      </c>
      <c r="D5257">
        <v>1.75</v>
      </c>
      <c r="E5257">
        <v>1.16</v>
      </c>
      <c r="F5257">
        <v>0.02</v>
      </c>
      <c r="G5257" t="s">
        <v>9332</v>
      </c>
      <c r="H5257">
        <v>880</v>
      </c>
      <c r="I5257">
        <v>1.75</v>
      </c>
      <c r="J5257">
        <v>1.76</v>
      </c>
      <c r="K5257" t="s">
        <v>23312</v>
      </c>
      <c r="L5257">
        <v>0.76</v>
      </c>
      <c r="M5257" t="s">
        <v>46</v>
      </c>
      <c r="N5257" t="s">
        <v>16734</v>
      </c>
      <c r="O5257">
        <v>1.76</v>
      </c>
      <c r="P5257">
        <v>1.72</v>
      </c>
      <c r="Q5257">
        <v>1.72</v>
      </c>
      <c r="R5257">
        <v>1.73</v>
      </c>
      <c r="S5257">
        <v>2.31</v>
      </c>
      <c r="T5257">
        <v>0.59</v>
      </c>
      <c r="U5257">
        <v>18.46</v>
      </c>
      <c r="V5257">
        <v>4402</v>
      </c>
      <c r="W5257">
        <v>1.75</v>
      </c>
      <c r="X5257" t="s">
        <v>587</v>
      </c>
      <c r="Y5257" t="s">
        <v>8966</v>
      </c>
      <c r="Z5257">
        <v>0.81</v>
      </c>
      <c r="AA5257">
        <v>1003</v>
      </c>
      <c r="AB5257">
        <v>4239</v>
      </c>
      <c r="AC5257">
        <v>3.81</v>
      </c>
      <c r="AD5257" t="s">
        <v>23313</v>
      </c>
      <c r="AE5257" t="s">
        <v>13435</v>
      </c>
      <c r="AF5257" t="s">
        <v>23314</v>
      </c>
      <c r="AG5257" t="s">
        <v>10681</v>
      </c>
      <c r="AH5257">
        <v>-2.78</v>
      </c>
      <c r="AI5257">
        <v>-5.41</v>
      </c>
      <c r="AJ5257">
        <v>3.12</v>
      </c>
      <c r="AK5257">
        <v>7.24</v>
      </c>
      <c r="AL5257">
        <v>1</v>
      </c>
      <c r="AM5257">
        <v>1.16</v>
      </c>
      <c r="AN5257">
        <v>-37.5</v>
      </c>
      <c r="AO5257">
        <v>-7.89</v>
      </c>
      <c r="AP5257">
        <v>-59.11</v>
      </c>
    </row>
    <row r="5258" spans="1:42">
      <c r="A5258">
        <v>5257</v>
      </c>
      <c r="B5258" t="str">
        <f>"600365"</f>
        <v>600365</v>
      </c>
      <c r="C5258" t="s">
        <v>23315</v>
      </c>
      <c r="D5258">
        <v>3.92</v>
      </c>
      <c r="E5258">
        <v>-0.51</v>
      </c>
      <c r="F5258">
        <v>-0.02</v>
      </c>
      <c r="G5258" t="s">
        <v>1335</v>
      </c>
      <c r="H5258">
        <v>217</v>
      </c>
      <c r="I5258">
        <v>3.92</v>
      </c>
      <c r="J5258">
        <v>3.93</v>
      </c>
      <c r="K5258" t="s">
        <v>23316</v>
      </c>
      <c r="L5258">
        <v>0.55</v>
      </c>
      <c r="M5258" t="s">
        <v>46</v>
      </c>
      <c r="N5258" t="s">
        <v>2403</v>
      </c>
      <c r="O5258">
        <v>3.95</v>
      </c>
      <c r="P5258">
        <v>3.91</v>
      </c>
      <c r="Q5258">
        <v>3.93</v>
      </c>
      <c r="R5258">
        <v>3.94</v>
      </c>
      <c r="S5258">
        <v>1.02</v>
      </c>
      <c r="T5258">
        <v>0.61</v>
      </c>
      <c r="U5258">
        <v>45.1</v>
      </c>
      <c r="V5258">
        <v>4512</v>
      </c>
      <c r="W5258">
        <v>3.93</v>
      </c>
      <c r="X5258" t="s">
        <v>3130</v>
      </c>
      <c r="Y5258">
        <v>7961</v>
      </c>
      <c r="Z5258">
        <v>1.85</v>
      </c>
      <c r="AA5258">
        <v>1901</v>
      </c>
      <c r="AB5258">
        <v>184</v>
      </c>
      <c r="AC5258">
        <v>5.49</v>
      </c>
      <c r="AD5258" t="s">
        <v>23317</v>
      </c>
      <c r="AE5258" t="s">
        <v>23318</v>
      </c>
      <c r="AF5258" t="s">
        <v>1217</v>
      </c>
      <c r="AG5258" t="s">
        <v>678</v>
      </c>
      <c r="AH5258">
        <v>-1.75</v>
      </c>
      <c r="AI5258">
        <v>-2.73</v>
      </c>
      <c r="AJ5258">
        <v>1.75</v>
      </c>
      <c r="AK5258">
        <v>5.06</v>
      </c>
      <c r="AL5258">
        <v>-1</v>
      </c>
      <c r="AM5258">
        <v>-0.51</v>
      </c>
      <c r="AN5258">
        <v>-4.85</v>
      </c>
      <c r="AO5258">
        <v>-5.54</v>
      </c>
      <c r="AP5258">
        <v>-12.89</v>
      </c>
    </row>
    <row r="5259" spans="1:42">
      <c r="A5259">
        <v>5258</v>
      </c>
      <c r="B5259" t="str">
        <f>"603603"</f>
        <v>603603</v>
      </c>
      <c r="C5259" t="s">
        <v>23319</v>
      </c>
      <c r="D5259">
        <v>3.29</v>
      </c>
      <c r="E5259">
        <v>0.61</v>
      </c>
      <c r="F5259">
        <v>0.02</v>
      </c>
      <c r="G5259" t="s">
        <v>2388</v>
      </c>
      <c r="H5259">
        <v>648</v>
      </c>
      <c r="I5259">
        <v>3.27</v>
      </c>
      <c r="J5259">
        <v>3.29</v>
      </c>
      <c r="K5259" t="s">
        <v>23320</v>
      </c>
      <c r="L5259">
        <v>0.33</v>
      </c>
      <c r="M5259" t="s">
        <v>46</v>
      </c>
      <c r="N5259" t="s">
        <v>3100</v>
      </c>
      <c r="O5259">
        <v>3.32</v>
      </c>
      <c r="P5259">
        <v>3.24</v>
      </c>
      <c r="Q5259">
        <v>3.27</v>
      </c>
      <c r="R5259">
        <v>3.27</v>
      </c>
      <c r="S5259">
        <v>2.45</v>
      </c>
      <c r="T5259">
        <v>0.69</v>
      </c>
      <c r="U5259">
        <v>-20.5</v>
      </c>
      <c r="V5259">
        <v>-2383</v>
      </c>
      <c r="W5259">
        <v>3.28</v>
      </c>
      <c r="X5259" t="s">
        <v>1967</v>
      </c>
      <c r="Y5259" t="s">
        <v>10542</v>
      </c>
      <c r="Z5259">
        <v>0.95</v>
      </c>
      <c r="AA5259">
        <v>490</v>
      </c>
      <c r="AB5259">
        <v>593</v>
      </c>
      <c r="AC5259">
        <v>1.86</v>
      </c>
      <c r="AD5259" t="s">
        <v>22909</v>
      </c>
      <c r="AE5259" t="s">
        <v>17615</v>
      </c>
      <c r="AF5259" t="s">
        <v>23321</v>
      </c>
      <c r="AG5259" t="s">
        <v>23322</v>
      </c>
      <c r="AH5259">
        <v>-2.08</v>
      </c>
      <c r="AI5259">
        <v>-0.3</v>
      </c>
      <c r="AJ5259">
        <v>1.38</v>
      </c>
      <c r="AK5259">
        <v>2.73</v>
      </c>
      <c r="AL5259">
        <v>1</v>
      </c>
      <c r="AM5259">
        <v>0.61</v>
      </c>
      <c r="AN5259">
        <v>-30.74</v>
      </c>
      <c r="AO5259">
        <v>1.86</v>
      </c>
      <c r="AP5259">
        <v>-37.33</v>
      </c>
    </row>
    <row r="5260" spans="1:42">
      <c r="A5260">
        <v>5259</v>
      </c>
      <c r="B5260" t="str">
        <f>"688420"</f>
        <v>688420</v>
      </c>
      <c r="C5260" t="s">
        <v>23323</v>
      </c>
      <c r="D5260">
        <v>26.98</v>
      </c>
      <c r="E5260">
        <v>0.22</v>
      </c>
      <c r="F5260">
        <v>0.06</v>
      </c>
      <c r="G5260">
        <v>3313</v>
      </c>
      <c r="H5260">
        <v>36</v>
      </c>
      <c r="I5260">
        <v>26.93</v>
      </c>
      <c r="J5260">
        <v>26.98</v>
      </c>
      <c r="K5260" t="s">
        <v>23324</v>
      </c>
      <c r="L5260">
        <v>1.55</v>
      </c>
      <c r="M5260" t="s">
        <v>46</v>
      </c>
      <c r="N5260" t="s">
        <v>5745</v>
      </c>
      <c r="O5260">
        <v>27.15</v>
      </c>
      <c r="P5260">
        <v>26.5</v>
      </c>
      <c r="Q5260">
        <v>26.98</v>
      </c>
      <c r="R5260">
        <v>26.92</v>
      </c>
      <c r="S5260">
        <v>2.41</v>
      </c>
      <c r="T5260">
        <v>0.71</v>
      </c>
      <c r="U5260">
        <v>38.33</v>
      </c>
      <c r="V5260">
        <v>60</v>
      </c>
      <c r="W5260">
        <v>26.82</v>
      </c>
      <c r="X5260">
        <v>1679</v>
      </c>
      <c r="Y5260">
        <v>1634</v>
      </c>
      <c r="Z5260">
        <v>1.03</v>
      </c>
      <c r="AA5260">
        <v>6</v>
      </c>
      <c r="AB5260">
        <v>7</v>
      </c>
      <c r="AC5260">
        <v>1.65</v>
      </c>
      <c r="AD5260" t="s">
        <v>21341</v>
      </c>
      <c r="AE5260" t="s">
        <v>8827</v>
      </c>
      <c r="AF5260" t="s">
        <v>12387</v>
      </c>
      <c r="AG5260" t="s">
        <v>6194</v>
      </c>
      <c r="AH5260">
        <v>-2.91</v>
      </c>
      <c r="AI5260">
        <v>-2.63</v>
      </c>
      <c r="AJ5260">
        <v>5.74</v>
      </c>
      <c r="AK5260">
        <v>12.46</v>
      </c>
      <c r="AL5260">
        <v>1</v>
      </c>
      <c r="AM5260">
        <v>0.22</v>
      </c>
      <c r="AN5260">
        <v>-33.33</v>
      </c>
      <c r="AO5260">
        <v>0.26</v>
      </c>
      <c r="AP5260">
        <v>-44.5</v>
      </c>
    </row>
    <row r="5261" spans="1:42">
      <c r="A5261">
        <v>5260</v>
      </c>
      <c r="B5261" t="str">
        <f>"300983"</f>
        <v>300983</v>
      </c>
      <c r="C5261" t="s">
        <v>23325</v>
      </c>
      <c r="D5261">
        <v>30.33</v>
      </c>
      <c r="E5261">
        <v>0.53</v>
      </c>
      <c r="F5261">
        <v>0.16</v>
      </c>
      <c r="G5261">
        <v>2881</v>
      </c>
      <c r="H5261">
        <v>5</v>
      </c>
      <c r="I5261">
        <v>30.33</v>
      </c>
      <c r="J5261">
        <v>30.35</v>
      </c>
      <c r="K5261" t="s">
        <v>23326</v>
      </c>
      <c r="L5261">
        <v>0.9</v>
      </c>
      <c r="M5261" t="s">
        <v>46</v>
      </c>
      <c r="N5261" t="s">
        <v>6401</v>
      </c>
      <c r="O5261">
        <v>30.46</v>
      </c>
      <c r="P5261">
        <v>30.08</v>
      </c>
      <c r="Q5261">
        <v>30.17</v>
      </c>
      <c r="R5261">
        <v>30.17</v>
      </c>
      <c r="S5261">
        <v>1.26</v>
      </c>
      <c r="T5261">
        <v>0.79</v>
      </c>
      <c r="U5261">
        <v>23.99</v>
      </c>
      <c r="V5261">
        <v>32</v>
      </c>
      <c r="W5261">
        <v>30.29</v>
      </c>
      <c r="X5261">
        <v>1276</v>
      </c>
      <c r="Y5261">
        <v>1605</v>
      </c>
      <c r="Z5261">
        <v>0.8</v>
      </c>
      <c r="AA5261">
        <v>6</v>
      </c>
      <c r="AB5261">
        <v>18</v>
      </c>
      <c r="AC5261">
        <v>1.27</v>
      </c>
      <c r="AD5261" t="s">
        <v>9252</v>
      </c>
      <c r="AE5261" t="s">
        <v>373</v>
      </c>
      <c r="AF5261" t="s">
        <v>21320</v>
      </c>
      <c r="AG5261" t="s">
        <v>10436</v>
      </c>
      <c r="AH5261">
        <v>-1.53</v>
      </c>
      <c r="AI5261">
        <v>-1.88</v>
      </c>
      <c r="AJ5261">
        <v>2.96</v>
      </c>
      <c r="AK5261">
        <v>6.59</v>
      </c>
      <c r="AL5261">
        <v>1</v>
      </c>
      <c r="AM5261">
        <v>0.53</v>
      </c>
      <c r="AN5261">
        <v>9.49</v>
      </c>
      <c r="AO5261">
        <v>1.23</v>
      </c>
      <c r="AP5261">
        <v>0.53</v>
      </c>
    </row>
    <row r="5262" spans="1:42">
      <c r="A5262">
        <v>5261</v>
      </c>
      <c r="B5262" t="str">
        <f>"002289"</f>
        <v>002289</v>
      </c>
      <c r="C5262" t="s">
        <v>23327</v>
      </c>
      <c r="D5262">
        <v>6.35</v>
      </c>
      <c r="E5262">
        <v>0.16</v>
      </c>
      <c r="F5262">
        <v>0.01</v>
      </c>
      <c r="G5262" t="s">
        <v>1384</v>
      </c>
      <c r="H5262">
        <v>159</v>
      </c>
      <c r="I5262">
        <v>6.35</v>
      </c>
      <c r="J5262">
        <v>6.36</v>
      </c>
      <c r="K5262" t="s">
        <v>23328</v>
      </c>
      <c r="L5262">
        <v>0.51</v>
      </c>
      <c r="M5262" t="s">
        <v>46</v>
      </c>
      <c r="N5262" t="s">
        <v>9496</v>
      </c>
      <c r="O5262">
        <v>6.4</v>
      </c>
      <c r="P5262">
        <v>6.3</v>
      </c>
      <c r="Q5262">
        <v>6.35</v>
      </c>
      <c r="R5262">
        <v>6.34</v>
      </c>
      <c r="S5262">
        <v>1.58</v>
      </c>
      <c r="T5262">
        <v>0.39</v>
      </c>
      <c r="U5262">
        <v>-21.46</v>
      </c>
      <c r="V5262">
        <v>-388</v>
      </c>
      <c r="W5262">
        <v>6.34</v>
      </c>
      <c r="X5262">
        <v>8354</v>
      </c>
      <c r="Y5262">
        <v>5143</v>
      </c>
      <c r="Z5262">
        <v>1.62</v>
      </c>
      <c r="AA5262">
        <v>135</v>
      </c>
      <c r="AB5262">
        <v>113</v>
      </c>
      <c r="AC5262">
        <v>7.08</v>
      </c>
      <c r="AD5262" t="s">
        <v>7822</v>
      </c>
      <c r="AE5262" t="s">
        <v>9531</v>
      </c>
      <c r="AF5262" t="s">
        <v>22517</v>
      </c>
      <c r="AG5262" t="s">
        <v>7330</v>
      </c>
      <c r="AH5262">
        <v>-2.91</v>
      </c>
      <c r="AI5262">
        <v>-1.85</v>
      </c>
      <c r="AJ5262">
        <v>2.29</v>
      </c>
      <c r="AK5262">
        <v>7.03</v>
      </c>
      <c r="AL5262">
        <v>1</v>
      </c>
      <c r="AM5262">
        <v>0.16</v>
      </c>
      <c r="AN5262">
        <v>-7.97</v>
      </c>
      <c r="AO5262">
        <v>3.08</v>
      </c>
      <c r="AP5262">
        <v>-26.25</v>
      </c>
    </row>
    <row r="5263" spans="1:42">
      <c r="A5263">
        <v>5262</v>
      </c>
      <c r="B5263" t="str">
        <f>"603909"</f>
        <v>603909</v>
      </c>
      <c r="C5263" t="s">
        <v>23329</v>
      </c>
      <c r="D5263">
        <v>11.91</v>
      </c>
      <c r="E5263">
        <v>0.85</v>
      </c>
      <c r="F5263">
        <v>0.1</v>
      </c>
      <c r="G5263">
        <v>7193</v>
      </c>
      <c r="H5263">
        <v>13</v>
      </c>
      <c r="I5263">
        <v>11.89</v>
      </c>
      <c r="J5263">
        <v>11.91</v>
      </c>
      <c r="K5263" t="s">
        <v>23330</v>
      </c>
      <c r="L5263">
        <v>0.28</v>
      </c>
      <c r="M5263" t="s">
        <v>46</v>
      </c>
      <c r="N5263" t="s">
        <v>7262</v>
      </c>
      <c r="O5263">
        <v>12.01</v>
      </c>
      <c r="P5263">
        <v>11.76</v>
      </c>
      <c r="Q5263">
        <v>11.81</v>
      </c>
      <c r="R5263">
        <v>11.81</v>
      </c>
      <c r="S5263">
        <v>2.12</v>
      </c>
      <c r="T5263">
        <v>0.64</v>
      </c>
      <c r="U5263">
        <v>30.14</v>
      </c>
      <c r="V5263">
        <v>107</v>
      </c>
      <c r="W5263">
        <v>11.88</v>
      </c>
      <c r="X5263">
        <v>3172</v>
      </c>
      <c r="Y5263">
        <v>4021</v>
      </c>
      <c r="Z5263">
        <v>0.79</v>
      </c>
      <c r="AA5263">
        <v>12</v>
      </c>
      <c r="AB5263">
        <v>52</v>
      </c>
      <c r="AC5263">
        <v>3.25</v>
      </c>
      <c r="AD5263" t="s">
        <v>3269</v>
      </c>
      <c r="AE5263" t="s">
        <v>23331</v>
      </c>
      <c r="AF5263" t="s">
        <v>3269</v>
      </c>
      <c r="AG5263" t="s">
        <v>23331</v>
      </c>
      <c r="AH5263">
        <v>-1.57</v>
      </c>
      <c r="AI5263">
        <v>-2.38</v>
      </c>
      <c r="AJ5263">
        <v>1.13</v>
      </c>
      <c r="AK5263">
        <v>2.43</v>
      </c>
      <c r="AL5263">
        <v>1</v>
      </c>
      <c r="AM5263">
        <v>0.85</v>
      </c>
      <c r="AN5263">
        <v>45.6</v>
      </c>
      <c r="AO5263">
        <v>2.94</v>
      </c>
      <c r="AP5263">
        <v>22.4</v>
      </c>
    </row>
    <row r="5264" spans="1:42">
      <c r="A5264">
        <v>5263</v>
      </c>
      <c r="B5264" t="str">
        <f>"832471"</f>
        <v>832471</v>
      </c>
      <c r="C5264" t="s">
        <v>23332</v>
      </c>
      <c r="D5264">
        <v>7.83</v>
      </c>
      <c r="E5264">
        <v>-6.45</v>
      </c>
      <c r="F5264">
        <v>-0.54</v>
      </c>
      <c r="G5264" t="s">
        <v>1400</v>
      </c>
      <c r="H5264">
        <v>282</v>
      </c>
      <c r="I5264">
        <v>7.83</v>
      </c>
      <c r="J5264">
        <v>7.86</v>
      </c>
      <c r="K5264" t="s">
        <v>23333</v>
      </c>
      <c r="L5264">
        <v>4.05</v>
      </c>
      <c r="M5264" t="s">
        <v>46</v>
      </c>
      <c r="N5264" t="s">
        <v>5745</v>
      </c>
      <c r="O5264">
        <v>8.6</v>
      </c>
      <c r="P5264">
        <v>7.66</v>
      </c>
      <c r="Q5264">
        <v>8.37</v>
      </c>
      <c r="R5264">
        <v>8.37</v>
      </c>
      <c r="S5264">
        <v>11.23</v>
      </c>
      <c r="T5264">
        <v>0.3</v>
      </c>
      <c r="U5264">
        <v>-9.49</v>
      </c>
      <c r="V5264">
        <v>-35</v>
      </c>
      <c r="W5264">
        <v>8.12</v>
      </c>
      <c r="X5264">
        <v>5919</v>
      </c>
      <c r="Y5264">
        <v>4577</v>
      </c>
      <c r="Z5264">
        <v>1.29</v>
      </c>
      <c r="AA5264">
        <v>24</v>
      </c>
      <c r="AB5264">
        <v>87</v>
      </c>
      <c r="AC5264">
        <v>1.18</v>
      </c>
      <c r="AD5264" t="s">
        <v>15955</v>
      </c>
      <c r="AE5264" t="s">
        <v>13275</v>
      </c>
      <c r="AF5264" t="s">
        <v>20529</v>
      </c>
      <c r="AG5264" t="s">
        <v>8757</v>
      </c>
      <c r="AH5264">
        <v>-18.27</v>
      </c>
      <c r="AI5264">
        <v>-0.51</v>
      </c>
      <c r="AJ5264">
        <v>18.08</v>
      </c>
      <c r="AK5264">
        <v>70.84</v>
      </c>
      <c r="AL5264">
        <v>-4</v>
      </c>
      <c r="AM5264">
        <v>-6.45</v>
      </c>
      <c r="AN5264">
        <v>-60.41</v>
      </c>
      <c r="AO5264">
        <v>26.9</v>
      </c>
      <c r="AP5264">
        <v>-60.41</v>
      </c>
    </row>
    <row r="5265" spans="1:42">
      <c r="A5265">
        <v>5264</v>
      </c>
      <c r="B5265" t="str">
        <f>"688151"</f>
        <v>688151</v>
      </c>
      <c r="C5265" t="s">
        <v>23334</v>
      </c>
      <c r="D5265">
        <v>19.2</v>
      </c>
      <c r="E5265">
        <v>0.63</v>
      </c>
      <c r="F5265">
        <v>0.12</v>
      </c>
      <c r="G5265">
        <v>4468</v>
      </c>
      <c r="H5265">
        <v>124</v>
      </c>
      <c r="I5265">
        <v>19.2</v>
      </c>
      <c r="J5265">
        <v>19.21</v>
      </c>
      <c r="K5265" t="s">
        <v>23333</v>
      </c>
      <c r="L5265">
        <v>0.45</v>
      </c>
      <c r="M5265" t="s">
        <v>46</v>
      </c>
      <c r="N5265" t="s">
        <v>4010</v>
      </c>
      <c r="O5265">
        <v>19.21</v>
      </c>
      <c r="P5265">
        <v>18.91</v>
      </c>
      <c r="Q5265">
        <v>19.08</v>
      </c>
      <c r="R5265">
        <v>19.08</v>
      </c>
      <c r="S5265">
        <v>1.57</v>
      </c>
      <c r="T5265">
        <v>0.67</v>
      </c>
      <c r="U5265">
        <v>75.97</v>
      </c>
      <c r="V5265">
        <v>1687</v>
      </c>
      <c r="W5265">
        <v>19.06</v>
      </c>
      <c r="X5265">
        <v>2138</v>
      </c>
      <c r="Y5265">
        <v>2330</v>
      </c>
      <c r="Z5265">
        <v>0.92</v>
      </c>
      <c r="AA5265">
        <v>398</v>
      </c>
      <c r="AB5265">
        <v>39</v>
      </c>
      <c r="AC5265">
        <v>1.58</v>
      </c>
      <c r="AD5265" t="s">
        <v>23335</v>
      </c>
      <c r="AE5265" t="s">
        <v>23336</v>
      </c>
      <c r="AF5265" t="s">
        <v>23337</v>
      </c>
      <c r="AG5265" t="s">
        <v>2654</v>
      </c>
      <c r="AH5265">
        <v>-1.18</v>
      </c>
      <c r="AI5265">
        <v>-0.93</v>
      </c>
      <c r="AJ5265">
        <v>1.82</v>
      </c>
      <c r="AK5265">
        <v>3.79</v>
      </c>
      <c r="AL5265">
        <v>1</v>
      </c>
      <c r="AM5265">
        <v>0.63</v>
      </c>
      <c r="AN5265">
        <v>1.11</v>
      </c>
      <c r="AO5265">
        <v>0.31</v>
      </c>
      <c r="AP5265">
        <v>-7.25</v>
      </c>
    </row>
    <row r="5266" spans="1:42">
      <c r="A5266">
        <v>5265</v>
      </c>
      <c r="B5266" t="str">
        <f>"688070"</f>
        <v>688070</v>
      </c>
      <c r="C5266" t="s">
        <v>23338</v>
      </c>
      <c r="D5266">
        <v>35.98</v>
      </c>
      <c r="E5266">
        <v>-1.42</v>
      </c>
      <c r="F5266">
        <v>-0.52</v>
      </c>
      <c r="G5266">
        <v>2363</v>
      </c>
      <c r="H5266">
        <v>15</v>
      </c>
      <c r="I5266">
        <v>35.98</v>
      </c>
      <c r="J5266">
        <v>36.01</v>
      </c>
      <c r="K5266" t="s">
        <v>23339</v>
      </c>
      <c r="L5266">
        <v>0.62</v>
      </c>
      <c r="M5266" t="s">
        <v>46</v>
      </c>
      <c r="N5266" t="s">
        <v>6882</v>
      </c>
      <c r="O5266">
        <v>36.68</v>
      </c>
      <c r="P5266">
        <v>35.8</v>
      </c>
      <c r="Q5266">
        <v>36.2</v>
      </c>
      <c r="R5266">
        <v>36.5</v>
      </c>
      <c r="S5266">
        <v>2.41</v>
      </c>
      <c r="T5266">
        <v>0.91</v>
      </c>
      <c r="U5266">
        <v>-17.26</v>
      </c>
      <c r="V5266">
        <v>-12</v>
      </c>
      <c r="W5266">
        <v>36.01</v>
      </c>
      <c r="X5266">
        <v>1399</v>
      </c>
      <c r="Y5266">
        <v>964</v>
      </c>
      <c r="Z5266">
        <v>1.45</v>
      </c>
      <c r="AA5266">
        <v>3</v>
      </c>
      <c r="AB5266">
        <v>4</v>
      </c>
      <c r="AC5266">
        <v>4.88</v>
      </c>
      <c r="AD5266" t="s">
        <v>11915</v>
      </c>
      <c r="AE5266" t="s">
        <v>6660</v>
      </c>
      <c r="AF5266" t="s">
        <v>16279</v>
      </c>
      <c r="AG5266" t="s">
        <v>6725</v>
      </c>
      <c r="AH5266">
        <v>-3.31</v>
      </c>
      <c r="AI5266">
        <v>-5.22</v>
      </c>
      <c r="AJ5266">
        <v>1.87</v>
      </c>
      <c r="AK5266">
        <v>3.99</v>
      </c>
      <c r="AL5266">
        <v>-3</v>
      </c>
      <c r="AM5266">
        <v>-1.42</v>
      </c>
      <c r="AN5266">
        <v>-14.88</v>
      </c>
      <c r="AO5266">
        <v>0.76</v>
      </c>
      <c r="AP5266">
        <v>-21.23</v>
      </c>
    </row>
    <row r="5267" spans="1:42">
      <c r="A5267">
        <v>5266</v>
      </c>
      <c r="B5267" t="str">
        <f>"688113"</f>
        <v>688113</v>
      </c>
      <c r="C5267" t="s">
        <v>23340</v>
      </c>
      <c r="D5267">
        <v>45.86</v>
      </c>
      <c r="E5267">
        <v>0.79</v>
      </c>
      <c r="F5267">
        <v>0.36</v>
      </c>
      <c r="G5267">
        <v>1862</v>
      </c>
      <c r="H5267">
        <v>9</v>
      </c>
      <c r="I5267">
        <v>45.66</v>
      </c>
      <c r="J5267">
        <v>45.86</v>
      </c>
      <c r="K5267" t="s">
        <v>23341</v>
      </c>
      <c r="L5267">
        <v>0.45</v>
      </c>
      <c r="M5267" t="s">
        <v>46</v>
      </c>
      <c r="N5267" t="s">
        <v>4207</v>
      </c>
      <c r="O5267">
        <v>46.08</v>
      </c>
      <c r="P5267">
        <v>44.8</v>
      </c>
      <c r="Q5267">
        <v>45.07</v>
      </c>
      <c r="R5267">
        <v>45.5</v>
      </c>
      <c r="S5267">
        <v>2.81</v>
      </c>
      <c r="T5267">
        <v>0.81</v>
      </c>
      <c r="U5267">
        <v>25.94</v>
      </c>
      <c r="V5267">
        <v>15</v>
      </c>
      <c r="W5267">
        <v>45.52</v>
      </c>
      <c r="X5267">
        <v>944</v>
      </c>
      <c r="Y5267">
        <v>918</v>
      </c>
      <c r="Z5267">
        <v>1.03</v>
      </c>
      <c r="AA5267">
        <v>1</v>
      </c>
      <c r="AB5267">
        <v>1</v>
      </c>
      <c r="AC5267">
        <v>3.48</v>
      </c>
      <c r="AD5267" t="s">
        <v>20957</v>
      </c>
      <c r="AE5267" t="s">
        <v>19589</v>
      </c>
      <c r="AF5267" t="s">
        <v>23342</v>
      </c>
      <c r="AG5267" t="s">
        <v>23343</v>
      </c>
      <c r="AH5267">
        <v>-1.21</v>
      </c>
      <c r="AI5267">
        <v>-0.95</v>
      </c>
      <c r="AJ5267">
        <v>1.38</v>
      </c>
      <c r="AK5267">
        <v>3.23</v>
      </c>
      <c r="AL5267">
        <v>1</v>
      </c>
      <c r="AM5267">
        <v>0.79</v>
      </c>
      <c r="AN5267">
        <v>10.45</v>
      </c>
      <c r="AO5267">
        <v>4.87</v>
      </c>
      <c r="AP5267">
        <v>-2.88</v>
      </c>
    </row>
    <row r="5268" spans="1:42">
      <c r="A5268">
        <v>5267</v>
      </c>
      <c r="B5268" t="str">
        <f>"873339"</f>
        <v>873339</v>
      </c>
      <c r="C5268" t="s">
        <v>23344</v>
      </c>
      <c r="D5268">
        <v>4.97</v>
      </c>
      <c r="E5268">
        <v>-1.78</v>
      </c>
      <c r="F5268">
        <v>-0.09</v>
      </c>
      <c r="G5268" t="s">
        <v>1112</v>
      </c>
      <c r="H5268">
        <v>307</v>
      </c>
      <c r="I5268">
        <v>4.97</v>
      </c>
      <c r="J5268">
        <v>4.98</v>
      </c>
      <c r="K5268" t="s">
        <v>23345</v>
      </c>
      <c r="L5268">
        <v>2.81</v>
      </c>
      <c r="M5268" t="s">
        <v>46</v>
      </c>
      <c r="N5268" t="s">
        <v>3239</v>
      </c>
      <c r="O5268">
        <v>5.18</v>
      </c>
      <c r="P5268">
        <v>4.9</v>
      </c>
      <c r="Q5268">
        <v>5.08</v>
      </c>
      <c r="R5268">
        <v>5.06</v>
      </c>
      <c r="S5268">
        <v>5.53</v>
      </c>
      <c r="T5268">
        <v>0.25</v>
      </c>
      <c r="U5268">
        <v>31.58</v>
      </c>
      <c r="V5268">
        <v>414</v>
      </c>
      <c r="W5268">
        <v>5.02</v>
      </c>
      <c r="X5268" t="s">
        <v>1052</v>
      </c>
      <c r="Y5268">
        <v>4682</v>
      </c>
      <c r="Z5268">
        <v>2.58</v>
      </c>
      <c r="AA5268">
        <v>15</v>
      </c>
      <c r="AB5268">
        <v>98</v>
      </c>
      <c r="AC5268">
        <v>1.97</v>
      </c>
      <c r="AD5268" t="s">
        <v>23346</v>
      </c>
      <c r="AE5268" t="s">
        <v>1005</v>
      </c>
      <c r="AF5268" t="s">
        <v>23347</v>
      </c>
      <c r="AG5268" t="s">
        <v>16433</v>
      </c>
      <c r="AH5268">
        <v>-12.65</v>
      </c>
      <c r="AI5268">
        <v>5.52</v>
      </c>
      <c r="AJ5268">
        <v>17.75</v>
      </c>
      <c r="AK5268">
        <v>58.83</v>
      </c>
      <c r="AL5268">
        <v>-4</v>
      </c>
      <c r="AM5268">
        <v>-1.78</v>
      </c>
      <c r="AN5268">
        <v>5.52</v>
      </c>
      <c r="AO5268">
        <v>29.77</v>
      </c>
      <c r="AP5268">
        <v>-12.19</v>
      </c>
    </row>
    <row r="5269" spans="1:42">
      <c r="A5269">
        <v>5268</v>
      </c>
      <c r="B5269" t="str">
        <f>"838163"</f>
        <v>838163</v>
      </c>
      <c r="C5269" t="s">
        <v>23348</v>
      </c>
      <c r="D5269">
        <v>6.55</v>
      </c>
      <c r="E5269">
        <v>-6.43</v>
      </c>
      <c r="F5269">
        <v>-0.45</v>
      </c>
      <c r="G5269" t="s">
        <v>2547</v>
      </c>
      <c r="H5269">
        <v>173</v>
      </c>
      <c r="I5269">
        <v>6.55</v>
      </c>
      <c r="J5269">
        <v>6.56</v>
      </c>
      <c r="K5269" t="s">
        <v>23349</v>
      </c>
      <c r="L5269">
        <v>2.05</v>
      </c>
      <c r="M5269" t="s">
        <v>46</v>
      </c>
      <c r="N5269" t="s">
        <v>4102</v>
      </c>
      <c r="O5269">
        <v>7.1</v>
      </c>
      <c r="P5269">
        <v>6.44</v>
      </c>
      <c r="Q5269">
        <v>7.03</v>
      </c>
      <c r="R5269">
        <v>7</v>
      </c>
      <c r="S5269">
        <v>9.43</v>
      </c>
      <c r="T5269">
        <v>0.42</v>
      </c>
      <c r="U5269">
        <v>20.48</v>
      </c>
      <c r="V5269">
        <v>131</v>
      </c>
      <c r="W5269">
        <v>6.69</v>
      </c>
      <c r="X5269">
        <v>7825</v>
      </c>
      <c r="Y5269">
        <v>4661</v>
      </c>
      <c r="Z5269">
        <v>1.68</v>
      </c>
      <c r="AA5269">
        <v>78</v>
      </c>
      <c r="AB5269">
        <v>100</v>
      </c>
      <c r="AC5269">
        <v>1.94</v>
      </c>
      <c r="AD5269" t="s">
        <v>23350</v>
      </c>
      <c r="AE5269" t="s">
        <v>20099</v>
      </c>
      <c r="AF5269" t="s">
        <v>14624</v>
      </c>
      <c r="AG5269" t="s">
        <v>18170</v>
      </c>
      <c r="AH5269">
        <v>-12.78</v>
      </c>
      <c r="AI5269">
        <v>-0.3</v>
      </c>
      <c r="AJ5269">
        <v>9.21</v>
      </c>
      <c r="AK5269">
        <v>26.71</v>
      </c>
      <c r="AL5269">
        <v>-1</v>
      </c>
      <c r="AM5269">
        <v>-6.43</v>
      </c>
      <c r="AN5269">
        <v>25.24</v>
      </c>
      <c r="AO5269">
        <v>19.53</v>
      </c>
      <c r="AP5269">
        <v>18.02</v>
      </c>
    </row>
    <row r="5270" spans="1:42">
      <c r="A5270">
        <v>5269</v>
      </c>
      <c r="B5270" t="str">
        <f>"301265"</f>
        <v>301265</v>
      </c>
      <c r="C5270" t="s">
        <v>23351</v>
      </c>
      <c r="D5270">
        <v>11.29</v>
      </c>
      <c r="E5270">
        <v>0.27</v>
      </c>
      <c r="F5270">
        <v>0.03</v>
      </c>
      <c r="G5270">
        <v>7385</v>
      </c>
      <c r="H5270">
        <v>56</v>
      </c>
      <c r="I5270">
        <v>11.29</v>
      </c>
      <c r="J5270">
        <v>11.3</v>
      </c>
      <c r="K5270" t="s">
        <v>23352</v>
      </c>
      <c r="L5270">
        <v>0.97</v>
      </c>
      <c r="M5270" t="s">
        <v>46</v>
      </c>
      <c r="N5270" t="s">
        <v>11881</v>
      </c>
      <c r="O5270">
        <v>11.33</v>
      </c>
      <c r="P5270">
        <v>11.21</v>
      </c>
      <c r="Q5270">
        <v>11.26</v>
      </c>
      <c r="R5270">
        <v>11.26</v>
      </c>
      <c r="S5270">
        <v>1.07</v>
      </c>
      <c r="T5270">
        <v>0.53</v>
      </c>
      <c r="U5270">
        <v>-45.72</v>
      </c>
      <c r="V5270">
        <v>-696</v>
      </c>
      <c r="W5270">
        <v>11.27</v>
      </c>
      <c r="X5270">
        <v>3453</v>
      </c>
      <c r="Y5270">
        <v>3932</v>
      </c>
      <c r="Z5270">
        <v>0.88</v>
      </c>
      <c r="AA5270">
        <v>9</v>
      </c>
      <c r="AB5270">
        <v>11</v>
      </c>
      <c r="AC5270">
        <v>1.67</v>
      </c>
      <c r="AD5270" t="s">
        <v>22461</v>
      </c>
      <c r="AE5270" t="s">
        <v>10864</v>
      </c>
      <c r="AF5270" t="s">
        <v>23353</v>
      </c>
      <c r="AG5270" t="s">
        <v>23354</v>
      </c>
      <c r="AH5270">
        <v>-0.7</v>
      </c>
      <c r="AI5270">
        <v>-2</v>
      </c>
      <c r="AJ5270">
        <v>3.55</v>
      </c>
      <c r="AK5270">
        <v>10.12</v>
      </c>
      <c r="AL5270">
        <v>1</v>
      </c>
      <c r="AM5270">
        <v>0.27</v>
      </c>
      <c r="AN5270">
        <v>-6</v>
      </c>
      <c r="AO5270">
        <v>-0.62</v>
      </c>
      <c r="AP5270">
        <v>-13.69</v>
      </c>
    </row>
    <row r="5271" spans="1:42">
      <c r="A5271">
        <v>5270</v>
      </c>
      <c r="B5271" t="str">
        <f>"000695"</f>
        <v>000695</v>
      </c>
      <c r="C5271" t="s">
        <v>23355</v>
      </c>
      <c r="D5271">
        <v>11.18</v>
      </c>
      <c r="E5271">
        <v>0.81</v>
      </c>
      <c r="F5271">
        <v>0.09</v>
      </c>
      <c r="G5271">
        <v>7437</v>
      </c>
      <c r="H5271">
        <v>166</v>
      </c>
      <c r="I5271">
        <v>11.12</v>
      </c>
      <c r="J5271">
        <v>11.18</v>
      </c>
      <c r="K5271" t="s">
        <v>23356</v>
      </c>
      <c r="L5271">
        <v>0.34</v>
      </c>
      <c r="M5271" t="s">
        <v>46</v>
      </c>
      <c r="N5271" t="s">
        <v>8548</v>
      </c>
      <c r="O5271">
        <v>11.24</v>
      </c>
      <c r="P5271">
        <v>11</v>
      </c>
      <c r="Q5271">
        <v>11.09</v>
      </c>
      <c r="R5271">
        <v>11.09</v>
      </c>
      <c r="S5271">
        <v>2.16</v>
      </c>
      <c r="T5271">
        <v>0.72</v>
      </c>
      <c r="U5271">
        <v>37.28</v>
      </c>
      <c r="V5271">
        <v>271</v>
      </c>
      <c r="W5271">
        <v>11.11</v>
      </c>
      <c r="X5271">
        <v>3826</v>
      </c>
      <c r="Y5271">
        <v>3611</v>
      </c>
      <c r="Z5271">
        <v>1.06</v>
      </c>
      <c r="AA5271">
        <v>80</v>
      </c>
      <c r="AB5271">
        <v>23</v>
      </c>
      <c r="AC5271">
        <v>13</v>
      </c>
      <c r="AD5271" t="s">
        <v>2847</v>
      </c>
      <c r="AE5271" t="s">
        <v>23357</v>
      </c>
      <c r="AF5271" t="s">
        <v>23358</v>
      </c>
      <c r="AG5271" t="s">
        <v>23359</v>
      </c>
      <c r="AH5271">
        <v>-0.97</v>
      </c>
      <c r="AI5271">
        <v>0.18</v>
      </c>
      <c r="AJ5271">
        <v>1.18</v>
      </c>
      <c r="AK5271">
        <v>2.67</v>
      </c>
      <c r="AL5271">
        <v>2</v>
      </c>
      <c r="AM5271">
        <v>0.81</v>
      </c>
      <c r="AN5271">
        <v>-24.97</v>
      </c>
      <c r="AO5271">
        <v>-0.89</v>
      </c>
      <c r="AP5271">
        <v>-10.7</v>
      </c>
    </row>
    <row r="5272" spans="1:42">
      <c r="A5272">
        <v>5271</v>
      </c>
      <c r="B5272" t="str">
        <f>"688309"</f>
        <v>688309</v>
      </c>
      <c r="C5272" t="s">
        <v>23360</v>
      </c>
      <c r="D5272">
        <v>22.14</v>
      </c>
      <c r="E5272">
        <v>0.54</v>
      </c>
      <c r="F5272">
        <v>0.12</v>
      </c>
      <c r="G5272">
        <v>3679</v>
      </c>
      <c r="H5272">
        <v>24</v>
      </c>
      <c r="I5272">
        <v>22.14</v>
      </c>
      <c r="J5272">
        <v>22.16</v>
      </c>
      <c r="K5272" t="s">
        <v>23361</v>
      </c>
      <c r="L5272">
        <v>0.46</v>
      </c>
      <c r="M5272" t="s">
        <v>46</v>
      </c>
      <c r="N5272" t="s">
        <v>424</v>
      </c>
      <c r="O5272">
        <v>22.28</v>
      </c>
      <c r="P5272">
        <v>21.89</v>
      </c>
      <c r="Q5272">
        <v>22.15</v>
      </c>
      <c r="R5272">
        <v>22.02</v>
      </c>
      <c r="S5272">
        <v>1.77</v>
      </c>
      <c r="T5272">
        <v>0.98</v>
      </c>
      <c r="U5272">
        <v>24.31</v>
      </c>
      <c r="V5272">
        <v>29</v>
      </c>
      <c r="W5272">
        <v>22.08</v>
      </c>
      <c r="X5272">
        <v>1742</v>
      </c>
      <c r="Y5272">
        <v>1937</v>
      </c>
      <c r="Z5272">
        <v>0.9</v>
      </c>
      <c r="AA5272">
        <v>26</v>
      </c>
      <c r="AB5272">
        <v>13</v>
      </c>
      <c r="AC5272">
        <v>2.46</v>
      </c>
      <c r="AD5272" t="s">
        <v>12991</v>
      </c>
      <c r="AE5272" t="s">
        <v>22021</v>
      </c>
      <c r="AF5272" t="s">
        <v>12991</v>
      </c>
      <c r="AG5272" t="s">
        <v>22021</v>
      </c>
      <c r="AH5272">
        <v>-1.25</v>
      </c>
      <c r="AI5272">
        <v>-1.29</v>
      </c>
      <c r="AJ5272">
        <v>1.28</v>
      </c>
      <c r="AK5272">
        <v>2.8</v>
      </c>
      <c r="AL5272">
        <v>1</v>
      </c>
      <c r="AM5272">
        <v>0.54</v>
      </c>
      <c r="AN5272">
        <v>12.44</v>
      </c>
      <c r="AO5272">
        <v>5.48</v>
      </c>
      <c r="AP5272">
        <v>20.39</v>
      </c>
    </row>
    <row r="5273" spans="1:42">
      <c r="A5273">
        <v>5272</v>
      </c>
      <c r="B5273" t="str">
        <f>"000416"</f>
        <v>000416</v>
      </c>
      <c r="C5273" t="s">
        <v>23362</v>
      </c>
      <c r="D5273">
        <v>2.04</v>
      </c>
      <c r="E5273">
        <v>0</v>
      </c>
      <c r="F5273">
        <v>0</v>
      </c>
      <c r="G5273" t="s">
        <v>2973</v>
      </c>
      <c r="H5273">
        <v>1774</v>
      </c>
      <c r="I5273">
        <v>2.04</v>
      </c>
      <c r="J5273">
        <v>2.05</v>
      </c>
      <c r="K5273" t="s">
        <v>23363</v>
      </c>
      <c r="L5273">
        <v>0.74</v>
      </c>
      <c r="M5273" t="s">
        <v>46</v>
      </c>
      <c r="N5273" t="s">
        <v>19275</v>
      </c>
      <c r="O5273">
        <v>2.06</v>
      </c>
      <c r="P5273">
        <v>2.02</v>
      </c>
      <c r="Q5273">
        <v>2.05</v>
      </c>
      <c r="R5273">
        <v>2.04</v>
      </c>
      <c r="S5273">
        <v>1.96</v>
      </c>
      <c r="T5273">
        <v>0.38</v>
      </c>
      <c r="U5273">
        <v>-19.28</v>
      </c>
      <c r="V5273">
        <v>-4658</v>
      </c>
      <c r="W5273">
        <v>2.04</v>
      </c>
      <c r="X5273" t="s">
        <v>3662</v>
      </c>
      <c r="Y5273" t="s">
        <v>1769</v>
      </c>
      <c r="Z5273">
        <v>1.7</v>
      </c>
      <c r="AA5273">
        <v>2633</v>
      </c>
      <c r="AB5273">
        <v>5125</v>
      </c>
      <c r="AC5273">
        <v>1.26</v>
      </c>
      <c r="AD5273" t="s">
        <v>14567</v>
      </c>
      <c r="AE5273" t="s">
        <v>19201</v>
      </c>
      <c r="AF5273" t="s">
        <v>11495</v>
      </c>
      <c r="AG5273" t="s">
        <v>19201</v>
      </c>
      <c r="AH5273">
        <v>-0.49</v>
      </c>
      <c r="AI5273">
        <v>-5.99</v>
      </c>
      <c r="AJ5273">
        <v>3.24</v>
      </c>
      <c r="AK5273">
        <v>10.33</v>
      </c>
      <c r="AL5273">
        <v>0</v>
      </c>
      <c r="AM5273">
        <v>0</v>
      </c>
      <c r="AN5273">
        <v>-46.88</v>
      </c>
      <c r="AO5273">
        <v>-7.69</v>
      </c>
      <c r="AP5273">
        <v>-50.72</v>
      </c>
    </row>
    <row r="5274" spans="1:42">
      <c r="A5274">
        <v>5273</v>
      </c>
      <c r="B5274" t="str">
        <f>"835237"</f>
        <v>835237</v>
      </c>
      <c r="C5274" t="s">
        <v>23364</v>
      </c>
      <c r="D5274">
        <v>12.45</v>
      </c>
      <c r="E5274">
        <v>-6.04</v>
      </c>
      <c r="F5274">
        <v>-0.8</v>
      </c>
      <c r="G5274">
        <v>6167</v>
      </c>
      <c r="H5274">
        <v>28</v>
      </c>
      <c r="I5274">
        <v>12.45</v>
      </c>
      <c r="J5274">
        <v>12.68</v>
      </c>
      <c r="K5274" t="s">
        <v>23365</v>
      </c>
      <c r="L5274">
        <v>1.79</v>
      </c>
      <c r="M5274" t="s">
        <v>46</v>
      </c>
      <c r="N5274" t="s">
        <v>897</v>
      </c>
      <c r="O5274">
        <v>13.58</v>
      </c>
      <c r="P5274">
        <v>12.22</v>
      </c>
      <c r="Q5274">
        <v>13.54</v>
      </c>
      <c r="R5274">
        <v>13.25</v>
      </c>
      <c r="S5274">
        <v>10.26</v>
      </c>
      <c r="T5274">
        <v>0.48</v>
      </c>
      <c r="U5274">
        <v>8.17</v>
      </c>
      <c r="V5274">
        <v>17</v>
      </c>
      <c r="W5274">
        <v>12.84</v>
      </c>
      <c r="X5274">
        <v>3954</v>
      </c>
      <c r="Y5274">
        <v>2213</v>
      </c>
      <c r="Z5274">
        <v>1.79</v>
      </c>
      <c r="AA5274">
        <v>44</v>
      </c>
      <c r="AB5274">
        <v>5</v>
      </c>
      <c r="AC5274">
        <v>1.49</v>
      </c>
      <c r="AD5274" t="s">
        <v>23366</v>
      </c>
      <c r="AE5274" t="s">
        <v>17929</v>
      </c>
      <c r="AF5274" t="s">
        <v>23367</v>
      </c>
      <c r="AG5274" t="s">
        <v>13169</v>
      </c>
      <c r="AH5274">
        <v>-16.33</v>
      </c>
      <c r="AI5274">
        <v>-2.58</v>
      </c>
      <c r="AJ5274">
        <v>5.4</v>
      </c>
      <c r="AK5274">
        <v>20.4</v>
      </c>
      <c r="AL5274">
        <v>-4</v>
      </c>
      <c r="AM5274">
        <v>-6.04</v>
      </c>
      <c r="AN5274">
        <v>-15.25</v>
      </c>
      <c r="AO5274">
        <v>27.56</v>
      </c>
      <c r="AP5274">
        <v>-35.32</v>
      </c>
    </row>
    <row r="5275" spans="1:42">
      <c r="A5275">
        <v>5274</v>
      </c>
      <c r="B5275" t="str">
        <f>"873527"</f>
        <v>873527</v>
      </c>
      <c r="C5275" t="s">
        <v>23368</v>
      </c>
      <c r="D5275">
        <v>7.67</v>
      </c>
      <c r="E5275">
        <v>-3.64</v>
      </c>
      <c r="F5275">
        <v>-0.29</v>
      </c>
      <c r="G5275">
        <v>9832</v>
      </c>
      <c r="H5275">
        <v>181</v>
      </c>
      <c r="I5275">
        <v>7.66</v>
      </c>
      <c r="J5275">
        <v>7.67</v>
      </c>
      <c r="K5275" t="s">
        <v>23369</v>
      </c>
      <c r="L5275">
        <v>3.81</v>
      </c>
      <c r="M5275" t="s">
        <v>46</v>
      </c>
      <c r="N5275" t="s">
        <v>6137</v>
      </c>
      <c r="O5275">
        <v>8.27</v>
      </c>
      <c r="P5275">
        <v>7.62</v>
      </c>
      <c r="Q5275">
        <v>8.11</v>
      </c>
      <c r="R5275">
        <v>7.96</v>
      </c>
      <c r="S5275">
        <v>8.17</v>
      </c>
      <c r="T5275">
        <v>0.27</v>
      </c>
      <c r="U5275">
        <v>-24.29</v>
      </c>
      <c r="V5275">
        <v>-156</v>
      </c>
      <c r="W5275">
        <v>7.91</v>
      </c>
      <c r="X5275">
        <v>6527</v>
      </c>
      <c r="Y5275">
        <v>3305</v>
      </c>
      <c r="Z5275">
        <v>1.98</v>
      </c>
      <c r="AA5275">
        <v>14</v>
      </c>
      <c r="AB5275">
        <v>6</v>
      </c>
      <c r="AC5275">
        <v>1.24</v>
      </c>
      <c r="AD5275" t="s">
        <v>15092</v>
      </c>
      <c r="AE5275" t="s">
        <v>11064</v>
      </c>
      <c r="AF5275" t="s">
        <v>20559</v>
      </c>
      <c r="AG5275" t="s">
        <v>16545</v>
      </c>
      <c r="AH5275">
        <v>-14.68</v>
      </c>
      <c r="AI5275">
        <v>4.5</v>
      </c>
      <c r="AJ5275">
        <v>21.4</v>
      </c>
      <c r="AK5275">
        <v>75.57</v>
      </c>
      <c r="AL5275">
        <v>-4</v>
      </c>
      <c r="AM5275">
        <v>-3.64</v>
      </c>
      <c r="AN5275">
        <v>-1.03</v>
      </c>
      <c r="AO5275">
        <v>23.31</v>
      </c>
      <c r="AP5275">
        <v>-12.64</v>
      </c>
    </row>
    <row r="5276" spans="1:42">
      <c r="A5276">
        <v>5275</v>
      </c>
      <c r="B5276" t="str">
        <f>"836942"</f>
        <v>836942</v>
      </c>
      <c r="C5276" t="s">
        <v>23370</v>
      </c>
      <c r="D5276">
        <v>10.22</v>
      </c>
      <c r="E5276">
        <v>-3.95</v>
      </c>
      <c r="F5276">
        <v>-0.42</v>
      </c>
      <c r="G5276">
        <v>7295</v>
      </c>
      <c r="H5276">
        <v>84</v>
      </c>
      <c r="I5276">
        <v>10.21</v>
      </c>
      <c r="J5276">
        <v>10.22</v>
      </c>
      <c r="K5276" t="s">
        <v>23371</v>
      </c>
      <c r="L5276">
        <v>2.49</v>
      </c>
      <c r="M5276" t="s">
        <v>46</v>
      </c>
      <c r="N5276" t="s">
        <v>9994</v>
      </c>
      <c r="O5276">
        <v>10.78</v>
      </c>
      <c r="P5276">
        <v>10.2</v>
      </c>
      <c r="Q5276">
        <v>10.64</v>
      </c>
      <c r="R5276">
        <v>10.64</v>
      </c>
      <c r="S5276">
        <v>5.45</v>
      </c>
      <c r="T5276">
        <v>0.31</v>
      </c>
      <c r="U5276">
        <v>60.43</v>
      </c>
      <c r="V5276">
        <v>165</v>
      </c>
      <c r="W5276">
        <v>10.39</v>
      </c>
      <c r="X5276">
        <v>4730</v>
      </c>
      <c r="Y5276">
        <v>2565</v>
      </c>
      <c r="Z5276">
        <v>1.84</v>
      </c>
      <c r="AA5276">
        <v>119</v>
      </c>
      <c r="AB5276">
        <v>7</v>
      </c>
      <c r="AC5276">
        <v>1.42</v>
      </c>
      <c r="AD5276" t="s">
        <v>14573</v>
      </c>
      <c r="AE5276" t="s">
        <v>23372</v>
      </c>
      <c r="AF5276" t="s">
        <v>19828</v>
      </c>
      <c r="AG5276" t="s">
        <v>15378</v>
      </c>
      <c r="AH5276">
        <v>-12.12</v>
      </c>
      <c r="AI5276">
        <v>2.3</v>
      </c>
      <c r="AJ5276">
        <v>11.58</v>
      </c>
      <c r="AK5276">
        <v>42.75</v>
      </c>
      <c r="AL5276">
        <v>-4</v>
      </c>
      <c r="AM5276">
        <v>-3.95</v>
      </c>
      <c r="AN5276">
        <v>-2.57</v>
      </c>
      <c r="AO5276">
        <v>13.05</v>
      </c>
      <c r="AP5276">
        <v>-34.49</v>
      </c>
    </row>
    <row r="5277" spans="1:42">
      <c r="A5277">
        <v>5276</v>
      </c>
      <c r="B5277" t="str">
        <f>"000637"</f>
        <v>000637</v>
      </c>
      <c r="C5277" t="s">
        <v>23373</v>
      </c>
      <c r="D5277">
        <v>3.66</v>
      </c>
      <c r="E5277">
        <v>1.67</v>
      </c>
      <c r="F5277">
        <v>0.06</v>
      </c>
      <c r="G5277" t="s">
        <v>6580</v>
      </c>
      <c r="H5277">
        <v>261</v>
      </c>
      <c r="I5277">
        <v>3.66</v>
      </c>
      <c r="J5277">
        <v>3.67</v>
      </c>
      <c r="K5277" t="s">
        <v>23371</v>
      </c>
      <c r="L5277">
        <v>0.57</v>
      </c>
      <c r="M5277" t="s">
        <v>46</v>
      </c>
      <c r="N5277" t="s">
        <v>543</v>
      </c>
      <c r="O5277">
        <v>3.67</v>
      </c>
      <c r="P5277">
        <v>3.59</v>
      </c>
      <c r="Q5277">
        <v>3.6</v>
      </c>
      <c r="R5277">
        <v>3.6</v>
      </c>
      <c r="S5277">
        <v>2.22</v>
      </c>
      <c r="T5277">
        <v>0.66</v>
      </c>
      <c r="U5277">
        <v>-4.25</v>
      </c>
      <c r="V5277">
        <v>-247</v>
      </c>
      <c r="W5277">
        <v>3.64</v>
      </c>
      <c r="X5277" t="s">
        <v>718</v>
      </c>
      <c r="Y5277">
        <v>8922</v>
      </c>
      <c r="Z5277">
        <v>1.34</v>
      </c>
      <c r="AA5277">
        <v>359</v>
      </c>
      <c r="AB5277">
        <v>997</v>
      </c>
      <c r="AC5277">
        <v>2.34</v>
      </c>
      <c r="AD5277" t="s">
        <v>7725</v>
      </c>
      <c r="AE5277" t="s">
        <v>21809</v>
      </c>
      <c r="AF5277" t="s">
        <v>23374</v>
      </c>
      <c r="AG5277" t="s">
        <v>18515</v>
      </c>
      <c r="AH5277">
        <v>-1.88</v>
      </c>
      <c r="AI5277">
        <v>-4.44</v>
      </c>
      <c r="AJ5277">
        <v>1.97</v>
      </c>
      <c r="AK5277">
        <v>4.87</v>
      </c>
      <c r="AL5277">
        <v>1</v>
      </c>
      <c r="AM5277">
        <v>1.67</v>
      </c>
      <c r="AN5277">
        <v>-31.33</v>
      </c>
      <c r="AO5277">
        <v>2.23</v>
      </c>
      <c r="AP5277">
        <v>-20.78</v>
      </c>
    </row>
    <row r="5278" spans="1:42">
      <c r="A5278">
        <v>5277</v>
      </c>
      <c r="B5278" t="str">
        <f>"603155"</f>
        <v>603155</v>
      </c>
      <c r="C5278" t="s">
        <v>23375</v>
      </c>
      <c r="D5278">
        <v>23.7</v>
      </c>
      <c r="E5278">
        <v>1.5</v>
      </c>
      <c r="F5278">
        <v>0.35</v>
      </c>
      <c r="G5278">
        <v>3220</v>
      </c>
      <c r="H5278">
        <v>42</v>
      </c>
      <c r="I5278">
        <v>23.63</v>
      </c>
      <c r="J5278">
        <v>23.7</v>
      </c>
      <c r="K5278" t="s">
        <v>23376</v>
      </c>
      <c r="L5278">
        <v>0.14</v>
      </c>
      <c r="M5278" t="s">
        <v>46</v>
      </c>
      <c r="N5278" t="s">
        <v>2603</v>
      </c>
      <c r="O5278">
        <v>23.75</v>
      </c>
      <c r="P5278">
        <v>23.15</v>
      </c>
      <c r="Q5278">
        <v>23.39</v>
      </c>
      <c r="R5278">
        <v>23.35</v>
      </c>
      <c r="S5278">
        <v>2.57</v>
      </c>
      <c r="T5278">
        <v>0.86</v>
      </c>
      <c r="U5278">
        <v>-45.28</v>
      </c>
      <c r="V5278">
        <v>-35</v>
      </c>
      <c r="W5278">
        <v>23.47</v>
      </c>
      <c r="X5278">
        <v>1389</v>
      </c>
      <c r="Y5278">
        <v>1831</v>
      </c>
      <c r="Z5278">
        <v>0.76</v>
      </c>
      <c r="AA5278">
        <v>1</v>
      </c>
      <c r="AB5278">
        <v>12</v>
      </c>
      <c r="AC5278">
        <v>2.38</v>
      </c>
      <c r="AD5278" t="s">
        <v>11366</v>
      </c>
      <c r="AE5278" t="s">
        <v>23377</v>
      </c>
      <c r="AF5278" t="s">
        <v>11366</v>
      </c>
      <c r="AG5278" t="s">
        <v>23377</v>
      </c>
      <c r="AH5278">
        <v>-1.09</v>
      </c>
      <c r="AI5278">
        <v>-1.17</v>
      </c>
      <c r="AJ5278">
        <v>0.49</v>
      </c>
      <c r="AK5278">
        <v>0.97</v>
      </c>
      <c r="AL5278">
        <v>1</v>
      </c>
      <c r="AM5278">
        <v>1.5</v>
      </c>
      <c r="AN5278">
        <v>-8.39</v>
      </c>
      <c r="AO5278">
        <v>-0.59</v>
      </c>
      <c r="AP5278">
        <v>-12.84</v>
      </c>
    </row>
    <row r="5279" spans="1:42">
      <c r="A5279">
        <v>5278</v>
      </c>
      <c r="B5279" t="str">
        <f>"688057"</f>
        <v>688057</v>
      </c>
      <c r="C5279" t="s">
        <v>23378</v>
      </c>
      <c r="D5279">
        <v>14.27</v>
      </c>
      <c r="E5279">
        <v>-0.49</v>
      </c>
      <c r="F5279">
        <v>-0.07</v>
      </c>
      <c r="G5279">
        <v>5261</v>
      </c>
      <c r="H5279">
        <v>4</v>
      </c>
      <c r="I5279">
        <v>14.27</v>
      </c>
      <c r="J5279">
        <v>14.29</v>
      </c>
      <c r="K5279" t="s">
        <v>23379</v>
      </c>
      <c r="L5279">
        <v>0.19</v>
      </c>
      <c r="M5279" t="s">
        <v>46</v>
      </c>
      <c r="N5279" t="s">
        <v>3946</v>
      </c>
      <c r="O5279">
        <v>14.39</v>
      </c>
      <c r="P5279">
        <v>14.18</v>
      </c>
      <c r="Q5279">
        <v>14.33</v>
      </c>
      <c r="R5279">
        <v>14.34</v>
      </c>
      <c r="S5279">
        <v>1.46</v>
      </c>
      <c r="T5279">
        <v>0.56</v>
      </c>
      <c r="U5279">
        <v>52.02</v>
      </c>
      <c r="V5279">
        <v>276</v>
      </c>
      <c r="W5279">
        <v>14.26</v>
      </c>
      <c r="X5279">
        <v>3764</v>
      </c>
      <c r="Y5279">
        <v>1497</v>
      </c>
      <c r="Z5279">
        <v>2.51</v>
      </c>
      <c r="AA5279">
        <v>4</v>
      </c>
      <c r="AB5279">
        <v>24</v>
      </c>
      <c r="AC5279">
        <v>1.28</v>
      </c>
      <c r="AD5279" t="s">
        <v>9451</v>
      </c>
      <c r="AE5279" t="s">
        <v>12048</v>
      </c>
      <c r="AF5279" t="s">
        <v>9451</v>
      </c>
      <c r="AG5279" t="s">
        <v>12048</v>
      </c>
      <c r="AH5279">
        <v>-1.86</v>
      </c>
      <c r="AI5279">
        <v>-0.56</v>
      </c>
      <c r="AJ5279">
        <v>0.77</v>
      </c>
      <c r="AK5279">
        <v>1.9</v>
      </c>
      <c r="AL5279">
        <v>-3</v>
      </c>
      <c r="AM5279">
        <v>-0.49</v>
      </c>
      <c r="AN5279">
        <v>10.96</v>
      </c>
      <c r="AO5279">
        <v>3.26</v>
      </c>
      <c r="AP5279">
        <v>1.06</v>
      </c>
    </row>
    <row r="5280" spans="1:42">
      <c r="A5280">
        <v>5279</v>
      </c>
      <c r="B5280" t="str">
        <f>"871245"</f>
        <v>871245</v>
      </c>
      <c r="C5280" t="s">
        <v>23380</v>
      </c>
      <c r="D5280">
        <v>9.94</v>
      </c>
      <c r="E5280">
        <v>-6.14</v>
      </c>
      <c r="F5280">
        <v>-0.65</v>
      </c>
      <c r="G5280">
        <v>7162</v>
      </c>
      <c r="H5280">
        <v>151</v>
      </c>
      <c r="I5280">
        <v>9.94</v>
      </c>
      <c r="J5280">
        <v>10</v>
      </c>
      <c r="K5280" t="s">
        <v>23381</v>
      </c>
      <c r="L5280">
        <v>3.15</v>
      </c>
      <c r="M5280" t="s">
        <v>46</v>
      </c>
      <c r="N5280" t="s">
        <v>6442</v>
      </c>
      <c r="O5280">
        <v>10.83</v>
      </c>
      <c r="P5280">
        <v>9.94</v>
      </c>
      <c r="Q5280">
        <v>10.69</v>
      </c>
      <c r="R5280">
        <v>10.59</v>
      </c>
      <c r="S5280">
        <v>8.4</v>
      </c>
      <c r="T5280">
        <v>0.41</v>
      </c>
      <c r="U5280">
        <v>31.31</v>
      </c>
      <c r="V5280">
        <v>254</v>
      </c>
      <c r="W5280">
        <v>10.22</v>
      </c>
      <c r="X5280">
        <v>4542</v>
      </c>
      <c r="Y5280">
        <v>2621</v>
      </c>
      <c r="Z5280">
        <v>1.73</v>
      </c>
      <c r="AA5280">
        <v>420</v>
      </c>
      <c r="AB5280">
        <v>49</v>
      </c>
      <c r="AC5280">
        <v>1.51</v>
      </c>
      <c r="AD5280" t="s">
        <v>23382</v>
      </c>
      <c r="AE5280" t="s">
        <v>8194</v>
      </c>
      <c r="AF5280" t="s">
        <v>23383</v>
      </c>
      <c r="AG5280" t="s">
        <v>23384</v>
      </c>
      <c r="AH5280">
        <v>-16.96</v>
      </c>
      <c r="AI5280">
        <v>-1.39</v>
      </c>
      <c r="AJ5280">
        <v>11.81</v>
      </c>
      <c r="AK5280">
        <v>41.19</v>
      </c>
      <c r="AL5280">
        <v>-4</v>
      </c>
      <c r="AM5280">
        <v>-6.14</v>
      </c>
      <c r="AN5280">
        <v>-7.1</v>
      </c>
      <c r="AO5280">
        <v>22.72</v>
      </c>
      <c r="AP5280">
        <v>-14.75</v>
      </c>
    </row>
    <row r="5281" spans="1:42">
      <c r="A5281">
        <v>5280</v>
      </c>
      <c r="B5281" t="str">
        <f>"600568"</f>
        <v>600568</v>
      </c>
      <c r="C5281" t="s">
        <v>23385</v>
      </c>
      <c r="D5281">
        <v>1.75</v>
      </c>
      <c r="E5281">
        <v>-0.57</v>
      </c>
      <c r="F5281">
        <v>-0.01</v>
      </c>
      <c r="G5281" t="s">
        <v>10547</v>
      </c>
      <c r="H5281">
        <v>212</v>
      </c>
      <c r="I5281">
        <v>1.75</v>
      </c>
      <c r="J5281">
        <v>1.76</v>
      </c>
      <c r="K5281" t="s">
        <v>23386</v>
      </c>
      <c r="L5281">
        <v>0.26</v>
      </c>
      <c r="M5281" t="s">
        <v>46</v>
      </c>
      <c r="N5281" t="s">
        <v>3810</v>
      </c>
      <c r="O5281">
        <v>1.76</v>
      </c>
      <c r="P5281">
        <v>1.74</v>
      </c>
      <c r="Q5281">
        <v>1.76</v>
      </c>
      <c r="R5281">
        <v>1.76</v>
      </c>
      <c r="S5281">
        <v>1.14</v>
      </c>
      <c r="T5281">
        <v>0.8</v>
      </c>
      <c r="U5281">
        <v>-7.69</v>
      </c>
      <c r="V5281">
        <v>-3676</v>
      </c>
      <c r="W5281">
        <v>1.75</v>
      </c>
      <c r="X5281" t="s">
        <v>5444</v>
      </c>
      <c r="Y5281" t="s">
        <v>6867</v>
      </c>
      <c r="Z5281">
        <v>1.86</v>
      </c>
      <c r="AA5281">
        <v>7342</v>
      </c>
      <c r="AB5281" t="s">
        <v>51</v>
      </c>
      <c r="AC5281">
        <v>1.37</v>
      </c>
      <c r="AD5281" t="s">
        <v>15677</v>
      </c>
      <c r="AE5281" t="s">
        <v>10067</v>
      </c>
      <c r="AF5281" t="s">
        <v>9600</v>
      </c>
      <c r="AG5281" t="s">
        <v>23387</v>
      </c>
      <c r="AH5281">
        <v>-0.57</v>
      </c>
      <c r="AI5281">
        <v>-1.13</v>
      </c>
      <c r="AJ5281">
        <v>0.82</v>
      </c>
      <c r="AK5281">
        <v>1.92</v>
      </c>
      <c r="AL5281">
        <v>-1</v>
      </c>
      <c r="AM5281">
        <v>-0.57</v>
      </c>
      <c r="AN5281">
        <v>-6.91</v>
      </c>
      <c r="AO5281">
        <v>0</v>
      </c>
      <c r="AP5281">
        <v>-6.42</v>
      </c>
    </row>
    <row r="5282" spans="1:42">
      <c r="A5282">
        <v>5281</v>
      </c>
      <c r="B5282" t="str">
        <f>"688272"</f>
        <v>688272</v>
      </c>
      <c r="C5282" t="s">
        <v>23388</v>
      </c>
      <c r="D5282">
        <v>18.8</v>
      </c>
      <c r="E5282">
        <v>0.53</v>
      </c>
      <c r="F5282">
        <v>0.1</v>
      </c>
      <c r="G5282">
        <v>3853</v>
      </c>
      <c r="H5282">
        <v>30</v>
      </c>
      <c r="I5282">
        <v>18.78</v>
      </c>
      <c r="J5282">
        <v>18.8</v>
      </c>
      <c r="K5282" t="s">
        <v>23389</v>
      </c>
      <c r="L5282">
        <v>1.39</v>
      </c>
      <c r="M5282" t="s">
        <v>46</v>
      </c>
      <c r="N5282" t="s">
        <v>9350</v>
      </c>
      <c r="O5282">
        <v>18.85</v>
      </c>
      <c r="P5282">
        <v>18.65</v>
      </c>
      <c r="Q5282">
        <v>18.69</v>
      </c>
      <c r="R5282">
        <v>18.7</v>
      </c>
      <c r="S5282">
        <v>1.07</v>
      </c>
      <c r="T5282">
        <v>1.43</v>
      </c>
      <c r="U5282">
        <v>-24.67</v>
      </c>
      <c r="V5282">
        <v>-63</v>
      </c>
      <c r="W5282">
        <v>18.72</v>
      </c>
      <c r="X5282">
        <v>1789</v>
      </c>
      <c r="Y5282">
        <v>2064</v>
      </c>
      <c r="Z5282">
        <v>0.87</v>
      </c>
      <c r="AA5282">
        <v>3</v>
      </c>
      <c r="AB5282">
        <v>70</v>
      </c>
      <c r="AC5282">
        <v>2.75</v>
      </c>
      <c r="AD5282" t="s">
        <v>12800</v>
      </c>
      <c r="AE5282" t="s">
        <v>7013</v>
      </c>
      <c r="AF5282" t="s">
        <v>23390</v>
      </c>
      <c r="AG5282" t="s">
        <v>15830</v>
      </c>
      <c r="AH5282">
        <v>-0.11</v>
      </c>
      <c r="AI5282">
        <v>-0.05</v>
      </c>
      <c r="AJ5282">
        <v>3.65</v>
      </c>
      <c r="AK5282">
        <v>6.28</v>
      </c>
      <c r="AL5282">
        <v>1</v>
      </c>
      <c r="AM5282">
        <v>0.53</v>
      </c>
      <c r="AN5282">
        <v>-3.09</v>
      </c>
      <c r="AO5282">
        <v>0.53</v>
      </c>
      <c r="AP5282">
        <v>-18.19</v>
      </c>
    </row>
    <row r="5283" spans="1:42">
      <c r="A5283">
        <v>5282</v>
      </c>
      <c r="B5283" t="str">
        <f>"002259"</f>
        <v>002259</v>
      </c>
      <c r="C5283" t="s">
        <v>23391</v>
      </c>
      <c r="D5283">
        <v>3.45</v>
      </c>
      <c r="E5283">
        <v>-1.43</v>
      </c>
      <c r="F5283">
        <v>-0.05</v>
      </c>
      <c r="G5283" t="s">
        <v>6580</v>
      </c>
      <c r="H5283">
        <v>274</v>
      </c>
      <c r="I5283">
        <v>3.45</v>
      </c>
      <c r="J5283">
        <v>3.46</v>
      </c>
      <c r="K5283" t="s">
        <v>23392</v>
      </c>
      <c r="L5283">
        <v>0.28</v>
      </c>
      <c r="M5283" t="s">
        <v>46</v>
      </c>
      <c r="N5283" t="s">
        <v>2311</v>
      </c>
      <c r="O5283">
        <v>3.5</v>
      </c>
      <c r="P5283">
        <v>3.44</v>
      </c>
      <c r="Q5283">
        <v>3.49</v>
      </c>
      <c r="R5283">
        <v>3.5</v>
      </c>
      <c r="S5283">
        <v>1.71</v>
      </c>
      <c r="T5283">
        <v>0.81</v>
      </c>
      <c r="U5283">
        <v>17.46</v>
      </c>
      <c r="V5283">
        <v>821</v>
      </c>
      <c r="W5283">
        <v>3.46</v>
      </c>
      <c r="X5283" t="s">
        <v>4717</v>
      </c>
      <c r="Y5283">
        <v>6640</v>
      </c>
      <c r="Z5283">
        <v>2.13</v>
      </c>
      <c r="AA5283">
        <v>853</v>
      </c>
      <c r="AB5283">
        <v>273</v>
      </c>
      <c r="AC5283">
        <v>9.56</v>
      </c>
      <c r="AD5283" t="s">
        <v>23393</v>
      </c>
      <c r="AE5283" t="s">
        <v>22322</v>
      </c>
      <c r="AF5283" t="s">
        <v>23393</v>
      </c>
      <c r="AG5283" t="s">
        <v>22322</v>
      </c>
      <c r="AH5283">
        <v>-0.58</v>
      </c>
      <c r="AI5283">
        <v>-3.63</v>
      </c>
      <c r="AJ5283">
        <v>0.9</v>
      </c>
      <c r="AK5283">
        <v>1.97</v>
      </c>
      <c r="AL5283">
        <v>-1</v>
      </c>
      <c r="AM5283">
        <v>-1.43</v>
      </c>
      <c r="AN5283">
        <v>5.18</v>
      </c>
      <c r="AO5283">
        <v>7.48</v>
      </c>
      <c r="AP5283">
        <v>32.69</v>
      </c>
    </row>
    <row r="5284" spans="1:42">
      <c r="A5284">
        <v>5283</v>
      </c>
      <c r="B5284" t="str">
        <f>"836892"</f>
        <v>836892</v>
      </c>
      <c r="C5284" t="s">
        <v>23394</v>
      </c>
      <c r="D5284">
        <v>9.32</v>
      </c>
      <c r="E5284">
        <v>-3.92</v>
      </c>
      <c r="F5284">
        <v>-0.38</v>
      </c>
      <c r="G5284">
        <v>7552</v>
      </c>
      <c r="H5284">
        <v>183</v>
      </c>
      <c r="I5284">
        <v>9.31</v>
      </c>
      <c r="J5284">
        <v>9.32</v>
      </c>
      <c r="K5284" t="s">
        <v>23395</v>
      </c>
      <c r="L5284">
        <v>0.68</v>
      </c>
      <c r="M5284" t="s">
        <v>46</v>
      </c>
      <c r="N5284" t="s">
        <v>4149</v>
      </c>
      <c r="O5284">
        <v>9.89</v>
      </c>
      <c r="P5284">
        <v>9.27</v>
      </c>
      <c r="Q5284">
        <v>9.75</v>
      </c>
      <c r="R5284">
        <v>9.7</v>
      </c>
      <c r="S5284">
        <v>6.39</v>
      </c>
      <c r="T5284">
        <v>0.37</v>
      </c>
      <c r="U5284">
        <v>28.18</v>
      </c>
      <c r="V5284">
        <v>110</v>
      </c>
      <c r="W5284">
        <v>9.44</v>
      </c>
      <c r="X5284">
        <v>4866</v>
      </c>
      <c r="Y5284">
        <v>2686</v>
      </c>
      <c r="Z5284">
        <v>1.81</v>
      </c>
      <c r="AA5284">
        <v>5</v>
      </c>
      <c r="AB5284">
        <v>76</v>
      </c>
      <c r="AC5284">
        <v>3.3</v>
      </c>
      <c r="AD5284" t="s">
        <v>16327</v>
      </c>
      <c r="AE5284" t="s">
        <v>3684</v>
      </c>
      <c r="AF5284" t="s">
        <v>18609</v>
      </c>
      <c r="AG5284" t="s">
        <v>1000</v>
      </c>
      <c r="AH5284">
        <v>-17.96</v>
      </c>
      <c r="AI5284">
        <v>-4.9</v>
      </c>
      <c r="AJ5284">
        <v>2.76</v>
      </c>
      <c r="AK5284">
        <v>9.74</v>
      </c>
      <c r="AL5284">
        <v>-4</v>
      </c>
      <c r="AM5284">
        <v>-3.92</v>
      </c>
      <c r="AN5284">
        <v>52.54</v>
      </c>
      <c r="AO5284">
        <v>13.24</v>
      </c>
      <c r="AP5284">
        <v>43.83</v>
      </c>
    </row>
    <row r="5285" spans="1:42">
      <c r="A5285">
        <v>5284</v>
      </c>
      <c r="B5285" t="str">
        <f>"603559"</f>
        <v>603559</v>
      </c>
      <c r="C5285" t="s">
        <v>23396</v>
      </c>
      <c r="D5285">
        <v>8.62</v>
      </c>
      <c r="E5285">
        <v>0.82</v>
      </c>
      <c r="F5285">
        <v>0.07</v>
      </c>
      <c r="G5285">
        <v>8308</v>
      </c>
      <c r="H5285">
        <v>115</v>
      </c>
      <c r="I5285">
        <v>8.62</v>
      </c>
      <c r="J5285">
        <v>8.64</v>
      </c>
      <c r="K5285" t="s">
        <v>23397</v>
      </c>
      <c r="L5285">
        <v>0.58</v>
      </c>
      <c r="M5285" t="s">
        <v>46</v>
      </c>
      <c r="N5285" t="s">
        <v>8494</v>
      </c>
      <c r="O5285">
        <v>8.64</v>
      </c>
      <c r="P5285">
        <v>8.5</v>
      </c>
      <c r="Q5285">
        <v>8.6</v>
      </c>
      <c r="R5285">
        <v>8.55</v>
      </c>
      <c r="S5285">
        <v>1.64</v>
      </c>
      <c r="T5285">
        <v>1.34</v>
      </c>
      <c r="U5285">
        <v>-46.32</v>
      </c>
      <c r="V5285">
        <v>-271</v>
      </c>
      <c r="W5285">
        <v>8.57</v>
      </c>
      <c r="X5285">
        <v>3164</v>
      </c>
      <c r="Y5285">
        <v>5144</v>
      </c>
      <c r="Z5285">
        <v>0.62</v>
      </c>
      <c r="AA5285">
        <v>34</v>
      </c>
      <c r="AB5285">
        <v>249</v>
      </c>
      <c r="AC5285">
        <v>4.02</v>
      </c>
      <c r="AD5285" t="s">
        <v>23398</v>
      </c>
      <c r="AE5285" t="s">
        <v>11373</v>
      </c>
      <c r="AF5285" t="s">
        <v>23398</v>
      </c>
      <c r="AG5285" t="s">
        <v>11373</v>
      </c>
      <c r="AH5285">
        <v>0.12</v>
      </c>
      <c r="AI5285">
        <v>-1.26</v>
      </c>
      <c r="AJ5285">
        <v>1.41</v>
      </c>
      <c r="AK5285">
        <v>2.74</v>
      </c>
      <c r="AL5285">
        <v>1</v>
      </c>
      <c r="AM5285">
        <v>0.82</v>
      </c>
      <c r="AN5285">
        <v>-22.34</v>
      </c>
      <c r="AO5285">
        <v>-2.38</v>
      </c>
      <c r="AP5285">
        <v>-35.43</v>
      </c>
    </row>
    <row r="5286" spans="1:42">
      <c r="A5286">
        <v>5285</v>
      </c>
      <c r="B5286" t="str">
        <f>"001225"</f>
        <v>001225</v>
      </c>
      <c r="C5286" t="s">
        <v>23399</v>
      </c>
      <c r="D5286">
        <v>40.45</v>
      </c>
      <c r="E5286">
        <v>-0.54</v>
      </c>
      <c r="F5286">
        <v>-0.22</v>
      </c>
      <c r="G5286">
        <v>1751</v>
      </c>
      <c r="H5286">
        <v>19</v>
      </c>
      <c r="I5286">
        <v>40.4</v>
      </c>
      <c r="J5286">
        <v>40.45</v>
      </c>
      <c r="K5286" t="s">
        <v>23400</v>
      </c>
      <c r="L5286">
        <v>1.08</v>
      </c>
      <c r="M5286" t="s">
        <v>46</v>
      </c>
      <c r="N5286" t="s">
        <v>5008</v>
      </c>
      <c r="O5286">
        <v>40.74</v>
      </c>
      <c r="P5286">
        <v>40.25</v>
      </c>
      <c r="Q5286">
        <v>40.67</v>
      </c>
      <c r="R5286">
        <v>40.67</v>
      </c>
      <c r="S5286">
        <v>1.2</v>
      </c>
      <c r="T5286">
        <v>0.77</v>
      </c>
      <c r="U5286">
        <v>42.53</v>
      </c>
      <c r="V5286">
        <v>37</v>
      </c>
      <c r="W5286">
        <v>40.43</v>
      </c>
      <c r="X5286">
        <v>867</v>
      </c>
      <c r="Y5286">
        <v>884</v>
      </c>
      <c r="Z5286">
        <v>0.98</v>
      </c>
      <c r="AA5286">
        <v>1</v>
      </c>
      <c r="AB5286">
        <v>4</v>
      </c>
      <c r="AC5286">
        <v>1.84</v>
      </c>
      <c r="AD5286" t="s">
        <v>23401</v>
      </c>
      <c r="AE5286" t="s">
        <v>19936</v>
      </c>
      <c r="AF5286" t="s">
        <v>23402</v>
      </c>
      <c r="AG5286" t="s">
        <v>23403</v>
      </c>
      <c r="AH5286">
        <v>-2.03</v>
      </c>
      <c r="AI5286">
        <v>-1.82</v>
      </c>
      <c r="AJ5286">
        <v>3.54</v>
      </c>
      <c r="AK5286">
        <v>8.15</v>
      </c>
      <c r="AL5286">
        <v>-3</v>
      </c>
      <c r="AM5286">
        <v>-0.54</v>
      </c>
      <c r="AN5286">
        <v>-11.22</v>
      </c>
      <c r="AO5286">
        <v>0.37</v>
      </c>
      <c r="AP5286">
        <v>-11.22</v>
      </c>
    </row>
    <row r="5287" spans="1:42">
      <c r="A5287">
        <v>5286</v>
      </c>
      <c r="B5287" t="str">
        <f>"603001"</f>
        <v>603001</v>
      </c>
      <c r="C5287" t="s">
        <v>23404</v>
      </c>
      <c r="D5287">
        <v>5.9</v>
      </c>
      <c r="E5287">
        <v>0.85</v>
      </c>
      <c r="F5287">
        <v>0.05</v>
      </c>
      <c r="G5287" t="s">
        <v>8636</v>
      </c>
      <c r="H5287">
        <v>559</v>
      </c>
      <c r="I5287">
        <v>5.89</v>
      </c>
      <c r="J5287">
        <v>5.9</v>
      </c>
      <c r="K5287" t="s">
        <v>23405</v>
      </c>
      <c r="L5287">
        <v>0.3</v>
      </c>
      <c r="M5287" t="s">
        <v>46</v>
      </c>
      <c r="N5287" t="s">
        <v>5803</v>
      </c>
      <c r="O5287">
        <v>5.92</v>
      </c>
      <c r="P5287">
        <v>5.83</v>
      </c>
      <c r="Q5287">
        <v>5.85</v>
      </c>
      <c r="R5287">
        <v>5.85</v>
      </c>
      <c r="S5287">
        <v>1.54</v>
      </c>
      <c r="T5287">
        <v>0.7</v>
      </c>
      <c r="U5287">
        <v>-39.65</v>
      </c>
      <c r="V5287">
        <v>-1301</v>
      </c>
      <c r="W5287">
        <v>5.87</v>
      </c>
      <c r="X5287">
        <v>6735</v>
      </c>
      <c r="Y5287">
        <v>5305</v>
      </c>
      <c r="Z5287">
        <v>1.27</v>
      </c>
      <c r="AA5287">
        <v>21</v>
      </c>
      <c r="AB5287">
        <v>509</v>
      </c>
      <c r="AC5287">
        <v>0.81</v>
      </c>
      <c r="AD5287" t="s">
        <v>945</v>
      </c>
      <c r="AE5287" t="s">
        <v>23406</v>
      </c>
      <c r="AF5287" t="s">
        <v>945</v>
      </c>
      <c r="AG5287" t="s">
        <v>23406</v>
      </c>
      <c r="AH5287">
        <v>-0.84</v>
      </c>
      <c r="AI5287">
        <v>-2.32</v>
      </c>
      <c r="AJ5287">
        <v>0.98</v>
      </c>
      <c r="AK5287">
        <v>2.45</v>
      </c>
      <c r="AL5287">
        <v>1</v>
      </c>
      <c r="AM5287">
        <v>0.85</v>
      </c>
      <c r="AN5287">
        <v>-8.24</v>
      </c>
      <c r="AO5287">
        <v>1.03</v>
      </c>
      <c r="AP5287">
        <v>-8.24</v>
      </c>
    </row>
    <row r="5288" spans="1:42">
      <c r="A5288">
        <v>5287</v>
      </c>
      <c r="B5288" t="str">
        <f>"833509"</f>
        <v>833509</v>
      </c>
      <c r="C5288" t="s">
        <v>23407</v>
      </c>
      <c r="D5288">
        <v>8.42</v>
      </c>
      <c r="E5288">
        <v>-3.77</v>
      </c>
      <c r="F5288">
        <v>-0.33</v>
      </c>
      <c r="G5288">
        <v>8020</v>
      </c>
      <c r="H5288">
        <v>213</v>
      </c>
      <c r="I5288">
        <v>8.42</v>
      </c>
      <c r="J5288">
        <v>8.51</v>
      </c>
      <c r="K5288" t="s">
        <v>23408</v>
      </c>
      <c r="L5288">
        <v>0.98</v>
      </c>
      <c r="M5288" t="s">
        <v>46</v>
      </c>
      <c r="N5288" t="s">
        <v>7102</v>
      </c>
      <c r="O5288">
        <v>9.09</v>
      </c>
      <c r="P5288">
        <v>8.42</v>
      </c>
      <c r="Q5288">
        <v>8.75</v>
      </c>
      <c r="R5288">
        <v>8.75</v>
      </c>
      <c r="S5288">
        <v>7.66</v>
      </c>
      <c r="T5288">
        <v>0.26</v>
      </c>
      <c r="U5288">
        <v>-4.04</v>
      </c>
      <c r="V5288">
        <v>-14</v>
      </c>
      <c r="W5288">
        <v>8.7</v>
      </c>
      <c r="X5288">
        <v>4355</v>
      </c>
      <c r="Y5288">
        <v>3665</v>
      </c>
      <c r="Z5288">
        <v>1.19</v>
      </c>
      <c r="AA5288">
        <v>15</v>
      </c>
      <c r="AB5288">
        <v>3</v>
      </c>
      <c r="AC5288">
        <v>4.19</v>
      </c>
      <c r="AD5288" t="s">
        <v>23409</v>
      </c>
      <c r="AE5288" t="s">
        <v>1672</v>
      </c>
      <c r="AF5288" t="s">
        <v>23410</v>
      </c>
      <c r="AG5288" t="s">
        <v>17932</v>
      </c>
      <c r="AH5288">
        <v>-14.52</v>
      </c>
      <c r="AI5288">
        <v>-0.47</v>
      </c>
      <c r="AJ5288">
        <v>5.31</v>
      </c>
      <c r="AK5288">
        <v>20.12</v>
      </c>
      <c r="AL5288">
        <v>-4</v>
      </c>
      <c r="AM5288">
        <v>-3.77</v>
      </c>
      <c r="AN5288">
        <v>-4.86</v>
      </c>
      <c r="AO5288">
        <v>25.11</v>
      </c>
      <c r="AP5288">
        <v>-5.61</v>
      </c>
    </row>
    <row r="5289" spans="1:42">
      <c r="A5289">
        <v>5288</v>
      </c>
      <c r="B5289" t="str">
        <f>"300220"</f>
        <v>300220</v>
      </c>
      <c r="C5289" t="s">
        <v>23411</v>
      </c>
      <c r="D5289">
        <v>8.27</v>
      </c>
      <c r="E5289">
        <v>1.85</v>
      </c>
      <c r="F5289">
        <v>0.15</v>
      </c>
      <c r="G5289">
        <v>8207</v>
      </c>
      <c r="H5289">
        <v>148</v>
      </c>
      <c r="I5289">
        <v>8.25</v>
      </c>
      <c r="J5289">
        <v>8.27</v>
      </c>
      <c r="K5289" t="s">
        <v>23412</v>
      </c>
      <c r="L5289">
        <v>0.54</v>
      </c>
      <c r="M5289" t="s">
        <v>46</v>
      </c>
      <c r="N5289" t="s">
        <v>6517</v>
      </c>
      <c r="O5289">
        <v>8.28</v>
      </c>
      <c r="P5289">
        <v>8.11</v>
      </c>
      <c r="Q5289">
        <v>8.12</v>
      </c>
      <c r="R5289">
        <v>8.12</v>
      </c>
      <c r="S5289">
        <v>2.09</v>
      </c>
      <c r="T5289">
        <v>0.78</v>
      </c>
      <c r="U5289">
        <v>-31.99</v>
      </c>
      <c r="V5289">
        <v>-394</v>
      </c>
      <c r="W5289">
        <v>8.2</v>
      </c>
      <c r="X5289">
        <v>3802</v>
      </c>
      <c r="Y5289">
        <v>4405</v>
      </c>
      <c r="Z5289">
        <v>0.86</v>
      </c>
      <c r="AA5289">
        <v>22</v>
      </c>
      <c r="AB5289">
        <v>107</v>
      </c>
      <c r="AC5289">
        <v>16.14</v>
      </c>
      <c r="AD5289" t="s">
        <v>4767</v>
      </c>
      <c r="AE5289" t="s">
        <v>13637</v>
      </c>
      <c r="AF5289" t="s">
        <v>10226</v>
      </c>
      <c r="AG5289" t="s">
        <v>12779</v>
      </c>
      <c r="AH5289">
        <v>0.73</v>
      </c>
      <c r="AI5289">
        <v>-1.08</v>
      </c>
      <c r="AJ5289">
        <v>2.03</v>
      </c>
      <c r="AK5289">
        <v>4.05</v>
      </c>
      <c r="AL5289">
        <v>2</v>
      </c>
      <c r="AM5289">
        <v>1.85</v>
      </c>
      <c r="AN5289">
        <v>-20.94</v>
      </c>
      <c r="AO5289">
        <v>3.12</v>
      </c>
      <c r="AP5289">
        <v>-30.15</v>
      </c>
    </row>
    <row r="5290" spans="1:42">
      <c r="A5290">
        <v>5289</v>
      </c>
      <c r="B5290" t="str">
        <f>"301335"</f>
        <v>301335</v>
      </c>
      <c r="C5290" t="s">
        <v>23413</v>
      </c>
      <c r="D5290">
        <v>23.19</v>
      </c>
      <c r="E5290">
        <v>0.22</v>
      </c>
      <c r="F5290">
        <v>0.05</v>
      </c>
      <c r="G5290">
        <v>2891</v>
      </c>
      <c r="H5290">
        <v>37</v>
      </c>
      <c r="I5290">
        <v>23.19</v>
      </c>
      <c r="J5290">
        <v>23.21</v>
      </c>
      <c r="K5290" t="s">
        <v>23414</v>
      </c>
      <c r="L5290">
        <v>0.58</v>
      </c>
      <c r="M5290" t="s">
        <v>46</v>
      </c>
      <c r="N5290" t="s">
        <v>3203</v>
      </c>
      <c r="O5290">
        <v>23.4</v>
      </c>
      <c r="P5290">
        <v>22.95</v>
      </c>
      <c r="Q5290">
        <v>23.15</v>
      </c>
      <c r="R5290">
        <v>23.14</v>
      </c>
      <c r="S5290">
        <v>1.94</v>
      </c>
      <c r="T5290">
        <v>0.57</v>
      </c>
      <c r="U5290">
        <v>-21.17</v>
      </c>
      <c r="V5290">
        <v>-87</v>
      </c>
      <c r="W5290">
        <v>23.2</v>
      </c>
      <c r="X5290">
        <v>1135</v>
      </c>
      <c r="Y5290">
        <v>1756</v>
      </c>
      <c r="Z5290">
        <v>0.65</v>
      </c>
      <c r="AA5290">
        <v>14</v>
      </c>
      <c r="AB5290">
        <v>8</v>
      </c>
      <c r="AC5290">
        <v>1.53</v>
      </c>
      <c r="AD5290" t="s">
        <v>16045</v>
      </c>
      <c r="AE5290" t="s">
        <v>23415</v>
      </c>
      <c r="AF5290" t="s">
        <v>23416</v>
      </c>
      <c r="AG5290" t="s">
        <v>6386</v>
      </c>
      <c r="AH5290">
        <v>-0.47</v>
      </c>
      <c r="AI5290">
        <v>0.61</v>
      </c>
      <c r="AJ5290">
        <v>2.96</v>
      </c>
      <c r="AK5290">
        <v>5.69</v>
      </c>
      <c r="AL5290">
        <v>1</v>
      </c>
      <c r="AM5290">
        <v>0.22</v>
      </c>
      <c r="AN5290">
        <v>-7.09</v>
      </c>
      <c r="AO5290">
        <v>4.13</v>
      </c>
      <c r="AP5290">
        <v>-19.92</v>
      </c>
    </row>
    <row r="5291" spans="1:42">
      <c r="A5291">
        <v>5290</v>
      </c>
      <c r="B5291" t="str">
        <f>"830832"</f>
        <v>830832</v>
      </c>
      <c r="C5291" t="s">
        <v>23417</v>
      </c>
      <c r="D5291">
        <v>4.39</v>
      </c>
      <c r="E5291">
        <v>-6.4</v>
      </c>
      <c r="F5291">
        <v>-0.3</v>
      </c>
      <c r="G5291" t="s">
        <v>7656</v>
      </c>
      <c r="H5291">
        <v>121</v>
      </c>
      <c r="I5291">
        <v>4.39</v>
      </c>
      <c r="J5291">
        <v>4.42</v>
      </c>
      <c r="K5291" t="s">
        <v>23418</v>
      </c>
      <c r="L5291">
        <v>1.18</v>
      </c>
      <c r="M5291" t="s">
        <v>46</v>
      </c>
      <c r="N5291" t="s">
        <v>5071</v>
      </c>
      <c r="O5291">
        <v>4.82</v>
      </c>
      <c r="P5291">
        <v>4.38</v>
      </c>
      <c r="Q5291">
        <v>4.69</v>
      </c>
      <c r="R5291">
        <v>4.69</v>
      </c>
      <c r="S5291">
        <v>9.38</v>
      </c>
      <c r="T5291">
        <v>0.32</v>
      </c>
      <c r="U5291">
        <v>57.74</v>
      </c>
      <c r="V5291">
        <v>399</v>
      </c>
      <c r="W5291">
        <v>4.52</v>
      </c>
      <c r="X5291">
        <v>7761</v>
      </c>
      <c r="Y5291">
        <v>7012</v>
      </c>
      <c r="Z5291">
        <v>1.11</v>
      </c>
      <c r="AA5291">
        <v>104</v>
      </c>
      <c r="AB5291">
        <v>13</v>
      </c>
      <c r="AC5291">
        <v>0.8</v>
      </c>
      <c r="AD5291" t="s">
        <v>23419</v>
      </c>
      <c r="AE5291" t="s">
        <v>7615</v>
      </c>
      <c r="AF5291" t="s">
        <v>21023</v>
      </c>
      <c r="AG5291" t="s">
        <v>23420</v>
      </c>
      <c r="AH5291">
        <v>-19.15</v>
      </c>
      <c r="AI5291">
        <v>-3.94</v>
      </c>
      <c r="AJ5291">
        <v>5.74</v>
      </c>
      <c r="AK5291">
        <v>19.97</v>
      </c>
      <c r="AL5291">
        <v>-4</v>
      </c>
      <c r="AM5291">
        <v>-6.4</v>
      </c>
      <c r="AN5291">
        <v>-29.87</v>
      </c>
      <c r="AO5291">
        <v>31.44</v>
      </c>
      <c r="AP5291">
        <v>-30.97</v>
      </c>
    </row>
    <row r="5292" spans="1:42">
      <c r="A5292">
        <v>5291</v>
      </c>
      <c r="B5292" t="str">
        <f>"002200"</f>
        <v>002200</v>
      </c>
      <c r="C5292" t="s">
        <v>23421</v>
      </c>
      <c r="D5292">
        <v>8.13</v>
      </c>
      <c r="E5292">
        <v>-0.25</v>
      </c>
      <c r="F5292">
        <v>-0.02</v>
      </c>
      <c r="G5292">
        <v>8160</v>
      </c>
      <c r="H5292">
        <v>68</v>
      </c>
      <c r="I5292">
        <v>8.12</v>
      </c>
      <c r="J5292">
        <v>8.13</v>
      </c>
      <c r="K5292" t="s">
        <v>23422</v>
      </c>
      <c r="L5292">
        <v>0.44</v>
      </c>
      <c r="M5292" t="s">
        <v>46</v>
      </c>
      <c r="N5292" t="s">
        <v>6044</v>
      </c>
      <c r="O5292">
        <v>8.22</v>
      </c>
      <c r="P5292">
        <v>8.03</v>
      </c>
      <c r="Q5292">
        <v>8.11</v>
      </c>
      <c r="R5292">
        <v>8.15</v>
      </c>
      <c r="S5292">
        <v>2.33</v>
      </c>
      <c r="T5292">
        <v>0.67</v>
      </c>
      <c r="U5292">
        <v>17.04</v>
      </c>
      <c r="V5292">
        <v>251</v>
      </c>
      <c r="W5292">
        <v>8.1</v>
      </c>
      <c r="X5292">
        <v>3761</v>
      </c>
      <c r="Y5292">
        <v>4399</v>
      </c>
      <c r="Z5292">
        <v>0.86</v>
      </c>
      <c r="AA5292">
        <v>456</v>
      </c>
      <c r="AB5292">
        <v>15</v>
      </c>
      <c r="AC5292">
        <v>49.37</v>
      </c>
      <c r="AD5292" t="s">
        <v>18412</v>
      </c>
      <c r="AE5292" t="s">
        <v>23423</v>
      </c>
      <c r="AF5292" t="s">
        <v>18412</v>
      </c>
      <c r="AG5292" t="s">
        <v>23423</v>
      </c>
      <c r="AH5292">
        <v>3.3</v>
      </c>
      <c r="AI5292">
        <v>0.87</v>
      </c>
      <c r="AJ5292">
        <v>1.99</v>
      </c>
      <c r="AK5292">
        <v>3.73</v>
      </c>
      <c r="AL5292">
        <v>-1</v>
      </c>
      <c r="AM5292">
        <v>-0.25</v>
      </c>
      <c r="AN5292">
        <v>2.91</v>
      </c>
      <c r="AO5292">
        <v>5.58</v>
      </c>
      <c r="AP5292">
        <v>7.68</v>
      </c>
    </row>
    <row r="5293" spans="1:42">
      <c r="A5293">
        <v>5292</v>
      </c>
      <c r="B5293" t="str">
        <f>"831856"</f>
        <v>831856</v>
      </c>
      <c r="C5293" t="s">
        <v>23424</v>
      </c>
      <c r="D5293">
        <v>5.94</v>
      </c>
      <c r="E5293">
        <v>-5.11</v>
      </c>
      <c r="F5293">
        <v>-0.32</v>
      </c>
      <c r="G5293" t="s">
        <v>7974</v>
      </c>
      <c r="H5293">
        <v>138</v>
      </c>
      <c r="I5293">
        <v>5.94</v>
      </c>
      <c r="J5293">
        <v>5.95</v>
      </c>
      <c r="K5293" t="s">
        <v>23425</v>
      </c>
      <c r="L5293">
        <v>1.92</v>
      </c>
      <c r="M5293" t="s">
        <v>46</v>
      </c>
      <c r="N5293" t="s">
        <v>3101</v>
      </c>
      <c r="O5293">
        <v>6.47</v>
      </c>
      <c r="P5293">
        <v>5.94</v>
      </c>
      <c r="Q5293">
        <v>6.3</v>
      </c>
      <c r="R5293">
        <v>6.26</v>
      </c>
      <c r="S5293">
        <v>8.47</v>
      </c>
      <c r="T5293">
        <v>0.42</v>
      </c>
      <c r="U5293">
        <v>-1.44</v>
      </c>
      <c r="V5293">
        <v>-4</v>
      </c>
      <c r="W5293">
        <v>6.13</v>
      </c>
      <c r="X5293">
        <v>7563</v>
      </c>
      <c r="Y5293">
        <v>3215</v>
      </c>
      <c r="Z5293">
        <v>2.35</v>
      </c>
      <c r="AA5293">
        <v>14</v>
      </c>
      <c r="AB5293">
        <v>84</v>
      </c>
      <c r="AC5293">
        <v>1.16</v>
      </c>
      <c r="AD5293" t="s">
        <v>23426</v>
      </c>
      <c r="AE5293" t="s">
        <v>23427</v>
      </c>
      <c r="AF5293" t="s">
        <v>15235</v>
      </c>
      <c r="AG5293" t="s">
        <v>13832</v>
      </c>
      <c r="AH5293">
        <v>-18.18</v>
      </c>
      <c r="AI5293">
        <v>2.41</v>
      </c>
      <c r="AJ5293">
        <v>8.32</v>
      </c>
      <c r="AK5293">
        <v>24.83</v>
      </c>
      <c r="AL5293">
        <v>-4</v>
      </c>
      <c r="AM5293">
        <v>-5.11</v>
      </c>
      <c r="AN5293">
        <v>26.11</v>
      </c>
      <c r="AO5293">
        <v>26.92</v>
      </c>
      <c r="AP5293">
        <v>14.89</v>
      </c>
    </row>
    <row r="5294" spans="1:42">
      <c r="A5294">
        <v>5293</v>
      </c>
      <c r="B5294" t="str">
        <f>"833427"</f>
        <v>833427</v>
      </c>
      <c r="C5294" t="s">
        <v>23428</v>
      </c>
      <c r="D5294">
        <v>6.38</v>
      </c>
      <c r="E5294">
        <v>-4.78</v>
      </c>
      <c r="F5294">
        <v>-0.32</v>
      </c>
      <c r="G5294" t="s">
        <v>2074</v>
      </c>
      <c r="H5294">
        <v>187</v>
      </c>
      <c r="I5294">
        <v>6.37</v>
      </c>
      <c r="J5294">
        <v>6.38</v>
      </c>
      <c r="K5294" t="s">
        <v>23429</v>
      </c>
      <c r="L5294">
        <v>2.56</v>
      </c>
      <c r="M5294" t="s">
        <v>46</v>
      </c>
      <c r="N5294" t="s">
        <v>23430</v>
      </c>
      <c r="O5294">
        <v>6.77</v>
      </c>
      <c r="P5294">
        <v>6.25</v>
      </c>
      <c r="Q5294">
        <v>6.59</v>
      </c>
      <c r="R5294">
        <v>6.7</v>
      </c>
      <c r="S5294">
        <v>7.76</v>
      </c>
      <c r="T5294">
        <v>0.37</v>
      </c>
      <c r="U5294">
        <v>-1.14</v>
      </c>
      <c r="V5294">
        <v>-9</v>
      </c>
      <c r="W5294">
        <v>6.46</v>
      </c>
      <c r="X5294">
        <v>6362</v>
      </c>
      <c r="Y5294">
        <v>3725</v>
      </c>
      <c r="Z5294">
        <v>1.71</v>
      </c>
      <c r="AA5294">
        <v>10</v>
      </c>
      <c r="AB5294">
        <v>12</v>
      </c>
      <c r="AC5294">
        <v>1.89</v>
      </c>
      <c r="AD5294" t="s">
        <v>3170</v>
      </c>
      <c r="AE5294" t="s">
        <v>23431</v>
      </c>
      <c r="AF5294" t="s">
        <v>23432</v>
      </c>
      <c r="AG5294" t="s">
        <v>23433</v>
      </c>
      <c r="AH5294">
        <v>-9.89</v>
      </c>
      <c r="AI5294">
        <v>3.24</v>
      </c>
      <c r="AJ5294">
        <v>11.52</v>
      </c>
      <c r="AK5294">
        <v>37.46</v>
      </c>
      <c r="AL5294">
        <v>-1</v>
      </c>
      <c r="AM5294">
        <v>-4.78</v>
      </c>
      <c r="AN5294">
        <v>35.74</v>
      </c>
      <c r="AO5294">
        <v>25.34</v>
      </c>
      <c r="AP5294">
        <v>18.15</v>
      </c>
    </row>
    <row r="5295" spans="1:42">
      <c r="A5295">
        <v>5294</v>
      </c>
      <c r="B5295" t="str">
        <f>"002700"</f>
        <v>002700</v>
      </c>
      <c r="C5295" t="s">
        <v>23434</v>
      </c>
      <c r="D5295">
        <v>4.93</v>
      </c>
      <c r="E5295">
        <v>-0.6</v>
      </c>
      <c r="F5295">
        <v>-0.03</v>
      </c>
      <c r="G5295" t="s">
        <v>1967</v>
      </c>
      <c r="H5295">
        <v>109</v>
      </c>
      <c r="I5295">
        <v>4.92</v>
      </c>
      <c r="J5295">
        <v>4.93</v>
      </c>
      <c r="K5295" t="s">
        <v>23435</v>
      </c>
      <c r="L5295">
        <v>0.31</v>
      </c>
      <c r="M5295" t="s">
        <v>46</v>
      </c>
      <c r="N5295" t="s">
        <v>11396</v>
      </c>
      <c r="O5295">
        <v>4.98</v>
      </c>
      <c r="P5295">
        <v>4.9</v>
      </c>
      <c r="Q5295">
        <v>4.98</v>
      </c>
      <c r="R5295">
        <v>4.96</v>
      </c>
      <c r="S5295">
        <v>1.61</v>
      </c>
      <c r="T5295">
        <v>0.69</v>
      </c>
      <c r="U5295">
        <v>53.08</v>
      </c>
      <c r="V5295">
        <v>2473</v>
      </c>
      <c r="W5295">
        <v>4.92</v>
      </c>
      <c r="X5295">
        <v>8850</v>
      </c>
      <c r="Y5295">
        <v>4334</v>
      </c>
      <c r="Z5295">
        <v>2.04</v>
      </c>
      <c r="AA5295">
        <v>56</v>
      </c>
      <c r="AB5295">
        <v>79</v>
      </c>
      <c r="AC5295">
        <v>2.67</v>
      </c>
      <c r="AD5295" t="s">
        <v>4998</v>
      </c>
      <c r="AE5295" t="s">
        <v>13509</v>
      </c>
      <c r="AF5295" t="s">
        <v>8737</v>
      </c>
      <c r="AG5295" t="s">
        <v>23436</v>
      </c>
      <c r="AH5295">
        <v>-2.18</v>
      </c>
      <c r="AI5295">
        <v>-5.56</v>
      </c>
      <c r="AJ5295">
        <v>0.9</v>
      </c>
      <c r="AK5295">
        <v>2.58</v>
      </c>
      <c r="AL5295">
        <v>-3</v>
      </c>
      <c r="AM5295">
        <v>-0.6</v>
      </c>
      <c r="AN5295">
        <v>6.02</v>
      </c>
      <c r="AO5295">
        <v>2.49</v>
      </c>
      <c r="AP5295">
        <v>2.71</v>
      </c>
    </row>
    <row r="5296" spans="1:42">
      <c r="A5296">
        <v>5295</v>
      </c>
      <c r="B5296" t="str">
        <f>"002872"</f>
        <v>002872</v>
      </c>
      <c r="C5296" t="s">
        <v>23437</v>
      </c>
      <c r="D5296">
        <v>5.2</v>
      </c>
      <c r="E5296">
        <v>0.58</v>
      </c>
      <c r="F5296">
        <v>0.03</v>
      </c>
      <c r="G5296" t="s">
        <v>2547</v>
      </c>
      <c r="H5296">
        <v>400</v>
      </c>
      <c r="I5296">
        <v>5.19</v>
      </c>
      <c r="J5296">
        <v>5.2</v>
      </c>
      <c r="K5296" t="s">
        <v>23438</v>
      </c>
      <c r="L5296">
        <v>0.58</v>
      </c>
      <c r="M5296" t="s">
        <v>46</v>
      </c>
      <c r="N5296" t="s">
        <v>3546</v>
      </c>
      <c r="O5296">
        <v>5.2</v>
      </c>
      <c r="P5296">
        <v>5.15</v>
      </c>
      <c r="Q5296">
        <v>5.17</v>
      </c>
      <c r="R5296">
        <v>5.17</v>
      </c>
      <c r="S5296">
        <v>0.97</v>
      </c>
      <c r="T5296">
        <v>0.65</v>
      </c>
      <c r="U5296">
        <v>-79.58</v>
      </c>
      <c r="V5296">
        <v>-6984</v>
      </c>
      <c r="W5296">
        <v>5.17</v>
      </c>
      <c r="X5296">
        <v>6436</v>
      </c>
      <c r="Y5296">
        <v>6055</v>
      </c>
      <c r="Z5296">
        <v>1.06</v>
      </c>
      <c r="AA5296">
        <v>100</v>
      </c>
      <c r="AB5296">
        <v>774</v>
      </c>
      <c r="AC5296">
        <v>0.79</v>
      </c>
      <c r="AD5296" t="s">
        <v>9196</v>
      </c>
      <c r="AE5296" t="s">
        <v>7509</v>
      </c>
      <c r="AF5296" t="s">
        <v>4743</v>
      </c>
      <c r="AG5296" t="s">
        <v>1024</v>
      </c>
      <c r="AH5296">
        <v>-1.89</v>
      </c>
      <c r="AI5296">
        <v>-1.52</v>
      </c>
      <c r="AJ5296">
        <v>2.34</v>
      </c>
      <c r="AK5296">
        <v>5.06</v>
      </c>
      <c r="AL5296">
        <v>1</v>
      </c>
      <c r="AM5296">
        <v>0.58</v>
      </c>
      <c r="AN5296">
        <v>-1.52</v>
      </c>
      <c r="AO5296">
        <v>3.17</v>
      </c>
      <c r="AP5296">
        <v>-1.14</v>
      </c>
    </row>
    <row r="5297" spans="1:42">
      <c r="A5297">
        <v>5296</v>
      </c>
      <c r="B5297" t="str">
        <f>"000023"</f>
        <v>000023</v>
      </c>
      <c r="C5297" t="s">
        <v>23439</v>
      </c>
      <c r="D5297">
        <v>6.22</v>
      </c>
      <c r="E5297">
        <v>1.3</v>
      </c>
      <c r="F5297">
        <v>0.08</v>
      </c>
      <c r="G5297" t="s">
        <v>1646</v>
      </c>
      <c r="H5297">
        <v>25</v>
      </c>
      <c r="I5297">
        <v>6.22</v>
      </c>
      <c r="J5297">
        <v>6.24</v>
      </c>
      <c r="K5297" t="s">
        <v>23440</v>
      </c>
      <c r="L5297">
        <v>0.74</v>
      </c>
      <c r="M5297" t="s">
        <v>46</v>
      </c>
      <c r="N5297" t="s">
        <v>6174</v>
      </c>
      <c r="O5297">
        <v>6.26</v>
      </c>
      <c r="P5297">
        <v>6.09</v>
      </c>
      <c r="Q5297">
        <v>6.18</v>
      </c>
      <c r="R5297">
        <v>6.14</v>
      </c>
      <c r="S5297">
        <v>2.77</v>
      </c>
      <c r="T5297">
        <v>1</v>
      </c>
      <c r="U5297">
        <v>9.18</v>
      </c>
      <c r="V5297">
        <v>136</v>
      </c>
      <c r="W5297">
        <v>6.17</v>
      </c>
      <c r="X5297">
        <v>5601</v>
      </c>
      <c r="Y5297">
        <v>4644</v>
      </c>
      <c r="Z5297">
        <v>1.21</v>
      </c>
      <c r="AA5297">
        <v>63</v>
      </c>
      <c r="AB5297">
        <v>130</v>
      </c>
      <c r="AC5297">
        <v>11.87</v>
      </c>
      <c r="AD5297" t="s">
        <v>23419</v>
      </c>
      <c r="AE5297" t="s">
        <v>23441</v>
      </c>
      <c r="AF5297" t="s">
        <v>23419</v>
      </c>
      <c r="AG5297" t="s">
        <v>23441</v>
      </c>
      <c r="AH5297">
        <v>-0.8</v>
      </c>
      <c r="AI5297">
        <v>-2.96</v>
      </c>
      <c r="AJ5297">
        <v>2.52</v>
      </c>
      <c r="AK5297">
        <v>4.43</v>
      </c>
      <c r="AL5297">
        <v>1</v>
      </c>
      <c r="AM5297">
        <v>1.3</v>
      </c>
      <c r="AN5297">
        <v>-54.83</v>
      </c>
      <c r="AO5297">
        <v>-0.32</v>
      </c>
      <c r="AP5297">
        <v>-52.59</v>
      </c>
    </row>
    <row r="5298" spans="1:42">
      <c r="A5298">
        <v>5297</v>
      </c>
      <c r="B5298" t="str">
        <f>"002656"</f>
        <v>002656</v>
      </c>
      <c r="C5298" t="s">
        <v>23442</v>
      </c>
      <c r="D5298">
        <v>1.99</v>
      </c>
      <c r="E5298">
        <v>-1.49</v>
      </c>
      <c r="F5298">
        <v>-0.03</v>
      </c>
      <c r="G5298" t="s">
        <v>206</v>
      </c>
      <c r="H5298">
        <v>1519</v>
      </c>
      <c r="I5298">
        <v>1.99</v>
      </c>
      <c r="J5298">
        <v>2</v>
      </c>
      <c r="K5298" t="s">
        <v>23443</v>
      </c>
      <c r="L5298">
        <v>0.51</v>
      </c>
      <c r="M5298" t="s">
        <v>46</v>
      </c>
      <c r="N5298" t="s">
        <v>6489</v>
      </c>
      <c r="O5298">
        <v>2.03</v>
      </c>
      <c r="P5298">
        <v>1.98</v>
      </c>
      <c r="Q5298">
        <v>2.01</v>
      </c>
      <c r="R5298">
        <v>2.02</v>
      </c>
      <c r="S5298">
        <v>2.48</v>
      </c>
      <c r="T5298">
        <v>0.64</v>
      </c>
      <c r="U5298">
        <v>-41.78</v>
      </c>
      <c r="V5298">
        <v>-6722</v>
      </c>
      <c r="W5298">
        <v>2</v>
      </c>
      <c r="X5298" t="s">
        <v>8073</v>
      </c>
      <c r="Y5298" t="s">
        <v>7974</v>
      </c>
      <c r="Z5298">
        <v>1.9</v>
      </c>
      <c r="AA5298">
        <v>2332</v>
      </c>
      <c r="AB5298">
        <v>1352</v>
      </c>
      <c r="AC5298">
        <v>3.1</v>
      </c>
      <c r="AD5298" t="s">
        <v>23444</v>
      </c>
      <c r="AE5298" t="s">
        <v>2580</v>
      </c>
      <c r="AF5298" t="s">
        <v>23445</v>
      </c>
      <c r="AG5298" t="s">
        <v>9711</v>
      </c>
      <c r="AH5298">
        <v>-4.78</v>
      </c>
      <c r="AI5298">
        <v>-1.97</v>
      </c>
      <c r="AJ5298">
        <v>2.29</v>
      </c>
      <c r="AK5298">
        <v>4.56</v>
      </c>
      <c r="AL5298">
        <v>-3</v>
      </c>
      <c r="AM5298">
        <v>-1.49</v>
      </c>
      <c r="AN5298">
        <v>-23.46</v>
      </c>
      <c r="AO5298">
        <v>4.19</v>
      </c>
      <c r="AP5298">
        <v>-30.66</v>
      </c>
    </row>
    <row r="5299" spans="1:42">
      <c r="A5299">
        <v>5298</v>
      </c>
      <c r="B5299" t="str">
        <f>"600898"</f>
        <v>600898</v>
      </c>
      <c r="C5299" t="s">
        <v>23446</v>
      </c>
      <c r="D5299">
        <v>3.19</v>
      </c>
      <c r="E5299">
        <v>0.31</v>
      </c>
      <c r="F5299">
        <v>0.01</v>
      </c>
      <c r="G5299" t="s">
        <v>1072</v>
      </c>
      <c r="H5299">
        <v>353</v>
      </c>
      <c r="I5299">
        <v>3.18</v>
      </c>
      <c r="J5299">
        <v>3.19</v>
      </c>
      <c r="K5299" t="s">
        <v>23447</v>
      </c>
      <c r="L5299">
        <v>0.74</v>
      </c>
      <c r="M5299" t="s">
        <v>46</v>
      </c>
      <c r="N5299" t="s">
        <v>19318</v>
      </c>
      <c r="O5299">
        <v>3.2</v>
      </c>
      <c r="P5299">
        <v>3.15</v>
      </c>
      <c r="Q5299">
        <v>3.15</v>
      </c>
      <c r="R5299">
        <v>3.18</v>
      </c>
      <c r="S5299">
        <v>1.57</v>
      </c>
      <c r="T5299">
        <v>0.57</v>
      </c>
      <c r="U5299">
        <v>50.43</v>
      </c>
      <c r="V5299">
        <v>2973</v>
      </c>
      <c r="W5299">
        <v>3.18</v>
      </c>
      <c r="X5299" t="s">
        <v>1083</v>
      </c>
      <c r="Y5299">
        <v>6850</v>
      </c>
      <c r="Z5299">
        <v>1.72</v>
      </c>
      <c r="AA5299">
        <v>1034</v>
      </c>
      <c r="AB5299">
        <v>87</v>
      </c>
      <c r="AC5299">
        <v>-54.88</v>
      </c>
      <c r="AD5299" t="s">
        <v>23448</v>
      </c>
      <c r="AE5299" t="s">
        <v>14915</v>
      </c>
      <c r="AF5299" t="s">
        <v>23449</v>
      </c>
      <c r="AG5299" t="s">
        <v>23450</v>
      </c>
      <c r="AH5299">
        <v>-0.93</v>
      </c>
      <c r="AI5299">
        <v>-4.2</v>
      </c>
      <c r="AJ5299">
        <v>3.18</v>
      </c>
      <c r="AK5299">
        <v>7.19</v>
      </c>
      <c r="AL5299">
        <v>1</v>
      </c>
      <c r="AM5299">
        <v>0.31</v>
      </c>
      <c r="AN5299">
        <v>-39.58</v>
      </c>
      <c r="AO5299">
        <v>0.63</v>
      </c>
      <c r="AP5299">
        <v>-43.74</v>
      </c>
    </row>
    <row r="5300" spans="1:42">
      <c r="A5300">
        <v>5299</v>
      </c>
      <c r="B5300" t="str">
        <f>"002951"</f>
        <v>002951</v>
      </c>
      <c r="C5300" t="s">
        <v>23451</v>
      </c>
      <c r="D5300">
        <v>8.04</v>
      </c>
      <c r="E5300">
        <v>0.63</v>
      </c>
      <c r="F5300">
        <v>0.05</v>
      </c>
      <c r="G5300">
        <v>7298</v>
      </c>
      <c r="H5300">
        <v>133</v>
      </c>
      <c r="I5300">
        <v>8.03</v>
      </c>
      <c r="J5300">
        <v>8.04</v>
      </c>
      <c r="K5300" t="s">
        <v>23452</v>
      </c>
      <c r="L5300">
        <v>0.2</v>
      </c>
      <c r="M5300" t="s">
        <v>46</v>
      </c>
      <c r="N5300" t="s">
        <v>19026</v>
      </c>
      <c r="O5300">
        <v>8.05</v>
      </c>
      <c r="P5300">
        <v>7.96</v>
      </c>
      <c r="Q5300">
        <v>8</v>
      </c>
      <c r="R5300">
        <v>7.99</v>
      </c>
      <c r="S5300">
        <v>1.13</v>
      </c>
      <c r="T5300">
        <v>0.82</v>
      </c>
      <c r="U5300">
        <v>-1.46</v>
      </c>
      <c r="V5300">
        <v>-32</v>
      </c>
      <c r="W5300">
        <v>8.01</v>
      </c>
      <c r="X5300">
        <v>3772</v>
      </c>
      <c r="Y5300">
        <v>3526</v>
      </c>
      <c r="Z5300">
        <v>1.07</v>
      </c>
      <c r="AA5300">
        <v>330</v>
      </c>
      <c r="AB5300">
        <v>134</v>
      </c>
      <c r="AC5300">
        <v>1.67</v>
      </c>
      <c r="AD5300" t="s">
        <v>19645</v>
      </c>
      <c r="AE5300" t="s">
        <v>19441</v>
      </c>
      <c r="AF5300" t="s">
        <v>19869</v>
      </c>
      <c r="AG5300" t="s">
        <v>13885</v>
      </c>
      <c r="AH5300">
        <v>0.63</v>
      </c>
      <c r="AI5300">
        <v>-1.59</v>
      </c>
      <c r="AJ5300">
        <v>0.58</v>
      </c>
      <c r="AK5300">
        <v>1.4</v>
      </c>
      <c r="AL5300">
        <v>2</v>
      </c>
      <c r="AM5300">
        <v>0.63</v>
      </c>
      <c r="AN5300">
        <v>-10.17</v>
      </c>
      <c r="AO5300">
        <v>2.42</v>
      </c>
      <c r="AP5300">
        <v>-13.17</v>
      </c>
    </row>
    <row r="5301" spans="1:42">
      <c r="A5301">
        <v>5300</v>
      </c>
      <c r="B5301" t="str">
        <f>"002942"</f>
        <v>002942</v>
      </c>
      <c r="C5301" t="s">
        <v>23453</v>
      </c>
      <c r="D5301">
        <v>18.13</v>
      </c>
      <c r="E5301">
        <v>0.17</v>
      </c>
      <c r="F5301">
        <v>0.03</v>
      </c>
      <c r="G5301">
        <v>3151</v>
      </c>
      <c r="H5301">
        <v>90</v>
      </c>
      <c r="I5301">
        <v>18.13</v>
      </c>
      <c r="J5301">
        <v>18.15</v>
      </c>
      <c r="K5301" t="s">
        <v>23454</v>
      </c>
      <c r="L5301">
        <v>0.23</v>
      </c>
      <c r="M5301" t="s">
        <v>46</v>
      </c>
      <c r="N5301" t="s">
        <v>2063</v>
      </c>
      <c r="O5301">
        <v>18.29</v>
      </c>
      <c r="P5301">
        <v>17.92</v>
      </c>
      <c r="Q5301">
        <v>18.17</v>
      </c>
      <c r="R5301">
        <v>18.1</v>
      </c>
      <c r="S5301">
        <v>2.04</v>
      </c>
      <c r="T5301">
        <v>0.7</v>
      </c>
      <c r="U5301">
        <v>71.66</v>
      </c>
      <c r="V5301">
        <v>339</v>
      </c>
      <c r="W5301">
        <v>18.13</v>
      </c>
      <c r="X5301">
        <v>1408</v>
      </c>
      <c r="Y5301">
        <v>1743</v>
      </c>
      <c r="Z5301">
        <v>0.81</v>
      </c>
      <c r="AA5301">
        <v>350</v>
      </c>
      <c r="AB5301">
        <v>32</v>
      </c>
      <c r="AC5301">
        <v>2.43</v>
      </c>
      <c r="AD5301" t="s">
        <v>14866</v>
      </c>
      <c r="AE5301" t="s">
        <v>1474</v>
      </c>
      <c r="AF5301" t="s">
        <v>11708</v>
      </c>
      <c r="AG5301" t="s">
        <v>8492</v>
      </c>
      <c r="AH5301">
        <v>-0.93</v>
      </c>
      <c r="AI5301">
        <v>-0.6</v>
      </c>
      <c r="AJ5301">
        <v>0.72</v>
      </c>
      <c r="AK5301">
        <v>1.85</v>
      </c>
      <c r="AL5301">
        <v>1</v>
      </c>
      <c r="AM5301">
        <v>0.17</v>
      </c>
      <c r="AN5301">
        <v>13.67</v>
      </c>
      <c r="AO5301">
        <v>2.2</v>
      </c>
      <c r="AP5301">
        <v>4.2</v>
      </c>
    </row>
    <row r="5302" spans="1:42">
      <c r="A5302">
        <v>5301</v>
      </c>
      <c r="B5302" t="str">
        <f>"002052"</f>
        <v>002052</v>
      </c>
      <c r="C5302" t="s">
        <v>23455</v>
      </c>
      <c r="D5302">
        <v>1.84</v>
      </c>
      <c r="E5302">
        <v>0</v>
      </c>
      <c r="F5302">
        <v>0</v>
      </c>
      <c r="G5302" t="s">
        <v>3456</v>
      </c>
      <c r="H5302">
        <v>2724</v>
      </c>
      <c r="I5302">
        <v>1.83</v>
      </c>
      <c r="J5302">
        <v>1.84</v>
      </c>
      <c r="K5302" t="s">
        <v>23456</v>
      </c>
      <c r="L5302">
        <v>0.36</v>
      </c>
      <c r="M5302" t="s">
        <v>46</v>
      </c>
      <c r="N5302" t="s">
        <v>6773</v>
      </c>
      <c r="O5302">
        <v>1.86</v>
      </c>
      <c r="P5302">
        <v>1.83</v>
      </c>
      <c r="Q5302">
        <v>1.84</v>
      </c>
      <c r="R5302">
        <v>1.84</v>
      </c>
      <c r="S5302">
        <v>1.63</v>
      </c>
      <c r="T5302">
        <v>0.71</v>
      </c>
      <c r="U5302">
        <v>-5.54</v>
      </c>
      <c r="V5302">
        <v>-806</v>
      </c>
      <c r="W5302">
        <v>1.84</v>
      </c>
      <c r="X5302" t="s">
        <v>9445</v>
      </c>
      <c r="Y5302" t="s">
        <v>5446</v>
      </c>
      <c r="Z5302">
        <v>0.93</v>
      </c>
      <c r="AA5302">
        <v>1561</v>
      </c>
      <c r="AB5302">
        <v>1285</v>
      </c>
      <c r="AC5302">
        <v>34.53</v>
      </c>
      <c r="AD5302" t="s">
        <v>23457</v>
      </c>
      <c r="AE5302" t="s">
        <v>17241</v>
      </c>
      <c r="AF5302" t="s">
        <v>23457</v>
      </c>
      <c r="AG5302" t="s">
        <v>17241</v>
      </c>
      <c r="AH5302">
        <v>-3.66</v>
      </c>
      <c r="AI5302">
        <v>-2.65</v>
      </c>
      <c r="AJ5302">
        <v>1.14</v>
      </c>
      <c r="AK5302">
        <v>2.9</v>
      </c>
      <c r="AL5302">
        <v>0</v>
      </c>
      <c r="AM5302">
        <v>0</v>
      </c>
      <c r="AN5302">
        <v>-28.96</v>
      </c>
      <c r="AO5302">
        <v>11.52</v>
      </c>
      <c r="AP5302">
        <v>-25.81</v>
      </c>
    </row>
    <row r="5303" spans="1:42">
      <c r="A5303">
        <v>5302</v>
      </c>
      <c r="B5303" t="str">
        <f>"002005"</f>
        <v>002005</v>
      </c>
      <c r="C5303" t="s">
        <v>23458</v>
      </c>
      <c r="D5303">
        <v>1.37</v>
      </c>
      <c r="E5303">
        <v>0.74</v>
      </c>
      <c r="F5303">
        <v>0.01</v>
      </c>
      <c r="G5303" t="s">
        <v>2464</v>
      </c>
      <c r="H5303">
        <v>877</v>
      </c>
      <c r="I5303">
        <v>1.37</v>
      </c>
      <c r="J5303">
        <v>1.38</v>
      </c>
      <c r="K5303" t="s">
        <v>23456</v>
      </c>
      <c r="L5303">
        <v>0.21</v>
      </c>
      <c r="M5303" t="s">
        <v>46</v>
      </c>
      <c r="N5303" t="s">
        <v>2372</v>
      </c>
      <c r="O5303">
        <v>1.38</v>
      </c>
      <c r="P5303">
        <v>1.35</v>
      </c>
      <c r="Q5303">
        <v>1.37</v>
      </c>
      <c r="R5303">
        <v>1.36</v>
      </c>
      <c r="S5303">
        <v>2.21</v>
      </c>
      <c r="T5303">
        <v>0.57</v>
      </c>
      <c r="U5303">
        <v>-11.58</v>
      </c>
      <c r="V5303">
        <v>-5442</v>
      </c>
      <c r="W5303">
        <v>1.37</v>
      </c>
      <c r="X5303" t="s">
        <v>2976</v>
      </c>
      <c r="Y5303" t="s">
        <v>7487</v>
      </c>
      <c r="Z5303">
        <v>1.25</v>
      </c>
      <c r="AA5303">
        <v>2490</v>
      </c>
      <c r="AB5303">
        <v>5781</v>
      </c>
      <c r="AC5303">
        <v>2.9</v>
      </c>
      <c r="AD5303" t="s">
        <v>476</v>
      </c>
      <c r="AE5303" t="s">
        <v>19116</v>
      </c>
      <c r="AF5303" t="s">
        <v>476</v>
      </c>
      <c r="AG5303" t="s">
        <v>19116</v>
      </c>
      <c r="AH5303">
        <v>-1.44</v>
      </c>
      <c r="AI5303">
        <v>-2.14</v>
      </c>
      <c r="AJ5303">
        <v>0.82</v>
      </c>
      <c r="AK5303">
        <v>2.04</v>
      </c>
      <c r="AL5303">
        <v>1</v>
      </c>
      <c r="AM5303">
        <v>0.74</v>
      </c>
      <c r="AN5303">
        <v>-7.43</v>
      </c>
      <c r="AO5303">
        <v>-3.52</v>
      </c>
      <c r="AP5303">
        <v>-5.52</v>
      </c>
    </row>
    <row r="5304" spans="1:42">
      <c r="A5304">
        <v>5303</v>
      </c>
      <c r="B5304" t="str">
        <f>"834765"</f>
        <v>834765</v>
      </c>
      <c r="C5304" t="s">
        <v>23459</v>
      </c>
      <c r="D5304">
        <v>6.61</v>
      </c>
      <c r="E5304">
        <v>-3.92</v>
      </c>
      <c r="F5304">
        <v>-0.27</v>
      </c>
      <c r="G5304">
        <v>7068</v>
      </c>
      <c r="H5304">
        <v>83</v>
      </c>
      <c r="I5304">
        <v>6.61</v>
      </c>
      <c r="J5304">
        <v>6.68</v>
      </c>
      <c r="K5304" t="s">
        <v>23460</v>
      </c>
      <c r="L5304">
        <v>1.61</v>
      </c>
      <c r="M5304" t="s">
        <v>46</v>
      </c>
      <c r="N5304" t="s">
        <v>4563</v>
      </c>
      <c r="O5304">
        <v>7.13</v>
      </c>
      <c r="P5304">
        <v>6.59</v>
      </c>
      <c r="Q5304">
        <v>6.96</v>
      </c>
      <c r="R5304">
        <v>6.88</v>
      </c>
      <c r="S5304">
        <v>7.85</v>
      </c>
      <c r="T5304">
        <v>0.39</v>
      </c>
      <c r="U5304">
        <v>-4.46</v>
      </c>
      <c r="V5304">
        <v>-24</v>
      </c>
      <c r="W5304">
        <v>6.83</v>
      </c>
      <c r="X5304">
        <v>4759</v>
      </c>
      <c r="Y5304">
        <v>2308</v>
      </c>
      <c r="Z5304">
        <v>2.06</v>
      </c>
      <c r="AA5304">
        <v>47</v>
      </c>
      <c r="AB5304">
        <v>10</v>
      </c>
      <c r="AC5304">
        <v>1.41</v>
      </c>
      <c r="AD5304" t="s">
        <v>13579</v>
      </c>
      <c r="AE5304" t="s">
        <v>23461</v>
      </c>
      <c r="AF5304" t="s">
        <v>5978</v>
      </c>
      <c r="AG5304" t="s">
        <v>23462</v>
      </c>
      <c r="AH5304">
        <v>-17.27</v>
      </c>
      <c r="AI5304">
        <v>3.44</v>
      </c>
      <c r="AJ5304">
        <v>6.6</v>
      </c>
      <c r="AK5304">
        <v>22.48</v>
      </c>
      <c r="AL5304">
        <v>-4</v>
      </c>
      <c r="AM5304">
        <v>-3.92</v>
      </c>
      <c r="AN5304">
        <v>15.16</v>
      </c>
      <c r="AO5304">
        <v>25.9</v>
      </c>
      <c r="AP5304">
        <v>1.38</v>
      </c>
    </row>
    <row r="5305" spans="1:42">
      <c r="A5305">
        <v>5304</v>
      </c>
      <c r="B5305" t="str">
        <f>"688370"</f>
        <v>688370</v>
      </c>
      <c r="C5305" t="s">
        <v>23463</v>
      </c>
      <c r="D5305">
        <v>25.66</v>
      </c>
      <c r="E5305">
        <v>-0.12</v>
      </c>
      <c r="F5305">
        <v>-0.03</v>
      </c>
      <c r="G5305">
        <v>1873</v>
      </c>
      <c r="H5305">
        <v>8</v>
      </c>
      <c r="I5305">
        <v>25.6</v>
      </c>
      <c r="J5305">
        <v>25.66</v>
      </c>
      <c r="K5305" t="s">
        <v>23464</v>
      </c>
      <c r="L5305">
        <v>0.43</v>
      </c>
      <c r="M5305" t="s">
        <v>46</v>
      </c>
      <c r="N5305" t="s">
        <v>3038</v>
      </c>
      <c r="O5305">
        <v>25.73</v>
      </c>
      <c r="P5305">
        <v>25.51</v>
      </c>
      <c r="Q5305">
        <v>25.63</v>
      </c>
      <c r="R5305">
        <v>25.69</v>
      </c>
      <c r="S5305">
        <v>0.86</v>
      </c>
      <c r="T5305">
        <v>0.87</v>
      </c>
      <c r="U5305">
        <v>2.11</v>
      </c>
      <c r="V5305">
        <v>4</v>
      </c>
      <c r="W5305">
        <v>25.61</v>
      </c>
      <c r="X5305">
        <v>885</v>
      </c>
      <c r="Y5305">
        <v>988</v>
      </c>
      <c r="Z5305">
        <v>0.9</v>
      </c>
      <c r="AA5305">
        <v>10</v>
      </c>
      <c r="AB5305">
        <v>6</v>
      </c>
      <c r="AC5305">
        <v>1.33</v>
      </c>
      <c r="AD5305" t="s">
        <v>6383</v>
      </c>
      <c r="AE5305" t="s">
        <v>3572</v>
      </c>
      <c r="AF5305" t="s">
        <v>23465</v>
      </c>
      <c r="AG5305" t="s">
        <v>10907</v>
      </c>
      <c r="AH5305">
        <v>-0.62</v>
      </c>
      <c r="AI5305">
        <v>-1.04</v>
      </c>
      <c r="AJ5305">
        <v>1.09</v>
      </c>
      <c r="AK5305">
        <v>2.91</v>
      </c>
      <c r="AL5305">
        <v>-2</v>
      </c>
      <c r="AM5305">
        <v>-0.12</v>
      </c>
      <c r="AN5305">
        <v>2.56</v>
      </c>
      <c r="AO5305">
        <v>1.7</v>
      </c>
      <c r="AP5305">
        <v>-5.52</v>
      </c>
    </row>
    <row r="5306" spans="1:42">
      <c r="A5306">
        <v>5305</v>
      </c>
      <c r="B5306" t="str">
        <f>"600289"</f>
        <v>600289</v>
      </c>
      <c r="C5306" t="s">
        <v>23466</v>
      </c>
      <c r="D5306">
        <v>2.71</v>
      </c>
      <c r="E5306">
        <v>0.37</v>
      </c>
      <c r="F5306">
        <v>0.01</v>
      </c>
      <c r="G5306" t="s">
        <v>1177</v>
      </c>
      <c r="H5306">
        <v>90</v>
      </c>
      <c r="I5306">
        <v>2.71</v>
      </c>
      <c r="J5306">
        <v>2.72</v>
      </c>
      <c r="K5306" t="s">
        <v>23467</v>
      </c>
      <c r="L5306">
        <v>0.31</v>
      </c>
      <c r="M5306" t="s">
        <v>46</v>
      </c>
      <c r="N5306" t="s">
        <v>8896</v>
      </c>
      <c r="O5306">
        <v>2.73</v>
      </c>
      <c r="P5306">
        <v>2.67</v>
      </c>
      <c r="Q5306">
        <v>2.71</v>
      </c>
      <c r="R5306">
        <v>2.7</v>
      </c>
      <c r="S5306">
        <v>2.22</v>
      </c>
      <c r="T5306">
        <v>0.54</v>
      </c>
      <c r="U5306">
        <v>-0.14</v>
      </c>
      <c r="V5306">
        <v>-11</v>
      </c>
      <c r="W5306">
        <v>2.7</v>
      </c>
      <c r="X5306">
        <v>7386</v>
      </c>
      <c r="Y5306" t="s">
        <v>1646</v>
      </c>
      <c r="Z5306">
        <v>0.72</v>
      </c>
      <c r="AA5306">
        <v>47</v>
      </c>
      <c r="AB5306">
        <v>669</v>
      </c>
      <c r="AC5306">
        <v>2.7</v>
      </c>
      <c r="AD5306" t="s">
        <v>11421</v>
      </c>
      <c r="AE5306" t="s">
        <v>1979</v>
      </c>
      <c r="AF5306" t="s">
        <v>4642</v>
      </c>
      <c r="AG5306" t="s">
        <v>23468</v>
      </c>
      <c r="AH5306">
        <v>-5.57</v>
      </c>
      <c r="AI5306">
        <v>-5.57</v>
      </c>
      <c r="AJ5306">
        <v>2.04</v>
      </c>
      <c r="AK5306">
        <v>3.18</v>
      </c>
      <c r="AL5306">
        <v>1</v>
      </c>
      <c r="AM5306">
        <v>0.37</v>
      </c>
      <c r="AN5306">
        <v>-2.87</v>
      </c>
      <c r="AO5306">
        <v>-0.37</v>
      </c>
      <c r="AP5306">
        <v>-6.87</v>
      </c>
    </row>
    <row r="5307" spans="1:42">
      <c r="A5307">
        <v>5306</v>
      </c>
      <c r="B5307" t="str">
        <f>"002816"</f>
        <v>002816</v>
      </c>
      <c r="C5307" t="s">
        <v>23469</v>
      </c>
      <c r="D5307">
        <v>12.12</v>
      </c>
      <c r="E5307">
        <v>1.08</v>
      </c>
      <c r="F5307">
        <v>0.13</v>
      </c>
      <c r="G5307">
        <v>3885</v>
      </c>
      <c r="H5307">
        <v>20</v>
      </c>
      <c r="I5307">
        <v>12.11</v>
      </c>
      <c r="J5307">
        <v>12.12</v>
      </c>
      <c r="K5307" t="s">
        <v>23470</v>
      </c>
      <c r="L5307">
        <v>0.39</v>
      </c>
      <c r="M5307" t="s">
        <v>46</v>
      </c>
      <c r="N5307" t="s">
        <v>23471</v>
      </c>
      <c r="O5307">
        <v>12.12</v>
      </c>
      <c r="P5307">
        <v>11.91</v>
      </c>
      <c r="Q5307">
        <v>11.93</v>
      </c>
      <c r="R5307">
        <v>11.99</v>
      </c>
      <c r="S5307">
        <v>1.75</v>
      </c>
      <c r="T5307">
        <v>0.76</v>
      </c>
      <c r="U5307">
        <v>-12.37</v>
      </c>
      <c r="V5307">
        <v>-48</v>
      </c>
      <c r="W5307">
        <v>12.03</v>
      </c>
      <c r="X5307">
        <v>1700</v>
      </c>
      <c r="Y5307">
        <v>2185</v>
      </c>
      <c r="Z5307">
        <v>0.78</v>
      </c>
      <c r="AA5307">
        <v>50</v>
      </c>
      <c r="AB5307">
        <v>66</v>
      </c>
      <c r="AC5307">
        <v>3.78</v>
      </c>
      <c r="AD5307" t="s">
        <v>5976</v>
      </c>
      <c r="AE5307" t="s">
        <v>1073</v>
      </c>
      <c r="AF5307" t="s">
        <v>5976</v>
      </c>
      <c r="AG5307" t="s">
        <v>1073</v>
      </c>
      <c r="AH5307">
        <v>-0.41</v>
      </c>
      <c r="AI5307">
        <v>1.93</v>
      </c>
      <c r="AJ5307">
        <v>1.08</v>
      </c>
      <c r="AK5307">
        <v>2.96</v>
      </c>
      <c r="AL5307">
        <v>1</v>
      </c>
      <c r="AM5307">
        <v>1.08</v>
      </c>
      <c r="AN5307">
        <v>-3.89</v>
      </c>
      <c r="AO5307">
        <v>0.5</v>
      </c>
      <c r="AP5307">
        <v>-22.56</v>
      </c>
    </row>
    <row r="5308" spans="1:42">
      <c r="A5308">
        <v>5307</v>
      </c>
      <c r="B5308" t="str">
        <f>"871396"</f>
        <v>871396</v>
      </c>
      <c r="C5308" t="s">
        <v>23472</v>
      </c>
      <c r="D5308">
        <v>8.13</v>
      </c>
      <c r="E5308">
        <v>-7.3</v>
      </c>
      <c r="F5308">
        <v>-0.64</v>
      </c>
      <c r="G5308">
        <v>4611</v>
      </c>
      <c r="H5308">
        <v>44</v>
      </c>
      <c r="I5308">
        <v>8.13</v>
      </c>
      <c r="J5308">
        <v>8.17</v>
      </c>
      <c r="K5308" t="s">
        <v>23473</v>
      </c>
      <c r="L5308">
        <v>1.19</v>
      </c>
      <c r="M5308" t="s">
        <v>46</v>
      </c>
      <c r="N5308" t="s">
        <v>8494</v>
      </c>
      <c r="O5308">
        <v>9.05</v>
      </c>
      <c r="P5308">
        <v>8.13</v>
      </c>
      <c r="Q5308">
        <v>8.79</v>
      </c>
      <c r="R5308">
        <v>8.77</v>
      </c>
      <c r="S5308">
        <v>10.49</v>
      </c>
      <c r="T5308">
        <v>0.36</v>
      </c>
      <c r="U5308">
        <v>46.41</v>
      </c>
      <c r="V5308">
        <v>106</v>
      </c>
      <c r="W5308">
        <v>8.44</v>
      </c>
      <c r="X5308">
        <v>3175</v>
      </c>
      <c r="Y5308">
        <v>1436</v>
      </c>
      <c r="Z5308">
        <v>2.21</v>
      </c>
      <c r="AA5308">
        <v>6</v>
      </c>
      <c r="AB5308">
        <v>10</v>
      </c>
      <c r="AC5308">
        <v>1.72</v>
      </c>
      <c r="AD5308" t="s">
        <v>23474</v>
      </c>
      <c r="AE5308" t="s">
        <v>23475</v>
      </c>
      <c r="AF5308" t="s">
        <v>23476</v>
      </c>
      <c r="AG5308" t="s">
        <v>22958</v>
      </c>
      <c r="AH5308">
        <v>-23.08</v>
      </c>
      <c r="AI5308">
        <v>-5.36</v>
      </c>
      <c r="AJ5308">
        <v>5.98</v>
      </c>
      <c r="AK5308">
        <v>17.66</v>
      </c>
      <c r="AL5308">
        <v>-4</v>
      </c>
      <c r="AM5308">
        <v>-7.3</v>
      </c>
      <c r="AN5308">
        <v>23.56</v>
      </c>
      <c r="AO5308">
        <v>28.84</v>
      </c>
      <c r="AP5308">
        <v>8.69</v>
      </c>
    </row>
    <row r="5309" spans="1:42">
      <c r="A5309">
        <v>5308</v>
      </c>
      <c r="B5309" t="str">
        <f>"870199"</f>
        <v>870199</v>
      </c>
      <c r="C5309" t="s">
        <v>23477</v>
      </c>
      <c r="D5309">
        <v>13.18</v>
      </c>
      <c r="E5309">
        <v>-1.42</v>
      </c>
      <c r="F5309">
        <v>-0.19</v>
      </c>
      <c r="G5309">
        <v>2771</v>
      </c>
      <c r="H5309">
        <v>9</v>
      </c>
      <c r="I5309">
        <v>13.18</v>
      </c>
      <c r="J5309">
        <v>13.22</v>
      </c>
      <c r="K5309" t="s">
        <v>23478</v>
      </c>
      <c r="L5309">
        <v>1.63</v>
      </c>
      <c r="M5309" t="s">
        <v>46</v>
      </c>
      <c r="N5309" t="s">
        <v>5820</v>
      </c>
      <c r="O5309">
        <v>13.7</v>
      </c>
      <c r="P5309">
        <v>13.05</v>
      </c>
      <c r="Q5309">
        <v>13.57</v>
      </c>
      <c r="R5309">
        <v>13.37</v>
      </c>
      <c r="S5309">
        <v>4.86</v>
      </c>
      <c r="T5309">
        <v>0.19</v>
      </c>
      <c r="U5309">
        <v>52.18</v>
      </c>
      <c r="V5309">
        <v>124</v>
      </c>
      <c r="W5309">
        <v>13.25</v>
      </c>
      <c r="X5309">
        <v>1964</v>
      </c>
      <c r="Y5309">
        <v>807</v>
      </c>
      <c r="Z5309">
        <v>2.43</v>
      </c>
      <c r="AA5309">
        <v>25</v>
      </c>
      <c r="AB5309">
        <v>2</v>
      </c>
      <c r="AC5309">
        <v>1.79</v>
      </c>
      <c r="AD5309" t="s">
        <v>9716</v>
      </c>
      <c r="AE5309" t="s">
        <v>19408</v>
      </c>
      <c r="AF5309" t="s">
        <v>22283</v>
      </c>
      <c r="AG5309" t="s">
        <v>7853</v>
      </c>
      <c r="AH5309">
        <v>-10.4</v>
      </c>
      <c r="AI5309">
        <v>5.86</v>
      </c>
      <c r="AJ5309">
        <v>9.75</v>
      </c>
      <c r="AK5309">
        <v>45.63</v>
      </c>
      <c r="AL5309">
        <v>-4</v>
      </c>
      <c r="AM5309">
        <v>-1.42</v>
      </c>
      <c r="AN5309">
        <v>-22.42</v>
      </c>
      <c r="AO5309">
        <v>32.46</v>
      </c>
      <c r="AP5309">
        <v>-63.09</v>
      </c>
    </row>
    <row r="5310" spans="1:42">
      <c r="A5310">
        <v>5309</v>
      </c>
      <c r="B5310" t="str">
        <f>"603880"</f>
        <v>603880</v>
      </c>
      <c r="C5310" t="s">
        <v>23479</v>
      </c>
      <c r="D5310">
        <v>5.16</v>
      </c>
      <c r="E5310">
        <v>0.78</v>
      </c>
      <c r="F5310">
        <v>0.04</v>
      </c>
      <c r="G5310">
        <v>6803</v>
      </c>
      <c r="H5310">
        <v>198</v>
      </c>
      <c r="I5310">
        <v>5.15</v>
      </c>
      <c r="J5310">
        <v>5.16</v>
      </c>
      <c r="K5310" t="s">
        <v>319</v>
      </c>
      <c r="L5310">
        <v>0.24</v>
      </c>
      <c r="M5310" t="s">
        <v>46</v>
      </c>
      <c r="N5310" t="s">
        <v>7518</v>
      </c>
      <c r="O5310">
        <v>5.18</v>
      </c>
      <c r="P5310">
        <v>5.12</v>
      </c>
      <c r="Q5310">
        <v>5.14</v>
      </c>
      <c r="R5310">
        <v>5.12</v>
      </c>
      <c r="S5310">
        <v>1.17</v>
      </c>
      <c r="T5310">
        <v>0.49</v>
      </c>
      <c r="U5310">
        <v>-38.51</v>
      </c>
      <c r="V5310">
        <v>-1471</v>
      </c>
      <c r="W5310">
        <v>5.15</v>
      </c>
      <c r="X5310">
        <v>4309</v>
      </c>
      <c r="Y5310">
        <v>2494</v>
      </c>
      <c r="Z5310">
        <v>1.73</v>
      </c>
      <c r="AA5310">
        <v>70</v>
      </c>
      <c r="AB5310">
        <v>81</v>
      </c>
      <c r="AC5310">
        <v>2.42</v>
      </c>
      <c r="AD5310" t="s">
        <v>19005</v>
      </c>
      <c r="AE5310" t="s">
        <v>21247</v>
      </c>
      <c r="AF5310" t="s">
        <v>23480</v>
      </c>
      <c r="AG5310" t="s">
        <v>23481</v>
      </c>
      <c r="AH5310">
        <v>0.78</v>
      </c>
      <c r="AI5310">
        <v>0.98</v>
      </c>
      <c r="AJ5310">
        <v>0.88</v>
      </c>
      <c r="AK5310">
        <v>2.65</v>
      </c>
      <c r="AL5310">
        <v>2</v>
      </c>
      <c r="AM5310">
        <v>0.78</v>
      </c>
      <c r="AN5310">
        <v>-16.77</v>
      </c>
      <c r="AO5310">
        <v>6.83</v>
      </c>
      <c r="AP5310">
        <v>-18.48</v>
      </c>
    </row>
    <row r="5311" spans="1:42">
      <c r="A5311">
        <v>5310</v>
      </c>
      <c r="B5311" t="str">
        <f>"000005"</f>
        <v>000005</v>
      </c>
      <c r="C5311" t="s">
        <v>23482</v>
      </c>
      <c r="D5311">
        <v>1.4</v>
      </c>
      <c r="E5311">
        <v>0</v>
      </c>
      <c r="F5311">
        <v>0</v>
      </c>
      <c r="G5311" t="s">
        <v>4269</v>
      </c>
      <c r="H5311">
        <v>1119</v>
      </c>
      <c r="I5311">
        <v>1.4</v>
      </c>
      <c r="J5311">
        <v>1.41</v>
      </c>
      <c r="K5311" t="s">
        <v>23483</v>
      </c>
      <c r="L5311">
        <v>0.23</v>
      </c>
      <c r="M5311" t="s">
        <v>46</v>
      </c>
      <c r="N5311" t="s">
        <v>9457</v>
      </c>
      <c r="O5311">
        <v>1.41</v>
      </c>
      <c r="P5311">
        <v>1.39</v>
      </c>
      <c r="Q5311">
        <v>1.4</v>
      </c>
      <c r="R5311">
        <v>1.4</v>
      </c>
      <c r="S5311">
        <v>1.43</v>
      </c>
      <c r="T5311">
        <v>0.49</v>
      </c>
      <c r="U5311">
        <v>4.65</v>
      </c>
      <c r="V5311">
        <v>2104</v>
      </c>
      <c r="W5311">
        <v>1.4</v>
      </c>
      <c r="X5311" t="s">
        <v>189</v>
      </c>
      <c r="Y5311" t="s">
        <v>682</v>
      </c>
      <c r="Z5311">
        <v>0.93</v>
      </c>
      <c r="AA5311">
        <v>9552</v>
      </c>
      <c r="AB5311" t="s">
        <v>8212</v>
      </c>
      <c r="AC5311">
        <v>1.23</v>
      </c>
      <c r="AD5311" t="s">
        <v>12802</v>
      </c>
      <c r="AE5311" t="s">
        <v>23484</v>
      </c>
      <c r="AF5311" t="s">
        <v>9679</v>
      </c>
      <c r="AG5311" t="s">
        <v>623</v>
      </c>
      <c r="AH5311">
        <v>0</v>
      </c>
      <c r="AI5311">
        <v>-3.45</v>
      </c>
      <c r="AJ5311">
        <v>0.91</v>
      </c>
      <c r="AK5311">
        <v>2.58</v>
      </c>
      <c r="AL5311">
        <v>0</v>
      </c>
      <c r="AM5311">
        <v>0</v>
      </c>
      <c r="AN5311">
        <v>-24.73</v>
      </c>
      <c r="AO5311">
        <v>-1.41</v>
      </c>
      <c r="AP5311">
        <v>-23.5</v>
      </c>
    </row>
    <row r="5312" spans="1:42">
      <c r="A5312">
        <v>5311</v>
      </c>
      <c r="B5312" t="str">
        <f>"603117"</f>
        <v>603117</v>
      </c>
      <c r="C5312" t="s">
        <v>23485</v>
      </c>
      <c r="D5312">
        <v>3.48</v>
      </c>
      <c r="E5312">
        <v>0.29</v>
      </c>
      <c r="F5312">
        <v>0.01</v>
      </c>
      <c r="G5312">
        <v>9709</v>
      </c>
      <c r="H5312">
        <v>9</v>
      </c>
      <c r="I5312">
        <v>3.47</v>
      </c>
      <c r="J5312">
        <v>3.48</v>
      </c>
      <c r="K5312" t="s">
        <v>23486</v>
      </c>
      <c r="L5312">
        <v>0.15</v>
      </c>
      <c r="M5312" t="s">
        <v>46</v>
      </c>
      <c r="N5312" t="s">
        <v>3485</v>
      </c>
      <c r="O5312">
        <v>3.49</v>
      </c>
      <c r="P5312">
        <v>3.44</v>
      </c>
      <c r="Q5312">
        <v>3.44</v>
      </c>
      <c r="R5312">
        <v>3.47</v>
      </c>
      <c r="S5312">
        <v>1.44</v>
      </c>
      <c r="T5312">
        <v>0.95</v>
      </c>
      <c r="U5312">
        <v>5.38</v>
      </c>
      <c r="V5312">
        <v>260</v>
      </c>
      <c r="W5312">
        <v>3.46</v>
      </c>
      <c r="X5312">
        <v>3858</v>
      </c>
      <c r="Y5312">
        <v>5851</v>
      </c>
      <c r="Z5312">
        <v>0.66</v>
      </c>
      <c r="AA5312">
        <v>302</v>
      </c>
      <c r="AB5312">
        <v>344</v>
      </c>
      <c r="AC5312">
        <v>1.6</v>
      </c>
      <c r="AD5312" t="s">
        <v>23487</v>
      </c>
      <c r="AE5312" t="s">
        <v>240</v>
      </c>
      <c r="AF5312" t="s">
        <v>23487</v>
      </c>
      <c r="AG5312" t="s">
        <v>240</v>
      </c>
      <c r="AH5312">
        <v>-1.14</v>
      </c>
      <c r="AI5312">
        <v>-1.97</v>
      </c>
      <c r="AJ5312">
        <v>0.44</v>
      </c>
      <c r="AK5312">
        <v>0.96</v>
      </c>
      <c r="AL5312">
        <v>1</v>
      </c>
      <c r="AM5312">
        <v>0.29</v>
      </c>
      <c r="AN5312">
        <v>25.18</v>
      </c>
      <c r="AO5312">
        <v>0</v>
      </c>
      <c r="AP5312">
        <v>30.34</v>
      </c>
    </row>
    <row r="5313" spans="1:42">
      <c r="A5313">
        <v>5312</v>
      </c>
      <c r="B5313" t="str">
        <f>"600290"</f>
        <v>600290</v>
      </c>
      <c r="C5313" t="s">
        <v>23488</v>
      </c>
      <c r="D5313">
        <v>0.82</v>
      </c>
      <c r="E5313">
        <v>-4.65</v>
      </c>
      <c r="F5313">
        <v>-0.04</v>
      </c>
      <c r="G5313" t="s">
        <v>7531</v>
      </c>
      <c r="H5313">
        <v>555</v>
      </c>
      <c r="I5313" t="s">
        <v>76</v>
      </c>
      <c r="J5313">
        <v>0.82</v>
      </c>
      <c r="K5313" t="s">
        <v>23489</v>
      </c>
      <c r="L5313">
        <v>0.46</v>
      </c>
      <c r="M5313" t="s">
        <v>46</v>
      </c>
      <c r="N5313" t="s">
        <v>4444</v>
      </c>
      <c r="O5313">
        <v>0.82</v>
      </c>
      <c r="P5313">
        <v>0.82</v>
      </c>
      <c r="Q5313">
        <v>0.82</v>
      </c>
      <c r="R5313">
        <v>0.86</v>
      </c>
      <c r="S5313">
        <v>0</v>
      </c>
      <c r="T5313">
        <v>0.63</v>
      </c>
      <c r="U5313">
        <v>-100</v>
      </c>
      <c r="V5313" t="s">
        <v>23490</v>
      </c>
      <c r="W5313">
        <v>0.82</v>
      </c>
      <c r="X5313">
        <v>0</v>
      </c>
      <c r="Y5313" t="s">
        <v>7531</v>
      </c>
      <c r="Z5313">
        <v>0</v>
      </c>
      <c r="AA5313">
        <v>0</v>
      </c>
      <c r="AB5313" t="s">
        <v>23491</v>
      </c>
      <c r="AC5313">
        <v>-2.92</v>
      </c>
      <c r="AD5313" t="s">
        <v>10458</v>
      </c>
      <c r="AE5313" t="s">
        <v>19994</v>
      </c>
      <c r="AF5313" t="s">
        <v>10458</v>
      </c>
      <c r="AG5313" t="s">
        <v>19994</v>
      </c>
      <c r="AH5313">
        <v>-14.58</v>
      </c>
      <c r="AI5313">
        <v>-22.64</v>
      </c>
      <c r="AJ5313">
        <v>0.67</v>
      </c>
      <c r="AK5313">
        <v>1.05</v>
      </c>
      <c r="AL5313">
        <v>-8</v>
      </c>
      <c r="AM5313">
        <v>-4.65</v>
      </c>
      <c r="AN5313">
        <v>-61.86</v>
      </c>
      <c r="AO5313">
        <v>-33.33</v>
      </c>
      <c r="AP5313">
        <v>-66.39</v>
      </c>
    </row>
    <row r="5314" spans="1:42">
      <c r="A5314">
        <v>5313</v>
      </c>
      <c r="B5314" t="str">
        <f>"600265"</f>
        <v>600265</v>
      </c>
      <c r="C5314" t="s">
        <v>23492</v>
      </c>
      <c r="D5314">
        <v>18</v>
      </c>
      <c r="E5314">
        <v>-0.33</v>
      </c>
      <c r="F5314">
        <v>-0.06</v>
      </c>
      <c r="G5314">
        <v>1360</v>
      </c>
      <c r="H5314">
        <v>169</v>
      </c>
      <c r="I5314">
        <v>17.99</v>
      </c>
      <c r="J5314">
        <v>18</v>
      </c>
      <c r="K5314" t="s">
        <v>23493</v>
      </c>
      <c r="L5314">
        <v>0.1</v>
      </c>
      <c r="M5314" t="s">
        <v>46</v>
      </c>
      <c r="N5314" t="s">
        <v>22279</v>
      </c>
      <c r="O5314">
        <v>18.14</v>
      </c>
      <c r="P5314">
        <v>18</v>
      </c>
      <c r="Q5314">
        <v>18.07</v>
      </c>
      <c r="R5314">
        <v>18.06</v>
      </c>
      <c r="S5314">
        <v>0.78</v>
      </c>
      <c r="T5314">
        <v>0.57</v>
      </c>
      <c r="U5314">
        <v>-50.72</v>
      </c>
      <c r="V5314">
        <v>-210</v>
      </c>
      <c r="W5314">
        <v>18.05</v>
      </c>
      <c r="X5314">
        <v>900</v>
      </c>
      <c r="Y5314">
        <v>460</v>
      </c>
      <c r="Z5314">
        <v>1.96</v>
      </c>
      <c r="AA5314">
        <v>30</v>
      </c>
      <c r="AB5314">
        <v>156</v>
      </c>
      <c r="AC5314">
        <v>14.81</v>
      </c>
      <c r="AD5314" t="s">
        <v>23494</v>
      </c>
      <c r="AE5314" t="s">
        <v>15893</v>
      </c>
      <c r="AF5314" t="s">
        <v>23494</v>
      </c>
      <c r="AG5314" t="s">
        <v>15893</v>
      </c>
      <c r="AH5314">
        <v>-0.94</v>
      </c>
      <c r="AI5314">
        <v>0.67</v>
      </c>
      <c r="AJ5314">
        <v>0.43</v>
      </c>
      <c r="AK5314">
        <v>1.02</v>
      </c>
      <c r="AL5314">
        <v>-3</v>
      </c>
      <c r="AM5314">
        <v>-0.33</v>
      </c>
      <c r="AN5314">
        <v>18.42</v>
      </c>
      <c r="AO5314">
        <v>2.86</v>
      </c>
      <c r="AP5314">
        <v>18.03</v>
      </c>
    </row>
    <row r="5315" spans="1:42">
      <c r="A5315">
        <v>5314</v>
      </c>
      <c r="B5315" t="str">
        <f>"600647"</f>
        <v>600647</v>
      </c>
      <c r="C5315" t="s">
        <v>23495</v>
      </c>
      <c r="D5315">
        <v>8.34</v>
      </c>
      <c r="E5315">
        <v>5.04</v>
      </c>
      <c r="F5315">
        <v>0.4</v>
      </c>
      <c r="G5315">
        <v>1403</v>
      </c>
      <c r="H5315">
        <v>1</v>
      </c>
      <c r="I5315">
        <v>8.34</v>
      </c>
      <c r="J5315" t="s">
        <v>76</v>
      </c>
      <c r="K5315" t="s">
        <v>2440</v>
      </c>
      <c r="L5315">
        <v>0.1</v>
      </c>
      <c r="M5315" t="s">
        <v>46</v>
      </c>
      <c r="N5315" t="s">
        <v>1143</v>
      </c>
      <c r="O5315">
        <v>8.34</v>
      </c>
      <c r="P5315">
        <v>8.34</v>
      </c>
      <c r="Q5315">
        <v>8.34</v>
      </c>
      <c r="R5315">
        <v>7.94</v>
      </c>
      <c r="S5315">
        <v>0</v>
      </c>
      <c r="T5315">
        <v>0.75</v>
      </c>
      <c r="U5315">
        <v>100</v>
      </c>
      <c r="V5315" t="s">
        <v>425</v>
      </c>
      <c r="W5315">
        <v>8.34</v>
      </c>
      <c r="X5315">
        <v>1403</v>
      </c>
      <c r="Y5315">
        <v>0</v>
      </c>
      <c r="Z5315">
        <v>1</v>
      </c>
      <c r="AA5315" t="s">
        <v>4929</v>
      </c>
      <c r="AB5315">
        <v>0</v>
      </c>
      <c r="AC5315">
        <v>4.03</v>
      </c>
      <c r="AD5315" t="s">
        <v>16332</v>
      </c>
      <c r="AE5315" t="s">
        <v>10762</v>
      </c>
      <c r="AF5315" t="s">
        <v>16332</v>
      </c>
      <c r="AG5315" t="s">
        <v>10762</v>
      </c>
      <c r="AH5315">
        <v>15.83</v>
      </c>
      <c r="AI5315">
        <v>27.72</v>
      </c>
      <c r="AJ5315">
        <v>0.19</v>
      </c>
      <c r="AK5315">
        <v>0.28</v>
      </c>
      <c r="AL5315">
        <v>5</v>
      </c>
      <c r="AM5315">
        <v>5.04</v>
      </c>
      <c r="AN5315">
        <v>-34.84</v>
      </c>
      <c r="AO5315">
        <v>-30.79</v>
      </c>
      <c r="AP5315">
        <v>-50.06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20231203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Bruce_Lai</dc:creator>
  <cp:lastModifiedBy>hanzhe</cp:lastModifiedBy>
  <dcterms:created xsi:type="dcterms:W3CDTF">2023-12-03T22:40:00Z</dcterms:created>
  <dcterms:modified xsi:type="dcterms:W3CDTF">2023-12-03T23:52:27Z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2052-5.4.4.8063</vt:lpwstr>
  </property>
</Properties>
</file>